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comments25.xml" ContentType="application/vnd.openxmlformats-officedocument.spreadsheetml.comments+xml"/>
  <Override PartName="/xl/comments26.xml" ContentType="application/vnd.openxmlformats-officedocument.spreadsheetml.comments+xml"/>
  <Override PartName="/xl/comments27.xml" ContentType="application/vnd.openxmlformats-officedocument.spreadsheetml.comments+xml"/>
  <Override PartName="/xl/comments28.xml" ContentType="application/vnd.openxmlformats-officedocument.spreadsheetml.comments+xml"/>
  <Override PartName="/xl/comments29.xml" ContentType="application/vnd.openxmlformats-officedocument.spreadsheetml.comments+xml"/>
  <Override PartName="/xl/comments30.xml" ContentType="application/vnd.openxmlformats-officedocument.spreadsheetml.comments+xml"/>
  <Override PartName="/xl/comments31.xml" ContentType="application/vnd.openxmlformats-officedocument.spreadsheetml.comments+xml"/>
  <Override PartName="/xl/comments32.xml" ContentType="application/vnd.openxmlformats-officedocument.spreadsheetml.comments+xml"/>
  <Override PartName="/xl/comments33.xml" ContentType="application/vnd.openxmlformats-officedocument.spreadsheetml.comments+xml"/>
  <Override PartName="/xl/comments34.xml" ContentType="application/vnd.openxmlformats-officedocument.spreadsheetml.comments+xml"/>
  <Override PartName="/xl/comments35.xml" ContentType="application/vnd.openxmlformats-officedocument.spreadsheetml.comments+xml"/>
  <Override PartName="/xl/comments36.xml" ContentType="application/vnd.openxmlformats-officedocument.spreadsheetml.comments+xml"/>
  <Override PartName="/xl/comments37.xml" ContentType="application/vnd.openxmlformats-officedocument.spreadsheetml.comments+xml"/>
  <Override PartName="/xl/comments38.xml" ContentType="application/vnd.openxmlformats-officedocument.spreadsheetml.comments+xml"/>
  <Override PartName="/xl/comments39.xml" ContentType="application/vnd.openxmlformats-officedocument.spreadsheetml.comments+xml"/>
  <Override PartName="/xl/comments40.xml" ContentType="application/vnd.openxmlformats-officedocument.spreadsheetml.comments+xml"/>
  <Override PartName="/xl/comments41.xml" ContentType="application/vnd.openxmlformats-officedocument.spreadsheetml.comments+xml"/>
  <Override PartName="/xl/comments42.xml" ContentType="application/vnd.openxmlformats-officedocument.spreadsheetml.comments+xml"/>
  <Override PartName="/xl/comments43.xml" ContentType="application/vnd.openxmlformats-officedocument.spreadsheetml.comments+xml"/>
  <Override PartName="/xl/comments44.xml" ContentType="application/vnd.openxmlformats-officedocument.spreadsheetml.comments+xml"/>
  <Override PartName="/xl/comments45.xml" ContentType="application/vnd.openxmlformats-officedocument.spreadsheetml.comments+xml"/>
  <Override PartName="/xl/comments46.xml" ContentType="application/vnd.openxmlformats-officedocument.spreadsheetml.comments+xml"/>
  <Override PartName="/xl/comments47.xml" ContentType="application/vnd.openxmlformats-officedocument.spreadsheetml.comments+xml"/>
  <Override PartName="/xl/comments48.xml" ContentType="application/vnd.openxmlformats-officedocument.spreadsheetml.comments+xml"/>
  <Override PartName="/xl/comments49.xml" ContentType="application/vnd.openxmlformats-officedocument.spreadsheetml.comments+xml"/>
  <Override PartName="/xl/comments50.xml" ContentType="application/vnd.openxmlformats-officedocument.spreadsheetml.comments+xml"/>
  <Override PartName="/xl/comments51.xml" ContentType="application/vnd.openxmlformats-officedocument.spreadsheetml.comments+xml"/>
  <Override PartName="/xl/comments52.xml" ContentType="application/vnd.openxmlformats-officedocument.spreadsheetml.comments+xml"/>
  <Override PartName="/xl/comments53.xml" ContentType="application/vnd.openxmlformats-officedocument.spreadsheetml.comments+xml"/>
  <Override PartName="/xl/comments54.xml" ContentType="application/vnd.openxmlformats-officedocument.spreadsheetml.comments+xml"/>
  <Override PartName="/xl/comments5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VISHAL\Desktop\"/>
    </mc:Choice>
  </mc:AlternateContent>
  <bookViews>
    <workbookView xWindow="0" yWindow="0" windowWidth="20490" windowHeight="7620" tabRatio="807" firstSheet="82" activeTab="92"/>
  </bookViews>
  <sheets>
    <sheet name="Q1" sheetId="150" r:id="rId1"/>
    <sheet name="Q2" sheetId="149" r:id="rId2"/>
    <sheet name="Q3" sheetId="151" r:id="rId3"/>
    <sheet name="Q4" sheetId="153" r:id="rId4"/>
    <sheet name="Main Working" sheetId="1" r:id="rId5"/>
    <sheet name="18-19 (SSW-11)" sheetId="108" state="hidden" r:id="rId6"/>
    <sheet name="(CKB-1)" sheetId="2" r:id="rId7"/>
    <sheet name="(MLM-2)" sheetId="41" r:id="rId8"/>
    <sheet name="(UCP-3)" sheetId="127" r:id="rId9"/>
    <sheet name="(UCP-3) half" sheetId="131" state="hidden" r:id="rId10"/>
    <sheet name="(KSL-4)" sheetId="40" r:id="rId11"/>
    <sheet name="(VMK-5)" sheetId="38" r:id="rId12"/>
    <sheet name="(PMK-6)" sheetId="37" r:id="rId13"/>
    <sheet name="(RSM-8)" sheetId="32" r:id="rId14"/>
    <sheet name="(PR-9)" sheetId="35" r:id="rId15"/>
    <sheet name="(ASK-10)" sheetId="34" r:id="rId16"/>
    <sheet name="(VKV) 11 " sheetId="33" r:id="rId17"/>
    <sheet name="(USS-12)" sheetId="31" r:id="rId18"/>
    <sheet name="(MS-13)" sheetId="29" r:id="rId19"/>
    <sheet name="(BRR-14)" sheetId="120" r:id="rId20"/>
    <sheet name="(RKL-15)" sheetId="119" r:id="rId21"/>
    <sheet name="(DBN-16)" sheetId="30" r:id="rId22"/>
    <sheet name="(VVT-17)" sheetId="122" r:id="rId23"/>
    <sheet name="(SSM-18)" sheetId="129" r:id="rId24"/>
    <sheet name="(SVR-19)" sheetId="27" r:id="rId25"/>
    <sheet name="(MPJ-20)" sheetId="26" r:id="rId26"/>
    <sheet name="(DPV-21)" sheetId="25" r:id="rId27"/>
    <sheet name="(SRP-22)" sheetId="24" r:id="rId28"/>
    <sheet name="(VNW-24)" sheetId="23" r:id="rId29"/>
    <sheet name="(SAA-25)" sheetId="22" r:id="rId30"/>
    <sheet name="(AYK-26)" sheetId="21" r:id="rId31"/>
    <sheet name="(KPK-27)" sheetId="130" r:id="rId32"/>
    <sheet name="(MKP-28)" sheetId="20" r:id="rId33"/>
    <sheet name="(RSV-29)" sheetId="19" r:id="rId34"/>
    <sheet name="(ASG-30)" sheetId="18" r:id="rId35"/>
    <sheet name="(CDW-32)" sheetId="15" r:id="rId36"/>
    <sheet name="(PCS-34)" sheetId="42" r:id="rId37"/>
    <sheet name="(AHJ-35)" sheetId="13" r:id="rId38"/>
    <sheet name="(DRM-36)" sheetId="12" r:id="rId39"/>
    <sheet name="(AMK-37)" sheetId="11" r:id="rId40"/>
    <sheet name="(VBB-38)" sheetId="10" r:id="rId41"/>
    <sheet name="(SPA-39)" sheetId="9" r:id="rId42"/>
    <sheet name="(SAS-40)" sheetId="63" r:id="rId43"/>
    <sheet name="(PVG-41)" sheetId="124" r:id="rId44"/>
    <sheet name="(SJJ-42)" sheetId="8" r:id="rId45"/>
    <sheet name="(VKP-43)" sheetId="7" r:id="rId46"/>
    <sheet name="(STA-44)" sheetId="6" r:id="rId47"/>
    <sheet name="(HRK-45)" sheetId="5" r:id="rId48"/>
    <sheet name="(BJK-46)" sheetId="4" r:id="rId49"/>
    <sheet name="(RRD-47)" sheetId="3" r:id="rId50"/>
    <sheet name="(UMC-48) " sheetId="83" r:id="rId51"/>
    <sheet name="(SLT-49)" sheetId="65" r:id="rId52"/>
    <sheet name="(SSW-51)" sheetId="51" r:id="rId53"/>
    <sheet name="(VNK-52)" sheetId="62" r:id="rId54"/>
    <sheet name=" (HS-55)" sheetId="60" r:id="rId55"/>
    <sheet name="(PBT-54)" sheetId="61" r:id="rId56"/>
    <sheet name="(PAP-56)" sheetId="59" r:id="rId57"/>
    <sheet name="(SPT-57)" sheetId="134" r:id="rId58"/>
    <sheet name="(PBSP-58)" sheetId="58" r:id="rId59"/>
    <sheet name="(SAA-59)" sheetId="57" r:id="rId60"/>
    <sheet name="(MHH-60)" sheetId="56" r:id="rId61"/>
    <sheet name="(HRM-61)" sheetId="55" r:id="rId62"/>
    <sheet name="(PPS-62)" sheetId="54" r:id="rId63"/>
    <sheet name="(NAP-63)" sheetId="53" r:id="rId64"/>
    <sheet name="(BSS-64)" sheetId="52" r:id="rId65"/>
    <sheet name="(SG-65)" sheetId="47" r:id="rId66"/>
    <sheet name="(SNV-66)" sheetId="50" r:id="rId67"/>
    <sheet name="(IAP-67)" sheetId="49" r:id="rId68"/>
    <sheet name="(MBR-68)" sheetId="48" r:id="rId69"/>
    <sheet name="(SSM-69)" sheetId="82" r:id="rId70"/>
    <sheet name="(SS-71)" sheetId="75" r:id="rId71"/>
    <sheet name="(BAD-73)" sheetId="81" r:id="rId72"/>
    <sheet name="(CN-74)" sheetId="80" r:id="rId73"/>
    <sheet name="(IH-76)" sheetId="79" r:id="rId74"/>
    <sheet name="(LBB-77)" sheetId="78" r:id="rId75"/>
    <sheet name="(AN-78)" sheetId="77" r:id="rId76"/>
    <sheet name="(NVV-79)" sheetId="74" r:id="rId77"/>
    <sheet name="(RBR 80)" sheetId="66" r:id="rId78"/>
    <sheet name="(JPT 81)" sheetId="67" r:id="rId79"/>
    <sheet name="(VBS 83) " sheetId="69" r:id="rId80"/>
    <sheet name="(SR-84)" sheetId="76" r:id="rId81"/>
    <sheet name="(KAB-85)" sheetId="68" r:id="rId82"/>
    <sheet name="(JPS-87)" sheetId="73" r:id="rId83"/>
    <sheet name="(AM-88)" sheetId="72" r:id="rId84"/>
    <sheet name="(VSD-89)" sheetId="71" r:id="rId85"/>
    <sheet name="(JAU-92)" sheetId="70" r:id="rId86"/>
    <sheet name="(SBB-95)" sheetId="115" r:id="rId87"/>
    <sheet name="(JPG-93)" sheetId="117" r:id="rId88"/>
    <sheet name="(NHC-91)" sheetId="86" r:id="rId89"/>
    <sheet name="(LBS-94)" sheetId="116" r:id="rId90"/>
    <sheet name="(PSG-97)" sheetId="113" r:id="rId91"/>
    <sheet name="(NRS-98)" sheetId="112" r:id="rId92"/>
    <sheet name="(SAS-99)" sheetId="111" r:id="rId93"/>
    <sheet name="(DRS-100)" sheetId="110" r:id="rId94"/>
    <sheet name="(NGC-101)" sheetId="109" r:id="rId95"/>
    <sheet name="(JMS-102)" sheetId="123" r:id="rId96"/>
    <sheet name="(SSL-103)" sheetId="107" r:id="rId97"/>
    <sheet name="(SBP-104)" sheetId="106" r:id="rId98"/>
    <sheet name="(JDM-105)" sheetId="105" r:id="rId99"/>
    <sheet name="(RNK-106)" sheetId="104" r:id="rId100"/>
    <sheet name="(DND-107)" sheetId="103" r:id="rId101"/>
    <sheet name="(RP-108)" sheetId="45" r:id="rId102"/>
    <sheet name="(MMM-109)" sheetId="101" r:id="rId103"/>
    <sheet name="(VPG-110)" sheetId="99" r:id="rId104"/>
    <sheet name="(NHK-111)" sheetId="98" r:id="rId105"/>
    <sheet name="(ASK-113)" sheetId="95" r:id="rId106"/>
    <sheet name="(RDB-114)" sheetId="94" r:id="rId107"/>
    <sheet name="(BDY-115)" sheetId="93" r:id="rId108"/>
    <sheet name="(GSS-116)" sheetId="87" r:id="rId109"/>
    <sheet name="(JGV-117)" sheetId="88" r:id="rId110"/>
    <sheet name="(NPW-118)" sheetId="89" r:id="rId111"/>
    <sheet name="(LSM-119)" sheetId="84" r:id="rId112"/>
    <sheet name="(JGR-120)" sheetId="91" r:id="rId113"/>
    <sheet name="(MPI-121)" sheetId="90" r:id="rId114"/>
    <sheet name="(RBG-122)" sheetId="118" r:id="rId115"/>
    <sheet name="(DMB-124)" sheetId="135" r:id="rId116"/>
    <sheet name="(GSK-125)" sheetId="136" r:id="rId117"/>
    <sheet name="(APT-126)" sheetId="137" r:id="rId118"/>
    <sheet name="(PRP-128)" sheetId="138" r:id="rId119"/>
    <sheet name="(RSB-129)" sheetId="139" r:id="rId120"/>
    <sheet name="(RCW-130) " sheetId="140" r:id="rId121"/>
    <sheet name="(DVS-131)" sheetId="141" r:id="rId122"/>
    <sheet name="(MMT-132)" sheetId="142" r:id="rId123"/>
    <sheet name="18-19 (LSM-27)" sheetId="92" state="hidden" r:id="rId124"/>
    <sheet name="(KSW-133)" sheetId="125" r:id="rId125"/>
    <sheet name="18-19 (SIK-23)" sheetId="96" state="hidden" r:id="rId126"/>
    <sheet name="18-19 (NVV-22)" sheetId="97" state="hidden" r:id="rId127"/>
    <sheet name="18-19 (DBN-19)" sheetId="100" state="hidden" r:id="rId128"/>
    <sheet name="18-19 (REP-16)" sheetId="102" state="hidden" r:id="rId129"/>
    <sheet name="18-19 (MKG-5)" sheetId="114" state="hidden" r:id="rId130"/>
    <sheet name="18-19 (UMC-46)" sheetId="121" state="hidden" r:id="rId131"/>
    <sheet name="(SSJ-134)" sheetId="126" r:id="rId132"/>
    <sheet name="(BDR-135)" sheetId="128" r:id="rId133"/>
    <sheet name="(DSJ-136)" sheetId="132" r:id="rId134"/>
    <sheet name="(CSS-137)" sheetId="133" r:id="rId135"/>
    <sheet name="(AAM-138)" sheetId="85" r:id="rId136"/>
    <sheet name="(SSK-139)" sheetId="64" r:id="rId137"/>
    <sheet name="18-19 (PCS-33)" sheetId="14" state="hidden" r:id="rId138"/>
    <sheet name="18-19 (SSM-17)" sheetId="16" state="hidden" r:id="rId139"/>
    <sheet name="18-19 (JMS-33)" sheetId="17" state="hidden" r:id="rId140"/>
    <sheet name="18-19 (VVT-16)" sheetId="28" state="hidden" r:id="rId141"/>
    <sheet name="(AS-140)" sheetId="36" r:id="rId142"/>
    <sheet name="18-19 (UCP-3)" sheetId="39" state="hidden" r:id="rId143"/>
    <sheet name="(ANRG-141)" sheetId="43" r:id="rId144"/>
    <sheet name="(RCD-142)" sheetId="44" r:id="rId145"/>
    <sheet name="(VKS)" sheetId="154" r:id="rId146"/>
    <sheet name="(RJS)" sheetId="155" r:id="rId147"/>
    <sheet name="HEMANT" sheetId="147" state="hidden" r:id="rId148"/>
    <sheet name="PRASHANT" sheetId="145" state="hidden" r:id="rId149"/>
    <sheet name="PARAB" sheetId="144" state="hidden" r:id="rId150"/>
    <sheet name="KAILAS" sheetId="148" state="hidden" r:id="rId151"/>
    <sheet name="KAFLE" sheetId="143" state="hidden" r:id="rId152"/>
    <sheet name="SURVE" sheetId="146" state="hidden" r:id="rId153"/>
    <sheet name="0 (2)" sheetId="46" state="hidden" r:id="rId154"/>
  </sheets>
  <externalReferences>
    <externalReference r:id="rId155"/>
    <externalReference r:id="rId156"/>
  </externalReferences>
  <definedNames>
    <definedName name="_xlnm._FilterDatabase" localSheetId="4" hidden="1">'Main Working'!$A$2:$R$150</definedName>
    <definedName name="_xlnm._FilterDatabase" localSheetId="0" hidden="1">'Q1'!$A$1:$F$467</definedName>
    <definedName name="_xlnm._FilterDatabase" localSheetId="1" hidden="1">'Q2'!$B$1:$G$350</definedName>
    <definedName name="_xlnm._FilterDatabase" localSheetId="2" hidden="1">'Q3'!$C$426:$E$546</definedName>
    <definedName name="_xlnm._FilterDatabase" localSheetId="3" hidden="1">'Q4'!$C$315:$F$424</definedName>
    <definedName name="MinistryName">'[1]General Information'!$M$1:$M$58</definedName>
    <definedName name="_xlnm.Print_Area" localSheetId="134">'(CSS-137)'!$A$1:$T$100</definedName>
    <definedName name="_xlnm.Print_Area" localSheetId="26">'(DPV-21)'!$A$4:$O$100</definedName>
    <definedName name="_xlnm.Print_Area" localSheetId="25">'(MPJ-20)'!$A$1:$P$99</definedName>
    <definedName name="_xlnm.Print_Area" localSheetId="92">'(SAS-99)'!$A$59:$O$99</definedName>
    <definedName name="_xlnm.Print_Area" localSheetId="4">'Main Working'!$A$1:$Q$149</definedName>
    <definedName name="_xlnm.Print_Titles" localSheetId="4">'Main Working'!$2:$2</definedName>
    <definedName name="RemCountry">'[1]General Information'!$L$39:$L$323</definedName>
    <definedName name="Remittance">'[1]General Information'!$N$20:$N$31</definedName>
    <definedName name="Sec24Q">'[1]General Information'!$O$1:$O$3</definedName>
    <definedName name="Sec26Q">'[1]General Information'!$P$1:$P$19</definedName>
    <definedName name="Sec27EQ">'[1]General Information'!$R$1:$R$14</definedName>
    <definedName name="Sec27Q">'[1]General Information'!$Q$1:$Q$13</definedName>
  </definedNames>
  <calcPr calcId="162913"/>
  <fileRecoveryPr repairLoad="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77" i="111" l="1"/>
  <c r="J128" i="1"/>
  <c r="O152" i="1"/>
  <c r="G126" i="1" l="1"/>
  <c r="G127" i="1"/>
  <c r="F127" i="1"/>
  <c r="E127" i="1"/>
  <c r="F126" i="1"/>
  <c r="E125" i="1"/>
  <c r="E126" i="1"/>
  <c r="T95" i="155"/>
  <c r="H95" i="155"/>
  <c r="F90" i="155"/>
  <c r="H90" i="155" s="1"/>
  <c r="C90" i="155"/>
  <c r="C89" i="155"/>
  <c r="G84" i="155"/>
  <c r="H83" i="155"/>
  <c r="H80" i="155"/>
  <c r="H79" i="155"/>
  <c r="H77" i="155"/>
  <c r="H76" i="155"/>
  <c r="H75" i="155"/>
  <c r="H74" i="155"/>
  <c r="H73" i="155"/>
  <c r="H72" i="155"/>
  <c r="N49" i="155"/>
  <c r="M49" i="155"/>
  <c r="L49" i="155"/>
  <c r="K49" i="155"/>
  <c r="J49" i="155"/>
  <c r="I49" i="155"/>
  <c r="H49" i="155"/>
  <c r="G49" i="155"/>
  <c r="F49" i="155"/>
  <c r="E49" i="155"/>
  <c r="D49" i="155"/>
  <c r="C49" i="155"/>
  <c r="O49" i="155" s="1"/>
  <c r="O48" i="155"/>
  <c r="O47" i="155"/>
  <c r="G70" i="155" s="1"/>
  <c r="H70" i="155" s="1"/>
  <c r="O46" i="155"/>
  <c r="O45" i="155"/>
  <c r="O44" i="155"/>
  <c r="G56" i="155" s="1"/>
  <c r="O43" i="155"/>
  <c r="G69" i="155" s="1"/>
  <c r="O42" i="155"/>
  <c r="O73" i="155" s="1"/>
  <c r="O41" i="155"/>
  <c r="O40" i="155"/>
  <c r="G71" i="155" s="1"/>
  <c r="H71" i="155" s="1"/>
  <c r="O39" i="155"/>
  <c r="O38" i="155"/>
  <c r="G99" i="155" s="1"/>
  <c r="H37" i="155"/>
  <c r="H50" i="155" s="1"/>
  <c r="C37" i="155"/>
  <c r="K36" i="155"/>
  <c r="L36" i="155" s="1"/>
  <c r="M36" i="155" s="1"/>
  <c r="N36" i="155" s="1"/>
  <c r="G36" i="155"/>
  <c r="F36" i="155"/>
  <c r="T35" i="155"/>
  <c r="I35" i="155"/>
  <c r="J35" i="155" s="1"/>
  <c r="K35" i="155" s="1"/>
  <c r="L35" i="155" s="1"/>
  <c r="M35" i="155" s="1"/>
  <c r="N35" i="155" s="1"/>
  <c r="D35" i="155"/>
  <c r="E35" i="155" s="1"/>
  <c r="T34" i="155"/>
  <c r="T36" i="155" s="1"/>
  <c r="I34" i="155"/>
  <c r="J34" i="155" s="1"/>
  <c r="K34" i="155" s="1"/>
  <c r="L34" i="155" s="1"/>
  <c r="M34" i="155" s="1"/>
  <c r="N34" i="155" s="1"/>
  <c r="F34" i="155"/>
  <c r="G34" i="155" s="1"/>
  <c r="E34" i="155"/>
  <c r="D34" i="155"/>
  <c r="J33" i="155"/>
  <c r="K33" i="155" s="1"/>
  <c r="L33" i="155" s="1"/>
  <c r="M33" i="155" s="1"/>
  <c r="N33" i="155" s="1"/>
  <c r="I33" i="155"/>
  <c r="E33" i="155"/>
  <c r="F33" i="155" s="1"/>
  <c r="G33" i="155" s="1"/>
  <c r="D33" i="155"/>
  <c r="I32" i="155"/>
  <c r="J32" i="155" s="1"/>
  <c r="K32" i="155" s="1"/>
  <c r="L32" i="155" s="1"/>
  <c r="M32" i="155" s="1"/>
  <c r="N32" i="155" s="1"/>
  <c r="D32" i="155"/>
  <c r="I31" i="155"/>
  <c r="J31" i="155" s="1"/>
  <c r="K31" i="155" s="1"/>
  <c r="L31" i="155" s="1"/>
  <c r="M31" i="155" s="1"/>
  <c r="N31" i="155" s="1"/>
  <c r="G31" i="155"/>
  <c r="D31" i="155"/>
  <c r="I30" i="155"/>
  <c r="J30" i="155" s="1"/>
  <c r="K30" i="155" s="1"/>
  <c r="L30" i="155" s="1"/>
  <c r="M30" i="155" s="1"/>
  <c r="N30" i="155" s="1"/>
  <c r="D30" i="155"/>
  <c r="I29" i="155"/>
  <c r="J29" i="155" s="1"/>
  <c r="K29" i="155" s="1"/>
  <c r="L29" i="155" s="1"/>
  <c r="M29" i="155" s="1"/>
  <c r="N29" i="155" s="1"/>
  <c r="D29" i="155"/>
  <c r="K28" i="155"/>
  <c r="L28" i="155" s="1"/>
  <c r="M28" i="155" s="1"/>
  <c r="N28" i="155" s="1"/>
  <c r="J28" i="155"/>
  <c r="I28" i="155"/>
  <c r="F28" i="155"/>
  <c r="G28" i="155" s="1"/>
  <c r="E28" i="155"/>
  <c r="D28" i="155"/>
  <c r="J27" i="155"/>
  <c r="K27" i="155" s="1"/>
  <c r="L27" i="155" s="1"/>
  <c r="M27" i="155" s="1"/>
  <c r="N27" i="155" s="1"/>
  <c r="I27" i="155"/>
  <c r="E27" i="155"/>
  <c r="F27" i="155" s="1"/>
  <c r="G27" i="155" s="1"/>
  <c r="D27" i="155"/>
  <c r="O27" i="155" s="1"/>
  <c r="I26" i="155"/>
  <c r="J26" i="155" s="1"/>
  <c r="K26" i="155" s="1"/>
  <c r="L26" i="155" s="1"/>
  <c r="M26" i="155" s="1"/>
  <c r="N26" i="155" s="1"/>
  <c r="D26" i="155"/>
  <c r="L25" i="155"/>
  <c r="M25" i="155" s="1"/>
  <c r="N25" i="155" s="1"/>
  <c r="K25" i="155"/>
  <c r="J25" i="155"/>
  <c r="I25" i="155"/>
  <c r="D25" i="155"/>
  <c r="I24" i="155"/>
  <c r="J24" i="155" s="1"/>
  <c r="K24" i="155" s="1"/>
  <c r="L24" i="155" s="1"/>
  <c r="M24" i="155" s="1"/>
  <c r="N24" i="155" s="1"/>
  <c r="F24" i="155"/>
  <c r="G24" i="155" s="1"/>
  <c r="E24" i="155"/>
  <c r="D24" i="155"/>
  <c r="N23" i="155"/>
  <c r="J23" i="155"/>
  <c r="K23" i="155" s="1"/>
  <c r="L23" i="155" s="1"/>
  <c r="M23" i="155" s="1"/>
  <c r="I23" i="155"/>
  <c r="E23" i="155"/>
  <c r="F23" i="155" s="1"/>
  <c r="G23" i="155" s="1"/>
  <c r="D23" i="155"/>
  <c r="O23" i="155" s="1"/>
  <c r="M22" i="155"/>
  <c r="N22" i="155" s="1"/>
  <c r="L22" i="155"/>
  <c r="I22" i="155"/>
  <c r="F22" i="155"/>
  <c r="G22" i="155" s="1"/>
  <c r="E22" i="155"/>
  <c r="D22" i="155"/>
  <c r="J21" i="155"/>
  <c r="K21" i="155" s="1"/>
  <c r="L21" i="155" s="1"/>
  <c r="M21" i="155" s="1"/>
  <c r="N21" i="155" s="1"/>
  <c r="I21" i="155"/>
  <c r="E21" i="155"/>
  <c r="F21" i="155" s="1"/>
  <c r="G21" i="155" s="1"/>
  <c r="D21" i="155"/>
  <c r="M20" i="155"/>
  <c r="N20" i="155" s="1"/>
  <c r="I20" i="155"/>
  <c r="J20" i="155" s="1"/>
  <c r="K20" i="155" s="1"/>
  <c r="L20" i="155" s="1"/>
  <c r="G20" i="155"/>
  <c r="D20" i="155"/>
  <c r="O19" i="155"/>
  <c r="I18" i="155"/>
  <c r="J18" i="155" s="1"/>
  <c r="K18" i="155" s="1"/>
  <c r="L18" i="155" s="1"/>
  <c r="M18" i="155" s="1"/>
  <c r="N18" i="155" s="1"/>
  <c r="F18" i="155"/>
  <c r="G18" i="155" s="1"/>
  <c r="D18" i="155"/>
  <c r="E18" i="155" s="1"/>
  <c r="J17" i="155"/>
  <c r="K17" i="155" s="1"/>
  <c r="L17" i="155" s="1"/>
  <c r="M17" i="155" s="1"/>
  <c r="N17" i="155" s="1"/>
  <c r="I17" i="155"/>
  <c r="E17" i="155"/>
  <c r="F17" i="155" s="1"/>
  <c r="G17" i="155" s="1"/>
  <c r="D17" i="155"/>
  <c r="I16" i="155"/>
  <c r="J16" i="155" s="1"/>
  <c r="K16" i="155" s="1"/>
  <c r="L16" i="155" s="1"/>
  <c r="M16" i="155" s="1"/>
  <c r="N16" i="155" s="1"/>
  <c r="D16" i="155"/>
  <c r="I15" i="155"/>
  <c r="J15" i="155" s="1"/>
  <c r="K15" i="155" s="1"/>
  <c r="L15" i="155" s="1"/>
  <c r="M15" i="155" s="1"/>
  <c r="N15" i="155" s="1"/>
  <c r="D15" i="155"/>
  <c r="O14" i="155"/>
  <c r="I13" i="155"/>
  <c r="J13" i="155" s="1"/>
  <c r="K13" i="155" s="1"/>
  <c r="L13" i="155" s="1"/>
  <c r="M13" i="155" s="1"/>
  <c r="N13" i="155" s="1"/>
  <c r="D13" i="155"/>
  <c r="K12" i="155"/>
  <c r="L12" i="155" s="1"/>
  <c r="M12" i="155" s="1"/>
  <c r="N12" i="155" s="1"/>
  <c r="I12" i="155"/>
  <c r="J12" i="155" s="1"/>
  <c r="D12" i="155"/>
  <c r="E12" i="155" s="1"/>
  <c r="O11" i="155"/>
  <c r="I10" i="155"/>
  <c r="J10" i="155" s="1"/>
  <c r="K10" i="155" s="1"/>
  <c r="F10" i="155"/>
  <c r="E10" i="155"/>
  <c r="D10" i="155"/>
  <c r="D37" i="155" s="1"/>
  <c r="D50" i="155" s="1"/>
  <c r="O9" i="155"/>
  <c r="A8" i="155"/>
  <c r="H94" i="154"/>
  <c r="C89" i="154"/>
  <c r="C88" i="154"/>
  <c r="H76" i="154"/>
  <c r="H75" i="154"/>
  <c r="H74" i="154"/>
  <c r="H73" i="154"/>
  <c r="H71" i="154"/>
  <c r="G69" i="154"/>
  <c r="H69" i="154" s="1"/>
  <c r="Q50" i="154"/>
  <c r="L50" i="154"/>
  <c r="H50" i="154"/>
  <c r="D50" i="154"/>
  <c r="N49" i="154"/>
  <c r="M49" i="154"/>
  <c r="L49" i="154"/>
  <c r="K49" i="154"/>
  <c r="J49" i="154"/>
  <c r="I49" i="154"/>
  <c r="H49" i="154"/>
  <c r="G49" i="154"/>
  <c r="F49" i="154"/>
  <c r="E49" i="154"/>
  <c r="D49" i="154"/>
  <c r="C49" i="154"/>
  <c r="O49" i="154" s="1"/>
  <c r="O47" i="154"/>
  <c r="O46" i="154"/>
  <c r="O45" i="154"/>
  <c r="O44" i="154"/>
  <c r="O43" i="154"/>
  <c r="G68" i="154" s="1"/>
  <c r="O42" i="154"/>
  <c r="G78" i="154" s="1"/>
  <c r="O41" i="154"/>
  <c r="O40" i="154"/>
  <c r="G70" i="154" s="1"/>
  <c r="H70" i="154" s="1"/>
  <c r="O39" i="154"/>
  <c r="O38" i="154"/>
  <c r="G98" i="154" s="1"/>
  <c r="N37" i="154"/>
  <c r="J88" i="154" s="1"/>
  <c r="M37" i="154"/>
  <c r="M50" i="154" s="1"/>
  <c r="L37" i="154"/>
  <c r="K37" i="154"/>
  <c r="K50" i="154" s="1"/>
  <c r="J37" i="154"/>
  <c r="J87" i="154" s="1"/>
  <c r="I37" i="154"/>
  <c r="I50" i="154" s="1"/>
  <c r="H37" i="154"/>
  <c r="G37" i="154"/>
  <c r="G50" i="154" s="1"/>
  <c r="F37" i="154"/>
  <c r="F50" i="154" s="1"/>
  <c r="E37" i="154"/>
  <c r="E50" i="154" s="1"/>
  <c r="D37" i="154"/>
  <c r="C37" i="154"/>
  <c r="C50" i="154" s="1"/>
  <c r="O36" i="154"/>
  <c r="O35" i="154"/>
  <c r="O34" i="154"/>
  <c r="O33" i="154"/>
  <c r="O32" i="154"/>
  <c r="O31" i="154"/>
  <c r="O30" i="154"/>
  <c r="O29" i="154"/>
  <c r="O28" i="154"/>
  <c r="O27" i="154"/>
  <c r="O26" i="154"/>
  <c r="O25" i="154"/>
  <c r="O24" i="154"/>
  <c r="O23" i="154"/>
  <c r="O22" i="154"/>
  <c r="O21" i="154"/>
  <c r="O20" i="154"/>
  <c r="O19" i="154"/>
  <c r="O18" i="154"/>
  <c r="O17" i="154"/>
  <c r="Q38" i="154" s="1"/>
  <c r="Q39" i="154" s="1"/>
  <c r="O16" i="154"/>
  <c r="O15" i="154"/>
  <c r="O14" i="154"/>
  <c r="O13" i="154"/>
  <c r="O12" i="154"/>
  <c r="O11" i="154"/>
  <c r="O10" i="154"/>
  <c r="O9" i="154"/>
  <c r="G53" i="90"/>
  <c r="T53" i="90"/>
  <c r="K37" i="155" l="1"/>
  <c r="K50" i="155" s="1"/>
  <c r="L10" i="155"/>
  <c r="O18" i="155"/>
  <c r="F12" i="155"/>
  <c r="G12" i="155" s="1"/>
  <c r="O17" i="155"/>
  <c r="O22" i="155"/>
  <c r="O24" i="155"/>
  <c r="O31" i="155"/>
  <c r="E16" i="155"/>
  <c r="F16" i="155" s="1"/>
  <c r="G16" i="155" s="1"/>
  <c r="O25" i="155"/>
  <c r="O33" i="155"/>
  <c r="O36" i="155"/>
  <c r="O30" i="155"/>
  <c r="F35" i="155"/>
  <c r="G35" i="155" s="1"/>
  <c r="G10" i="155"/>
  <c r="J37" i="155"/>
  <c r="O20" i="155"/>
  <c r="O21" i="155"/>
  <c r="H78" i="155"/>
  <c r="H84" i="155" s="1"/>
  <c r="G78" i="155"/>
  <c r="H69" i="155"/>
  <c r="O28" i="155"/>
  <c r="O34" i="155"/>
  <c r="E26" i="155"/>
  <c r="F26" i="155" s="1"/>
  <c r="G26" i="155" s="1"/>
  <c r="E30" i="155"/>
  <c r="F30" i="155" s="1"/>
  <c r="G30" i="155" s="1"/>
  <c r="E32" i="155"/>
  <c r="F32" i="155" s="1"/>
  <c r="G32" i="155" s="1"/>
  <c r="E13" i="155"/>
  <c r="F13" i="155" s="1"/>
  <c r="G13" i="155" s="1"/>
  <c r="E15" i="155"/>
  <c r="F15" i="155" s="1"/>
  <c r="G15" i="155" s="1"/>
  <c r="E25" i="155"/>
  <c r="F25" i="155" s="1"/>
  <c r="G25" i="155" s="1"/>
  <c r="E29" i="155"/>
  <c r="F29" i="155" s="1"/>
  <c r="G29" i="155" s="1"/>
  <c r="I37" i="155"/>
  <c r="I50" i="155" s="1"/>
  <c r="C50" i="155"/>
  <c r="H77" i="154"/>
  <c r="H68" i="154"/>
  <c r="G77" i="154"/>
  <c r="G83" i="154"/>
  <c r="H78" i="154"/>
  <c r="O37" i="154"/>
  <c r="G53" i="154" s="1"/>
  <c r="G59" i="154" s="1"/>
  <c r="G64" i="154" s="1"/>
  <c r="J51" i="154"/>
  <c r="J52" i="154" s="1"/>
  <c r="O72" i="154"/>
  <c r="J85" i="154"/>
  <c r="J89" i="154" s="1"/>
  <c r="J50" i="154"/>
  <c r="N50" i="154"/>
  <c r="O50" i="154" s="1"/>
  <c r="J86" i="154"/>
  <c r="F37" i="155" l="1"/>
  <c r="F50" i="155" s="1"/>
  <c r="O12" i="155"/>
  <c r="O32" i="155"/>
  <c r="J51" i="155"/>
  <c r="J52" i="155" s="1"/>
  <c r="J50" i="155"/>
  <c r="O16" i="155"/>
  <c r="M10" i="155"/>
  <c r="L37" i="155"/>
  <c r="L50" i="155" s="1"/>
  <c r="O26" i="155"/>
  <c r="O35" i="155"/>
  <c r="O15" i="155"/>
  <c r="O29" i="155"/>
  <c r="O13" i="155"/>
  <c r="G37" i="155"/>
  <c r="E37" i="155"/>
  <c r="H83" i="154"/>
  <c r="G94" i="154"/>
  <c r="G85" i="154"/>
  <c r="E50" i="155" l="1"/>
  <c r="J86" i="155"/>
  <c r="J87" i="155"/>
  <c r="G50" i="155"/>
  <c r="J88" i="155"/>
  <c r="N10" i="155"/>
  <c r="M37" i="155"/>
  <c r="J92" i="154"/>
  <c r="G88" i="154"/>
  <c r="J90" i="154"/>
  <c r="J91" i="154" s="1"/>
  <c r="F88" i="154"/>
  <c r="H88" i="154" s="1"/>
  <c r="O50" i="155" l="1"/>
  <c r="M50" i="155"/>
  <c r="N37" i="155"/>
  <c r="N50" i="155" s="1"/>
  <c r="O10" i="155"/>
  <c r="F89" i="154"/>
  <c r="H89" i="154" s="1"/>
  <c r="Q35" i="155" l="1"/>
  <c r="Q36" i="155" s="1"/>
  <c r="T96" i="155"/>
  <c r="Q37" i="155"/>
  <c r="T94" i="155"/>
  <c r="J89" i="155"/>
  <c r="O37" i="155"/>
  <c r="G53" i="155" s="1"/>
  <c r="G60" i="155" s="1"/>
  <c r="G65" i="155" s="1"/>
  <c r="G89" i="154"/>
  <c r="G95" i="155" l="1"/>
  <c r="G86" i="155"/>
  <c r="L89" i="155"/>
  <c r="J90" i="155"/>
  <c r="F90" i="154"/>
  <c r="H90" i="154" s="1"/>
  <c r="G54" i="91"/>
  <c r="J91" i="155" l="1"/>
  <c r="J92" i="155" s="1"/>
  <c r="G89" i="155"/>
  <c r="G90" i="155" s="1"/>
  <c r="F89" i="155"/>
  <c r="H89" i="155" s="1"/>
  <c r="G90" i="154"/>
  <c r="O37" i="27"/>
  <c r="F91" i="155" l="1"/>
  <c r="H91" i="155" s="1"/>
  <c r="F91" i="154"/>
  <c r="H91" i="154" s="1"/>
  <c r="G93" i="154" s="1"/>
  <c r="G95" i="154" s="1"/>
  <c r="H83" i="32"/>
  <c r="G85" i="32" s="1"/>
  <c r="G91" i="155" l="1"/>
  <c r="G96" i="154"/>
  <c r="G97" i="154"/>
  <c r="G99" i="154" s="1"/>
  <c r="B99" i="154" s="1"/>
  <c r="G91" i="154"/>
  <c r="F3" i="1"/>
  <c r="E3" i="1"/>
  <c r="N4" i="1"/>
  <c r="O4" i="1" s="1"/>
  <c r="N5" i="1"/>
  <c r="O5" i="1" s="1"/>
  <c r="N6" i="1"/>
  <c r="O6" i="1" s="1"/>
  <c r="N7" i="1"/>
  <c r="O7" i="1" s="1"/>
  <c r="N9" i="1"/>
  <c r="O9" i="1" s="1"/>
  <c r="N10" i="1"/>
  <c r="O10" i="1" s="1"/>
  <c r="O11" i="1"/>
  <c r="N12" i="1"/>
  <c r="O12" i="1" s="1"/>
  <c r="N13" i="1"/>
  <c r="O13" i="1" s="1"/>
  <c r="N14" i="1"/>
  <c r="O14" i="1" s="1"/>
  <c r="N15" i="1"/>
  <c r="O15" i="1" s="1"/>
  <c r="N16" i="1"/>
  <c r="O16" i="1" s="1"/>
  <c r="N17" i="1"/>
  <c r="O17" i="1" s="1"/>
  <c r="N18" i="1"/>
  <c r="O18" i="1" s="1"/>
  <c r="O19" i="1"/>
  <c r="N20" i="1"/>
  <c r="O20" i="1" s="1"/>
  <c r="N21" i="1"/>
  <c r="O21" i="1" s="1"/>
  <c r="N22" i="1"/>
  <c r="O22" i="1" s="1"/>
  <c r="N23" i="1"/>
  <c r="O23" i="1" s="1"/>
  <c r="N24" i="1"/>
  <c r="O24" i="1" s="1"/>
  <c r="N25" i="1"/>
  <c r="O25" i="1" s="1"/>
  <c r="N26" i="1"/>
  <c r="O26" i="1" s="1"/>
  <c r="N27" i="1"/>
  <c r="O27" i="1" s="1"/>
  <c r="N28" i="1"/>
  <c r="O28" i="1" s="1"/>
  <c r="N29" i="1"/>
  <c r="O29" i="1" s="1"/>
  <c r="N30" i="1"/>
  <c r="O30" i="1" s="1"/>
  <c r="N31" i="1"/>
  <c r="O31" i="1" s="1"/>
  <c r="N32" i="1"/>
  <c r="O32" i="1" s="1"/>
  <c r="N33" i="1"/>
  <c r="O33" i="1" s="1"/>
  <c r="N34" i="1"/>
  <c r="O34" i="1" s="1"/>
  <c r="O35" i="1"/>
  <c r="N36" i="1"/>
  <c r="O36" i="1" s="1"/>
  <c r="N37" i="1"/>
  <c r="O37" i="1" s="1"/>
  <c r="N38" i="1"/>
  <c r="O38" i="1" s="1"/>
  <c r="N39" i="1"/>
  <c r="O39" i="1" s="1"/>
  <c r="N40" i="1"/>
  <c r="O40" i="1" s="1"/>
  <c r="N41" i="1"/>
  <c r="O41" i="1" s="1"/>
  <c r="N42" i="1"/>
  <c r="O42" i="1" s="1"/>
  <c r="O43" i="1"/>
  <c r="N45" i="1"/>
  <c r="O45" i="1" s="1"/>
  <c r="N46" i="1"/>
  <c r="O46" i="1" s="1"/>
  <c r="N47" i="1"/>
  <c r="O47" i="1" s="1"/>
  <c r="N48" i="1"/>
  <c r="O48" i="1" s="1"/>
  <c r="N50" i="1"/>
  <c r="O50" i="1" s="1"/>
  <c r="N51" i="1"/>
  <c r="O51" i="1" s="1"/>
  <c r="N52" i="1"/>
  <c r="O52" i="1" s="1"/>
  <c r="N53" i="1"/>
  <c r="O53" i="1" s="1"/>
  <c r="N55" i="1"/>
  <c r="O55" i="1" s="1"/>
  <c r="N56" i="1"/>
  <c r="O56" i="1" s="1"/>
  <c r="N57" i="1"/>
  <c r="O57" i="1" s="1"/>
  <c r="N58" i="1"/>
  <c r="O58" i="1" s="1"/>
  <c r="N59" i="1"/>
  <c r="O59" i="1" s="1"/>
  <c r="N60" i="1"/>
  <c r="O60" i="1" s="1"/>
  <c r="N61" i="1"/>
  <c r="O61" i="1" s="1"/>
  <c r="N62" i="1"/>
  <c r="O62" i="1" s="1"/>
  <c r="N63" i="1"/>
  <c r="O63" i="1" s="1"/>
  <c r="N65" i="1"/>
  <c r="O65" i="1" s="1"/>
  <c r="N66" i="1"/>
  <c r="O66" i="1" s="1"/>
  <c r="N67" i="1"/>
  <c r="O67" i="1" s="1"/>
  <c r="N68" i="1"/>
  <c r="O68" i="1" s="1"/>
  <c r="N70" i="1"/>
  <c r="O70" i="1" s="1"/>
  <c r="N71" i="1"/>
  <c r="O71" i="1" s="1"/>
  <c r="N72" i="1"/>
  <c r="O72" i="1" s="1"/>
  <c r="N73" i="1"/>
  <c r="O73" i="1" s="1"/>
  <c r="N74" i="1"/>
  <c r="O74" i="1" s="1"/>
  <c r="O75" i="1"/>
  <c r="N76" i="1"/>
  <c r="O76" i="1" s="1"/>
  <c r="N77" i="1"/>
  <c r="O77" i="1" s="1"/>
  <c r="N78" i="1"/>
  <c r="O78" i="1" s="1"/>
  <c r="N79" i="1"/>
  <c r="O79" i="1" s="1"/>
  <c r="N80" i="1"/>
  <c r="O80" i="1" s="1"/>
  <c r="N81" i="1"/>
  <c r="O81" i="1" s="1"/>
  <c r="N82" i="1"/>
  <c r="O82" i="1" s="1"/>
  <c r="N83" i="1"/>
  <c r="O83" i="1" s="1"/>
  <c r="N85" i="1"/>
  <c r="O85" i="1" s="1"/>
  <c r="N86" i="1"/>
  <c r="O86" i="1" s="1"/>
  <c r="N87" i="1"/>
  <c r="O87" i="1" s="1"/>
  <c r="N88" i="1"/>
  <c r="O88" i="1" s="1"/>
  <c r="N89" i="1"/>
  <c r="O89" i="1" s="1"/>
  <c r="N90" i="1"/>
  <c r="O90" i="1" s="1"/>
  <c r="N91" i="1"/>
  <c r="O91" i="1" s="1"/>
  <c r="N93" i="1"/>
  <c r="O93" i="1" s="1"/>
  <c r="N94" i="1"/>
  <c r="O94" i="1" s="1"/>
  <c r="N95" i="1"/>
  <c r="O95" i="1" s="1"/>
  <c r="N96" i="1"/>
  <c r="O96" i="1" s="1"/>
  <c r="N97" i="1"/>
  <c r="O97" i="1" s="1"/>
  <c r="N98" i="1"/>
  <c r="O98" i="1" s="1"/>
  <c r="N99" i="1"/>
  <c r="O99" i="1" s="1"/>
  <c r="N100" i="1"/>
  <c r="O100" i="1" s="1"/>
  <c r="N101" i="1"/>
  <c r="O101" i="1" s="1"/>
  <c r="N102" i="1"/>
  <c r="O102" i="1" s="1"/>
  <c r="N103" i="1"/>
  <c r="O103" i="1" s="1"/>
  <c r="N104" i="1"/>
  <c r="O104" i="1" s="1"/>
  <c r="N105" i="1"/>
  <c r="O105" i="1" s="1"/>
  <c r="N106" i="1"/>
  <c r="O106" i="1" s="1"/>
  <c r="N107" i="1"/>
  <c r="O107" i="1" s="1"/>
  <c r="N108" i="1"/>
  <c r="O108" i="1" s="1"/>
  <c r="N109" i="1"/>
  <c r="O109" i="1" s="1"/>
  <c r="N110" i="1"/>
  <c r="O110" i="1" s="1"/>
  <c r="N111" i="1"/>
  <c r="O111" i="1" s="1"/>
  <c r="N113" i="1"/>
  <c r="O113" i="1" s="1"/>
  <c r="N114" i="1"/>
  <c r="O114" i="1" s="1"/>
  <c r="N115" i="1"/>
  <c r="O115" i="1" s="1"/>
  <c r="N116" i="1"/>
  <c r="O116" i="1" s="1"/>
  <c r="N117" i="1"/>
  <c r="O117" i="1" s="1"/>
  <c r="N119" i="1"/>
  <c r="O119" i="1" s="1"/>
  <c r="N120" i="1"/>
  <c r="O120" i="1" s="1"/>
  <c r="N121" i="1"/>
  <c r="O121" i="1" s="1"/>
  <c r="N122" i="1"/>
  <c r="O122" i="1" s="1"/>
  <c r="N123" i="1"/>
  <c r="O123" i="1" s="1"/>
  <c r="N125" i="1"/>
  <c r="O125" i="1" s="1"/>
  <c r="N126" i="1"/>
  <c r="O126" i="1" s="1"/>
  <c r="N127" i="1"/>
  <c r="O127" i="1" s="1"/>
  <c r="O3" i="1"/>
  <c r="O128" i="1" s="1"/>
  <c r="P128" i="1" s="1"/>
  <c r="O8" i="1"/>
  <c r="O44" i="1"/>
  <c r="O49" i="1"/>
  <c r="O54" i="1"/>
  <c r="O64" i="1"/>
  <c r="O69" i="1"/>
  <c r="O84" i="1"/>
  <c r="O92" i="1"/>
  <c r="O112" i="1"/>
  <c r="O118" i="1"/>
  <c r="O124" i="1"/>
  <c r="E424" i="153"/>
  <c r="N152" i="1" s="1"/>
  <c r="F423" i="153"/>
  <c r="F422" i="153"/>
  <c r="F421" i="153"/>
  <c r="F420" i="153"/>
  <c r="F419" i="153"/>
  <c r="F418" i="153"/>
  <c r="F417" i="153"/>
  <c r="F416" i="153"/>
  <c r="F415" i="153"/>
  <c r="F414" i="153"/>
  <c r="F413" i="153"/>
  <c r="F412" i="153"/>
  <c r="F411" i="153"/>
  <c r="F410" i="153"/>
  <c r="F409" i="153"/>
  <c r="F408" i="153"/>
  <c r="F407" i="153"/>
  <c r="F406" i="153"/>
  <c r="F405" i="153"/>
  <c r="F404" i="153"/>
  <c r="F403" i="153"/>
  <c r="F402" i="153"/>
  <c r="F401" i="153"/>
  <c r="F400" i="153"/>
  <c r="F399" i="153"/>
  <c r="F398" i="153"/>
  <c r="F397" i="153"/>
  <c r="F396" i="153"/>
  <c r="F395" i="153"/>
  <c r="F394" i="153"/>
  <c r="F393" i="153"/>
  <c r="F392" i="153"/>
  <c r="F391" i="153"/>
  <c r="F390" i="153"/>
  <c r="F389" i="153"/>
  <c r="F388" i="153"/>
  <c r="F387" i="153"/>
  <c r="F386" i="153"/>
  <c r="F385" i="153"/>
  <c r="F384" i="153"/>
  <c r="F383" i="153"/>
  <c r="F382" i="153"/>
  <c r="F381" i="153"/>
  <c r="F380" i="153"/>
  <c r="F379" i="153"/>
  <c r="F378" i="153"/>
  <c r="F377" i="153"/>
  <c r="F376" i="153"/>
  <c r="F375" i="153"/>
  <c r="F374" i="153"/>
  <c r="F373" i="153"/>
  <c r="F372" i="153"/>
  <c r="F371" i="153"/>
  <c r="F370" i="153"/>
  <c r="F369" i="153"/>
  <c r="F368" i="153"/>
  <c r="F367" i="153"/>
  <c r="F366" i="153"/>
  <c r="F365" i="153"/>
  <c r="F364" i="153"/>
  <c r="F363" i="153"/>
  <c r="F362" i="153"/>
  <c r="F361" i="153"/>
  <c r="F360" i="153"/>
  <c r="F359" i="153"/>
  <c r="F358" i="153"/>
  <c r="F357" i="153"/>
  <c r="F356" i="153"/>
  <c r="F355" i="153"/>
  <c r="F354" i="153"/>
  <c r="F353" i="153"/>
  <c r="F352" i="153"/>
  <c r="F351" i="153"/>
  <c r="F350" i="153"/>
  <c r="F349" i="153"/>
  <c r="F348" i="153"/>
  <c r="F347" i="153"/>
  <c r="F346" i="153"/>
  <c r="F345" i="153"/>
  <c r="F344" i="153"/>
  <c r="F343" i="153"/>
  <c r="F342" i="153"/>
  <c r="F341" i="153"/>
  <c r="F340" i="153"/>
  <c r="F339" i="153"/>
  <c r="F338" i="153"/>
  <c r="F337" i="153"/>
  <c r="F336" i="153"/>
  <c r="F335" i="153"/>
  <c r="F334" i="153"/>
  <c r="F333" i="153"/>
  <c r="F332" i="153"/>
  <c r="F331" i="153"/>
  <c r="F330" i="153"/>
  <c r="F329" i="153"/>
  <c r="F328" i="153"/>
  <c r="F327" i="153"/>
  <c r="F326" i="153"/>
  <c r="F325" i="153"/>
  <c r="F324" i="153"/>
  <c r="F323" i="153"/>
  <c r="F322" i="153"/>
  <c r="F321" i="153"/>
  <c r="F320" i="153"/>
  <c r="F319" i="153"/>
  <c r="F318" i="153"/>
  <c r="F317" i="153"/>
  <c r="F316" i="153"/>
  <c r="E313" i="153"/>
  <c r="D313" i="153"/>
  <c r="E310" i="153"/>
  <c r="D310" i="153"/>
  <c r="E307" i="153"/>
  <c r="D307" i="153"/>
  <c r="E304" i="153"/>
  <c r="D304" i="153"/>
  <c r="E302" i="153"/>
  <c r="D302" i="153"/>
  <c r="E299" i="153"/>
  <c r="D299" i="153"/>
  <c r="E296" i="153"/>
  <c r="D296" i="153"/>
  <c r="E293" i="153"/>
  <c r="D293" i="153"/>
  <c r="E290" i="153"/>
  <c r="D290" i="153"/>
  <c r="E287" i="153"/>
  <c r="D287" i="153"/>
  <c r="E285" i="153"/>
  <c r="D285" i="153"/>
  <c r="E282" i="153"/>
  <c r="D282" i="153"/>
  <c r="E279" i="153"/>
  <c r="D279" i="153"/>
  <c r="E276" i="153"/>
  <c r="D276" i="153"/>
  <c r="E274" i="153"/>
  <c r="D274" i="153"/>
  <c r="E271" i="153"/>
  <c r="D271" i="153"/>
  <c r="E269" i="153"/>
  <c r="D269" i="153"/>
  <c r="E266" i="153"/>
  <c r="D266" i="153"/>
  <c r="E263" i="153"/>
  <c r="D263" i="153"/>
  <c r="E260" i="153"/>
  <c r="D260" i="153"/>
  <c r="E257" i="153"/>
  <c r="D257" i="153"/>
  <c r="E254" i="153"/>
  <c r="D254" i="153"/>
  <c r="E251" i="153"/>
  <c r="D251" i="153"/>
  <c r="E248" i="153"/>
  <c r="D248" i="153"/>
  <c r="E246" i="153"/>
  <c r="D246" i="153"/>
  <c r="E244" i="153"/>
  <c r="D244" i="153"/>
  <c r="E241" i="153"/>
  <c r="D241" i="153"/>
  <c r="E238" i="153"/>
  <c r="D238" i="153"/>
  <c r="E235" i="153"/>
  <c r="D235" i="153"/>
  <c r="E232" i="153"/>
  <c r="D232" i="153"/>
  <c r="E229" i="153"/>
  <c r="D229" i="153"/>
  <c r="E226" i="153"/>
  <c r="D226" i="153"/>
  <c r="E223" i="153"/>
  <c r="D223" i="153"/>
  <c r="E220" i="153"/>
  <c r="D220" i="153"/>
  <c r="E217" i="153"/>
  <c r="D217" i="153"/>
  <c r="E214" i="153"/>
  <c r="D214" i="153"/>
  <c r="E211" i="153"/>
  <c r="D211" i="153"/>
  <c r="E208" i="153"/>
  <c r="D208" i="153"/>
  <c r="E205" i="153"/>
  <c r="D205" i="153"/>
  <c r="E202" i="153"/>
  <c r="D202" i="153"/>
  <c r="E200" i="153"/>
  <c r="D200" i="153"/>
  <c r="E197" i="153"/>
  <c r="D197" i="153"/>
  <c r="E195" i="153"/>
  <c r="D195" i="153"/>
  <c r="E192" i="153"/>
  <c r="D192" i="153"/>
  <c r="E189" i="153"/>
  <c r="D189" i="153"/>
  <c r="E186" i="153"/>
  <c r="D186" i="153"/>
  <c r="E183" i="153"/>
  <c r="D183" i="153"/>
  <c r="E180" i="153"/>
  <c r="D180" i="153"/>
  <c r="E177" i="153"/>
  <c r="D177" i="153"/>
  <c r="E174" i="153"/>
  <c r="D174" i="153"/>
  <c r="E171" i="153"/>
  <c r="D171" i="153"/>
  <c r="E168" i="153"/>
  <c r="D168" i="153"/>
  <c r="E165" i="153"/>
  <c r="D165" i="153"/>
  <c r="E162" i="153"/>
  <c r="D162" i="153"/>
  <c r="E159" i="153"/>
  <c r="D159" i="153"/>
  <c r="E156" i="153"/>
  <c r="D156" i="153"/>
  <c r="E153" i="153"/>
  <c r="D153" i="153"/>
  <c r="E150" i="153"/>
  <c r="D150" i="153"/>
  <c r="E147" i="153"/>
  <c r="D147" i="153"/>
  <c r="E144" i="153"/>
  <c r="D144" i="153"/>
  <c r="E141" i="153"/>
  <c r="D141" i="153"/>
  <c r="E138" i="153"/>
  <c r="D138" i="153"/>
  <c r="E135" i="153"/>
  <c r="D135" i="153"/>
  <c r="E132" i="153"/>
  <c r="D132" i="153"/>
  <c r="E129" i="153"/>
  <c r="D129" i="153"/>
  <c r="E126" i="153"/>
  <c r="D126" i="153"/>
  <c r="E123" i="153"/>
  <c r="D123" i="153"/>
  <c r="E120" i="153"/>
  <c r="D120" i="153"/>
  <c r="E117" i="153"/>
  <c r="D117" i="153"/>
  <c r="E114" i="153"/>
  <c r="D114" i="153"/>
  <c r="E111" i="153"/>
  <c r="D111" i="153"/>
  <c r="E108" i="153"/>
  <c r="D108" i="153"/>
  <c r="E105" i="153"/>
  <c r="D105" i="153"/>
  <c r="E102" i="153"/>
  <c r="D102" i="153"/>
  <c r="E99" i="153"/>
  <c r="D99" i="153"/>
  <c r="E96" i="153"/>
  <c r="D96" i="153"/>
  <c r="E94" i="153"/>
  <c r="D94" i="153"/>
  <c r="E91" i="153"/>
  <c r="D91" i="153"/>
  <c r="E88" i="153"/>
  <c r="D88" i="153"/>
  <c r="E85" i="153"/>
  <c r="D85" i="153"/>
  <c r="E83" i="153"/>
  <c r="D83" i="153"/>
  <c r="E80" i="153"/>
  <c r="D80" i="153"/>
  <c r="E77" i="153"/>
  <c r="D77" i="153"/>
  <c r="E74" i="153"/>
  <c r="D74" i="153"/>
  <c r="E71" i="153"/>
  <c r="D71" i="153"/>
  <c r="E68" i="153"/>
  <c r="D68" i="153"/>
  <c r="E65" i="153"/>
  <c r="D65" i="153"/>
  <c r="E62" i="153"/>
  <c r="D62" i="153"/>
  <c r="E59" i="153"/>
  <c r="D59" i="153"/>
  <c r="E56" i="153"/>
  <c r="D56" i="153"/>
  <c r="E53" i="153"/>
  <c r="D53" i="153"/>
  <c r="E50" i="153"/>
  <c r="D50" i="153"/>
  <c r="E48" i="153"/>
  <c r="D48" i="153"/>
  <c r="E45" i="153"/>
  <c r="D45" i="153"/>
  <c r="E42" i="153"/>
  <c r="D42" i="153"/>
  <c r="E39" i="153"/>
  <c r="D39" i="153"/>
  <c r="E36" i="153"/>
  <c r="D36" i="153"/>
  <c r="E33" i="153"/>
  <c r="D33" i="153"/>
  <c r="E30" i="153"/>
  <c r="D30" i="153"/>
  <c r="E27" i="153"/>
  <c r="D27" i="153"/>
  <c r="E24" i="153"/>
  <c r="D24" i="153"/>
  <c r="E21" i="153"/>
  <c r="D21" i="153"/>
  <c r="E18" i="153"/>
  <c r="D18" i="153"/>
  <c r="E15" i="153"/>
  <c r="D15" i="153"/>
  <c r="E13" i="153"/>
  <c r="D13" i="153"/>
  <c r="E10" i="153"/>
  <c r="D10" i="153"/>
  <c r="E7" i="153"/>
  <c r="D7" i="153"/>
  <c r="E4" i="153"/>
  <c r="D4" i="153"/>
  <c r="D314" i="153" s="1"/>
  <c r="F92" i="155" l="1"/>
  <c r="H92" i="155" s="1"/>
  <c r="G94" i="155" s="1"/>
  <c r="G96" i="155" s="1"/>
  <c r="E314" i="153"/>
  <c r="G97" i="155" l="1"/>
  <c r="G98" i="155" s="1"/>
  <c r="G100" i="155" s="1"/>
  <c r="B100" i="155" s="1"/>
  <c r="G92" i="155"/>
  <c r="G94" i="142"/>
  <c r="G94" i="140"/>
  <c r="G94" i="93"/>
  <c r="G95" i="69"/>
  <c r="G94" i="77"/>
  <c r="G95" i="9"/>
  <c r="G95" i="10"/>
  <c r="G94" i="11"/>
  <c r="G98" i="37"/>
  <c r="G96" i="64"/>
  <c r="G96" i="85"/>
  <c r="G96" i="128"/>
  <c r="G96" i="125"/>
  <c r="G96" i="141"/>
  <c r="G96" i="139"/>
  <c r="G96" i="138"/>
  <c r="G96" i="137"/>
  <c r="G96" i="136"/>
  <c r="G99" i="135"/>
  <c r="G96" i="118"/>
  <c r="G97" i="91"/>
  <c r="G96" i="84"/>
  <c r="G97" i="88"/>
  <c r="G96" i="87"/>
  <c r="G97" i="94"/>
  <c r="G96" i="95"/>
  <c r="G97" i="98"/>
  <c r="G96" i="99"/>
  <c r="G97" i="101"/>
  <c r="G97" i="45"/>
  <c r="G98" i="103"/>
  <c r="G97" i="104"/>
  <c r="G97" i="105"/>
  <c r="G96" i="106"/>
  <c r="G96" i="107"/>
  <c r="G96" i="109"/>
  <c r="G96" i="112"/>
  <c r="G96" i="113"/>
  <c r="G96" i="86"/>
  <c r="G96" i="115"/>
  <c r="G97" i="117"/>
  <c r="G96" i="70"/>
  <c r="G96" i="72"/>
  <c r="G96" i="73"/>
  <c r="G96" i="76"/>
  <c r="G97" i="66"/>
  <c r="G96" i="78"/>
  <c r="G96" i="79"/>
  <c r="G96" i="81"/>
  <c r="G97" i="75"/>
  <c r="G98" i="48"/>
  <c r="G97" i="49"/>
  <c r="G96" i="50"/>
  <c r="G96" i="47"/>
  <c r="G99" i="53"/>
  <c r="G96" i="56"/>
  <c r="G97" i="57"/>
  <c r="G97" i="134"/>
  <c r="G97" i="58"/>
  <c r="G98" i="59"/>
  <c r="G96" i="60"/>
  <c r="G97" i="62"/>
  <c r="G96" i="51"/>
  <c r="G96" i="65"/>
  <c r="G96" i="83"/>
  <c r="G96" i="124"/>
  <c r="G96" i="63"/>
  <c r="G97" i="13"/>
  <c r="G97" i="42"/>
  <c r="G97" i="15"/>
  <c r="G98" i="18"/>
  <c r="G96" i="19"/>
  <c r="G96" i="20"/>
  <c r="G97" i="21"/>
  <c r="G97" i="22"/>
  <c r="G97" i="23"/>
  <c r="G96" i="24"/>
  <c r="G97" i="25"/>
  <c r="G96" i="26" l="1"/>
  <c r="G96" i="129"/>
  <c r="G96" i="122"/>
  <c r="G98" i="30"/>
  <c r="G96" i="119"/>
  <c r="G96" i="120"/>
  <c r="G97" i="33"/>
  <c r="G97" i="34"/>
  <c r="G96" i="35"/>
  <c r="G99" i="38"/>
  <c r="G96" i="127"/>
  <c r="G94" i="41"/>
  <c r="C472" i="150" l="1"/>
  <c r="C473" i="150"/>
  <c r="C474" i="150"/>
  <c r="C475" i="150"/>
  <c r="C476" i="150"/>
  <c r="C477" i="150"/>
  <c r="C478" i="150"/>
  <c r="C479" i="150"/>
  <c r="C480" i="150"/>
  <c r="C481" i="150"/>
  <c r="C482" i="150"/>
  <c r="C483" i="150"/>
  <c r="C484" i="150"/>
  <c r="C485" i="150"/>
  <c r="C486" i="150"/>
  <c r="C487" i="150"/>
  <c r="C488" i="150"/>
  <c r="C489" i="150"/>
  <c r="C490" i="150"/>
  <c r="C491" i="150"/>
  <c r="C492" i="150"/>
  <c r="C493" i="150"/>
  <c r="C494" i="150"/>
  <c r="C495" i="150"/>
  <c r="C496" i="150"/>
  <c r="C497" i="150"/>
  <c r="C498" i="150"/>
  <c r="C499" i="150"/>
  <c r="C500" i="150"/>
  <c r="C501" i="150"/>
  <c r="C502" i="150"/>
  <c r="C503" i="150"/>
  <c r="C504" i="150"/>
  <c r="C505" i="150"/>
  <c r="C506" i="150"/>
  <c r="C507" i="150"/>
  <c r="C508" i="150"/>
  <c r="C509" i="150"/>
  <c r="C510" i="150"/>
  <c r="C511" i="150"/>
  <c r="C512" i="150"/>
  <c r="C513" i="150"/>
  <c r="C514" i="150"/>
  <c r="C515" i="150"/>
  <c r="C516" i="150"/>
  <c r="C517" i="150"/>
  <c r="C518" i="150"/>
  <c r="C519" i="150"/>
  <c r="C520" i="150"/>
  <c r="C521" i="150"/>
  <c r="C522" i="150"/>
  <c r="C523" i="150"/>
  <c r="C524" i="150"/>
  <c r="C525" i="150"/>
  <c r="C526" i="150"/>
  <c r="C527" i="150"/>
  <c r="C528" i="150"/>
  <c r="C529" i="150"/>
  <c r="C530" i="150"/>
  <c r="C531" i="150"/>
  <c r="C532" i="150"/>
  <c r="C533" i="150"/>
  <c r="C534" i="150"/>
  <c r="C535" i="150"/>
  <c r="C536" i="150"/>
  <c r="C537" i="150"/>
  <c r="C538" i="150"/>
  <c r="C539" i="150"/>
  <c r="C540" i="150"/>
  <c r="C541" i="150"/>
  <c r="C542" i="150"/>
  <c r="C543" i="150"/>
  <c r="C544" i="150"/>
  <c r="C545" i="150"/>
  <c r="C546" i="150"/>
  <c r="C547" i="150"/>
  <c r="C548" i="150"/>
  <c r="C549" i="150"/>
  <c r="C550" i="150"/>
  <c r="C551" i="150"/>
  <c r="C552" i="150"/>
  <c r="C553" i="150"/>
  <c r="C554" i="150"/>
  <c r="C555" i="150"/>
  <c r="C556" i="150"/>
  <c r="C557" i="150"/>
  <c r="C558" i="150"/>
  <c r="C559" i="150"/>
  <c r="C560" i="150"/>
  <c r="C561" i="150"/>
  <c r="C562" i="150"/>
  <c r="C563" i="150"/>
  <c r="C564" i="150"/>
  <c r="C565" i="150"/>
  <c r="C566" i="150"/>
  <c r="C567" i="150"/>
  <c r="C568" i="150"/>
  <c r="C569" i="150"/>
  <c r="C570" i="150"/>
  <c r="C471" i="150"/>
  <c r="E546" i="151"/>
  <c r="M152" i="1" s="1"/>
  <c r="G444" i="149"/>
  <c r="L152" i="1" s="1"/>
  <c r="F571" i="150"/>
  <c r="K152" i="1" s="1"/>
  <c r="M150" i="1"/>
  <c r="L150" i="1"/>
  <c r="K150" i="1"/>
  <c r="L154" i="1" l="1"/>
  <c r="K154" i="1"/>
  <c r="M154" i="1"/>
  <c r="F573" i="150"/>
  <c r="F75" i="1" l="1"/>
  <c r="E75" i="1"/>
  <c r="H95" i="68"/>
  <c r="C89" i="68"/>
  <c r="C88" i="68"/>
  <c r="G83" i="68"/>
  <c r="H82" i="68"/>
  <c r="H79" i="68"/>
  <c r="H78" i="68"/>
  <c r="H76" i="68"/>
  <c r="H75" i="68"/>
  <c r="H74" i="68"/>
  <c r="H73" i="68"/>
  <c r="H72" i="68"/>
  <c r="H71" i="68"/>
  <c r="H69" i="68"/>
  <c r="M51" i="68"/>
  <c r="Q50" i="68"/>
  <c r="C50" i="68"/>
  <c r="C49" i="68"/>
  <c r="M48" i="68"/>
  <c r="N48" i="68" s="1"/>
  <c r="G48" i="68"/>
  <c r="D48" i="68"/>
  <c r="D47" i="68"/>
  <c r="E47" i="68" s="1"/>
  <c r="F47" i="68" s="1"/>
  <c r="G47" i="68" s="1"/>
  <c r="H47" i="68" s="1"/>
  <c r="I47" i="68" s="1"/>
  <c r="J47" i="68" s="1"/>
  <c r="K47" i="68" s="1"/>
  <c r="L47" i="68" s="1"/>
  <c r="M47" i="68" s="1"/>
  <c r="N47" i="68" s="1"/>
  <c r="D46" i="68"/>
  <c r="E46" i="68" s="1"/>
  <c r="D45" i="68"/>
  <c r="E45" i="68" s="1"/>
  <c r="E44" i="68"/>
  <c r="D44" i="68"/>
  <c r="N43" i="68"/>
  <c r="D43" i="68"/>
  <c r="D49" i="68" s="1"/>
  <c r="O42" i="68"/>
  <c r="O72" i="68" s="1"/>
  <c r="E41" i="68"/>
  <c r="F41" i="68" s="1"/>
  <c r="G41" i="68" s="1"/>
  <c r="H41" i="68" s="1"/>
  <c r="I41" i="68" s="1"/>
  <c r="J41" i="68" s="1"/>
  <c r="K41" i="68" s="1"/>
  <c r="L41" i="68" s="1"/>
  <c r="M41" i="68" s="1"/>
  <c r="N41" i="68" s="1"/>
  <c r="D41" i="68"/>
  <c r="O41" i="68" s="1"/>
  <c r="E40" i="68"/>
  <c r="D40" i="68"/>
  <c r="O39" i="68"/>
  <c r="O38" i="68"/>
  <c r="G99" i="68" s="1"/>
  <c r="Q37" i="68"/>
  <c r="D37" i="68"/>
  <c r="C37" i="68"/>
  <c r="O36" i="68"/>
  <c r="O35" i="68"/>
  <c r="O34" i="68"/>
  <c r="O33" i="68"/>
  <c r="O32" i="68"/>
  <c r="O31" i="68"/>
  <c r="O30" i="68"/>
  <c r="O29" i="68"/>
  <c r="O28" i="68"/>
  <c r="O27" i="68"/>
  <c r="O26" i="68"/>
  <c r="O25" i="68"/>
  <c r="O24" i="68"/>
  <c r="O23" i="68"/>
  <c r="O22" i="68"/>
  <c r="O21" i="68"/>
  <c r="O20" i="68"/>
  <c r="O19" i="68"/>
  <c r="O18" i="68"/>
  <c r="O17" i="68"/>
  <c r="E16" i="68"/>
  <c r="F16" i="68" s="1"/>
  <c r="G16" i="68" s="1"/>
  <c r="D16" i="68"/>
  <c r="O15" i="68"/>
  <c r="O14" i="68"/>
  <c r="O13" i="68"/>
  <c r="O12" i="68"/>
  <c r="O11" i="68"/>
  <c r="N10" i="68"/>
  <c r="I10" i="68"/>
  <c r="D10" i="68"/>
  <c r="E10" i="68" s="1"/>
  <c r="F10" i="68" s="1"/>
  <c r="D9" i="68"/>
  <c r="E9" i="68" s="1"/>
  <c r="A8" i="68"/>
  <c r="H96" i="52"/>
  <c r="C90" i="52"/>
  <c r="C89" i="52"/>
  <c r="H83" i="52"/>
  <c r="S82" i="52"/>
  <c r="S81" i="52"/>
  <c r="O80" i="52"/>
  <c r="H80" i="52"/>
  <c r="H77" i="52"/>
  <c r="H76" i="52"/>
  <c r="H75" i="52"/>
  <c r="H74" i="52"/>
  <c r="H73" i="52"/>
  <c r="H72" i="52"/>
  <c r="H70" i="52"/>
  <c r="G69" i="52"/>
  <c r="H69" i="52" s="1"/>
  <c r="O66" i="52"/>
  <c r="M52" i="52"/>
  <c r="N50" i="52"/>
  <c r="M50" i="52"/>
  <c r="L50" i="52"/>
  <c r="K50" i="52"/>
  <c r="J50" i="52"/>
  <c r="I50" i="52"/>
  <c r="H50" i="52"/>
  <c r="G50" i="52"/>
  <c r="F50" i="52"/>
  <c r="E50" i="52"/>
  <c r="D50" i="52"/>
  <c r="C50" i="52"/>
  <c r="O49" i="52"/>
  <c r="O48" i="52"/>
  <c r="O47" i="52"/>
  <c r="O46" i="52"/>
  <c r="O45" i="52"/>
  <c r="G57" i="52" s="1"/>
  <c r="O44" i="52"/>
  <c r="O43" i="52"/>
  <c r="G79" i="52" s="1"/>
  <c r="O42" i="52"/>
  <c r="O41" i="52"/>
  <c r="G71" i="52" s="1"/>
  <c r="H71" i="52" s="1"/>
  <c r="O40" i="52"/>
  <c r="O39" i="52"/>
  <c r="G100" i="52" s="1"/>
  <c r="F58" i="1" s="1"/>
  <c r="C38" i="52"/>
  <c r="C51" i="52" s="1"/>
  <c r="N37" i="52"/>
  <c r="M37" i="52"/>
  <c r="L37" i="52"/>
  <c r="I37" i="52"/>
  <c r="O37" i="52" s="1"/>
  <c r="G37" i="52"/>
  <c r="F37" i="52"/>
  <c r="M36" i="52"/>
  <c r="N36" i="52" s="1"/>
  <c r="L36" i="52"/>
  <c r="I36" i="52"/>
  <c r="F36" i="52"/>
  <c r="L35" i="52"/>
  <c r="M35" i="52" s="1"/>
  <c r="N35" i="52" s="1"/>
  <c r="I35" i="52"/>
  <c r="J35" i="52" s="1"/>
  <c r="K35" i="52" s="1"/>
  <c r="D35" i="52"/>
  <c r="K34" i="52"/>
  <c r="L34" i="52" s="1"/>
  <c r="M34" i="52" s="1"/>
  <c r="N34" i="52" s="1"/>
  <c r="J34" i="52"/>
  <c r="I34" i="52"/>
  <c r="F34" i="52"/>
  <c r="G34" i="52" s="1"/>
  <c r="E34" i="52"/>
  <c r="D34" i="52"/>
  <c r="J33" i="52"/>
  <c r="K33" i="52" s="1"/>
  <c r="L33" i="52" s="1"/>
  <c r="M33" i="52" s="1"/>
  <c r="N33" i="52" s="1"/>
  <c r="I33" i="52"/>
  <c r="F33" i="52"/>
  <c r="G33" i="52" s="1"/>
  <c r="E33" i="52"/>
  <c r="D33" i="52"/>
  <c r="I32" i="52"/>
  <c r="J32" i="52" s="1"/>
  <c r="K32" i="52" s="1"/>
  <c r="L32" i="52" s="1"/>
  <c r="M32" i="52" s="1"/>
  <c r="N32" i="52" s="1"/>
  <c r="G32" i="52"/>
  <c r="D32" i="52"/>
  <c r="J31" i="52"/>
  <c r="K31" i="52" s="1"/>
  <c r="L31" i="52" s="1"/>
  <c r="M31" i="52" s="1"/>
  <c r="N31" i="52" s="1"/>
  <c r="I31" i="52"/>
  <c r="F31" i="52"/>
  <c r="G31" i="52" s="1"/>
  <c r="E31" i="52"/>
  <c r="O31" i="52" s="1"/>
  <c r="D31" i="52"/>
  <c r="I30" i="52"/>
  <c r="J30" i="52" s="1"/>
  <c r="K30" i="52" s="1"/>
  <c r="L30" i="52" s="1"/>
  <c r="M30" i="52" s="1"/>
  <c r="N30" i="52" s="1"/>
  <c r="D30" i="52"/>
  <c r="L29" i="52"/>
  <c r="M29" i="52" s="1"/>
  <c r="N29" i="52" s="1"/>
  <c r="I29" i="52"/>
  <c r="J29" i="52" s="1"/>
  <c r="K29" i="52" s="1"/>
  <c r="D29" i="52"/>
  <c r="K28" i="52"/>
  <c r="L28" i="52" s="1"/>
  <c r="M28" i="52" s="1"/>
  <c r="N28" i="52" s="1"/>
  <c r="J28" i="52"/>
  <c r="I28" i="52"/>
  <c r="F28" i="52"/>
  <c r="E28" i="52"/>
  <c r="D28" i="52"/>
  <c r="J27" i="52"/>
  <c r="K27" i="52" s="1"/>
  <c r="L27" i="52" s="1"/>
  <c r="M27" i="52" s="1"/>
  <c r="N27" i="52" s="1"/>
  <c r="I27" i="52"/>
  <c r="F27" i="52"/>
  <c r="G27" i="52" s="1"/>
  <c r="E27" i="52"/>
  <c r="O27" i="52" s="1"/>
  <c r="D27" i="52"/>
  <c r="I26" i="52"/>
  <c r="J26" i="52" s="1"/>
  <c r="K26" i="52" s="1"/>
  <c r="L26" i="52" s="1"/>
  <c r="M26" i="52" s="1"/>
  <c r="N26" i="52" s="1"/>
  <c r="D26" i="52"/>
  <c r="L25" i="52"/>
  <c r="M25" i="52" s="1"/>
  <c r="N25" i="52" s="1"/>
  <c r="I25" i="52"/>
  <c r="J25" i="52" s="1"/>
  <c r="K25" i="52" s="1"/>
  <c r="D25" i="52"/>
  <c r="K24" i="52"/>
  <c r="L24" i="52" s="1"/>
  <c r="M24" i="52" s="1"/>
  <c r="N24" i="52" s="1"/>
  <c r="J24" i="52"/>
  <c r="I24" i="52"/>
  <c r="F24" i="52"/>
  <c r="E24" i="52"/>
  <c r="D24" i="52"/>
  <c r="J23" i="52"/>
  <c r="K23" i="52" s="1"/>
  <c r="L23" i="52" s="1"/>
  <c r="M23" i="52" s="1"/>
  <c r="N23" i="52" s="1"/>
  <c r="I23" i="52"/>
  <c r="F23" i="52"/>
  <c r="G23" i="52" s="1"/>
  <c r="E23" i="52"/>
  <c r="O23" i="52" s="1"/>
  <c r="D23" i="52"/>
  <c r="M22" i="52"/>
  <c r="N22" i="52" s="1"/>
  <c r="L22" i="52"/>
  <c r="I22" i="52"/>
  <c r="F22" i="52"/>
  <c r="G22" i="52" s="1"/>
  <c r="E22" i="52"/>
  <c r="D22" i="52"/>
  <c r="J21" i="52"/>
  <c r="K21" i="52" s="1"/>
  <c r="L21" i="52" s="1"/>
  <c r="M21" i="52" s="1"/>
  <c r="N21" i="52" s="1"/>
  <c r="I21" i="52"/>
  <c r="F21" i="52"/>
  <c r="G21" i="52" s="1"/>
  <c r="E21" i="52"/>
  <c r="D21" i="52"/>
  <c r="I20" i="52"/>
  <c r="J20" i="52" s="1"/>
  <c r="K20" i="52" s="1"/>
  <c r="L20" i="52" s="1"/>
  <c r="M20" i="52" s="1"/>
  <c r="N20" i="52" s="1"/>
  <c r="D20" i="52"/>
  <c r="L19" i="52"/>
  <c r="M19" i="52" s="1"/>
  <c r="N19" i="52" s="1"/>
  <c r="I19" i="52"/>
  <c r="J19" i="52" s="1"/>
  <c r="K19" i="52" s="1"/>
  <c r="D19" i="52"/>
  <c r="K18" i="52"/>
  <c r="L18" i="52" s="1"/>
  <c r="M18" i="52" s="1"/>
  <c r="N18" i="52" s="1"/>
  <c r="J18" i="52"/>
  <c r="I18" i="52"/>
  <c r="F18" i="52"/>
  <c r="E18" i="52"/>
  <c r="D18" i="52"/>
  <c r="J17" i="52"/>
  <c r="K17" i="52" s="1"/>
  <c r="L17" i="52" s="1"/>
  <c r="M17" i="52" s="1"/>
  <c r="N17" i="52" s="1"/>
  <c r="I17" i="52"/>
  <c r="F17" i="52"/>
  <c r="G17" i="52" s="1"/>
  <c r="E17" i="52"/>
  <c r="D17" i="52"/>
  <c r="I16" i="52"/>
  <c r="J16" i="52" s="1"/>
  <c r="K16" i="52" s="1"/>
  <c r="L16" i="52" s="1"/>
  <c r="M16" i="52" s="1"/>
  <c r="N16" i="52" s="1"/>
  <c r="D16" i="52"/>
  <c r="L15" i="52"/>
  <c r="M15" i="52" s="1"/>
  <c r="N15" i="52" s="1"/>
  <c r="I15" i="52"/>
  <c r="J15" i="52" s="1"/>
  <c r="K15" i="52" s="1"/>
  <c r="D15" i="52"/>
  <c r="K14" i="52"/>
  <c r="L14" i="52" s="1"/>
  <c r="M14" i="52" s="1"/>
  <c r="N14" i="52" s="1"/>
  <c r="F14" i="52"/>
  <c r="G14" i="52" s="1"/>
  <c r="H14" i="52" s="1"/>
  <c r="E14" i="52"/>
  <c r="J13" i="52"/>
  <c r="K13" i="52" s="1"/>
  <c r="L13" i="52" s="1"/>
  <c r="M13" i="52" s="1"/>
  <c r="N13" i="52" s="1"/>
  <c r="I13" i="52"/>
  <c r="E13" i="52"/>
  <c r="F13" i="52" s="1"/>
  <c r="G13" i="52" s="1"/>
  <c r="D13" i="52"/>
  <c r="I12" i="52"/>
  <c r="J12" i="52" s="1"/>
  <c r="K12" i="52" s="1"/>
  <c r="L12" i="52" s="1"/>
  <c r="M12" i="52" s="1"/>
  <c r="N12" i="52" s="1"/>
  <c r="D12" i="52"/>
  <c r="L11" i="52"/>
  <c r="M11" i="52" s="1"/>
  <c r="N11" i="52" s="1"/>
  <c r="K11" i="52"/>
  <c r="O11" i="52" s="1"/>
  <c r="F11" i="52"/>
  <c r="E11" i="52"/>
  <c r="K10" i="52"/>
  <c r="J10" i="52"/>
  <c r="I10" i="52"/>
  <c r="E10" i="52"/>
  <c r="F10" i="52" s="1"/>
  <c r="D10" i="52"/>
  <c r="F9" i="52"/>
  <c r="E9" i="52"/>
  <c r="D9" i="52"/>
  <c r="A8" i="52"/>
  <c r="G101" i="53"/>
  <c r="F57" i="1" s="1"/>
  <c r="H97" i="53"/>
  <c r="C91" i="53"/>
  <c r="C90" i="53"/>
  <c r="H84" i="53"/>
  <c r="H81" i="53"/>
  <c r="G79" i="53"/>
  <c r="H78" i="53"/>
  <c r="H77" i="53"/>
  <c r="H76" i="53"/>
  <c r="H75" i="53"/>
  <c r="H74" i="53"/>
  <c r="H73" i="53"/>
  <c r="H72" i="53"/>
  <c r="G71" i="53"/>
  <c r="H71" i="53" s="1"/>
  <c r="C52" i="53"/>
  <c r="N51" i="53"/>
  <c r="M51" i="53"/>
  <c r="L51" i="53"/>
  <c r="K51" i="53"/>
  <c r="J51" i="53"/>
  <c r="I51" i="53"/>
  <c r="H51" i="53"/>
  <c r="G51" i="53"/>
  <c r="F51" i="53"/>
  <c r="E51" i="53"/>
  <c r="D51" i="53"/>
  <c r="C51" i="53"/>
  <c r="O50" i="53"/>
  <c r="O49" i="53"/>
  <c r="O48" i="53"/>
  <c r="O47" i="53"/>
  <c r="O46" i="53"/>
  <c r="G58" i="53" s="1"/>
  <c r="O45" i="53"/>
  <c r="G70" i="53" s="1"/>
  <c r="H79" i="53" s="1"/>
  <c r="O44" i="53"/>
  <c r="O43" i="53"/>
  <c r="O42" i="53"/>
  <c r="G72" i="53" s="1"/>
  <c r="O41" i="53"/>
  <c r="O40" i="53"/>
  <c r="C39" i="53"/>
  <c r="L38" i="53"/>
  <c r="M38" i="53" s="1"/>
  <c r="N38" i="53" s="1"/>
  <c r="I38" i="53"/>
  <c r="G38" i="53"/>
  <c r="F38" i="53"/>
  <c r="M37" i="53"/>
  <c r="N37" i="53" s="1"/>
  <c r="L37" i="53"/>
  <c r="I37" i="53"/>
  <c r="F37" i="53"/>
  <c r="G37" i="53" s="1"/>
  <c r="I36" i="53"/>
  <c r="J36" i="53" s="1"/>
  <c r="K36" i="53" s="1"/>
  <c r="L36" i="53" s="1"/>
  <c r="M36" i="53" s="1"/>
  <c r="N36" i="53" s="1"/>
  <c r="D36" i="53"/>
  <c r="K35" i="53"/>
  <c r="L35" i="53" s="1"/>
  <c r="M35" i="53" s="1"/>
  <c r="N35" i="53" s="1"/>
  <c r="I35" i="53"/>
  <c r="J35" i="53" s="1"/>
  <c r="D35" i="53"/>
  <c r="E35" i="53" s="1"/>
  <c r="J34" i="53"/>
  <c r="I34" i="53"/>
  <c r="F34" i="53"/>
  <c r="G34" i="53" s="1"/>
  <c r="L33" i="53"/>
  <c r="M33" i="53" s="1"/>
  <c r="N33" i="53" s="1"/>
  <c r="K33" i="53"/>
  <c r="I33" i="53"/>
  <c r="J33" i="53" s="1"/>
  <c r="F33" i="53"/>
  <c r="G33" i="53" s="1"/>
  <c r="D33" i="53"/>
  <c r="E33" i="53" s="1"/>
  <c r="O33" i="53" s="1"/>
  <c r="K32" i="53"/>
  <c r="L32" i="53" s="1"/>
  <c r="M32" i="53" s="1"/>
  <c r="N32" i="53" s="1"/>
  <c r="J32" i="53"/>
  <c r="I32" i="53"/>
  <c r="E32" i="53"/>
  <c r="D32" i="53"/>
  <c r="J31" i="53"/>
  <c r="K31" i="53" s="1"/>
  <c r="L31" i="53" s="1"/>
  <c r="M31" i="53" s="1"/>
  <c r="N31" i="53" s="1"/>
  <c r="I31" i="53"/>
  <c r="D31" i="53"/>
  <c r="M30" i="53"/>
  <c r="N30" i="53" s="1"/>
  <c r="L30" i="53"/>
  <c r="I30" i="53"/>
  <c r="J30" i="53" s="1"/>
  <c r="K30" i="53" s="1"/>
  <c r="D30" i="53"/>
  <c r="I29" i="53"/>
  <c r="J29" i="53" s="1"/>
  <c r="K29" i="53" s="1"/>
  <c r="L29" i="53" s="1"/>
  <c r="M29" i="53" s="1"/>
  <c r="N29" i="53" s="1"/>
  <c r="D29" i="53"/>
  <c r="E29" i="53" s="1"/>
  <c r="F29" i="53" s="1"/>
  <c r="J28" i="53"/>
  <c r="K28" i="53" s="1"/>
  <c r="I28" i="53"/>
  <c r="F28" i="53"/>
  <c r="G28" i="53" s="1"/>
  <c r="E28" i="53"/>
  <c r="D28" i="53"/>
  <c r="I27" i="53"/>
  <c r="J27" i="53" s="1"/>
  <c r="K27" i="53" s="1"/>
  <c r="L27" i="53" s="1"/>
  <c r="M27" i="53" s="1"/>
  <c r="N27" i="53" s="1"/>
  <c r="E27" i="53"/>
  <c r="F27" i="53" s="1"/>
  <c r="G27" i="53" s="1"/>
  <c r="D27" i="53"/>
  <c r="I26" i="53"/>
  <c r="J26" i="53" s="1"/>
  <c r="K26" i="53" s="1"/>
  <c r="L26" i="53" s="1"/>
  <c r="M26" i="53" s="1"/>
  <c r="N26" i="53" s="1"/>
  <c r="D26" i="53"/>
  <c r="L25" i="53"/>
  <c r="M25" i="53" s="1"/>
  <c r="N25" i="53" s="1"/>
  <c r="K25" i="53"/>
  <c r="I25" i="53"/>
  <c r="J25" i="53" s="1"/>
  <c r="F25" i="53"/>
  <c r="G25" i="53" s="1"/>
  <c r="D25" i="53"/>
  <c r="E25" i="53" s="1"/>
  <c r="O25" i="53" s="1"/>
  <c r="L24" i="53"/>
  <c r="M24" i="53" s="1"/>
  <c r="N24" i="53" s="1"/>
  <c r="I24" i="53"/>
  <c r="D24" i="53"/>
  <c r="E24" i="53" s="1"/>
  <c r="F24" i="53" s="1"/>
  <c r="G24" i="53" s="1"/>
  <c r="I23" i="53"/>
  <c r="J23" i="53" s="1"/>
  <c r="K23" i="53" s="1"/>
  <c r="G23" i="53"/>
  <c r="F23" i="53"/>
  <c r="D23" i="53"/>
  <c r="E23" i="53" s="1"/>
  <c r="N22" i="53"/>
  <c r="K22" i="53"/>
  <c r="L22" i="53" s="1"/>
  <c r="M22" i="53" s="1"/>
  <c r="J22" i="53"/>
  <c r="I22" i="53"/>
  <c r="F22" i="53"/>
  <c r="G22" i="53" s="1"/>
  <c r="E22" i="53"/>
  <c r="O22" i="53" s="1"/>
  <c r="D22" i="53"/>
  <c r="M21" i="53"/>
  <c r="N21" i="53" s="1"/>
  <c r="J21" i="53"/>
  <c r="K21" i="53" s="1"/>
  <c r="L21" i="53" s="1"/>
  <c r="I21" i="53"/>
  <c r="D21" i="53"/>
  <c r="E21" i="53" s="1"/>
  <c r="F21" i="53" s="1"/>
  <c r="G21" i="53" s="1"/>
  <c r="I20" i="53"/>
  <c r="J20" i="53" s="1"/>
  <c r="K20" i="53" s="1"/>
  <c r="L20" i="53" s="1"/>
  <c r="M20" i="53" s="1"/>
  <c r="N20" i="53" s="1"/>
  <c r="D20" i="53"/>
  <c r="D19" i="53"/>
  <c r="E19" i="53" s="1"/>
  <c r="F19" i="53" s="1"/>
  <c r="I18" i="53"/>
  <c r="J18" i="53" s="1"/>
  <c r="K18" i="53" s="1"/>
  <c r="G18" i="53"/>
  <c r="F18" i="53"/>
  <c r="D18" i="53"/>
  <c r="E18" i="53" s="1"/>
  <c r="N17" i="53"/>
  <c r="K17" i="53"/>
  <c r="L17" i="53" s="1"/>
  <c r="M17" i="53" s="1"/>
  <c r="J17" i="53"/>
  <c r="I17" i="53"/>
  <c r="F17" i="53"/>
  <c r="G17" i="53" s="1"/>
  <c r="E17" i="53"/>
  <c r="O17" i="53" s="1"/>
  <c r="D17" i="53"/>
  <c r="M16" i="53"/>
  <c r="N16" i="53" s="1"/>
  <c r="J16" i="53"/>
  <c r="K16" i="53" s="1"/>
  <c r="L16" i="53" s="1"/>
  <c r="I16" i="53"/>
  <c r="D16" i="53"/>
  <c r="I15" i="53"/>
  <c r="J15" i="53" s="1"/>
  <c r="K15" i="53" s="1"/>
  <c r="L15" i="53" s="1"/>
  <c r="M15" i="53" s="1"/>
  <c r="N15" i="53" s="1"/>
  <c r="D15" i="53"/>
  <c r="K14" i="53"/>
  <c r="L14" i="53" s="1"/>
  <c r="M14" i="53" s="1"/>
  <c r="N14" i="53" s="1"/>
  <c r="G14" i="53"/>
  <c r="H14" i="53" s="1"/>
  <c r="F14" i="53"/>
  <c r="E14" i="53"/>
  <c r="I13" i="53"/>
  <c r="J13" i="53" s="1"/>
  <c r="K13" i="53" s="1"/>
  <c r="L13" i="53" s="1"/>
  <c r="M13" i="53" s="1"/>
  <c r="N13" i="53" s="1"/>
  <c r="E13" i="53"/>
  <c r="F13" i="53" s="1"/>
  <c r="G13" i="53" s="1"/>
  <c r="D13" i="53"/>
  <c r="I12" i="53"/>
  <c r="J12" i="53" s="1"/>
  <c r="K12" i="53" s="1"/>
  <c r="L12" i="53" s="1"/>
  <c r="M12" i="53" s="1"/>
  <c r="N12" i="53" s="1"/>
  <c r="D12" i="53"/>
  <c r="L11" i="53"/>
  <c r="M11" i="53" s="1"/>
  <c r="N11" i="53" s="1"/>
  <c r="K11" i="53"/>
  <c r="O11" i="53" s="1"/>
  <c r="E11" i="53"/>
  <c r="F11" i="53" s="1"/>
  <c r="K10" i="53"/>
  <c r="J10" i="53"/>
  <c r="I10" i="53"/>
  <c r="F10" i="53"/>
  <c r="G10" i="53" s="1"/>
  <c r="E10" i="53"/>
  <c r="D10" i="53"/>
  <c r="E9" i="53"/>
  <c r="D9" i="53"/>
  <c r="A8" i="53"/>
  <c r="F56" i="1"/>
  <c r="E56" i="1"/>
  <c r="H98" i="54"/>
  <c r="C92" i="54"/>
  <c r="C91" i="54"/>
  <c r="H85" i="54"/>
  <c r="H82" i="54"/>
  <c r="H79" i="54"/>
  <c r="H78" i="54"/>
  <c r="H77" i="54"/>
  <c r="H76" i="54"/>
  <c r="H75" i="54"/>
  <c r="H74" i="54"/>
  <c r="H72" i="54"/>
  <c r="Q52" i="54"/>
  <c r="N51" i="54"/>
  <c r="M51" i="54"/>
  <c r="L51" i="54"/>
  <c r="K51" i="54"/>
  <c r="J51" i="54"/>
  <c r="I51" i="54"/>
  <c r="H51" i="54"/>
  <c r="G51" i="54"/>
  <c r="F51" i="54"/>
  <c r="E51" i="54"/>
  <c r="D51" i="54"/>
  <c r="C51" i="54"/>
  <c r="O51" i="54" s="1"/>
  <c r="O50" i="54"/>
  <c r="O49" i="54"/>
  <c r="O48" i="54"/>
  <c r="O47" i="54"/>
  <c r="O46" i="54"/>
  <c r="G58" i="54" s="1"/>
  <c r="O45" i="54"/>
  <c r="G71" i="54" s="1"/>
  <c r="O44" i="54"/>
  <c r="G81" i="54" s="1"/>
  <c r="O43" i="54"/>
  <c r="O42" i="54"/>
  <c r="G73" i="54" s="1"/>
  <c r="H73" i="54" s="1"/>
  <c r="O41" i="54"/>
  <c r="O40" i="54"/>
  <c r="G102" i="54" s="1"/>
  <c r="C39" i="54"/>
  <c r="C52" i="54" s="1"/>
  <c r="L38" i="54"/>
  <c r="M38" i="54" s="1"/>
  <c r="N38" i="54" s="1"/>
  <c r="I38" i="54"/>
  <c r="F38" i="54"/>
  <c r="L37" i="54"/>
  <c r="M37" i="54" s="1"/>
  <c r="N37" i="54" s="1"/>
  <c r="I37" i="54"/>
  <c r="F37" i="54"/>
  <c r="G37" i="54" s="1"/>
  <c r="J36" i="54"/>
  <c r="K36" i="54" s="1"/>
  <c r="L36" i="54" s="1"/>
  <c r="M36" i="54" s="1"/>
  <c r="N36" i="54" s="1"/>
  <c r="I36" i="54"/>
  <c r="E36" i="54"/>
  <c r="D36" i="54"/>
  <c r="M35" i="54"/>
  <c r="N35" i="54" s="1"/>
  <c r="I35" i="54"/>
  <c r="J35" i="54" s="1"/>
  <c r="K35" i="54" s="1"/>
  <c r="L35" i="54" s="1"/>
  <c r="D35" i="54"/>
  <c r="I34" i="54"/>
  <c r="J34" i="54" s="1"/>
  <c r="K34" i="54" s="1"/>
  <c r="L34" i="54" s="1"/>
  <c r="M34" i="54" s="1"/>
  <c r="N34" i="54" s="1"/>
  <c r="D34" i="54"/>
  <c r="K33" i="54"/>
  <c r="L33" i="54" s="1"/>
  <c r="M33" i="54" s="1"/>
  <c r="N33" i="54" s="1"/>
  <c r="I33" i="54"/>
  <c r="J33" i="54" s="1"/>
  <c r="G33" i="54"/>
  <c r="D33" i="54"/>
  <c r="O33" i="54" s="1"/>
  <c r="L32" i="54"/>
  <c r="M32" i="54" s="1"/>
  <c r="N32" i="54" s="1"/>
  <c r="I32" i="54"/>
  <c r="J32" i="54" s="1"/>
  <c r="K32" i="54" s="1"/>
  <c r="D32" i="54"/>
  <c r="I31" i="54"/>
  <c r="J31" i="54" s="1"/>
  <c r="K31" i="54" s="1"/>
  <c r="L31" i="54" s="1"/>
  <c r="M31" i="54" s="1"/>
  <c r="N31" i="54" s="1"/>
  <c r="D31" i="54"/>
  <c r="E31" i="54" s="1"/>
  <c r="F31" i="54" s="1"/>
  <c r="G31" i="54" s="1"/>
  <c r="J30" i="54"/>
  <c r="K30" i="54" s="1"/>
  <c r="L30" i="54" s="1"/>
  <c r="M30" i="54" s="1"/>
  <c r="N30" i="54" s="1"/>
  <c r="I30" i="54"/>
  <c r="E30" i="54"/>
  <c r="F30" i="54" s="1"/>
  <c r="G30" i="54" s="1"/>
  <c r="D30" i="54"/>
  <c r="M29" i="54"/>
  <c r="N29" i="54" s="1"/>
  <c r="I29" i="54"/>
  <c r="J29" i="54" s="1"/>
  <c r="K29" i="54" s="1"/>
  <c r="L29" i="54" s="1"/>
  <c r="D29" i="54"/>
  <c r="I28" i="54"/>
  <c r="J28" i="54" s="1"/>
  <c r="K28" i="54" s="1"/>
  <c r="L28" i="54" s="1"/>
  <c r="M28" i="54" s="1"/>
  <c r="N28" i="54" s="1"/>
  <c r="D28" i="54"/>
  <c r="K27" i="54"/>
  <c r="L27" i="54" s="1"/>
  <c r="M27" i="54" s="1"/>
  <c r="N27" i="54" s="1"/>
  <c r="I27" i="54"/>
  <c r="J27" i="54" s="1"/>
  <c r="F27" i="54"/>
  <c r="G27" i="54" s="1"/>
  <c r="D27" i="54"/>
  <c r="E27" i="54" s="1"/>
  <c r="O27" i="54" s="1"/>
  <c r="N26" i="54"/>
  <c r="J26" i="54"/>
  <c r="K26" i="54" s="1"/>
  <c r="L26" i="54" s="1"/>
  <c r="M26" i="54" s="1"/>
  <c r="I26" i="54"/>
  <c r="E26" i="54"/>
  <c r="F26" i="54" s="1"/>
  <c r="G26" i="54" s="1"/>
  <c r="D26" i="54"/>
  <c r="O26" i="54" s="1"/>
  <c r="I25" i="54"/>
  <c r="J25" i="54" s="1"/>
  <c r="K25" i="54" s="1"/>
  <c r="L25" i="54" s="1"/>
  <c r="M25" i="54" s="1"/>
  <c r="N25" i="54" s="1"/>
  <c r="D25" i="54"/>
  <c r="L24" i="54"/>
  <c r="M24" i="54" s="1"/>
  <c r="N24" i="54" s="1"/>
  <c r="I24" i="54"/>
  <c r="J24" i="54" s="1"/>
  <c r="K24" i="54" s="1"/>
  <c r="G24" i="54"/>
  <c r="E24" i="54"/>
  <c r="F24" i="54" s="1"/>
  <c r="D24" i="54"/>
  <c r="O24" i="54" s="1"/>
  <c r="K23" i="54"/>
  <c r="L23" i="54" s="1"/>
  <c r="M23" i="54" s="1"/>
  <c r="N23" i="54" s="1"/>
  <c r="I23" i="54"/>
  <c r="J23" i="54" s="1"/>
  <c r="F23" i="54"/>
  <c r="G23" i="54" s="1"/>
  <c r="D23" i="54"/>
  <c r="E23" i="54" s="1"/>
  <c r="O23" i="54" s="1"/>
  <c r="N22" i="54"/>
  <c r="J22" i="54"/>
  <c r="K22" i="54" s="1"/>
  <c r="L22" i="54" s="1"/>
  <c r="M22" i="54" s="1"/>
  <c r="I22" i="54"/>
  <c r="E22" i="54"/>
  <c r="F22" i="54" s="1"/>
  <c r="G22" i="54" s="1"/>
  <c r="D22" i="54"/>
  <c r="O22" i="54" s="1"/>
  <c r="I21" i="54"/>
  <c r="J21" i="54" s="1"/>
  <c r="K21" i="54" s="1"/>
  <c r="L21" i="54" s="1"/>
  <c r="M21" i="54" s="1"/>
  <c r="N21" i="54" s="1"/>
  <c r="D21" i="54"/>
  <c r="E21" i="54" s="1"/>
  <c r="N20" i="54"/>
  <c r="J20" i="54"/>
  <c r="K20" i="54" s="1"/>
  <c r="L20" i="54" s="1"/>
  <c r="M20" i="54" s="1"/>
  <c r="I20" i="54"/>
  <c r="E20" i="54"/>
  <c r="F20" i="54" s="1"/>
  <c r="G20" i="54" s="1"/>
  <c r="D20" i="54"/>
  <c r="O20" i="54" s="1"/>
  <c r="E19" i="54"/>
  <c r="F19" i="54" s="1"/>
  <c r="D19" i="54"/>
  <c r="O19" i="54" s="1"/>
  <c r="I18" i="54"/>
  <c r="J18" i="54" s="1"/>
  <c r="K18" i="54" s="1"/>
  <c r="L18" i="54" s="1"/>
  <c r="M18" i="54" s="1"/>
  <c r="N18" i="54" s="1"/>
  <c r="D18" i="54"/>
  <c r="L17" i="54"/>
  <c r="M17" i="54" s="1"/>
  <c r="N17" i="54" s="1"/>
  <c r="I17" i="54"/>
  <c r="J17" i="54" s="1"/>
  <c r="K17" i="54" s="1"/>
  <c r="G17" i="54"/>
  <c r="E17" i="54"/>
  <c r="F17" i="54" s="1"/>
  <c r="D17" i="54"/>
  <c r="O17" i="54" s="1"/>
  <c r="K16" i="54"/>
  <c r="L16" i="54" s="1"/>
  <c r="M16" i="54" s="1"/>
  <c r="N16" i="54" s="1"/>
  <c r="I16" i="54"/>
  <c r="J16" i="54" s="1"/>
  <c r="F16" i="54"/>
  <c r="G16" i="54" s="1"/>
  <c r="D16" i="54"/>
  <c r="E16" i="54" s="1"/>
  <c r="O16" i="54" s="1"/>
  <c r="N15" i="54"/>
  <c r="J15" i="54"/>
  <c r="K15" i="54" s="1"/>
  <c r="L15" i="54" s="1"/>
  <c r="M15" i="54" s="1"/>
  <c r="I15" i="54"/>
  <c r="E15" i="54"/>
  <c r="F15" i="54" s="1"/>
  <c r="G15" i="54" s="1"/>
  <c r="D15" i="54"/>
  <c r="O15" i="54" s="1"/>
  <c r="K14" i="54"/>
  <c r="L14" i="54" s="1"/>
  <c r="M14" i="54" s="1"/>
  <c r="N14" i="54" s="1"/>
  <c r="E14" i="54"/>
  <c r="K13" i="54"/>
  <c r="L13" i="54" s="1"/>
  <c r="M13" i="54" s="1"/>
  <c r="N13" i="54" s="1"/>
  <c r="I13" i="54"/>
  <c r="J13" i="54" s="1"/>
  <c r="F13" i="54"/>
  <c r="G13" i="54" s="1"/>
  <c r="E13" i="54"/>
  <c r="D13" i="54"/>
  <c r="J12" i="54"/>
  <c r="K12" i="54" s="1"/>
  <c r="I12" i="54"/>
  <c r="E12" i="54"/>
  <c r="F12" i="54" s="1"/>
  <c r="G12" i="54" s="1"/>
  <c r="D12" i="54"/>
  <c r="E11" i="54"/>
  <c r="L10" i="54"/>
  <c r="K10" i="54"/>
  <c r="J10" i="54"/>
  <c r="I10" i="54"/>
  <c r="G10" i="54"/>
  <c r="F10" i="54"/>
  <c r="E10" i="54"/>
  <c r="D10" i="54"/>
  <c r="O9" i="54"/>
  <c r="F9" i="54"/>
  <c r="E9" i="54"/>
  <c r="D9" i="54"/>
  <c r="D39" i="54" s="1"/>
  <c r="D52" i="54" s="1"/>
  <c r="A8" i="54"/>
  <c r="F27" i="1"/>
  <c r="E27" i="1"/>
  <c r="H95" i="130"/>
  <c r="C89" i="130"/>
  <c r="C88" i="130"/>
  <c r="H82" i="130"/>
  <c r="H79" i="130"/>
  <c r="G78" i="130"/>
  <c r="G83" i="130" s="1"/>
  <c r="H76" i="130"/>
  <c r="H75" i="130"/>
  <c r="H74" i="130"/>
  <c r="H73" i="130"/>
  <c r="H72" i="130"/>
  <c r="H71" i="130"/>
  <c r="G69" i="130"/>
  <c r="H69" i="130" s="1"/>
  <c r="Q52" i="130"/>
  <c r="N49" i="130"/>
  <c r="M49" i="130"/>
  <c r="L49" i="130"/>
  <c r="K49" i="130"/>
  <c r="J49" i="130"/>
  <c r="I49" i="130"/>
  <c r="H49" i="130"/>
  <c r="G49" i="130"/>
  <c r="F49" i="130"/>
  <c r="E49" i="130"/>
  <c r="D49" i="130"/>
  <c r="C49" i="130"/>
  <c r="O49" i="130" s="1"/>
  <c r="O48" i="130"/>
  <c r="O47" i="130"/>
  <c r="O46" i="130"/>
  <c r="O45" i="130"/>
  <c r="O44" i="130"/>
  <c r="G56" i="130" s="1"/>
  <c r="O43" i="130"/>
  <c r="G68" i="130" s="1"/>
  <c r="O42" i="130"/>
  <c r="O76" i="130" s="1"/>
  <c r="O41" i="130"/>
  <c r="O40" i="130"/>
  <c r="G70" i="130" s="1"/>
  <c r="H70" i="130" s="1"/>
  <c r="Q39" i="130"/>
  <c r="O39" i="130"/>
  <c r="O38" i="130"/>
  <c r="G99" i="130" s="1"/>
  <c r="C37" i="130"/>
  <c r="O36" i="130"/>
  <c r="O35" i="130"/>
  <c r="O34" i="130"/>
  <c r="O33" i="130"/>
  <c r="O32" i="130"/>
  <c r="O31" i="130"/>
  <c r="O30" i="130"/>
  <c r="O29" i="130"/>
  <c r="O28" i="130"/>
  <c r="O27" i="130"/>
  <c r="O26" i="130"/>
  <c r="O25" i="130"/>
  <c r="O24" i="130"/>
  <c r="O23" i="130"/>
  <c r="N22" i="130"/>
  <c r="M22" i="130"/>
  <c r="L22" i="130"/>
  <c r="I22" i="130"/>
  <c r="D22" i="130"/>
  <c r="K21" i="130"/>
  <c r="L21" i="130" s="1"/>
  <c r="M21" i="130" s="1"/>
  <c r="N21" i="130" s="1"/>
  <c r="J21" i="130"/>
  <c r="I21" i="130"/>
  <c r="F21" i="130"/>
  <c r="G21" i="130" s="1"/>
  <c r="E21" i="130"/>
  <c r="D21" i="130"/>
  <c r="J20" i="130"/>
  <c r="K20" i="130" s="1"/>
  <c r="L20" i="130" s="1"/>
  <c r="M20" i="130" s="1"/>
  <c r="N20" i="130" s="1"/>
  <c r="I20" i="130"/>
  <c r="E20" i="130"/>
  <c r="D20" i="130"/>
  <c r="E19" i="130"/>
  <c r="F19" i="130" s="1"/>
  <c r="D19" i="130"/>
  <c r="O19" i="130" s="1"/>
  <c r="I18" i="130"/>
  <c r="J18" i="130" s="1"/>
  <c r="K18" i="130" s="1"/>
  <c r="L18" i="130" s="1"/>
  <c r="M18" i="130" s="1"/>
  <c r="N18" i="130" s="1"/>
  <c r="D18" i="130"/>
  <c r="E18" i="130" s="1"/>
  <c r="F18" i="130" s="1"/>
  <c r="G18" i="130" s="1"/>
  <c r="I17" i="130"/>
  <c r="J17" i="130" s="1"/>
  <c r="K17" i="130" s="1"/>
  <c r="L17" i="130" s="1"/>
  <c r="M17" i="130" s="1"/>
  <c r="N17" i="130" s="1"/>
  <c r="D17" i="130"/>
  <c r="K16" i="130"/>
  <c r="L16" i="130" s="1"/>
  <c r="M16" i="130" s="1"/>
  <c r="N16" i="130" s="1"/>
  <c r="J16" i="130"/>
  <c r="I16" i="130"/>
  <c r="F16" i="130"/>
  <c r="G16" i="130" s="1"/>
  <c r="E16" i="130"/>
  <c r="D16" i="130"/>
  <c r="J15" i="130"/>
  <c r="K15" i="130" s="1"/>
  <c r="L15" i="130" s="1"/>
  <c r="M15" i="130" s="1"/>
  <c r="N15" i="130" s="1"/>
  <c r="I15" i="130"/>
  <c r="E15" i="130"/>
  <c r="D15" i="130"/>
  <c r="M14" i="130"/>
  <c r="N14" i="130" s="1"/>
  <c r="L14" i="130"/>
  <c r="K14" i="130"/>
  <c r="E14" i="130"/>
  <c r="K13" i="130"/>
  <c r="L13" i="130" s="1"/>
  <c r="M13" i="130" s="1"/>
  <c r="N13" i="130" s="1"/>
  <c r="J13" i="130"/>
  <c r="I13" i="130"/>
  <c r="F13" i="130"/>
  <c r="G13" i="130" s="1"/>
  <c r="E13" i="130"/>
  <c r="D13" i="130"/>
  <c r="J12" i="130"/>
  <c r="K12" i="130" s="1"/>
  <c r="L12" i="130" s="1"/>
  <c r="M12" i="130" s="1"/>
  <c r="N12" i="130" s="1"/>
  <c r="I12" i="130"/>
  <c r="E12" i="130"/>
  <c r="D12" i="130"/>
  <c r="E11" i="130"/>
  <c r="F11" i="130" s="1"/>
  <c r="I10" i="130"/>
  <c r="J10" i="130" s="1"/>
  <c r="K10" i="130" s="1"/>
  <c r="L10" i="130" s="1"/>
  <c r="M10" i="130" s="1"/>
  <c r="N10" i="130" s="1"/>
  <c r="D10" i="130"/>
  <c r="H9" i="130"/>
  <c r="F9" i="130"/>
  <c r="E9" i="130"/>
  <c r="D9" i="130"/>
  <c r="D37" i="130" s="1"/>
  <c r="D50" i="130" s="1"/>
  <c r="A8" i="130"/>
  <c r="E55" i="1"/>
  <c r="H96" i="55"/>
  <c r="C90" i="55"/>
  <c r="C89" i="55"/>
  <c r="G84" i="55"/>
  <c r="H83" i="55"/>
  <c r="H80" i="55"/>
  <c r="H79" i="55"/>
  <c r="H77" i="55"/>
  <c r="O76" i="55"/>
  <c r="H76" i="55"/>
  <c r="H75" i="55"/>
  <c r="H74" i="55"/>
  <c r="H73" i="55"/>
  <c r="H72" i="55"/>
  <c r="G71" i="55"/>
  <c r="H71" i="55" s="1"/>
  <c r="H70" i="55"/>
  <c r="G57" i="55"/>
  <c r="M52" i="55"/>
  <c r="C51" i="55"/>
  <c r="N50" i="55"/>
  <c r="M50" i="55"/>
  <c r="L50" i="55"/>
  <c r="K50" i="55"/>
  <c r="J50" i="55"/>
  <c r="I50" i="55"/>
  <c r="H50" i="55"/>
  <c r="G50" i="55"/>
  <c r="F50" i="55"/>
  <c r="F51" i="55" s="1"/>
  <c r="E50" i="55"/>
  <c r="D50" i="55"/>
  <c r="C50" i="55"/>
  <c r="O49" i="55"/>
  <c r="O48" i="55"/>
  <c r="G70" i="55" s="1"/>
  <c r="O47" i="55"/>
  <c r="O46" i="55"/>
  <c r="O45" i="55"/>
  <c r="O44" i="55"/>
  <c r="G69" i="55" s="1"/>
  <c r="O43" i="55"/>
  <c r="O42" i="55"/>
  <c r="O41" i="55"/>
  <c r="O40" i="55"/>
  <c r="O39" i="55"/>
  <c r="G100" i="55" s="1"/>
  <c r="F55" i="1" s="1"/>
  <c r="C38" i="55"/>
  <c r="N37" i="55"/>
  <c r="L37" i="55"/>
  <c r="I37" i="55"/>
  <c r="G37" i="55"/>
  <c r="F37" i="55"/>
  <c r="N36" i="55"/>
  <c r="L36" i="55"/>
  <c r="I36" i="55"/>
  <c r="F36" i="55"/>
  <c r="N35" i="55"/>
  <c r="K35" i="55"/>
  <c r="L35" i="55" s="1"/>
  <c r="I35" i="55"/>
  <c r="J35" i="55" s="1"/>
  <c r="D35" i="55"/>
  <c r="N34" i="55"/>
  <c r="L34" i="55"/>
  <c r="I34" i="55"/>
  <c r="F34" i="55"/>
  <c r="G34" i="55" s="1"/>
  <c r="D34" i="55"/>
  <c r="E34" i="55" s="1"/>
  <c r="N33" i="55"/>
  <c r="I33" i="55"/>
  <c r="J33" i="55" s="1"/>
  <c r="K33" i="55" s="1"/>
  <c r="L33" i="55" s="1"/>
  <c r="D33" i="55"/>
  <c r="N32" i="55"/>
  <c r="K32" i="55"/>
  <c r="L32" i="55" s="1"/>
  <c r="J32" i="55"/>
  <c r="I32" i="55"/>
  <c r="G32" i="55"/>
  <c r="D32" i="55"/>
  <c r="O32" i="55" s="1"/>
  <c r="N31" i="55"/>
  <c r="K31" i="55"/>
  <c r="L31" i="55" s="1"/>
  <c r="J31" i="55"/>
  <c r="I31" i="55"/>
  <c r="F31" i="55"/>
  <c r="G31" i="55" s="1"/>
  <c r="E31" i="55"/>
  <c r="O31" i="55" s="1"/>
  <c r="D31" i="55"/>
  <c r="N30" i="55"/>
  <c r="I30" i="55"/>
  <c r="J30" i="55" s="1"/>
  <c r="K30" i="55" s="1"/>
  <c r="L30" i="55" s="1"/>
  <c r="D30" i="55"/>
  <c r="N29" i="55"/>
  <c r="K29" i="55"/>
  <c r="L29" i="55" s="1"/>
  <c r="J29" i="55"/>
  <c r="I29" i="55"/>
  <c r="F29" i="55"/>
  <c r="G29" i="55" s="1"/>
  <c r="E29" i="55"/>
  <c r="D29" i="55"/>
  <c r="N28" i="55"/>
  <c r="I28" i="55"/>
  <c r="J28" i="55" s="1"/>
  <c r="K28" i="55" s="1"/>
  <c r="L28" i="55" s="1"/>
  <c r="D28" i="55"/>
  <c r="N27" i="55"/>
  <c r="K27" i="55"/>
  <c r="L27" i="55" s="1"/>
  <c r="J27" i="55"/>
  <c r="I27" i="55"/>
  <c r="F27" i="55"/>
  <c r="G27" i="55" s="1"/>
  <c r="E27" i="55"/>
  <c r="O27" i="55" s="1"/>
  <c r="D27" i="55"/>
  <c r="N26" i="55"/>
  <c r="I26" i="55"/>
  <c r="J26" i="55" s="1"/>
  <c r="K26" i="55" s="1"/>
  <c r="L26" i="55" s="1"/>
  <c r="D26" i="55"/>
  <c r="N25" i="55"/>
  <c r="K25" i="55"/>
  <c r="L25" i="55" s="1"/>
  <c r="J25" i="55"/>
  <c r="I25" i="55"/>
  <c r="F25" i="55"/>
  <c r="G25" i="55" s="1"/>
  <c r="E25" i="55"/>
  <c r="D25" i="55"/>
  <c r="N24" i="55"/>
  <c r="I24" i="55"/>
  <c r="J24" i="55" s="1"/>
  <c r="K24" i="55" s="1"/>
  <c r="L24" i="55" s="1"/>
  <c r="D24" i="55"/>
  <c r="N23" i="55"/>
  <c r="L23" i="55"/>
  <c r="K23" i="55"/>
  <c r="J23" i="55"/>
  <c r="I23" i="55"/>
  <c r="G23" i="55"/>
  <c r="F23" i="55"/>
  <c r="E23" i="55"/>
  <c r="D23" i="55"/>
  <c r="N22" i="55"/>
  <c r="I22" i="55"/>
  <c r="J22" i="55" s="1"/>
  <c r="K22" i="55" s="1"/>
  <c r="L22" i="55" s="1"/>
  <c r="E22" i="55"/>
  <c r="F22" i="55" s="1"/>
  <c r="G22" i="55" s="1"/>
  <c r="D22" i="55"/>
  <c r="N21" i="55"/>
  <c r="L21" i="55"/>
  <c r="K21" i="55"/>
  <c r="J21" i="55"/>
  <c r="I21" i="55"/>
  <c r="G21" i="55"/>
  <c r="F21" i="55"/>
  <c r="E21" i="55"/>
  <c r="D21" i="55"/>
  <c r="N20" i="55"/>
  <c r="I20" i="55"/>
  <c r="J20" i="55" s="1"/>
  <c r="E20" i="55"/>
  <c r="D20" i="55"/>
  <c r="F19" i="55"/>
  <c r="O19" i="55" s="1"/>
  <c r="E19" i="55"/>
  <c r="D19" i="55"/>
  <c r="N18" i="55"/>
  <c r="J18" i="55"/>
  <c r="K18" i="55" s="1"/>
  <c r="L18" i="55" s="1"/>
  <c r="I18" i="55"/>
  <c r="D18" i="55"/>
  <c r="N17" i="55"/>
  <c r="J17" i="55"/>
  <c r="K17" i="55" s="1"/>
  <c r="L17" i="55" s="1"/>
  <c r="I17" i="55"/>
  <c r="E17" i="55"/>
  <c r="D17" i="55"/>
  <c r="N16" i="55"/>
  <c r="J16" i="55"/>
  <c r="K16" i="55" s="1"/>
  <c r="L16" i="55" s="1"/>
  <c r="I16" i="55"/>
  <c r="D16" i="55"/>
  <c r="N15" i="55"/>
  <c r="K15" i="55"/>
  <c r="L15" i="55" s="1"/>
  <c r="J15" i="55"/>
  <c r="I15" i="55"/>
  <c r="F15" i="55"/>
  <c r="G15" i="55" s="1"/>
  <c r="E15" i="55"/>
  <c r="D15" i="55"/>
  <c r="N14" i="55"/>
  <c r="M14" i="55"/>
  <c r="M38" i="55" s="1"/>
  <c r="K14" i="55"/>
  <c r="L14" i="55" s="1"/>
  <c r="H14" i="55"/>
  <c r="H38" i="55" s="1"/>
  <c r="H51" i="55" s="1"/>
  <c r="F14" i="55"/>
  <c r="G14" i="55" s="1"/>
  <c r="E14" i="55"/>
  <c r="N13" i="55"/>
  <c r="J13" i="55"/>
  <c r="K13" i="55" s="1"/>
  <c r="L13" i="55" s="1"/>
  <c r="I13" i="55"/>
  <c r="E13" i="55"/>
  <c r="F13" i="55" s="1"/>
  <c r="G13" i="55" s="1"/>
  <c r="D13" i="55"/>
  <c r="N12" i="55"/>
  <c r="J12" i="55"/>
  <c r="K12" i="55" s="1"/>
  <c r="L12" i="55" s="1"/>
  <c r="I12" i="55"/>
  <c r="D12" i="55"/>
  <c r="O11" i="55"/>
  <c r="E11" i="55"/>
  <c r="F11" i="55" s="1"/>
  <c r="N10" i="55"/>
  <c r="N38" i="55" s="1"/>
  <c r="N51" i="55" s="1"/>
  <c r="I10" i="55"/>
  <c r="F10" i="55"/>
  <c r="G10" i="55" s="1"/>
  <c r="E10" i="55"/>
  <c r="D10" i="55"/>
  <c r="E9" i="55"/>
  <c r="F9" i="55" s="1"/>
  <c r="D9" i="55"/>
  <c r="A8" i="55"/>
  <c r="O50" i="55" l="1"/>
  <c r="O51" i="53"/>
  <c r="F45" i="68"/>
  <c r="G45" i="68" s="1"/>
  <c r="H45" i="68" s="1"/>
  <c r="I45" i="68" s="1"/>
  <c r="J45" i="68" s="1"/>
  <c r="K45" i="68" s="1"/>
  <c r="L45" i="68" s="1"/>
  <c r="M45" i="68" s="1"/>
  <c r="N45" i="68" s="1"/>
  <c r="O45" i="68"/>
  <c r="G37" i="68"/>
  <c r="H16" i="68"/>
  <c r="F46" i="68"/>
  <c r="G46" i="68" s="1"/>
  <c r="H46" i="68" s="1"/>
  <c r="I46" i="68" s="1"/>
  <c r="J46" i="68" s="1"/>
  <c r="K46" i="68" s="1"/>
  <c r="L46" i="68" s="1"/>
  <c r="M46" i="68" s="1"/>
  <c r="N46" i="68" s="1"/>
  <c r="O46" i="68"/>
  <c r="F9" i="68"/>
  <c r="F37" i="68" s="1"/>
  <c r="O9" i="68"/>
  <c r="E37" i="68"/>
  <c r="D50" i="68"/>
  <c r="O44" i="68"/>
  <c r="G56" i="68" s="1"/>
  <c r="O48" i="68"/>
  <c r="J10" i="68"/>
  <c r="F40" i="68"/>
  <c r="E43" i="68"/>
  <c r="F43" i="68" s="1"/>
  <c r="G43" i="68" s="1"/>
  <c r="H43" i="68" s="1"/>
  <c r="I43" i="68" s="1"/>
  <c r="J43" i="68" s="1"/>
  <c r="K43" i="68" s="1"/>
  <c r="L43" i="68" s="1"/>
  <c r="F44" i="68"/>
  <c r="G44" i="68" s="1"/>
  <c r="H44" i="68" s="1"/>
  <c r="I44" i="68" s="1"/>
  <c r="J44" i="68" s="1"/>
  <c r="K44" i="68" s="1"/>
  <c r="L44" i="68" s="1"/>
  <c r="M44" i="68" s="1"/>
  <c r="O47" i="68"/>
  <c r="J85" i="68"/>
  <c r="G10" i="52"/>
  <c r="O28" i="52"/>
  <c r="O34" i="52"/>
  <c r="H38" i="52"/>
  <c r="H51" i="52" s="1"/>
  <c r="I14" i="52"/>
  <c r="O17" i="52"/>
  <c r="O21" i="52"/>
  <c r="O20" i="52"/>
  <c r="O30" i="52"/>
  <c r="E16" i="52"/>
  <c r="F16" i="52" s="1"/>
  <c r="G16" i="52" s="1"/>
  <c r="G18" i="52"/>
  <c r="O18" i="52" s="1"/>
  <c r="G58" i="52" s="1"/>
  <c r="E20" i="52"/>
  <c r="F20" i="52" s="1"/>
  <c r="G20" i="52" s="1"/>
  <c r="G24" i="52"/>
  <c r="O24" i="52" s="1"/>
  <c r="E26" i="52"/>
  <c r="F26" i="52" s="1"/>
  <c r="G26" i="52" s="1"/>
  <c r="G28" i="52"/>
  <c r="E30" i="52"/>
  <c r="F30" i="52" s="1"/>
  <c r="G30" i="52" s="1"/>
  <c r="O35" i="52"/>
  <c r="E35" i="52"/>
  <c r="F35" i="52" s="1"/>
  <c r="G35" i="52" s="1"/>
  <c r="O50" i="52"/>
  <c r="D38" i="52"/>
  <c r="K38" i="52"/>
  <c r="K51" i="52" s="1"/>
  <c r="L10" i="52"/>
  <c r="O12" i="52"/>
  <c r="E12" i="52"/>
  <c r="F12" i="52" s="1"/>
  <c r="G12" i="52" s="1"/>
  <c r="O14" i="52"/>
  <c r="O22" i="52"/>
  <c r="O32" i="52"/>
  <c r="I38" i="52"/>
  <c r="I51" i="52" s="1"/>
  <c r="H79" i="52"/>
  <c r="G84" i="52"/>
  <c r="G78" i="52"/>
  <c r="O13" i="52"/>
  <c r="O15" i="52"/>
  <c r="E15" i="52"/>
  <c r="F15" i="52" s="1"/>
  <c r="G15" i="52" s="1"/>
  <c r="E19" i="52"/>
  <c r="F19" i="52" s="1"/>
  <c r="G19" i="52" s="1"/>
  <c r="O25" i="52"/>
  <c r="E25" i="52"/>
  <c r="F25" i="52" s="1"/>
  <c r="G25" i="52" s="1"/>
  <c r="E29" i="52"/>
  <c r="F29" i="52" s="1"/>
  <c r="G29" i="52" s="1"/>
  <c r="O33" i="52"/>
  <c r="G36" i="52"/>
  <c r="O36" i="52" s="1"/>
  <c r="J38" i="52"/>
  <c r="H78" i="52"/>
  <c r="H84" i="52" s="1"/>
  <c r="O9" i="52"/>
  <c r="O34" i="53"/>
  <c r="L18" i="53"/>
  <c r="M18" i="53" s="1"/>
  <c r="N18" i="53" s="1"/>
  <c r="L28" i="53"/>
  <c r="M28" i="53" s="1"/>
  <c r="N28" i="53" s="1"/>
  <c r="O28" i="53"/>
  <c r="O29" i="53"/>
  <c r="G29" i="53"/>
  <c r="O38" i="53"/>
  <c r="L23" i="53"/>
  <c r="M23" i="53" s="1"/>
  <c r="N23" i="53" s="1"/>
  <c r="O23" i="53"/>
  <c r="F9" i="53"/>
  <c r="E16" i="53"/>
  <c r="F16" i="53" s="1"/>
  <c r="G16" i="53" s="1"/>
  <c r="F32" i="53"/>
  <c r="G32" i="53" s="1"/>
  <c r="K34" i="53"/>
  <c r="L34" i="53" s="1"/>
  <c r="M34" i="53" s="1"/>
  <c r="N34" i="53" s="1"/>
  <c r="F35" i="53"/>
  <c r="G35" i="53" s="1"/>
  <c r="O12" i="53"/>
  <c r="E12" i="53"/>
  <c r="F12" i="53" s="1"/>
  <c r="G12" i="53" s="1"/>
  <c r="O19" i="53"/>
  <c r="O24" i="53"/>
  <c r="O26" i="53"/>
  <c r="E26" i="53"/>
  <c r="F26" i="53" s="1"/>
  <c r="G26" i="53" s="1"/>
  <c r="E31" i="53"/>
  <c r="F31" i="53" s="1"/>
  <c r="G31" i="53" s="1"/>
  <c r="H70" i="53"/>
  <c r="D39" i="53"/>
  <c r="K39" i="53"/>
  <c r="K52" i="53" s="1"/>
  <c r="L10" i="53"/>
  <c r="O13" i="53"/>
  <c r="H39" i="53"/>
  <c r="H52" i="53" s="1"/>
  <c r="I14" i="53"/>
  <c r="O14" i="53" s="1"/>
  <c r="O15" i="53"/>
  <c r="E15" i="53"/>
  <c r="F15" i="53" s="1"/>
  <c r="G15" i="53" s="1"/>
  <c r="G39" i="53" s="1"/>
  <c r="O20" i="53"/>
  <c r="E20" i="53"/>
  <c r="F20" i="53" s="1"/>
  <c r="G20" i="53" s="1"/>
  <c r="O27" i="53"/>
  <c r="O36" i="53"/>
  <c r="E36" i="53"/>
  <c r="F36" i="53" s="1"/>
  <c r="G36" i="53" s="1"/>
  <c r="I39" i="53"/>
  <c r="I52" i="53" s="1"/>
  <c r="O9" i="53"/>
  <c r="O21" i="53"/>
  <c r="O30" i="53"/>
  <c r="E30" i="53"/>
  <c r="F30" i="53" s="1"/>
  <c r="G30" i="53" s="1"/>
  <c r="O37" i="53"/>
  <c r="J39" i="53"/>
  <c r="O74" i="53"/>
  <c r="G80" i="53"/>
  <c r="O34" i="54"/>
  <c r="E35" i="54"/>
  <c r="F35" i="54" s="1"/>
  <c r="G35" i="54" s="1"/>
  <c r="O36" i="54"/>
  <c r="F36" i="54"/>
  <c r="G36" i="54" s="1"/>
  <c r="H81" i="54"/>
  <c r="G86" i="54"/>
  <c r="M10" i="54"/>
  <c r="O13" i="54"/>
  <c r="O18" i="54"/>
  <c r="G59" i="54" s="1"/>
  <c r="E18" i="54"/>
  <c r="F18" i="54" s="1"/>
  <c r="G18" i="54" s="1"/>
  <c r="E25" i="54"/>
  <c r="F25" i="54" s="1"/>
  <c r="G25" i="54" s="1"/>
  <c r="G39" i="54" s="1"/>
  <c r="O30" i="54"/>
  <c r="G80" i="54"/>
  <c r="H80" i="54"/>
  <c r="H86" i="54" s="1"/>
  <c r="H71" i="54"/>
  <c r="F11" i="54"/>
  <c r="O11" i="54" s="1"/>
  <c r="L12" i="54"/>
  <c r="M12" i="54" s="1"/>
  <c r="N12" i="54" s="1"/>
  <c r="K39" i="54"/>
  <c r="K52" i="54" s="1"/>
  <c r="O29" i="54"/>
  <c r="E29" i="54"/>
  <c r="F29" i="54" s="1"/>
  <c r="G29" i="54" s="1"/>
  <c r="O31" i="54"/>
  <c r="J39" i="54"/>
  <c r="O32" i="54"/>
  <c r="O37" i="54"/>
  <c r="O78" i="54"/>
  <c r="F14" i="54"/>
  <c r="G14" i="54" s="1"/>
  <c r="H14" i="54" s="1"/>
  <c r="O21" i="54"/>
  <c r="E28" i="54"/>
  <c r="F28" i="54" s="1"/>
  <c r="G28" i="54" s="1"/>
  <c r="E32" i="54"/>
  <c r="F32" i="54" s="1"/>
  <c r="G32" i="54" s="1"/>
  <c r="E34" i="54"/>
  <c r="F34" i="54" s="1"/>
  <c r="G34" i="54" s="1"/>
  <c r="G38" i="54"/>
  <c r="O38" i="54" s="1"/>
  <c r="O17" i="130"/>
  <c r="O22" i="130"/>
  <c r="H77" i="130"/>
  <c r="H83" i="130" s="1"/>
  <c r="G77" i="130"/>
  <c r="H68" i="130"/>
  <c r="O12" i="130"/>
  <c r="O20" i="130"/>
  <c r="I9" i="130"/>
  <c r="E10" i="130"/>
  <c r="F10" i="130" s="1"/>
  <c r="G10" i="130" s="1"/>
  <c r="O11" i="130"/>
  <c r="F14" i="130"/>
  <c r="G14" i="130" s="1"/>
  <c r="H14" i="130" s="1"/>
  <c r="I14" i="130" s="1"/>
  <c r="E17" i="130"/>
  <c r="F17" i="130" s="1"/>
  <c r="G17" i="130" s="1"/>
  <c r="O18" i="130"/>
  <c r="E22" i="130"/>
  <c r="F22" i="130" s="1"/>
  <c r="G22" i="130" s="1"/>
  <c r="C50" i="130"/>
  <c r="H78" i="130"/>
  <c r="O13" i="130"/>
  <c r="O16" i="130"/>
  <c r="O21" i="130"/>
  <c r="F12" i="130"/>
  <c r="G12" i="130" s="1"/>
  <c r="F15" i="130"/>
  <c r="G15" i="130" s="1"/>
  <c r="F20" i="130"/>
  <c r="G20" i="130" s="1"/>
  <c r="O18" i="55"/>
  <c r="G58" i="55" s="1"/>
  <c r="O15" i="55"/>
  <c r="K20" i="55"/>
  <c r="L20" i="55" s="1"/>
  <c r="O20" i="55"/>
  <c r="O26" i="55"/>
  <c r="E26" i="55"/>
  <c r="F26" i="55" s="1"/>
  <c r="G26" i="55" s="1"/>
  <c r="E30" i="55"/>
  <c r="F30" i="55" s="1"/>
  <c r="G30" i="55" s="1"/>
  <c r="O33" i="55"/>
  <c r="E33" i="55"/>
  <c r="F33" i="55" s="1"/>
  <c r="G33" i="55" s="1"/>
  <c r="O35" i="55"/>
  <c r="I38" i="55"/>
  <c r="I51" i="55" s="1"/>
  <c r="E12" i="55"/>
  <c r="F12" i="55" s="1"/>
  <c r="G12" i="55" s="1"/>
  <c r="O13" i="55"/>
  <c r="I14" i="55"/>
  <c r="O14" i="55"/>
  <c r="E16" i="55"/>
  <c r="F16" i="55" s="1"/>
  <c r="G16" i="55" s="1"/>
  <c r="O23" i="55"/>
  <c r="O36" i="55"/>
  <c r="G36" i="55"/>
  <c r="O37" i="55"/>
  <c r="J10" i="55"/>
  <c r="F17" i="55"/>
  <c r="G17" i="55" s="1"/>
  <c r="E18" i="55"/>
  <c r="F18" i="55" s="1"/>
  <c r="G18" i="55" s="1"/>
  <c r="O21" i="55"/>
  <c r="E24" i="55"/>
  <c r="F24" i="55" s="1"/>
  <c r="G24" i="55" s="1"/>
  <c r="G38" i="55" s="1"/>
  <c r="O25" i="55"/>
  <c r="E28" i="55"/>
  <c r="F28" i="55" s="1"/>
  <c r="G28" i="55" s="1"/>
  <c r="O29" i="55"/>
  <c r="H78" i="55"/>
  <c r="H84" i="55" s="1"/>
  <c r="G78" i="55"/>
  <c r="H69" i="55"/>
  <c r="O9" i="55"/>
  <c r="D38" i="55"/>
  <c r="D51" i="55" s="1"/>
  <c r="M51" i="55"/>
  <c r="J89" i="55"/>
  <c r="O22" i="55"/>
  <c r="O34" i="55"/>
  <c r="E35" i="55"/>
  <c r="F35" i="55" s="1"/>
  <c r="G35" i="55" s="1"/>
  <c r="O131" i="1"/>
  <c r="O132" i="1"/>
  <c r="O133" i="1"/>
  <c r="O134" i="1"/>
  <c r="O135" i="1"/>
  <c r="O137" i="1"/>
  <c r="O139" i="1"/>
  <c r="O140" i="1"/>
  <c r="O141" i="1"/>
  <c r="O142" i="1"/>
  <c r="O143" i="1"/>
  <c r="O144" i="1"/>
  <c r="O146" i="1"/>
  <c r="O147" i="1"/>
  <c r="O148" i="1"/>
  <c r="O149" i="1"/>
  <c r="E424" i="151"/>
  <c r="D424" i="151"/>
  <c r="E421" i="151"/>
  <c r="D421" i="151"/>
  <c r="E417" i="151"/>
  <c r="D417" i="151"/>
  <c r="E414" i="151"/>
  <c r="D414" i="151"/>
  <c r="E411" i="151"/>
  <c r="D411" i="151"/>
  <c r="E408" i="151"/>
  <c r="D408" i="151"/>
  <c r="E406" i="151"/>
  <c r="D406" i="151"/>
  <c r="E402" i="151"/>
  <c r="D402" i="151"/>
  <c r="E399" i="151"/>
  <c r="D399" i="151"/>
  <c r="E397" i="151"/>
  <c r="D397" i="151"/>
  <c r="E394" i="151"/>
  <c r="D394" i="151"/>
  <c r="E390" i="151"/>
  <c r="D390" i="151"/>
  <c r="E386" i="151"/>
  <c r="D386" i="151"/>
  <c r="E382" i="151"/>
  <c r="D382" i="151"/>
  <c r="E379" i="151"/>
  <c r="D379" i="151"/>
  <c r="E375" i="151"/>
  <c r="D375" i="151"/>
  <c r="E372" i="151"/>
  <c r="D372" i="151"/>
  <c r="E369" i="151"/>
  <c r="D369" i="151"/>
  <c r="E366" i="151"/>
  <c r="D366" i="151"/>
  <c r="E364" i="151"/>
  <c r="D364" i="151"/>
  <c r="E360" i="151"/>
  <c r="D360" i="151"/>
  <c r="E357" i="151"/>
  <c r="D357" i="151"/>
  <c r="E353" i="151"/>
  <c r="D353" i="151"/>
  <c r="E350" i="151"/>
  <c r="D350" i="151"/>
  <c r="E347" i="151"/>
  <c r="D347" i="151"/>
  <c r="E344" i="151"/>
  <c r="D344" i="151"/>
  <c r="E341" i="151"/>
  <c r="D341" i="151"/>
  <c r="E337" i="151"/>
  <c r="D337" i="151"/>
  <c r="E333" i="151"/>
  <c r="D333" i="151"/>
  <c r="E329" i="151"/>
  <c r="D329" i="151"/>
  <c r="E327" i="151"/>
  <c r="D327" i="151"/>
  <c r="E324" i="151"/>
  <c r="D324" i="151"/>
  <c r="E321" i="151"/>
  <c r="D321" i="151"/>
  <c r="E319" i="151"/>
  <c r="D319" i="151"/>
  <c r="E316" i="151"/>
  <c r="D316" i="151"/>
  <c r="E312" i="151"/>
  <c r="D312" i="151"/>
  <c r="E308" i="151"/>
  <c r="D308" i="151"/>
  <c r="E304" i="151"/>
  <c r="D304" i="151"/>
  <c r="E300" i="151"/>
  <c r="D300" i="151"/>
  <c r="E296" i="151"/>
  <c r="D296" i="151"/>
  <c r="E292" i="151"/>
  <c r="D292" i="151"/>
  <c r="E288" i="151"/>
  <c r="D288" i="151"/>
  <c r="E285" i="151"/>
  <c r="D285" i="151"/>
  <c r="E281" i="151"/>
  <c r="D281" i="151"/>
  <c r="E277" i="151"/>
  <c r="D277" i="151"/>
  <c r="E273" i="151"/>
  <c r="D273" i="151"/>
  <c r="E270" i="151"/>
  <c r="D270" i="151"/>
  <c r="E266" i="151"/>
  <c r="D266" i="151"/>
  <c r="E262" i="151"/>
  <c r="D262" i="151"/>
  <c r="E258" i="151"/>
  <c r="D258" i="151"/>
  <c r="E256" i="151"/>
  <c r="D256" i="151"/>
  <c r="E252" i="151"/>
  <c r="D252" i="151"/>
  <c r="E250" i="151"/>
  <c r="D250" i="151"/>
  <c r="E247" i="151"/>
  <c r="D247" i="151"/>
  <c r="E243" i="151"/>
  <c r="D243" i="151"/>
  <c r="E239" i="151"/>
  <c r="D239" i="151"/>
  <c r="E235" i="151"/>
  <c r="D235" i="151"/>
  <c r="E231" i="151"/>
  <c r="D231" i="151"/>
  <c r="E227" i="151"/>
  <c r="D227" i="151"/>
  <c r="E223" i="151"/>
  <c r="D223" i="151"/>
  <c r="E219" i="151"/>
  <c r="D219" i="151"/>
  <c r="E215" i="151"/>
  <c r="D215" i="151"/>
  <c r="E211" i="151"/>
  <c r="D211" i="151"/>
  <c r="E207" i="151"/>
  <c r="D207" i="151"/>
  <c r="E203" i="151"/>
  <c r="D203" i="151"/>
  <c r="E201" i="151"/>
  <c r="D201" i="151"/>
  <c r="E198" i="151"/>
  <c r="D198" i="151"/>
  <c r="E194" i="151"/>
  <c r="D194" i="151"/>
  <c r="E191" i="151"/>
  <c r="D191" i="151"/>
  <c r="E187" i="151"/>
  <c r="D187" i="151"/>
  <c r="E183" i="151"/>
  <c r="D183" i="151"/>
  <c r="E179" i="151"/>
  <c r="D179" i="151"/>
  <c r="E175" i="151"/>
  <c r="D175" i="151"/>
  <c r="E171" i="151"/>
  <c r="D171" i="151"/>
  <c r="E167" i="151"/>
  <c r="D167" i="151"/>
  <c r="E163" i="151"/>
  <c r="D163" i="151"/>
  <c r="E160" i="151"/>
  <c r="D160" i="151"/>
  <c r="E156" i="151"/>
  <c r="D156" i="151"/>
  <c r="E152" i="151"/>
  <c r="D152" i="151"/>
  <c r="E149" i="151"/>
  <c r="D149" i="151"/>
  <c r="E145" i="151"/>
  <c r="D145" i="151"/>
  <c r="E141" i="151"/>
  <c r="D141" i="151"/>
  <c r="E137" i="151"/>
  <c r="D137" i="151"/>
  <c r="E134" i="151"/>
  <c r="D134" i="151"/>
  <c r="E130" i="151"/>
  <c r="D130" i="151"/>
  <c r="E126" i="151"/>
  <c r="D126" i="151"/>
  <c r="E122" i="151"/>
  <c r="D122" i="151"/>
  <c r="E118" i="151"/>
  <c r="D118" i="151"/>
  <c r="E116" i="151"/>
  <c r="D116" i="151"/>
  <c r="E113" i="151"/>
  <c r="D113" i="151"/>
  <c r="E110" i="151"/>
  <c r="D110" i="151"/>
  <c r="E106" i="151"/>
  <c r="D106" i="151"/>
  <c r="E104" i="151"/>
  <c r="D104" i="151"/>
  <c r="E100" i="151"/>
  <c r="D100" i="151"/>
  <c r="E96" i="151"/>
  <c r="D96" i="151"/>
  <c r="E93" i="151"/>
  <c r="D93" i="151"/>
  <c r="E89" i="151"/>
  <c r="D89" i="151"/>
  <c r="E85" i="151"/>
  <c r="D85" i="151"/>
  <c r="E81" i="151"/>
  <c r="D81" i="151"/>
  <c r="E77" i="151"/>
  <c r="D77" i="151"/>
  <c r="E73" i="151"/>
  <c r="D73" i="151"/>
  <c r="E69" i="151"/>
  <c r="D69" i="151"/>
  <c r="E65" i="151"/>
  <c r="D65" i="151"/>
  <c r="E61" i="151"/>
  <c r="D61" i="151"/>
  <c r="E57" i="151"/>
  <c r="D57" i="151"/>
  <c r="E53" i="151"/>
  <c r="D53" i="151"/>
  <c r="E49" i="151"/>
  <c r="D49" i="151"/>
  <c r="E45" i="151"/>
  <c r="D45" i="151"/>
  <c r="E41" i="151"/>
  <c r="D41" i="151"/>
  <c r="E37" i="151"/>
  <c r="D37" i="151"/>
  <c r="E33" i="151"/>
  <c r="D33" i="151"/>
  <c r="E31" i="151"/>
  <c r="D31" i="151"/>
  <c r="E27" i="151"/>
  <c r="D27" i="151"/>
  <c r="E24" i="151"/>
  <c r="D24" i="151"/>
  <c r="E20" i="151"/>
  <c r="D20" i="151"/>
  <c r="E17" i="151"/>
  <c r="D17" i="151"/>
  <c r="E13" i="151"/>
  <c r="D13" i="151"/>
  <c r="E9" i="151"/>
  <c r="D9" i="151"/>
  <c r="E5" i="151"/>
  <c r="D5" i="151"/>
  <c r="G351" i="149"/>
  <c r="F351" i="149"/>
  <c r="G347" i="149"/>
  <c r="F347" i="149"/>
  <c r="G343" i="149"/>
  <c r="F343" i="149"/>
  <c r="G338" i="149"/>
  <c r="F338" i="149"/>
  <c r="G334" i="149"/>
  <c r="F334" i="149"/>
  <c r="G330" i="149"/>
  <c r="F330" i="149"/>
  <c r="G326" i="149"/>
  <c r="F326" i="149"/>
  <c r="G322" i="149"/>
  <c r="F322" i="149"/>
  <c r="G318" i="149"/>
  <c r="F318" i="149"/>
  <c r="G314" i="149"/>
  <c r="F314" i="149"/>
  <c r="G310" i="149"/>
  <c r="F310" i="149"/>
  <c r="G306" i="149"/>
  <c r="F306" i="149"/>
  <c r="G302" i="149"/>
  <c r="F302" i="149"/>
  <c r="G298" i="149"/>
  <c r="F298" i="149"/>
  <c r="G296" i="149"/>
  <c r="F296" i="149"/>
  <c r="G292" i="149"/>
  <c r="F292" i="149"/>
  <c r="G288" i="149"/>
  <c r="F288" i="149"/>
  <c r="G284" i="149"/>
  <c r="F284" i="149"/>
  <c r="G280" i="149"/>
  <c r="F280" i="149"/>
  <c r="G277" i="149"/>
  <c r="F277" i="149"/>
  <c r="G273" i="149"/>
  <c r="F273" i="149"/>
  <c r="G269" i="149"/>
  <c r="F269" i="149"/>
  <c r="G267" i="149"/>
  <c r="F267" i="149"/>
  <c r="G263" i="149"/>
  <c r="F263" i="149"/>
  <c r="G259" i="149"/>
  <c r="F259" i="149"/>
  <c r="G255" i="149"/>
  <c r="F255" i="149"/>
  <c r="G251" i="149"/>
  <c r="F251" i="149"/>
  <c r="G247" i="149"/>
  <c r="F247" i="149"/>
  <c r="G243" i="149"/>
  <c r="F243" i="149"/>
  <c r="G239" i="149"/>
  <c r="F239" i="149"/>
  <c r="G235" i="149"/>
  <c r="F235" i="149"/>
  <c r="G231" i="149"/>
  <c r="F231" i="149"/>
  <c r="G227" i="149"/>
  <c r="F227" i="149"/>
  <c r="G223" i="149"/>
  <c r="F223" i="149"/>
  <c r="G219" i="149"/>
  <c r="F219" i="149"/>
  <c r="G215" i="149"/>
  <c r="F215" i="149"/>
  <c r="G211" i="149"/>
  <c r="F211" i="149"/>
  <c r="G207" i="149"/>
  <c r="F207" i="149"/>
  <c r="G203" i="149"/>
  <c r="F203" i="149"/>
  <c r="G199" i="149"/>
  <c r="F199" i="149"/>
  <c r="G195" i="149"/>
  <c r="F195" i="149"/>
  <c r="G191" i="149"/>
  <c r="F191" i="149"/>
  <c r="G187" i="149"/>
  <c r="F187" i="149"/>
  <c r="G183" i="149"/>
  <c r="F183" i="149"/>
  <c r="G181" i="149"/>
  <c r="F181" i="149"/>
  <c r="G177" i="149"/>
  <c r="F177" i="149"/>
  <c r="G173" i="149"/>
  <c r="F173" i="149"/>
  <c r="G169" i="149"/>
  <c r="F169" i="149"/>
  <c r="G165" i="149"/>
  <c r="F165" i="149"/>
  <c r="G161" i="149"/>
  <c r="F161" i="149"/>
  <c r="G157" i="149"/>
  <c r="F157" i="149"/>
  <c r="G153" i="149"/>
  <c r="F153" i="149"/>
  <c r="G149" i="149"/>
  <c r="F149" i="149"/>
  <c r="G145" i="149"/>
  <c r="F145" i="149"/>
  <c r="G141" i="149"/>
  <c r="F141" i="149"/>
  <c r="G137" i="149"/>
  <c r="F137" i="149"/>
  <c r="G133" i="149"/>
  <c r="F133" i="149"/>
  <c r="G131" i="149"/>
  <c r="F131" i="149"/>
  <c r="G127" i="149"/>
  <c r="F127" i="149"/>
  <c r="G123" i="149"/>
  <c r="F123" i="149"/>
  <c r="G119" i="149"/>
  <c r="F119" i="149"/>
  <c r="G115" i="149"/>
  <c r="F115" i="149"/>
  <c r="G113" i="149"/>
  <c r="F113" i="149"/>
  <c r="G109" i="149"/>
  <c r="F109" i="149"/>
  <c r="G105" i="149"/>
  <c r="F105" i="149"/>
  <c r="G102" i="149"/>
  <c r="F102" i="149"/>
  <c r="G98" i="149"/>
  <c r="F98" i="149"/>
  <c r="G94" i="149"/>
  <c r="F94" i="149"/>
  <c r="G90" i="149"/>
  <c r="F90" i="149"/>
  <c r="G86" i="149"/>
  <c r="F86" i="149"/>
  <c r="G82" i="149"/>
  <c r="F82" i="149"/>
  <c r="G78" i="149"/>
  <c r="F78" i="149"/>
  <c r="G74" i="149"/>
  <c r="F74" i="149"/>
  <c r="G70" i="149"/>
  <c r="F70" i="149"/>
  <c r="G66" i="149"/>
  <c r="F66" i="149"/>
  <c r="G62" i="149"/>
  <c r="F62" i="149"/>
  <c r="G58" i="149"/>
  <c r="F58" i="149"/>
  <c r="G54" i="149"/>
  <c r="F54" i="149"/>
  <c r="G50" i="149"/>
  <c r="F50" i="149"/>
  <c r="G45" i="149"/>
  <c r="F45" i="149"/>
  <c r="G41" i="149"/>
  <c r="F41" i="149"/>
  <c r="G37" i="149"/>
  <c r="F37" i="149"/>
  <c r="G33" i="149"/>
  <c r="F33" i="149"/>
  <c r="G29" i="149"/>
  <c r="F29" i="149"/>
  <c r="G25" i="149"/>
  <c r="F25" i="149"/>
  <c r="G21" i="149"/>
  <c r="F21" i="149"/>
  <c r="G17" i="149"/>
  <c r="F17" i="149"/>
  <c r="G13" i="149"/>
  <c r="F13" i="149"/>
  <c r="G9" i="149"/>
  <c r="F9" i="149"/>
  <c r="G5" i="149"/>
  <c r="F5" i="149"/>
  <c r="F468" i="150"/>
  <c r="E468" i="150"/>
  <c r="F462" i="150"/>
  <c r="E462" i="150"/>
  <c r="F457" i="150"/>
  <c r="E457" i="150"/>
  <c r="F452" i="150"/>
  <c r="E452" i="150"/>
  <c r="F450" i="150"/>
  <c r="E450" i="150"/>
  <c r="F448" i="150"/>
  <c r="E448" i="150"/>
  <c r="F442" i="150"/>
  <c r="E442" i="150"/>
  <c r="F436" i="150"/>
  <c r="E436" i="150"/>
  <c r="F430" i="150"/>
  <c r="E430" i="150"/>
  <c r="F428" i="150"/>
  <c r="E428" i="150"/>
  <c r="F426" i="150"/>
  <c r="E426" i="150"/>
  <c r="F420" i="150"/>
  <c r="E420" i="150"/>
  <c r="F417" i="150"/>
  <c r="E417" i="150"/>
  <c r="F412" i="150"/>
  <c r="E412" i="150"/>
  <c r="F410" i="150"/>
  <c r="E410" i="150"/>
  <c r="F408" i="150"/>
  <c r="E408" i="150"/>
  <c r="F403" i="150"/>
  <c r="E403" i="150"/>
  <c r="F401" i="150"/>
  <c r="E401" i="150"/>
  <c r="F399" i="150"/>
  <c r="E399" i="150"/>
  <c r="F393" i="150"/>
  <c r="E393" i="150"/>
  <c r="F388" i="150"/>
  <c r="E388" i="150"/>
  <c r="F386" i="150"/>
  <c r="E386" i="150"/>
  <c r="F381" i="150"/>
  <c r="E381" i="150"/>
  <c r="F379" i="150"/>
  <c r="E379" i="150"/>
  <c r="F374" i="150"/>
  <c r="E374" i="150"/>
  <c r="F372" i="150"/>
  <c r="E372" i="150"/>
  <c r="F366" i="150"/>
  <c r="E366" i="150"/>
  <c r="F361" i="150"/>
  <c r="E361" i="150"/>
  <c r="F355" i="150"/>
  <c r="E355" i="150"/>
  <c r="F350" i="150"/>
  <c r="E350" i="150"/>
  <c r="F345" i="150"/>
  <c r="E345" i="150"/>
  <c r="F340" i="150"/>
  <c r="E340" i="150"/>
  <c r="F338" i="150"/>
  <c r="E338" i="150"/>
  <c r="F333" i="150"/>
  <c r="E333" i="150"/>
  <c r="F328" i="150"/>
  <c r="E328" i="150"/>
  <c r="F323" i="150"/>
  <c r="E323" i="150"/>
  <c r="F321" i="150"/>
  <c r="E321" i="150"/>
  <c r="F316" i="150"/>
  <c r="E316" i="150"/>
  <c r="F311" i="150"/>
  <c r="E311" i="150"/>
  <c r="F306" i="150"/>
  <c r="E306" i="150"/>
  <c r="F301" i="150"/>
  <c r="E301" i="150"/>
  <c r="F296" i="150"/>
  <c r="E296" i="150"/>
  <c r="F290" i="150"/>
  <c r="E290" i="150"/>
  <c r="F285" i="150"/>
  <c r="E285" i="150"/>
  <c r="F280" i="150"/>
  <c r="E280" i="150"/>
  <c r="F274" i="150"/>
  <c r="E274" i="150"/>
  <c r="F269" i="150"/>
  <c r="E269" i="150"/>
  <c r="F264" i="150"/>
  <c r="E264" i="150"/>
  <c r="F258" i="150"/>
  <c r="E258" i="150"/>
  <c r="F253" i="150"/>
  <c r="E253" i="150"/>
  <c r="F247" i="150"/>
  <c r="E247" i="150"/>
  <c r="F242" i="150"/>
  <c r="E242" i="150"/>
  <c r="F237" i="150"/>
  <c r="E237" i="150"/>
  <c r="F232" i="150"/>
  <c r="E232" i="150"/>
  <c r="F228" i="150"/>
  <c r="E228" i="150"/>
  <c r="F222" i="150"/>
  <c r="E222" i="150"/>
  <c r="F217" i="150"/>
  <c r="E217" i="150"/>
  <c r="F211" i="150"/>
  <c r="E211" i="150"/>
  <c r="F205" i="150"/>
  <c r="E205" i="150"/>
  <c r="F200" i="150"/>
  <c r="E200" i="150"/>
  <c r="F195" i="150"/>
  <c r="E195" i="150"/>
  <c r="F190" i="150"/>
  <c r="E190" i="150"/>
  <c r="F185" i="150"/>
  <c r="E185" i="150"/>
  <c r="F180" i="150"/>
  <c r="E180" i="150"/>
  <c r="F178" i="150"/>
  <c r="E178" i="150"/>
  <c r="F173" i="150"/>
  <c r="E173" i="150"/>
  <c r="F168" i="150"/>
  <c r="E168" i="150"/>
  <c r="F163" i="150"/>
  <c r="E163" i="150"/>
  <c r="F158" i="150"/>
  <c r="E158" i="150"/>
  <c r="F153" i="150"/>
  <c r="E153" i="150"/>
  <c r="F147" i="150"/>
  <c r="E147" i="150"/>
  <c r="F142" i="150"/>
  <c r="E142" i="150"/>
  <c r="F137" i="150"/>
  <c r="E137" i="150"/>
  <c r="F132" i="150"/>
  <c r="E132" i="150"/>
  <c r="F130" i="150"/>
  <c r="E130" i="150"/>
  <c r="F125" i="150"/>
  <c r="E125" i="150"/>
  <c r="F120" i="150"/>
  <c r="E120" i="150"/>
  <c r="F115" i="150"/>
  <c r="E115" i="150"/>
  <c r="F110" i="150"/>
  <c r="E110" i="150"/>
  <c r="F105" i="150"/>
  <c r="E105" i="150"/>
  <c r="F100" i="150"/>
  <c r="E100" i="150"/>
  <c r="F95" i="150"/>
  <c r="E95" i="150"/>
  <c r="F90" i="150"/>
  <c r="E90" i="150"/>
  <c r="F86" i="150"/>
  <c r="E86" i="150"/>
  <c r="F80" i="150"/>
  <c r="E80" i="150"/>
  <c r="F74" i="150"/>
  <c r="E74" i="150"/>
  <c r="F69" i="150"/>
  <c r="E69" i="150"/>
  <c r="F64" i="150"/>
  <c r="E64" i="150"/>
  <c r="F59" i="150"/>
  <c r="E59" i="150"/>
  <c r="F54" i="150"/>
  <c r="E54" i="150"/>
  <c r="F49" i="150"/>
  <c r="E49" i="150"/>
  <c r="F44" i="150"/>
  <c r="E44" i="150"/>
  <c r="F39" i="150"/>
  <c r="E39" i="150"/>
  <c r="F33" i="150"/>
  <c r="E33" i="150"/>
  <c r="F27" i="150"/>
  <c r="E27" i="150"/>
  <c r="F22" i="150"/>
  <c r="E22" i="150"/>
  <c r="F20" i="150"/>
  <c r="E20" i="150"/>
  <c r="F15" i="150"/>
  <c r="E15" i="150"/>
  <c r="F11" i="150"/>
  <c r="E11" i="150"/>
  <c r="F6" i="150"/>
  <c r="E6" i="150"/>
  <c r="K1" i="150"/>
  <c r="E469" i="150" l="1"/>
  <c r="F352" i="149"/>
  <c r="G352" i="149"/>
  <c r="F469" i="150"/>
  <c r="N150" i="1"/>
  <c r="E425" i="151"/>
  <c r="D425" i="151"/>
  <c r="O136" i="1"/>
  <c r="P136" i="1" s="1"/>
  <c r="O138" i="1"/>
  <c r="O43" i="68"/>
  <c r="G68" i="68" s="1"/>
  <c r="F49" i="68"/>
  <c r="F50" i="68" s="1"/>
  <c r="G40" i="68"/>
  <c r="E50" i="68"/>
  <c r="H37" i="68"/>
  <c r="I16" i="68"/>
  <c r="K10" i="68"/>
  <c r="E49" i="68"/>
  <c r="O29" i="52"/>
  <c r="O19" i="52"/>
  <c r="D51" i="52"/>
  <c r="O26" i="52"/>
  <c r="F38" i="52"/>
  <c r="F51" i="52" s="1"/>
  <c r="E38" i="52"/>
  <c r="J88" i="52"/>
  <c r="J51" i="52"/>
  <c r="J52" i="52"/>
  <c r="J53" i="52" s="1"/>
  <c r="L38" i="52"/>
  <c r="L51" i="52" s="1"/>
  <c r="M10" i="52"/>
  <c r="O16" i="52"/>
  <c r="G38" i="52"/>
  <c r="J88" i="53"/>
  <c r="G52" i="53"/>
  <c r="L39" i="53"/>
  <c r="L52" i="53" s="1"/>
  <c r="M10" i="53"/>
  <c r="O35" i="53"/>
  <c r="F39" i="53"/>
  <c r="F52" i="53" s="1"/>
  <c r="O32" i="53"/>
  <c r="J89" i="53"/>
  <c r="J53" i="53"/>
  <c r="J54" i="53" s="1"/>
  <c r="J52" i="53"/>
  <c r="J87" i="53"/>
  <c r="D52" i="53"/>
  <c r="O16" i="53"/>
  <c r="E39" i="53"/>
  <c r="O18" i="53"/>
  <c r="H80" i="53"/>
  <c r="H85" i="53" s="1"/>
  <c r="G85" i="53"/>
  <c r="O31" i="53"/>
  <c r="G52" i="54"/>
  <c r="E39" i="54"/>
  <c r="O12" i="54"/>
  <c r="O25" i="54"/>
  <c r="M39" i="54"/>
  <c r="N10" i="54"/>
  <c r="N39" i="54" s="1"/>
  <c r="N52" i="54" s="1"/>
  <c r="H39" i="54"/>
  <c r="H52" i="54" s="1"/>
  <c r="I14" i="54"/>
  <c r="I39" i="54" s="1"/>
  <c r="I52" i="54" s="1"/>
  <c r="J53" i="54"/>
  <c r="J54" i="54" s="1"/>
  <c r="J90" i="54"/>
  <c r="J52" i="54"/>
  <c r="O14" i="54"/>
  <c r="L39" i="54"/>
  <c r="L52" i="54" s="1"/>
  <c r="O35" i="54"/>
  <c r="F39" i="54"/>
  <c r="F52" i="54" s="1"/>
  <c r="O28" i="54"/>
  <c r="F37" i="130"/>
  <c r="F50" i="130" s="1"/>
  <c r="G37" i="130"/>
  <c r="O15" i="130"/>
  <c r="E37" i="130"/>
  <c r="J9" i="130"/>
  <c r="I37" i="130"/>
  <c r="I50" i="130" s="1"/>
  <c r="O10" i="130"/>
  <c r="H37" i="130"/>
  <c r="H50" i="130" s="1"/>
  <c r="O14" i="130"/>
  <c r="J87" i="55"/>
  <c r="G51" i="55"/>
  <c r="J38" i="55"/>
  <c r="K10" i="55"/>
  <c r="E38" i="55"/>
  <c r="E51" i="55" s="1"/>
  <c r="J86" i="55"/>
  <c r="O28" i="55"/>
  <c r="O17" i="55"/>
  <c r="O16" i="55"/>
  <c r="O24" i="55"/>
  <c r="O30" i="55"/>
  <c r="O12" i="55"/>
  <c r="O145" i="1"/>
  <c r="P131" i="1"/>
  <c r="P132" i="1"/>
  <c r="P133" i="1"/>
  <c r="P134" i="1"/>
  <c r="P135" i="1"/>
  <c r="P139" i="1"/>
  <c r="P140" i="1"/>
  <c r="P141" i="1"/>
  <c r="P142" i="1"/>
  <c r="P143" i="1"/>
  <c r="P144" i="1"/>
  <c r="P147" i="1"/>
  <c r="P148" i="1"/>
  <c r="Q37" i="41"/>
  <c r="Q37" i="40"/>
  <c r="N154" i="1" l="1"/>
  <c r="O150" i="1"/>
  <c r="L10" i="68"/>
  <c r="O10" i="68" s="1"/>
  <c r="H68" i="68"/>
  <c r="J16" i="68"/>
  <c r="I37" i="68"/>
  <c r="G49" i="68"/>
  <c r="G50" i="68" s="1"/>
  <c r="H40" i="68"/>
  <c r="N10" i="52"/>
  <c r="N38" i="52" s="1"/>
  <c r="N51" i="52" s="1"/>
  <c r="M38" i="52"/>
  <c r="O10" i="52"/>
  <c r="E51" i="52"/>
  <c r="O38" i="52"/>
  <c r="G54" i="52" s="1"/>
  <c r="G60" i="52" s="1"/>
  <c r="G65" i="52" s="1"/>
  <c r="J86" i="52"/>
  <c r="G51" i="52"/>
  <c r="J87" i="52"/>
  <c r="N10" i="53"/>
  <c r="M39" i="53"/>
  <c r="Q53" i="53"/>
  <c r="Q54" i="53" s="1"/>
  <c r="Q40" i="53"/>
  <c r="Q41" i="53" s="1"/>
  <c r="G59" i="53"/>
  <c r="E52" i="53"/>
  <c r="E52" i="54"/>
  <c r="O52" i="54" s="1"/>
  <c r="J88" i="54"/>
  <c r="O39" i="54"/>
  <c r="O10" i="54"/>
  <c r="J91" i="54"/>
  <c r="M52" i="54"/>
  <c r="J89" i="54"/>
  <c r="E50" i="130"/>
  <c r="J85" i="130"/>
  <c r="J86" i="130"/>
  <c r="G50" i="130"/>
  <c r="K9" i="130"/>
  <c r="J37" i="130"/>
  <c r="K38" i="55"/>
  <c r="K51" i="55" s="1"/>
  <c r="L10" i="55"/>
  <c r="J51" i="55"/>
  <c r="J52" i="55"/>
  <c r="J53" i="55" s="1"/>
  <c r="H95" i="148"/>
  <c r="C89" i="148"/>
  <c r="C88" i="148"/>
  <c r="G83" i="148"/>
  <c r="H82" i="148"/>
  <c r="H79" i="148"/>
  <c r="H78" i="148"/>
  <c r="H76" i="148"/>
  <c r="H75" i="148"/>
  <c r="H74" i="148"/>
  <c r="H73" i="148"/>
  <c r="H72" i="148"/>
  <c r="H71" i="148"/>
  <c r="H69" i="148"/>
  <c r="M51" i="148"/>
  <c r="Q50" i="148"/>
  <c r="C49" i="148"/>
  <c r="N48" i="148"/>
  <c r="M48" i="148"/>
  <c r="G48" i="148"/>
  <c r="D48" i="148"/>
  <c r="O48" i="148" s="1"/>
  <c r="D47" i="148"/>
  <c r="E47" i="148" s="1"/>
  <c r="F47" i="148" s="1"/>
  <c r="G47" i="148" s="1"/>
  <c r="H47" i="148" s="1"/>
  <c r="I47" i="148" s="1"/>
  <c r="J47" i="148" s="1"/>
  <c r="K47" i="148" s="1"/>
  <c r="L47" i="148" s="1"/>
  <c r="M47" i="148" s="1"/>
  <c r="N47" i="148" s="1"/>
  <c r="D46" i="148"/>
  <c r="E46" i="148" s="1"/>
  <c r="F46" i="148" s="1"/>
  <c r="G46" i="148" s="1"/>
  <c r="H46" i="148" s="1"/>
  <c r="I46" i="148" s="1"/>
  <c r="J46" i="148" s="1"/>
  <c r="K46" i="148" s="1"/>
  <c r="L46" i="148" s="1"/>
  <c r="M46" i="148" s="1"/>
  <c r="N46" i="148" s="1"/>
  <c r="D45" i="148"/>
  <c r="E45" i="148" s="1"/>
  <c r="F45" i="148" s="1"/>
  <c r="G45" i="148" s="1"/>
  <c r="H45" i="148" s="1"/>
  <c r="I45" i="148" s="1"/>
  <c r="J45" i="148" s="1"/>
  <c r="K45" i="148" s="1"/>
  <c r="L45" i="148" s="1"/>
  <c r="M45" i="148" s="1"/>
  <c r="N45" i="148" s="1"/>
  <c r="D44" i="148"/>
  <c r="N43" i="148"/>
  <c r="F43" i="148"/>
  <c r="G43" i="148" s="1"/>
  <c r="H43" i="148" s="1"/>
  <c r="I43" i="148" s="1"/>
  <c r="J43" i="148" s="1"/>
  <c r="K43" i="148" s="1"/>
  <c r="L43" i="148" s="1"/>
  <c r="E43" i="148"/>
  <c r="D43" i="148"/>
  <c r="O42" i="148"/>
  <c r="O72" i="148" s="1"/>
  <c r="D41" i="148"/>
  <c r="E41" i="148" s="1"/>
  <c r="D40" i="148"/>
  <c r="D49" i="148" s="1"/>
  <c r="O39" i="148"/>
  <c r="O38" i="148"/>
  <c r="G99" i="148" s="1"/>
  <c r="Q37" i="148"/>
  <c r="C37" i="148"/>
  <c r="O36" i="148"/>
  <c r="O35" i="148"/>
  <c r="O34" i="148"/>
  <c r="O33" i="148"/>
  <c r="O32" i="148"/>
  <c r="O31" i="148"/>
  <c r="O30" i="148"/>
  <c r="O29" i="148"/>
  <c r="O28" i="148"/>
  <c r="O27" i="148"/>
  <c r="O26" i="148"/>
  <c r="O25" i="148"/>
  <c r="O24" i="148"/>
  <c r="O23" i="148"/>
  <c r="O22" i="148"/>
  <c r="O21" i="148"/>
  <c r="O20" i="148"/>
  <c r="O19" i="148"/>
  <c r="O18" i="148"/>
  <c r="O17" i="148"/>
  <c r="D16" i="148"/>
  <c r="E16" i="148" s="1"/>
  <c r="O15" i="148"/>
  <c r="O14" i="148"/>
  <c r="O13" i="148"/>
  <c r="O12" i="148"/>
  <c r="O11" i="148"/>
  <c r="N10" i="148"/>
  <c r="K10" i="148"/>
  <c r="J10" i="148"/>
  <c r="I10" i="148"/>
  <c r="E10" i="148"/>
  <c r="F10" i="148" s="1"/>
  <c r="D10" i="148"/>
  <c r="E9" i="148"/>
  <c r="F9" i="148" s="1"/>
  <c r="D9" i="148"/>
  <c r="D37" i="148" s="1"/>
  <c r="D50" i="148" s="1"/>
  <c r="A8" i="148"/>
  <c r="H96" i="147"/>
  <c r="C90" i="147"/>
  <c r="C89" i="147"/>
  <c r="G84" i="147"/>
  <c r="H83" i="147"/>
  <c r="H80" i="147"/>
  <c r="H79" i="147"/>
  <c r="H77" i="147"/>
  <c r="H76" i="147"/>
  <c r="H75" i="147"/>
  <c r="H74" i="147"/>
  <c r="H73" i="147"/>
  <c r="H72" i="147"/>
  <c r="M52" i="147"/>
  <c r="N50" i="147"/>
  <c r="M50" i="147"/>
  <c r="L50" i="147"/>
  <c r="K50" i="147"/>
  <c r="J50" i="147"/>
  <c r="I50" i="147"/>
  <c r="H50" i="147"/>
  <c r="G50" i="147"/>
  <c r="F50" i="147"/>
  <c r="F51" i="147" s="1"/>
  <c r="E50" i="147"/>
  <c r="D50" i="147"/>
  <c r="C50" i="147"/>
  <c r="O50" i="147" s="1"/>
  <c r="O49" i="147"/>
  <c r="O48" i="147"/>
  <c r="G70" i="147" s="1"/>
  <c r="H70" i="147" s="1"/>
  <c r="O47" i="147"/>
  <c r="O46" i="147"/>
  <c r="O45" i="147"/>
  <c r="G57" i="147" s="1"/>
  <c r="O44" i="147"/>
  <c r="G69" i="147" s="1"/>
  <c r="O43" i="147"/>
  <c r="O76" i="147" s="1"/>
  <c r="O42" i="147"/>
  <c r="O41" i="147"/>
  <c r="G71" i="147" s="1"/>
  <c r="H71" i="147" s="1"/>
  <c r="O40" i="147"/>
  <c r="O39" i="147"/>
  <c r="G100" i="147" s="1"/>
  <c r="C38" i="147"/>
  <c r="N37" i="147"/>
  <c r="L37" i="147"/>
  <c r="I37" i="147"/>
  <c r="F37" i="147"/>
  <c r="N36" i="147"/>
  <c r="L36" i="147"/>
  <c r="I36" i="147"/>
  <c r="F36" i="147"/>
  <c r="N35" i="147"/>
  <c r="I35" i="147"/>
  <c r="J35" i="147" s="1"/>
  <c r="K35" i="147" s="1"/>
  <c r="L35" i="147" s="1"/>
  <c r="D35" i="147"/>
  <c r="N34" i="147"/>
  <c r="L34" i="147"/>
  <c r="I34" i="147"/>
  <c r="D34" i="147"/>
  <c r="E34" i="147" s="1"/>
  <c r="F34" i="147" s="1"/>
  <c r="G34" i="147" s="1"/>
  <c r="N33" i="147"/>
  <c r="I33" i="147"/>
  <c r="J33" i="147" s="1"/>
  <c r="K33" i="147" s="1"/>
  <c r="L33" i="147" s="1"/>
  <c r="D33" i="147"/>
  <c r="N32" i="147"/>
  <c r="I32" i="147"/>
  <c r="J32" i="147" s="1"/>
  <c r="K32" i="147" s="1"/>
  <c r="L32" i="147" s="1"/>
  <c r="G32" i="147"/>
  <c r="D32" i="147"/>
  <c r="O32" i="147" s="1"/>
  <c r="N31" i="147"/>
  <c r="I31" i="147"/>
  <c r="J31" i="147" s="1"/>
  <c r="K31" i="147" s="1"/>
  <c r="L31" i="147" s="1"/>
  <c r="D31" i="147"/>
  <c r="N30" i="147"/>
  <c r="I30" i="147"/>
  <c r="J30" i="147" s="1"/>
  <c r="K30" i="147" s="1"/>
  <c r="L30" i="147" s="1"/>
  <c r="D30" i="147"/>
  <c r="N29" i="147"/>
  <c r="K29" i="147"/>
  <c r="L29" i="147" s="1"/>
  <c r="I29" i="147"/>
  <c r="J29" i="147" s="1"/>
  <c r="D29" i="147"/>
  <c r="N28" i="147"/>
  <c r="I28" i="147"/>
  <c r="J28" i="147" s="1"/>
  <c r="K28" i="147" s="1"/>
  <c r="L28" i="147" s="1"/>
  <c r="D28" i="147"/>
  <c r="N27" i="147"/>
  <c r="K27" i="147"/>
  <c r="L27" i="147" s="1"/>
  <c r="I27" i="147"/>
  <c r="J27" i="147" s="1"/>
  <c r="D27" i="147"/>
  <c r="N26" i="147"/>
  <c r="I26" i="147"/>
  <c r="J26" i="147" s="1"/>
  <c r="K26" i="147" s="1"/>
  <c r="L26" i="147" s="1"/>
  <c r="D26" i="147"/>
  <c r="N25" i="147"/>
  <c r="K25" i="147"/>
  <c r="L25" i="147" s="1"/>
  <c r="I25" i="147"/>
  <c r="J25" i="147" s="1"/>
  <c r="D25" i="147"/>
  <c r="N24" i="147"/>
  <c r="I24" i="147"/>
  <c r="J24" i="147" s="1"/>
  <c r="K24" i="147" s="1"/>
  <c r="L24" i="147" s="1"/>
  <c r="D24" i="147"/>
  <c r="N23" i="147"/>
  <c r="K23" i="147"/>
  <c r="L23" i="147" s="1"/>
  <c r="I23" i="147"/>
  <c r="J23" i="147" s="1"/>
  <c r="D23" i="147"/>
  <c r="N22" i="147"/>
  <c r="I22" i="147"/>
  <c r="J22" i="147" s="1"/>
  <c r="K22" i="147" s="1"/>
  <c r="L22" i="147" s="1"/>
  <c r="D22" i="147"/>
  <c r="N21" i="147"/>
  <c r="K21" i="147"/>
  <c r="L21" i="147" s="1"/>
  <c r="I21" i="147"/>
  <c r="J21" i="147" s="1"/>
  <c r="D21" i="147"/>
  <c r="N20" i="147"/>
  <c r="I20" i="147"/>
  <c r="J20" i="147" s="1"/>
  <c r="K20" i="147" s="1"/>
  <c r="L20" i="147" s="1"/>
  <c r="D20" i="147"/>
  <c r="E20" i="147" s="1"/>
  <c r="D19" i="147"/>
  <c r="E19" i="147" s="1"/>
  <c r="F19" i="147" s="1"/>
  <c r="N18" i="147"/>
  <c r="I18" i="147"/>
  <c r="J18" i="147" s="1"/>
  <c r="K18" i="147" s="1"/>
  <c r="L18" i="147" s="1"/>
  <c r="D18" i="147"/>
  <c r="N17" i="147"/>
  <c r="K17" i="147"/>
  <c r="L17" i="147" s="1"/>
  <c r="I17" i="147"/>
  <c r="J17" i="147" s="1"/>
  <c r="D17" i="147"/>
  <c r="N16" i="147"/>
  <c r="I16" i="147"/>
  <c r="J16" i="147" s="1"/>
  <c r="K16" i="147" s="1"/>
  <c r="L16" i="147" s="1"/>
  <c r="D16" i="147"/>
  <c r="N15" i="147"/>
  <c r="K15" i="147"/>
  <c r="L15" i="147" s="1"/>
  <c r="I15" i="147"/>
  <c r="J15" i="147" s="1"/>
  <c r="D15" i="147"/>
  <c r="N14" i="147"/>
  <c r="L14" i="147"/>
  <c r="M14" i="147" s="1"/>
  <c r="M38" i="147" s="1"/>
  <c r="K14" i="147"/>
  <c r="E14" i="147"/>
  <c r="N13" i="147"/>
  <c r="I13" i="147"/>
  <c r="J13" i="147" s="1"/>
  <c r="K13" i="147" s="1"/>
  <c r="L13" i="147" s="1"/>
  <c r="D13" i="147"/>
  <c r="N12" i="147"/>
  <c r="I12" i="147"/>
  <c r="J12" i="147" s="1"/>
  <c r="K12" i="147" s="1"/>
  <c r="L12" i="147" s="1"/>
  <c r="D12" i="147"/>
  <c r="E11" i="147"/>
  <c r="N10" i="147"/>
  <c r="N38" i="147" s="1"/>
  <c r="N51" i="147" s="1"/>
  <c r="J10" i="147"/>
  <c r="I10" i="147"/>
  <c r="E10" i="147"/>
  <c r="F10" i="147" s="1"/>
  <c r="G10" i="147" s="1"/>
  <c r="D10" i="147"/>
  <c r="E9" i="147"/>
  <c r="D9" i="147"/>
  <c r="A8" i="147"/>
  <c r="H96" i="146"/>
  <c r="C90" i="146"/>
  <c r="C89" i="146"/>
  <c r="H83" i="146"/>
  <c r="S82" i="146"/>
  <c r="S81" i="146"/>
  <c r="H80" i="146"/>
  <c r="H77" i="146"/>
  <c r="H76" i="146"/>
  <c r="H75" i="146"/>
  <c r="H74" i="146"/>
  <c r="H73" i="146"/>
  <c r="H72" i="146"/>
  <c r="G71" i="146"/>
  <c r="H71" i="146" s="1"/>
  <c r="H70" i="146"/>
  <c r="O66" i="146"/>
  <c r="G57" i="146"/>
  <c r="M52" i="146"/>
  <c r="N50" i="146"/>
  <c r="M50" i="146"/>
  <c r="L50" i="146"/>
  <c r="K50" i="146"/>
  <c r="J50" i="146"/>
  <c r="I50" i="146"/>
  <c r="H50" i="146"/>
  <c r="G50" i="146"/>
  <c r="F50" i="146"/>
  <c r="E50" i="146"/>
  <c r="D50" i="146"/>
  <c r="C50" i="146"/>
  <c r="O49" i="146"/>
  <c r="O48" i="146"/>
  <c r="O47" i="146"/>
  <c r="O46" i="146"/>
  <c r="O45" i="146"/>
  <c r="O44" i="146"/>
  <c r="G69" i="146" s="1"/>
  <c r="O43" i="146"/>
  <c r="G79" i="146" s="1"/>
  <c r="O42" i="146"/>
  <c r="O41" i="146"/>
  <c r="O40" i="146"/>
  <c r="O39" i="146"/>
  <c r="G100" i="146" s="1"/>
  <c r="C38" i="146"/>
  <c r="C51" i="146" s="1"/>
  <c r="L37" i="146"/>
  <c r="M37" i="146" s="1"/>
  <c r="N37" i="146" s="1"/>
  <c r="I37" i="146"/>
  <c r="G37" i="146"/>
  <c r="F37" i="146"/>
  <c r="M36" i="146"/>
  <c r="N36" i="146" s="1"/>
  <c r="L36" i="146"/>
  <c r="I36" i="146"/>
  <c r="F36" i="146"/>
  <c r="L35" i="146"/>
  <c r="M35" i="146" s="1"/>
  <c r="N35" i="146" s="1"/>
  <c r="K35" i="146"/>
  <c r="J35" i="146"/>
  <c r="I35" i="146"/>
  <c r="G35" i="146"/>
  <c r="F35" i="146"/>
  <c r="E35" i="146"/>
  <c r="O35" i="146" s="1"/>
  <c r="D35" i="146"/>
  <c r="K34" i="146"/>
  <c r="L34" i="146" s="1"/>
  <c r="M34" i="146" s="1"/>
  <c r="N34" i="146" s="1"/>
  <c r="J34" i="146"/>
  <c r="I34" i="146"/>
  <c r="F34" i="146"/>
  <c r="G34" i="146" s="1"/>
  <c r="E34" i="146"/>
  <c r="D34" i="146"/>
  <c r="J33" i="146"/>
  <c r="K33" i="146" s="1"/>
  <c r="L33" i="146" s="1"/>
  <c r="M33" i="146" s="1"/>
  <c r="N33" i="146" s="1"/>
  <c r="I33" i="146"/>
  <c r="E33" i="146"/>
  <c r="F33" i="146" s="1"/>
  <c r="G33" i="146" s="1"/>
  <c r="D33" i="146"/>
  <c r="I32" i="146"/>
  <c r="J32" i="146" s="1"/>
  <c r="K32" i="146" s="1"/>
  <c r="L32" i="146" s="1"/>
  <c r="M32" i="146" s="1"/>
  <c r="N32" i="146" s="1"/>
  <c r="G32" i="146"/>
  <c r="D32" i="146"/>
  <c r="J31" i="146"/>
  <c r="K31" i="146" s="1"/>
  <c r="L31" i="146" s="1"/>
  <c r="M31" i="146" s="1"/>
  <c r="N31" i="146" s="1"/>
  <c r="I31" i="146"/>
  <c r="E31" i="146"/>
  <c r="F31" i="146" s="1"/>
  <c r="G31" i="146" s="1"/>
  <c r="D31" i="146"/>
  <c r="M30" i="146"/>
  <c r="N30" i="146" s="1"/>
  <c r="I30" i="146"/>
  <c r="J30" i="146" s="1"/>
  <c r="K30" i="146" s="1"/>
  <c r="L30" i="146" s="1"/>
  <c r="D30" i="146"/>
  <c r="L29" i="146"/>
  <c r="M29" i="146" s="1"/>
  <c r="N29" i="146" s="1"/>
  <c r="K29" i="146"/>
  <c r="J29" i="146"/>
  <c r="I29" i="146"/>
  <c r="G29" i="146"/>
  <c r="F29" i="146"/>
  <c r="O29" i="146" s="1"/>
  <c r="E29" i="146"/>
  <c r="D29" i="146"/>
  <c r="K28" i="146"/>
  <c r="L28" i="146" s="1"/>
  <c r="M28" i="146" s="1"/>
  <c r="N28" i="146" s="1"/>
  <c r="J28" i="146"/>
  <c r="I28" i="146"/>
  <c r="F28" i="146"/>
  <c r="G28" i="146" s="1"/>
  <c r="E28" i="146"/>
  <c r="D28" i="146"/>
  <c r="J27" i="146"/>
  <c r="K27" i="146" s="1"/>
  <c r="L27" i="146" s="1"/>
  <c r="M27" i="146" s="1"/>
  <c r="N27" i="146" s="1"/>
  <c r="I27" i="146"/>
  <c r="E27" i="146"/>
  <c r="F27" i="146" s="1"/>
  <c r="G27" i="146" s="1"/>
  <c r="D27" i="146"/>
  <c r="I26" i="146"/>
  <c r="J26" i="146" s="1"/>
  <c r="K26" i="146" s="1"/>
  <c r="L26" i="146" s="1"/>
  <c r="M26" i="146" s="1"/>
  <c r="N26" i="146" s="1"/>
  <c r="D26" i="146"/>
  <c r="L25" i="146"/>
  <c r="M25" i="146" s="1"/>
  <c r="N25" i="146" s="1"/>
  <c r="K25" i="146"/>
  <c r="J25" i="146"/>
  <c r="I25" i="146"/>
  <c r="G25" i="146"/>
  <c r="F25" i="146"/>
  <c r="O25" i="146" s="1"/>
  <c r="E25" i="146"/>
  <c r="D25" i="146"/>
  <c r="K24" i="146"/>
  <c r="L24" i="146" s="1"/>
  <c r="M24" i="146" s="1"/>
  <c r="N24" i="146" s="1"/>
  <c r="J24" i="146"/>
  <c r="I24" i="146"/>
  <c r="F24" i="146"/>
  <c r="G24" i="146" s="1"/>
  <c r="E24" i="146"/>
  <c r="D24" i="146"/>
  <c r="N23" i="146"/>
  <c r="J23" i="146"/>
  <c r="K23" i="146" s="1"/>
  <c r="L23" i="146" s="1"/>
  <c r="M23" i="146" s="1"/>
  <c r="I23" i="146"/>
  <c r="E23" i="146"/>
  <c r="F23" i="146" s="1"/>
  <c r="G23" i="146" s="1"/>
  <c r="D23" i="146"/>
  <c r="M22" i="146"/>
  <c r="N22" i="146" s="1"/>
  <c r="L22" i="146"/>
  <c r="I22" i="146"/>
  <c r="F22" i="146"/>
  <c r="G22" i="146" s="1"/>
  <c r="E22" i="146"/>
  <c r="D22" i="146"/>
  <c r="N21" i="146"/>
  <c r="J21" i="146"/>
  <c r="K21" i="146" s="1"/>
  <c r="L21" i="146" s="1"/>
  <c r="M21" i="146" s="1"/>
  <c r="I21" i="146"/>
  <c r="E21" i="146"/>
  <c r="F21" i="146" s="1"/>
  <c r="G21" i="146" s="1"/>
  <c r="D21" i="146"/>
  <c r="O21" i="146" s="1"/>
  <c r="M20" i="146"/>
  <c r="N20" i="146" s="1"/>
  <c r="I20" i="146"/>
  <c r="J20" i="146" s="1"/>
  <c r="K20" i="146" s="1"/>
  <c r="L20" i="146" s="1"/>
  <c r="D20" i="146"/>
  <c r="L19" i="146"/>
  <c r="M19" i="146" s="1"/>
  <c r="N19" i="146" s="1"/>
  <c r="K19" i="146"/>
  <c r="J19" i="146"/>
  <c r="I19" i="146"/>
  <c r="G19" i="146"/>
  <c r="F19" i="146"/>
  <c r="E19" i="146"/>
  <c r="D19" i="146"/>
  <c r="K18" i="146"/>
  <c r="L18" i="146" s="1"/>
  <c r="M18" i="146" s="1"/>
  <c r="N18" i="146" s="1"/>
  <c r="J18" i="146"/>
  <c r="I18" i="146"/>
  <c r="F18" i="146"/>
  <c r="G18" i="146" s="1"/>
  <c r="E18" i="146"/>
  <c r="D18" i="146"/>
  <c r="J17" i="146"/>
  <c r="K17" i="146" s="1"/>
  <c r="L17" i="146" s="1"/>
  <c r="M17" i="146" s="1"/>
  <c r="N17" i="146" s="1"/>
  <c r="I17" i="146"/>
  <c r="E17" i="146"/>
  <c r="F17" i="146" s="1"/>
  <c r="G17" i="146" s="1"/>
  <c r="D17" i="146"/>
  <c r="M16" i="146"/>
  <c r="N16" i="146" s="1"/>
  <c r="I16" i="146"/>
  <c r="J16" i="146" s="1"/>
  <c r="K16" i="146" s="1"/>
  <c r="L16" i="146" s="1"/>
  <c r="D16" i="146"/>
  <c r="L15" i="146"/>
  <c r="M15" i="146" s="1"/>
  <c r="N15" i="146" s="1"/>
  <c r="K15" i="146"/>
  <c r="J15" i="146"/>
  <c r="I15" i="146"/>
  <c r="G15" i="146"/>
  <c r="F15" i="146"/>
  <c r="O15" i="146" s="1"/>
  <c r="E15" i="146"/>
  <c r="D15" i="146"/>
  <c r="K14" i="146"/>
  <c r="L14" i="146" s="1"/>
  <c r="M14" i="146" s="1"/>
  <c r="N14" i="146" s="1"/>
  <c r="F14" i="146"/>
  <c r="G14" i="146" s="1"/>
  <c r="H14" i="146" s="1"/>
  <c r="E14" i="146"/>
  <c r="I13" i="146"/>
  <c r="J13" i="146" s="1"/>
  <c r="K13" i="146" s="1"/>
  <c r="L13" i="146" s="1"/>
  <c r="M13" i="146" s="1"/>
  <c r="N13" i="146" s="1"/>
  <c r="D13" i="146"/>
  <c r="L12" i="146"/>
  <c r="M12" i="146" s="1"/>
  <c r="N12" i="146" s="1"/>
  <c r="K12" i="146"/>
  <c r="J12" i="146"/>
  <c r="I12" i="146"/>
  <c r="G12" i="146"/>
  <c r="F12" i="146"/>
  <c r="O12" i="146" s="1"/>
  <c r="E12" i="146"/>
  <c r="D12" i="146"/>
  <c r="K11" i="146"/>
  <c r="L11" i="146" s="1"/>
  <c r="M11" i="146" s="1"/>
  <c r="N11" i="146" s="1"/>
  <c r="F11" i="146"/>
  <c r="E11" i="146"/>
  <c r="J10" i="146"/>
  <c r="I10" i="146"/>
  <c r="E10" i="146"/>
  <c r="F10" i="146" s="1"/>
  <c r="G10" i="146" s="1"/>
  <c r="D10" i="146"/>
  <c r="E9" i="146"/>
  <c r="F9" i="146" s="1"/>
  <c r="D9" i="146"/>
  <c r="D38" i="146" s="1"/>
  <c r="A8" i="146"/>
  <c r="H98" i="145"/>
  <c r="C92" i="145"/>
  <c r="C91" i="145"/>
  <c r="H85" i="145"/>
  <c r="H82" i="145"/>
  <c r="G81" i="145"/>
  <c r="H81" i="145" s="1"/>
  <c r="H79" i="145"/>
  <c r="O78" i="145"/>
  <c r="H78" i="145"/>
  <c r="H77" i="145"/>
  <c r="H76" i="145"/>
  <c r="H75" i="145"/>
  <c r="H74" i="145"/>
  <c r="H72" i="145"/>
  <c r="Q52" i="145"/>
  <c r="N51" i="145"/>
  <c r="M51" i="145"/>
  <c r="L51" i="145"/>
  <c r="K51" i="145"/>
  <c r="J51" i="145"/>
  <c r="I51" i="145"/>
  <c r="H51" i="145"/>
  <c r="G51" i="145"/>
  <c r="F51" i="145"/>
  <c r="E51" i="145"/>
  <c r="D51" i="145"/>
  <c r="C51" i="145"/>
  <c r="O50" i="145"/>
  <c r="O49" i="145"/>
  <c r="O48" i="145"/>
  <c r="O47" i="145"/>
  <c r="O46" i="145"/>
  <c r="G58" i="145" s="1"/>
  <c r="O45" i="145"/>
  <c r="G71" i="145" s="1"/>
  <c r="G80" i="145" s="1"/>
  <c r="O44" i="145"/>
  <c r="O43" i="145"/>
  <c r="O42" i="145"/>
  <c r="G73" i="145" s="1"/>
  <c r="H73" i="145" s="1"/>
  <c r="O41" i="145"/>
  <c r="O40" i="145"/>
  <c r="G102" i="145" s="1"/>
  <c r="C39" i="145"/>
  <c r="C52" i="145" s="1"/>
  <c r="M38" i="145"/>
  <c r="N38" i="145" s="1"/>
  <c r="L38" i="145"/>
  <c r="I38" i="145"/>
  <c r="F38" i="145"/>
  <c r="G38" i="145" s="1"/>
  <c r="L37" i="145"/>
  <c r="M37" i="145" s="1"/>
  <c r="N37" i="145" s="1"/>
  <c r="I37" i="145"/>
  <c r="G37" i="145"/>
  <c r="O37" i="145" s="1"/>
  <c r="F37" i="145"/>
  <c r="I36" i="145"/>
  <c r="J36" i="145" s="1"/>
  <c r="K36" i="145" s="1"/>
  <c r="L36" i="145" s="1"/>
  <c r="M36" i="145" s="1"/>
  <c r="N36" i="145" s="1"/>
  <c r="D36" i="145"/>
  <c r="E36" i="145" s="1"/>
  <c r="F36" i="145" s="1"/>
  <c r="G36" i="145" s="1"/>
  <c r="I35" i="145"/>
  <c r="J35" i="145" s="1"/>
  <c r="K35" i="145" s="1"/>
  <c r="L35" i="145" s="1"/>
  <c r="M35" i="145" s="1"/>
  <c r="N35" i="145" s="1"/>
  <c r="D35" i="145"/>
  <c r="I34" i="145"/>
  <c r="J34" i="145" s="1"/>
  <c r="K34" i="145" s="1"/>
  <c r="L34" i="145" s="1"/>
  <c r="M34" i="145" s="1"/>
  <c r="N34" i="145" s="1"/>
  <c r="D34" i="145"/>
  <c r="E34" i="145" s="1"/>
  <c r="F34" i="145" s="1"/>
  <c r="J33" i="145"/>
  <c r="K33" i="145" s="1"/>
  <c r="L33" i="145" s="1"/>
  <c r="M33" i="145" s="1"/>
  <c r="N33" i="145" s="1"/>
  <c r="I33" i="145"/>
  <c r="G33" i="145"/>
  <c r="D33" i="145"/>
  <c r="I32" i="145"/>
  <c r="J32" i="145" s="1"/>
  <c r="K32" i="145" s="1"/>
  <c r="L32" i="145" s="1"/>
  <c r="M32" i="145" s="1"/>
  <c r="N32" i="145" s="1"/>
  <c r="D32" i="145"/>
  <c r="E32" i="145" s="1"/>
  <c r="F32" i="145" s="1"/>
  <c r="J31" i="145"/>
  <c r="K31" i="145" s="1"/>
  <c r="L31" i="145" s="1"/>
  <c r="M31" i="145" s="1"/>
  <c r="N31" i="145" s="1"/>
  <c r="I31" i="145"/>
  <c r="E31" i="145"/>
  <c r="F31" i="145" s="1"/>
  <c r="G31" i="145" s="1"/>
  <c r="D31" i="145"/>
  <c r="I30" i="145"/>
  <c r="J30" i="145" s="1"/>
  <c r="K30" i="145" s="1"/>
  <c r="L30" i="145" s="1"/>
  <c r="M30" i="145" s="1"/>
  <c r="N30" i="145" s="1"/>
  <c r="F30" i="145"/>
  <c r="G30" i="145" s="1"/>
  <c r="E30" i="145"/>
  <c r="D30" i="145"/>
  <c r="O30" i="145" s="1"/>
  <c r="I29" i="145"/>
  <c r="J29" i="145" s="1"/>
  <c r="K29" i="145" s="1"/>
  <c r="L29" i="145" s="1"/>
  <c r="M29" i="145" s="1"/>
  <c r="N29" i="145" s="1"/>
  <c r="G29" i="145"/>
  <c r="E29" i="145"/>
  <c r="F29" i="145" s="1"/>
  <c r="D29" i="145"/>
  <c r="I28" i="145"/>
  <c r="J28" i="145" s="1"/>
  <c r="K28" i="145" s="1"/>
  <c r="L28" i="145" s="1"/>
  <c r="M28" i="145" s="1"/>
  <c r="N28" i="145" s="1"/>
  <c r="G28" i="145"/>
  <c r="O28" i="145" s="1"/>
  <c r="F28" i="145"/>
  <c r="D28" i="145"/>
  <c r="E28" i="145" s="1"/>
  <c r="J27" i="145"/>
  <c r="K27" i="145" s="1"/>
  <c r="L27" i="145" s="1"/>
  <c r="M27" i="145" s="1"/>
  <c r="N27" i="145" s="1"/>
  <c r="I27" i="145"/>
  <c r="E27" i="145"/>
  <c r="F27" i="145" s="1"/>
  <c r="G27" i="145" s="1"/>
  <c r="D27" i="145"/>
  <c r="K26" i="145"/>
  <c r="L26" i="145" s="1"/>
  <c r="M26" i="145" s="1"/>
  <c r="N26" i="145" s="1"/>
  <c r="J26" i="145"/>
  <c r="I26" i="145"/>
  <c r="E26" i="145"/>
  <c r="F26" i="145" s="1"/>
  <c r="G26" i="145" s="1"/>
  <c r="D26" i="145"/>
  <c r="L25" i="145"/>
  <c r="M25" i="145" s="1"/>
  <c r="N25" i="145" s="1"/>
  <c r="J25" i="145"/>
  <c r="K25" i="145" s="1"/>
  <c r="I25" i="145"/>
  <c r="E25" i="145"/>
  <c r="F25" i="145" s="1"/>
  <c r="G25" i="145" s="1"/>
  <c r="D25" i="145"/>
  <c r="L24" i="145"/>
  <c r="M24" i="145" s="1"/>
  <c r="N24" i="145" s="1"/>
  <c r="K24" i="145"/>
  <c r="I24" i="145"/>
  <c r="J24" i="145" s="1"/>
  <c r="F24" i="145"/>
  <c r="G24" i="145" s="1"/>
  <c r="D24" i="145"/>
  <c r="E24" i="145" s="1"/>
  <c r="L23" i="145"/>
  <c r="M23" i="145" s="1"/>
  <c r="N23" i="145" s="1"/>
  <c r="K23" i="145"/>
  <c r="J23" i="145"/>
  <c r="I23" i="145"/>
  <c r="G23" i="145"/>
  <c r="F23" i="145"/>
  <c r="E23" i="145"/>
  <c r="D23" i="145"/>
  <c r="J22" i="145"/>
  <c r="K22" i="145" s="1"/>
  <c r="L22" i="145" s="1"/>
  <c r="M22" i="145" s="1"/>
  <c r="N22" i="145" s="1"/>
  <c r="I22" i="145"/>
  <c r="D22" i="145"/>
  <c r="E22" i="145" s="1"/>
  <c r="F22" i="145" s="1"/>
  <c r="G22" i="145" s="1"/>
  <c r="J21" i="145"/>
  <c r="K21" i="145" s="1"/>
  <c r="L21" i="145" s="1"/>
  <c r="M21" i="145" s="1"/>
  <c r="N21" i="145" s="1"/>
  <c r="I21" i="145"/>
  <c r="E21" i="145"/>
  <c r="D21" i="145"/>
  <c r="J20" i="145"/>
  <c r="K20" i="145" s="1"/>
  <c r="L20" i="145" s="1"/>
  <c r="M20" i="145" s="1"/>
  <c r="N20" i="145" s="1"/>
  <c r="I20" i="145"/>
  <c r="D20" i="145"/>
  <c r="E20" i="145" s="1"/>
  <c r="F20" i="145" s="1"/>
  <c r="G20" i="145" s="1"/>
  <c r="D19" i="145"/>
  <c r="I18" i="145"/>
  <c r="J18" i="145" s="1"/>
  <c r="K18" i="145" s="1"/>
  <c r="L18" i="145" s="1"/>
  <c r="M18" i="145" s="1"/>
  <c r="N18" i="145" s="1"/>
  <c r="D18" i="145"/>
  <c r="I17" i="145"/>
  <c r="J17" i="145" s="1"/>
  <c r="K17" i="145" s="1"/>
  <c r="L17" i="145" s="1"/>
  <c r="M17" i="145" s="1"/>
  <c r="N17" i="145" s="1"/>
  <c r="D17" i="145"/>
  <c r="E17" i="145" s="1"/>
  <c r="F17" i="145" s="1"/>
  <c r="J16" i="145"/>
  <c r="K16" i="145" s="1"/>
  <c r="L16" i="145" s="1"/>
  <c r="M16" i="145" s="1"/>
  <c r="N16" i="145" s="1"/>
  <c r="I16" i="145"/>
  <c r="E16" i="145"/>
  <c r="F16" i="145" s="1"/>
  <c r="G16" i="145" s="1"/>
  <c r="D16" i="145"/>
  <c r="I15" i="145"/>
  <c r="J15" i="145" s="1"/>
  <c r="K15" i="145" s="1"/>
  <c r="L15" i="145" s="1"/>
  <c r="M15" i="145" s="1"/>
  <c r="N15" i="145" s="1"/>
  <c r="F15" i="145"/>
  <c r="G15" i="145" s="1"/>
  <c r="E15" i="145"/>
  <c r="D15" i="145"/>
  <c r="M14" i="145"/>
  <c r="N14" i="145" s="1"/>
  <c r="L14" i="145"/>
  <c r="K14" i="145"/>
  <c r="E14" i="145"/>
  <c r="J13" i="145"/>
  <c r="K13" i="145" s="1"/>
  <c r="L13" i="145" s="1"/>
  <c r="M13" i="145" s="1"/>
  <c r="N13" i="145" s="1"/>
  <c r="I13" i="145"/>
  <c r="E13" i="145"/>
  <c r="F13" i="145" s="1"/>
  <c r="G13" i="145" s="1"/>
  <c r="D13" i="145"/>
  <c r="K12" i="145"/>
  <c r="L12" i="145" s="1"/>
  <c r="M12" i="145" s="1"/>
  <c r="N12" i="145" s="1"/>
  <c r="J12" i="145"/>
  <c r="I12" i="145"/>
  <c r="E12" i="145"/>
  <c r="F12" i="145" s="1"/>
  <c r="G12" i="145" s="1"/>
  <c r="D12" i="145"/>
  <c r="O12" i="145" s="1"/>
  <c r="E11" i="145"/>
  <c r="I10" i="145"/>
  <c r="D10" i="145"/>
  <c r="E10" i="145" s="1"/>
  <c r="F10" i="145" s="1"/>
  <c r="O9" i="145"/>
  <c r="F9" i="145"/>
  <c r="D9" i="145"/>
  <c r="E9" i="145" s="1"/>
  <c r="A8" i="145"/>
  <c r="H97" i="144"/>
  <c r="C91" i="144"/>
  <c r="C90" i="144"/>
  <c r="H84" i="144"/>
  <c r="H81" i="144"/>
  <c r="H78" i="144"/>
  <c r="H77" i="144"/>
  <c r="H76" i="144"/>
  <c r="H75" i="144"/>
  <c r="H74" i="144"/>
  <c r="H73" i="144"/>
  <c r="G71" i="144"/>
  <c r="H71" i="144" s="1"/>
  <c r="N51" i="144"/>
  <c r="M51" i="144"/>
  <c r="L51" i="144"/>
  <c r="K51" i="144"/>
  <c r="J51" i="144"/>
  <c r="I51" i="144"/>
  <c r="H51" i="144"/>
  <c r="G51" i="144"/>
  <c r="F51" i="144"/>
  <c r="E51" i="144"/>
  <c r="D51" i="144"/>
  <c r="C51" i="144"/>
  <c r="C52" i="144" s="1"/>
  <c r="O50" i="144"/>
  <c r="O49" i="144"/>
  <c r="O48" i="144"/>
  <c r="O47" i="144"/>
  <c r="O46" i="144"/>
  <c r="G58" i="144" s="1"/>
  <c r="O45" i="144"/>
  <c r="G70" i="144" s="1"/>
  <c r="O44" i="144"/>
  <c r="O74" i="144" s="1"/>
  <c r="O43" i="144"/>
  <c r="O42" i="144"/>
  <c r="G72" i="144" s="1"/>
  <c r="H72" i="144" s="1"/>
  <c r="O41" i="144"/>
  <c r="O40" i="144"/>
  <c r="G101" i="144" s="1"/>
  <c r="C39" i="144"/>
  <c r="N38" i="144"/>
  <c r="L38" i="144"/>
  <c r="M38" i="144" s="1"/>
  <c r="I38" i="144"/>
  <c r="G38" i="144"/>
  <c r="F38" i="144"/>
  <c r="M37" i="144"/>
  <c r="N37" i="144" s="1"/>
  <c r="L37" i="144"/>
  <c r="I37" i="144"/>
  <c r="F37" i="144"/>
  <c r="I36" i="144"/>
  <c r="J36" i="144" s="1"/>
  <c r="K36" i="144" s="1"/>
  <c r="L36" i="144" s="1"/>
  <c r="M36" i="144" s="1"/>
  <c r="N36" i="144" s="1"/>
  <c r="D36" i="144"/>
  <c r="K35" i="144"/>
  <c r="L35" i="144" s="1"/>
  <c r="M35" i="144" s="1"/>
  <c r="N35" i="144" s="1"/>
  <c r="I35" i="144"/>
  <c r="J35" i="144" s="1"/>
  <c r="F35" i="144"/>
  <c r="G35" i="144" s="1"/>
  <c r="D35" i="144"/>
  <c r="E35" i="144" s="1"/>
  <c r="O35" i="144" s="1"/>
  <c r="N34" i="144"/>
  <c r="J34" i="144"/>
  <c r="K34" i="144" s="1"/>
  <c r="L34" i="144" s="1"/>
  <c r="M34" i="144" s="1"/>
  <c r="I34" i="144"/>
  <c r="F34" i="144"/>
  <c r="G34" i="144" s="1"/>
  <c r="I33" i="144"/>
  <c r="J33" i="144" s="1"/>
  <c r="K33" i="144" s="1"/>
  <c r="L33" i="144" s="1"/>
  <c r="M33" i="144" s="1"/>
  <c r="N33" i="144" s="1"/>
  <c r="D33" i="144"/>
  <c r="E33" i="144" s="1"/>
  <c r="F33" i="144" s="1"/>
  <c r="G33" i="144" s="1"/>
  <c r="J32" i="144"/>
  <c r="K32" i="144" s="1"/>
  <c r="L32" i="144" s="1"/>
  <c r="M32" i="144" s="1"/>
  <c r="N32" i="144" s="1"/>
  <c r="I32" i="144"/>
  <c r="E32" i="144"/>
  <c r="D32" i="144"/>
  <c r="M31" i="144"/>
  <c r="N31" i="144" s="1"/>
  <c r="I31" i="144"/>
  <c r="J31" i="144" s="1"/>
  <c r="K31" i="144" s="1"/>
  <c r="L31" i="144" s="1"/>
  <c r="D31" i="144"/>
  <c r="I30" i="144"/>
  <c r="J30" i="144" s="1"/>
  <c r="K30" i="144" s="1"/>
  <c r="L30" i="144" s="1"/>
  <c r="M30" i="144" s="1"/>
  <c r="N30" i="144" s="1"/>
  <c r="D30" i="144"/>
  <c r="K29" i="144"/>
  <c r="L29" i="144" s="1"/>
  <c r="M29" i="144" s="1"/>
  <c r="N29" i="144" s="1"/>
  <c r="I29" i="144"/>
  <c r="J29" i="144" s="1"/>
  <c r="F29" i="144"/>
  <c r="G29" i="144" s="1"/>
  <c r="D29" i="144"/>
  <c r="E29" i="144" s="1"/>
  <c r="O29" i="144" s="1"/>
  <c r="N28" i="144"/>
  <c r="J28" i="144"/>
  <c r="K28" i="144" s="1"/>
  <c r="L28" i="144" s="1"/>
  <c r="M28" i="144" s="1"/>
  <c r="I28" i="144"/>
  <c r="E28" i="144"/>
  <c r="D28" i="144"/>
  <c r="I27" i="144"/>
  <c r="J27" i="144" s="1"/>
  <c r="K27" i="144" s="1"/>
  <c r="L27" i="144" s="1"/>
  <c r="M27" i="144" s="1"/>
  <c r="N27" i="144" s="1"/>
  <c r="D27" i="144"/>
  <c r="L26" i="144"/>
  <c r="M26" i="144" s="1"/>
  <c r="N26" i="144" s="1"/>
  <c r="I26" i="144"/>
  <c r="J26" i="144" s="1"/>
  <c r="K26" i="144" s="1"/>
  <c r="D26" i="144"/>
  <c r="I25" i="144"/>
  <c r="J25" i="144" s="1"/>
  <c r="K25" i="144" s="1"/>
  <c r="L25" i="144" s="1"/>
  <c r="M25" i="144" s="1"/>
  <c r="N25" i="144" s="1"/>
  <c r="D25" i="144"/>
  <c r="E25" i="144" s="1"/>
  <c r="F25" i="144" s="1"/>
  <c r="G25" i="144" s="1"/>
  <c r="L24" i="144"/>
  <c r="M24" i="144" s="1"/>
  <c r="N24" i="144" s="1"/>
  <c r="I24" i="144"/>
  <c r="G24" i="144"/>
  <c r="D24" i="144"/>
  <c r="E24" i="144" s="1"/>
  <c r="F24" i="144" s="1"/>
  <c r="I23" i="144"/>
  <c r="J23" i="144" s="1"/>
  <c r="K23" i="144" s="1"/>
  <c r="L23" i="144" s="1"/>
  <c r="M23" i="144" s="1"/>
  <c r="N23" i="144" s="1"/>
  <c r="D23" i="144"/>
  <c r="E23" i="144" s="1"/>
  <c r="F23" i="144" s="1"/>
  <c r="G23" i="144" s="1"/>
  <c r="J22" i="144"/>
  <c r="K22" i="144" s="1"/>
  <c r="L22" i="144" s="1"/>
  <c r="M22" i="144" s="1"/>
  <c r="N22" i="144" s="1"/>
  <c r="I22" i="144"/>
  <c r="E22" i="144"/>
  <c r="D22" i="144"/>
  <c r="M21" i="144"/>
  <c r="N21" i="144" s="1"/>
  <c r="I21" i="144"/>
  <c r="J21" i="144" s="1"/>
  <c r="K21" i="144" s="1"/>
  <c r="L21" i="144" s="1"/>
  <c r="D21" i="144"/>
  <c r="I20" i="144"/>
  <c r="J20" i="144" s="1"/>
  <c r="K20" i="144" s="1"/>
  <c r="L20" i="144" s="1"/>
  <c r="M20" i="144" s="1"/>
  <c r="N20" i="144" s="1"/>
  <c r="D20" i="144"/>
  <c r="D19" i="144"/>
  <c r="E19" i="144" s="1"/>
  <c r="F19" i="144" s="1"/>
  <c r="K18" i="144"/>
  <c r="L18" i="144" s="1"/>
  <c r="M18" i="144" s="1"/>
  <c r="N18" i="144" s="1"/>
  <c r="I18" i="144"/>
  <c r="J18" i="144" s="1"/>
  <c r="F18" i="144"/>
  <c r="G18" i="144" s="1"/>
  <c r="D18" i="144"/>
  <c r="E18" i="144" s="1"/>
  <c r="O18" i="144" s="1"/>
  <c r="N17" i="144"/>
  <c r="J17" i="144"/>
  <c r="K17" i="144" s="1"/>
  <c r="L17" i="144" s="1"/>
  <c r="M17" i="144" s="1"/>
  <c r="I17" i="144"/>
  <c r="E17" i="144"/>
  <c r="D17" i="144"/>
  <c r="I16" i="144"/>
  <c r="J16" i="144" s="1"/>
  <c r="K16" i="144" s="1"/>
  <c r="L16" i="144" s="1"/>
  <c r="M16" i="144" s="1"/>
  <c r="N16" i="144" s="1"/>
  <c r="D16" i="144"/>
  <c r="L15" i="144"/>
  <c r="M15" i="144" s="1"/>
  <c r="N15" i="144" s="1"/>
  <c r="I15" i="144"/>
  <c r="J15" i="144" s="1"/>
  <c r="K15" i="144" s="1"/>
  <c r="D15" i="144"/>
  <c r="K14" i="144"/>
  <c r="L14" i="144" s="1"/>
  <c r="M14" i="144" s="1"/>
  <c r="N14" i="144" s="1"/>
  <c r="F14" i="144"/>
  <c r="G14" i="144" s="1"/>
  <c r="H14" i="144" s="1"/>
  <c r="E14" i="144"/>
  <c r="M13" i="144"/>
  <c r="N13" i="144" s="1"/>
  <c r="I13" i="144"/>
  <c r="J13" i="144" s="1"/>
  <c r="K13" i="144" s="1"/>
  <c r="L13" i="144" s="1"/>
  <c r="D13" i="144"/>
  <c r="I12" i="144"/>
  <c r="J12" i="144" s="1"/>
  <c r="K12" i="144" s="1"/>
  <c r="L12" i="144" s="1"/>
  <c r="M12" i="144" s="1"/>
  <c r="N12" i="144" s="1"/>
  <c r="D12" i="144"/>
  <c r="K11" i="144"/>
  <c r="L11" i="144" s="1"/>
  <c r="M11" i="144" s="1"/>
  <c r="N11" i="144" s="1"/>
  <c r="E11" i="144"/>
  <c r="F11" i="144" s="1"/>
  <c r="O11" i="144" s="1"/>
  <c r="J10" i="144"/>
  <c r="I10" i="144"/>
  <c r="E10" i="144"/>
  <c r="D10" i="144"/>
  <c r="E9" i="144"/>
  <c r="D9" i="144"/>
  <c r="D39" i="144" s="1"/>
  <c r="A8" i="144"/>
  <c r="H95" i="143"/>
  <c r="C89" i="143"/>
  <c r="C88" i="143"/>
  <c r="H82" i="143"/>
  <c r="H79" i="143"/>
  <c r="H76" i="143"/>
  <c r="H75" i="143"/>
  <c r="H74" i="143"/>
  <c r="H73" i="143"/>
  <c r="H72" i="143"/>
  <c r="H71" i="143"/>
  <c r="G70" i="143"/>
  <c r="H70" i="143" s="1"/>
  <c r="G69" i="143"/>
  <c r="H69" i="143" s="1"/>
  <c r="G68" i="143"/>
  <c r="H77" i="143" s="1"/>
  <c r="Q52" i="143"/>
  <c r="C50" i="143"/>
  <c r="N49" i="143"/>
  <c r="M49" i="143"/>
  <c r="L49" i="143"/>
  <c r="K49" i="143"/>
  <c r="J49" i="143"/>
  <c r="I49" i="143"/>
  <c r="H49" i="143"/>
  <c r="G49" i="143"/>
  <c r="F49" i="143"/>
  <c r="E49" i="143"/>
  <c r="D49" i="143"/>
  <c r="C49" i="143"/>
  <c r="O48" i="143"/>
  <c r="O47" i="143"/>
  <c r="O46" i="143"/>
  <c r="O45" i="143"/>
  <c r="O44" i="143"/>
  <c r="G56" i="143" s="1"/>
  <c r="O43" i="143"/>
  <c r="O42" i="143"/>
  <c r="G78" i="143" s="1"/>
  <c r="O41" i="143"/>
  <c r="O40" i="143"/>
  <c r="Q39" i="143"/>
  <c r="O39" i="143"/>
  <c r="O38" i="143"/>
  <c r="G99" i="143" s="1"/>
  <c r="C37" i="143"/>
  <c r="O36" i="143"/>
  <c r="O35" i="143"/>
  <c r="O34" i="143"/>
  <c r="O33" i="143"/>
  <c r="O32" i="143"/>
  <c r="O31" i="143"/>
  <c r="O30" i="143"/>
  <c r="O29" i="143"/>
  <c r="O28" i="143"/>
  <c r="O27" i="143"/>
  <c r="O26" i="143"/>
  <c r="O25" i="143"/>
  <c r="O24" i="143"/>
  <c r="O23" i="143"/>
  <c r="L22" i="143"/>
  <c r="M22" i="143" s="1"/>
  <c r="N22" i="143" s="1"/>
  <c r="I22" i="143"/>
  <c r="E22" i="143"/>
  <c r="F22" i="143" s="1"/>
  <c r="G22" i="143" s="1"/>
  <c r="D22" i="143"/>
  <c r="I21" i="143"/>
  <c r="J21" i="143" s="1"/>
  <c r="K21" i="143" s="1"/>
  <c r="L21" i="143" s="1"/>
  <c r="M21" i="143" s="1"/>
  <c r="N21" i="143" s="1"/>
  <c r="D21" i="143"/>
  <c r="J20" i="143"/>
  <c r="K20" i="143" s="1"/>
  <c r="L20" i="143" s="1"/>
  <c r="M20" i="143" s="1"/>
  <c r="N20" i="143" s="1"/>
  <c r="I20" i="143"/>
  <c r="E20" i="143"/>
  <c r="F20" i="143" s="1"/>
  <c r="G20" i="143" s="1"/>
  <c r="D20" i="143"/>
  <c r="E19" i="143"/>
  <c r="F19" i="143" s="1"/>
  <c r="O19" i="143" s="1"/>
  <c r="D19" i="143"/>
  <c r="I18" i="143"/>
  <c r="J18" i="143" s="1"/>
  <c r="K18" i="143" s="1"/>
  <c r="L18" i="143" s="1"/>
  <c r="M18" i="143" s="1"/>
  <c r="N18" i="143" s="1"/>
  <c r="D18" i="143"/>
  <c r="E18" i="143" s="1"/>
  <c r="J17" i="143"/>
  <c r="K17" i="143" s="1"/>
  <c r="L17" i="143" s="1"/>
  <c r="M17" i="143" s="1"/>
  <c r="N17" i="143" s="1"/>
  <c r="I17" i="143"/>
  <c r="E17" i="143"/>
  <c r="D17" i="143"/>
  <c r="I16" i="143"/>
  <c r="J16" i="143" s="1"/>
  <c r="K16" i="143" s="1"/>
  <c r="L16" i="143" s="1"/>
  <c r="M16" i="143" s="1"/>
  <c r="N16" i="143" s="1"/>
  <c r="D16" i="143"/>
  <c r="J15" i="143"/>
  <c r="K15" i="143" s="1"/>
  <c r="L15" i="143" s="1"/>
  <c r="M15" i="143" s="1"/>
  <c r="N15" i="143" s="1"/>
  <c r="I15" i="143"/>
  <c r="E15" i="143"/>
  <c r="F15" i="143" s="1"/>
  <c r="G15" i="143" s="1"/>
  <c r="D15" i="143"/>
  <c r="K14" i="143"/>
  <c r="L14" i="143" s="1"/>
  <c r="M14" i="143" s="1"/>
  <c r="N14" i="143" s="1"/>
  <c r="F14" i="143"/>
  <c r="E14" i="143"/>
  <c r="I13" i="143"/>
  <c r="J13" i="143" s="1"/>
  <c r="K13" i="143" s="1"/>
  <c r="L13" i="143" s="1"/>
  <c r="M13" i="143" s="1"/>
  <c r="N13" i="143" s="1"/>
  <c r="D13" i="143"/>
  <c r="J12" i="143"/>
  <c r="K12" i="143" s="1"/>
  <c r="L12" i="143" s="1"/>
  <c r="M12" i="143" s="1"/>
  <c r="N12" i="143" s="1"/>
  <c r="I12" i="143"/>
  <c r="E12" i="143"/>
  <c r="F12" i="143" s="1"/>
  <c r="G12" i="143" s="1"/>
  <c r="D12" i="143"/>
  <c r="O12" i="143" s="1"/>
  <c r="E11" i="143"/>
  <c r="F11" i="143" s="1"/>
  <c r="O11" i="143" s="1"/>
  <c r="J10" i="143"/>
  <c r="K10" i="143" s="1"/>
  <c r="L10" i="143" s="1"/>
  <c r="M10" i="143" s="1"/>
  <c r="N10" i="143" s="1"/>
  <c r="I10" i="143"/>
  <c r="E10" i="143"/>
  <c r="F10" i="143" s="1"/>
  <c r="G10" i="143" s="1"/>
  <c r="D10" i="143"/>
  <c r="I9" i="143"/>
  <c r="H9" i="143"/>
  <c r="D9" i="143"/>
  <c r="D37" i="143" s="1"/>
  <c r="D50" i="143" s="1"/>
  <c r="A8" i="143"/>
  <c r="O154" i="1" l="1"/>
  <c r="S128" i="1"/>
  <c r="K16" i="68"/>
  <c r="J37" i="68"/>
  <c r="J86" i="68"/>
  <c r="H49" i="68"/>
  <c r="H50" i="68" s="1"/>
  <c r="I40" i="68"/>
  <c r="J90" i="52"/>
  <c r="G86" i="52"/>
  <c r="G96" i="52"/>
  <c r="J89" i="52"/>
  <c r="M51" i="52"/>
  <c r="O51" i="52" s="1"/>
  <c r="M52" i="53"/>
  <c r="O52" i="53" s="1"/>
  <c r="N39" i="53"/>
  <c r="N52" i="53" s="1"/>
  <c r="O10" i="53"/>
  <c r="O39" i="53"/>
  <c r="G55" i="53" s="1"/>
  <c r="G61" i="53" s="1"/>
  <c r="G66" i="53" s="1"/>
  <c r="G55" i="54"/>
  <c r="G62" i="54" s="1"/>
  <c r="G67" i="54" s="1"/>
  <c r="P39" i="54"/>
  <c r="J92" i="54"/>
  <c r="J50" i="130"/>
  <c r="J51" i="130"/>
  <c r="J52" i="130" s="1"/>
  <c r="L9" i="130"/>
  <c r="K37" i="130"/>
  <c r="K50" i="130" s="1"/>
  <c r="J88" i="55"/>
  <c r="J90" i="55" s="1"/>
  <c r="L38" i="55"/>
  <c r="L51" i="55" s="1"/>
  <c r="O51" i="55" s="1"/>
  <c r="O10" i="55"/>
  <c r="O49" i="143"/>
  <c r="O51" i="145"/>
  <c r="F37" i="148"/>
  <c r="F16" i="148"/>
  <c r="G16" i="148" s="1"/>
  <c r="O44" i="148"/>
  <c r="G56" i="148" s="1"/>
  <c r="F41" i="148"/>
  <c r="G41" i="148" s="1"/>
  <c r="H41" i="148" s="1"/>
  <c r="I41" i="148" s="1"/>
  <c r="J41" i="148" s="1"/>
  <c r="K41" i="148" s="1"/>
  <c r="L41" i="148" s="1"/>
  <c r="M41" i="148" s="1"/>
  <c r="N41" i="148" s="1"/>
  <c r="O9" i="148"/>
  <c r="E40" i="148"/>
  <c r="E44" i="148"/>
  <c r="F44" i="148" s="1"/>
  <c r="G44" i="148" s="1"/>
  <c r="H44" i="148" s="1"/>
  <c r="I44" i="148" s="1"/>
  <c r="J44" i="148" s="1"/>
  <c r="K44" i="148" s="1"/>
  <c r="L44" i="148" s="1"/>
  <c r="M44" i="148" s="1"/>
  <c r="C50" i="148"/>
  <c r="E37" i="148"/>
  <c r="J85" i="148" s="1"/>
  <c r="O45" i="148"/>
  <c r="O46" i="148"/>
  <c r="O47" i="148"/>
  <c r="O43" i="148"/>
  <c r="G68" i="148" s="1"/>
  <c r="L10" i="148"/>
  <c r="H78" i="147"/>
  <c r="H84" i="147" s="1"/>
  <c r="G78" i="147"/>
  <c r="H69" i="147"/>
  <c r="O16" i="147"/>
  <c r="E16" i="147"/>
  <c r="F16" i="147" s="1"/>
  <c r="G16" i="147" s="1"/>
  <c r="O18" i="147"/>
  <c r="G58" i="147" s="1"/>
  <c r="E18" i="147"/>
  <c r="F18" i="147" s="1"/>
  <c r="G18" i="147" s="1"/>
  <c r="O21" i="147"/>
  <c r="O29" i="147"/>
  <c r="D38" i="147"/>
  <c r="D51" i="147" s="1"/>
  <c r="M51" i="147"/>
  <c r="J89" i="147"/>
  <c r="E22" i="147"/>
  <c r="F22" i="147" s="1"/>
  <c r="G22" i="147" s="1"/>
  <c r="E24" i="147"/>
  <c r="F24" i="147" s="1"/>
  <c r="G24" i="147" s="1"/>
  <c r="E26" i="147"/>
  <c r="F26" i="147" s="1"/>
  <c r="G26" i="147" s="1"/>
  <c r="E28" i="147"/>
  <c r="F28" i="147" s="1"/>
  <c r="G28" i="147" s="1"/>
  <c r="E30" i="147"/>
  <c r="F30" i="147" s="1"/>
  <c r="G30" i="147" s="1"/>
  <c r="F9" i="147"/>
  <c r="O9" i="147" s="1"/>
  <c r="J38" i="147"/>
  <c r="K10" i="147"/>
  <c r="E12" i="147"/>
  <c r="F12" i="147" s="1"/>
  <c r="G12" i="147" s="1"/>
  <c r="G38" i="147" s="1"/>
  <c r="F14" i="147"/>
  <c r="G14" i="147" s="1"/>
  <c r="H14" i="147" s="1"/>
  <c r="O19" i="147"/>
  <c r="O20" i="147"/>
  <c r="E33" i="147"/>
  <c r="F33" i="147" s="1"/>
  <c r="G33" i="147" s="1"/>
  <c r="O34" i="147"/>
  <c r="G36" i="147"/>
  <c r="O36" i="147" s="1"/>
  <c r="C51" i="147"/>
  <c r="F11" i="147"/>
  <c r="O11" i="147" s="1"/>
  <c r="E13" i="147"/>
  <c r="F13" i="147" s="1"/>
  <c r="G13" i="147" s="1"/>
  <c r="E15" i="147"/>
  <c r="F15" i="147" s="1"/>
  <c r="G15" i="147" s="1"/>
  <c r="E17" i="147"/>
  <c r="F17" i="147" s="1"/>
  <c r="G17" i="147" s="1"/>
  <c r="E21" i="147"/>
  <c r="F21" i="147" s="1"/>
  <c r="G21" i="147" s="1"/>
  <c r="E23" i="147"/>
  <c r="F23" i="147" s="1"/>
  <c r="G23" i="147" s="1"/>
  <c r="E25" i="147"/>
  <c r="F25" i="147" s="1"/>
  <c r="G25" i="147" s="1"/>
  <c r="E27" i="147"/>
  <c r="F27" i="147" s="1"/>
  <c r="G27" i="147" s="1"/>
  <c r="E29" i="147"/>
  <c r="F29" i="147" s="1"/>
  <c r="G29" i="147" s="1"/>
  <c r="E31" i="147"/>
  <c r="F31" i="147" s="1"/>
  <c r="G31" i="147" s="1"/>
  <c r="E35" i="147"/>
  <c r="F35" i="147" s="1"/>
  <c r="G35" i="147" s="1"/>
  <c r="G37" i="147"/>
  <c r="O37" i="147" s="1"/>
  <c r="D51" i="146"/>
  <c r="H69" i="146"/>
  <c r="G78" i="146"/>
  <c r="H78" i="146"/>
  <c r="H84" i="146" s="1"/>
  <c r="J38" i="146"/>
  <c r="K10" i="146"/>
  <c r="O17" i="146"/>
  <c r="E20" i="146"/>
  <c r="F20" i="146" s="1"/>
  <c r="G20" i="146" s="1"/>
  <c r="O22" i="146"/>
  <c r="O28" i="146"/>
  <c r="O31" i="146"/>
  <c r="O34" i="146"/>
  <c r="O18" i="146"/>
  <c r="G58" i="146" s="1"/>
  <c r="O11" i="146"/>
  <c r="E16" i="146"/>
  <c r="F16" i="146" s="1"/>
  <c r="G16" i="146" s="1"/>
  <c r="O24" i="146"/>
  <c r="O27" i="146"/>
  <c r="E30" i="146"/>
  <c r="F30" i="146" s="1"/>
  <c r="G30" i="146" s="1"/>
  <c r="O32" i="146"/>
  <c r="O33" i="146"/>
  <c r="G36" i="146"/>
  <c r="O36" i="146" s="1"/>
  <c r="O37" i="146"/>
  <c r="O50" i="146"/>
  <c r="E13" i="146"/>
  <c r="H38" i="146"/>
  <c r="H51" i="146" s="1"/>
  <c r="I14" i="146"/>
  <c r="O14" i="146" s="1"/>
  <c r="O19" i="146"/>
  <c r="O23" i="146"/>
  <c r="E26" i="146"/>
  <c r="F26" i="146" s="1"/>
  <c r="G26" i="146" s="1"/>
  <c r="H79" i="146"/>
  <c r="G84" i="146"/>
  <c r="O80" i="146"/>
  <c r="O9" i="146"/>
  <c r="G10" i="145"/>
  <c r="O15" i="145"/>
  <c r="G17" i="145"/>
  <c r="O17" i="145" s="1"/>
  <c r="O23" i="145"/>
  <c r="G34" i="145"/>
  <c r="O34" i="145"/>
  <c r="G32" i="145"/>
  <c r="O32" i="145"/>
  <c r="O26" i="145"/>
  <c r="J10" i="145"/>
  <c r="O16" i="145"/>
  <c r="O20" i="145"/>
  <c r="O22" i="145"/>
  <c r="O31" i="145"/>
  <c r="O33" i="145"/>
  <c r="O38" i="145"/>
  <c r="O13" i="145"/>
  <c r="O18" i="145"/>
  <c r="G59" i="145" s="1"/>
  <c r="O19" i="145"/>
  <c r="O21" i="145"/>
  <c r="O27" i="145"/>
  <c r="O35" i="145"/>
  <c r="O36" i="145"/>
  <c r="F11" i="145"/>
  <c r="F39" i="145" s="1"/>
  <c r="F52" i="145" s="1"/>
  <c r="F14" i="145"/>
  <c r="G14" i="145" s="1"/>
  <c r="H14" i="145" s="1"/>
  <c r="E18" i="145"/>
  <c r="F18" i="145" s="1"/>
  <c r="G18" i="145" s="1"/>
  <c r="E19" i="145"/>
  <c r="F19" i="145" s="1"/>
  <c r="O24" i="145"/>
  <c r="O29" i="145"/>
  <c r="E35" i="145"/>
  <c r="F35" i="145" s="1"/>
  <c r="G35" i="145" s="1"/>
  <c r="D39" i="145"/>
  <c r="H71" i="145"/>
  <c r="O25" i="145"/>
  <c r="H80" i="145"/>
  <c r="H86" i="145" s="1"/>
  <c r="G86" i="145"/>
  <c r="Q53" i="144"/>
  <c r="Q54" i="144" s="1"/>
  <c r="G59" i="144"/>
  <c r="Q40" i="144"/>
  <c r="Q41" i="144" s="1"/>
  <c r="D52" i="144"/>
  <c r="O20" i="144"/>
  <c r="E21" i="144"/>
  <c r="F21" i="144" s="1"/>
  <c r="G21" i="144" s="1"/>
  <c r="F22" i="144"/>
  <c r="G22" i="144" s="1"/>
  <c r="O23" i="144"/>
  <c r="E31" i="144"/>
  <c r="F31" i="144" s="1"/>
  <c r="G31" i="144" s="1"/>
  <c r="F32" i="144"/>
  <c r="G32" i="144" s="1"/>
  <c r="O33" i="144"/>
  <c r="O9" i="144"/>
  <c r="F9" i="144"/>
  <c r="J39" i="144"/>
  <c r="K10" i="144"/>
  <c r="O15" i="144"/>
  <c r="E16" i="144"/>
  <c r="F16" i="144" s="1"/>
  <c r="G16" i="144" s="1"/>
  <c r="F17" i="144"/>
  <c r="G17" i="144" s="1"/>
  <c r="G79" i="144"/>
  <c r="H79" i="144"/>
  <c r="H70" i="144"/>
  <c r="E13" i="144"/>
  <c r="F13" i="144" s="1"/>
  <c r="G13" i="144" s="1"/>
  <c r="H39" i="144"/>
  <c r="H52" i="144" s="1"/>
  <c r="I14" i="144"/>
  <c r="O14" i="144" s="1"/>
  <c r="O25" i="144"/>
  <c r="O36" i="144"/>
  <c r="O37" i="144"/>
  <c r="G37" i="144"/>
  <c r="F10" i="144"/>
  <c r="G10" i="144" s="1"/>
  <c r="O19" i="144"/>
  <c r="E27" i="144"/>
  <c r="F27" i="144" s="1"/>
  <c r="G27" i="144" s="1"/>
  <c r="O28" i="144"/>
  <c r="F28" i="144"/>
  <c r="G28" i="144" s="1"/>
  <c r="O38" i="144"/>
  <c r="O51" i="144"/>
  <c r="O24" i="144"/>
  <c r="O34" i="144"/>
  <c r="E12" i="144"/>
  <c r="E15" i="144"/>
  <c r="F15" i="144" s="1"/>
  <c r="G15" i="144" s="1"/>
  <c r="E20" i="144"/>
  <c r="F20" i="144" s="1"/>
  <c r="G20" i="144" s="1"/>
  <c r="E26" i="144"/>
  <c r="F26" i="144" s="1"/>
  <c r="G26" i="144" s="1"/>
  <c r="E30" i="144"/>
  <c r="F30" i="144" s="1"/>
  <c r="G30" i="144" s="1"/>
  <c r="E36" i="144"/>
  <c r="F36" i="144" s="1"/>
  <c r="G36" i="144" s="1"/>
  <c r="G80" i="144"/>
  <c r="H37" i="143"/>
  <c r="H50" i="143" s="1"/>
  <c r="O15" i="143"/>
  <c r="O22" i="143"/>
  <c r="G83" i="143"/>
  <c r="H78" i="143"/>
  <c r="O17" i="143"/>
  <c r="H83" i="143"/>
  <c r="O10" i="143"/>
  <c r="O14" i="143"/>
  <c r="F18" i="143"/>
  <c r="G18" i="143" s="1"/>
  <c r="O20" i="143"/>
  <c r="E9" i="143"/>
  <c r="J9" i="143"/>
  <c r="E13" i="143"/>
  <c r="F13" i="143" s="1"/>
  <c r="G13" i="143" s="1"/>
  <c r="G37" i="143" s="1"/>
  <c r="G14" i="143"/>
  <c r="H14" i="143" s="1"/>
  <c r="I14" i="143" s="1"/>
  <c r="I37" i="143" s="1"/>
  <c r="I50" i="143" s="1"/>
  <c r="E16" i="143"/>
  <c r="F16" i="143" s="1"/>
  <c r="G16" i="143" s="1"/>
  <c r="F17" i="143"/>
  <c r="G17" i="143" s="1"/>
  <c r="E21" i="143"/>
  <c r="F21" i="143" s="1"/>
  <c r="G21" i="143" s="1"/>
  <c r="H68" i="143"/>
  <c r="G77" i="143"/>
  <c r="O76" i="143"/>
  <c r="I49" i="68" l="1"/>
  <c r="I50" i="68" s="1"/>
  <c r="J40" i="68"/>
  <c r="J51" i="68"/>
  <c r="L16" i="68"/>
  <c r="K37" i="68"/>
  <c r="J93" i="52"/>
  <c r="F89" i="52"/>
  <c r="H89" i="52" s="1"/>
  <c r="J91" i="52"/>
  <c r="J94" i="52" s="1"/>
  <c r="G87" i="53"/>
  <c r="G97" i="53"/>
  <c r="J90" i="53"/>
  <c r="J91" i="53" s="1"/>
  <c r="G88" i="54"/>
  <c r="G98" i="54"/>
  <c r="L37" i="130"/>
  <c r="L50" i="130" s="1"/>
  <c r="M9" i="130"/>
  <c r="O38" i="55"/>
  <c r="G54" i="55" s="1"/>
  <c r="G60" i="55" s="1"/>
  <c r="G65" i="55" s="1"/>
  <c r="G37" i="148"/>
  <c r="H16" i="148"/>
  <c r="E49" i="148"/>
  <c r="F40" i="148"/>
  <c r="O41" i="148"/>
  <c r="O10" i="148"/>
  <c r="H68" i="148"/>
  <c r="E50" i="148"/>
  <c r="G51" i="147"/>
  <c r="O35" i="147"/>
  <c r="O12" i="147"/>
  <c r="O28" i="147"/>
  <c r="O24" i="147"/>
  <c r="O27" i="147"/>
  <c r="H38" i="147"/>
  <c r="H51" i="147" s="1"/>
  <c r="I14" i="147"/>
  <c r="I38" i="147" s="1"/>
  <c r="I51" i="147" s="1"/>
  <c r="K38" i="147"/>
  <c r="K51" i="147" s="1"/>
  <c r="L10" i="147"/>
  <c r="L38" i="147" s="1"/>
  <c r="L51" i="147" s="1"/>
  <c r="E38" i="147"/>
  <c r="O13" i="147"/>
  <c r="O17" i="147"/>
  <c r="O25" i="147"/>
  <c r="O33" i="147"/>
  <c r="J51" i="147"/>
  <c r="J52" i="147"/>
  <c r="J53" i="147" s="1"/>
  <c r="J88" i="147"/>
  <c r="O30" i="147"/>
  <c r="O26" i="147"/>
  <c r="O22" i="147"/>
  <c r="O31" i="147"/>
  <c r="O23" i="147"/>
  <c r="O15" i="147"/>
  <c r="O30" i="146"/>
  <c r="I38" i="146"/>
  <c r="I51" i="146" s="1"/>
  <c r="O26" i="146"/>
  <c r="K38" i="146"/>
  <c r="K51" i="146" s="1"/>
  <c r="L10" i="146"/>
  <c r="F13" i="146"/>
  <c r="E38" i="146"/>
  <c r="O20" i="146"/>
  <c r="J51" i="146"/>
  <c r="J52" i="146"/>
  <c r="J53" i="146" s="1"/>
  <c r="O16" i="146"/>
  <c r="J39" i="145"/>
  <c r="K10" i="145"/>
  <c r="D52" i="145"/>
  <c r="E39" i="145"/>
  <c r="J88" i="145" s="1"/>
  <c r="H39" i="145"/>
  <c r="H52" i="145" s="1"/>
  <c r="I14" i="145"/>
  <c r="O11" i="145"/>
  <c r="G39" i="145"/>
  <c r="F12" i="144"/>
  <c r="G12" i="144" s="1"/>
  <c r="G39" i="144" s="1"/>
  <c r="E39" i="144"/>
  <c r="O17" i="144"/>
  <c r="K39" i="144"/>
  <c r="K52" i="144" s="1"/>
  <c r="L10" i="144"/>
  <c r="O31" i="144"/>
  <c r="O22" i="144"/>
  <c r="H80" i="144"/>
  <c r="H85" i="144" s="1"/>
  <c r="G85" i="144"/>
  <c r="O27" i="144"/>
  <c r="O13" i="144"/>
  <c r="J53" i="144"/>
  <c r="J54" i="144" s="1"/>
  <c r="J52" i="144"/>
  <c r="O30" i="144"/>
  <c r="O26" i="144"/>
  <c r="O12" i="144"/>
  <c r="I39" i="144"/>
  <c r="I52" i="144" s="1"/>
  <c r="O16" i="144"/>
  <c r="O32" i="144"/>
  <c r="O21" i="144"/>
  <c r="J86" i="143"/>
  <c r="G50" i="143"/>
  <c r="O21" i="143"/>
  <c r="K9" i="143"/>
  <c r="J37" i="143"/>
  <c r="O13" i="143"/>
  <c r="F9" i="143"/>
  <c r="E37" i="143"/>
  <c r="O16" i="143"/>
  <c r="O18" i="143"/>
  <c r="F124" i="1"/>
  <c r="P124" i="1" s="1"/>
  <c r="F123" i="1"/>
  <c r="P123" i="1" s="1"/>
  <c r="E123" i="1"/>
  <c r="F149" i="1"/>
  <c r="P149" i="1" s="1"/>
  <c r="F121" i="1"/>
  <c r="P121" i="1" s="1"/>
  <c r="E121" i="1"/>
  <c r="F118" i="1"/>
  <c r="P118" i="1" s="1"/>
  <c r="E118" i="1"/>
  <c r="J49" i="68" l="1"/>
  <c r="J50" i="68" s="1"/>
  <c r="K40" i="68"/>
  <c r="J87" i="68"/>
  <c r="M16" i="68"/>
  <c r="L37" i="68"/>
  <c r="J92" i="52"/>
  <c r="G89" i="52"/>
  <c r="F90" i="53"/>
  <c r="H90" i="53" s="1"/>
  <c r="J92" i="53"/>
  <c r="J93" i="53" s="1"/>
  <c r="J94" i="53" s="1"/>
  <c r="J95" i="54"/>
  <c r="J93" i="54"/>
  <c r="J94" i="54" s="1"/>
  <c r="J96" i="54" s="1"/>
  <c r="F91" i="54"/>
  <c r="H91" i="54" s="1"/>
  <c r="N9" i="130"/>
  <c r="M37" i="130"/>
  <c r="J87" i="130"/>
  <c r="G86" i="55"/>
  <c r="G96" i="55"/>
  <c r="G118" i="1"/>
  <c r="G123" i="1"/>
  <c r="G121" i="1"/>
  <c r="F49" i="148"/>
  <c r="F50" i="148" s="1"/>
  <c r="G40" i="148"/>
  <c r="H37" i="148"/>
  <c r="I16" i="148"/>
  <c r="O14" i="147"/>
  <c r="J87" i="147"/>
  <c r="E51" i="147"/>
  <c r="O51" i="147" s="1"/>
  <c r="O38" i="147"/>
  <c r="G54" i="147" s="1"/>
  <c r="G60" i="147" s="1"/>
  <c r="G65" i="147" s="1"/>
  <c r="J86" i="147"/>
  <c r="O10" i="147"/>
  <c r="G13" i="146"/>
  <c r="G38" i="146" s="1"/>
  <c r="O13" i="146"/>
  <c r="F38" i="146"/>
  <c r="F51" i="146" s="1"/>
  <c r="L38" i="146"/>
  <c r="M10" i="146"/>
  <c r="E51" i="146"/>
  <c r="J86" i="146"/>
  <c r="I39" i="145"/>
  <c r="I52" i="145" s="1"/>
  <c r="O14" i="145"/>
  <c r="G52" i="145"/>
  <c r="J89" i="145"/>
  <c r="E52" i="145"/>
  <c r="K39" i="145"/>
  <c r="K52" i="145" s="1"/>
  <c r="L10" i="145"/>
  <c r="J53" i="145"/>
  <c r="J54" i="145" s="1"/>
  <c r="J52" i="145"/>
  <c r="J88" i="144"/>
  <c r="G52" i="144"/>
  <c r="F39" i="144"/>
  <c r="F52" i="144" s="1"/>
  <c r="J89" i="144"/>
  <c r="L39" i="144"/>
  <c r="L52" i="144" s="1"/>
  <c r="M10" i="144"/>
  <c r="E52" i="144"/>
  <c r="J87" i="144"/>
  <c r="E50" i="143"/>
  <c r="L9" i="143"/>
  <c r="K37" i="143"/>
  <c r="K50" i="143" s="1"/>
  <c r="F37" i="143"/>
  <c r="F50" i="143" s="1"/>
  <c r="J50" i="143"/>
  <c r="J51" i="143"/>
  <c r="J52" i="143" s="1"/>
  <c r="G131" i="1"/>
  <c r="G132" i="1"/>
  <c r="G133" i="1"/>
  <c r="G134" i="1"/>
  <c r="G135" i="1"/>
  <c r="G136" i="1"/>
  <c r="G139" i="1"/>
  <c r="G140" i="1"/>
  <c r="G141" i="1"/>
  <c r="G142" i="1"/>
  <c r="G143" i="1"/>
  <c r="G144" i="1"/>
  <c r="G147" i="1"/>
  <c r="G148" i="1"/>
  <c r="F32" i="1"/>
  <c r="P32" i="1" s="1"/>
  <c r="K49" i="68" l="1"/>
  <c r="K50" i="68" s="1"/>
  <c r="L40" i="68"/>
  <c r="J52" i="68"/>
  <c r="M37" i="68"/>
  <c r="N16" i="68"/>
  <c r="N37" i="68" s="1"/>
  <c r="O16" i="68"/>
  <c r="F90" i="52"/>
  <c r="H90" i="52" s="1"/>
  <c r="G90" i="52"/>
  <c r="G90" i="53"/>
  <c r="G91" i="54"/>
  <c r="N37" i="130"/>
  <c r="N50" i="130" s="1"/>
  <c r="O50" i="130" s="1"/>
  <c r="O9" i="130"/>
  <c r="M50" i="130"/>
  <c r="G89" i="55"/>
  <c r="J91" i="55"/>
  <c r="J92" i="55" s="1"/>
  <c r="F89" i="55"/>
  <c r="H89" i="55" s="1"/>
  <c r="G49" i="148"/>
  <c r="H40" i="148"/>
  <c r="J16" i="148"/>
  <c r="I37" i="148"/>
  <c r="J86" i="148"/>
  <c r="J90" i="147"/>
  <c r="G96" i="147"/>
  <c r="G86" i="147"/>
  <c r="M38" i="146"/>
  <c r="N10" i="146"/>
  <c r="G51" i="146"/>
  <c r="J87" i="146"/>
  <c r="L51" i="146"/>
  <c r="J88" i="146"/>
  <c r="M10" i="145"/>
  <c r="L39" i="145"/>
  <c r="L52" i="145" s="1"/>
  <c r="M39" i="144"/>
  <c r="N10" i="144"/>
  <c r="N39" i="144" s="1"/>
  <c r="N52" i="144" s="1"/>
  <c r="O10" i="144"/>
  <c r="L37" i="143"/>
  <c r="L50" i="143" s="1"/>
  <c r="M9" i="143"/>
  <c r="J87" i="143"/>
  <c r="J85" i="143"/>
  <c r="O37" i="68" l="1"/>
  <c r="G53" i="68" s="1"/>
  <c r="G59" i="68" s="1"/>
  <c r="G64" i="68" s="1"/>
  <c r="L49" i="68"/>
  <c r="L50" i="68" s="1"/>
  <c r="M40" i="68"/>
  <c r="J88" i="68"/>
  <c r="J89" i="68" s="1"/>
  <c r="F91" i="52"/>
  <c r="H91" i="52" s="1"/>
  <c r="F91" i="53"/>
  <c r="H91" i="53" s="1"/>
  <c r="G92" i="54"/>
  <c r="F92" i="54"/>
  <c r="H92" i="54" s="1"/>
  <c r="J88" i="130"/>
  <c r="J89" i="130" s="1"/>
  <c r="O37" i="130"/>
  <c r="G53" i="130" s="1"/>
  <c r="G59" i="130" s="1"/>
  <c r="G64" i="130" s="1"/>
  <c r="F90" i="55"/>
  <c r="H90" i="55" s="1"/>
  <c r="G90" i="55"/>
  <c r="J37" i="148"/>
  <c r="K16" i="148"/>
  <c r="H49" i="148"/>
  <c r="H50" i="148" s="1"/>
  <c r="I40" i="148"/>
  <c r="G50" i="148"/>
  <c r="J92" i="147"/>
  <c r="G89" i="147"/>
  <c r="J91" i="147"/>
  <c r="F89" i="147"/>
  <c r="H89" i="147" s="1"/>
  <c r="M51" i="146"/>
  <c r="N38" i="146"/>
  <c r="O10" i="146"/>
  <c r="M39" i="145"/>
  <c r="N10" i="145"/>
  <c r="J90" i="145"/>
  <c r="M52" i="144"/>
  <c r="O52" i="144" s="1"/>
  <c r="J90" i="144"/>
  <c r="J91" i="144" s="1"/>
  <c r="O39" i="144"/>
  <c r="G55" i="144" s="1"/>
  <c r="G61" i="144" s="1"/>
  <c r="G66" i="144" s="1"/>
  <c r="O37" i="143"/>
  <c r="G53" i="143" s="1"/>
  <c r="G59" i="143" s="1"/>
  <c r="G64" i="143" s="1"/>
  <c r="M37" i="143"/>
  <c r="N9" i="143"/>
  <c r="N37" i="143" s="1"/>
  <c r="N50" i="143" s="1"/>
  <c r="F94" i="1"/>
  <c r="P94" i="1" s="1"/>
  <c r="F92" i="1"/>
  <c r="P92" i="1" s="1"/>
  <c r="F86" i="1"/>
  <c r="P86" i="1" s="1"/>
  <c r="E86" i="1"/>
  <c r="F84" i="1"/>
  <c r="P84" i="1" s="1"/>
  <c r="F146" i="1"/>
  <c r="P146" i="1" s="1"/>
  <c r="E146" i="1"/>
  <c r="P145" i="1"/>
  <c r="F78" i="1"/>
  <c r="P78" i="1" s="1"/>
  <c r="F69" i="1"/>
  <c r="P69" i="1" s="1"/>
  <c r="F66" i="1"/>
  <c r="P66" i="1" s="1"/>
  <c r="E66" i="1"/>
  <c r="F64" i="1"/>
  <c r="P64" i="1" s="1"/>
  <c r="E63" i="1"/>
  <c r="G95" i="68" l="1"/>
  <c r="M49" i="68"/>
  <c r="M50" i="68" s="1"/>
  <c r="N40" i="68"/>
  <c r="G91" i="52"/>
  <c r="G91" i="53"/>
  <c r="F93" i="54"/>
  <c r="H93" i="54" s="1"/>
  <c r="G85" i="130"/>
  <c r="G95" i="130"/>
  <c r="F91" i="55"/>
  <c r="H91" i="55" s="1"/>
  <c r="G66" i="1"/>
  <c r="G145" i="1"/>
  <c r="G146" i="1"/>
  <c r="G86" i="1"/>
  <c r="L16" i="148"/>
  <c r="K37" i="148"/>
  <c r="I49" i="148"/>
  <c r="I50" i="148" s="1"/>
  <c r="J40" i="148"/>
  <c r="J51" i="148"/>
  <c r="F90" i="147"/>
  <c r="H90" i="147" s="1"/>
  <c r="G90" i="147"/>
  <c r="N51" i="146"/>
  <c r="O51" i="146" s="1"/>
  <c r="O38" i="146"/>
  <c r="G54" i="146" s="1"/>
  <c r="G60" i="146" s="1"/>
  <c r="G65" i="146" s="1"/>
  <c r="J89" i="146"/>
  <c r="J90" i="146" s="1"/>
  <c r="N39" i="145"/>
  <c r="O10" i="145"/>
  <c r="M52" i="145"/>
  <c r="G87" i="144"/>
  <c r="G97" i="144"/>
  <c r="G95" i="143"/>
  <c r="G85" i="143"/>
  <c r="M50" i="143"/>
  <c r="O50" i="143" s="1"/>
  <c r="J88" i="143"/>
  <c r="J89" i="143" s="1"/>
  <c r="O9" i="143"/>
  <c r="P138" i="1"/>
  <c r="F137" i="1"/>
  <c r="P137" i="1" s="1"/>
  <c r="F49" i="1"/>
  <c r="P49" i="1" s="1"/>
  <c r="F45" i="1"/>
  <c r="P45" i="1" s="1"/>
  <c r="E45" i="1"/>
  <c r="F44" i="1"/>
  <c r="P44" i="1" s="1"/>
  <c r="E44" i="1"/>
  <c r="F43" i="1"/>
  <c r="P43" i="1" s="1"/>
  <c r="E43" i="1"/>
  <c r="F42" i="1"/>
  <c r="P42" i="1" s="1"/>
  <c r="E42" i="1"/>
  <c r="F41" i="1"/>
  <c r="P41" i="1" s="1"/>
  <c r="E41" i="1"/>
  <c r="F40" i="1"/>
  <c r="P40" i="1" s="1"/>
  <c r="E40" i="1"/>
  <c r="F36" i="1"/>
  <c r="P36" i="1" s="1"/>
  <c r="F35" i="1"/>
  <c r="P35" i="1" s="1"/>
  <c r="F34" i="1"/>
  <c r="P34" i="1" s="1"/>
  <c r="N49" i="68" l="1"/>
  <c r="O40" i="68"/>
  <c r="G70" i="68" s="1"/>
  <c r="F92" i="52"/>
  <c r="H92" i="52" s="1"/>
  <c r="G94" i="52" s="1"/>
  <c r="G97" i="52" s="1"/>
  <c r="G98" i="52" s="1"/>
  <c r="F92" i="53"/>
  <c r="H92" i="53" s="1"/>
  <c r="G93" i="54"/>
  <c r="G88" i="130"/>
  <c r="J90" i="130"/>
  <c r="J91" i="130" s="1"/>
  <c r="F88" i="130"/>
  <c r="H88" i="130" s="1"/>
  <c r="G91" i="55"/>
  <c r="G40" i="1"/>
  <c r="G42" i="1"/>
  <c r="G41" i="1"/>
  <c r="G43" i="1"/>
  <c r="G45" i="1"/>
  <c r="G44" i="1"/>
  <c r="G138" i="1"/>
  <c r="J49" i="148"/>
  <c r="J50" i="148" s="1"/>
  <c r="K40" i="148"/>
  <c r="M16" i="148"/>
  <c r="L37" i="148"/>
  <c r="F91" i="147"/>
  <c r="H91" i="147" s="1"/>
  <c r="G86" i="146"/>
  <c r="G96" i="146"/>
  <c r="N52" i="145"/>
  <c r="O52" i="145" s="1"/>
  <c r="O39" i="145"/>
  <c r="J91" i="145"/>
  <c r="J92" i="145" s="1"/>
  <c r="J92" i="144"/>
  <c r="J93" i="144" s="1"/>
  <c r="J94" i="144" s="1"/>
  <c r="F90" i="144"/>
  <c r="H90" i="144" s="1"/>
  <c r="G88" i="143"/>
  <c r="J90" i="143"/>
  <c r="J91" i="143" s="1"/>
  <c r="F88" i="143"/>
  <c r="H88" i="143" s="1"/>
  <c r="G92" i="52" l="1"/>
  <c r="H70" i="68"/>
  <c r="G77" i="68"/>
  <c r="H77" i="68"/>
  <c r="H83" i="68" s="1"/>
  <c r="G85" i="68" s="1"/>
  <c r="O49" i="68"/>
  <c r="N50" i="68"/>
  <c r="O50" i="68" s="1"/>
  <c r="Q51" i="68" s="1"/>
  <c r="G92" i="53"/>
  <c r="G94" i="54"/>
  <c r="F94" i="54"/>
  <c r="H94" i="54" s="1"/>
  <c r="G96" i="54" s="1"/>
  <c r="G99" i="54" s="1"/>
  <c r="F89" i="130"/>
  <c r="H89" i="130" s="1"/>
  <c r="F92" i="55"/>
  <c r="H92" i="55" s="1"/>
  <c r="G94" i="55" s="1"/>
  <c r="G97" i="55" s="1"/>
  <c r="G92" i="55"/>
  <c r="G90" i="144"/>
  <c r="F91" i="144" s="1"/>
  <c r="H91" i="144" s="1"/>
  <c r="M37" i="148"/>
  <c r="N16" i="148"/>
  <c r="K49" i="148"/>
  <c r="K50" i="148" s="1"/>
  <c r="L40" i="148"/>
  <c r="J87" i="148"/>
  <c r="J52" i="148"/>
  <c r="G91" i="147"/>
  <c r="J93" i="146"/>
  <c r="J91" i="146"/>
  <c r="F89" i="146"/>
  <c r="H89" i="146" s="1"/>
  <c r="G55" i="145"/>
  <c r="G62" i="145" s="1"/>
  <c r="G67" i="145" s="1"/>
  <c r="P39" i="145"/>
  <c r="F89" i="143"/>
  <c r="H89" i="143" s="1"/>
  <c r="G89" i="143"/>
  <c r="F19" i="1"/>
  <c r="P19" i="1" s="1"/>
  <c r="F17" i="1"/>
  <c r="P17" i="1" s="1"/>
  <c r="F13" i="1"/>
  <c r="P13" i="1" s="1"/>
  <c r="E13" i="1"/>
  <c r="F11" i="1"/>
  <c r="P11" i="1" s="1"/>
  <c r="F9" i="1"/>
  <c r="P9" i="1" s="1"/>
  <c r="F8" i="1"/>
  <c r="P8" i="1" s="1"/>
  <c r="G88" i="68" l="1"/>
  <c r="J90" i="68"/>
  <c r="J91" i="68" s="1"/>
  <c r="F88" i="68"/>
  <c r="H88" i="68" s="1"/>
  <c r="G99" i="52"/>
  <c r="E58" i="1" s="1"/>
  <c r="G93" i="53"/>
  <c r="F93" i="53"/>
  <c r="H93" i="53" s="1"/>
  <c r="G95" i="53" s="1"/>
  <c r="G98" i="53" s="1"/>
  <c r="G100" i="54"/>
  <c r="G89" i="130"/>
  <c r="G98" i="55"/>
  <c r="G99" i="55"/>
  <c r="G91" i="144"/>
  <c r="N37" i="148"/>
  <c r="O16" i="148"/>
  <c r="J88" i="148"/>
  <c r="J89" i="148" s="1"/>
  <c r="L49" i="148"/>
  <c r="L50" i="148" s="1"/>
  <c r="M40" i="148"/>
  <c r="F92" i="147"/>
  <c r="H92" i="147" s="1"/>
  <c r="G94" i="147" s="1"/>
  <c r="G97" i="147" s="1"/>
  <c r="G92" i="147"/>
  <c r="J94" i="146"/>
  <c r="J92" i="146"/>
  <c r="G89" i="146"/>
  <c r="G88" i="145"/>
  <c r="G98" i="145"/>
  <c r="F92" i="144"/>
  <c r="H92" i="144" s="1"/>
  <c r="F90" i="143"/>
  <c r="H90" i="143" s="1"/>
  <c r="G90" i="143"/>
  <c r="G13" i="1"/>
  <c r="F89" i="68" l="1"/>
  <c r="H89" i="68" s="1"/>
  <c r="G101" i="52"/>
  <c r="B101" i="52" s="1"/>
  <c r="G101" i="54"/>
  <c r="F90" i="130"/>
  <c r="H90" i="130" s="1"/>
  <c r="G90" i="130"/>
  <c r="G101" i="55"/>
  <c r="B101" i="55" s="1"/>
  <c r="P55" i="1"/>
  <c r="M49" i="148"/>
  <c r="M50" i="148" s="1"/>
  <c r="N40" i="148"/>
  <c r="O37" i="148"/>
  <c r="G53" i="148" s="1"/>
  <c r="G59" i="148" s="1"/>
  <c r="G64" i="148" s="1"/>
  <c r="G98" i="147"/>
  <c r="G99" i="147"/>
  <c r="G101" i="147" s="1"/>
  <c r="B101" i="147" s="1"/>
  <c r="F90" i="146"/>
  <c r="H90" i="146" s="1"/>
  <c r="J95" i="145"/>
  <c r="F91" i="145"/>
  <c r="H91" i="145" s="1"/>
  <c r="J93" i="145"/>
  <c r="J94" i="145" s="1"/>
  <c r="J96" i="145" s="1"/>
  <c r="G92" i="144"/>
  <c r="F91" i="143"/>
  <c r="H91" i="143" s="1"/>
  <c r="G93" i="143" s="1"/>
  <c r="G96" i="143" s="1"/>
  <c r="H94" i="142"/>
  <c r="J92" i="142"/>
  <c r="J90" i="142"/>
  <c r="C89" i="142"/>
  <c r="C88" i="142"/>
  <c r="H82" i="142"/>
  <c r="H79" i="142"/>
  <c r="G77" i="142"/>
  <c r="H76" i="142"/>
  <c r="H75" i="142"/>
  <c r="H74" i="142"/>
  <c r="H73" i="142"/>
  <c r="H72" i="142"/>
  <c r="H71" i="142"/>
  <c r="G70" i="142"/>
  <c r="H70" i="142" s="1"/>
  <c r="H68" i="142"/>
  <c r="G56" i="142"/>
  <c r="J51" i="142"/>
  <c r="Q50" i="142"/>
  <c r="N49" i="142"/>
  <c r="M49" i="142"/>
  <c r="L49" i="142"/>
  <c r="K49" i="142"/>
  <c r="J49" i="142"/>
  <c r="I49" i="142"/>
  <c r="F49" i="142"/>
  <c r="E49" i="142"/>
  <c r="D49" i="142"/>
  <c r="O49" i="142" s="1"/>
  <c r="C49" i="142"/>
  <c r="O48" i="142"/>
  <c r="O47" i="142"/>
  <c r="G69" i="142" s="1"/>
  <c r="H69" i="142" s="1"/>
  <c r="O46" i="142"/>
  <c r="O45" i="142"/>
  <c r="O44" i="142"/>
  <c r="O43" i="142"/>
  <c r="G68" i="142" s="1"/>
  <c r="H77" i="142" s="1"/>
  <c r="O42" i="142"/>
  <c r="G78" i="142" s="1"/>
  <c r="O41" i="142"/>
  <c r="O40" i="142"/>
  <c r="O39" i="142"/>
  <c r="O38" i="142"/>
  <c r="G98" i="142" s="1"/>
  <c r="F116" i="1" s="1"/>
  <c r="Q37" i="142"/>
  <c r="N37" i="142"/>
  <c r="M37" i="142"/>
  <c r="J88" i="142" s="1"/>
  <c r="L37" i="142"/>
  <c r="L50" i="142" s="1"/>
  <c r="K37" i="142"/>
  <c r="K50" i="142" s="1"/>
  <c r="J37" i="142"/>
  <c r="J87" i="142" s="1"/>
  <c r="I37" i="142"/>
  <c r="I50" i="142" s="1"/>
  <c r="H37" i="142"/>
  <c r="H50" i="142" s="1"/>
  <c r="G37" i="142"/>
  <c r="F37" i="142"/>
  <c r="F50" i="142" s="1"/>
  <c r="E37" i="142"/>
  <c r="J85" i="142" s="1"/>
  <c r="D37" i="142"/>
  <c r="D50" i="142" s="1"/>
  <c r="C37" i="142"/>
  <c r="C50" i="142" s="1"/>
  <c r="O36" i="142"/>
  <c r="O35" i="142"/>
  <c r="O34" i="142"/>
  <c r="O33" i="142"/>
  <c r="O32" i="142"/>
  <c r="O31" i="142"/>
  <c r="O30" i="142"/>
  <c r="O29" i="142"/>
  <c r="O28" i="142"/>
  <c r="O27" i="142"/>
  <c r="O26" i="142"/>
  <c r="O25" i="142"/>
  <c r="O24" i="142"/>
  <c r="O23" i="142"/>
  <c r="O22" i="142"/>
  <c r="O21" i="142"/>
  <c r="O20" i="142"/>
  <c r="O19" i="142"/>
  <c r="O18" i="142"/>
  <c r="O17" i="142"/>
  <c r="O16" i="142"/>
  <c r="O15" i="142"/>
  <c r="O14" i="142"/>
  <c r="O13" i="142"/>
  <c r="O12" i="142"/>
  <c r="O11" i="142"/>
  <c r="O10" i="142"/>
  <c r="O9" i="142"/>
  <c r="A8" i="142"/>
  <c r="H94" i="141"/>
  <c r="C89" i="141"/>
  <c r="C88" i="141"/>
  <c r="H77" i="141"/>
  <c r="H76" i="141"/>
  <c r="H75" i="141"/>
  <c r="H74" i="141"/>
  <c r="H73" i="141"/>
  <c r="H71" i="141"/>
  <c r="Q50" i="141"/>
  <c r="K50" i="141"/>
  <c r="G50" i="141"/>
  <c r="C50" i="141"/>
  <c r="N49" i="141"/>
  <c r="M49" i="141"/>
  <c r="L49" i="141"/>
  <c r="L50" i="141" s="1"/>
  <c r="K49" i="141"/>
  <c r="J49" i="141"/>
  <c r="I49" i="141"/>
  <c r="H49" i="141"/>
  <c r="H50" i="141" s="1"/>
  <c r="G49" i="141"/>
  <c r="F49" i="141"/>
  <c r="E49" i="141"/>
  <c r="D49" i="141"/>
  <c r="D50" i="141" s="1"/>
  <c r="C49" i="141"/>
  <c r="O48" i="141"/>
  <c r="O47" i="141"/>
  <c r="G69" i="141" s="1"/>
  <c r="H69" i="141" s="1"/>
  <c r="O46" i="141"/>
  <c r="O45" i="141"/>
  <c r="O44" i="141"/>
  <c r="O43" i="141"/>
  <c r="G68" i="141" s="1"/>
  <c r="G77" i="141" s="1"/>
  <c r="O42" i="141"/>
  <c r="O41" i="141"/>
  <c r="O40" i="141"/>
  <c r="G70" i="141" s="1"/>
  <c r="H70" i="141" s="1"/>
  <c r="O39" i="141"/>
  <c r="O38" i="141"/>
  <c r="G98" i="141" s="1"/>
  <c r="F115" i="1" s="1"/>
  <c r="P115" i="1" s="1"/>
  <c r="N37" i="141"/>
  <c r="M37" i="141"/>
  <c r="M50" i="141" s="1"/>
  <c r="L37" i="141"/>
  <c r="K37" i="141"/>
  <c r="J37" i="141"/>
  <c r="J87" i="141" s="1"/>
  <c r="I37" i="141"/>
  <c r="I50" i="141" s="1"/>
  <c r="H37" i="141"/>
  <c r="G37" i="141"/>
  <c r="J86" i="141" s="1"/>
  <c r="F37" i="141"/>
  <c r="F50" i="141" s="1"/>
  <c r="E37" i="141"/>
  <c r="E50" i="141" s="1"/>
  <c r="D37" i="141"/>
  <c r="C37" i="141"/>
  <c r="J85" i="141" s="1"/>
  <c r="O36" i="141"/>
  <c r="O35" i="141"/>
  <c r="O34" i="141"/>
  <c r="O33" i="141"/>
  <c r="O32" i="141"/>
  <c r="O31" i="141"/>
  <c r="O30" i="141"/>
  <c r="O29" i="141"/>
  <c r="O28" i="141"/>
  <c r="O27" i="141"/>
  <c r="O26" i="141"/>
  <c r="O25" i="141"/>
  <c r="O24" i="141"/>
  <c r="O23" i="141"/>
  <c r="O22" i="141"/>
  <c r="O21" i="141"/>
  <c r="O20" i="141"/>
  <c r="O19" i="141"/>
  <c r="O18" i="141"/>
  <c r="O17" i="141"/>
  <c r="Q38" i="141" s="1"/>
  <c r="Q39" i="141" s="1"/>
  <c r="O16" i="141"/>
  <c r="O15" i="141"/>
  <c r="O14" i="141"/>
  <c r="O13" i="141"/>
  <c r="O12" i="141"/>
  <c r="O11" i="141"/>
  <c r="O10" i="141"/>
  <c r="O9" i="141"/>
  <c r="H94" i="140"/>
  <c r="C89" i="140"/>
  <c r="C88" i="140"/>
  <c r="H82" i="140"/>
  <c r="H79" i="140"/>
  <c r="H76" i="140"/>
  <c r="H75" i="140"/>
  <c r="H74" i="140"/>
  <c r="H73" i="140"/>
  <c r="O72" i="140"/>
  <c r="H72" i="140"/>
  <c r="H71" i="140"/>
  <c r="G70" i="140"/>
  <c r="H70" i="140" s="1"/>
  <c r="H69" i="140"/>
  <c r="G68" i="140"/>
  <c r="H77" i="140" s="1"/>
  <c r="Q50" i="140"/>
  <c r="N49" i="140"/>
  <c r="N50" i="140" s="1"/>
  <c r="M49" i="140"/>
  <c r="L49" i="140"/>
  <c r="K49" i="140"/>
  <c r="J49" i="140"/>
  <c r="I49" i="140"/>
  <c r="H49" i="140"/>
  <c r="G49" i="140"/>
  <c r="F49" i="140"/>
  <c r="E49" i="140"/>
  <c r="D49" i="140"/>
  <c r="C49" i="140"/>
  <c r="O48" i="140"/>
  <c r="O47" i="140"/>
  <c r="O46" i="140"/>
  <c r="O45" i="140"/>
  <c r="O44" i="140"/>
  <c r="G56" i="140" s="1"/>
  <c r="O43" i="140"/>
  <c r="O42" i="140"/>
  <c r="G78" i="140" s="1"/>
  <c r="G83" i="140" s="1"/>
  <c r="O41" i="140"/>
  <c r="O40" i="140"/>
  <c r="O39" i="140"/>
  <c r="Q38" i="140"/>
  <c r="O38" i="140"/>
  <c r="G98" i="140" s="1"/>
  <c r="F114" i="1" s="1"/>
  <c r="P114" i="1" s="1"/>
  <c r="Q37" i="140"/>
  <c r="Q39" i="140" s="1"/>
  <c r="N37" i="140"/>
  <c r="J88" i="140" s="1"/>
  <c r="M37" i="140"/>
  <c r="M50" i="140" s="1"/>
  <c r="L37" i="140"/>
  <c r="L50" i="140" s="1"/>
  <c r="K37" i="140"/>
  <c r="J37" i="140"/>
  <c r="J51" i="140" s="1"/>
  <c r="J52" i="140" s="1"/>
  <c r="I37" i="140"/>
  <c r="I50" i="140" s="1"/>
  <c r="H37" i="140"/>
  <c r="H50" i="140" s="1"/>
  <c r="G37" i="140"/>
  <c r="J86" i="140" s="1"/>
  <c r="F37" i="140"/>
  <c r="F50" i="140" s="1"/>
  <c r="E37" i="140"/>
  <c r="E50" i="140" s="1"/>
  <c r="D37" i="140"/>
  <c r="D50" i="140" s="1"/>
  <c r="C37" i="140"/>
  <c r="J85" i="140" s="1"/>
  <c r="O36" i="140"/>
  <c r="O35" i="140"/>
  <c r="O34" i="140"/>
  <c r="O33" i="140"/>
  <c r="O32" i="140"/>
  <c r="O31" i="140"/>
  <c r="O30" i="140"/>
  <c r="O29" i="140"/>
  <c r="O28" i="140"/>
  <c r="O27" i="140"/>
  <c r="O26" i="140"/>
  <c r="O25" i="140"/>
  <c r="O24" i="140"/>
  <c r="O23" i="140"/>
  <c r="O22" i="140"/>
  <c r="O21" i="140"/>
  <c r="O20" i="140"/>
  <c r="O19" i="140"/>
  <c r="O18" i="140"/>
  <c r="O17" i="140"/>
  <c r="O16" i="140"/>
  <c r="O15" i="140"/>
  <c r="O14" i="140"/>
  <c r="O13" i="140"/>
  <c r="O12" i="140"/>
  <c r="O11" i="140"/>
  <c r="O10" i="140"/>
  <c r="O9" i="140"/>
  <c r="A8" i="140"/>
  <c r="H94" i="139"/>
  <c r="C89" i="139"/>
  <c r="C88" i="139"/>
  <c r="J86" i="139"/>
  <c r="G83" i="139"/>
  <c r="H82" i="139"/>
  <c r="H79" i="139"/>
  <c r="H78" i="139"/>
  <c r="H77" i="139"/>
  <c r="H83" i="139" s="1"/>
  <c r="H76" i="139"/>
  <c r="H75" i="139"/>
  <c r="H74" i="139"/>
  <c r="H73" i="139"/>
  <c r="H72" i="139"/>
  <c r="H71" i="139"/>
  <c r="H70" i="139"/>
  <c r="H69" i="139"/>
  <c r="G68" i="139"/>
  <c r="G56" i="139"/>
  <c r="Q50" i="139"/>
  <c r="K50" i="139"/>
  <c r="G50" i="139"/>
  <c r="C50" i="139"/>
  <c r="N49" i="139"/>
  <c r="M49" i="139"/>
  <c r="L49" i="139"/>
  <c r="L50" i="139" s="1"/>
  <c r="K49" i="139"/>
  <c r="J49" i="139"/>
  <c r="I49" i="139"/>
  <c r="H49" i="139"/>
  <c r="H50" i="139" s="1"/>
  <c r="G49" i="139"/>
  <c r="F49" i="139"/>
  <c r="E49" i="139"/>
  <c r="D49" i="139"/>
  <c r="D50" i="139" s="1"/>
  <c r="C49" i="139"/>
  <c r="O48" i="139"/>
  <c r="O47" i="139"/>
  <c r="O46" i="139"/>
  <c r="O45" i="139"/>
  <c r="O44" i="139"/>
  <c r="O43" i="139"/>
  <c r="O42" i="139"/>
  <c r="O41" i="139"/>
  <c r="O40" i="139"/>
  <c r="G70" i="139" s="1"/>
  <c r="O39" i="139"/>
  <c r="O38" i="139"/>
  <c r="G98" i="139" s="1"/>
  <c r="F113" i="1" s="1"/>
  <c r="P113" i="1" s="1"/>
  <c r="Q37" i="139"/>
  <c r="N37" i="139"/>
  <c r="N50" i="139" s="1"/>
  <c r="M37" i="139"/>
  <c r="L37" i="139"/>
  <c r="K37" i="139"/>
  <c r="J37" i="139"/>
  <c r="I37" i="139"/>
  <c r="I50" i="139" s="1"/>
  <c r="H37" i="139"/>
  <c r="G37" i="139"/>
  <c r="F37" i="139"/>
  <c r="F50" i="139" s="1"/>
  <c r="E37" i="139"/>
  <c r="E50" i="139" s="1"/>
  <c r="D37" i="139"/>
  <c r="C37" i="139"/>
  <c r="J85" i="139" s="1"/>
  <c r="O36" i="139"/>
  <c r="O35" i="139"/>
  <c r="O34" i="139"/>
  <c r="O33" i="139"/>
  <c r="O32" i="139"/>
  <c r="O31" i="139"/>
  <c r="O30" i="139"/>
  <c r="O29" i="139"/>
  <c r="O28" i="139"/>
  <c r="O27" i="139"/>
  <c r="O26" i="139"/>
  <c r="O25" i="139"/>
  <c r="O24" i="139"/>
  <c r="O23" i="139"/>
  <c r="O22" i="139"/>
  <c r="O21" i="139"/>
  <c r="O20" i="139"/>
  <c r="O19" i="139"/>
  <c r="P86" i="139" s="1"/>
  <c r="P89" i="139" s="1"/>
  <c r="O18" i="139"/>
  <c r="O17" i="139"/>
  <c r="O16" i="139"/>
  <c r="O15" i="139"/>
  <c r="O14" i="139"/>
  <c r="O13" i="139"/>
  <c r="O12" i="139"/>
  <c r="O11" i="139"/>
  <c r="O10" i="139"/>
  <c r="O9" i="139"/>
  <c r="A8" i="139"/>
  <c r="H94" i="138"/>
  <c r="C89" i="138"/>
  <c r="C88" i="138"/>
  <c r="G83" i="138"/>
  <c r="H82" i="138"/>
  <c r="H80" i="138"/>
  <c r="H79" i="138"/>
  <c r="H78" i="138"/>
  <c r="H76" i="138"/>
  <c r="H75" i="138"/>
  <c r="H74" i="138"/>
  <c r="H73" i="138"/>
  <c r="H72" i="138"/>
  <c r="H71" i="138"/>
  <c r="H69" i="138"/>
  <c r="G69" i="138"/>
  <c r="Q50" i="138"/>
  <c r="J50" i="138"/>
  <c r="F50" i="138"/>
  <c r="N49" i="138"/>
  <c r="M49" i="138"/>
  <c r="L49" i="138"/>
  <c r="K49" i="138"/>
  <c r="K50" i="138" s="1"/>
  <c r="J49" i="138"/>
  <c r="I49" i="138"/>
  <c r="H49" i="138"/>
  <c r="G49" i="138"/>
  <c r="G50" i="138" s="1"/>
  <c r="F49" i="138"/>
  <c r="E49" i="138"/>
  <c r="D49" i="138"/>
  <c r="C49" i="138"/>
  <c r="O48" i="138"/>
  <c r="O47" i="138"/>
  <c r="O46" i="138"/>
  <c r="O45" i="138"/>
  <c r="O44" i="138"/>
  <c r="G56" i="138" s="1"/>
  <c r="O43" i="138"/>
  <c r="G68" i="138" s="1"/>
  <c r="O42" i="138"/>
  <c r="O41" i="138"/>
  <c r="O40" i="138"/>
  <c r="G70" i="138" s="1"/>
  <c r="H70" i="138" s="1"/>
  <c r="O39" i="138"/>
  <c r="O38" i="138"/>
  <c r="G98" i="138" s="1"/>
  <c r="F112" i="1" s="1"/>
  <c r="P112" i="1" s="1"/>
  <c r="Q37" i="138"/>
  <c r="N37" i="138"/>
  <c r="M37" i="138"/>
  <c r="M50" i="138" s="1"/>
  <c r="M51" i="138" s="1"/>
  <c r="L37" i="138"/>
  <c r="L50" i="138" s="1"/>
  <c r="K37" i="138"/>
  <c r="J37" i="138"/>
  <c r="J51" i="138" s="1"/>
  <c r="J52" i="138" s="1"/>
  <c r="I37" i="138"/>
  <c r="I50" i="138" s="1"/>
  <c r="H37" i="138"/>
  <c r="H50" i="138" s="1"/>
  <c r="G37" i="138"/>
  <c r="F37" i="138"/>
  <c r="E37" i="138"/>
  <c r="E50" i="138" s="1"/>
  <c r="D37" i="138"/>
  <c r="D50" i="138" s="1"/>
  <c r="C37" i="138"/>
  <c r="J85" i="138" s="1"/>
  <c r="O36" i="138"/>
  <c r="O35" i="138"/>
  <c r="O34" i="138"/>
  <c r="O33" i="138"/>
  <c r="O32" i="138"/>
  <c r="O31" i="138"/>
  <c r="O30" i="138"/>
  <c r="O29" i="138"/>
  <c r="O28" i="138"/>
  <c r="O27" i="138"/>
  <c r="O26" i="138"/>
  <c r="O25" i="138"/>
  <c r="O24" i="138"/>
  <c r="O23" i="138"/>
  <c r="O22" i="138"/>
  <c r="O21" i="138"/>
  <c r="O20" i="138"/>
  <c r="O19" i="138"/>
  <c r="O18" i="138"/>
  <c r="O17" i="138"/>
  <c r="O16" i="138"/>
  <c r="O15" i="138"/>
  <c r="O14" i="138"/>
  <c r="O13" i="138"/>
  <c r="O12" i="138"/>
  <c r="O11" i="138"/>
  <c r="O10" i="138"/>
  <c r="O9" i="138"/>
  <c r="A8" i="138"/>
  <c r="H94" i="137"/>
  <c r="C89" i="137"/>
  <c r="C88" i="137"/>
  <c r="G83" i="137"/>
  <c r="H82" i="137"/>
  <c r="H79" i="137"/>
  <c r="H78" i="137"/>
  <c r="H76" i="137"/>
  <c r="H75" i="137"/>
  <c r="H74" i="137"/>
  <c r="H73" i="137"/>
  <c r="H72" i="137"/>
  <c r="H71" i="137"/>
  <c r="N49" i="137"/>
  <c r="M49" i="137"/>
  <c r="L49" i="137"/>
  <c r="K49" i="137"/>
  <c r="J49" i="137"/>
  <c r="I49" i="137"/>
  <c r="H49" i="137"/>
  <c r="G49" i="137"/>
  <c r="F49" i="137"/>
  <c r="E49" i="137"/>
  <c r="D49" i="137"/>
  <c r="C49" i="137"/>
  <c r="O48" i="137"/>
  <c r="O47" i="137"/>
  <c r="G69" i="137" s="1"/>
  <c r="H69" i="137" s="1"/>
  <c r="O46" i="137"/>
  <c r="O45" i="137"/>
  <c r="O44" i="137"/>
  <c r="G56" i="137" s="1"/>
  <c r="O43" i="137"/>
  <c r="G68" i="137" s="1"/>
  <c r="O42" i="137"/>
  <c r="O41" i="137"/>
  <c r="O40" i="137"/>
  <c r="G70" i="137" s="1"/>
  <c r="H70" i="137" s="1"/>
  <c r="O39" i="137"/>
  <c r="O38" i="137"/>
  <c r="G98" i="137" s="1"/>
  <c r="F111" i="1" s="1"/>
  <c r="P111" i="1" s="1"/>
  <c r="N37" i="137"/>
  <c r="N50" i="137" s="1"/>
  <c r="M37" i="137"/>
  <c r="J88" i="137" s="1"/>
  <c r="L88" i="137" s="1"/>
  <c r="L37" i="137"/>
  <c r="L50" i="137" s="1"/>
  <c r="K37" i="137"/>
  <c r="K50" i="137" s="1"/>
  <c r="J37" i="137"/>
  <c r="J50" i="137" s="1"/>
  <c r="I37" i="137"/>
  <c r="I50" i="137" s="1"/>
  <c r="H37" i="137"/>
  <c r="H50" i="137" s="1"/>
  <c r="G37" i="137"/>
  <c r="J86" i="137" s="1"/>
  <c r="L86" i="137" s="1"/>
  <c r="F37" i="137"/>
  <c r="F50" i="137" s="1"/>
  <c r="E37" i="137"/>
  <c r="E50" i="137" s="1"/>
  <c r="D37" i="137"/>
  <c r="D50" i="137" s="1"/>
  <c r="C37" i="137"/>
  <c r="J85" i="137" s="1"/>
  <c r="O36" i="137"/>
  <c r="O35" i="137"/>
  <c r="O34" i="137"/>
  <c r="O33" i="137"/>
  <c r="O32" i="137"/>
  <c r="O31" i="137"/>
  <c r="O30" i="137"/>
  <c r="O29" i="137"/>
  <c r="O28" i="137"/>
  <c r="O27" i="137"/>
  <c r="O26" i="137"/>
  <c r="O25" i="137"/>
  <c r="O24" i="137"/>
  <c r="O23" i="137"/>
  <c r="O22" i="137"/>
  <c r="O21" i="137"/>
  <c r="O20" i="137"/>
  <c r="O19" i="137"/>
  <c r="O18" i="137"/>
  <c r="O17" i="137"/>
  <c r="O16" i="137"/>
  <c r="O15" i="137"/>
  <c r="O14" i="137"/>
  <c r="O13" i="137"/>
  <c r="O12" i="137"/>
  <c r="O11" i="137"/>
  <c r="O10" i="137"/>
  <c r="O9" i="137"/>
  <c r="A8" i="137"/>
  <c r="H94" i="136"/>
  <c r="C89" i="136"/>
  <c r="C88" i="136"/>
  <c r="G83" i="136"/>
  <c r="H82" i="136"/>
  <c r="H79" i="136"/>
  <c r="H78" i="136"/>
  <c r="H76" i="136"/>
  <c r="H75" i="136"/>
  <c r="H74" i="136"/>
  <c r="H73" i="136"/>
  <c r="H72" i="136"/>
  <c r="H71" i="136"/>
  <c r="H69" i="136"/>
  <c r="N49" i="136"/>
  <c r="M49" i="136"/>
  <c r="L49" i="136"/>
  <c r="K49" i="136"/>
  <c r="J49" i="136"/>
  <c r="I49" i="136"/>
  <c r="H49" i="136"/>
  <c r="G49" i="136"/>
  <c r="F49" i="136"/>
  <c r="E49" i="136"/>
  <c r="D49" i="136"/>
  <c r="C49" i="136"/>
  <c r="O48" i="136"/>
  <c r="O47" i="136"/>
  <c r="O46" i="136"/>
  <c r="O45" i="136"/>
  <c r="O44" i="136"/>
  <c r="G56" i="136" s="1"/>
  <c r="O43" i="136"/>
  <c r="G68" i="136" s="1"/>
  <c r="O42" i="136"/>
  <c r="O41" i="136"/>
  <c r="O40" i="136"/>
  <c r="G70" i="136" s="1"/>
  <c r="H70" i="136" s="1"/>
  <c r="O39" i="136"/>
  <c r="O38" i="136"/>
  <c r="G98" i="136" s="1"/>
  <c r="F110" i="1" s="1"/>
  <c r="P110" i="1" s="1"/>
  <c r="N37" i="136"/>
  <c r="N50" i="136" s="1"/>
  <c r="M37" i="136"/>
  <c r="M50" i="136" s="1"/>
  <c r="L37" i="136"/>
  <c r="L50" i="136" s="1"/>
  <c r="K37" i="136"/>
  <c r="K50" i="136" s="1"/>
  <c r="J37" i="136"/>
  <c r="J51" i="136" s="1"/>
  <c r="J52" i="136" s="1"/>
  <c r="I37" i="136"/>
  <c r="I50" i="136" s="1"/>
  <c r="H37" i="136"/>
  <c r="H50" i="136" s="1"/>
  <c r="G37" i="136"/>
  <c r="G50" i="136" s="1"/>
  <c r="F37" i="136"/>
  <c r="F50" i="136" s="1"/>
  <c r="E37" i="136"/>
  <c r="E50" i="136" s="1"/>
  <c r="D37" i="136"/>
  <c r="D50" i="136" s="1"/>
  <c r="C37" i="136"/>
  <c r="J85" i="136" s="1"/>
  <c r="O36" i="136"/>
  <c r="O35" i="136"/>
  <c r="O34" i="136"/>
  <c r="O33" i="136"/>
  <c r="O32" i="136"/>
  <c r="O31" i="136"/>
  <c r="O30" i="136"/>
  <c r="O29" i="136"/>
  <c r="O28" i="136"/>
  <c r="O27" i="136"/>
  <c r="O26" i="136"/>
  <c r="O25" i="136"/>
  <c r="O24" i="136"/>
  <c r="O23" i="136"/>
  <c r="O22" i="136"/>
  <c r="O21" i="136"/>
  <c r="O20" i="136"/>
  <c r="O19" i="136"/>
  <c r="O18" i="136"/>
  <c r="O17" i="136"/>
  <c r="O16" i="136"/>
  <c r="O15" i="136"/>
  <c r="O14" i="136"/>
  <c r="O13" i="136"/>
  <c r="O12" i="136"/>
  <c r="O11" i="136"/>
  <c r="O10" i="136"/>
  <c r="O9" i="136"/>
  <c r="A8" i="136"/>
  <c r="H97" i="135"/>
  <c r="C92" i="135"/>
  <c r="C91" i="135"/>
  <c r="H85" i="135"/>
  <c r="H82" i="135"/>
  <c r="H79" i="135"/>
  <c r="H78" i="135"/>
  <c r="H77" i="135"/>
  <c r="H76" i="135"/>
  <c r="H75" i="135"/>
  <c r="H74" i="135"/>
  <c r="H72" i="135"/>
  <c r="Q53" i="135"/>
  <c r="N52" i="135"/>
  <c r="M52" i="135"/>
  <c r="L52" i="135"/>
  <c r="K52" i="135"/>
  <c r="J52" i="135"/>
  <c r="I52" i="135"/>
  <c r="H52" i="135"/>
  <c r="G52" i="135"/>
  <c r="F52" i="135"/>
  <c r="E52" i="135"/>
  <c r="D52" i="135"/>
  <c r="C52" i="135"/>
  <c r="O51" i="135"/>
  <c r="O50" i="135"/>
  <c r="O49" i="135"/>
  <c r="O48" i="135"/>
  <c r="O47" i="135"/>
  <c r="G59" i="135" s="1"/>
  <c r="O46" i="135"/>
  <c r="G71" i="135" s="1"/>
  <c r="O45" i="135"/>
  <c r="G81" i="135" s="1"/>
  <c r="O44" i="135"/>
  <c r="O43" i="135"/>
  <c r="G73" i="135" s="1"/>
  <c r="H73" i="135" s="1"/>
  <c r="O42" i="135"/>
  <c r="O41" i="135"/>
  <c r="G101" i="135" s="1"/>
  <c r="F109" i="1" s="1"/>
  <c r="P109" i="1" s="1"/>
  <c r="Q40" i="135"/>
  <c r="N40" i="135"/>
  <c r="N53" i="135" s="1"/>
  <c r="M40" i="135"/>
  <c r="J91" i="135" s="1"/>
  <c r="L40" i="135"/>
  <c r="L53" i="135" s="1"/>
  <c r="K40" i="135"/>
  <c r="K53" i="135" s="1"/>
  <c r="J40" i="135"/>
  <c r="J53" i="135" s="1"/>
  <c r="I40" i="135"/>
  <c r="I53" i="135" s="1"/>
  <c r="H40" i="135"/>
  <c r="H53" i="135" s="1"/>
  <c r="G40" i="135"/>
  <c r="G53" i="135" s="1"/>
  <c r="F40" i="135"/>
  <c r="F53" i="135" s="1"/>
  <c r="E40" i="135"/>
  <c r="E53" i="135" s="1"/>
  <c r="D40" i="135"/>
  <c r="D53" i="135" s="1"/>
  <c r="C40" i="135"/>
  <c r="J88" i="135" s="1"/>
  <c r="O39" i="135"/>
  <c r="O38" i="135"/>
  <c r="O37" i="135"/>
  <c r="O36" i="135"/>
  <c r="O35" i="135"/>
  <c r="O34" i="135"/>
  <c r="O33" i="135"/>
  <c r="O32" i="135"/>
  <c r="O31" i="135"/>
  <c r="O30" i="135"/>
  <c r="O29" i="135"/>
  <c r="O28" i="135"/>
  <c r="O27" i="135"/>
  <c r="O26" i="135"/>
  <c r="O25" i="135"/>
  <c r="O22" i="135"/>
  <c r="O21" i="135"/>
  <c r="O20" i="135"/>
  <c r="O19" i="135"/>
  <c r="O18" i="135"/>
  <c r="O17" i="135"/>
  <c r="O16" i="135"/>
  <c r="O15" i="135"/>
  <c r="O14" i="135"/>
  <c r="O13" i="135"/>
  <c r="O12" i="135"/>
  <c r="O11" i="135"/>
  <c r="O10" i="135"/>
  <c r="O9" i="135"/>
  <c r="A8" i="135"/>
  <c r="H95" i="134"/>
  <c r="C90" i="134"/>
  <c r="C89" i="134"/>
  <c r="G84" i="134"/>
  <c r="H83" i="134"/>
  <c r="H80" i="134"/>
  <c r="H77" i="134"/>
  <c r="H76" i="134"/>
  <c r="H74" i="134"/>
  <c r="H73" i="134"/>
  <c r="H72" i="134"/>
  <c r="N50" i="134"/>
  <c r="M50" i="134"/>
  <c r="L50" i="134"/>
  <c r="K50" i="134"/>
  <c r="J50" i="134"/>
  <c r="I50" i="134"/>
  <c r="H50" i="134"/>
  <c r="G50" i="134"/>
  <c r="F50" i="134"/>
  <c r="E50" i="134"/>
  <c r="D50" i="134"/>
  <c r="C50" i="134"/>
  <c r="O49" i="134"/>
  <c r="O48" i="134"/>
  <c r="G70" i="134" s="1"/>
  <c r="H70" i="134" s="1"/>
  <c r="O47" i="134"/>
  <c r="O46" i="134"/>
  <c r="O45" i="134"/>
  <c r="G57" i="134" s="1"/>
  <c r="O44" i="134"/>
  <c r="G69" i="134" s="1"/>
  <c r="O43" i="134"/>
  <c r="O42" i="134"/>
  <c r="O41" i="134"/>
  <c r="G71" i="134" s="1"/>
  <c r="H71" i="134" s="1"/>
  <c r="O40" i="134"/>
  <c r="O39" i="134"/>
  <c r="G99" i="134" s="1"/>
  <c r="F108" i="1" s="1"/>
  <c r="P108" i="1" s="1"/>
  <c r="N38" i="134"/>
  <c r="N51" i="134" s="1"/>
  <c r="M38" i="134"/>
  <c r="J89" i="134" s="1"/>
  <c r="L38" i="134"/>
  <c r="L51" i="134" s="1"/>
  <c r="K38" i="134"/>
  <c r="K51" i="134" s="1"/>
  <c r="J38" i="134"/>
  <c r="J88" i="134" s="1"/>
  <c r="I38" i="134"/>
  <c r="I51" i="134" s="1"/>
  <c r="H38" i="134"/>
  <c r="H51" i="134" s="1"/>
  <c r="G38" i="134"/>
  <c r="G51" i="134" s="1"/>
  <c r="F38" i="134"/>
  <c r="F51" i="134" s="1"/>
  <c r="E38" i="134"/>
  <c r="E51" i="134" s="1"/>
  <c r="D38" i="134"/>
  <c r="D51" i="134" s="1"/>
  <c r="C38" i="134"/>
  <c r="C51" i="134" s="1"/>
  <c r="O37" i="134"/>
  <c r="O36" i="134"/>
  <c r="O35" i="134"/>
  <c r="O34" i="134"/>
  <c r="O33" i="134"/>
  <c r="O32" i="134"/>
  <c r="O31" i="134"/>
  <c r="O30" i="134"/>
  <c r="O29" i="134"/>
  <c r="O28" i="134"/>
  <c r="O27" i="134"/>
  <c r="O26" i="134"/>
  <c r="O25" i="134"/>
  <c r="O24" i="134"/>
  <c r="O23" i="134"/>
  <c r="O22" i="134"/>
  <c r="O21" i="134"/>
  <c r="O20" i="134"/>
  <c r="O19" i="134"/>
  <c r="O18" i="134"/>
  <c r="O17" i="134"/>
  <c r="O16" i="134"/>
  <c r="O15" i="134"/>
  <c r="O14" i="134"/>
  <c r="O13" i="134"/>
  <c r="O12" i="134"/>
  <c r="O11" i="134"/>
  <c r="O10" i="134"/>
  <c r="O9" i="134"/>
  <c r="A8" i="134"/>
  <c r="C89" i="133"/>
  <c r="C88" i="133"/>
  <c r="G83" i="133"/>
  <c r="H82" i="133"/>
  <c r="H79" i="133"/>
  <c r="H78" i="133"/>
  <c r="H76" i="133"/>
  <c r="H75" i="133"/>
  <c r="H74" i="133"/>
  <c r="H73" i="133"/>
  <c r="H72" i="133"/>
  <c r="H71" i="133"/>
  <c r="H69" i="133"/>
  <c r="G56" i="133"/>
  <c r="Q52" i="133"/>
  <c r="C50" i="133"/>
  <c r="N49" i="133"/>
  <c r="M49" i="133"/>
  <c r="L49" i="133"/>
  <c r="K49" i="133"/>
  <c r="J49" i="133"/>
  <c r="I49" i="133"/>
  <c r="H49" i="133"/>
  <c r="G49" i="133"/>
  <c r="F49" i="133"/>
  <c r="E49" i="133"/>
  <c r="D49" i="133"/>
  <c r="C49" i="133"/>
  <c r="O48" i="133"/>
  <c r="O47" i="133"/>
  <c r="O46" i="133"/>
  <c r="O45" i="133"/>
  <c r="O44" i="133"/>
  <c r="O43" i="133"/>
  <c r="G68" i="133" s="1"/>
  <c r="O42" i="133"/>
  <c r="O76" i="133" s="1"/>
  <c r="O41" i="133"/>
  <c r="O40" i="133"/>
  <c r="G70" i="133" s="1"/>
  <c r="H70" i="133" s="1"/>
  <c r="Q39" i="133"/>
  <c r="O39" i="133"/>
  <c r="O38" i="133"/>
  <c r="G98" i="133" s="1"/>
  <c r="C37" i="133"/>
  <c r="O36" i="133"/>
  <c r="O35" i="133"/>
  <c r="O34" i="133"/>
  <c r="O33" i="133"/>
  <c r="O32" i="133"/>
  <c r="O31" i="133"/>
  <c r="O30" i="133"/>
  <c r="O29" i="133"/>
  <c r="O28" i="133"/>
  <c r="O27" i="133"/>
  <c r="O26" i="133"/>
  <c r="O25" i="133"/>
  <c r="O24" i="133"/>
  <c r="O23" i="133"/>
  <c r="M22" i="133"/>
  <c r="N22" i="133" s="1"/>
  <c r="L22" i="133"/>
  <c r="K22" i="133"/>
  <c r="F22" i="133"/>
  <c r="G22" i="133" s="1"/>
  <c r="E22" i="133"/>
  <c r="D22" i="133"/>
  <c r="J21" i="133"/>
  <c r="K21" i="133" s="1"/>
  <c r="L21" i="133" s="1"/>
  <c r="M21" i="133" s="1"/>
  <c r="N21" i="133" s="1"/>
  <c r="I21" i="133"/>
  <c r="E21" i="133"/>
  <c r="F21" i="133" s="1"/>
  <c r="G21" i="133" s="1"/>
  <c r="D21" i="133"/>
  <c r="I20" i="133"/>
  <c r="J20" i="133" s="1"/>
  <c r="K20" i="133" s="1"/>
  <c r="L20" i="133" s="1"/>
  <c r="M20" i="133" s="1"/>
  <c r="N20" i="133" s="1"/>
  <c r="D20" i="133"/>
  <c r="D19" i="133"/>
  <c r="L18" i="133"/>
  <c r="M18" i="133" s="1"/>
  <c r="N18" i="133" s="1"/>
  <c r="K18" i="133"/>
  <c r="J18" i="133"/>
  <c r="I18" i="133"/>
  <c r="G18" i="133"/>
  <c r="F18" i="133"/>
  <c r="O18" i="133" s="1"/>
  <c r="E18" i="133"/>
  <c r="D18" i="133"/>
  <c r="K17" i="133"/>
  <c r="L17" i="133" s="1"/>
  <c r="M17" i="133" s="1"/>
  <c r="N17" i="133" s="1"/>
  <c r="J17" i="133"/>
  <c r="I17" i="133"/>
  <c r="F17" i="133"/>
  <c r="G17" i="133" s="1"/>
  <c r="E17" i="133"/>
  <c r="D17" i="133"/>
  <c r="J16" i="133"/>
  <c r="K16" i="133" s="1"/>
  <c r="L16" i="133" s="1"/>
  <c r="M16" i="133" s="1"/>
  <c r="N16" i="133" s="1"/>
  <c r="I16" i="133"/>
  <c r="E16" i="133"/>
  <c r="F16" i="133" s="1"/>
  <c r="G16" i="133" s="1"/>
  <c r="D16" i="133"/>
  <c r="M15" i="133"/>
  <c r="N15" i="133" s="1"/>
  <c r="I15" i="133"/>
  <c r="J15" i="133" s="1"/>
  <c r="K15" i="133" s="1"/>
  <c r="L15" i="133" s="1"/>
  <c r="D15" i="133"/>
  <c r="L14" i="133"/>
  <c r="M14" i="133" s="1"/>
  <c r="N14" i="133" s="1"/>
  <c r="K14" i="133"/>
  <c r="G14" i="133"/>
  <c r="H14" i="133" s="1"/>
  <c r="F14" i="133"/>
  <c r="E14" i="133"/>
  <c r="N13" i="133"/>
  <c r="J13" i="133"/>
  <c r="K13" i="133" s="1"/>
  <c r="L13" i="133" s="1"/>
  <c r="M13" i="133" s="1"/>
  <c r="I13" i="133"/>
  <c r="E13" i="133"/>
  <c r="F13" i="133" s="1"/>
  <c r="G13" i="133" s="1"/>
  <c r="D13" i="133"/>
  <c r="O13" i="133" s="1"/>
  <c r="I12" i="133"/>
  <c r="D12" i="133"/>
  <c r="L11" i="133"/>
  <c r="M11" i="133" s="1"/>
  <c r="N11" i="133" s="1"/>
  <c r="K11" i="133"/>
  <c r="F11" i="133"/>
  <c r="E11" i="133"/>
  <c r="K10" i="133"/>
  <c r="J10" i="133"/>
  <c r="I10" i="133"/>
  <c r="F10" i="133"/>
  <c r="G10" i="133" s="1"/>
  <c r="E10" i="133"/>
  <c r="D10" i="133"/>
  <c r="O9" i="133"/>
  <c r="A8" i="133"/>
  <c r="H94" i="132"/>
  <c r="C89" i="132"/>
  <c r="C88" i="132"/>
  <c r="H82" i="132"/>
  <c r="H79" i="132"/>
  <c r="H76" i="132"/>
  <c r="H75" i="132"/>
  <c r="H74" i="132"/>
  <c r="H73" i="132"/>
  <c r="H72" i="132"/>
  <c r="H71" i="132"/>
  <c r="Q52" i="132"/>
  <c r="N49" i="132"/>
  <c r="M49" i="132"/>
  <c r="L49" i="132"/>
  <c r="K49" i="132"/>
  <c r="J49" i="132"/>
  <c r="I49" i="132"/>
  <c r="H49" i="132"/>
  <c r="G49" i="132"/>
  <c r="F49" i="132"/>
  <c r="E49" i="132"/>
  <c r="D49" i="132"/>
  <c r="C49" i="132"/>
  <c r="C50" i="132" s="1"/>
  <c r="O48" i="132"/>
  <c r="O47" i="132"/>
  <c r="G69" i="132" s="1"/>
  <c r="H69" i="132" s="1"/>
  <c r="O46" i="132"/>
  <c r="O45" i="132"/>
  <c r="O44" i="132"/>
  <c r="G56" i="132" s="1"/>
  <c r="O43" i="132"/>
  <c r="G68" i="132" s="1"/>
  <c r="O42" i="132"/>
  <c r="O41" i="132"/>
  <c r="O40" i="132"/>
  <c r="G70" i="132" s="1"/>
  <c r="H70" i="132" s="1"/>
  <c r="Q39" i="132"/>
  <c r="O39" i="132"/>
  <c r="O38" i="132"/>
  <c r="G98" i="132" s="1"/>
  <c r="F120" i="1" s="1"/>
  <c r="P120" i="1" s="1"/>
  <c r="H37" i="132"/>
  <c r="C37" i="132"/>
  <c r="O36" i="132"/>
  <c r="O35" i="132"/>
  <c r="O34" i="132"/>
  <c r="O33" i="132"/>
  <c r="O32" i="132"/>
  <c r="O31" i="132"/>
  <c r="O30" i="132"/>
  <c r="O29" i="132"/>
  <c r="O28" i="132"/>
  <c r="O27" i="132"/>
  <c r="O26" i="132"/>
  <c r="O25" i="132"/>
  <c r="O24" i="132"/>
  <c r="O23" i="132"/>
  <c r="M22" i="132"/>
  <c r="N22" i="132" s="1"/>
  <c r="I22" i="132"/>
  <c r="G22" i="132"/>
  <c r="F22" i="132"/>
  <c r="E22" i="132"/>
  <c r="D22" i="132"/>
  <c r="K21" i="132"/>
  <c r="L21" i="132" s="1"/>
  <c r="M21" i="132" s="1"/>
  <c r="N21" i="132" s="1"/>
  <c r="J21" i="132"/>
  <c r="I21" i="132"/>
  <c r="F21" i="132"/>
  <c r="G21" i="132" s="1"/>
  <c r="E21" i="132"/>
  <c r="D21" i="132"/>
  <c r="J20" i="132"/>
  <c r="K20" i="132" s="1"/>
  <c r="L20" i="132" s="1"/>
  <c r="M20" i="132" s="1"/>
  <c r="N20" i="132" s="1"/>
  <c r="I20" i="132"/>
  <c r="D20" i="132"/>
  <c r="M19" i="132"/>
  <c r="N19" i="132" s="1"/>
  <c r="L19" i="132"/>
  <c r="E19" i="132"/>
  <c r="F19" i="132" s="1"/>
  <c r="D19" i="132"/>
  <c r="J18" i="132"/>
  <c r="I18" i="132"/>
  <c r="F18" i="132"/>
  <c r="G18" i="132" s="1"/>
  <c r="E18" i="132"/>
  <c r="D18" i="132"/>
  <c r="N17" i="132"/>
  <c r="I17" i="132"/>
  <c r="J17" i="132" s="1"/>
  <c r="K17" i="132" s="1"/>
  <c r="L17" i="132" s="1"/>
  <c r="M17" i="132" s="1"/>
  <c r="E17" i="132"/>
  <c r="F17" i="132" s="1"/>
  <c r="G17" i="132" s="1"/>
  <c r="D17" i="132"/>
  <c r="L16" i="132"/>
  <c r="M16" i="132" s="1"/>
  <c r="N16" i="132" s="1"/>
  <c r="I16" i="132"/>
  <c r="J16" i="132" s="1"/>
  <c r="K16" i="132" s="1"/>
  <c r="D16" i="132"/>
  <c r="O15" i="132"/>
  <c r="L15" i="132"/>
  <c r="M15" i="132" s="1"/>
  <c r="N15" i="132" s="1"/>
  <c r="K15" i="132"/>
  <c r="J15" i="132"/>
  <c r="I15" i="132"/>
  <c r="G15" i="132"/>
  <c r="F15" i="132"/>
  <c r="E15" i="132"/>
  <c r="D15" i="132"/>
  <c r="N14" i="132"/>
  <c r="M14" i="132"/>
  <c r="L14" i="132"/>
  <c r="I14" i="132"/>
  <c r="J14" i="132" s="1"/>
  <c r="D14" i="132"/>
  <c r="E14" i="132" s="1"/>
  <c r="F14" i="132" s="1"/>
  <c r="M13" i="132"/>
  <c r="N13" i="132" s="1"/>
  <c r="I13" i="132"/>
  <c r="J13" i="132" s="1"/>
  <c r="K13" i="132" s="1"/>
  <c r="L13" i="132" s="1"/>
  <c r="D13" i="132"/>
  <c r="N12" i="132"/>
  <c r="J12" i="132"/>
  <c r="K12" i="132" s="1"/>
  <c r="L12" i="132" s="1"/>
  <c r="M12" i="132" s="1"/>
  <c r="I12" i="132"/>
  <c r="E12" i="132"/>
  <c r="F12" i="132" s="1"/>
  <c r="G12" i="132" s="1"/>
  <c r="D12" i="132"/>
  <c r="M11" i="132"/>
  <c r="N11" i="132" s="1"/>
  <c r="L11" i="132"/>
  <c r="E11" i="132"/>
  <c r="F11" i="132" s="1"/>
  <c r="I10" i="132"/>
  <c r="D10" i="132"/>
  <c r="O9" i="132"/>
  <c r="A8" i="132"/>
  <c r="G98" i="131"/>
  <c r="H94" i="131"/>
  <c r="C89" i="131"/>
  <c r="C88" i="131"/>
  <c r="H82" i="131"/>
  <c r="H79" i="131"/>
  <c r="H76" i="131"/>
  <c r="H75" i="131"/>
  <c r="H74" i="131"/>
  <c r="H73" i="131"/>
  <c r="H72" i="131"/>
  <c r="H71" i="131"/>
  <c r="Q52" i="131"/>
  <c r="H50" i="131"/>
  <c r="N49" i="131"/>
  <c r="M49" i="131"/>
  <c r="L49" i="131"/>
  <c r="K49" i="131"/>
  <c r="J49" i="131"/>
  <c r="I49" i="131"/>
  <c r="H49" i="131"/>
  <c r="G49" i="131"/>
  <c r="F49" i="131"/>
  <c r="E49" i="131"/>
  <c r="D49" i="131"/>
  <c r="C49" i="131"/>
  <c r="O48" i="131"/>
  <c r="O47" i="131"/>
  <c r="G69" i="131" s="1"/>
  <c r="H69" i="131" s="1"/>
  <c r="O46" i="131"/>
  <c r="O45" i="131"/>
  <c r="O44" i="131"/>
  <c r="G56" i="131" s="1"/>
  <c r="O43" i="131"/>
  <c r="G68" i="131" s="1"/>
  <c r="O42" i="131"/>
  <c r="O76" i="131" s="1"/>
  <c r="O41" i="131"/>
  <c r="O40" i="131"/>
  <c r="G70" i="131" s="1"/>
  <c r="H70" i="131" s="1"/>
  <c r="Q39" i="131"/>
  <c r="O39" i="131"/>
  <c r="O38" i="131"/>
  <c r="H37" i="131"/>
  <c r="C37" i="131"/>
  <c r="C50" i="131" s="1"/>
  <c r="O36" i="131"/>
  <c r="O35" i="131"/>
  <c r="O34" i="131"/>
  <c r="O33" i="131"/>
  <c r="O32" i="131"/>
  <c r="O31" i="131"/>
  <c r="O30" i="131"/>
  <c r="O29" i="131"/>
  <c r="O28" i="131"/>
  <c r="O27" i="131"/>
  <c r="O26" i="131"/>
  <c r="O25" i="131"/>
  <c r="O24" i="131"/>
  <c r="O23" i="131"/>
  <c r="I22" i="131"/>
  <c r="J22" i="131" s="1"/>
  <c r="K22" i="131" s="1"/>
  <c r="L22" i="131" s="1"/>
  <c r="M22" i="131" s="1"/>
  <c r="N22" i="131" s="1"/>
  <c r="D22" i="131"/>
  <c r="M21" i="131"/>
  <c r="N21" i="131" s="1"/>
  <c r="L21" i="131"/>
  <c r="I21" i="131"/>
  <c r="J21" i="131" s="1"/>
  <c r="K21" i="131" s="1"/>
  <c r="D21" i="131"/>
  <c r="O20" i="131"/>
  <c r="I20" i="131"/>
  <c r="J20" i="131" s="1"/>
  <c r="K20" i="131" s="1"/>
  <c r="L20" i="131" s="1"/>
  <c r="M20" i="131" s="1"/>
  <c r="N20" i="131" s="1"/>
  <c r="G20" i="131"/>
  <c r="D20" i="131"/>
  <c r="E20" i="131" s="1"/>
  <c r="F20" i="131" s="1"/>
  <c r="N19" i="131"/>
  <c r="K19" i="131"/>
  <c r="L19" i="131" s="1"/>
  <c r="M19" i="131" s="1"/>
  <c r="I19" i="131"/>
  <c r="E19" i="131"/>
  <c r="F19" i="131" s="1"/>
  <c r="G19" i="131" s="1"/>
  <c r="D19" i="131"/>
  <c r="I18" i="131"/>
  <c r="J18" i="131" s="1"/>
  <c r="K18" i="131" s="1"/>
  <c r="L18" i="131" s="1"/>
  <c r="M18" i="131" s="1"/>
  <c r="N18" i="131" s="1"/>
  <c r="D18" i="131"/>
  <c r="K17" i="131"/>
  <c r="L17" i="131" s="1"/>
  <c r="M17" i="131" s="1"/>
  <c r="N17" i="131" s="1"/>
  <c r="I17" i="131"/>
  <c r="J17" i="131" s="1"/>
  <c r="F17" i="131"/>
  <c r="G17" i="131" s="1"/>
  <c r="D17" i="131"/>
  <c r="E17" i="131" s="1"/>
  <c r="K16" i="131"/>
  <c r="L16" i="131" s="1"/>
  <c r="M16" i="131" s="1"/>
  <c r="N16" i="131" s="1"/>
  <c r="J16" i="131"/>
  <c r="I16" i="131"/>
  <c r="E16" i="131"/>
  <c r="D16" i="131"/>
  <c r="I15" i="131"/>
  <c r="J15" i="131" s="1"/>
  <c r="K15" i="131" s="1"/>
  <c r="L15" i="131" s="1"/>
  <c r="M15" i="131" s="1"/>
  <c r="N15" i="131" s="1"/>
  <c r="D15" i="131"/>
  <c r="M14" i="131"/>
  <c r="N14" i="131" s="1"/>
  <c r="L14" i="131"/>
  <c r="K14" i="131"/>
  <c r="I14" i="131"/>
  <c r="D14" i="131"/>
  <c r="K13" i="131"/>
  <c r="L13" i="131" s="1"/>
  <c r="M13" i="131" s="1"/>
  <c r="N13" i="131" s="1"/>
  <c r="J13" i="131"/>
  <c r="I13" i="131"/>
  <c r="E13" i="131"/>
  <c r="D13" i="131"/>
  <c r="M12" i="131"/>
  <c r="N12" i="131" s="1"/>
  <c r="J12" i="131"/>
  <c r="K12" i="131" s="1"/>
  <c r="L12" i="131" s="1"/>
  <c r="I12" i="131"/>
  <c r="D12" i="131"/>
  <c r="M11" i="131"/>
  <c r="N11" i="131" s="1"/>
  <c r="L11" i="131"/>
  <c r="K11" i="131"/>
  <c r="I11" i="131"/>
  <c r="D11" i="131"/>
  <c r="J10" i="131"/>
  <c r="K10" i="131" s="1"/>
  <c r="I10" i="131"/>
  <c r="F10" i="131"/>
  <c r="E10" i="131"/>
  <c r="D10" i="131"/>
  <c r="O9" i="131"/>
  <c r="A8" i="131"/>
  <c r="H94" i="129"/>
  <c r="C89" i="129"/>
  <c r="C88" i="129"/>
  <c r="H82" i="129"/>
  <c r="H79" i="129"/>
  <c r="H76" i="129"/>
  <c r="H75" i="129"/>
  <c r="H74" i="129"/>
  <c r="H73" i="129"/>
  <c r="H72" i="129"/>
  <c r="H71" i="129"/>
  <c r="C50" i="129"/>
  <c r="N49" i="129"/>
  <c r="M49" i="129"/>
  <c r="L49" i="129"/>
  <c r="K49" i="129"/>
  <c r="J49" i="129"/>
  <c r="I49" i="129"/>
  <c r="H49" i="129"/>
  <c r="G49" i="129"/>
  <c r="F49" i="129"/>
  <c r="E49" i="129"/>
  <c r="D49" i="129"/>
  <c r="C49" i="129"/>
  <c r="O48" i="129"/>
  <c r="O47" i="129"/>
  <c r="G69" i="129" s="1"/>
  <c r="H69" i="129" s="1"/>
  <c r="O46" i="129"/>
  <c r="O45" i="129"/>
  <c r="O44" i="129"/>
  <c r="G56" i="129" s="1"/>
  <c r="O43" i="129"/>
  <c r="G68" i="129" s="1"/>
  <c r="O42" i="129"/>
  <c r="O72" i="129" s="1"/>
  <c r="O41" i="129"/>
  <c r="O40" i="129"/>
  <c r="G70" i="129" s="1"/>
  <c r="H70" i="129" s="1"/>
  <c r="O39" i="129"/>
  <c r="O38" i="129"/>
  <c r="G98" i="129" s="1"/>
  <c r="C37" i="129"/>
  <c r="M36" i="129"/>
  <c r="N36" i="129" s="1"/>
  <c r="L36" i="129"/>
  <c r="I36" i="129"/>
  <c r="F36" i="129"/>
  <c r="G36" i="129" s="1"/>
  <c r="O36" i="129" s="1"/>
  <c r="M35" i="129"/>
  <c r="N35" i="129" s="1"/>
  <c r="L35" i="129"/>
  <c r="I35" i="129"/>
  <c r="F35" i="129"/>
  <c r="K34" i="129"/>
  <c r="L34" i="129" s="1"/>
  <c r="M34" i="129" s="1"/>
  <c r="N34" i="129" s="1"/>
  <c r="I34" i="129"/>
  <c r="J34" i="129" s="1"/>
  <c r="D34" i="129"/>
  <c r="K33" i="129"/>
  <c r="L33" i="129" s="1"/>
  <c r="M33" i="129" s="1"/>
  <c r="N33" i="129" s="1"/>
  <c r="J33" i="129"/>
  <c r="I33" i="129"/>
  <c r="F33" i="129"/>
  <c r="G33" i="129" s="1"/>
  <c r="E33" i="129"/>
  <c r="O33" i="129" s="1"/>
  <c r="D33" i="129"/>
  <c r="N32" i="129"/>
  <c r="I32" i="129"/>
  <c r="J32" i="129" s="1"/>
  <c r="K32" i="129" s="1"/>
  <c r="L32" i="129" s="1"/>
  <c r="M32" i="129" s="1"/>
  <c r="E32" i="129"/>
  <c r="F32" i="129" s="1"/>
  <c r="G32" i="129" s="1"/>
  <c r="D32" i="129"/>
  <c r="N31" i="129"/>
  <c r="I31" i="129"/>
  <c r="J31" i="129" s="1"/>
  <c r="K31" i="129" s="1"/>
  <c r="L31" i="129" s="1"/>
  <c r="M31" i="129" s="1"/>
  <c r="E31" i="129"/>
  <c r="F31" i="129" s="1"/>
  <c r="G31" i="129" s="1"/>
  <c r="D31" i="129"/>
  <c r="I30" i="129"/>
  <c r="J30" i="129" s="1"/>
  <c r="K30" i="129" s="1"/>
  <c r="L30" i="129" s="1"/>
  <c r="M30" i="129" s="1"/>
  <c r="N30" i="129" s="1"/>
  <c r="F30" i="129"/>
  <c r="G30" i="129" s="1"/>
  <c r="O30" i="129" s="1"/>
  <c r="D30" i="129"/>
  <c r="E30" i="129" s="1"/>
  <c r="J29" i="129"/>
  <c r="K29" i="129" s="1"/>
  <c r="L29" i="129" s="1"/>
  <c r="M29" i="129" s="1"/>
  <c r="N29" i="129" s="1"/>
  <c r="I29" i="129"/>
  <c r="E29" i="129"/>
  <c r="D29" i="129"/>
  <c r="J28" i="129"/>
  <c r="K28" i="129" s="1"/>
  <c r="L28" i="129" s="1"/>
  <c r="M28" i="129" s="1"/>
  <c r="N28" i="129" s="1"/>
  <c r="I28" i="129"/>
  <c r="F28" i="129"/>
  <c r="G28" i="129" s="1"/>
  <c r="D28" i="129"/>
  <c r="E28" i="129" s="1"/>
  <c r="J27" i="129"/>
  <c r="K27" i="129" s="1"/>
  <c r="L27" i="129" s="1"/>
  <c r="M27" i="129" s="1"/>
  <c r="N27" i="129" s="1"/>
  <c r="I27" i="129"/>
  <c r="D27" i="129"/>
  <c r="M26" i="129"/>
  <c r="N26" i="129" s="1"/>
  <c r="K26" i="129"/>
  <c r="L26" i="129" s="1"/>
  <c r="I26" i="129"/>
  <c r="J26" i="129" s="1"/>
  <c r="G26" i="129"/>
  <c r="D26" i="129"/>
  <c r="E26" i="129" s="1"/>
  <c r="F26" i="129" s="1"/>
  <c r="N25" i="129"/>
  <c r="K25" i="129"/>
  <c r="L25" i="129" s="1"/>
  <c r="M25" i="129" s="1"/>
  <c r="J25" i="129"/>
  <c r="I25" i="129"/>
  <c r="F25" i="129"/>
  <c r="G25" i="129" s="1"/>
  <c r="E25" i="129"/>
  <c r="D25" i="129"/>
  <c r="K24" i="129"/>
  <c r="L24" i="129" s="1"/>
  <c r="M24" i="129" s="1"/>
  <c r="N24" i="129" s="1"/>
  <c r="I24" i="129"/>
  <c r="J24" i="129" s="1"/>
  <c r="E24" i="129"/>
  <c r="F24" i="129" s="1"/>
  <c r="G24" i="129" s="1"/>
  <c r="D24" i="129"/>
  <c r="O24" i="129" s="1"/>
  <c r="L23" i="129"/>
  <c r="M23" i="129" s="1"/>
  <c r="N23" i="129" s="1"/>
  <c r="I23" i="129"/>
  <c r="J23" i="129" s="1"/>
  <c r="K23" i="129" s="1"/>
  <c r="E23" i="129"/>
  <c r="F23" i="129" s="1"/>
  <c r="G23" i="129" s="1"/>
  <c r="D23" i="129"/>
  <c r="L22" i="129"/>
  <c r="M22" i="129" s="1"/>
  <c r="N22" i="129" s="1"/>
  <c r="I22" i="129"/>
  <c r="D22" i="129"/>
  <c r="J21" i="129"/>
  <c r="K21" i="129" s="1"/>
  <c r="L21" i="129" s="1"/>
  <c r="M21" i="129" s="1"/>
  <c r="N21" i="129" s="1"/>
  <c r="I21" i="129"/>
  <c r="D21" i="129"/>
  <c r="K20" i="129"/>
  <c r="L20" i="129" s="1"/>
  <c r="M20" i="129" s="1"/>
  <c r="N20" i="129" s="1"/>
  <c r="I20" i="129"/>
  <c r="J20" i="129" s="1"/>
  <c r="D20" i="129"/>
  <c r="K19" i="129"/>
  <c r="L19" i="129" s="1"/>
  <c r="M19" i="129" s="1"/>
  <c r="N19" i="129" s="1"/>
  <c r="J19" i="129"/>
  <c r="I19" i="129"/>
  <c r="F19" i="129"/>
  <c r="G19" i="129" s="1"/>
  <c r="E19" i="129"/>
  <c r="D19" i="129"/>
  <c r="N18" i="129"/>
  <c r="I18" i="129"/>
  <c r="J18" i="129" s="1"/>
  <c r="K18" i="129" s="1"/>
  <c r="L18" i="129" s="1"/>
  <c r="M18" i="129" s="1"/>
  <c r="E18" i="129"/>
  <c r="F18" i="129" s="1"/>
  <c r="G18" i="129" s="1"/>
  <c r="D18" i="129"/>
  <c r="N17" i="129"/>
  <c r="I17" i="129"/>
  <c r="J17" i="129" s="1"/>
  <c r="K17" i="129" s="1"/>
  <c r="L17" i="129" s="1"/>
  <c r="M17" i="129" s="1"/>
  <c r="E17" i="129"/>
  <c r="F17" i="129" s="1"/>
  <c r="G17" i="129" s="1"/>
  <c r="D17" i="129"/>
  <c r="O16" i="129"/>
  <c r="J16" i="129"/>
  <c r="K16" i="129" s="1"/>
  <c r="L16" i="129" s="1"/>
  <c r="M16" i="129" s="1"/>
  <c r="N16" i="129" s="1"/>
  <c r="I16" i="129"/>
  <c r="E16" i="129"/>
  <c r="F16" i="129" s="1"/>
  <c r="G16" i="129" s="1"/>
  <c r="D16" i="129"/>
  <c r="M15" i="129"/>
  <c r="N15" i="129" s="1"/>
  <c r="I15" i="129"/>
  <c r="J15" i="129" s="1"/>
  <c r="K15" i="129" s="1"/>
  <c r="L15" i="129" s="1"/>
  <c r="D15" i="129"/>
  <c r="L14" i="129"/>
  <c r="M14" i="129" s="1"/>
  <c r="N14" i="129" s="1"/>
  <c r="F14" i="129"/>
  <c r="G14" i="129" s="1"/>
  <c r="H14" i="129" s="1"/>
  <c r="E14" i="129"/>
  <c r="I13" i="129"/>
  <c r="J13" i="129" s="1"/>
  <c r="K13" i="129" s="1"/>
  <c r="L13" i="129" s="1"/>
  <c r="M13" i="129" s="1"/>
  <c r="N13" i="129" s="1"/>
  <c r="D13" i="129"/>
  <c r="L12" i="129"/>
  <c r="M12" i="129" s="1"/>
  <c r="N12" i="129" s="1"/>
  <c r="J12" i="129"/>
  <c r="K12" i="129" s="1"/>
  <c r="I12" i="129"/>
  <c r="G12" i="129"/>
  <c r="E12" i="129"/>
  <c r="F12" i="129" s="1"/>
  <c r="D12" i="129"/>
  <c r="M11" i="129"/>
  <c r="N11" i="129" s="1"/>
  <c r="O11" i="129" s="1"/>
  <c r="L11" i="129"/>
  <c r="F11" i="129"/>
  <c r="E11" i="129"/>
  <c r="I10" i="129"/>
  <c r="D10" i="129"/>
  <c r="O9" i="129"/>
  <c r="A8" i="129"/>
  <c r="H94" i="128"/>
  <c r="C89" i="128"/>
  <c r="C88" i="128"/>
  <c r="H82" i="128"/>
  <c r="H79" i="128"/>
  <c r="H76" i="128"/>
  <c r="H75" i="128"/>
  <c r="H74" i="128"/>
  <c r="H73" i="128"/>
  <c r="H72" i="128"/>
  <c r="H71" i="128"/>
  <c r="G69" i="128"/>
  <c r="G68" i="128"/>
  <c r="J51" i="128"/>
  <c r="J52" i="128" s="1"/>
  <c r="Q50" i="128"/>
  <c r="I50" i="128"/>
  <c r="G50" i="128"/>
  <c r="E50" i="128"/>
  <c r="C50" i="128"/>
  <c r="N49" i="128"/>
  <c r="M49" i="128"/>
  <c r="L49" i="128"/>
  <c r="K49" i="128"/>
  <c r="J49" i="128"/>
  <c r="I49" i="128"/>
  <c r="H49" i="128"/>
  <c r="G49" i="128"/>
  <c r="F49" i="128"/>
  <c r="E49" i="128"/>
  <c r="D49" i="128"/>
  <c r="C49" i="128"/>
  <c r="O48" i="128"/>
  <c r="O47" i="128"/>
  <c r="O46" i="128"/>
  <c r="O45" i="128"/>
  <c r="O44" i="128"/>
  <c r="G56" i="128" s="1"/>
  <c r="O43" i="128"/>
  <c r="O42" i="128"/>
  <c r="O72" i="128" s="1"/>
  <c r="O41" i="128"/>
  <c r="O40" i="128"/>
  <c r="G70" i="128" s="1"/>
  <c r="H70" i="128" s="1"/>
  <c r="O39" i="128"/>
  <c r="O38" i="128"/>
  <c r="G98" i="128" s="1"/>
  <c r="F119" i="1" s="1"/>
  <c r="P119" i="1" s="1"/>
  <c r="N37" i="128"/>
  <c r="N50" i="128" s="1"/>
  <c r="J37" i="128"/>
  <c r="I37" i="128"/>
  <c r="H37" i="128"/>
  <c r="H50" i="128" s="1"/>
  <c r="G37" i="128"/>
  <c r="J86" i="128" s="1"/>
  <c r="F37" i="128"/>
  <c r="F50" i="128" s="1"/>
  <c r="E37" i="128"/>
  <c r="D37" i="128"/>
  <c r="D50" i="128" s="1"/>
  <c r="C37" i="128"/>
  <c r="O36" i="128"/>
  <c r="O35" i="128"/>
  <c r="O34" i="128"/>
  <c r="O33" i="128"/>
  <c r="O32" i="128"/>
  <c r="O31" i="128"/>
  <c r="O30" i="128"/>
  <c r="O29" i="128"/>
  <c r="O28" i="128"/>
  <c r="O27" i="128"/>
  <c r="O26" i="128"/>
  <c r="O25" i="128"/>
  <c r="O24" i="128"/>
  <c r="O23" i="128"/>
  <c r="O22" i="128"/>
  <c r="O21" i="128"/>
  <c r="O20" i="128"/>
  <c r="O19" i="128"/>
  <c r="O18" i="128"/>
  <c r="O17" i="128"/>
  <c r="O16" i="128"/>
  <c r="O15" i="128"/>
  <c r="O14" i="128"/>
  <c r="O13" i="128"/>
  <c r="O12" i="128"/>
  <c r="N11" i="128"/>
  <c r="M11" i="128"/>
  <c r="M37" i="128" s="1"/>
  <c r="L11" i="128"/>
  <c r="L37" i="128" s="1"/>
  <c r="L50" i="128" s="1"/>
  <c r="K11" i="128"/>
  <c r="O10" i="128"/>
  <c r="O9" i="128"/>
  <c r="A8" i="128"/>
  <c r="H94" i="127"/>
  <c r="C89" i="127"/>
  <c r="C88" i="127"/>
  <c r="H82" i="127"/>
  <c r="H79" i="127"/>
  <c r="H76" i="127"/>
  <c r="H75" i="127"/>
  <c r="H74" i="127"/>
  <c r="H73" i="127"/>
  <c r="O72" i="127"/>
  <c r="H72" i="127"/>
  <c r="H71" i="127"/>
  <c r="G70" i="127"/>
  <c r="H70" i="127" s="1"/>
  <c r="G68" i="127"/>
  <c r="Q50" i="127"/>
  <c r="L49" i="127"/>
  <c r="O48" i="127"/>
  <c r="O47" i="127"/>
  <c r="G69" i="127" s="1"/>
  <c r="H69" i="127" s="1"/>
  <c r="O46" i="127"/>
  <c r="O45" i="127"/>
  <c r="O44" i="127"/>
  <c r="G56" i="127" s="1"/>
  <c r="O43" i="127"/>
  <c r="O42" i="127"/>
  <c r="G78" i="127" s="1"/>
  <c r="O41" i="127"/>
  <c r="O40" i="127"/>
  <c r="O39" i="127"/>
  <c r="O38" i="127"/>
  <c r="G98" i="127" s="1"/>
  <c r="F5" i="1" s="1"/>
  <c r="P5" i="1" s="1"/>
  <c r="N37" i="127"/>
  <c r="M37" i="127"/>
  <c r="L37" i="127"/>
  <c r="K37" i="127"/>
  <c r="K49" i="127" s="1"/>
  <c r="K50" i="127" s="1"/>
  <c r="J37" i="127"/>
  <c r="I37" i="127"/>
  <c r="H37" i="127"/>
  <c r="G37" i="127"/>
  <c r="J86" i="127" s="1"/>
  <c r="F37" i="127"/>
  <c r="E37" i="127"/>
  <c r="D37" i="127"/>
  <c r="C37" i="127"/>
  <c r="C49" i="127" s="1"/>
  <c r="O36" i="127"/>
  <c r="O35" i="127"/>
  <c r="O34" i="127"/>
  <c r="O33" i="127"/>
  <c r="O32" i="127"/>
  <c r="O31" i="127"/>
  <c r="O30" i="127"/>
  <c r="O29" i="127"/>
  <c r="O28" i="127"/>
  <c r="O27" i="127"/>
  <c r="O26" i="127"/>
  <c r="O25" i="127"/>
  <c r="O24" i="127"/>
  <c r="O23" i="127"/>
  <c r="O22" i="127"/>
  <c r="O21" i="127"/>
  <c r="O20" i="127"/>
  <c r="O19" i="127"/>
  <c r="O18" i="127"/>
  <c r="O17" i="127"/>
  <c r="O16" i="127"/>
  <c r="O15" i="127"/>
  <c r="O14" i="127"/>
  <c r="O13" i="127"/>
  <c r="O12" i="127"/>
  <c r="O11" i="127"/>
  <c r="O10" i="127"/>
  <c r="O9" i="127"/>
  <c r="A8" i="127"/>
  <c r="H94" i="126"/>
  <c r="C89" i="126"/>
  <c r="C88" i="126"/>
  <c r="G83" i="126"/>
  <c r="H82" i="126"/>
  <c r="H79" i="126"/>
  <c r="H78" i="126"/>
  <c r="G77" i="126"/>
  <c r="H76" i="126"/>
  <c r="H75" i="126"/>
  <c r="H74" i="126"/>
  <c r="H73" i="126"/>
  <c r="H72" i="126"/>
  <c r="H71" i="126"/>
  <c r="H68" i="126"/>
  <c r="G56" i="126"/>
  <c r="Q50" i="126"/>
  <c r="L50" i="126"/>
  <c r="H50" i="126"/>
  <c r="N49" i="126"/>
  <c r="M49" i="126"/>
  <c r="L49" i="126"/>
  <c r="K49" i="126"/>
  <c r="J49" i="126"/>
  <c r="I49" i="126"/>
  <c r="H49" i="126"/>
  <c r="G49" i="126"/>
  <c r="F49" i="126"/>
  <c r="O48" i="126"/>
  <c r="O47" i="126"/>
  <c r="G69" i="126" s="1"/>
  <c r="H69" i="126" s="1"/>
  <c r="O46" i="126"/>
  <c r="O45" i="126"/>
  <c r="O44" i="126"/>
  <c r="O43" i="126"/>
  <c r="G68" i="126" s="1"/>
  <c r="O42" i="126"/>
  <c r="O72" i="126" s="1"/>
  <c r="O41" i="126"/>
  <c r="O40" i="126"/>
  <c r="G70" i="126" s="1"/>
  <c r="H70" i="126" s="1"/>
  <c r="O39" i="126"/>
  <c r="O38" i="126"/>
  <c r="G98" i="126" s="1"/>
  <c r="N37" i="126"/>
  <c r="N50" i="126" s="1"/>
  <c r="M37" i="126"/>
  <c r="L37" i="126"/>
  <c r="K37" i="126"/>
  <c r="K50" i="126" s="1"/>
  <c r="J37" i="126"/>
  <c r="J87" i="126" s="1"/>
  <c r="I37" i="126"/>
  <c r="I50" i="126" s="1"/>
  <c r="H37" i="126"/>
  <c r="G37" i="126"/>
  <c r="G50" i="126" s="1"/>
  <c r="F37" i="126"/>
  <c r="F50" i="126" s="1"/>
  <c r="E37" i="126"/>
  <c r="D37" i="126"/>
  <c r="D49" i="126" s="1"/>
  <c r="D50" i="126" s="1"/>
  <c r="C37" i="126"/>
  <c r="O36" i="126"/>
  <c r="O35" i="126"/>
  <c r="O34" i="126"/>
  <c r="O33" i="126"/>
  <c r="O32" i="126"/>
  <c r="O31" i="126"/>
  <c r="O30" i="126"/>
  <c r="O29" i="126"/>
  <c r="O28" i="126"/>
  <c r="O27" i="126"/>
  <c r="O26" i="126"/>
  <c r="O25" i="126"/>
  <c r="O24" i="126"/>
  <c r="O23" i="126"/>
  <c r="O22" i="126"/>
  <c r="O21" i="126"/>
  <c r="O20" i="126"/>
  <c r="O19" i="126"/>
  <c r="O18" i="126"/>
  <c r="O17" i="126"/>
  <c r="O16" i="126"/>
  <c r="O15" i="126"/>
  <c r="O14" i="126"/>
  <c r="O13" i="126"/>
  <c r="O12" i="126"/>
  <c r="O11" i="126"/>
  <c r="O10" i="126"/>
  <c r="O9" i="126"/>
  <c r="A8" i="126"/>
  <c r="H94" i="125"/>
  <c r="C89" i="125"/>
  <c r="C88" i="125"/>
  <c r="J86" i="125"/>
  <c r="G83" i="125"/>
  <c r="H82" i="125"/>
  <c r="H79" i="125"/>
  <c r="G78" i="125"/>
  <c r="H78" i="125" s="1"/>
  <c r="H76" i="125"/>
  <c r="H75" i="125"/>
  <c r="H74" i="125"/>
  <c r="H73" i="125"/>
  <c r="H72" i="125"/>
  <c r="H71" i="125"/>
  <c r="M50" i="125"/>
  <c r="I50" i="125"/>
  <c r="N49" i="125"/>
  <c r="M49" i="125"/>
  <c r="L49" i="125"/>
  <c r="K49" i="125"/>
  <c r="J49" i="125"/>
  <c r="I49" i="125"/>
  <c r="H49" i="125"/>
  <c r="G49" i="125"/>
  <c r="O48" i="125"/>
  <c r="O47" i="125"/>
  <c r="G69" i="125" s="1"/>
  <c r="H69" i="125" s="1"/>
  <c r="O46" i="125"/>
  <c r="O45" i="125"/>
  <c r="O44" i="125"/>
  <c r="G56" i="125" s="1"/>
  <c r="O43" i="125"/>
  <c r="G68" i="125" s="1"/>
  <c r="O42" i="125"/>
  <c r="O72" i="125" s="1"/>
  <c r="O41" i="125"/>
  <c r="O40" i="125"/>
  <c r="G70" i="125" s="1"/>
  <c r="H70" i="125" s="1"/>
  <c r="O39" i="125"/>
  <c r="O38" i="125"/>
  <c r="G98" i="125" s="1"/>
  <c r="F117" i="1" s="1"/>
  <c r="P117" i="1" s="1"/>
  <c r="N37" i="125"/>
  <c r="M37" i="125"/>
  <c r="L37" i="125"/>
  <c r="L50" i="125" s="1"/>
  <c r="K37" i="125"/>
  <c r="K50" i="125" s="1"/>
  <c r="J37" i="125"/>
  <c r="I37" i="125"/>
  <c r="H37" i="125"/>
  <c r="H50" i="125" s="1"/>
  <c r="G37" i="125"/>
  <c r="G50" i="125" s="1"/>
  <c r="F37" i="125"/>
  <c r="E37" i="125"/>
  <c r="E49" i="125" s="1"/>
  <c r="E50" i="125" s="1"/>
  <c r="D37" i="125"/>
  <c r="C37" i="125"/>
  <c r="O36" i="125"/>
  <c r="O35" i="125"/>
  <c r="O34" i="125"/>
  <c r="O33" i="125"/>
  <c r="O32" i="125"/>
  <c r="O31" i="125"/>
  <c r="O30" i="125"/>
  <c r="O29" i="125"/>
  <c r="O28" i="125"/>
  <c r="O27" i="125"/>
  <c r="O26" i="125"/>
  <c r="O25" i="125"/>
  <c r="O24" i="125"/>
  <c r="O23" i="125"/>
  <c r="O22" i="125"/>
  <c r="O21" i="125"/>
  <c r="O20" i="125"/>
  <c r="O19" i="125"/>
  <c r="O18" i="125"/>
  <c r="O17" i="125"/>
  <c r="O16" i="125"/>
  <c r="O15" i="125"/>
  <c r="O14" i="125"/>
  <c r="O13" i="125"/>
  <c r="O12" i="125"/>
  <c r="O11" i="125"/>
  <c r="O10" i="125"/>
  <c r="O9" i="125"/>
  <c r="A8" i="125"/>
  <c r="H94" i="124"/>
  <c r="C89" i="124"/>
  <c r="C88" i="124"/>
  <c r="G83" i="124"/>
  <c r="H82" i="124"/>
  <c r="H79" i="124"/>
  <c r="G78" i="124"/>
  <c r="H78" i="124" s="1"/>
  <c r="H76" i="124"/>
  <c r="H75" i="124"/>
  <c r="H74" i="124"/>
  <c r="H73" i="124"/>
  <c r="H72" i="124"/>
  <c r="H71" i="124"/>
  <c r="G69" i="124"/>
  <c r="H69" i="124" s="1"/>
  <c r="Q50" i="124"/>
  <c r="M50" i="124"/>
  <c r="I50" i="124"/>
  <c r="E50" i="124"/>
  <c r="N49" i="124"/>
  <c r="M49" i="124"/>
  <c r="L49" i="124"/>
  <c r="K49" i="124"/>
  <c r="J49" i="124"/>
  <c r="I49" i="124"/>
  <c r="H49" i="124"/>
  <c r="G49" i="124"/>
  <c r="F49" i="124"/>
  <c r="E49" i="124"/>
  <c r="D49" i="124"/>
  <c r="C49" i="124"/>
  <c r="O48" i="124"/>
  <c r="O47" i="124"/>
  <c r="O46" i="124"/>
  <c r="O45" i="124"/>
  <c r="O44" i="124"/>
  <c r="G56" i="124" s="1"/>
  <c r="O43" i="124"/>
  <c r="G68" i="124" s="1"/>
  <c r="O42" i="124"/>
  <c r="O72" i="124" s="1"/>
  <c r="O41" i="124"/>
  <c r="O40" i="124"/>
  <c r="G70" i="124" s="1"/>
  <c r="H70" i="124" s="1"/>
  <c r="O39" i="124"/>
  <c r="O38" i="124"/>
  <c r="G98" i="124" s="1"/>
  <c r="F39" i="1" s="1"/>
  <c r="P39" i="1" s="1"/>
  <c r="N37" i="124"/>
  <c r="N50" i="124" s="1"/>
  <c r="M37" i="124"/>
  <c r="L37" i="124"/>
  <c r="L50" i="124" s="1"/>
  <c r="K37" i="124"/>
  <c r="K50" i="124" s="1"/>
  <c r="J37" i="124"/>
  <c r="I37" i="124"/>
  <c r="H37" i="124"/>
  <c r="H50" i="124" s="1"/>
  <c r="G37" i="124"/>
  <c r="G50" i="124" s="1"/>
  <c r="F37" i="124"/>
  <c r="F50" i="124" s="1"/>
  <c r="E37" i="124"/>
  <c r="D37" i="124"/>
  <c r="D50" i="124" s="1"/>
  <c r="C37" i="124"/>
  <c r="C50" i="124" s="1"/>
  <c r="O36" i="124"/>
  <c r="O35" i="124"/>
  <c r="O34" i="124"/>
  <c r="O33" i="124"/>
  <c r="O32" i="124"/>
  <c r="O31" i="124"/>
  <c r="O30" i="124"/>
  <c r="O29" i="124"/>
  <c r="O28" i="124"/>
  <c r="O27" i="124"/>
  <c r="O26" i="124"/>
  <c r="O25" i="124"/>
  <c r="O24" i="124"/>
  <c r="O23" i="124"/>
  <c r="O22" i="124"/>
  <c r="O21" i="124"/>
  <c r="O20" i="124"/>
  <c r="O19" i="124"/>
  <c r="O18" i="124"/>
  <c r="O17" i="124"/>
  <c r="O16" i="124"/>
  <c r="O15" i="124"/>
  <c r="O14" i="124"/>
  <c r="O13" i="124"/>
  <c r="O12" i="124"/>
  <c r="O11" i="124"/>
  <c r="O10" i="124"/>
  <c r="O9" i="124"/>
  <c r="A8" i="124"/>
  <c r="H94" i="123"/>
  <c r="C89" i="123"/>
  <c r="L88" i="123"/>
  <c r="C88" i="123"/>
  <c r="L87" i="123"/>
  <c r="R83" i="123"/>
  <c r="G83" i="123"/>
  <c r="H82" i="123"/>
  <c r="R80" i="123"/>
  <c r="H79" i="123"/>
  <c r="H78" i="123"/>
  <c r="H76" i="123"/>
  <c r="H75" i="123"/>
  <c r="H74" i="123"/>
  <c r="H73" i="123"/>
  <c r="H72" i="123"/>
  <c r="H71" i="123"/>
  <c r="G70" i="123"/>
  <c r="H70" i="123" s="1"/>
  <c r="H69" i="123"/>
  <c r="G68" i="123"/>
  <c r="G56" i="123"/>
  <c r="N49" i="123"/>
  <c r="M49" i="123"/>
  <c r="L49" i="123"/>
  <c r="K49" i="123"/>
  <c r="J49" i="123"/>
  <c r="I49" i="123"/>
  <c r="H49" i="123"/>
  <c r="G49" i="123"/>
  <c r="F49" i="123"/>
  <c r="E49" i="123"/>
  <c r="D49" i="123"/>
  <c r="C49" i="123"/>
  <c r="C50" i="123" s="1"/>
  <c r="O48" i="123"/>
  <c r="O47" i="123"/>
  <c r="O46" i="123"/>
  <c r="O45" i="123"/>
  <c r="O44" i="123"/>
  <c r="O43" i="123"/>
  <c r="O42" i="123"/>
  <c r="O41" i="123"/>
  <c r="O40" i="123"/>
  <c r="O39" i="123"/>
  <c r="O38" i="123"/>
  <c r="G98" i="123" s="1"/>
  <c r="F88" i="1" s="1"/>
  <c r="P88" i="1" s="1"/>
  <c r="H37" i="123"/>
  <c r="H50" i="123" s="1"/>
  <c r="D37" i="123"/>
  <c r="C37" i="123"/>
  <c r="L36" i="123"/>
  <c r="M36" i="123" s="1"/>
  <c r="N36" i="123" s="1"/>
  <c r="I36" i="123"/>
  <c r="F36" i="123"/>
  <c r="L35" i="123"/>
  <c r="M35" i="123" s="1"/>
  <c r="N35" i="123" s="1"/>
  <c r="I35" i="123"/>
  <c r="O35" i="123" s="1"/>
  <c r="F35" i="123"/>
  <c r="G35" i="123" s="1"/>
  <c r="N34" i="123"/>
  <c r="K34" i="123"/>
  <c r="L34" i="123" s="1"/>
  <c r="M34" i="123" s="1"/>
  <c r="J34" i="123"/>
  <c r="I34" i="123"/>
  <c r="F34" i="123"/>
  <c r="G34" i="123" s="1"/>
  <c r="E34" i="123"/>
  <c r="D34" i="123"/>
  <c r="J33" i="123"/>
  <c r="K33" i="123" s="1"/>
  <c r="L33" i="123" s="1"/>
  <c r="M33" i="123" s="1"/>
  <c r="N33" i="123" s="1"/>
  <c r="I33" i="123"/>
  <c r="D33" i="123"/>
  <c r="I32" i="123"/>
  <c r="J32" i="123" s="1"/>
  <c r="K32" i="123" s="1"/>
  <c r="L32" i="123" s="1"/>
  <c r="M32" i="123" s="1"/>
  <c r="N32" i="123" s="1"/>
  <c r="D32" i="123"/>
  <c r="I31" i="123"/>
  <c r="J31" i="123" s="1"/>
  <c r="K31" i="123" s="1"/>
  <c r="L31" i="123" s="1"/>
  <c r="M31" i="123" s="1"/>
  <c r="N31" i="123" s="1"/>
  <c r="F31" i="123"/>
  <c r="E31" i="123"/>
  <c r="D31" i="123"/>
  <c r="K30" i="123"/>
  <c r="L30" i="123" s="1"/>
  <c r="M30" i="123" s="1"/>
  <c r="N30" i="123" s="1"/>
  <c r="J30" i="123"/>
  <c r="I30" i="123"/>
  <c r="E30" i="123"/>
  <c r="D30" i="123"/>
  <c r="J29" i="123"/>
  <c r="K29" i="123" s="1"/>
  <c r="L29" i="123" s="1"/>
  <c r="M29" i="123" s="1"/>
  <c r="N29" i="123" s="1"/>
  <c r="I29" i="123"/>
  <c r="D29" i="123"/>
  <c r="M28" i="123"/>
  <c r="N28" i="123" s="1"/>
  <c r="L28" i="123"/>
  <c r="I28" i="123"/>
  <c r="J28" i="123" s="1"/>
  <c r="K28" i="123" s="1"/>
  <c r="D28" i="123"/>
  <c r="O27" i="123"/>
  <c r="I27" i="123"/>
  <c r="J27" i="123" s="1"/>
  <c r="K27" i="123" s="1"/>
  <c r="L27" i="123" s="1"/>
  <c r="M27" i="123" s="1"/>
  <c r="N27" i="123" s="1"/>
  <c r="D27" i="123"/>
  <c r="E27" i="123" s="1"/>
  <c r="F27" i="123" s="1"/>
  <c r="G27" i="123" s="1"/>
  <c r="N26" i="123"/>
  <c r="J26" i="123"/>
  <c r="K26" i="123" s="1"/>
  <c r="L26" i="123" s="1"/>
  <c r="M26" i="123" s="1"/>
  <c r="I26" i="123"/>
  <c r="F26" i="123"/>
  <c r="G26" i="123" s="1"/>
  <c r="E26" i="123"/>
  <c r="D26" i="123"/>
  <c r="M25" i="123"/>
  <c r="N25" i="123" s="1"/>
  <c r="I25" i="123"/>
  <c r="J25" i="123" s="1"/>
  <c r="K25" i="123" s="1"/>
  <c r="L25" i="123" s="1"/>
  <c r="D25" i="123"/>
  <c r="I24" i="123"/>
  <c r="J24" i="123" s="1"/>
  <c r="K24" i="123" s="1"/>
  <c r="L24" i="123" s="1"/>
  <c r="M24" i="123" s="1"/>
  <c r="N24" i="123" s="1"/>
  <c r="D24" i="123"/>
  <c r="K23" i="123"/>
  <c r="L23" i="123" s="1"/>
  <c r="M23" i="123" s="1"/>
  <c r="N23" i="123" s="1"/>
  <c r="I23" i="123"/>
  <c r="J23" i="123" s="1"/>
  <c r="D23" i="123"/>
  <c r="E23" i="123" s="1"/>
  <c r="N22" i="123"/>
  <c r="M22" i="123"/>
  <c r="L22" i="123"/>
  <c r="I22" i="123"/>
  <c r="D22" i="123"/>
  <c r="O21" i="123"/>
  <c r="I21" i="123"/>
  <c r="J21" i="123" s="1"/>
  <c r="K21" i="123" s="1"/>
  <c r="L21" i="123" s="1"/>
  <c r="M21" i="123" s="1"/>
  <c r="N21" i="123" s="1"/>
  <c r="G21" i="123"/>
  <c r="F21" i="123"/>
  <c r="E21" i="123"/>
  <c r="D21" i="123"/>
  <c r="N20" i="123"/>
  <c r="I20" i="123"/>
  <c r="J20" i="123" s="1"/>
  <c r="K20" i="123" s="1"/>
  <c r="D20" i="123"/>
  <c r="E20" i="123" s="1"/>
  <c r="F20" i="123" s="1"/>
  <c r="G20" i="123" s="1"/>
  <c r="O19" i="123"/>
  <c r="F19" i="123"/>
  <c r="E19" i="123"/>
  <c r="J18" i="123"/>
  <c r="I18" i="123"/>
  <c r="E18" i="123"/>
  <c r="F18" i="123" s="1"/>
  <c r="G18" i="123" s="1"/>
  <c r="D18" i="123"/>
  <c r="N17" i="123"/>
  <c r="I17" i="123"/>
  <c r="J17" i="123" s="1"/>
  <c r="K17" i="123" s="1"/>
  <c r="L17" i="123" s="1"/>
  <c r="M17" i="123" s="1"/>
  <c r="E17" i="123"/>
  <c r="F17" i="123" s="1"/>
  <c r="G17" i="123" s="1"/>
  <c r="D17" i="123"/>
  <c r="L16" i="123"/>
  <c r="M16" i="123" s="1"/>
  <c r="N16" i="123" s="1"/>
  <c r="I16" i="123"/>
  <c r="J16" i="123" s="1"/>
  <c r="K16" i="123" s="1"/>
  <c r="D16" i="123"/>
  <c r="L15" i="123"/>
  <c r="M15" i="123" s="1"/>
  <c r="N15" i="123" s="1"/>
  <c r="K15" i="123"/>
  <c r="J15" i="123"/>
  <c r="I15" i="123"/>
  <c r="G15" i="123"/>
  <c r="O15" i="123" s="1"/>
  <c r="F15" i="123"/>
  <c r="E15" i="123"/>
  <c r="D15" i="123"/>
  <c r="O14" i="123"/>
  <c r="K14" i="123"/>
  <c r="L14" i="123" s="1"/>
  <c r="M14" i="123" s="1"/>
  <c r="N14" i="123" s="1"/>
  <c r="F14" i="123"/>
  <c r="E14" i="123"/>
  <c r="J13" i="123"/>
  <c r="K13" i="123" s="1"/>
  <c r="L13" i="123" s="1"/>
  <c r="M13" i="123" s="1"/>
  <c r="N13" i="123" s="1"/>
  <c r="I13" i="123"/>
  <c r="D13" i="123"/>
  <c r="L12" i="123"/>
  <c r="M12" i="123" s="1"/>
  <c r="N12" i="123" s="1"/>
  <c r="I12" i="123"/>
  <c r="J12" i="123" s="1"/>
  <c r="K12" i="123" s="1"/>
  <c r="D12" i="123"/>
  <c r="K11" i="123"/>
  <c r="L11" i="123" s="1"/>
  <c r="F11" i="123"/>
  <c r="E11" i="123"/>
  <c r="J10" i="123"/>
  <c r="I10" i="123"/>
  <c r="E10" i="123"/>
  <c r="D10" i="123"/>
  <c r="O9" i="123"/>
  <c r="A8" i="123"/>
  <c r="H94" i="122"/>
  <c r="C89" i="122"/>
  <c r="C88" i="122"/>
  <c r="H82" i="122"/>
  <c r="H79" i="122"/>
  <c r="H76" i="122"/>
  <c r="H75" i="122"/>
  <c r="H74" i="122"/>
  <c r="H73" i="122"/>
  <c r="H72" i="122"/>
  <c r="H71" i="122"/>
  <c r="H69" i="122"/>
  <c r="G68" i="122"/>
  <c r="G56" i="122"/>
  <c r="N49" i="122"/>
  <c r="M49" i="122"/>
  <c r="L49" i="122"/>
  <c r="K49" i="122"/>
  <c r="J49" i="122"/>
  <c r="I49" i="122"/>
  <c r="H49" i="122"/>
  <c r="G49" i="122"/>
  <c r="F49" i="122"/>
  <c r="E49" i="122"/>
  <c r="D49" i="122"/>
  <c r="C49" i="122"/>
  <c r="O49" i="122" s="1"/>
  <c r="O48" i="122"/>
  <c r="O47" i="122"/>
  <c r="O46" i="122"/>
  <c r="O45" i="122"/>
  <c r="O44" i="122"/>
  <c r="O43" i="122"/>
  <c r="O42" i="122"/>
  <c r="G78" i="122" s="1"/>
  <c r="O41" i="122"/>
  <c r="O40" i="122"/>
  <c r="G70" i="122" s="1"/>
  <c r="H70" i="122" s="1"/>
  <c r="O39" i="122"/>
  <c r="O38" i="122"/>
  <c r="G98" i="122" s="1"/>
  <c r="F18" i="1" s="1"/>
  <c r="P18" i="1" s="1"/>
  <c r="C37" i="122"/>
  <c r="O36" i="122"/>
  <c r="O35" i="122"/>
  <c r="N34" i="122"/>
  <c r="J34" i="122"/>
  <c r="K34" i="122" s="1"/>
  <c r="L34" i="122" s="1"/>
  <c r="M34" i="122" s="1"/>
  <c r="I34" i="122"/>
  <c r="F34" i="122"/>
  <c r="G34" i="122" s="1"/>
  <c r="E34" i="122"/>
  <c r="D34" i="122"/>
  <c r="I33" i="122"/>
  <c r="J33" i="122" s="1"/>
  <c r="K33" i="122" s="1"/>
  <c r="L33" i="122" s="1"/>
  <c r="M33" i="122" s="1"/>
  <c r="N33" i="122" s="1"/>
  <c r="E33" i="122"/>
  <c r="F33" i="122" s="1"/>
  <c r="G33" i="122" s="1"/>
  <c r="D33" i="122"/>
  <c r="I32" i="122"/>
  <c r="J32" i="122" s="1"/>
  <c r="K32" i="122" s="1"/>
  <c r="L32" i="122" s="1"/>
  <c r="M32" i="122" s="1"/>
  <c r="N32" i="122" s="1"/>
  <c r="D32" i="122"/>
  <c r="K31" i="122"/>
  <c r="L31" i="122" s="1"/>
  <c r="M31" i="122" s="1"/>
  <c r="N31" i="122" s="1"/>
  <c r="J31" i="122"/>
  <c r="I31" i="122"/>
  <c r="F31" i="122"/>
  <c r="E31" i="122"/>
  <c r="D31" i="122"/>
  <c r="J30" i="122"/>
  <c r="K30" i="122" s="1"/>
  <c r="L30" i="122" s="1"/>
  <c r="M30" i="122" s="1"/>
  <c r="N30" i="122" s="1"/>
  <c r="I30" i="122"/>
  <c r="F30" i="122"/>
  <c r="G30" i="122" s="1"/>
  <c r="E30" i="122"/>
  <c r="D30" i="122"/>
  <c r="I29" i="122"/>
  <c r="J29" i="122" s="1"/>
  <c r="K29" i="122" s="1"/>
  <c r="L29" i="122" s="1"/>
  <c r="M29" i="122" s="1"/>
  <c r="N29" i="122" s="1"/>
  <c r="E29" i="122"/>
  <c r="F29" i="122" s="1"/>
  <c r="G29" i="122" s="1"/>
  <c r="D29" i="122"/>
  <c r="I28" i="122"/>
  <c r="J28" i="122" s="1"/>
  <c r="K28" i="122" s="1"/>
  <c r="L28" i="122" s="1"/>
  <c r="M28" i="122" s="1"/>
  <c r="N28" i="122" s="1"/>
  <c r="D28" i="122"/>
  <c r="L27" i="122"/>
  <c r="M27" i="122" s="1"/>
  <c r="N27" i="122" s="1"/>
  <c r="K27" i="122"/>
  <c r="J27" i="122"/>
  <c r="I27" i="122"/>
  <c r="G27" i="122"/>
  <c r="F27" i="122"/>
  <c r="E27" i="122"/>
  <c r="D27" i="122"/>
  <c r="J26" i="122"/>
  <c r="K26" i="122" s="1"/>
  <c r="L26" i="122" s="1"/>
  <c r="M26" i="122" s="1"/>
  <c r="N26" i="122" s="1"/>
  <c r="I26" i="122"/>
  <c r="F26" i="122"/>
  <c r="G26" i="122" s="1"/>
  <c r="E26" i="122"/>
  <c r="D26" i="122"/>
  <c r="N25" i="122"/>
  <c r="M25" i="122"/>
  <c r="I25" i="122"/>
  <c r="J25" i="122" s="1"/>
  <c r="K25" i="122" s="1"/>
  <c r="L25" i="122" s="1"/>
  <c r="D25" i="122"/>
  <c r="I24" i="122"/>
  <c r="J24" i="122" s="1"/>
  <c r="K24" i="122" s="1"/>
  <c r="L24" i="122" s="1"/>
  <c r="M24" i="122" s="1"/>
  <c r="N24" i="122" s="1"/>
  <c r="D24" i="122"/>
  <c r="L23" i="122"/>
  <c r="M23" i="122" s="1"/>
  <c r="N23" i="122" s="1"/>
  <c r="K23" i="122"/>
  <c r="J23" i="122"/>
  <c r="I23" i="122"/>
  <c r="G23" i="122"/>
  <c r="F23" i="122"/>
  <c r="E23" i="122"/>
  <c r="D23" i="122"/>
  <c r="N22" i="122"/>
  <c r="M22" i="122"/>
  <c r="L22" i="122"/>
  <c r="I22" i="122"/>
  <c r="O22" i="122" s="1"/>
  <c r="G22" i="122"/>
  <c r="D22" i="122"/>
  <c r="E22" i="122" s="1"/>
  <c r="F22" i="122" s="1"/>
  <c r="K21" i="122"/>
  <c r="L21" i="122" s="1"/>
  <c r="M21" i="122" s="1"/>
  <c r="N21" i="122" s="1"/>
  <c r="J21" i="122"/>
  <c r="I21" i="122"/>
  <c r="F21" i="122"/>
  <c r="E21" i="122"/>
  <c r="D21" i="122"/>
  <c r="N20" i="122"/>
  <c r="J20" i="122"/>
  <c r="K20" i="122" s="1"/>
  <c r="L20" i="122" s="1"/>
  <c r="M20" i="122" s="1"/>
  <c r="I20" i="122"/>
  <c r="F20" i="122"/>
  <c r="G20" i="122" s="1"/>
  <c r="E20" i="122"/>
  <c r="D20" i="122"/>
  <c r="E19" i="122"/>
  <c r="F19" i="122" s="1"/>
  <c r="D19" i="122"/>
  <c r="M18" i="122"/>
  <c r="N18" i="122" s="1"/>
  <c r="J18" i="122"/>
  <c r="K18" i="122" s="1"/>
  <c r="L18" i="122" s="1"/>
  <c r="I18" i="122"/>
  <c r="D18" i="122"/>
  <c r="M17" i="122"/>
  <c r="N17" i="122" s="1"/>
  <c r="I17" i="122"/>
  <c r="J17" i="122" s="1"/>
  <c r="K17" i="122" s="1"/>
  <c r="L17" i="122" s="1"/>
  <c r="D17" i="122"/>
  <c r="K16" i="122"/>
  <c r="L16" i="122" s="1"/>
  <c r="M16" i="122" s="1"/>
  <c r="N16" i="122" s="1"/>
  <c r="J16" i="122"/>
  <c r="I16" i="122"/>
  <c r="F16" i="122"/>
  <c r="G16" i="122" s="1"/>
  <c r="E16" i="122"/>
  <c r="D16" i="122"/>
  <c r="M15" i="122"/>
  <c r="N15" i="122" s="1"/>
  <c r="I15" i="122"/>
  <c r="J15" i="122" s="1"/>
  <c r="K15" i="122" s="1"/>
  <c r="L15" i="122" s="1"/>
  <c r="D15" i="122"/>
  <c r="L14" i="122"/>
  <c r="M14" i="122" s="1"/>
  <c r="N14" i="122" s="1"/>
  <c r="K14" i="122"/>
  <c r="F14" i="122"/>
  <c r="G14" i="122" s="1"/>
  <c r="H14" i="122" s="1"/>
  <c r="E14" i="122"/>
  <c r="J13" i="122"/>
  <c r="K13" i="122" s="1"/>
  <c r="L13" i="122" s="1"/>
  <c r="M13" i="122" s="1"/>
  <c r="N13" i="122" s="1"/>
  <c r="I13" i="122"/>
  <c r="D13" i="122"/>
  <c r="M12" i="122"/>
  <c r="N12" i="122" s="1"/>
  <c r="L12" i="122"/>
  <c r="I12" i="122"/>
  <c r="J12" i="122" s="1"/>
  <c r="K12" i="122" s="1"/>
  <c r="D12" i="122"/>
  <c r="O11" i="122"/>
  <c r="E11" i="122"/>
  <c r="F11" i="122" s="1"/>
  <c r="N10" i="122"/>
  <c r="K10" i="122"/>
  <c r="L10" i="122" s="1"/>
  <c r="M10" i="122" s="1"/>
  <c r="J10" i="122"/>
  <c r="I10" i="122"/>
  <c r="F10" i="122"/>
  <c r="E10" i="122"/>
  <c r="D10" i="122"/>
  <c r="O9" i="122"/>
  <c r="A8" i="122"/>
  <c r="G98" i="121"/>
  <c r="H94" i="121"/>
  <c r="J90" i="121"/>
  <c r="C89" i="121"/>
  <c r="C88" i="121"/>
  <c r="H82" i="121"/>
  <c r="H79" i="121"/>
  <c r="H78" i="121"/>
  <c r="H76" i="121"/>
  <c r="H75" i="121"/>
  <c r="G74" i="121"/>
  <c r="H74" i="121" s="1"/>
  <c r="H73" i="121"/>
  <c r="H72" i="121"/>
  <c r="H71" i="121"/>
  <c r="H70" i="121"/>
  <c r="G69" i="121"/>
  <c r="H69" i="121" s="1"/>
  <c r="P63" i="121"/>
  <c r="G62" i="121"/>
  <c r="G57" i="121"/>
  <c r="G55" i="121"/>
  <c r="L50" i="121"/>
  <c r="H50" i="121"/>
  <c r="D50" i="121"/>
  <c r="N49" i="121"/>
  <c r="M49" i="121"/>
  <c r="L49" i="121"/>
  <c r="K49" i="121"/>
  <c r="J49" i="121"/>
  <c r="I49" i="121"/>
  <c r="H49" i="121"/>
  <c r="G49" i="121"/>
  <c r="F49" i="121"/>
  <c r="E49" i="121"/>
  <c r="D49" i="121"/>
  <c r="C49" i="121"/>
  <c r="O49" i="121" s="1"/>
  <c r="O48" i="121"/>
  <c r="O47" i="121"/>
  <c r="O68" i="121" s="1"/>
  <c r="O46" i="121"/>
  <c r="O45" i="121"/>
  <c r="O44" i="121"/>
  <c r="G56" i="121" s="1"/>
  <c r="O43" i="121"/>
  <c r="G68" i="121" s="1"/>
  <c r="O42" i="121"/>
  <c r="G78" i="121" s="1"/>
  <c r="G83" i="121" s="1"/>
  <c r="O41" i="121"/>
  <c r="O40" i="121"/>
  <c r="G70" i="121" s="1"/>
  <c r="O39" i="121"/>
  <c r="O38" i="121"/>
  <c r="N37" i="121"/>
  <c r="N50" i="121" s="1"/>
  <c r="M37" i="121"/>
  <c r="M50" i="121" s="1"/>
  <c r="L37" i="121"/>
  <c r="K37" i="121"/>
  <c r="K50" i="121" s="1"/>
  <c r="J37" i="121"/>
  <c r="I37" i="121"/>
  <c r="I50" i="121" s="1"/>
  <c r="H37" i="121"/>
  <c r="G37" i="121"/>
  <c r="F37" i="121"/>
  <c r="F50" i="121" s="1"/>
  <c r="E37" i="121"/>
  <c r="E50" i="121" s="1"/>
  <c r="D37" i="121"/>
  <c r="C37" i="121"/>
  <c r="C50" i="121" s="1"/>
  <c r="O36" i="121"/>
  <c r="O35" i="121"/>
  <c r="O34" i="121"/>
  <c r="O33" i="121"/>
  <c r="O32" i="121"/>
  <c r="O31" i="121"/>
  <c r="O30" i="121"/>
  <c r="O29" i="121"/>
  <c r="O28" i="121"/>
  <c r="O27" i="121"/>
  <c r="O26" i="121"/>
  <c r="O25" i="121"/>
  <c r="O24" i="121"/>
  <c r="O23" i="121"/>
  <c r="O22" i="121"/>
  <c r="O21" i="121"/>
  <c r="O20" i="121"/>
  <c r="O19" i="121"/>
  <c r="O18" i="121"/>
  <c r="O17" i="121"/>
  <c r="O16" i="121"/>
  <c r="O15" i="121"/>
  <c r="O14" i="121"/>
  <c r="O13" i="121"/>
  <c r="O12" i="121"/>
  <c r="O11" i="121"/>
  <c r="O10" i="121"/>
  <c r="O9" i="121"/>
  <c r="A8" i="121"/>
  <c r="H94" i="120"/>
  <c r="C89" i="120"/>
  <c r="C88" i="120"/>
  <c r="H82" i="120"/>
  <c r="H79" i="120"/>
  <c r="G78" i="120"/>
  <c r="H78" i="120" s="1"/>
  <c r="H76" i="120"/>
  <c r="H75" i="120"/>
  <c r="H74" i="120"/>
  <c r="H73" i="120"/>
  <c r="H72" i="120"/>
  <c r="H71" i="120"/>
  <c r="G69" i="120"/>
  <c r="H69" i="120" s="1"/>
  <c r="G68" i="120"/>
  <c r="H77" i="120" s="1"/>
  <c r="H83" i="120" s="1"/>
  <c r="Q50" i="120"/>
  <c r="N49" i="120"/>
  <c r="M49" i="120"/>
  <c r="L49" i="120"/>
  <c r="K49" i="120"/>
  <c r="J49" i="120"/>
  <c r="I49" i="120"/>
  <c r="H49" i="120"/>
  <c r="G49" i="120"/>
  <c r="F49" i="120"/>
  <c r="E49" i="120"/>
  <c r="D49" i="120"/>
  <c r="C49" i="120"/>
  <c r="O49" i="120" s="1"/>
  <c r="O48" i="120"/>
  <c r="O47" i="120"/>
  <c r="O46" i="120"/>
  <c r="O45" i="120"/>
  <c r="O44" i="120"/>
  <c r="G56" i="120" s="1"/>
  <c r="O43" i="120"/>
  <c r="O42" i="120"/>
  <c r="O41" i="120"/>
  <c r="O40" i="120"/>
  <c r="G70" i="120" s="1"/>
  <c r="H70" i="120" s="1"/>
  <c r="O39" i="120"/>
  <c r="O38" i="120"/>
  <c r="G98" i="120" s="1"/>
  <c r="F15" i="1" s="1"/>
  <c r="P15" i="1" s="1"/>
  <c r="Q37" i="120"/>
  <c r="C37" i="120"/>
  <c r="O36" i="120"/>
  <c r="O35" i="120"/>
  <c r="D34" i="120"/>
  <c r="O34" i="120" s="1"/>
  <c r="M33" i="120"/>
  <c r="N33" i="120" s="1"/>
  <c r="L33" i="120"/>
  <c r="I33" i="120"/>
  <c r="J33" i="120" s="1"/>
  <c r="K33" i="120" s="1"/>
  <c r="D33" i="120"/>
  <c r="I32" i="120"/>
  <c r="J32" i="120" s="1"/>
  <c r="K32" i="120" s="1"/>
  <c r="L32" i="120" s="1"/>
  <c r="M32" i="120" s="1"/>
  <c r="N32" i="120" s="1"/>
  <c r="D32" i="120"/>
  <c r="E32" i="120" s="1"/>
  <c r="F32" i="120" s="1"/>
  <c r="O31" i="120"/>
  <c r="J31" i="120"/>
  <c r="K31" i="120" s="1"/>
  <c r="L31" i="120" s="1"/>
  <c r="M31" i="120" s="1"/>
  <c r="N31" i="120" s="1"/>
  <c r="I31" i="120"/>
  <c r="F31" i="120"/>
  <c r="G31" i="120" s="1"/>
  <c r="E31" i="120"/>
  <c r="D31" i="120"/>
  <c r="N30" i="120"/>
  <c r="I30" i="120"/>
  <c r="J30" i="120" s="1"/>
  <c r="K30" i="120" s="1"/>
  <c r="L30" i="120" s="1"/>
  <c r="M30" i="120" s="1"/>
  <c r="E30" i="120"/>
  <c r="F30" i="120" s="1"/>
  <c r="G30" i="120" s="1"/>
  <c r="D30" i="120"/>
  <c r="I29" i="120"/>
  <c r="J29" i="120" s="1"/>
  <c r="K29" i="120" s="1"/>
  <c r="L29" i="120" s="1"/>
  <c r="M29" i="120" s="1"/>
  <c r="N29" i="120" s="1"/>
  <c r="D29" i="120"/>
  <c r="L28" i="120"/>
  <c r="M28" i="120" s="1"/>
  <c r="N28" i="120" s="1"/>
  <c r="K28" i="120"/>
  <c r="I28" i="120"/>
  <c r="J28" i="120" s="1"/>
  <c r="F28" i="120"/>
  <c r="G28" i="120" s="1"/>
  <c r="D28" i="120"/>
  <c r="E28" i="120" s="1"/>
  <c r="O28" i="120" s="1"/>
  <c r="K27" i="120"/>
  <c r="L27" i="120" s="1"/>
  <c r="M27" i="120" s="1"/>
  <c r="N27" i="120" s="1"/>
  <c r="J27" i="120"/>
  <c r="I27" i="120"/>
  <c r="E27" i="120"/>
  <c r="D27" i="120"/>
  <c r="J26" i="120"/>
  <c r="K26" i="120" s="1"/>
  <c r="L26" i="120" s="1"/>
  <c r="M26" i="120" s="1"/>
  <c r="N26" i="120" s="1"/>
  <c r="I26" i="120"/>
  <c r="D26" i="120"/>
  <c r="M25" i="120"/>
  <c r="N25" i="120" s="1"/>
  <c r="L25" i="120"/>
  <c r="I25" i="120"/>
  <c r="J25" i="120" s="1"/>
  <c r="K25" i="120" s="1"/>
  <c r="D25" i="120"/>
  <c r="I24" i="120"/>
  <c r="J24" i="120" s="1"/>
  <c r="K24" i="120" s="1"/>
  <c r="L24" i="120" s="1"/>
  <c r="M24" i="120" s="1"/>
  <c r="N24" i="120" s="1"/>
  <c r="D24" i="120"/>
  <c r="E24" i="120" s="1"/>
  <c r="F24" i="120" s="1"/>
  <c r="J23" i="120"/>
  <c r="K23" i="120" s="1"/>
  <c r="L23" i="120" s="1"/>
  <c r="M23" i="120" s="1"/>
  <c r="N23" i="120" s="1"/>
  <c r="I23" i="120"/>
  <c r="F23" i="120"/>
  <c r="G23" i="120" s="1"/>
  <c r="E23" i="120"/>
  <c r="D23" i="120"/>
  <c r="I22" i="120"/>
  <c r="D22" i="120"/>
  <c r="L21" i="120"/>
  <c r="M21" i="120" s="1"/>
  <c r="N21" i="120" s="1"/>
  <c r="K21" i="120"/>
  <c r="I21" i="120"/>
  <c r="J21" i="120" s="1"/>
  <c r="F21" i="120"/>
  <c r="G21" i="120" s="1"/>
  <c r="D21" i="120"/>
  <c r="E21" i="120" s="1"/>
  <c r="K20" i="120"/>
  <c r="L20" i="120" s="1"/>
  <c r="M20" i="120" s="1"/>
  <c r="N20" i="120" s="1"/>
  <c r="J20" i="120"/>
  <c r="I20" i="120"/>
  <c r="E20" i="120"/>
  <c r="D20" i="120"/>
  <c r="E19" i="120"/>
  <c r="D19" i="120"/>
  <c r="I18" i="120"/>
  <c r="J18" i="120" s="1"/>
  <c r="K18" i="120" s="1"/>
  <c r="L18" i="120" s="1"/>
  <c r="M18" i="120" s="1"/>
  <c r="N18" i="120" s="1"/>
  <c r="E18" i="120"/>
  <c r="F18" i="120" s="1"/>
  <c r="G18" i="120" s="1"/>
  <c r="D18" i="120"/>
  <c r="L17" i="120"/>
  <c r="M17" i="120" s="1"/>
  <c r="N17" i="120" s="1"/>
  <c r="I17" i="120"/>
  <c r="J17" i="120" s="1"/>
  <c r="K17" i="120" s="1"/>
  <c r="D17" i="120"/>
  <c r="I16" i="120"/>
  <c r="J16" i="120" s="1"/>
  <c r="K16" i="120" s="1"/>
  <c r="L16" i="120" s="1"/>
  <c r="M16" i="120" s="1"/>
  <c r="N16" i="120" s="1"/>
  <c r="G16" i="120"/>
  <c r="O16" i="120" s="1"/>
  <c r="F16" i="120"/>
  <c r="D16" i="120"/>
  <c r="E16" i="120" s="1"/>
  <c r="N15" i="120"/>
  <c r="K15" i="120"/>
  <c r="L15" i="120" s="1"/>
  <c r="M15" i="120" s="1"/>
  <c r="J15" i="120"/>
  <c r="I15" i="120"/>
  <c r="F15" i="120"/>
  <c r="G15" i="120" s="1"/>
  <c r="E15" i="120"/>
  <c r="D15" i="120"/>
  <c r="M14" i="120"/>
  <c r="N14" i="120" s="1"/>
  <c r="K14" i="120"/>
  <c r="L14" i="120" s="1"/>
  <c r="E14" i="120"/>
  <c r="I13" i="120"/>
  <c r="J13" i="120" s="1"/>
  <c r="K13" i="120" s="1"/>
  <c r="L13" i="120" s="1"/>
  <c r="M13" i="120" s="1"/>
  <c r="N13" i="120" s="1"/>
  <c r="D13" i="120"/>
  <c r="E13" i="120" s="1"/>
  <c r="F13" i="120" s="1"/>
  <c r="O12" i="120"/>
  <c r="J12" i="120"/>
  <c r="K12" i="120" s="1"/>
  <c r="L12" i="120" s="1"/>
  <c r="M12" i="120" s="1"/>
  <c r="N12" i="120" s="1"/>
  <c r="I12" i="120"/>
  <c r="F12" i="120"/>
  <c r="G12" i="120" s="1"/>
  <c r="E12" i="120"/>
  <c r="D12" i="120"/>
  <c r="N11" i="120"/>
  <c r="M11" i="120"/>
  <c r="K11" i="120"/>
  <c r="L11" i="120" s="1"/>
  <c r="I11" i="120"/>
  <c r="F11" i="120"/>
  <c r="O11" i="120" s="1"/>
  <c r="E11" i="120"/>
  <c r="J10" i="120"/>
  <c r="K10" i="120" s="1"/>
  <c r="L10" i="120" s="1"/>
  <c r="M10" i="120" s="1"/>
  <c r="N10" i="120" s="1"/>
  <c r="I10" i="120"/>
  <c r="D10" i="120"/>
  <c r="H9" i="120"/>
  <c r="I9" i="120" s="1"/>
  <c r="D9" i="120"/>
  <c r="A8" i="120"/>
  <c r="H94" i="119"/>
  <c r="C89" i="119"/>
  <c r="C88" i="119"/>
  <c r="G83" i="119"/>
  <c r="H82" i="119"/>
  <c r="H79" i="119"/>
  <c r="H78" i="119"/>
  <c r="H76" i="119"/>
  <c r="H75" i="119"/>
  <c r="H74" i="119"/>
  <c r="H73" i="119"/>
  <c r="H72" i="119"/>
  <c r="H71" i="119"/>
  <c r="H69" i="119"/>
  <c r="G56" i="119"/>
  <c r="C50" i="119"/>
  <c r="N49" i="119"/>
  <c r="M49" i="119"/>
  <c r="L49" i="119"/>
  <c r="K49" i="119"/>
  <c r="J49" i="119"/>
  <c r="I49" i="119"/>
  <c r="H49" i="119"/>
  <c r="G49" i="119"/>
  <c r="F49" i="119"/>
  <c r="E49" i="119"/>
  <c r="D49" i="119"/>
  <c r="C49" i="119"/>
  <c r="O49" i="119" s="1"/>
  <c r="O48" i="119"/>
  <c r="O47" i="119"/>
  <c r="O46" i="119"/>
  <c r="O45" i="119"/>
  <c r="O44" i="119"/>
  <c r="O43" i="119"/>
  <c r="G68" i="119" s="1"/>
  <c r="O42" i="119"/>
  <c r="O72" i="119" s="1"/>
  <c r="O41" i="119"/>
  <c r="O40" i="119"/>
  <c r="G70" i="119" s="1"/>
  <c r="H70" i="119" s="1"/>
  <c r="O39" i="119"/>
  <c r="O38" i="119"/>
  <c r="G98" i="119" s="1"/>
  <c r="F16" i="1" s="1"/>
  <c r="P16" i="1" s="1"/>
  <c r="C37" i="119"/>
  <c r="O36" i="119"/>
  <c r="O35" i="119"/>
  <c r="I34" i="119"/>
  <c r="J34" i="119" s="1"/>
  <c r="K34" i="119" s="1"/>
  <c r="L34" i="119" s="1"/>
  <c r="M34" i="119" s="1"/>
  <c r="N34" i="119" s="1"/>
  <c r="D34" i="119"/>
  <c r="E34" i="119" s="1"/>
  <c r="F34" i="119" s="1"/>
  <c r="O33" i="119"/>
  <c r="J33" i="119"/>
  <c r="K33" i="119" s="1"/>
  <c r="L33" i="119" s="1"/>
  <c r="M33" i="119" s="1"/>
  <c r="N33" i="119" s="1"/>
  <c r="I33" i="119"/>
  <c r="F33" i="119"/>
  <c r="G33" i="119" s="1"/>
  <c r="E33" i="119"/>
  <c r="D33" i="119"/>
  <c r="N32" i="119"/>
  <c r="I32" i="119"/>
  <c r="J32" i="119" s="1"/>
  <c r="K32" i="119" s="1"/>
  <c r="L32" i="119" s="1"/>
  <c r="M32" i="119" s="1"/>
  <c r="E32" i="119"/>
  <c r="F32" i="119" s="1"/>
  <c r="G32" i="119" s="1"/>
  <c r="D32" i="119"/>
  <c r="I31" i="119"/>
  <c r="J31" i="119" s="1"/>
  <c r="K31" i="119" s="1"/>
  <c r="L31" i="119" s="1"/>
  <c r="M31" i="119" s="1"/>
  <c r="N31" i="119" s="1"/>
  <c r="D31" i="119"/>
  <c r="L30" i="119"/>
  <c r="M30" i="119" s="1"/>
  <c r="N30" i="119" s="1"/>
  <c r="K30" i="119"/>
  <c r="I30" i="119"/>
  <c r="J30" i="119" s="1"/>
  <c r="F30" i="119"/>
  <c r="G30" i="119" s="1"/>
  <c r="D30" i="119"/>
  <c r="E30" i="119" s="1"/>
  <c r="O30" i="119" s="1"/>
  <c r="K29" i="119"/>
  <c r="L29" i="119" s="1"/>
  <c r="M29" i="119" s="1"/>
  <c r="N29" i="119" s="1"/>
  <c r="J29" i="119"/>
  <c r="I29" i="119"/>
  <c r="E29" i="119"/>
  <c r="D29" i="119"/>
  <c r="J28" i="119"/>
  <c r="K28" i="119" s="1"/>
  <c r="L28" i="119" s="1"/>
  <c r="M28" i="119" s="1"/>
  <c r="N28" i="119" s="1"/>
  <c r="I28" i="119"/>
  <c r="D28" i="119"/>
  <c r="M27" i="119"/>
  <c r="N27" i="119" s="1"/>
  <c r="L27" i="119"/>
  <c r="I27" i="119"/>
  <c r="J27" i="119" s="1"/>
  <c r="K27" i="119" s="1"/>
  <c r="D27" i="119"/>
  <c r="I26" i="119"/>
  <c r="J26" i="119" s="1"/>
  <c r="K26" i="119" s="1"/>
  <c r="L26" i="119" s="1"/>
  <c r="M26" i="119" s="1"/>
  <c r="N26" i="119" s="1"/>
  <c r="D26" i="119"/>
  <c r="E26" i="119" s="1"/>
  <c r="F26" i="119" s="1"/>
  <c r="J25" i="119"/>
  <c r="K25" i="119" s="1"/>
  <c r="I25" i="119"/>
  <c r="F25" i="119"/>
  <c r="G25" i="119" s="1"/>
  <c r="E25" i="119"/>
  <c r="D25" i="119"/>
  <c r="I24" i="119"/>
  <c r="J24" i="119" s="1"/>
  <c r="K24" i="119" s="1"/>
  <c r="L24" i="119" s="1"/>
  <c r="M24" i="119" s="1"/>
  <c r="N24" i="119" s="1"/>
  <c r="E24" i="119"/>
  <c r="F24" i="119" s="1"/>
  <c r="G24" i="119" s="1"/>
  <c r="D24" i="119"/>
  <c r="I23" i="119"/>
  <c r="J23" i="119" s="1"/>
  <c r="K23" i="119" s="1"/>
  <c r="L23" i="119" s="1"/>
  <c r="M23" i="119" s="1"/>
  <c r="N23" i="119" s="1"/>
  <c r="D23" i="119"/>
  <c r="L22" i="119"/>
  <c r="M22" i="119" s="1"/>
  <c r="N22" i="119" s="1"/>
  <c r="I22" i="119"/>
  <c r="D22" i="119"/>
  <c r="E22" i="119" s="1"/>
  <c r="F22" i="119" s="1"/>
  <c r="G22" i="119" s="1"/>
  <c r="M21" i="119"/>
  <c r="N21" i="119" s="1"/>
  <c r="L21" i="119"/>
  <c r="I21" i="119"/>
  <c r="J21" i="119" s="1"/>
  <c r="K21" i="119" s="1"/>
  <c r="D21" i="119"/>
  <c r="I20" i="119"/>
  <c r="J20" i="119" s="1"/>
  <c r="K20" i="119" s="1"/>
  <c r="L20" i="119" s="1"/>
  <c r="M20" i="119" s="1"/>
  <c r="N20" i="119" s="1"/>
  <c r="D20" i="119"/>
  <c r="E20" i="119" s="1"/>
  <c r="F20" i="119" s="1"/>
  <c r="O19" i="119"/>
  <c r="F19" i="119"/>
  <c r="D19" i="119"/>
  <c r="E19" i="119" s="1"/>
  <c r="N18" i="119"/>
  <c r="K18" i="119"/>
  <c r="L18" i="119" s="1"/>
  <c r="M18" i="119" s="1"/>
  <c r="J18" i="119"/>
  <c r="I18" i="119"/>
  <c r="F18" i="119"/>
  <c r="G18" i="119" s="1"/>
  <c r="E18" i="119"/>
  <c r="O18" i="119" s="1"/>
  <c r="G57" i="119" s="1"/>
  <c r="D18" i="119"/>
  <c r="M17" i="119"/>
  <c r="N17" i="119" s="1"/>
  <c r="J17" i="119"/>
  <c r="K17" i="119" s="1"/>
  <c r="L17" i="119" s="1"/>
  <c r="I17" i="119"/>
  <c r="D17" i="119"/>
  <c r="I16" i="119"/>
  <c r="J16" i="119" s="1"/>
  <c r="K16" i="119" s="1"/>
  <c r="L16" i="119" s="1"/>
  <c r="M16" i="119" s="1"/>
  <c r="N16" i="119" s="1"/>
  <c r="D16" i="119"/>
  <c r="K15" i="119"/>
  <c r="L15" i="119" s="1"/>
  <c r="M15" i="119" s="1"/>
  <c r="N15" i="119" s="1"/>
  <c r="I15" i="119"/>
  <c r="J15" i="119" s="1"/>
  <c r="D15" i="119"/>
  <c r="E15" i="119" s="1"/>
  <c r="K14" i="119"/>
  <c r="L14" i="119" s="1"/>
  <c r="M14" i="119" s="1"/>
  <c r="N14" i="119" s="1"/>
  <c r="I14" i="119"/>
  <c r="F14" i="119"/>
  <c r="G14" i="119" s="1"/>
  <c r="H14" i="119" s="1"/>
  <c r="H37" i="119" s="1"/>
  <c r="H50" i="119" s="1"/>
  <c r="E14" i="119"/>
  <c r="L13" i="119"/>
  <c r="M13" i="119" s="1"/>
  <c r="N13" i="119" s="1"/>
  <c r="I13" i="119"/>
  <c r="J13" i="119" s="1"/>
  <c r="K13" i="119" s="1"/>
  <c r="D13" i="119"/>
  <c r="I12" i="119"/>
  <c r="J12" i="119" s="1"/>
  <c r="K12" i="119" s="1"/>
  <c r="L12" i="119" s="1"/>
  <c r="M12" i="119" s="1"/>
  <c r="N12" i="119" s="1"/>
  <c r="G12" i="119"/>
  <c r="O12" i="119" s="1"/>
  <c r="F12" i="119"/>
  <c r="D12" i="119"/>
  <c r="E12" i="119" s="1"/>
  <c r="N11" i="119"/>
  <c r="K11" i="119"/>
  <c r="L11" i="119" s="1"/>
  <c r="M11" i="119" s="1"/>
  <c r="F11" i="119"/>
  <c r="E11" i="119"/>
  <c r="I10" i="119"/>
  <c r="I37" i="119" s="1"/>
  <c r="I50" i="119" s="1"/>
  <c r="E10" i="119"/>
  <c r="F10" i="119" s="1"/>
  <c r="D10" i="119"/>
  <c r="O9" i="119"/>
  <c r="A8" i="119"/>
  <c r="H94" i="118"/>
  <c r="C89" i="118"/>
  <c r="C88" i="118"/>
  <c r="G83" i="118"/>
  <c r="H82" i="118"/>
  <c r="H79" i="118"/>
  <c r="G78" i="118"/>
  <c r="H78" i="118" s="1"/>
  <c r="H76" i="118"/>
  <c r="H75" i="118"/>
  <c r="H74" i="118"/>
  <c r="H73" i="118"/>
  <c r="H72" i="118"/>
  <c r="H71" i="118"/>
  <c r="G70" i="118"/>
  <c r="H70" i="118" s="1"/>
  <c r="H69" i="118"/>
  <c r="G56" i="118"/>
  <c r="M53" i="118"/>
  <c r="M54" i="118" s="1"/>
  <c r="Q50" i="118"/>
  <c r="J50" i="118"/>
  <c r="G50" i="118"/>
  <c r="F50" i="118"/>
  <c r="N49" i="118"/>
  <c r="N50" i="118" s="1"/>
  <c r="M49" i="118"/>
  <c r="L49" i="118"/>
  <c r="K49" i="118"/>
  <c r="J49" i="118"/>
  <c r="I49" i="118"/>
  <c r="H49" i="118"/>
  <c r="G49" i="118"/>
  <c r="F49" i="118"/>
  <c r="E49" i="118"/>
  <c r="D49" i="118"/>
  <c r="C49" i="118"/>
  <c r="O48" i="118"/>
  <c r="O47" i="118"/>
  <c r="O46" i="118"/>
  <c r="O45" i="118"/>
  <c r="O44" i="118"/>
  <c r="O43" i="118"/>
  <c r="G68" i="118" s="1"/>
  <c r="O42" i="118"/>
  <c r="O41" i="118"/>
  <c r="O40" i="118"/>
  <c r="O39" i="118"/>
  <c r="O38" i="118"/>
  <c r="G98" i="118" s="1"/>
  <c r="F107" i="1" s="1"/>
  <c r="P107" i="1" s="1"/>
  <c r="N37" i="118"/>
  <c r="M37" i="118"/>
  <c r="M50" i="118" s="1"/>
  <c r="L37" i="118"/>
  <c r="L50" i="118" s="1"/>
  <c r="K37" i="118"/>
  <c r="K50" i="118" s="1"/>
  <c r="J37" i="118"/>
  <c r="J51" i="118" s="1"/>
  <c r="J52" i="118" s="1"/>
  <c r="I37" i="118"/>
  <c r="I50" i="118" s="1"/>
  <c r="H37" i="118"/>
  <c r="H50" i="118" s="1"/>
  <c r="G37" i="118"/>
  <c r="F37" i="118"/>
  <c r="E37" i="118"/>
  <c r="E50" i="118" s="1"/>
  <c r="D37" i="118"/>
  <c r="D50" i="118" s="1"/>
  <c r="C37" i="118"/>
  <c r="C50" i="118" s="1"/>
  <c r="O36" i="118"/>
  <c r="O35" i="118"/>
  <c r="O34" i="118"/>
  <c r="O33" i="118"/>
  <c r="O32" i="118"/>
  <c r="O31" i="118"/>
  <c r="O30" i="118"/>
  <c r="O29" i="118"/>
  <c r="O28" i="118"/>
  <c r="O27" i="118"/>
  <c r="O26" i="118"/>
  <c r="O25" i="118"/>
  <c r="O24" i="118"/>
  <c r="O23" i="118"/>
  <c r="O22" i="118"/>
  <c r="O21" i="118"/>
  <c r="O20" i="118"/>
  <c r="O19" i="118"/>
  <c r="O18" i="118"/>
  <c r="O17" i="118"/>
  <c r="O16" i="118"/>
  <c r="O15" i="118"/>
  <c r="O14" i="118"/>
  <c r="O13" i="118"/>
  <c r="O12" i="118"/>
  <c r="O11" i="118"/>
  <c r="O10" i="118"/>
  <c r="O9" i="118"/>
  <c r="A8" i="118"/>
  <c r="H95" i="117"/>
  <c r="C90" i="117"/>
  <c r="J89" i="117"/>
  <c r="C89" i="117"/>
  <c r="G84" i="117"/>
  <c r="H83" i="117"/>
  <c r="H81" i="117"/>
  <c r="H80" i="117"/>
  <c r="H79" i="117"/>
  <c r="H77" i="117"/>
  <c r="H76" i="117"/>
  <c r="H75" i="117"/>
  <c r="H74" i="117"/>
  <c r="H73" i="117"/>
  <c r="H72" i="117"/>
  <c r="G71" i="117"/>
  <c r="H71" i="117" s="1"/>
  <c r="H70" i="117"/>
  <c r="Q51" i="117"/>
  <c r="K51" i="117"/>
  <c r="C51" i="117"/>
  <c r="H50" i="117"/>
  <c r="G50" i="117"/>
  <c r="G51" i="117" s="1"/>
  <c r="C50" i="117"/>
  <c r="N49" i="117"/>
  <c r="M49" i="117"/>
  <c r="L49" i="117"/>
  <c r="K49" i="117"/>
  <c r="J49" i="117"/>
  <c r="I49" i="117"/>
  <c r="H49" i="117"/>
  <c r="G49" i="117"/>
  <c r="F49" i="117"/>
  <c r="E49" i="117"/>
  <c r="D49" i="117"/>
  <c r="C49" i="117"/>
  <c r="O48" i="117"/>
  <c r="O47" i="117"/>
  <c r="O46" i="117"/>
  <c r="O45" i="117"/>
  <c r="O44" i="117"/>
  <c r="G57" i="117" s="1"/>
  <c r="O43" i="117"/>
  <c r="G69" i="117" s="1"/>
  <c r="O42" i="117"/>
  <c r="O41" i="117"/>
  <c r="O40" i="117"/>
  <c r="O39" i="117"/>
  <c r="O38" i="117"/>
  <c r="G99" i="117" s="1"/>
  <c r="F80" i="1" s="1"/>
  <c r="P80" i="1" s="1"/>
  <c r="M37" i="117"/>
  <c r="L37" i="117"/>
  <c r="J37" i="117"/>
  <c r="I37" i="117"/>
  <c r="H37" i="117"/>
  <c r="G37" i="117"/>
  <c r="F37" i="117"/>
  <c r="F50" i="117" s="1"/>
  <c r="F51" i="117" s="1"/>
  <c r="E37" i="117"/>
  <c r="D37" i="117"/>
  <c r="C37" i="117"/>
  <c r="O37" i="117" s="1"/>
  <c r="G54" i="117" s="1"/>
  <c r="G60" i="117" s="1"/>
  <c r="G65" i="117" s="1"/>
  <c r="G95" i="117" s="1"/>
  <c r="O36" i="117"/>
  <c r="O35" i="117"/>
  <c r="O34" i="117"/>
  <c r="O33" i="117"/>
  <c r="O32" i="117"/>
  <c r="O31" i="117"/>
  <c r="O30" i="117"/>
  <c r="O29" i="117"/>
  <c r="O28" i="117"/>
  <c r="O27" i="117"/>
  <c r="O26" i="117"/>
  <c r="O25" i="117"/>
  <c r="O24" i="117"/>
  <c r="O23" i="117"/>
  <c r="O22" i="117"/>
  <c r="O21" i="117"/>
  <c r="O20" i="117"/>
  <c r="O19" i="117"/>
  <c r="O18" i="117"/>
  <c r="O17" i="117"/>
  <c r="O16" i="117"/>
  <c r="O15" i="117"/>
  <c r="O14" i="117"/>
  <c r="O13" i="117"/>
  <c r="O12" i="117"/>
  <c r="N11" i="117"/>
  <c r="N37" i="117" s="1"/>
  <c r="N50" i="117" s="1"/>
  <c r="M11" i="117"/>
  <c r="L11" i="117"/>
  <c r="K11" i="117"/>
  <c r="K37" i="117" s="1"/>
  <c r="K50" i="117" s="1"/>
  <c r="O10" i="117"/>
  <c r="O9" i="117"/>
  <c r="A8" i="117"/>
  <c r="H95" i="116"/>
  <c r="C90" i="116"/>
  <c r="J89" i="116"/>
  <c r="C89" i="116"/>
  <c r="J88" i="116"/>
  <c r="J87" i="116"/>
  <c r="J90" i="116" s="1"/>
  <c r="J86" i="116"/>
  <c r="H83" i="116"/>
  <c r="H80" i="116"/>
  <c r="H77" i="116"/>
  <c r="H76" i="116"/>
  <c r="H75" i="116"/>
  <c r="H74" i="116"/>
  <c r="H73" i="116"/>
  <c r="H72" i="116"/>
  <c r="G72" i="116"/>
  <c r="G71" i="116"/>
  <c r="H71" i="116" s="1"/>
  <c r="H70" i="116"/>
  <c r="G69" i="116"/>
  <c r="G58" i="116"/>
  <c r="G57" i="116"/>
  <c r="G56" i="116"/>
  <c r="J52" i="116"/>
  <c r="J53" i="116" s="1"/>
  <c r="K51" i="116"/>
  <c r="H51" i="116"/>
  <c r="G51" i="116"/>
  <c r="C51" i="116"/>
  <c r="N50" i="116"/>
  <c r="N51" i="116" s="1"/>
  <c r="M50" i="116"/>
  <c r="M51" i="116" s="1"/>
  <c r="L50" i="116"/>
  <c r="L51" i="116" s="1"/>
  <c r="K50" i="116"/>
  <c r="J50" i="116"/>
  <c r="J51" i="116" s="1"/>
  <c r="I50" i="116"/>
  <c r="I51" i="116" s="1"/>
  <c r="H50" i="116"/>
  <c r="G50" i="116"/>
  <c r="F50" i="116"/>
  <c r="F51" i="116" s="1"/>
  <c r="E50" i="116"/>
  <c r="E51" i="116" s="1"/>
  <c r="D50" i="116"/>
  <c r="D51" i="116" s="1"/>
  <c r="C50" i="116"/>
  <c r="O50" i="116" s="1"/>
  <c r="O49" i="116"/>
  <c r="O48" i="116"/>
  <c r="G70" i="116" s="1"/>
  <c r="O47" i="116"/>
  <c r="O46" i="116"/>
  <c r="O45" i="116"/>
  <c r="O44" i="116"/>
  <c r="O43" i="116"/>
  <c r="O73" i="116" s="1"/>
  <c r="O42" i="116"/>
  <c r="O41" i="116"/>
  <c r="O40" i="116"/>
  <c r="O39" i="116"/>
  <c r="G99" i="116" s="1"/>
  <c r="O38" i="116"/>
  <c r="G54" i="116" s="1"/>
  <c r="O37" i="116"/>
  <c r="O36" i="116"/>
  <c r="O35" i="116"/>
  <c r="O34" i="116"/>
  <c r="O33" i="116"/>
  <c r="O32" i="116"/>
  <c r="O31" i="116"/>
  <c r="O30" i="116"/>
  <c r="O29" i="116"/>
  <c r="O28" i="116"/>
  <c r="O27" i="116"/>
  <c r="O26" i="116"/>
  <c r="O25" i="116"/>
  <c r="O24" i="116"/>
  <c r="O23" i="116"/>
  <c r="O22" i="116"/>
  <c r="O21" i="116"/>
  <c r="O20" i="116"/>
  <c r="O19" i="116"/>
  <c r="O18" i="116"/>
  <c r="O17" i="116"/>
  <c r="O16" i="116"/>
  <c r="O15" i="116"/>
  <c r="O14" i="116"/>
  <c r="O13" i="116"/>
  <c r="O12" i="116"/>
  <c r="O11" i="116"/>
  <c r="O10" i="116"/>
  <c r="O9" i="116"/>
  <c r="A8" i="116"/>
  <c r="H94" i="115"/>
  <c r="C89" i="115"/>
  <c r="C88" i="115"/>
  <c r="J85" i="115"/>
  <c r="H82" i="115"/>
  <c r="H79" i="115"/>
  <c r="H78" i="115"/>
  <c r="H76" i="115"/>
  <c r="H75" i="115"/>
  <c r="H74" i="115"/>
  <c r="H73" i="115"/>
  <c r="O72" i="115"/>
  <c r="H72" i="115"/>
  <c r="H71" i="115"/>
  <c r="G57" i="115"/>
  <c r="L50" i="115"/>
  <c r="I50" i="115"/>
  <c r="H50" i="115"/>
  <c r="D50" i="115"/>
  <c r="N49" i="115"/>
  <c r="M49" i="115"/>
  <c r="L49" i="115"/>
  <c r="K49" i="115"/>
  <c r="J49" i="115"/>
  <c r="I49" i="115"/>
  <c r="H49" i="115"/>
  <c r="G49" i="115"/>
  <c r="F49" i="115"/>
  <c r="E49" i="115"/>
  <c r="D49" i="115"/>
  <c r="C49" i="115"/>
  <c r="O48" i="115"/>
  <c r="O47" i="115"/>
  <c r="G69" i="115" s="1"/>
  <c r="H69" i="115" s="1"/>
  <c r="O46" i="115"/>
  <c r="O45" i="115"/>
  <c r="O44" i="115"/>
  <c r="G56" i="115" s="1"/>
  <c r="O43" i="115"/>
  <c r="G68" i="115" s="1"/>
  <c r="O42" i="115"/>
  <c r="G78" i="115" s="1"/>
  <c r="G83" i="115" s="1"/>
  <c r="O41" i="115"/>
  <c r="O40" i="115"/>
  <c r="G70" i="115" s="1"/>
  <c r="H70" i="115" s="1"/>
  <c r="O39" i="115"/>
  <c r="O38" i="115"/>
  <c r="G98" i="115" s="1"/>
  <c r="F81" i="1" s="1"/>
  <c r="P81" i="1" s="1"/>
  <c r="N37" i="115"/>
  <c r="M37" i="115"/>
  <c r="L37" i="115"/>
  <c r="K37" i="115"/>
  <c r="K50" i="115" s="1"/>
  <c r="J37" i="115"/>
  <c r="I37" i="115"/>
  <c r="H37" i="115"/>
  <c r="G37" i="115"/>
  <c r="G50" i="115" s="1"/>
  <c r="F37" i="115"/>
  <c r="E37" i="115"/>
  <c r="D37" i="115"/>
  <c r="C37" i="115"/>
  <c r="C50" i="115" s="1"/>
  <c r="O36" i="115"/>
  <c r="O35" i="115"/>
  <c r="O34" i="115"/>
  <c r="O33" i="115"/>
  <c r="O32" i="115"/>
  <c r="O31" i="115"/>
  <c r="O30" i="115"/>
  <c r="O29" i="115"/>
  <c r="O28" i="115"/>
  <c r="O27" i="115"/>
  <c r="O26" i="115"/>
  <c r="O25" i="115"/>
  <c r="O24" i="115"/>
  <c r="O23" i="115"/>
  <c r="O22" i="115"/>
  <c r="O21" i="115"/>
  <c r="O20" i="115"/>
  <c r="O19" i="115"/>
  <c r="O18" i="115"/>
  <c r="O17" i="115"/>
  <c r="O16" i="115"/>
  <c r="O15" i="115"/>
  <c r="O14" i="115"/>
  <c r="O13" i="115"/>
  <c r="O12" i="115"/>
  <c r="O11" i="115"/>
  <c r="O10" i="115"/>
  <c r="O9" i="115"/>
  <c r="A8" i="115"/>
  <c r="H94" i="114"/>
  <c r="C89" i="114"/>
  <c r="C88" i="114"/>
  <c r="H82" i="114"/>
  <c r="H79" i="114"/>
  <c r="H78" i="114"/>
  <c r="H76" i="114"/>
  <c r="H75" i="114"/>
  <c r="H74" i="114"/>
  <c r="H73" i="114"/>
  <c r="H72" i="114"/>
  <c r="H71" i="114"/>
  <c r="G68" i="114"/>
  <c r="G55" i="114"/>
  <c r="J51" i="114"/>
  <c r="Q50" i="114"/>
  <c r="M50" i="114"/>
  <c r="I50" i="114"/>
  <c r="E50" i="114"/>
  <c r="N49" i="114"/>
  <c r="N50" i="114" s="1"/>
  <c r="M49" i="114"/>
  <c r="L49" i="114"/>
  <c r="K49" i="114"/>
  <c r="J49" i="114"/>
  <c r="J50" i="114" s="1"/>
  <c r="I49" i="114"/>
  <c r="H49" i="114"/>
  <c r="G49" i="114"/>
  <c r="F49" i="114"/>
  <c r="F50" i="114" s="1"/>
  <c r="E49" i="114"/>
  <c r="D49" i="114"/>
  <c r="C49" i="114"/>
  <c r="O48" i="114"/>
  <c r="O47" i="114"/>
  <c r="G69" i="114" s="1"/>
  <c r="O46" i="114"/>
  <c r="O45" i="114"/>
  <c r="O44" i="114"/>
  <c r="G56" i="114" s="1"/>
  <c r="O43" i="114"/>
  <c r="O42" i="114"/>
  <c r="G78" i="114" s="1"/>
  <c r="G83" i="114" s="1"/>
  <c r="O41" i="114"/>
  <c r="O40" i="114"/>
  <c r="G70" i="114" s="1"/>
  <c r="H70" i="114" s="1"/>
  <c r="O39" i="114"/>
  <c r="O38" i="114"/>
  <c r="G98" i="114" s="1"/>
  <c r="Q37" i="114"/>
  <c r="N37" i="114"/>
  <c r="M37" i="114"/>
  <c r="L37" i="114"/>
  <c r="L50" i="114" s="1"/>
  <c r="K37" i="114"/>
  <c r="K50" i="114" s="1"/>
  <c r="J37" i="114"/>
  <c r="I37" i="114"/>
  <c r="H37" i="114"/>
  <c r="H50" i="114" s="1"/>
  <c r="G37" i="114"/>
  <c r="G50" i="114" s="1"/>
  <c r="F37" i="114"/>
  <c r="E37" i="114"/>
  <c r="D37" i="114"/>
  <c r="D50" i="114" s="1"/>
  <c r="C37" i="114"/>
  <c r="O36" i="114"/>
  <c r="O35" i="114"/>
  <c r="O34" i="114"/>
  <c r="O33" i="114"/>
  <c r="O32" i="114"/>
  <c r="O31" i="114"/>
  <c r="O30" i="114"/>
  <c r="O29" i="114"/>
  <c r="O28" i="114"/>
  <c r="O27" i="114"/>
  <c r="O26" i="114"/>
  <c r="O25" i="114"/>
  <c r="O24" i="114"/>
  <c r="O23" i="114"/>
  <c r="O22" i="114"/>
  <c r="O21" i="114"/>
  <c r="O20" i="114"/>
  <c r="O19" i="114"/>
  <c r="O18" i="114"/>
  <c r="G57" i="114" s="1"/>
  <c r="O17" i="114"/>
  <c r="O16" i="114"/>
  <c r="O15" i="114"/>
  <c r="O14" i="114"/>
  <c r="O13" i="114"/>
  <c r="O12" i="114"/>
  <c r="O11" i="114"/>
  <c r="O10" i="114"/>
  <c r="O9" i="114"/>
  <c r="A8" i="114"/>
  <c r="D1" i="114"/>
  <c r="H94" i="113"/>
  <c r="C89" i="113"/>
  <c r="C88" i="113"/>
  <c r="J86" i="113"/>
  <c r="J85" i="113"/>
  <c r="H82" i="113"/>
  <c r="H79" i="113"/>
  <c r="G78" i="113"/>
  <c r="H76" i="113"/>
  <c r="H75" i="113"/>
  <c r="H74" i="113"/>
  <c r="S73" i="113"/>
  <c r="H73" i="113"/>
  <c r="H72" i="113"/>
  <c r="H71" i="113"/>
  <c r="G70" i="113"/>
  <c r="H70" i="113" s="1"/>
  <c r="H69" i="113"/>
  <c r="G69" i="113"/>
  <c r="G68" i="113"/>
  <c r="G56" i="113"/>
  <c r="G53" i="113"/>
  <c r="G59" i="113" s="1"/>
  <c r="G64" i="113" s="1"/>
  <c r="Q50" i="113"/>
  <c r="K50" i="113"/>
  <c r="G50" i="113"/>
  <c r="C50" i="113"/>
  <c r="N49" i="113"/>
  <c r="M49" i="113"/>
  <c r="L49" i="113"/>
  <c r="L50" i="113" s="1"/>
  <c r="K49" i="113"/>
  <c r="J49" i="113"/>
  <c r="I49" i="113"/>
  <c r="H49" i="113"/>
  <c r="H50" i="113" s="1"/>
  <c r="G49" i="113"/>
  <c r="F49" i="113"/>
  <c r="E49" i="113"/>
  <c r="D49" i="113"/>
  <c r="D50" i="113" s="1"/>
  <c r="C49" i="113"/>
  <c r="O48" i="113"/>
  <c r="O47" i="113"/>
  <c r="O46" i="113"/>
  <c r="O45" i="113"/>
  <c r="O44" i="113"/>
  <c r="O43" i="113"/>
  <c r="O42" i="113"/>
  <c r="O72" i="113" s="1"/>
  <c r="O41" i="113"/>
  <c r="O40" i="113"/>
  <c r="O39" i="113"/>
  <c r="O38" i="113"/>
  <c r="G98" i="113" s="1"/>
  <c r="F83" i="1" s="1"/>
  <c r="P83" i="1" s="1"/>
  <c r="N37" i="113"/>
  <c r="N50" i="113" s="1"/>
  <c r="M37" i="113"/>
  <c r="L37" i="113"/>
  <c r="K37" i="113"/>
  <c r="J37" i="113"/>
  <c r="J50" i="113" s="1"/>
  <c r="I37" i="113"/>
  <c r="I50" i="113" s="1"/>
  <c r="H37" i="113"/>
  <c r="G37" i="113"/>
  <c r="F37" i="113"/>
  <c r="F50" i="113" s="1"/>
  <c r="E37" i="113"/>
  <c r="E50" i="113" s="1"/>
  <c r="D37" i="113"/>
  <c r="C37" i="113"/>
  <c r="O37" i="113" s="1"/>
  <c r="O36" i="113"/>
  <c r="O35" i="113"/>
  <c r="O34" i="113"/>
  <c r="O33" i="113"/>
  <c r="O32" i="113"/>
  <c r="O31" i="113"/>
  <c r="O30" i="113"/>
  <c r="O29" i="113"/>
  <c r="O28" i="113"/>
  <c r="O27" i="113"/>
  <c r="O26" i="113"/>
  <c r="O25" i="113"/>
  <c r="O24" i="113"/>
  <c r="O23" i="113"/>
  <c r="O22" i="113"/>
  <c r="O21" i="113"/>
  <c r="O20" i="113"/>
  <c r="O19" i="113"/>
  <c r="O18" i="113"/>
  <c r="G57" i="113" s="1"/>
  <c r="O17" i="113"/>
  <c r="O16" i="113"/>
  <c r="O15" i="113"/>
  <c r="O14" i="113"/>
  <c r="O13" i="113"/>
  <c r="O12" i="113"/>
  <c r="O11" i="113"/>
  <c r="O10" i="113"/>
  <c r="O9" i="113"/>
  <c r="A8" i="113"/>
  <c r="H94" i="112"/>
  <c r="C89" i="112"/>
  <c r="C88" i="112"/>
  <c r="H82" i="112"/>
  <c r="H79" i="112"/>
  <c r="H76" i="112"/>
  <c r="H75" i="112"/>
  <c r="H74" i="112"/>
  <c r="H73" i="112"/>
  <c r="H72" i="112"/>
  <c r="H71" i="112"/>
  <c r="H69" i="112"/>
  <c r="Q50" i="112"/>
  <c r="E50" i="112"/>
  <c r="N49" i="112"/>
  <c r="M49" i="112"/>
  <c r="L49" i="112"/>
  <c r="K49" i="112"/>
  <c r="J49" i="112"/>
  <c r="J50" i="112" s="1"/>
  <c r="I49" i="112"/>
  <c r="H49" i="112"/>
  <c r="G49" i="112"/>
  <c r="F49" i="112"/>
  <c r="F50" i="112" s="1"/>
  <c r="E49" i="112"/>
  <c r="D49" i="112"/>
  <c r="C49" i="112"/>
  <c r="O49" i="112" s="1"/>
  <c r="O48" i="112"/>
  <c r="O47" i="112"/>
  <c r="O46" i="112"/>
  <c r="O45" i="112"/>
  <c r="O44" i="112"/>
  <c r="G56" i="112" s="1"/>
  <c r="O43" i="112"/>
  <c r="G68" i="112" s="1"/>
  <c r="O42" i="112"/>
  <c r="G78" i="112" s="1"/>
  <c r="O41" i="112"/>
  <c r="O40" i="112"/>
  <c r="G70" i="112" s="1"/>
  <c r="H70" i="112" s="1"/>
  <c r="O39" i="112"/>
  <c r="O38" i="112"/>
  <c r="G98" i="112" s="1"/>
  <c r="Q37" i="112"/>
  <c r="N37" i="112"/>
  <c r="M37" i="112"/>
  <c r="L37" i="112"/>
  <c r="L50" i="112" s="1"/>
  <c r="K37" i="112"/>
  <c r="K50" i="112" s="1"/>
  <c r="J37" i="112"/>
  <c r="I37" i="112"/>
  <c r="H37" i="112"/>
  <c r="H50" i="112" s="1"/>
  <c r="G37" i="112"/>
  <c r="F37" i="112"/>
  <c r="E37" i="112"/>
  <c r="D37" i="112"/>
  <c r="D50" i="112" s="1"/>
  <c r="C37" i="112"/>
  <c r="O36" i="112"/>
  <c r="O35" i="112"/>
  <c r="O34" i="112"/>
  <c r="O33" i="112"/>
  <c r="O32" i="112"/>
  <c r="O31" i="112"/>
  <c r="O30" i="112"/>
  <c r="O29" i="112"/>
  <c r="O28" i="112"/>
  <c r="O27" i="112"/>
  <c r="O26" i="112"/>
  <c r="O25" i="112"/>
  <c r="O24" i="112"/>
  <c r="O23" i="112"/>
  <c r="O22" i="112"/>
  <c r="O21" i="112"/>
  <c r="O20" i="112"/>
  <c r="O19" i="112"/>
  <c r="O18" i="112"/>
  <c r="O17" i="112"/>
  <c r="O16" i="112"/>
  <c r="O15" i="112"/>
  <c r="O14" i="112"/>
  <c r="O13" i="112"/>
  <c r="O12" i="112"/>
  <c r="O11" i="112"/>
  <c r="O10" i="112"/>
  <c r="O9" i="112"/>
  <c r="A8" i="112"/>
  <c r="H94" i="111"/>
  <c r="C89" i="111"/>
  <c r="J88" i="111"/>
  <c r="C88" i="111"/>
  <c r="J87" i="111"/>
  <c r="H82" i="111"/>
  <c r="H79" i="111"/>
  <c r="G77" i="111"/>
  <c r="H76" i="111"/>
  <c r="H75" i="111"/>
  <c r="H74" i="111"/>
  <c r="H73" i="111"/>
  <c r="H72" i="111"/>
  <c r="H71" i="111"/>
  <c r="G70" i="111"/>
  <c r="H70" i="111" s="1"/>
  <c r="G68" i="111"/>
  <c r="G62" i="111"/>
  <c r="G57" i="111"/>
  <c r="M50" i="111"/>
  <c r="L50" i="111"/>
  <c r="H50" i="111"/>
  <c r="E50" i="111"/>
  <c r="D50" i="111"/>
  <c r="N49" i="111"/>
  <c r="M49" i="111"/>
  <c r="L49" i="111"/>
  <c r="K49" i="111"/>
  <c r="J49" i="111"/>
  <c r="I49" i="111"/>
  <c r="H49" i="111"/>
  <c r="G49" i="111"/>
  <c r="F49" i="111"/>
  <c r="E49" i="111"/>
  <c r="D49" i="111"/>
  <c r="C49" i="111"/>
  <c r="O48" i="111"/>
  <c r="O47" i="111"/>
  <c r="G69" i="111" s="1"/>
  <c r="H69" i="111" s="1"/>
  <c r="O46" i="111"/>
  <c r="O45" i="111"/>
  <c r="O44" i="111"/>
  <c r="G56" i="111" s="1"/>
  <c r="O43" i="111"/>
  <c r="O42" i="111"/>
  <c r="G78" i="111" s="1"/>
  <c r="O41" i="111"/>
  <c r="O40" i="111"/>
  <c r="O39" i="111"/>
  <c r="O38" i="111"/>
  <c r="G98" i="111" s="1"/>
  <c r="F85" i="1" s="1"/>
  <c r="P85" i="1" s="1"/>
  <c r="N37" i="111"/>
  <c r="M37" i="111"/>
  <c r="L37" i="111"/>
  <c r="K37" i="111"/>
  <c r="K50" i="111" s="1"/>
  <c r="J37" i="111"/>
  <c r="J51" i="111" s="1"/>
  <c r="J52" i="111" s="1"/>
  <c r="I37" i="111"/>
  <c r="I50" i="111" s="1"/>
  <c r="H37" i="111"/>
  <c r="G37" i="111"/>
  <c r="G50" i="111" s="1"/>
  <c r="F37" i="111"/>
  <c r="E37" i="111"/>
  <c r="D37" i="111"/>
  <c r="C37" i="111"/>
  <c r="C50" i="111" s="1"/>
  <c r="O36" i="111"/>
  <c r="O35" i="111"/>
  <c r="O34" i="111"/>
  <c r="O33" i="111"/>
  <c r="O32" i="111"/>
  <c r="O31" i="111"/>
  <c r="O30" i="111"/>
  <c r="O29" i="111"/>
  <c r="O28" i="111"/>
  <c r="O27" i="111"/>
  <c r="O26" i="111"/>
  <c r="O25" i="111"/>
  <c r="O24" i="111"/>
  <c r="O23" i="111"/>
  <c r="O22" i="111"/>
  <c r="O21" i="111"/>
  <c r="O20" i="111"/>
  <c r="O19" i="111"/>
  <c r="O18" i="111"/>
  <c r="O17" i="111"/>
  <c r="O16" i="111"/>
  <c r="O15" i="111"/>
  <c r="O14" i="111"/>
  <c r="O13" i="111"/>
  <c r="O12" i="111"/>
  <c r="O11" i="111"/>
  <c r="O10" i="111"/>
  <c r="O9" i="111"/>
  <c r="A8" i="111"/>
  <c r="G99" i="110"/>
  <c r="H95" i="110"/>
  <c r="C90" i="110"/>
  <c r="C89" i="110"/>
  <c r="H83" i="110"/>
  <c r="H80" i="110"/>
  <c r="H77" i="110"/>
  <c r="H76" i="110"/>
  <c r="H75" i="110"/>
  <c r="H74" i="110"/>
  <c r="H73" i="110"/>
  <c r="H72" i="110"/>
  <c r="H70" i="110"/>
  <c r="H69" i="110"/>
  <c r="G69" i="110"/>
  <c r="G58" i="110"/>
  <c r="Q51" i="110"/>
  <c r="K51" i="110"/>
  <c r="G51" i="110"/>
  <c r="C51" i="110"/>
  <c r="N50" i="110"/>
  <c r="N51" i="110" s="1"/>
  <c r="M50" i="110"/>
  <c r="L50" i="110"/>
  <c r="K50" i="110"/>
  <c r="J50" i="110"/>
  <c r="J51" i="110" s="1"/>
  <c r="I50" i="110"/>
  <c r="H50" i="110"/>
  <c r="G50" i="110"/>
  <c r="F50" i="110"/>
  <c r="F51" i="110" s="1"/>
  <c r="O51" i="110" s="1"/>
  <c r="E50" i="110"/>
  <c r="D50" i="110"/>
  <c r="C50" i="110"/>
  <c r="O50" i="110" s="1"/>
  <c r="O49" i="110"/>
  <c r="O48" i="110"/>
  <c r="O47" i="110"/>
  <c r="O46" i="110"/>
  <c r="O45" i="110"/>
  <c r="G57" i="110" s="1"/>
  <c r="O44" i="110"/>
  <c r="O43" i="110"/>
  <c r="O42" i="110"/>
  <c r="O41" i="110"/>
  <c r="G71" i="110" s="1"/>
  <c r="H71" i="110" s="1"/>
  <c r="Q40" i="110"/>
  <c r="O40" i="110"/>
  <c r="O39" i="110"/>
  <c r="N38" i="110"/>
  <c r="M38" i="110"/>
  <c r="M51" i="110" s="1"/>
  <c r="L38" i="110"/>
  <c r="L51" i="110" s="1"/>
  <c r="K38" i="110"/>
  <c r="J38" i="110"/>
  <c r="I38" i="110"/>
  <c r="I51" i="110" s="1"/>
  <c r="H38" i="110"/>
  <c r="H51" i="110" s="1"/>
  <c r="G38" i="110"/>
  <c r="F38" i="110"/>
  <c r="E38" i="110"/>
  <c r="E51" i="110" s="1"/>
  <c r="D38" i="110"/>
  <c r="D51" i="110" s="1"/>
  <c r="C38" i="110"/>
  <c r="O37" i="110"/>
  <c r="O36" i="110"/>
  <c r="O35" i="110"/>
  <c r="O34" i="110"/>
  <c r="O33" i="110"/>
  <c r="O32" i="110"/>
  <c r="O31" i="110"/>
  <c r="O30" i="110"/>
  <c r="O29" i="110"/>
  <c r="O28" i="110"/>
  <c r="O27" i="110"/>
  <c r="O26" i="110"/>
  <c r="O25" i="110"/>
  <c r="O24" i="110"/>
  <c r="O23" i="110"/>
  <c r="O22" i="110"/>
  <c r="O21" i="110"/>
  <c r="O20" i="110"/>
  <c r="O19" i="110"/>
  <c r="O18" i="110"/>
  <c r="O17" i="110"/>
  <c r="O16" i="110"/>
  <c r="O15" i="110"/>
  <c r="O14" i="110"/>
  <c r="O13" i="110"/>
  <c r="O12" i="110"/>
  <c r="O11" i="110"/>
  <c r="O10" i="110"/>
  <c r="O9" i="110"/>
  <c r="A8" i="110"/>
  <c r="H94" i="109"/>
  <c r="C89" i="109"/>
  <c r="C88" i="109"/>
  <c r="G83" i="109"/>
  <c r="H82" i="109"/>
  <c r="H80" i="109"/>
  <c r="H79" i="109"/>
  <c r="H78" i="109"/>
  <c r="H76" i="109"/>
  <c r="H75" i="109"/>
  <c r="H74" i="109"/>
  <c r="H73" i="109"/>
  <c r="H72" i="109"/>
  <c r="H71" i="109"/>
  <c r="H68" i="109"/>
  <c r="G62" i="109"/>
  <c r="G56" i="109"/>
  <c r="J52" i="109"/>
  <c r="J51" i="109"/>
  <c r="L50" i="109"/>
  <c r="J50" i="109"/>
  <c r="H50" i="109"/>
  <c r="F50" i="109"/>
  <c r="D50" i="109"/>
  <c r="N49" i="109"/>
  <c r="N50" i="109" s="1"/>
  <c r="M49" i="109"/>
  <c r="L49" i="109"/>
  <c r="K49" i="109"/>
  <c r="J49" i="109"/>
  <c r="I49" i="109"/>
  <c r="H49" i="109"/>
  <c r="G49" i="109"/>
  <c r="F49" i="109"/>
  <c r="E49" i="109"/>
  <c r="D49" i="109"/>
  <c r="C49" i="109"/>
  <c r="O48" i="109"/>
  <c r="O47" i="109"/>
  <c r="O46" i="109"/>
  <c r="O45" i="109"/>
  <c r="O44" i="109"/>
  <c r="O43" i="109"/>
  <c r="G68" i="109" s="1"/>
  <c r="O42" i="109"/>
  <c r="O41" i="109"/>
  <c r="O40" i="109"/>
  <c r="G70" i="109" s="1"/>
  <c r="H70" i="109" s="1"/>
  <c r="O39" i="109"/>
  <c r="O38" i="109"/>
  <c r="G98" i="109" s="1"/>
  <c r="F87" i="1" s="1"/>
  <c r="P87" i="1" s="1"/>
  <c r="N37" i="109"/>
  <c r="M37" i="109"/>
  <c r="M50" i="109" s="1"/>
  <c r="M51" i="109" s="1"/>
  <c r="L37" i="109"/>
  <c r="K37" i="109"/>
  <c r="K50" i="109" s="1"/>
  <c r="J37" i="109"/>
  <c r="I37" i="109"/>
  <c r="I50" i="109" s="1"/>
  <c r="H37" i="109"/>
  <c r="G37" i="109"/>
  <c r="F37" i="109"/>
  <c r="E37" i="109"/>
  <c r="E50" i="109" s="1"/>
  <c r="D37" i="109"/>
  <c r="C37" i="109"/>
  <c r="O36" i="109"/>
  <c r="O35" i="109"/>
  <c r="O34" i="109"/>
  <c r="O33" i="109"/>
  <c r="O32" i="109"/>
  <c r="O31" i="109"/>
  <c r="O30" i="109"/>
  <c r="O29" i="109"/>
  <c r="O28" i="109"/>
  <c r="O27" i="109"/>
  <c r="O26" i="109"/>
  <c r="O25" i="109"/>
  <c r="O24" i="109"/>
  <c r="O23" i="109"/>
  <c r="O22" i="109"/>
  <c r="O21" i="109"/>
  <c r="O20" i="109"/>
  <c r="O19" i="109"/>
  <c r="O18" i="109"/>
  <c r="G57" i="109" s="1"/>
  <c r="O17" i="109"/>
  <c r="O16" i="109"/>
  <c r="O15" i="109"/>
  <c r="O14" i="109"/>
  <c r="O13" i="109"/>
  <c r="O12" i="109"/>
  <c r="O11" i="109"/>
  <c r="O10" i="109"/>
  <c r="O9" i="109"/>
  <c r="A8" i="109"/>
  <c r="G98" i="108"/>
  <c r="H94" i="108"/>
  <c r="C89" i="108"/>
  <c r="J88" i="108"/>
  <c r="C88" i="108"/>
  <c r="H82" i="108"/>
  <c r="H79" i="108"/>
  <c r="H76" i="108"/>
  <c r="H75" i="108"/>
  <c r="H74" i="108"/>
  <c r="H73" i="108"/>
  <c r="H72" i="108"/>
  <c r="H71" i="108"/>
  <c r="G70" i="108"/>
  <c r="H70" i="108" s="1"/>
  <c r="G68" i="108"/>
  <c r="G55" i="108"/>
  <c r="J51" i="108"/>
  <c r="J52" i="108" s="1"/>
  <c r="Q50" i="108"/>
  <c r="M50" i="108"/>
  <c r="I50" i="108"/>
  <c r="E50" i="108"/>
  <c r="N49" i="108"/>
  <c r="M49" i="108"/>
  <c r="L49" i="108"/>
  <c r="K49" i="108"/>
  <c r="J49" i="108"/>
  <c r="I49" i="108"/>
  <c r="H49" i="108"/>
  <c r="G49" i="108"/>
  <c r="F49" i="108"/>
  <c r="E49" i="108"/>
  <c r="D49" i="108"/>
  <c r="C49" i="108"/>
  <c r="O49" i="108" s="1"/>
  <c r="O48" i="108"/>
  <c r="O47" i="108"/>
  <c r="G69" i="108" s="1"/>
  <c r="H69" i="108" s="1"/>
  <c r="O46" i="108"/>
  <c r="O45" i="108"/>
  <c r="O44" i="108"/>
  <c r="G56" i="108" s="1"/>
  <c r="O43" i="108"/>
  <c r="O42" i="108"/>
  <c r="G78" i="108" s="1"/>
  <c r="O41" i="108"/>
  <c r="O40" i="108"/>
  <c r="O39" i="108"/>
  <c r="O38" i="108"/>
  <c r="Q37" i="108"/>
  <c r="N37" i="108"/>
  <c r="M37" i="108"/>
  <c r="L37" i="108"/>
  <c r="L50" i="108" s="1"/>
  <c r="K37" i="108"/>
  <c r="K50" i="108" s="1"/>
  <c r="J37" i="108"/>
  <c r="I37" i="108"/>
  <c r="H37" i="108"/>
  <c r="H50" i="108" s="1"/>
  <c r="G37" i="108"/>
  <c r="F37" i="108"/>
  <c r="E37" i="108"/>
  <c r="D37" i="108"/>
  <c r="D50" i="108" s="1"/>
  <c r="C37" i="108"/>
  <c r="O36" i="108"/>
  <c r="O35" i="108"/>
  <c r="O34" i="108"/>
  <c r="O33" i="108"/>
  <c r="O32" i="108"/>
  <c r="O31" i="108"/>
  <c r="O30" i="108"/>
  <c r="O29" i="108"/>
  <c r="O28" i="108"/>
  <c r="O27" i="108"/>
  <c r="O26" i="108"/>
  <c r="O25" i="108"/>
  <c r="O24" i="108"/>
  <c r="O23" i="108"/>
  <c r="O22" i="108"/>
  <c r="O21" i="108"/>
  <c r="O20" i="108"/>
  <c r="O19" i="108"/>
  <c r="O18" i="108"/>
  <c r="G57" i="108" s="1"/>
  <c r="O17" i="108"/>
  <c r="O16" i="108"/>
  <c r="O15" i="108"/>
  <c r="O14" i="108"/>
  <c r="O13" i="108"/>
  <c r="O12" i="108"/>
  <c r="O11" i="108"/>
  <c r="O10" i="108"/>
  <c r="O9" i="108"/>
  <c r="A8" i="108"/>
  <c r="H94" i="107"/>
  <c r="C89" i="107"/>
  <c r="J88" i="107"/>
  <c r="C88" i="107"/>
  <c r="H82" i="107"/>
  <c r="H79" i="107"/>
  <c r="H76" i="107"/>
  <c r="H75" i="107"/>
  <c r="H74" i="107"/>
  <c r="H73" i="107"/>
  <c r="G73" i="107"/>
  <c r="H72" i="107"/>
  <c r="H71" i="107"/>
  <c r="G69" i="107"/>
  <c r="H69" i="107" s="1"/>
  <c r="M50" i="107"/>
  <c r="I50" i="107"/>
  <c r="E50" i="107"/>
  <c r="N49" i="107"/>
  <c r="M49" i="107"/>
  <c r="L49" i="107"/>
  <c r="K49" i="107"/>
  <c r="J49" i="107"/>
  <c r="I49" i="107"/>
  <c r="H49" i="107"/>
  <c r="G49" i="107"/>
  <c r="F49" i="107"/>
  <c r="E49" i="107"/>
  <c r="D49" i="107"/>
  <c r="C49" i="107"/>
  <c r="O48" i="107"/>
  <c r="O47" i="107"/>
  <c r="O46" i="107"/>
  <c r="O45" i="107"/>
  <c r="O44" i="107"/>
  <c r="G56" i="107" s="1"/>
  <c r="O43" i="107"/>
  <c r="G68" i="107" s="1"/>
  <c r="G77" i="107" s="1"/>
  <c r="O42" i="107"/>
  <c r="G78" i="107" s="1"/>
  <c r="O41" i="107"/>
  <c r="O40" i="107"/>
  <c r="G70" i="107" s="1"/>
  <c r="H70" i="107" s="1"/>
  <c r="O39" i="107"/>
  <c r="O38" i="107"/>
  <c r="G98" i="107" s="1"/>
  <c r="F89" i="1" s="1"/>
  <c r="P89" i="1" s="1"/>
  <c r="N37" i="107"/>
  <c r="M37" i="107"/>
  <c r="L37" i="107"/>
  <c r="L50" i="107" s="1"/>
  <c r="K37" i="107"/>
  <c r="K50" i="107" s="1"/>
  <c r="J37" i="107"/>
  <c r="I37" i="107"/>
  <c r="H37" i="107"/>
  <c r="H50" i="107" s="1"/>
  <c r="G37" i="107"/>
  <c r="J86" i="107" s="1"/>
  <c r="F37" i="107"/>
  <c r="E37" i="107"/>
  <c r="D37" i="107"/>
  <c r="D50" i="107" s="1"/>
  <c r="C37" i="107"/>
  <c r="C50" i="107" s="1"/>
  <c r="O36" i="107"/>
  <c r="O35" i="107"/>
  <c r="O34" i="107"/>
  <c r="O33" i="107"/>
  <c r="O32" i="107"/>
  <c r="O31" i="107"/>
  <c r="O30" i="107"/>
  <c r="O29" i="107"/>
  <c r="O28" i="107"/>
  <c r="O27" i="107"/>
  <c r="O26" i="107"/>
  <c r="O25" i="107"/>
  <c r="O24" i="107"/>
  <c r="O23" i="107"/>
  <c r="O22" i="107"/>
  <c r="O21" i="107"/>
  <c r="O20" i="107"/>
  <c r="O19" i="107"/>
  <c r="O18" i="107"/>
  <c r="G57" i="107" s="1"/>
  <c r="O17" i="107"/>
  <c r="O16" i="107"/>
  <c r="O15" i="107"/>
  <c r="O14" i="107"/>
  <c r="O13" i="107"/>
  <c r="O12" i="107"/>
  <c r="O11" i="107"/>
  <c r="O10" i="107"/>
  <c r="O9" i="107"/>
  <c r="A8" i="107"/>
  <c r="H94" i="106"/>
  <c r="C89" i="106"/>
  <c r="C88" i="106"/>
  <c r="G83" i="106"/>
  <c r="H82" i="106"/>
  <c r="H79" i="106"/>
  <c r="H78" i="106"/>
  <c r="H76" i="106"/>
  <c r="H75" i="106"/>
  <c r="H74" i="106"/>
  <c r="H73" i="106"/>
  <c r="H72" i="106"/>
  <c r="H71" i="106"/>
  <c r="H69" i="106"/>
  <c r="G56" i="106"/>
  <c r="Q50" i="106"/>
  <c r="L50" i="106"/>
  <c r="H50" i="106"/>
  <c r="D50" i="106"/>
  <c r="N49" i="106"/>
  <c r="M49" i="106"/>
  <c r="L49" i="106"/>
  <c r="K49" i="106"/>
  <c r="J49" i="106"/>
  <c r="I49" i="106"/>
  <c r="H49" i="106"/>
  <c r="G49" i="106"/>
  <c r="F49" i="106"/>
  <c r="E49" i="106"/>
  <c r="D49" i="106"/>
  <c r="C49" i="106"/>
  <c r="O48" i="106"/>
  <c r="O47" i="106"/>
  <c r="O46" i="106"/>
  <c r="O45" i="106"/>
  <c r="O44" i="106"/>
  <c r="O43" i="106"/>
  <c r="G68" i="106" s="1"/>
  <c r="H68" i="106" s="1"/>
  <c r="O42" i="106"/>
  <c r="O41" i="106"/>
  <c r="O40" i="106"/>
  <c r="G70" i="106" s="1"/>
  <c r="H70" i="106" s="1"/>
  <c r="Q39" i="106"/>
  <c r="O39" i="106"/>
  <c r="O38" i="106"/>
  <c r="G98" i="106" s="1"/>
  <c r="F90" i="1" s="1"/>
  <c r="P90" i="1" s="1"/>
  <c r="N37" i="106"/>
  <c r="N50" i="106" s="1"/>
  <c r="M37" i="106"/>
  <c r="J88" i="106" s="1"/>
  <c r="L37" i="106"/>
  <c r="K37" i="106"/>
  <c r="K50" i="106" s="1"/>
  <c r="J37" i="106"/>
  <c r="J50" i="106" s="1"/>
  <c r="I37" i="106"/>
  <c r="H37" i="106"/>
  <c r="G37" i="106"/>
  <c r="F37" i="106"/>
  <c r="F50" i="106" s="1"/>
  <c r="E37" i="106"/>
  <c r="D37" i="106"/>
  <c r="C37" i="106"/>
  <c r="O36" i="106"/>
  <c r="O35" i="106"/>
  <c r="O34" i="106"/>
  <c r="O33" i="106"/>
  <c r="O32" i="106"/>
  <c r="O31" i="106"/>
  <c r="O30" i="106"/>
  <c r="O29" i="106"/>
  <c r="O28" i="106"/>
  <c r="O27" i="106"/>
  <c r="O26" i="106"/>
  <c r="O25" i="106"/>
  <c r="O24" i="106"/>
  <c r="O23" i="106"/>
  <c r="O22" i="106"/>
  <c r="O21" i="106"/>
  <c r="O20" i="106"/>
  <c r="O19" i="106"/>
  <c r="O18" i="106"/>
  <c r="Q38" i="106" s="1"/>
  <c r="O17" i="106"/>
  <c r="O16" i="106"/>
  <c r="O15" i="106"/>
  <c r="O14" i="106"/>
  <c r="O13" i="106"/>
  <c r="O12" i="106"/>
  <c r="O11" i="106"/>
  <c r="O10" i="106"/>
  <c r="O9" i="106"/>
  <c r="A8" i="106"/>
  <c r="H95" i="105"/>
  <c r="C90" i="105"/>
  <c r="C89" i="105"/>
  <c r="H83" i="105"/>
  <c r="H80" i="105"/>
  <c r="H78" i="105"/>
  <c r="H76" i="105"/>
  <c r="H75" i="105"/>
  <c r="H74" i="105"/>
  <c r="H73" i="105"/>
  <c r="H72" i="105"/>
  <c r="H71" i="105"/>
  <c r="H69" i="105"/>
  <c r="G57" i="105"/>
  <c r="L50" i="105"/>
  <c r="H50" i="105"/>
  <c r="D50" i="105"/>
  <c r="N49" i="105"/>
  <c r="M49" i="105"/>
  <c r="L49" i="105"/>
  <c r="K49" i="105"/>
  <c r="J49" i="105"/>
  <c r="I49" i="105"/>
  <c r="H49" i="105"/>
  <c r="G49" i="105"/>
  <c r="F49" i="105"/>
  <c r="E49" i="105"/>
  <c r="D49" i="105"/>
  <c r="C49" i="105"/>
  <c r="O48" i="105"/>
  <c r="O47" i="105"/>
  <c r="O46" i="105"/>
  <c r="O45" i="105"/>
  <c r="O44" i="105"/>
  <c r="G56" i="105" s="1"/>
  <c r="O43" i="105"/>
  <c r="G68" i="105" s="1"/>
  <c r="H77" i="105" s="1"/>
  <c r="O42" i="105"/>
  <c r="G79" i="105" s="1"/>
  <c r="O41" i="105"/>
  <c r="O40" i="105"/>
  <c r="G70" i="105" s="1"/>
  <c r="H70" i="105" s="1"/>
  <c r="O39" i="105"/>
  <c r="O38" i="105"/>
  <c r="G99" i="105" s="1"/>
  <c r="F91" i="1" s="1"/>
  <c r="P91" i="1" s="1"/>
  <c r="T37" i="105"/>
  <c r="N37" i="105"/>
  <c r="N50" i="105" s="1"/>
  <c r="M37" i="105"/>
  <c r="M50" i="105" s="1"/>
  <c r="L37" i="105"/>
  <c r="K37" i="105"/>
  <c r="K50" i="105" s="1"/>
  <c r="J37" i="105"/>
  <c r="I37" i="105"/>
  <c r="I50" i="105" s="1"/>
  <c r="H37" i="105"/>
  <c r="G37" i="105"/>
  <c r="G50" i="105" s="1"/>
  <c r="F37" i="105"/>
  <c r="F50" i="105" s="1"/>
  <c r="E37" i="105"/>
  <c r="E50" i="105" s="1"/>
  <c r="D37" i="105"/>
  <c r="C37" i="105"/>
  <c r="C50" i="105" s="1"/>
  <c r="O36" i="105"/>
  <c r="O35" i="105"/>
  <c r="O34" i="105"/>
  <c r="O33" i="105"/>
  <c r="O32" i="105"/>
  <c r="O31" i="105"/>
  <c r="O30" i="105"/>
  <c r="O29" i="105"/>
  <c r="O28" i="105"/>
  <c r="O27" i="105"/>
  <c r="O26" i="105"/>
  <c r="O25" i="105"/>
  <c r="O24" i="105"/>
  <c r="O23" i="105"/>
  <c r="O22" i="105"/>
  <c r="O21" i="105"/>
  <c r="O20" i="105"/>
  <c r="O19" i="105"/>
  <c r="O18" i="105"/>
  <c r="O17" i="105"/>
  <c r="O16" i="105"/>
  <c r="O15" i="105"/>
  <c r="O14" i="105"/>
  <c r="O13" i="105"/>
  <c r="O12" i="105"/>
  <c r="O11" i="105"/>
  <c r="O10" i="105"/>
  <c r="O9" i="105"/>
  <c r="A8" i="105"/>
  <c r="H95" i="104"/>
  <c r="C90" i="104"/>
  <c r="C89" i="104"/>
  <c r="G84" i="104"/>
  <c r="H83" i="104"/>
  <c r="H80" i="104"/>
  <c r="H79" i="104"/>
  <c r="H77" i="104"/>
  <c r="H76" i="104"/>
  <c r="H75" i="104"/>
  <c r="H74" i="104"/>
  <c r="H73" i="104"/>
  <c r="H72" i="104"/>
  <c r="H70" i="104"/>
  <c r="G58" i="104"/>
  <c r="J51" i="104"/>
  <c r="J52" i="104" s="1"/>
  <c r="H50" i="104"/>
  <c r="D50" i="104"/>
  <c r="N49" i="104"/>
  <c r="M49" i="104"/>
  <c r="L49" i="104"/>
  <c r="K49" i="104"/>
  <c r="J49" i="104"/>
  <c r="I49" i="104"/>
  <c r="H49" i="104"/>
  <c r="G49" i="104"/>
  <c r="F49" i="104"/>
  <c r="E49" i="104"/>
  <c r="D49" i="104"/>
  <c r="C49" i="104"/>
  <c r="O48" i="104"/>
  <c r="O47" i="104"/>
  <c r="O46" i="104"/>
  <c r="O45" i="104"/>
  <c r="O44" i="104"/>
  <c r="G56" i="104" s="1"/>
  <c r="O43" i="104"/>
  <c r="G69" i="104" s="1"/>
  <c r="H69" i="104" s="1"/>
  <c r="O42" i="104"/>
  <c r="O41" i="104"/>
  <c r="O40" i="104"/>
  <c r="G71" i="104" s="1"/>
  <c r="H71" i="104" s="1"/>
  <c r="O39" i="104"/>
  <c r="O38" i="104"/>
  <c r="G99" i="104" s="1"/>
  <c r="N37" i="104"/>
  <c r="N50" i="104" s="1"/>
  <c r="M37" i="104"/>
  <c r="L37" i="104"/>
  <c r="J88" i="104" s="1"/>
  <c r="K37" i="104"/>
  <c r="K50" i="104" s="1"/>
  <c r="J37" i="104"/>
  <c r="J50" i="104" s="1"/>
  <c r="I37" i="104"/>
  <c r="I50" i="104" s="1"/>
  <c r="H37" i="104"/>
  <c r="G37" i="104"/>
  <c r="F37" i="104"/>
  <c r="F50" i="104" s="1"/>
  <c r="E37" i="104"/>
  <c r="E50" i="104" s="1"/>
  <c r="D37" i="104"/>
  <c r="C37" i="104"/>
  <c r="C50" i="104" s="1"/>
  <c r="O36" i="104"/>
  <c r="O35" i="104"/>
  <c r="O34" i="104"/>
  <c r="O33" i="104"/>
  <c r="O32" i="104"/>
  <c r="O31" i="104"/>
  <c r="O30" i="104"/>
  <c r="O29" i="104"/>
  <c r="O28" i="104"/>
  <c r="O27" i="104"/>
  <c r="O26" i="104"/>
  <c r="O25" i="104"/>
  <c r="O24" i="104"/>
  <c r="O23" i="104"/>
  <c r="O22" i="104"/>
  <c r="O21" i="104"/>
  <c r="O20" i="104"/>
  <c r="O19" i="104"/>
  <c r="O18" i="104"/>
  <c r="O17" i="104"/>
  <c r="O16" i="104"/>
  <c r="O15" i="104"/>
  <c r="O14" i="104"/>
  <c r="O13" i="104"/>
  <c r="O12" i="104"/>
  <c r="O11" i="104"/>
  <c r="O10" i="104"/>
  <c r="O9" i="104"/>
  <c r="A8" i="104"/>
  <c r="H96" i="103"/>
  <c r="C91" i="103"/>
  <c r="C90" i="103"/>
  <c r="G85" i="103"/>
  <c r="H84" i="103"/>
  <c r="H81" i="103"/>
  <c r="G80" i="103"/>
  <c r="H80" i="103" s="1"/>
  <c r="H78" i="103"/>
  <c r="H77" i="103"/>
  <c r="H76" i="103"/>
  <c r="H75" i="103"/>
  <c r="H74" i="103"/>
  <c r="H73" i="103"/>
  <c r="H71" i="103"/>
  <c r="G71" i="103"/>
  <c r="N51" i="103"/>
  <c r="M51" i="103"/>
  <c r="L51" i="103"/>
  <c r="K51" i="103"/>
  <c r="J51" i="103"/>
  <c r="I51" i="103"/>
  <c r="H51" i="103"/>
  <c r="G51" i="103"/>
  <c r="F51" i="103"/>
  <c r="E51" i="103"/>
  <c r="D51" i="103"/>
  <c r="C51" i="103"/>
  <c r="O50" i="103"/>
  <c r="O49" i="103"/>
  <c r="O47" i="103"/>
  <c r="O46" i="103"/>
  <c r="O45" i="103"/>
  <c r="G58" i="103" s="1"/>
  <c r="O44" i="103"/>
  <c r="G70" i="103" s="1"/>
  <c r="O43" i="103"/>
  <c r="O74" i="103" s="1"/>
  <c r="O42" i="103"/>
  <c r="O41" i="103"/>
  <c r="G72" i="103" s="1"/>
  <c r="H72" i="103" s="1"/>
  <c r="O40" i="103"/>
  <c r="O39" i="103"/>
  <c r="G100" i="103" s="1"/>
  <c r="F93" i="1" s="1"/>
  <c r="P93" i="1" s="1"/>
  <c r="C38" i="103"/>
  <c r="O37" i="103"/>
  <c r="O36" i="103"/>
  <c r="O35" i="103"/>
  <c r="O34" i="103"/>
  <c r="O33" i="103"/>
  <c r="O32" i="103"/>
  <c r="O31" i="103"/>
  <c r="O30" i="103"/>
  <c r="O29" i="103"/>
  <c r="O28" i="103"/>
  <c r="O27" i="103"/>
  <c r="O26" i="103"/>
  <c r="O25" i="103"/>
  <c r="O24" i="103"/>
  <c r="O23" i="103"/>
  <c r="O22" i="103"/>
  <c r="O21" i="103"/>
  <c r="O20" i="103"/>
  <c r="O19" i="103"/>
  <c r="O18" i="103"/>
  <c r="G59" i="103" s="1"/>
  <c r="O17" i="103"/>
  <c r="E16" i="103"/>
  <c r="F16" i="103" s="1"/>
  <c r="G16" i="103" s="1"/>
  <c r="H16" i="103" s="1"/>
  <c r="I16" i="103" s="1"/>
  <c r="J16" i="103" s="1"/>
  <c r="K16" i="103" s="1"/>
  <c r="L16" i="103" s="1"/>
  <c r="M16" i="103" s="1"/>
  <c r="N16" i="103" s="1"/>
  <c r="D16" i="103"/>
  <c r="E15" i="103"/>
  <c r="F15" i="103" s="1"/>
  <c r="G15" i="103" s="1"/>
  <c r="H15" i="103" s="1"/>
  <c r="H38" i="103" s="1"/>
  <c r="H52" i="103" s="1"/>
  <c r="D15" i="103"/>
  <c r="O14" i="103"/>
  <c r="O13" i="103"/>
  <c r="O12" i="103"/>
  <c r="N11" i="103"/>
  <c r="M11" i="103"/>
  <c r="L11" i="103"/>
  <c r="K11" i="103"/>
  <c r="O11" i="103" s="1"/>
  <c r="F11" i="103"/>
  <c r="E11" i="103"/>
  <c r="O10" i="103"/>
  <c r="D9" i="103"/>
  <c r="A8" i="103"/>
  <c r="G99" i="102"/>
  <c r="H95" i="102"/>
  <c r="H90" i="102"/>
  <c r="F90" i="102"/>
  <c r="C90" i="102"/>
  <c r="C89" i="102"/>
  <c r="G84" i="102"/>
  <c r="H83" i="102"/>
  <c r="H80" i="102"/>
  <c r="H79" i="102"/>
  <c r="H77" i="102"/>
  <c r="H76" i="102"/>
  <c r="H75" i="102"/>
  <c r="H74" i="102"/>
  <c r="H73" i="102"/>
  <c r="H72" i="102"/>
  <c r="G55" i="102"/>
  <c r="Q50" i="102"/>
  <c r="C49" i="102"/>
  <c r="N48" i="102"/>
  <c r="J48" i="102"/>
  <c r="K48" i="102" s="1"/>
  <c r="L48" i="102" s="1"/>
  <c r="M48" i="102" s="1"/>
  <c r="G48" i="102"/>
  <c r="H48" i="102" s="1"/>
  <c r="I48" i="102" s="1"/>
  <c r="D48" i="102"/>
  <c r="O48" i="102" s="1"/>
  <c r="L47" i="102"/>
  <c r="M47" i="102" s="1"/>
  <c r="N47" i="102" s="1"/>
  <c r="H47" i="102"/>
  <c r="I47" i="102" s="1"/>
  <c r="J47" i="102" s="1"/>
  <c r="K47" i="102" s="1"/>
  <c r="G47" i="102"/>
  <c r="M46" i="102"/>
  <c r="N46" i="102" s="1"/>
  <c r="I46" i="102"/>
  <c r="J46" i="102" s="1"/>
  <c r="K46" i="102" s="1"/>
  <c r="L46" i="102" s="1"/>
  <c r="E46" i="102"/>
  <c r="F46" i="102" s="1"/>
  <c r="G46" i="102" s="1"/>
  <c r="H46" i="102" s="1"/>
  <c r="D46" i="102"/>
  <c r="M45" i="102"/>
  <c r="N45" i="102" s="1"/>
  <c r="I45" i="102"/>
  <c r="J45" i="102" s="1"/>
  <c r="K45" i="102" s="1"/>
  <c r="L45" i="102" s="1"/>
  <c r="E45" i="102"/>
  <c r="F45" i="102" s="1"/>
  <c r="G45" i="102" s="1"/>
  <c r="H45" i="102" s="1"/>
  <c r="D45" i="102"/>
  <c r="L44" i="102"/>
  <c r="M44" i="102" s="1"/>
  <c r="H44" i="102"/>
  <c r="I44" i="102" s="1"/>
  <c r="J44" i="102" s="1"/>
  <c r="K44" i="102" s="1"/>
  <c r="E44" i="102"/>
  <c r="D44" i="102"/>
  <c r="N43" i="102"/>
  <c r="J43" i="102"/>
  <c r="K43" i="102" s="1"/>
  <c r="L43" i="102" s="1"/>
  <c r="M43" i="102" s="1"/>
  <c r="E43" i="102"/>
  <c r="D43" i="102"/>
  <c r="N42" i="102"/>
  <c r="J42" i="102"/>
  <c r="K42" i="102" s="1"/>
  <c r="L42" i="102" s="1"/>
  <c r="M42" i="102" s="1"/>
  <c r="F42" i="102"/>
  <c r="G42" i="102" s="1"/>
  <c r="H42" i="102" s="1"/>
  <c r="I42" i="102" s="1"/>
  <c r="E42" i="102"/>
  <c r="D42" i="102"/>
  <c r="F41" i="102"/>
  <c r="E41" i="102"/>
  <c r="D41" i="102"/>
  <c r="O40" i="102"/>
  <c r="G71" i="102" s="1"/>
  <c r="H71" i="102" s="1"/>
  <c r="O39" i="102"/>
  <c r="O38" i="102"/>
  <c r="Q37" i="102"/>
  <c r="F37" i="102"/>
  <c r="O36" i="102"/>
  <c r="O35" i="102"/>
  <c r="O34" i="102"/>
  <c r="O33" i="102"/>
  <c r="O32" i="102"/>
  <c r="O31" i="102"/>
  <c r="O30" i="102"/>
  <c r="O29" i="102"/>
  <c r="O28" i="102"/>
  <c r="O27" i="102"/>
  <c r="O26" i="102"/>
  <c r="O25" i="102"/>
  <c r="O24" i="102"/>
  <c r="O23" i="102"/>
  <c r="O22" i="102"/>
  <c r="O21" i="102"/>
  <c r="O20" i="102"/>
  <c r="H19" i="102"/>
  <c r="G19" i="102"/>
  <c r="F19" i="102"/>
  <c r="D19" i="102"/>
  <c r="C19" i="102"/>
  <c r="O18" i="102"/>
  <c r="G58" i="102" s="1"/>
  <c r="O17" i="102"/>
  <c r="G16" i="102"/>
  <c r="H16" i="102" s="1"/>
  <c r="I16" i="102" s="1"/>
  <c r="J16" i="102" s="1"/>
  <c r="K16" i="102" s="1"/>
  <c r="L16" i="102" s="1"/>
  <c r="M16" i="102" s="1"/>
  <c r="N16" i="102" s="1"/>
  <c r="F16" i="102"/>
  <c r="E16" i="102"/>
  <c r="D16" i="102"/>
  <c r="O15" i="102"/>
  <c r="O14" i="102"/>
  <c r="O13" i="102"/>
  <c r="F12" i="102"/>
  <c r="G12" i="102" s="1"/>
  <c r="E12" i="102"/>
  <c r="D12" i="102"/>
  <c r="O11" i="102"/>
  <c r="O10" i="102"/>
  <c r="K10" i="102"/>
  <c r="L10" i="102" s="1"/>
  <c r="M10" i="102" s="1"/>
  <c r="N10" i="102" s="1"/>
  <c r="J10" i="102"/>
  <c r="I10" i="102"/>
  <c r="H10" i="102"/>
  <c r="E10" i="102"/>
  <c r="D10" i="102"/>
  <c r="I9" i="102"/>
  <c r="H9" i="102"/>
  <c r="E9" i="102"/>
  <c r="D9" i="102"/>
  <c r="D37" i="102" s="1"/>
  <c r="A8" i="102"/>
  <c r="H95" i="101"/>
  <c r="C90" i="101"/>
  <c r="C89" i="101"/>
  <c r="G84" i="101"/>
  <c r="H83" i="101"/>
  <c r="H80" i="101"/>
  <c r="H79" i="101"/>
  <c r="H77" i="101"/>
  <c r="H76" i="101"/>
  <c r="H75" i="101"/>
  <c r="H74" i="101"/>
  <c r="H73" i="101"/>
  <c r="H72" i="101"/>
  <c r="O70" i="101"/>
  <c r="H70" i="101"/>
  <c r="O69" i="101"/>
  <c r="Q50" i="101"/>
  <c r="G50" i="101"/>
  <c r="C50" i="101"/>
  <c r="N49" i="101"/>
  <c r="M49" i="101"/>
  <c r="L49" i="101"/>
  <c r="K49" i="101"/>
  <c r="J49" i="101"/>
  <c r="I49" i="101"/>
  <c r="H49" i="101"/>
  <c r="G49" i="101"/>
  <c r="F49" i="101"/>
  <c r="E49" i="101"/>
  <c r="D49" i="101"/>
  <c r="C49" i="101"/>
  <c r="O48" i="101"/>
  <c r="O47" i="101"/>
  <c r="O46" i="101"/>
  <c r="O45" i="101"/>
  <c r="O44" i="101"/>
  <c r="G56" i="101" s="1"/>
  <c r="O43" i="101"/>
  <c r="G69" i="101" s="1"/>
  <c r="O42" i="101"/>
  <c r="O41" i="101"/>
  <c r="O40" i="101"/>
  <c r="G71" i="101" s="1"/>
  <c r="H71" i="101" s="1"/>
  <c r="O39" i="101"/>
  <c r="O38" i="101"/>
  <c r="G99" i="101" s="1"/>
  <c r="F95" i="1" s="1"/>
  <c r="P95" i="1" s="1"/>
  <c r="L37" i="101"/>
  <c r="J37" i="101"/>
  <c r="I37" i="101"/>
  <c r="I50" i="101" s="1"/>
  <c r="H37" i="101"/>
  <c r="H50" i="101" s="1"/>
  <c r="G37" i="101"/>
  <c r="F37" i="101"/>
  <c r="F50" i="101" s="1"/>
  <c r="E37" i="101"/>
  <c r="E50" i="101" s="1"/>
  <c r="D37" i="101"/>
  <c r="D50" i="101" s="1"/>
  <c r="C37" i="101"/>
  <c r="O36" i="101"/>
  <c r="O35" i="101"/>
  <c r="O34" i="101"/>
  <c r="O33" i="101"/>
  <c r="O32" i="101"/>
  <c r="O31" i="101"/>
  <c r="O30" i="101"/>
  <c r="O29" i="101"/>
  <c r="O28" i="101"/>
  <c r="O27" i="101"/>
  <c r="O26" i="101"/>
  <c r="O25" i="101"/>
  <c r="O24" i="101"/>
  <c r="O23" i="101"/>
  <c r="O22" i="101"/>
  <c r="O21" i="101"/>
  <c r="O20" i="101"/>
  <c r="O19" i="101"/>
  <c r="R85" i="101" s="1"/>
  <c r="R88" i="101" s="1"/>
  <c r="O18" i="101"/>
  <c r="G58" i="101" s="1"/>
  <c r="O17" i="101"/>
  <c r="O16" i="101"/>
  <c r="O15" i="101"/>
  <c r="O14" i="101"/>
  <c r="R86" i="101" s="1"/>
  <c r="O13" i="101"/>
  <c r="O12" i="101"/>
  <c r="N11" i="101"/>
  <c r="N37" i="101" s="1"/>
  <c r="M11" i="101"/>
  <c r="M37" i="101" s="1"/>
  <c r="L11" i="101"/>
  <c r="K11" i="101"/>
  <c r="K37" i="101" s="1"/>
  <c r="K50" i="101" s="1"/>
  <c r="O10" i="101"/>
  <c r="O9" i="101"/>
  <c r="A8" i="101"/>
  <c r="H95" i="100"/>
  <c r="C90" i="100"/>
  <c r="C89" i="100"/>
  <c r="H83" i="100"/>
  <c r="H82" i="100"/>
  <c r="H80" i="100"/>
  <c r="H77" i="100"/>
  <c r="H76" i="100"/>
  <c r="H75" i="100"/>
  <c r="H74" i="100"/>
  <c r="H73" i="100"/>
  <c r="H72" i="100"/>
  <c r="G70" i="100"/>
  <c r="H70" i="100" s="1"/>
  <c r="G55" i="100"/>
  <c r="Q50" i="100"/>
  <c r="K50" i="100"/>
  <c r="G50" i="100"/>
  <c r="C50" i="100"/>
  <c r="N49" i="100"/>
  <c r="M49" i="100"/>
  <c r="L49" i="100"/>
  <c r="K49" i="100"/>
  <c r="J49" i="100"/>
  <c r="I49" i="100"/>
  <c r="H49" i="100"/>
  <c r="G49" i="100"/>
  <c r="F49" i="100"/>
  <c r="E49" i="100"/>
  <c r="D49" i="100"/>
  <c r="C49" i="100"/>
  <c r="O48" i="100"/>
  <c r="O47" i="100"/>
  <c r="O46" i="100"/>
  <c r="O45" i="100"/>
  <c r="O44" i="100"/>
  <c r="G56" i="100" s="1"/>
  <c r="O43" i="100"/>
  <c r="G69" i="100" s="1"/>
  <c r="O42" i="100"/>
  <c r="G79" i="100" s="1"/>
  <c r="O41" i="100"/>
  <c r="O40" i="100"/>
  <c r="G71" i="100" s="1"/>
  <c r="H71" i="100" s="1"/>
  <c r="O39" i="100"/>
  <c r="O38" i="100"/>
  <c r="G99" i="100" s="1"/>
  <c r="Q37" i="100"/>
  <c r="N37" i="100"/>
  <c r="N50" i="100" s="1"/>
  <c r="M37" i="100"/>
  <c r="L37" i="100"/>
  <c r="L50" i="100" s="1"/>
  <c r="K37" i="100"/>
  <c r="J37" i="100"/>
  <c r="J50" i="100" s="1"/>
  <c r="I37" i="100"/>
  <c r="I50" i="100" s="1"/>
  <c r="H37" i="100"/>
  <c r="H50" i="100" s="1"/>
  <c r="G37" i="100"/>
  <c r="F37" i="100"/>
  <c r="F50" i="100" s="1"/>
  <c r="E37" i="100"/>
  <c r="E50" i="100" s="1"/>
  <c r="D37" i="100"/>
  <c r="D50" i="100" s="1"/>
  <c r="C37" i="100"/>
  <c r="O36" i="100"/>
  <c r="O35" i="100"/>
  <c r="O34" i="100"/>
  <c r="O33" i="100"/>
  <c r="O32" i="100"/>
  <c r="O31" i="100"/>
  <c r="O30" i="100"/>
  <c r="O29" i="100"/>
  <c r="O28" i="100"/>
  <c r="O27" i="100"/>
  <c r="O26" i="100"/>
  <c r="O25" i="100"/>
  <c r="O24" i="100"/>
  <c r="O23" i="100"/>
  <c r="O22" i="100"/>
  <c r="O21" i="100"/>
  <c r="O20" i="100"/>
  <c r="O19" i="100"/>
  <c r="O18" i="100"/>
  <c r="G58" i="100" s="1"/>
  <c r="O17" i="100"/>
  <c r="O16" i="100"/>
  <c r="O15" i="100"/>
  <c r="O14" i="100"/>
  <c r="O13" i="100"/>
  <c r="O12" i="100"/>
  <c r="O11" i="100"/>
  <c r="O10" i="100"/>
  <c r="O9" i="100"/>
  <c r="A8" i="100"/>
  <c r="H94" i="99"/>
  <c r="C89" i="99"/>
  <c r="C88" i="99"/>
  <c r="J86" i="99"/>
  <c r="H82" i="99"/>
  <c r="H79" i="99"/>
  <c r="G78" i="99"/>
  <c r="H78" i="99" s="1"/>
  <c r="H76" i="99"/>
  <c r="H75" i="99"/>
  <c r="H74" i="99"/>
  <c r="H73" i="99"/>
  <c r="H72" i="99"/>
  <c r="H71" i="99"/>
  <c r="G69" i="99"/>
  <c r="H69" i="99" s="1"/>
  <c r="M50" i="99"/>
  <c r="I50" i="99"/>
  <c r="E50" i="99"/>
  <c r="N49" i="99"/>
  <c r="M49" i="99"/>
  <c r="L49" i="99"/>
  <c r="K49" i="99"/>
  <c r="J49" i="99"/>
  <c r="I49" i="99"/>
  <c r="H49" i="99"/>
  <c r="G49" i="99"/>
  <c r="F49" i="99"/>
  <c r="E49" i="99"/>
  <c r="D49" i="99"/>
  <c r="C49" i="99"/>
  <c r="O48" i="99"/>
  <c r="O47" i="99"/>
  <c r="O46" i="99"/>
  <c r="O45" i="99"/>
  <c r="O44" i="99"/>
  <c r="G56" i="99" s="1"/>
  <c r="O43" i="99"/>
  <c r="G68" i="99" s="1"/>
  <c r="O42" i="99"/>
  <c r="O41" i="99"/>
  <c r="O40" i="99"/>
  <c r="G70" i="99" s="1"/>
  <c r="H70" i="99" s="1"/>
  <c r="O39" i="99"/>
  <c r="O38" i="99"/>
  <c r="G98" i="99" s="1"/>
  <c r="F96" i="1" s="1"/>
  <c r="P96" i="1" s="1"/>
  <c r="N37" i="99"/>
  <c r="N50" i="99" s="1"/>
  <c r="M37" i="99"/>
  <c r="L37" i="99"/>
  <c r="L50" i="99" s="1"/>
  <c r="K37" i="99"/>
  <c r="K50" i="99" s="1"/>
  <c r="J37" i="99"/>
  <c r="I37" i="99"/>
  <c r="H37" i="99"/>
  <c r="H50" i="99" s="1"/>
  <c r="G37" i="99"/>
  <c r="G50" i="99" s="1"/>
  <c r="F37" i="99"/>
  <c r="F50" i="99" s="1"/>
  <c r="E37" i="99"/>
  <c r="D37" i="99"/>
  <c r="D50" i="99" s="1"/>
  <c r="C37" i="99"/>
  <c r="J85" i="99" s="1"/>
  <c r="O36" i="99"/>
  <c r="O35" i="99"/>
  <c r="O34" i="99"/>
  <c r="O33" i="99"/>
  <c r="O32" i="99"/>
  <c r="O31" i="99"/>
  <c r="O30" i="99"/>
  <c r="O29" i="99"/>
  <c r="O28" i="99"/>
  <c r="O27" i="99"/>
  <c r="O26" i="99"/>
  <c r="O25" i="99"/>
  <c r="O24" i="99"/>
  <c r="O23" i="99"/>
  <c r="O22" i="99"/>
  <c r="O21" i="99"/>
  <c r="O20" i="99"/>
  <c r="O19" i="99"/>
  <c r="O18" i="99"/>
  <c r="G57" i="99" s="1"/>
  <c r="O17" i="99"/>
  <c r="O16" i="99"/>
  <c r="O15" i="99"/>
  <c r="O14" i="99"/>
  <c r="O13" i="99"/>
  <c r="O12" i="99"/>
  <c r="O11" i="99"/>
  <c r="O10" i="99"/>
  <c r="O9" i="99"/>
  <c r="A8" i="99"/>
  <c r="H95" i="98"/>
  <c r="C90" i="98"/>
  <c r="C89" i="98"/>
  <c r="H83" i="98"/>
  <c r="H80" i="98"/>
  <c r="H79" i="98"/>
  <c r="H77" i="98"/>
  <c r="H76" i="98"/>
  <c r="H75" i="98"/>
  <c r="H74" i="98"/>
  <c r="H73" i="98"/>
  <c r="H72" i="98"/>
  <c r="H70" i="98"/>
  <c r="M50" i="98"/>
  <c r="I50" i="98"/>
  <c r="E50" i="98"/>
  <c r="N49" i="98"/>
  <c r="M49" i="98"/>
  <c r="L49" i="98"/>
  <c r="K49" i="98"/>
  <c r="J49" i="98"/>
  <c r="I49" i="98"/>
  <c r="H49" i="98"/>
  <c r="G49" i="98"/>
  <c r="F49" i="98"/>
  <c r="E49" i="98"/>
  <c r="D49" i="98"/>
  <c r="C49" i="98"/>
  <c r="O49" i="98" s="1"/>
  <c r="O48" i="98"/>
  <c r="O47" i="98"/>
  <c r="O46" i="98"/>
  <c r="O45" i="98"/>
  <c r="O44" i="98"/>
  <c r="G56" i="98" s="1"/>
  <c r="O43" i="98"/>
  <c r="G69" i="98" s="1"/>
  <c r="O42" i="98"/>
  <c r="G79" i="98" s="1"/>
  <c r="G84" i="98" s="1"/>
  <c r="O41" i="98"/>
  <c r="O40" i="98"/>
  <c r="G71" i="98" s="1"/>
  <c r="H71" i="98" s="1"/>
  <c r="O39" i="98"/>
  <c r="O38" i="98"/>
  <c r="G99" i="98" s="1"/>
  <c r="F97" i="1" s="1"/>
  <c r="P97" i="1" s="1"/>
  <c r="N37" i="98"/>
  <c r="N50" i="98" s="1"/>
  <c r="M37" i="98"/>
  <c r="L37" i="98"/>
  <c r="L50" i="98" s="1"/>
  <c r="K37" i="98"/>
  <c r="K50" i="98" s="1"/>
  <c r="J37" i="98"/>
  <c r="I37" i="98"/>
  <c r="H37" i="98"/>
  <c r="H50" i="98" s="1"/>
  <c r="G37" i="98"/>
  <c r="J87" i="98" s="1"/>
  <c r="F37" i="98"/>
  <c r="F50" i="98" s="1"/>
  <c r="E37" i="98"/>
  <c r="D37" i="98"/>
  <c r="D50" i="98" s="1"/>
  <c r="C37" i="98"/>
  <c r="O36" i="98"/>
  <c r="O35" i="98"/>
  <c r="O34" i="98"/>
  <c r="O33" i="98"/>
  <c r="O32" i="98"/>
  <c r="O31" i="98"/>
  <c r="O30" i="98"/>
  <c r="O29" i="98"/>
  <c r="O28" i="98"/>
  <c r="O27" i="98"/>
  <c r="O26" i="98"/>
  <c r="O25" i="98"/>
  <c r="O24" i="98"/>
  <c r="O23" i="98"/>
  <c r="O22" i="98"/>
  <c r="O21" i="98"/>
  <c r="O20" i="98"/>
  <c r="O19" i="98"/>
  <c r="O18" i="98"/>
  <c r="G58" i="98" s="1"/>
  <c r="O17" i="98"/>
  <c r="O16" i="98"/>
  <c r="O15" i="98"/>
  <c r="O14" i="98"/>
  <c r="O13" i="98"/>
  <c r="O12" i="98"/>
  <c r="O11" i="98"/>
  <c r="O10" i="98"/>
  <c r="O9" i="98"/>
  <c r="A8" i="98"/>
  <c r="H94" i="97"/>
  <c r="C89" i="97"/>
  <c r="C88" i="97"/>
  <c r="H82" i="97"/>
  <c r="H79" i="97"/>
  <c r="H76" i="97"/>
  <c r="H75" i="97"/>
  <c r="H74" i="97"/>
  <c r="H73" i="97"/>
  <c r="H72" i="97"/>
  <c r="H71" i="97"/>
  <c r="O69" i="97"/>
  <c r="G69" i="97"/>
  <c r="H69" i="97" s="1"/>
  <c r="G55" i="97"/>
  <c r="Q50" i="97"/>
  <c r="K50" i="97"/>
  <c r="G50" i="97"/>
  <c r="C50" i="97"/>
  <c r="N49" i="97"/>
  <c r="M49" i="97"/>
  <c r="L49" i="97"/>
  <c r="K49" i="97"/>
  <c r="J49" i="97"/>
  <c r="I49" i="97"/>
  <c r="H49" i="97"/>
  <c r="G49" i="97"/>
  <c r="F49" i="97"/>
  <c r="E49" i="97"/>
  <c r="D49" i="97"/>
  <c r="C49" i="97"/>
  <c r="O48" i="97"/>
  <c r="O47" i="97"/>
  <c r="O46" i="97"/>
  <c r="O45" i="97"/>
  <c r="O44" i="97"/>
  <c r="G56" i="97" s="1"/>
  <c r="O43" i="97"/>
  <c r="G68" i="97" s="1"/>
  <c r="G77" i="97" s="1"/>
  <c r="O42" i="97"/>
  <c r="O41" i="97"/>
  <c r="O40" i="97"/>
  <c r="G70" i="97" s="1"/>
  <c r="H70" i="97" s="1"/>
  <c r="O39" i="97"/>
  <c r="O38" i="97"/>
  <c r="G98" i="97" s="1"/>
  <c r="Q37" i="97"/>
  <c r="N37" i="97"/>
  <c r="N50" i="97" s="1"/>
  <c r="M37" i="97"/>
  <c r="L37" i="97"/>
  <c r="L50" i="97" s="1"/>
  <c r="K37" i="97"/>
  <c r="J37" i="97"/>
  <c r="J87" i="97" s="1"/>
  <c r="I37" i="97"/>
  <c r="I50" i="97" s="1"/>
  <c r="H37" i="97"/>
  <c r="H50" i="97" s="1"/>
  <c r="G37" i="97"/>
  <c r="F37" i="97"/>
  <c r="F50" i="97" s="1"/>
  <c r="E37" i="97"/>
  <c r="E50" i="97" s="1"/>
  <c r="D37" i="97"/>
  <c r="D50" i="97" s="1"/>
  <c r="C37" i="97"/>
  <c r="O36" i="97"/>
  <c r="O35" i="97"/>
  <c r="O34" i="97"/>
  <c r="O33" i="97"/>
  <c r="O32" i="97"/>
  <c r="O31" i="97"/>
  <c r="O30" i="97"/>
  <c r="O29" i="97"/>
  <c r="O28" i="97"/>
  <c r="O27" i="97"/>
  <c r="O26" i="97"/>
  <c r="O25" i="97"/>
  <c r="O24" i="97"/>
  <c r="O23" i="97"/>
  <c r="O22" i="97"/>
  <c r="O21" i="97"/>
  <c r="O20" i="97"/>
  <c r="O19" i="97"/>
  <c r="O18" i="97"/>
  <c r="G57" i="97" s="1"/>
  <c r="O17" i="97"/>
  <c r="O16" i="97"/>
  <c r="O15" i="97"/>
  <c r="O14" i="97"/>
  <c r="O13" i="97"/>
  <c r="O12" i="97"/>
  <c r="O11" i="97"/>
  <c r="O10" i="97"/>
  <c r="O9" i="97"/>
  <c r="A8" i="97"/>
  <c r="H94" i="96"/>
  <c r="C89" i="96"/>
  <c r="C88" i="96"/>
  <c r="G83" i="96"/>
  <c r="H82" i="96"/>
  <c r="H79" i="96"/>
  <c r="G78" i="96"/>
  <c r="H78" i="96" s="1"/>
  <c r="H76" i="96"/>
  <c r="H75" i="96"/>
  <c r="H74" i="96"/>
  <c r="H73" i="96"/>
  <c r="H72" i="96"/>
  <c r="H71" i="96"/>
  <c r="G69" i="96"/>
  <c r="H69" i="96" s="1"/>
  <c r="G55" i="96"/>
  <c r="Q50" i="96"/>
  <c r="Q52" i="96" s="1"/>
  <c r="L50" i="96"/>
  <c r="H50" i="96"/>
  <c r="D50" i="96"/>
  <c r="N49" i="96"/>
  <c r="M49" i="96"/>
  <c r="L49" i="96"/>
  <c r="K49" i="96"/>
  <c r="J49" i="96"/>
  <c r="I49" i="96"/>
  <c r="H49" i="96"/>
  <c r="G49" i="96"/>
  <c r="F49" i="96"/>
  <c r="E49" i="96"/>
  <c r="D49" i="96"/>
  <c r="C49" i="96"/>
  <c r="O49" i="96" s="1"/>
  <c r="O48" i="96"/>
  <c r="O47" i="96"/>
  <c r="O46" i="96"/>
  <c r="O45" i="96"/>
  <c r="O44" i="96"/>
  <c r="G56" i="96" s="1"/>
  <c r="O43" i="96"/>
  <c r="G68" i="96" s="1"/>
  <c r="O42" i="96"/>
  <c r="O41" i="96"/>
  <c r="O40" i="96"/>
  <c r="G70" i="96" s="1"/>
  <c r="H70" i="96" s="1"/>
  <c r="O39" i="96"/>
  <c r="O38" i="96"/>
  <c r="G98" i="96" s="1"/>
  <c r="Q37" i="96"/>
  <c r="N37" i="96"/>
  <c r="N50" i="96" s="1"/>
  <c r="M37" i="96"/>
  <c r="L37" i="96"/>
  <c r="K37" i="96"/>
  <c r="K50" i="96" s="1"/>
  <c r="J37" i="96"/>
  <c r="J50" i="96" s="1"/>
  <c r="I37" i="96"/>
  <c r="I50" i="96" s="1"/>
  <c r="H37" i="96"/>
  <c r="G37" i="96"/>
  <c r="G50" i="96" s="1"/>
  <c r="F37" i="96"/>
  <c r="F50" i="96" s="1"/>
  <c r="E37" i="96"/>
  <c r="E50" i="96" s="1"/>
  <c r="D37" i="96"/>
  <c r="C37" i="96"/>
  <c r="J85" i="96" s="1"/>
  <c r="O36" i="96"/>
  <c r="O35" i="96"/>
  <c r="O34" i="96"/>
  <c r="O33" i="96"/>
  <c r="O32" i="96"/>
  <c r="O31" i="96"/>
  <c r="O30" i="96"/>
  <c r="O29" i="96"/>
  <c r="O28" i="96"/>
  <c r="O27" i="96"/>
  <c r="O26" i="96"/>
  <c r="O25" i="96"/>
  <c r="O24" i="96"/>
  <c r="O23" i="96"/>
  <c r="O22" i="96"/>
  <c r="O21" i="96"/>
  <c r="O20" i="96"/>
  <c r="O19" i="96"/>
  <c r="O18" i="96"/>
  <c r="G57" i="96" s="1"/>
  <c r="O17" i="96"/>
  <c r="Q38" i="96" s="1"/>
  <c r="O16" i="96"/>
  <c r="O15" i="96"/>
  <c r="O14" i="96"/>
  <c r="O13" i="96"/>
  <c r="O12" i="96"/>
  <c r="O11" i="96"/>
  <c r="O10" i="96"/>
  <c r="O9" i="96"/>
  <c r="A8" i="96"/>
  <c r="H94" i="95"/>
  <c r="C89" i="95"/>
  <c r="C88" i="95"/>
  <c r="H82" i="95"/>
  <c r="H79" i="95"/>
  <c r="H76" i="95"/>
  <c r="H75" i="95"/>
  <c r="H74" i="95"/>
  <c r="H73" i="95"/>
  <c r="H72" i="95"/>
  <c r="H71" i="95"/>
  <c r="G68" i="95"/>
  <c r="G56" i="95"/>
  <c r="K50" i="95"/>
  <c r="G50" i="95"/>
  <c r="C50" i="95"/>
  <c r="N49" i="95"/>
  <c r="M49" i="95"/>
  <c r="L49" i="95"/>
  <c r="K49" i="95"/>
  <c r="J49" i="95"/>
  <c r="I49" i="95"/>
  <c r="H49" i="95"/>
  <c r="G49" i="95"/>
  <c r="F49" i="95"/>
  <c r="E49" i="95"/>
  <c r="D49" i="95"/>
  <c r="C49" i="95"/>
  <c r="O48" i="95"/>
  <c r="O47" i="95"/>
  <c r="G69" i="95" s="1"/>
  <c r="H69" i="95" s="1"/>
  <c r="O46" i="95"/>
  <c r="O45" i="95"/>
  <c r="O44" i="95"/>
  <c r="O43" i="95"/>
  <c r="O42" i="95"/>
  <c r="G78" i="95" s="1"/>
  <c r="G83" i="95" s="1"/>
  <c r="O41" i="95"/>
  <c r="O40" i="95"/>
  <c r="G70" i="95" s="1"/>
  <c r="H70" i="95" s="1"/>
  <c r="O39" i="95"/>
  <c r="O38" i="95"/>
  <c r="G98" i="95" s="1"/>
  <c r="F98" i="1" s="1"/>
  <c r="P98" i="1" s="1"/>
  <c r="N37" i="95"/>
  <c r="M37" i="95"/>
  <c r="J88" i="95" s="1"/>
  <c r="L37" i="95"/>
  <c r="L50" i="95" s="1"/>
  <c r="K37" i="95"/>
  <c r="J37" i="95"/>
  <c r="J50" i="95" s="1"/>
  <c r="I37" i="95"/>
  <c r="I50" i="95" s="1"/>
  <c r="H37" i="95"/>
  <c r="H50" i="95" s="1"/>
  <c r="G37" i="95"/>
  <c r="F37" i="95"/>
  <c r="F50" i="95" s="1"/>
  <c r="E37" i="95"/>
  <c r="E50" i="95" s="1"/>
  <c r="D37" i="95"/>
  <c r="D50" i="95" s="1"/>
  <c r="C37" i="95"/>
  <c r="O36" i="95"/>
  <c r="O35" i="95"/>
  <c r="O34" i="95"/>
  <c r="O33" i="95"/>
  <c r="O32" i="95"/>
  <c r="O31" i="95"/>
  <c r="O30" i="95"/>
  <c r="O29" i="95"/>
  <c r="O28" i="95"/>
  <c r="O27" i="95"/>
  <c r="O26" i="95"/>
  <c r="O25" i="95"/>
  <c r="O24" i="95"/>
  <c r="O23" i="95"/>
  <c r="O22" i="95"/>
  <c r="O21" i="95"/>
  <c r="O20" i="95"/>
  <c r="O19" i="95"/>
  <c r="O18" i="95"/>
  <c r="G57" i="95" s="1"/>
  <c r="O17" i="95"/>
  <c r="O16" i="95"/>
  <c r="O15" i="95"/>
  <c r="O14" i="95"/>
  <c r="O13" i="95"/>
  <c r="O12" i="95"/>
  <c r="O11" i="95"/>
  <c r="O10" i="95"/>
  <c r="O9" i="95"/>
  <c r="A8" i="95"/>
  <c r="H95" i="94"/>
  <c r="C90" i="94"/>
  <c r="C89" i="94"/>
  <c r="J87" i="94"/>
  <c r="H83" i="94"/>
  <c r="H80" i="94"/>
  <c r="H77" i="94"/>
  <c r="H76" i="94"/>
  <c r="H75" i="94"/>
  <c r="H74" i="94"/>
  <c r="H73" i="94"/>
  <c r="H72" i="94"/>
  <c r="G69" i="94"/>
  <c r="G56" i="94"/>
  <c r="K50" i="94"/>
  <c r="G50" i="94"/>
  <c r="C50" i="94"/>
  <c r="N49" i="94"/>
  <c r="M49" i="94"/>
  <c r="L49" i="94"/>
  <c r="K49" i="94"/>
  <c r="J49" i="94"/>
  <c r="I49" i="94"/>
  <c r="H49" i="94"/>
  <c r="G49" i="94"/>
  <c r="F49" i="94"/>
  <c r="E49" i="94"/>
  <c r="D49" i="94"/>
  <c r="C49" i="94"/>
  <c r="O48" i="94"/>
  <c r="O47" i="94"/>
  <c r="G70" i="94" s="1"/>
  <c r="H70" i="94" s="1"/>
  <c r="O46" i="94"/>
  <c r="O45" i="94"/>
  <c r="O44" i="94"/>
  <c r="O43" i="94"/>
  <c r="O42" i="94"/>
  <c r="O73" i="94" s="1"/>
  <c r="O41" i="94"/>
  <c r="O40" i="94"/>
  <c r="G71" i="94" s="1"/>
  <c r="H71" i="94" s="1"/>
  <c r="O39" i="94"/>
  <c r="O38" i="94"/>
  <c r="G99" i="94" s="1"/>
  <c r="F99" i="1" s="1"/>
  <c r="P99" i="1" s="1"/>
  <c r="N37" i="94"/>
  <c r="M37" i="94"/>
  <c r="J89" i="94" s="1"/>
  <c r="L37" i="94"/>
  <c r="K37" i="94"/>
  <c r="J37" i="94"/>
  <c r="J50" i="94" s="1"/>
  <c r="I37" i="94"/>
  <c r="I50" i="94" s="1"/>
  <c r="H37" i="94"/>
  <c r="G37" i="94"/>
  <c r="F37" i="94"/>
  <c r="F50" i="94" s="1"/>
  <c r="E37" i="94"/>
  <c r="E50" i="94" s="1"/>
  <c r="D37" i="94"/>
  <c r="C37" i="94"/>
  <c r="J86" i="94" s="1"/>
  <c r="O36" i="94"/>
  <c r="O35" i="94"/>
  <c r="O34" i="94"/>
  <c r="O33" i="94"/>
  <c r="O32" i="94"/>
  <c r="O31" i="94"/>
  <c r="O30" i="94"/>
  <c r="O29" i="94"/>
  <c r="O28" i="94"/>
  <c r="O27" i="94"/>
  <c r="O26" i="94"/>
  <c r="O25" i="94"/>
  <c r="O24" i="94"/>
  <c r="O23" i="94"/>
  <c r="O22" i="94"/>
  <c r="O21" i="94"/>
  <c r="O20" i="94"/>
  <c r="O19" i="94"/>
  <c r="O18" i="94"/>
  <c r="G58" i="94" s="1"/>
  <c r="O17" i="94"/>
  <c r="O16" i="94"/>
  <c r="O15" i="94"/>
  <c r="O14" i="94"/>
  <c r="O13" i="94"/>
  <c r="O12" i="94"/>
  <c r="O11" i="94"/>
  <c r="O10" i="94"/>
  <c r="O9" i="94"/>
  <c r="A8" i="94"/>
  <c r="H94" i="93"/>
  <c r="C89" i="93"/>
  <c r="C88" i="93"/>
  <c r="H82" i="93"/>
  <c r="H79" i="93"/>
  <c r="H76" i="93"/>
  <c r="H75" i="93"/>
  <c r="H74" i="93"/>
  <c r="H73" i="93"/>
  <c r="H72" i="93"/>
  <c r="H71" i="93"/>
  <c r="G70" i="93"/>
  <c r="H70" i="93" s="1"/>
  <c r="H69" i="93"/>
  <c r="G69" i="93"/>
  <c r="G68" i="93"/>
  <c r="H77" i="93" s="1"/>
  <c r="G56" i="93"/>
  <c r="K50" i="93"/>
  <c r="J50" i="93"/>
  <c r="I50" i="93"/>
  <c r="G50" i="93"/>
  <c r="F50" i="93"/>
  <c r="E50" i="93"/>
  <c r="C50" i="93"/>
  <c r="N49" i="93"/>
  <c r="N50" i="93" s="1"/>
  <c r="M49" i="93"/>
  <c r="M50" i="93" s="1"/>
  <c r="L49" i="93"/>
  <c r="K49" i="93"/>
  <c r="J49" i="93"/>
  <c r="I49" i="93"/>
  <c r="H49" i="93"/>
  <c r="G49" i="93"/>
  <c r="F49" i="93"/>
  <c r="E49" i="93"/>
  <c r="D49" i="93"/>
  <c r="C49" i="93"/>
  <c r="O49" i="93" s="1"/>
  <c r="O48" i="93"/>
  <c r="O47" i="93"/>
  <c r="O46" i="93"/>
  <c r="O45" i="93"/>
  <c r="O44" i="93"/>
  <c r="O43" i="93"/>
  <c r="O42" i="93"/>
  <c r="G78" i="93" s="1"/>
  <c r="O41" i="93"/>
  <c r="O40" i="93"/>
  <c r="O39" i="93"/>
  <c r="O38" i="93"/>
  <c r="G98" i="93" s="1"/>
  <c r="F100" i="1" s="1"/>
  <c r="P100" i="1" s="1"/>
  <c r="N37" i="93"/>
  <c r="M37" i="93"/>
  <c r="L37" i="93"/>
  <c r="L50" i="93" s="1"/>
  <c r="K37" i="93"/>
  <c r="J37" i="93"/>
  <c r="J51" i="93" s="1"/>
  <c r="J52" i="93" s="1"/>
  <c r="I37" i="93"/>
  <c r="H37" i="93"/>
  <c r="H50" i="93" s="1"/>
  <c r="G37" i="93"/>
  <c r="F37" i="93"/>
  <c r="E37" i="93"/>
  <c r="D37" i="93"/>
  <c r="D50" i="93" s="1"/>
  <c r="C37" i="93"/>
  <c r="O37" i="93" s="1"/>
  <c r="G53" i="93" s="1"/>
  <c r="O36" i="93"/>
  <c r="O35" i="93"/>
  <c r="O34" i="93"/>
  <c r="O33" i="93"/>
  <c r="O32" i="93"/>
  <c r="O31" i="93"/>
  <c r="O30" i="93"/>
  <c r="O29" i="93"/>
  <c r="O28" i="93"/>
  <c r="O27" i="93"/>
  <c r="O26" i="93"/>
  <c r="O25" i="93"/>
  <c r="O24" i="93"/>
  <c r="O23" i="93"/>
  <c r="O22" i="93"/>
  <c r="O21" i="93"/>
  <c r="O20" i="93"/>
  <c r="O19" i="93"/>
  <c r="O18" i="93"/>
  <c r="G57" i="93" s="1"/>
  <c r="O17" i="93"/>
  <c r="O16" i="93"/>
  <c r="O15" i="93"/>
  <c r="O14" i="93"/>
  <c r="O13" i="93"/>
  <c r="O12" i="93"/>
  <c r="O11" i="93"/>
  <c r="O10" i="93"/>
  <c r="O9" i="93"/>
  <c r="A8" i="93"/>
  <c r="H94" i="92"/>
  <c r="C89" i="92"/>
  <c r="C88" i="92"/>
  <c r="H82" i="92"/>
  <c r="H79" i="92"/>
  <c r="H76" i="92"/>
  <c r="H75" i="92"/>
  <c r="H74" i="92"/>
  <c r="H73" i="92"/>
  <c r="H72" i="92"/>
  <c r="H71" i="92"/>
  <c r="G69" i="92"/>
  <c r="H69" i="92" s="1"/>
  <c r="O68" i="92"/>
  <c r="Q50" i="92"/>
  <c r="N50" i="92"/>
  <c r="J50" i="92"/>
  <c r="F50" i="92"/>
  <c r="N49" i="92"/>
  <c r="M49" i="92"/>
  <c r="L49" i="92"/>
  <c r="K49" i="92"/>
  <c r="J49" i="92"/>
  <c r="I49" i="92"/>
  <c r="H49" i="92"/>
  <c r="G49" i="92"/>
  <c r="F49" i="92"/>
  <c r="E49" i="92"/>
  <c r="D49" i="92"/>
  <c r="C49" i="92"/>
  <c r="O49" i="92" s="1"/>
  <c r="O48" i="92"/>
  <c r="O47" i="92"/>
  <c r="O46" i="92"/>
  <c r="O45" i="92"/>
  <c r="O44" i="92"/>
  <c r="G56" i="92" s="1"/>
  <c r="O43" i="92"/>
  <c r="G68" i="92" s="1"/>
  <c r="O42" i="92"/>
  <c r="G78" i="92" s="1"/>
  <c r="O41" i="92"/>
  <c r="O40" i="92"/>
  <c r="G70" i="92" s="1"/>
  <c r="H70" i="92" s="1"/>
  <c r="O39" i="92"/>
  <c r="O38" i="92"/>
  <c r="G98" i="92" s="1"/>
  <c r="N37" i="92"/>
  <c r="M37" i="92"/>
  <c r="J88" i="92" s="1"/>
  <c r="L37" i="92"/>
  <c r="L50" i="92" s="1"/>
  <c r="K37" i="92"/>
  <c r="K50" i="92" s="1"/>
  <c r="J37" i="92"/>
  <c r="J51" i="92" s="1"/>
  <c r="J52" i="92" s="1"/>
  <c r="I37" i="92"/>
  <c r="I50" i="92" s="1"/>
  <c r="H37" i="92"/>
  <c r="H50" i="92" s="1"/>
  <c r="G37" i="92"/>
  <c r="J86" i="92" s="1"/>
  <c r="F37" i="92"/>
  <c r="E37" i="92"/>
  <c r="E50" i="92" s="1"/>
  <c r="D37" i="92"/>
  <c r="D50" i="92" s="1"/>
  <c r="C37" i="92"/>
  <c r="J85" i="92" s="1"/>
  <c r="O36" i="92"/>
  <c r="O35" i="92"/>
  <c r="O34" i="92"/>
  <c r="O33" i="92"/>
  <c r="O32" i="92"/>
  <c r="O31" i="92"/>
  <c r="O30" i="92"/>
  <c r="O29" i="92"/>
  <c r="O28" i="92"/>
  <c r="O27" i="92"/>
  <c r="O26" i="92"/>
  <c r="O25" i="92"/>
  <c r="O24" i="92"/>
  <c r="O23" i="92"/>
  <c r="O22" i="92"/>
  <c r="O21" i="92"/>
  <c r="O20" i="92"/>
  <c r="O19" i="92"/>
  <c r="O18" i="92"/>
  <c r="G57" i="92" s="1"/>
  <c r="O17" i="92"/>
  <c r="O16" i="92"/>
  <c r="O15" i="92"/>
  <c r="O14" i="92"/>
  <c r="O13" i="92"/>
  <c r="O12" i="92"/>
  <c r="O11" i="92"/>
  <c r="O10" i="92"/>
  <c r="O9" i="92"/>
  <c r="A8" i="92"/>
  <c r="H95" i="91"/>
  <c r="C90" i="91"/>
  <c r="J89" i="91"/>
  <c r="C89" i="91"/>
  <c r="H83" i="91"/>
  <c r="H80" i="91"/>
  <c r="H77" i="91"/>
  <c r="H76" i="91"/>
  <c r="H75" i="91"/>
  <c r="H74" i="91"/>
  <c r="H73" i="91"/>
  <c r="H72" i="91"/>
  <c r="H70" i="91"/>
  <c r="G69" i="91"/>
  <c r="G58" i="91"/>
  <c r="G57" i="91"/>
  <c r="J52" i="91"/>
  <c r="J53" i="91" s="1"/>
  <c r="K51" i="91"/>
  <c r="G51" i="91"/>
  <c r="C51" i="91"/>
  <c r="N50" i="91"/>
  <c r="M50" i="91"/>
  <c r="L50" i="91"/>
  <c r="K50" i="91"/>
  <c r="J50" i="91"/>
  <c r="I50" i="91"/>
  <c r="H50" i="91"/>
  <c r="G50" i="91"/>
  <c r="F50" i="91"/>
  <c r="E50" i="91"/>
  <c r="D50" i="91"/>
  <c r="C50" i="91"/>
  <c r="O49" i="91"/>
  <c r="O48" i="91"/>
  <c r="O47" i="91"/>
  <c r="O46" i="91"/>
  <c r="O45" i="91"/>
  <c r="O44" i="91"/>
  <c r="O43" i="91"/>
  <c r="O73" i="91" s="1"/>
  <c r="O42" i="91"/>
  <c r="O41" i="91"/>
  <c r="G71" i="91" s="1"/>
  <c r="H71" i="91" s="1"/>
  <c r="O40" i="91"/>
  <c r="O39" i="91"/>
  <c r="G99" i="91" s="1"/>
  <c r="F105" i="1" s="1"/>
  <c r="P105" i="1" s="1"/>
  <c r="N38" i="91"/>
  <c r="M38" i="91"/>
  <c r="M51" i="91" s="1"/>
  <c r="L38" i="91"/>
  <c r="L51" i="91" s="1"/>
  <c r="K38" i="91"/>
  <c r="J38" i="91"/>
  <c r="J88" i="91" s="1"/>
  <c r="I38" i="91"/>
  <c r="I51" i="91" s="1"/>
  <c r="H38" i="91"/>
  <c r="H51" i="91" s="1"/>
  <c r="G38" i="91"/>
  <c r="J87" i="91" s="1"/>
  <c r="F38" i="91"/>
  <c r="F51" i="91" s="1"/>
  <c r="E38" i="91"/>
  <c r="E51" i="91" s="1"/>
  <c r="D38" i="91"/>
  <c r="J86" i="91" s="1"/>
  <c r="C38" i="91"/>
  <c r="O38" i="91" s="1"/>
  <c r="G60" i="91" s="1"/>
  <c r="G65" i="91" s="1"/>
  <c r="O37" i="91"/>
  <c r="O36" i="91"/>
  <c r="O35" i="91"/>
  <c r="O34" i="91"/>
  <c r="O33" i="91"/>
  <c r="O32" i="91"/>
  <c r="O31" i="91"/>
  <c r="O30" i="91"/>
  <c r="O29" i="91"/>
  <c r="O28" i="91"/>
  <c r="O27" i="91"/>
  <c r="O26" i="91"/>
  <c r="O25" i="91"/>
  <c r="O24" i="91"/>
  <c r="O23" i="91"/>
  <c r="O22" i="91"/>
  <c r="O21" i="91"/>
  <c r="O20" i="91"/>
  <c r="O19" i="91"/>
  <c r="O18" i="91"/>
  <c r="O17" i="91"/>
  <c r="O16" i="91"/>
  <c r="O15" i="91"/>
  <c r="O14" i="91"/>
  <c r="O13" i="91"/>
  <c r="O12" i="91"/>
  <c r="O11" i="91"/>
  <c r="O10" i="91"/>
  <c r="O9" i="91"/>
  <c r="A8" i="91"/>
  <c r="H94" i="90"/>
  <c r="C89" i="90"/>
  <c r="C88" i="90"/>
  <c r="H82" i="90"/>
  <c r="H80" i="90"/>
  <c r="H79" i="90"/>
  <c r="H76" i="90"/>
  <c r="H75" i="90"/>
  <c r="H74" i="90"/>
  <c r="H73" i="90"/>
  <c r="O72" i="90"/>
  <c r="G78" i="90" s="1"/>
  <c r="H72" i="90"/>
  <c r="H71" i="90"/>
  <c r="G70" i="90"/>
  <c r="H70" i="90" s="1"/>
  <c r="H69" i="90"/>
  <c r="H50" i="90"/>
  <c r="D50" i="90"/>
  <c r="N49" i="90"/>
  <c r="M49" i="90"/>
  <c r="L49" i="90"/>
  <c r="K49" i="90"/>
  <c r="J49" i="90"/>
  <c r="I49" i="90"/>
  <c r="H49" i="90"/>
  <c r="G49" i="90"/>
  <c r="F49" i="90"/>
  <c r="E49" i="90"/>
  <c r="D49" i="90"/>
  <c r="C49" i="90"/>
  <c r="O48" i="90"/>
  <c r="O47" i="90"/>
  <c r="O46" i="90"/>
  <c r="O45" i="90"/>
  <c r="O44" i="90"/>
  <c r="G56" i="90" s="1"/>
  <c r="O43" i="90"/>
  <c r="G68" i="90" s="1"/>
  <c r="O42" i="90"/>
  <c r="O41" i="90"/>
  <c r="O40" i="90"/>
  <c r="O39" i="90"/>
  <c r="O38" i="90"/>
  <c r="G98" i="90" s="1"/>
  <c r="F106" i="1" s="1"/>
  <c r="P106" i="1" s="1"/>
  <c r="N37" i="90"/>
  <c r="N50" i="90" s="1"/>
  <c r="M37" i="90"/>
  <c r="J88" i="90" s="1"/>
  <c r="J37" i="90"/>
  <c r="J50" i="90" s="1"/>
  <c r="I37" i="90"/>
  <c r="J86" i="90" s="1"/>
  <c r="H37" i="90"/>
  <c r="G37" i="90"/>
  <c r="G50" i="90" s="1"/>
  <c r="F37" i="90"/>
  <c r="F50" i="90" s="1"/>
  <c r="E37" i="90"/>
  <c r="E50" i="90" s="1"/>
  <c r="D37" i="90"/>
  <c r="C37" i="90"/>
  <c r="J85" i="90" s="1"/>
  <c r="O36" i="90"/>
  <c r="O35" i="90"/>
  <c r="O34" i="90"/>
  <c r="O33" i="90"/>
  <c r="O32" i="90"/>
  <c r="O31" i="90"/>
  <c r="O30" i="90"/>
  <c r="O29" i="90"/>
  <c r="O28" i="90"/>
  <c r="O27" i="90"/>
  <c r="O26" i="90"/>
  <c r="O25" i="90"/>
  <c r="O24" i="90"/>
  <c r="O23" i="90"/>
  <c r="O22" i="90"/>
  <c r="O21" i="90"/>
  <c r="O20" i="90"/>
  <c r="O19" i="90"/>
  <c r="O18" i="90"/>
  <c r="O17" i="90"/>
  <c r="O16" i="90"/>
  <c r="O15" i="90"/>
  <c r="O14" i="90"/>
  <c r="O13" i="90"/>
  <c r="O12" i="90"/>
  <c r="N11" i="90"/>
  <c r="M11" i="90"/>
  <c r="L11" i="90"/>
  <c r="L37" i="90" s="1"/>
  <c r="L50" i="90" s="1"/>
  <c r="K11" i="90"/>
  <c r="K37" i="90" s="1"/>
  <c r="K50" i="90" s="1"/>
  <c r="O10" i="90"/>
  <c r="O9" i="90"/>
  <c r="A8" i="90"/>
  <c r="H94" i="89"/>
  <c r="C89" i="89"/>
  <c r="C88" i="89"/>
  <c r="H82" i="89"/>
  <c r="H79" i="89"/>
  <c r="G78" i="89"/>
  <c r="H78" i="89" s="1"/>
  <c r="H76" i="89"/>
  <c r="H75" i="89"/>
  <c r="H74" i="89"/>
  <c r="H73" i="89"/>
  <c r="H72" i="89"/>
  <c r="H71" i="89"/>
  <c r="H69" i="89"/>
  <c r="G68" i="89"/>
  <c r="H77" i="89" s="1"/>
  <c r="H83" i="89" s="1"/>
  <c r="G56" i="89"/>
  <c r="J50" i="89"/>
  <c r="F50" i="89"/>
  <c r="N49" i="89"/>
  <c r="N50" i="89" s="1"/>
  <c r="M49" i="89"/>
  <c r="L49" i="89"/>
  <c r="K49" i="89"/>
  <c r="J49" i="89"/>
  <c r="I49" i="89"/>
  <c r="H49" i="89"/>
  <c r="G49" i="89"/>
  <c r="F49" i="89"/>
  <c r="E49" i="89"/>
  <c r="D49" i="89"/>
  <c r="C49" i="89"/>
  <c r="O48" i="89"/>
  <c r="O47" i="89"/>
  <c r="O68" i="89" s="1"/>
  <c r="O46" i="89"/>
  <c r="O45" i="89"/>
  <c r="O44" i="89"/>
  <c r="O43" i="89"/>
  <c r="O42" i="89"/>
  <c r="O41" i="89"/>
  <c r="O40" i="89"/>
  <c r="G70" i="89" s="1"/>
  <c r="H70" i="89" s="1"/>
  <c r="O39" i="89"/>
  <c r="O38" i="89"/>
  <c r="G98" i="89" s="1"/>
  <c r="F103" i="1" s="1"/>
  <c r="P103" i="1" s="1"/>
  <c r="N37" i="89"/>
  <c r="M37" i="89"/>
  <c r="M50" i="89" s="1"/>
  <c r="L37" i="89"/>
  <c r="L50" i="89" s="1"/>
  <c r="K37" i="89"/>
  <c r="J87" i="89" s="1"/>
  <c r="J37" i="89"/>
  <c r="J51" i="89" s="1"/>
  <c r="J52" i="89" s="1"/>
  <c r="I37" i="89"/>
  <c r="I50" i="89" s="1"/>
  <c r="H37" i="89"/>
  <c r="H50" i="89" s="1"/>
  <c r="G37" i="89"/>
  <c r="J86" i="89" s="1"/>
  <c r="F37" i="89"/>
  <c r="E37" i="89"/>
  <c r="E50" i="89" s="1"/>
  <c r="D37" i="89"/>
  <c r="D50" i="89" s="1"/>
  <c r="C37" i="89"/>
  <c r="J85" i="89" s="1"/>
  <c r="O36" i="89"/>
  <c r="O35" i="89"/>
  <c r="O34" i="89"/>
  <c r="O33" i="89"/>
  <c r="O32" i="89"/>
  <c r="O31" i="89"/>
  <c r="O30" i="89"/>
  <c r="O29" i="89"/>
  <c r="O28" i="89"/>
  <c r="O27" i="89"/>
  <c r="O26" i="89"/>
  <c r="O25" i="89"/>
  <c r="O24" i="89"/>
  <c r="O23" i="89"/>
  <c r="O22" i="89"/>
  <c r="O21" i="89"/>
  <c r="O20" i="89"/>
  <c r="O19" i="89"/>
  <c r="O18" i="89"/>
  <c r="O17" i="89"/>
  <c r="O16" i="89"/>
  <c r="G57" i="89" s="1"/>
  <c r="O15" i="89"/>
  <c r="O14" i="89"/>
  <c r="O13" i="89"/>
  <c r="O12" i="89"/>
  <c r="O11" i="89"/>
  <c r="O10" i="89"/>
  <c r="O9" i="89"/>
  <c r="A8" i="89"/>
  <c r="H95" i="88"/>
  <c r="C90" i="88"/>
  <c r="C89" i="88"/>
  <c r="H83" i="88"/>
  <c r="H80" i="88"/>
  <c r="H77" i="88"/>
  <c r="H76" i="88"/>
  <c r="H75" i="88"/>
  <c r="H74" i="88"/>
  <c r="H73" i="88"/>
  <c r="H72" i="88"/>
  <c r="H70" i="88"/>
  <c r="G69" i="88"/>
  <c r="G58" i="88"/>
  <c r="G56" i="88"/>
  <c r="J51" i="88"/>
  <c r="J52" i="88" s="1"/>
  <c r="K50" i="88"/>
  <c r="G50" i="88"/>
  <c r="C50" i="88"/>
  <c r="N49" i="88"/>
  <c r="M49" i="88"/>
  <c r="L49" i="88"/>
  <c r="K49" i="88"/>
  <c r="J49" i="88"/>
  <c r="I49" i="88"/>
  <c r="H49" i="88"/>
  <c r="G49" i="88"/>
  <c r="F49" i="88"/>
  <c r="E49" i="88"/>
  <c r="D49" i="88"/>
  <c r="C49" i="88"/>
  <c r="O48" i="88"/>
  <c r="O47" i="88"/>
  <c r="O46" i="88"/>
  <c r="O45" i="88"/>
  <c r="O44" i="88"/>
  <c r="O43" i="88"/>
  <c r="O42" i="88"/>
  <c r="G79" i="88" s="1"/>
  <c r="O41" i="88"/>
  <c r="O40" i="88"/>
  <c r="G71" i="88" s="1"/>
  <c r="H71" i="88" s="1"/>
  <c r="O39" i="88"/>
  <c r="O38" i="88"/>
  <c r="G99" i="88" s="1"/>
  <c r="F102" i="1" s="1"/>
  <c r="P102" i="1" s="1"/>
  <c r="N37" i="88"/>
  <c r="N50" i="88" s="1"/>
  <c r="M37" i="88"/>
  <c r="J89" i="88" s="1"/>
  <c r="L89" i="88" s="1"/>
  <c r="L37" i="88"/>
  <c r="L50" i="88" s="1"/>
  <c r="K37" i="88"/>
  <c r="J37" i="88"/>
  <c r="J50" i="88" s="1"/>
  <c r="I37" i="88"/>
  <c r="I50" i="88" s="1"/>
  <c r="H37" i="88"/>
  <c r="J87" i="88" s="1"/>
  <c r="G37" i="88"/>
  <c r="F37" i="88"/>
  <c r="F50" i="88" s="1"/>
  <c r="E37" i="88"/>
  <c r="E50" i="88" s="1"/>
  <c r="D37" i="88"/>
  <c r="J86" i="88" s="1"/>
  <c r="C37" i="88"/>
  <c r="O37" i="88" s="1"/>
  <c r="G53" i="88" s="1"/>
  <c r="G60" i="88" s="1"/>
  <c r="G65" i="88" s="1"/>
  <c r="O36" i="88"/>
  <c r="O35" i="88"/>
  <c r="O34" i="88"/>
  <c r="O33" i="88"/>
  <c r="O32" i="88"/>
  <c r="O31" i="88"/>
  <c r="O30" i="88"/>
  <c r="O29" i="88"/>
  <c r="O28" i="88"/>
  <c r="O27" i="88"/>
  <c r="O26" i="88"/>
  <c r="O25" i="88"/>
  <c r="O24" i="88"/>
  <c r="O23" i="88"/>
  <c r="O22" i="88"/>
  <c r="O21" i="88"/>
  <c r="O20" i="88"/>
  <c r="O19" i="88"/>
  <c r="O18" i="88"/>
  <c r="O17" i="88"/>
  <c r="O16" i="88"/>
  <c r="O15" i="88"/>
  <c r="O14" i="88"/>
  <c r="O13" i="88"/>
  <c r="O12" i="88"/>
  <c r="O11" i="88"/>
  <c r="O10" i="88"/>
  <c r="O9" i="88"/>
  <c r="A8" i="88"/>
  <c r="H94" i="87"/>
  <c r="C89" i="87"/>
  <c r="C88" i="87"/>
  <c r="H82" i="87"/>
  <c r="H79" i="87"/>
  <c r="G78" i="87"/>
  <c r="H78" i="87" s="1"/>
  <c r="H76" i="87"/>
  <c r="H75" i="87"/>
  <c r="H74" i="87"/>
  <c r="H73" i="87"/>
  <c r="H72" i="87"/>
  <c r="H71" i="87"/>
  <c r="G69" i="87"/>
  <c r="H69" i="87" s="1"/>
  <c r="Q50" i="87"/>
  <c r="J50" i="87"/>
  <c r="F50" i="87"/>
  <c r="N49" i="87"/>
  <c r="N50" i="87" s="1"/>
  <c r="M49" i="87"/>
  <c r="L49" i="87"/>
  <c r="K49" i="87"/>
  <c r="J49" i="87"/>
  <c r="I49" i="87"/>
  <c r="H49" i="87"/>
  <c r="G49" i="87"/>
  <c r="F49" i="87"/>
  <c r="E49" i="87"/>
  <c r="D49" i="87"/>
  <c r="C49" i="87"/>
  <c r="O48" i="87"/>
  <c r="O47" i="87"/>
  <c r="O46" i="87"/>
  <c r="O45" i="87"/>
  <c r="O44" i="87"/>
  <c r="G56" i="87" s="1"/>
  <c r="O43" i="87"/>
  <c r="G68" i="87" s="1"/>
  <c r="O42" i="87"/>
  <c r="O72" i="87" s="1"/>
  <c r="O41" i="87"/>
  <c r="O40" i="87"/>
  <c r="G70" i="87" s="1"/>
  <c r="H70" i="87" s="1"/>
  <c r="O39" i="87"/>
  <c r="O38" i="87"/>
  <c r="G98" i="87" s="1"/>
  <c r="F101" i="1" s="1"/>
  <c r="P101" i="1" s="1"/>
  <c r="N37" i="87"/>
  <c r="M37" i="87"/>
  <c r="J88" i="87" s="1"/>
  <c r="L37" i="87"/>
  <c r="L50" i="87" s="1"/>
  <c r="K37" i="87"/>
  <c r="K50" i="87" s="1"/>
  <c r="J37" i="87"/>
  <c r="J51" i="87" s="1"/>
  <c r="J52" i="87" s="1"/>
  <c r="I37" i="87"/>
  <c r="I50" i="87" s="1"/>
  <c r="H37" i="87"/>
  <c r="H50" i="87" s="1"/>
  <c r="G37" i="87"/>
  <c r="J86" i="87" s="1"/>
  <c r="F37" i="87"/>
  <c r="E37" i="87"/>
  <c r="E50" i="87" s="1"/>
  <c r="D37" i="87"/>
  <c r="D50" i="87" s="1"/>
  <c r="C37" i="87"/>
  <c r="J85" i="87" s="1"/>
  <c r="O36" i="87"/>
  <c r="O35" i="87"/>
  <c r="O34" i="87"/>
  <c r="O33" i="87"/>
  <c r="O32" i="87"/>
  <c r="O31" i="87"/>
  <c r="O30" i="87"/>
  <c r="O29" i="87"/>
  <c r="O28" i="87"/>
  <c r="O27" i="87"/>
  <c r="O26" i="87"/>
  <c r="O25" i="87"/>
  <c r="O24" i="87"/>
  <c r="O23" i="87"/>
  <c r="O22" i="87"/>
  <c r="O21" i="87"/>
  <c r="O20" i="87"/>
  <c r="O19" i="87"/>
  <c r="O18" i="87"/>
  <c r="G57" i="87" s="1"/>
  <c r="O17" i="87"/>
  <c r="O16" i="87"/>
  <c r="O15" i="87"/>
  <c r="O14" i="87"/>
  <c r="O13" i="87"/>
  <c r="O12" i="87"/>
  <c r="O11" i="87"/>
  <c r="O10" i="87"/>
  <c r="O9" i="87"/>
  <c r="A8" i="87"/>
  <c r="H94" i="86"/>
  <c r="C89" i="86"/>
  <c r="J88" i="86"/>
  <c r="L88" i="86" s="1"/>
  <c r="C88" i="86"/>
  <c r="H82" i="86"/>
  <c r="H79" i="86"/>
  <c r="G78" i="86"/>
  <c r="H78" i="86" s="1"/>
  <c r="H76" i="86"/>
  <c r="H75" i="86"/>
  <c r="H74" i="86"/>
  <c r="H73" i="86"/>
  <c r="H72" i="86"/>
  <c r="H71" i="86"/>
  <c r="G70" i="86"/>
  <c r="H70" i="86" s="1"/>
  <c r="G68" i="86"/>
  <c r="H77" i="86" s="1"/>
  <c r="H83" i="86" s="1"/>
  <c r="J50" i="86"/>
  <c r="F50" i="86"/>
  <c r="N49" i="86"/>
  <c r="N50" i="86" s="1"/>
  <c r="M49" i="86"/>
  <c r="L49" i="86"/>
  <c r="K49" i="86"/>
  <c r="J49" i="86"/>
  <c r="I49" i="86"/>
  <c r="H49" i="86"/>
  <c r="G49" i="86"/>
  <c r="F49" i="86"/>
  <c r="E49" i="86"/>
  <c r="D49" i="86"/>
  <c r="C49" i="86"/>
  <c r="O48" i="86"/>
  <c r="O47" i="86"/>
  <c r="G69" i="86" s="1"/>
  <c r="H69" i="86" s="1"/>
  <c r="O46" i="86"/>
  <c r="O45" i="86"/>
  <c r="O44" i="86"/>
  <c r="G56" i="86" s="1"/>
  <c r="O43" i="86"/>
  <c r="O42" i="86"/>
  <c r="O76" i="86" s="1"/>
  <c r="O41" i="86"/>
  <c r="O40" i="86"/>
  <c r="O39" i="86"/>
  <c r="O38" i="86"/>
  <c r="G98" i="86" s="1"/>
  <c r="F82" i="1" s="1"/>
  <c r="P82" i="1" s="1"/>
  <c r="N37" i="86"/>
  <c r="M37" i="86"/>
  <c r="M50" i="86" s="1"/>
  <c r="M51" i="86" s="1"/>
  <c r="L37" i="86"/>
  <c r="L50" i="86" s="1"/>
  <c r="K37" i="86"/>
  <c r="K50" i="86" s="1"/>
  <c r="J37" i="86"/>
  <c r="J87" i="86" s="1"/>
  <c r="L87" i="86" s="1"/>
  <c r="I37" i="86"/>
  <c r="I50" i="86" s="1"/>
  <c r="H37" i="86"/>
  <c r="H50" i="86" s="1"/>
  <c r="G37" i="86"/>
  <c r="G50" i="86" s="1"/>
  <c r="F37" i="86"/>
  <c r="E37" i="86"/>
  <c r="E50" i="86" s="1"/>
  <c r="D37" i="86"/>
  <c r="D50" i="86" s="1"/>
  <c r="C37" i="86"/>
  <c r="J85" i="86" s="1"/>
  <c r="O36" i="86"/>
  <c r="O35" i="86"/>
  <c r="O34" i="86"/>
  <c r="O33" i="86"/>
  <c r="O32" i="86"/>
  <c r="O31" i="86"/>
  <c r="O30" i="86"/>
  <c r="O29" i="86"/>
  <c r="O28" i="86"/>
  <c r="O27" i="86"/>
  <c r="O26" i="86"/>
  <c r="O25" i="86"/>
  <c r="O24" i="86"/>
  <c r="O23" i="86"/>
  <c r="O22" i="86"/>
  <c r="O21" i="86"/>
  <c r="O20" i="86"/>
  <c r="O19" i="86"/>
  <c r="O18" i="86"/>
  <c r="O17" i="86"/>
  <c r="O16" i="86"/>
  <c r="O15" i="86"/>
  <c r="O14" i="86"/>
  <c r="O13" i="86"/>
  <c r="O12" i="86"/>
  <c r="O11" i="86"/>
  <c r="O10" i="86"/>
  <c r="O9" i="86"/>
  <c r="A8" i="86"/>
  <c r="H94" i="85"/>
  <c r="C89" i="85"/>
  <c r="C88" i="85"/>
  <c r="H82" i="85"/>
  <c r="H79" i="85"/>
  <c r="H76" i="85"/>
  <c r="H75" i="85"/>
  <c r="H74" i="85"/>
  <c r="H73" i="85"/>
  <c r="H72" i="85"/>
  <c r="H71" i="85"/>
  <c r="Q50" i="85"/>
  <c r="K50" i="85"/>
  <c r="N49" i="85"/>
  <c r="M49" i="85"/>
  <c r="L49" i="85"/>
  <c r="K49" i="85"/>
  <c r="J49" i="85"/>
  <c r="I49" i="85"/>
  <c r="H49" i="85"/>
  <c r="G49" i="85"/>
  <c r="F49" i="85"/>
  <c r="E49" i="85"/>
  <c r="D49" i="85"/>
  <c r="C49" i="85"/>
  <c r="O48" i="85"/>
  <c r="O47" i="85"/>
  <c r="G69" i="85" s="1"/>
  <c r="H69" i="85" s="1"/>
  <c r="O46" i="85"/>
  <c r="O45" i="85"/>
  <c r="O44" i="85"/>
  <c r="G56" i="85" s="1"/>
  <c r="O43" i="85"/>
  <c r="G68" i="85" s="1"/>
  <c r="O42" i="85"/>
  <c r="O41" i="85"/>
  <c r="O40" i="85"/>
  <c r="G70" i="85" s="1"/>
  <c r="H70" i="85" s="1"/>
  <c r="O39" i="85"/>
  <c r="O38" i="85"/>
  <c r="G98" i="85" s="1"/>
  <c r="F122" i="1" s="1"/>
  <c r="P122" i="1" s="1"/>
  <c r="N37" i="85"/>
  <c r="M37" i="85"/>
  <c r="M50" i="85" s="1"/>
  <c r="L37" i="85"/>
  <c r="L50" i="85" s="1"/>
  <c r="K37" i="85"/>
  <c r="J37" i="85"/>
  <c r="J50" i="85" s="1"/>
  <c r="I37" i="85"/>
  <c r="I50" i="85" s="1"/>
  <c r="H37" i="85"/>
  <c r="G37" i="85"/>
  <c r="G50" i="85" s="1"/>
  <c r="F37" i="85"/>
  <c r="E37" i="85"/>
  <c r="D37" i="85"/>
  <c r="C37" i="85"/>
  <c r="O36" i="85"/>
  <c r="O35" i="85"/>
  <c r="O34" i="85"/>
  <c r="O33" i="85"/>
  <c r="O32" i="85"/>
  <c r="O31" i="85"/>
  <c r="O30" i="85"/>
  <c r="O29" i="85"/>
  <c r="O28" i="85"/>
  <c r="O27" i="85"/>
  <c r="O26" i="85"/>
  <c r="O25" i="85"/>
  <c r="O24" i="85"/>
  <c r="O23" i="85"/>
  <c r="O22" i="85"/>
  <c r="O21" i="85"/>
  <c r="O20" i="85"/>
  <c r="O19" i="85"/>
  <c r="O18" i="85"/>
  <c r="G57" i="85" s="1"/>
  <c r="O17" i="85"/>
  <c r="O16" i="85"/>
  <c r="O15" i="85"/>
  <c r="O14" i="85"/>
  <c r="O13" i="85"/>
  <c r="O12" i="85"/>
  <c r="O11" i="85"/>
  <c r="O10" i="85"/>
  <c r="O9" i="85"/>
  <c r="A8" i="85"/>
  <c r="H94" i="84"/>
  <c r="C89" i="84"/>
  <c r="C88" i="84"/>
  <c r="H82" i="84"/>
  <c r="H79" i="84"/>
  <c r="H76" i="84"/>
  <c r="H75" i="84"/>
  <c r="H74" i="84"/>
  <c r="H73" i="84"/>
  <c r="H72" i="84"/>
  <c r="H71" i="84"/>
  <c r="O68" i="84"/>
  <c r="Q50" i="84"/>
  <c r="J50" i="84"/>
  <c r="F50" i="84"/>
  <c r="N49" i="84"/>
  <c r="N50" i="84" s="1"/>
  <c r="M49" i="84"/>
  <c r="L49" i="84"/>
  <c r="K49" i="84"/>
  <c r="J49" i="84"/>
  <c r="I49" i="84"/>
  <c r="H49" i="84"/>
  <c r="G49" i="84"/>
  <c r="F49" i="84"/>
  <c r="E49" i="84"/>
  <c r="D49" i="84"/>
  <c r="C49" i="84"/>
  <c r="O48" i="84"/>
  <c r="O47" i="84"/>
  <c r="G69" i="84" s="1"/>
  <c r="H69" i="84" s="1"/>
  <c r="O46" i="84"/>
  <c r="O45" i="84"/>
  <c r="O44" i="84"/>
  <c r="G56" i="84" s="1"/>
  <c r="O43" i="84"/>
  <c r="G68" i="84" s="1"/>
  <c r="O42" i="84"/>
  <c r="G78" i="84" s="1"/>
  <c r="O41" i="84"/>
  <c r="O40" i="84"/>
  <c r="G70" i="84" s="1"/>
  <c r="H70" i="84" s="1"/>
  <c r="O39" i="84"/>
  <c r="O38" i="84"/>
  <c r="G98" i="84" s="1"/>
  <c r="F104" i="1" s="1"/>
  <c r="P104" i="1" s="1"/>
  <c r="N37" i="84"/>
  <c r="M37" i="84"/>
  <c r="J88" i="84" s="1"/>
  <c r="L37" i="84"/>
  <c r="L50" i="84" s="1"/>
  <c r="K37" i="84"/>
  <c r="K50" i="84" s="1"/>
  <c r="J37" i="84"/>
  <c r="J51" i="84" s="1"/>
  <c r="J52" i="84" s="1"/>
  <c r="I37" i="84"/>
  <c r="I50" i="84" s="1"/>
  <c r="H37" i="84"/>
  <c r="H50" i="84" s="1"/>
  <c r="G37" i="84"/>
  <c r="J86" i="84" s="1"/>
  <c r="F37" i="84"/>
  <c r="E37" i="84"/>
  <c r="E50" i="84" s="1"/>
  <c r="D37" i="84"/>
  <c r="D50" i="84" s="1"/>
  <c r="C37" i="84"/>
  <c r="C50" i="84" s="1"/>
  <c r="O36" i="84"/>
  <c r="O35" i="84"/>
  <c r="O34" i="84"/>
  <c r="O33" i="84"/>
  <c r="O32" i="84"/>
  <c r="O31" i="84"/>
  <c r="O30" i="84"/>
  <c r="O29" i="84"/>
  <c r="O28" i="84"/>
  <c r="O27" i="84"/>
  <c r="O26" i="84"/>
  <c r="O25" i="84"/>
  <c r="O24" i="84"/>
  <c r="O23" i="84"/>
  <c r="O22" i="84"/>
  <c r="O21" i="84"/>
  <c r="O20" i="84"/>
  <c r="O19" i="84"/>
  <c r="O18" i="84"/>
  <c r="G57" i="84" s="1"/>
  <c r="O17" i="84"/>
  <c r="O16" i="84"/>
  <c r="O15" i="84"/>
  <c r="O14" i="84"/>
  <c r="O13" i="84"/>
  <c r="O12" i="84"/>
  <c r="O11" i="84"/>
  <c r="O10" i="84"/>
  <c r="O9" i="84"/>
  <c r="A8" i="84"/>
  <c r="H94" i="83"/>
  <c r="J90" i="83"/>
  <c r="C89" i="83"/>
  <c r="C88" i="83"/>
  <c r="H82" i="83"/>
  <c r="H79" i="83"/>
  <c r="H76" i="83"/>
  <c r="H75" i="83"/>
  <c r="H74" i="83"/>
  <c r="H73" i="83"/>
  <c r="H72" i="83"/>
  <c r="H71" i="83"/>
  <c r="H69" i="83"/>
  <c r="O68" i="83"/>
  <c r="P63" i="83"/>
  <c r="J50" i="83"/>
  <c r="F50" i="83"/>
  <c r="N49" i="83"/>
  <c r="N50" i="83" s="1"/>
  <c r="M49" i="83"/>
  <c r="L49" i="83"/>
  <c r="K49" i="83"/>
  <c r="J49" i="83"/>
  <c r="I49" i="83"/>
  <c r="H49" i="83"/>
  <c r="G49" i="83"/>
  <c r="F49" i="83"/>
  <c r="E49" i="83"/>
  <c r="D49" i="83"/>
  <c r="C49" i="83"/>
  <c r="O49" i="83" s="1"/>
  <c r="O48" i="83"/>
  <c r="O47" i="83"/>
  <c r="O46" i="83"/>
  <c r="O45" i="83"/>
  <c r="O44" i="83"/>
  <c r="G56" i="83" s="1"/>
  <c r="O43" i="83"/>
  <c r="G68" i="83" s="1"/>
  <c r="O42" i="83"/>
  <c r="O72" i="83" s="1"/>
  <c r="O41" i="83"/>
  <c r="O40" i="83"/>
  <c r="G70" i="83" s="1"/>
  <c r="H70" i="83" s="1"/>
  <c r="O39" i="83"/>
  <c r="O38" i="83"/>
  <c r="G98" i="83" s="1"/>
  <c r="F46" i="1" s="1"/>
  <c r="P46" i="1" s="1"/>
  <c r="N37" i="83"/>
  <c r="M37" i="83"/>
  <c r="J88" i="83" s="1"/>
  <c r="L37" i="83"/>
  <c r="L50" i="83" s="1"/>
  <c r="K37" i="83"/>
  <c r="K50" i="83" s="1"/>
  <c r="J37" i="83"/>
  <c r="J87" i="83" s="1"/>
  <c r="I37" i="83"/>
  <c r="I50" i="83" s="1"/>
  <c r="H37" i="83"/>
  <c r="H50" i="83" s="1"/>
  <c r="G37" i="83"/>
  <c r="J86" i="83" s="1"/>
  <c r="F37" i="83"/>
  <c r="E37" i="83"/>
  <c r="E50" i="83" s="1"/>
  <c r="D37" i="83"/>
  <c r="D50" i="83" s="1"/>
  <c r="C37" i="83"/>
  <c r="C50" i="83" s="1"/>
  <c r="O36" i="83"/>
  <c r="O35" i="83"/>
  <c r="O34" i="83"/>
  <c r="O33" i="83"/>
  <c r="O32" i="83"/>
  <c r="O31" i="83"/>
  <c r="O30" i="83"/>
  <c r="O29" i="83"/>
  <c r="O28" i="83"/>
  <c r="O27" i="83"/>
  <c r="O26" i="83"/>
  <c r="O25" i="83"/>
  <c r="O24" i="83"/>
  <c r="O23" i="83"/>
  <c r="O22" i="83"/>
  <c r="O21" i="83"/>
  <c r="O20" i="83"/>
  <c r="O19" i="83"/>
  <c r="O18" i="83"/>
  <c r="O17" i="83"/>
  <c r="G57" i="83" s="1"/>
  <c r="O16" i="83"/>
  <c r="O15" i="83"/>
  <c r="O14" i="83"/>
  <c r="O13" i="83"/>
  <c r="O12" i="83"/>
  <c r="O11" i="83"/>
  <c r="O10" i="83"/>
  <c r="O9" i="83"/>
  <c r="A8" i="83"/>
  <c r="C89" i="82"/>
  <c r="C88" i="82"/>
  <c r="G83" i="82"/>
  <c r="H82" i="82"/>
  <c r="H79" i="82"/>
  <c r="H78" i="82"/>
  <c r="H76" i="82"/>
  <c r="H75" i="82"/>
  <c r="H74" i="82"/>
  <c r="H73" i="82"/>
  <c r="H72" i="82"/>
  <c r="H71" i="82"/>
  <c r="H69" i="82"/>
  <c r="Q50" i="82"/>
  <c r="C49" i="82"/>
  <c r="O48" i="82"/>
  <c r="D47" i="82"/>
  <c r="D46" i="82"/>
  <c r="D45" i="82"/>
  <c r="D44" i="82"/>
  <c r="O43" i="82"/>
  <c r="G68" i="82" s="1"/>
  <c r="D42" i="82"/>
  <c r="D41" i="82"/>
  <c r="O40" i="82"/>
  <c r="G70" i="82" s="1"/>
  <c r="H70" i="82" s="1"/>
  <c r="J39" i="82"/>
  <c r="O38" i="82"/>
  <c r="G98" i="82" s="1"/>
  <c r="F63" i="1" s="1"/>
  <c r="I37" i="82"/>
  <c r="H37" i="82"/>
  <c r="D37" i="82"/>
  <c r="C37" i="82"/>
  <c r="O36" i="82"/>
  <c r="O35" i="82"/>
  <c r="O34" i="82"/>
  <c r="O33" i="82"/>
  <c r="O32" i="82"/>
  <c r="O31" i="82"/>
  <c r="O30" i="82"/>
  <c r="O29" i="82"/>
  <c r="O28" i="82"/>
  <c r="O27" i="82"/>
  <c r="O26" i="82"/>
  <c r="O25" i="82"/>
  <c r="O24" i="82"/>
  <c r="O23" i="82"/>
  <c r="O22" i="82"/>
  <c r="O21" i="82"/>
  <c r="O20" i="82"/>
  <c r="O19" i="82"/>
  <c r="O18" i="82"/>
  <c r="O17" i="82"/>
  <c r="O16" i="82"/>
  <c r="O15" i="82"/>
  <c r="Q38" i="82" s="1"/>
  <c r="Q39" i="82" s="1"/>
  <c r="O14" i="82"/>
  <c r="O13" i="82"/>
  <c r="O12" i="82"/>
  <c r="O11" i="82"/>
  <c r="K10" i="82"/>
  <c r="K37" i="82" s="1"/>
  <c r="J10" i="82"/>
  <c r="J37" i="82" s="1"/>
  <c r="E10" i="82"/>
  <c r="D10" i="82"/>
  <c r="E9" i="82"/>
  <c r="E37" i="82" s="1"/>
  <c r="D9" i="82"/>
  <c r="A8" i="82"/>
  <c r="H94" i="81"/>
  <c r="C89" i="81"/>
  <c r="C88" i="81"/>
  <c r="H82" i="81"/>
  <c r="H79" i="81"/>
  <c r="H76" i="81"/>
  <c r="H75" i="81"/>
  <c r="H74" i="81"/>
  <c r="H73" i="81"/>
  <c r="H72" i="81"/>
  <c r="H71" i="81"/>
  <c r="N49" i="81"/>
  <c r="M49" i="81"/>
  <c r="L49" i="81"/>
  <c r="K49" i="81"/>
  <c r="J49" i="81"/>
  <c r="I49" i="81"/>
  <c r="H49" i="81"/>
  <c r="G49" i="81"/>
  <c r="F49" i="81"/>
  <c r="E49" i="81"/>
  <c r="D49" i="81"/>
  <c r="C49" i="81"/>
  <c r="O48" i="81"/>
  <c r="O47" i="81"/>
  <c r="G69" i="81" s="1"/>
  <c r="H69" i="81" s="1"/>
  <c r="O46" i="81"/>
  <c r="O45" i="81"/>
  <c r="O44" i="81"/>
  <c r="G56" i="81" s="1"/>
  <c r="O43" i="81"/>
  <c r="G68" i="81" s="1"/>
  <c r="O42" i="81"/>
  <c r="G78" i="81" s="1"/>
  <c r="O41" i="81"/>
  <c r="O40" i="81"/>
  <c r="G70" i="81" s="1"/>
  <c r="H70" i="81" s="1"/>
  <c r="O39" i="81"/>
  <c r="O38" i="81"/>
  <c r="G98" i="81" s="1"/>
  <c r="F65" i="1" s="1"/>
  <c r="P65" i="1" s="1"/>
  <c r="C37" i="81"/>
  <c r="M36" i="81"/>
  <c r="N36" i="81" s="1"/>
  <c r="L36" i="81"/>
  <c r="I36" i="81"/>
  <c r="F36" i="81"/>
  <c r="G36" i="81" s="1"/>
  <c r="O36" i="81" s="1"/>
  <c r="N35" i="81"/>
  <c r="L35" i="81"/>
  <c r="M35" i="81" s="1"/>
  <c r="I35" i="81"/>
  <c r="G35" i="81"/>
  <c r="F35" i="81"/>
  <c r="O35" i="81" s="1"/>
  <c r="I34" i="81"/>
  <c r="J34" i="81" s="1"/>
  <c r="K34" i="81" s="1"/>
  <c r="L34" i="81" s="1"/>
  <c r="M34" i="81" s="1"/>
  <c r="N34" i="81" s="1"/>
  <c r="D34" i="81"/>
  <c r="L33" i="81"/>
  <c r="M33" i="81" s="1"/>
  <c r="N33" i="81" s="1"/>
  <c r="J33" i="81"/>
  <c r="K33" i="81" s="1"/>
  <c r="I33" i="81"/>
  <c r="E33" i="81"/>
  <c r="F33" i="81" s="1"/>
  <c r="G33" i="81" s="1"/>
  <c r="D33" i="81"/>
  <c r="I32" i="81"/>
  <c r="J32" i="81" s="1"/>
  <c r="K32" i="81" s="1"/>
  <c r="L32" i="81" s="1"/>
  <c r="M32" i="81" s="1"/>
  <c r="N32" i="81" s="1"/>
  <c r="D32" i="81"/>
  <c r="E32" i="81" s="1"/>
  <c r="F32" i="81" s="1"/>
  <c r="G32" i="81" s="1"/>
  <c r="J31" i="81"/>
  <c r="K31" i="81" s="1"/>
  <c r="L31" i="81" s="1"/>
  <c r="M31" i="81" s="1"/>
  <c r="N31" i="81" s="1"/>
  <c r="I31" i="81"/>
  <c r="E31" i="81"/>
  <c r="F31" i="81" s="1"/>
  <c r="G31" i="81" s="1"/>
  <c r="D31" i="81"/>
  <c r="M30" i="81"/>
  <c r="N30" i="81" s="1"/>
  <c r="I30" i="81"/>
  <c r="J30" i="81" s="1"/>
  <c r="K30" i="81" s="1"/>
  <c r="L30" i="81" s="1"/>
  <c r="D30" i="81"/>
  <c r="J29" i="81"/>
  <c r="K29" i="81" s="1"/>
  <c r="L29" i="81" s="1"/>
  <c r="M29" i="81" s="1"/>
  <c r="N29" i="81" s="1"/>
  <c r="I29" i="81"/>
  <c r="E29" i="81"/>
  <c r="D29" i="81"/>
  <c r="K28" i="81"/>
  <c r="L28" i="81" s="1"/>
  <c r="M28" i="81" s="1"/>
  <c r="N28" i="81" s="1"/>
  <c r="I28" i="81"/>
  <c r="J28" i="81" s="1"/>
  <c r="F28" i="81"/>
  <c r="G28" i="81" s="1"/>
  <c r="D28" i="81"/>
  <c r="E28" i="81" s="1"/>
  <c r="O28" i="81" s="1"/>
  <c r="N27" i="81"/>
  <c r="J27" i="81"/>
  <c r="K27" i="81" s="1"/>
  <c r="L27" i="81" s="1"/>
  <c r="M27" i="81" s="1"/>
  <c r="I27" i="81"/>
  <c r="E27" i="81"/>
  <c r="F27" i="81" s="1"/>
  <c r="G27" i="81" s="1"/>
  <c r="D27" i="81"/>
  <c r="O27" i="81" s="1"/>
  <c r="I26" i="81"/>
  <c r="J26" i="81" s="1"/>
  <c r="K26" i="81" s="1"/>
  <c r="L26" i="81" s="1"/>
  <c r="M26" i="81" s="1"/>
  <c r="N26" i="81" s="1"/>
  <c r="D26" i="81"/>
  <c r="L25" i="81"/>
  <c r="M25" i="81" s="1"/>
  <c r="N25" i="81" s="1"/>
  <c r="J25" i="81"/>
  <c r="K25" i="81" s="1"/>
  <c r="I25" i="81"/>
  <c r="E25" i="81"/>
  <c r="D25" i="81"/>
  <c r="I24" i="81"/>
  <c r="J24" i="81" s="1"/>
  <c r="K24" i="81" s="1"/>
  <c r="L24" i="81" s="1"/>
  <c r="M24" i="81" s="1"/>
  <c r="N24" i="81" s="1"/>
  <c r="D24" i="81"/>
  <c r="E24" i="81" s="1"/>
  <c r="J23" i="81"/>
  <c r="K23" i="81" s="1"/>
  <c r="L23" i="81" s="1"/>
  <c r="M23" i="81" s="1"/>
  <c r="N23" i="81" s="1"/>
  <c r="I23" i="81"/>
  <c r="E23" i="81"/>
  <c r="F23" i="81" s="1"/>
  <c r="G23" i="81" s="1"/>
  <c r="D23" i="81"/>
  <c r="M22" i="81"/>
  <c r="N22" i="81" s="1"/>
  <c r="L22" i="81"/>
  <c r="I22" i="81"/>
  <c r="D22" i="81"/>
  <c r="E22" i="81" s="1"/>
  <c r="F22" i="81" s="1"/>
  <c r="G22" i="81" s="1"/>
  <c r="J21" i="81"/>
  <c r="K21" i="81" s="1"/>
  <c r="L21" i="81" s="1"/>
  <c r="M21" i="81" s="1"/>
  <c r="N21" i="81" s="1"/>
  <c r="I21" i="81"/>
  <c r="E21" i="81"/>
  <c r="F21" i="81" s="1"/>
  <c r="G21" i="81" s="1"/>
  <c r="D21" i="81"/>
  <c r="M20" i="81"/>
  <c r="N20" i="81" s="1"/>
  <c r="I20" i="81"/>
  <c r="J20" i="81" s="1"/>
  <c r="K20" i="81" s="1"/>
  <c r="L20" i="81" s="1"/>
  <c r="D20" i="81"/>
  <c r="D19" i="81"/>
  <c r="L18" i="81"/>
  <c r="M18" i="81" s="1"/>
  <c r="N18" i="81" s="1"/>
  <c r="J18" i="81"/>
  <c r="K18" i="81" s="1"/>
  <c r="I18" i="81"/>
  <c r="E18" i="81"/>
  <c r="D18" i="81"/>
  <c r="K17" i="81"/>
  <c r="L17" i="81" s="1"/>
  <c r="M17" i="81" s="1"/>
  <c r="N17" i="81" s="1"/>
  <c r="I17" i="81"/>
  <c r="J17" i="81" s="1"/>
  <c r="F17" i="81"/>
  <c r="G17" i="81" s="1"/>
  <c r="D17" i="81"/>
  <c r="E17" i="81" s="1"/>
  <c r="J16" i="81"/>
  <c r="K16" i="81" s="1"/>
  <c r="L16" i="81" s="1"/>
  <c r="M16" i="81" s="1"/>
  <c r="N16" i="81" s="1"/>
  <c r="I16" i="81"/>
  <c r="G16" i="81"/>
  <c r="E16" i="81"/>
  <c r="F16" i="81" s="1"/>
  <c r="D16" i="81"/>
  <c r="I15" i="81"/>
  <c r="J15" i="81" s="1"/>
  <c r="K15" i="81" s="1"/>
  <c r="L15" i="81" s="1"/>
  <c r="M15" i="81" s="1"/>
  <c r="N15" i="81" s="1"/>
  <c r="D15" i="81"/>
  <c r="E15" i="81" s="1"/>
  <c r="F15" i="81" s="1"/>
  <c r="G15" i="81" s="1"/>
  <c r="L14" i="81"/>
  <c r="M14" i="81" s="1"/>
  <c r="N14" i="81" s="1"/>
  <c r="K14" i="81"/>
  <c r="F14" i="81"/>
  <c r="G14" i="81" s="1"/>
  <c r="H14" i="81" s="1"/>
  <c r="E14" i="81"/>
  <c r="I13" i="81"/>
  <c r="J13" i="81" s="1"/>
  <c r="K13" i="81" s="1"/>
  <c r="L13" i="81" s="1"/>
  <c r="M13" i="81" s="1"/>
  <c r="N13" i="81" s="1"/>
  <c r="E13" i="81"/>
  <c r="F13" i="81" s="1"/>
  <c r="G13" i="81" s="1"/>
  <c r="D13" i="81"/>
  <c r="K12" i="81"/>
  <c r="L12" i="81" s="1"/>
  <c r="M12" i="81" s="1"/>
  <c r="N12" i="81" s="1"/>
  <c r="D12" i="81"/>
  <c r="L11" i="81"/>
  <c r="M11" i="81" s="1"/>
  <c r="N11" i="81" s="1"/>
  <c r="K11" i="81"/>
  <c r="F11" i="81"/>
  <c r="E11" i="81"/>
  <c r="I10" i="81"/>
  <c r="D10" i="81"/>
  <c r="O9" i="81"/>
  <c r="A8" i="81"/>
  <c r="H94" i="80"/>
  <c r="C89" i="80"/>
  <c r="C88" i="80"/>
  <c r="G83" i="80"/>
  <c r="H82" i="80"/>
  <c r="H79" i="80"/>
  <c r="H78" i="80"/>
  <c r="H76" i="80"/>
  <c r="H75" i="80"/>
  <c r="H74" i="80"/>
  <c r="H73" i="80"/>
  <c r="H72" i="80"/>
  <c r="H71" i="80"/>
  <c r="J51" i="80"/>
  <c r="Q50" i="80"/>
  <c r="C49" i="80"/>
  <c r="O48" i="80"/>
  <c r="J47" i="80"/>
  <c r="D46" i="80"/>
  <c r="E46" i="80" s="1"/>
  <c r="F46" i="80" s="1"/>
  <c r="G46" i="80" s="1"/>
  <c r="H46" i="80" s="1"/>
  <c r="I46" i="80" s="1"/>
  <c r="J46" i="80" s="1"/>
  <c r="K46" i="80" s="1"/>
  <c r="L46" i="80" s="1"/>
  <c r="M46" i="80" s="1"/>
  <c r="N46" i="80" s="1"/>
  <c r="D45" i="80"/>
  <c r="E45" i="80" s="1"/>
  <c r="F45" i="80" s="1"/>
  <c r="G45" i="80" s="1"/>
  <c r="H45" i="80" s="1"/>
  <c r="I45" i="80" s="1"/>
  <c r="J45" i="80" s="1"/>
  <c r="K45" i="80" s="1"/>
  <c r="L45" i="80" s="1"/>
  <c r="M45" i="80" s="1"/>
  <c r="N45" i="80" s="1"/>
  <c r="E44" i="80"/>
  <c r="D44" i="80"/>
  <c r="I43" i="80"/>
  <c r="J43" i="80" s="1"/>
  <c r="K43" i="80" s="1"/>
  <c r="L43" i="80" s="1"/>
  <c r="M43" i="80" s="1"/>
  <c r="N43" i="80" s="1"/>
  <c r="H43" i="80"/>
  <c r="D43" i="80"/>
  <c r="D42" i="80"/>
  <c r="D41" i="80"/>
  <c r="D40" i="80"/>
  <c r="O39" i="80"/>
  <c r="O38" i="80"/>
  <c r="G98" i="80" s="1"/>
  <c r="Q37" i="80"/>
  <c r="N37" i="80"/>
  <c r="M37" i="80"/>
  <c r="J88" i="80" s="1"/>
  <c r="L37" i="80"/>
  <c r="K37" i="80"/>
  <c r="J87" i="80" s="1"/>
  <c r="J37" i="80"/>
  <c r="I37" i="80"/>
  <c r="H37" i="80"/>
  <c r="G37" i="80"/>
  <c r="J86" i="80" s="1"/>
  <c r="F37" i="80"/>
  <c r="E37" i="80"/>
  <c r="D37" i="80"/>
  <c r="C37" i="80"/>
  <c r="O37" i="80" s="1"/>
  <c r="G53" i="80" s="1"/>
  <c r="O36" i="80"/>
  <c r="O35" i="80"/>
  <c r="O34" i="80"/>
  <c r="O33" i="80"/>
  <c r="O32" i="80"/>
  <c r="O31" i="80"/>
  <c r="O30" i="80"/>
  <c r="O29" i="80"/>
  <c r="O28" i="80"/>
  <c r="O27" i="80"/>
  <c r="O26" i="80"/>
  <c r="O25" i="80"/>
  <c r="O24" i="80"/>
  <c r="O23" i="80"/>
  <c r="O22" i="80"/>
  <c r="O21" i="80"/>
  <c r="O20" i="80"/>
  <c r="O19" i="80"/>
  <c r="O18" i="80"/>
  <c r="O17" i="80"/>
  <c r="O16" i="80"/>
  <c r="O15" i="80"/>
  <c r="O14" i="80"/>
  <c r="O13" i="80"/>
  <c r="O12" i="80"/>
  <c r="O11" i="80"/>
  <c r="O10" i="80"/>
  <c r="O9" i="80"/>
  <c r="A8" i="80"/>
  <c r="H94" i="79"/>
  <c r="C89" i="79"/>
  <c r="C88" i="79"/>
  <c r="G83" i="79"/>
  <c r="H82" i="79"/>
  <c r="H79" i="79"/>
  <c r="H78" i="79"/>
  <c r="H76" i="79"/>
  <c r="H75" i="79"/>
  <c r="H74" i="79"/>
  <c r="H73" i="79"/>
  <c r="H72" i="79"/>
  <c r="H71" i="79"/>
  <c r="M50" i="79"/>
  <c r="I50" i="79"/>
  <c r="E50" i="79"/>
  <c r="N49" i="79"/>
  <c r="M49" i="79"/>
  <c r="L49" i="79"/>
  <c r="K49" i="79"/>
  <c r="J49" i="79"/>
  <c r="I49" i="79"/>
  <c r="H49" i="79"/>
  <c r="G49" i="79"/>
  <c r="F49" i="79"/>
  <c r="E49" i="79"/>
  <c r="D49" i="79"/>
  <c r="C49" i="79"/>
  <c r="O49" i="79" s="1"/>
  <c r="O48" i="79"/>
  <c r="O47" i="79"/>
  <c r="G69" i="79" s="1"/>
  <c r="H69" i="79" s="1"/>
  <c r="O46" i="79"/>
  <c r="O45" i="79"/>
  <c r="O44" i="79"/>
  <c r="G56" i="79" s="1"/>
  <c r="O43" i="79"/>
  <c r="G68" i="79" s="1"/>
  <c r="O42" i="79"/>
  <c r="O41" i="79"/>
  <c r="O40" i="79"/>
  <c r="G70" i="79" s="1"/>
  <c r="H70" i="79" s="1"/>
  <c r="O39" i="79"/>
  <c r="O38" i="79"/>
  <c r="G98" i="79" s="1"/>
  <c r="F67" i="1" s="1"/>
  <c r="P67" i="1" s="1"/>
  <c r="N37" i="79"/>
  <c r="J88" i="79" s="1"/>
  <c r="M37" i="79"/>
  <c r="L37" i="79"/>
  <c r="L50" i="79" s="1"/>
  <c r="K37" i="79"/>
  <c r="K50" i="79" s="1"/>
  <c r="J37" i="79"/>
  <c r="J87" i="79" s="1"/>
  <c r="I37" i="79"/>
  <c r="H37" i="79"/>
  <c r="H50" i="79" s="1"/>
  <c r="G37" i="79"/>
  <c r="J86" i="79" s="1"/>
  <c r="F37" i="79"/>
  <c r="F50" i="79" s="1"/>
  <c r="E37" i="79"/>
  <c r="D37" i="79"/>
  <c r="D50" i="79" s="1"/>
  <c r="C37" i="79"/>
  <c r="C50" i="79" s="1"/>
  <c r="O36" i="79"/>
  <c r="O35" i="79"/>
  <c r="O34" i="79"/>
  <c r="O33" i="79"/>
  <c r="O32" i="79"/>
  <c r="O31" i="79"/>
  <c r="O30" i="79"/>
  <c r="O29" i="79"/>
  <c r="O28" i="79"/>
  <c r="O27" i="79"/>
  <c r="O26" i="79"/>
  <c r="O25" i="79"/>
  <c r="O24" i="79"/>
  <c r="O23" i="79"/>
  <c r="O22" i="79"/>
  <c r="O21" i="79"/>
  <c r="O20" i="79"/>
  <c r="O19" i="79"/>
  <c r="O18" i="79"/>
  <c r="O17" i="79"/>
  <c r="O16" i="79"/>
  <c r="O15" i="79"/>
  <c r="O14" i="79"/>
  <c r="O13" i="79"/>
  <c r="O12" i="79"/>
  <c r="O11" i="79"/>
  <c r="O10" i="79"/>
  <c r="O9" i="79"/>
  <c r="A8" i="79"/>
  <c r="H94" i="78"/>
  <c r="C89" i="78"/>
  <c r="C88" i="78"/>
  <c r="H82" i="78"/>
  <c r="H79" i="78"/>
  <c r="H76" i="78"/>
  <c r="H75" i="78"/>
  <c r="H74" i="78"/>
  <c r="H73" i="78"/>
  <c r="H72" i="78"/>
  <c r="H68" i="78"/>
  <c r="I50" i="78"/>
  <c r="N49" i="78"/>
  <c r="M49" i="78"/>
  <c r="L49" i="78"/>
  <c r="K49" i="78"/>
  <c r="J49" i="78"/>
  <c r="I49" i="78"/>
  <c r="H49" i="78"/>
  <c r="G49" i="78"/>
  <c r="F49" i="78"/>
  <c r="E49" i="78"/>
  <c r="D49" i="78"/>
  <c r="C49" i="78"/>
  <c r="O48" i="78"/>
  <c r="O47" i="78"/>
  <c r="G69" i="78" s="1"/>
  <c r="H69" i="78" s="1"/>
  <c r="O46" i="78"/>
  <c r="O45" i="78"/>
  <c r="O44" i="78"/>
  <c r="G56" i="78" s="1"/>
  <c r="O43" i="78"/>
  <c r="G68" i="78" s="1"/>
  <c r="O42" i="78"/>
  <c r="O41" i="78"/>
  <c r="O40" i="78"/>
  <c r="G70" i="78" s="1"/>
  <c r="H70" i="78" s="1"/>
  <c r="O39" i="78"/>
  <c r="O38" i="78"/>
  <c r="G98" i="78" s="1"/>
  <c r="F68" i="1" s="1"/>
  <c r="P68" i="1" s="1"/>
  <c r="N37" i="78"/>
  <c r="M37" i="78"/>
  <c r="L37" i="78"/>
  <c r="L50" i="78" s="1"/>
  <c r="K37" i="78"/>
  <c r="K50" i="78" s="1"/>
  <c r="J37" i="78"/>
  <c r="I37" i="78"/>
  <c r="H37" i="78"/>
  <c r="H50" i="78" s="1"/>
  <c r="G37" i="78"/>
  <c r="F37" i="78"/>
  <c r="F50" i="78" s="1"/>
  <c r="E37" i="78"/>
  <c r="E50" i="78" s="1"/>
  <c r="D37" i="78"/>
  <c r="D50" i="78" s="1"/>
  <c r="C37" i="78"/>
  <c r="O36" i="78"/>
  <c r="O35" i="78"/>
  <c r="O34" i="78"/>
  <c r="O33" i="78"/>
  <c r="O32" i="78"/>
  <c r="O31" i="78"/>
  <c r="O30" i="78"/>
  <c r="O29" i="78"/>
  <c r="O28" i="78"/>
  <c r="O27" i="78"/>
  <c r="O26" i="78"/>
  <c r="O25" i="78"/>
  <c r="O24" i="78"/>
  <c r="O23" i="78"/>
  <c r="O22" i="78"/>
  <c r="O21" i="78"/>
  <c r="O20" i="78"/>
  <c r="O19" i="78"/>
  <c r="O18" i="78"/>
  <c r="O17" i="78"/>
  <c r="O16" i="78"/>
  <c r="O15" i="78"/>
  <c r="O14" i="78"/>
  <c r="O13" i="78"/>
  <c r="O12" i="78"/>
  <c r="O11" i="78"/>
  <c r="O10" i="78"/>
  <c r="O9" i="78"/>
  <c r="A8" i="78"/>
  <c r="H94" i="77"/>
  <c r="C89" i="77"/>
  <c r="C88" i="77"/>
  <c r="H82" i="77"/>
  <c r="H79" i="77"/>
  <c r="H76" i="77"/>
  <c r="H75" i="77"/>
  <c r="H74" i="77"/>
  <c r="H73" i="77"/>
  <c r="H72" i="77"/>
  <c r="H71" i="77"/>
  <c r="H69" i="77"/>
  <c r="G68" i="77"/>
  <c r="G56" i="77"/>
  <c r="K50" i="77"/>
  <c r="G50" i="77"/>
  <c r="C50" i="77"/>
  <c r="N49" i="77"/>
  <c r="M49" i="77"/>
  <c r="L49" i="77"/>
  <c r="K49" i="77"/>
  <c r="J49" i="77"/>
  <c r="I49" i="77"/>
  <c r="H49" i="77"/>
  <c r="G49" i="77"/>
  <c r="F49" i="77"/>
  <c r="E49" i="77"/>
  <c r="D49" i="77"/>
  <c r="C49" i="77"/>
  <c r="O49" i="77" s="1"/>
  <c r="O48" i="77"/>
  <c r="O47" i="77"/>
  <c r="O46" i="77"/>
  <c r="O45" i="77"/>
  <c r="O44" i="77"/>
  <c r="O43" i="77"/>
  <c r="O42" i="77"/>
  <c r="G78" i="77" s="1"/>
  <c r="O41" i="77"/>
  <c r="O40" i="77"/>
  <c r="G70" i="77" s="1"/>
  <c r="H70" i="77" s="1"/>
  <c r="Q39" i="77"/>
  <c r="O39" i="77"/>
  <c r="O38" i="77"/>
  <c r="G98" i="77" s="1"/>
  <c r="N37" i="77"/>
  <c r="N50" i="77" s="1"/>
  <c r="M37" i="77"/>
  <c r="L37" i="77"/>
  <c r="L50" i="77" s="1"/>
  <c r="K37" i="77"/>
  <c r="J37" i="77"/>
  <c r="J87" i="77" s="1"/>
  <c r="L87" i="77" s="1"/>
  <c r="I37" i="77"/>
  <c r="I50" i="77" s="1"/>
  <c r="H37" i="77"/>
  <c r="H50" i="77" s="1"/>
  <c r="G37" i="77"/>
  <c r="J86" i="77" s="1"/>
  <c r="L86" i="77" s="1"/>
  <c r="F37" i="77"/>
  <c r="F50" i="77" s="1"/>
  <c r="E37" i="77"/>
  <c r="E50" i="77" s="1"/>
  <c r="D37" i="77"/>
  <c r="D50" i="77" s="1"/>
  <c r="C37" i="77"/>
  <c r="O37" i="77" s="1"/>
  <c r="G53" i="77" s="1"/>
  <c r="O36" i="77"/>
  <c r="O35" i="77"/>
  <c r="O34" i="77"/>
  <c r="O33" i="77"/>
  <c r="O32" i="77"/>
  <c r="O31" i="77"/>
  <c r="O30" i="77"/>
  <c r="O29" i="77"/>
  <c r="O28" i="77"/>
  <c r="O27" i="77"/>
  <c r="O26" i="77"/>
  <c r="O25" i="77"/>
  <c r="O24" i="77"/>
  <c r="O23" i="77"/>
  <c r="O22" i="77"/>
  <c r="O21" i="77"/>
  <c r="O20" i="77"/>
  <c r="O19" i="77"/>
  <c r="O18" i="77"/>
  <c r="O17" i="77"/>
  <c r="G57" i="77" s="1"/>
  <c r="O16" i="77"/>
  <c r="O15" i="77"/>
  <c r="O14" i="77"/>
  <c r="O13" i="77"/>
  <c r="O12" i="77"/>
  <c r="O11" i="77"/>
  <c r="O10" i="77"/>
  <c r="O9" i="77"/>
  <c r="A8" i="77"/>
  <c r="H94" i="76"/>
  <c r="C89" i="76"/>
  <c r="C88" i="76"/>
  <c r="H82" i="76"/>
  <c r="H79" i="76"/>
  <c r="H76" i="76"/>
  <c r="H75" i="76"/>
  <c r="H74" i="76"/>
  <c r="H73" i="76"/>
  <c r="H72" i="76"/>
  <c r="H71" i="76"/>
  <c r="G70" i="76"/>
  <c r="H70" i="76" s="1"/>
  <c r="G68" i="76"/>
  <c r="N49" i="76"/>
  <c r="M49" i="76"/>
  <c r="L49" i="76"/>
  <c r="K49" i="76"/>
  <c r="J49" i="76"/>
  <c r="I49" i="76"/>
  <c r="H49" i="76"/>
  <c r="G49" i="76"/>
  <c r="F49" i="76"/>
  <c r="E49" i="76"/>
  <c r="D49" i="76"/>
  <c r="C49" i="76"/>
  <c r="O48" i="76"/>
  <c r="O47" i="76"/>
  <c r="G69" i="76" s="1"/>
  <c r="H69" i="76" s="1"/>
  <c r="O46" i="76"/>
  <c r="O45" i="76"/>
  <c r="O44" i="76"/>
  <c r="G56" i="76" s="1"/>
  <c r="O43" i="76"/>
  <c r="O42" i="76"/>
  <c r="G78" i="76" s="1"/>
  <c r="O41" i="76"/>
  <c r="O40" i="76"/>
  <c r="O39" i="76"/>
  <c r="O38" i="76"/>
  <c r="G98" i="76" s="1"/>
  <c r="F74" i="1" s="1"/>
  <c r="P74" i="1" s="1"/>
  <c r="H37" i="76"/>
  <c r="H50" i="76" s="1"/>
  <c r="C37" i="76"/>
  <c r="L36" i="76"/>
  <c r="M36" i="76" s="1"/>
  <c r="N36" i="76" s="1"/>
  <c r="I36" i="76"/>
  <c r="F36" i="76"/>
  <c r="L35" i="76"/>
  <c r="M35" i="76" s="1"/>
  <c r="N35" i="76" s="1"/>
  <c r="I35" i="76"/>
  <c r="F35" i="76"/>
  <c r="G35" i="76" s="1"/>
  <c r="O35" i="76" s="1"/>
  <c r="N34" i="76"/>
  <c r="J34" i="76"/>
  <c r="K34" i="76" s="1"/>
  <c r="L34" i="76" s="1"/>
  <c r="M34" i="76" s="1"/>
  <c r="I34" i="76"/>
  <c r="E34" i="76"/>
  <c r="D34" i="76"/>
  <c r="M33" i="76"/>
  <c r="N33" i="76" s="1"/>
  <c r="I33" i="76"/>
  <c r="J33" i="76" s="1"/>
  <c r="K33" i="76" s="1"/>
  <c r="L33" i="76" s="1"/>
  <c r="D33" i="76"/>
  <c r="L32" i="76"/>
  <c r="M32" i="76" s="1"/>
  <c r="N32" i="76" s="1"/>
  <c r="I32" i="76"/>
  <c r="J32" i="76" s="1"/>
  <c r="K32" i="76" s="1"/>
  <c r="D32" i="76"/>
  <c r="K31" i="76"/>
  <c r="L31" i="76" s="1"/>
  <c r="M31" i="76" s="1"/>
  <c r="N31" i="76" s="1"/>
  <c r="I31" i="76"/>
  <c r="J31" i="76" s="1"/>
  <c r="F31" i="76"/>
  <c r="G31" i="76" s="1"/>
  <c r="D31" i="76"/>
  <c r="E31" i="76" s="1"/>
  <c r="O31" i="76" s="1"/>
  <c r="N30" i="76"/>
  <c r="J30" i="76"/>
  <c r="K30" i="76" s="1"/>
  <c r="L30" i="76" s="1"/>
  <c r="M30" i="76" s="1"/>
  <c r="I30" i="76"/>
  <c r="E30" i="76"/>
  <c r="D30" i="76"/>
  <c r="I29" i="76"/>
  <c r="J29" i="76" s="1"/>
  <c r="K29" i="76" s="1"/>
  <c r="L29" i="76" s="1"/>
  <c r="M29" i="76" s="1"/>
  <c r="N29" i="76" s="1"/>
  <c r="D29" i="76"/>
  <c r="L28" i="76"/>
  <c r="M28" i="76" s="1"/>
  <c r="N28" i="76" s="1"/>
  <c r="I28" i="76"/>
  <c r="J28" i="76" s="1"/>
  <c r="K28" i="76" s="1"/>
  <c r="D28" i="76"/>
  <c r="I27" i="76"/>
  <c r="J27" i="76" s="1"/>
  <c r="K27" i="76" s="1"/>
  <c r="L27" i="76" s="1"/>
  <c r="M27" i="76" s="1"/>
  <c r="N27" i="76" s="1"/>
  <c r="F27" i="76"/>
  <c r="G27" i="76" s="1"/>
  <c r="D27" i="76"/>
  <c r="E27" i="76" s="1"/>
  <c r="J26" i="76"/>
  <c r="K26" i="76" s="1"/>
  <c r="L26" i="76" s="1"/>
  <c r="M26" i="76" s="1"/>
  <c r="N26" i="76" s="1"/>
  <c r="I26" i="76"/>
  <c r="E26" i="76"/>
  <c r="D26" i="76"/>
  <c r="M25" i="76"/>
  <c r="N25" i="76" s="1"/>
  <c r="I25" i="76"/>
  <c r="J25" i="76" s="1"/>
  <c r="K25" i="76" s="1"/>
  <c r="L25" i="76" s="1"/>
  <c r="D25" i="76"/>
  <c r="I24" i="76"/>
  <c r="J24" i="76" s="1"/>
  <c r="K24" i="76" s="1"/>
  <c r="L24" i="76" s="1"/>
  <c r="M24" i="76" s="1"/>
  <c r="N24" i="76" s="1"/>
  <c r="D24" i="76"/>
  <c r="K23" i="76"/>
  <c r="L23" i="76" s="1"/>
  <c r="M23" i="76" s="1"/>
  <c r="N23" i="76" s="1"/>
  <c r="I23" i="76"/>
  <c r="J23" i="76" s="1"/>
  <c r="F23" i="76"/>
  <c r="G23" i="76" s="1"/>
  <c r="D23" i="76"/>
  <c r="E23" i="76" s="1"/>
  <c r="N22" i="76"/>
  <c r="J22" i="76"/>
  <c r="K22" i="76" s="1"/>
  <c r="L22" i="76" s="1"/>
  <c r="M22" i="76" s="1"/>
  <c r="I22" i="76"/>
  <c r="E22" i="76"/>
  <c r="D22" i="76"/>
  <c r="M21" i="76"/>
  <c r="N21" i="76" s="1"/>
  <c r="I21" i="76"/>
  <c r="J21" i="76" s="1"/>
  <c r="K21" i="76" s="1"/>
  <c r="L21" i="76" s="1"/>
  <c r="D21" i="76"/>
  <c r="L20" i="76"/>
  <c r="M20" i="76" s="1"/>
  <c r="N20" i="76" s="1"/>
  <c r="I20" i="76"/>
  <c r="J20" i="76" s="1"/>
  <c r="K20" i="76" s="1"/>
  <c r="D20" i="76"/>
  <c r="O19" i="76"/>
  <c r="D19" i="76"/>
  <c r="E19" i="76" s="1"/>
  <c r="F19" i="76" s="1"/>
  <c r="I18" i="76"/>
  <c r="J18" i="76" s="1"/>
  <c r="K18" i="76" s="1"/>
  <c r="L18" i="76" s="1"/>
  <c r="M18" i="76" s="1"/>
  <c r="N18" i="76" s="1"/>
  <c r="F18" i="76"/>
  <c r="G18" i="76" s="1"/>
  <c r="D18" i="76"/>
  <c r="E18" i="76" s="1"/>
  <c r="O18" i="76" s="1"/>
  <c r="J17" i="76"/>
  <c r="K17" i="76" s="1"/>
  <c r="L17" i="76" s="1"/>
  <c r="M17" i="76" s="1"/>
  <c r="N17" i="76" s="1"/>
  <c r="I17" i="76"/>
  <c r="E17" i="76"/>
  <c r="F17" i="76" s="1"/>
  <c r="G17" i="76" s="1"/>
  <c r="D17" i="76"/>
  <c r="M16" i="76"/>
  <c r="N16" i="76" s="1"/>
  <c r="I16" i="76"/>
  <c r="J16" i="76" s="1"/>
  <c r="K16" i="76" s="1"/>
  <c r="L16" i="76" s="1"/>
  <c r="D16" i="76"/>
  <c r="I15" i="76"/>
  <c r="J15" i="76" s="1"/>
  <c r="K15" i="76" s="1"/>
  <c r="L15" i="76" s="1"/>
  <c r="M15" i="76" s="1"/>
  <c r="N15" i="76" s="1"/>
  <c r="D15" i="76"/>
  <c r="K14" i="76"/>
  <c r="L13" i="76"/>
  <c r="M13" i="76" s="1"/>
  <c r="N13" i="76" s="1"/>
  <c r="I13" i="76"/>
  <c r="J13" i="76" s="1"/>
  <c r="K13" i="76" s="1"/>
  <c r="D13" i="76"/>
  <c r="K12" i="76"/>
  <c r="L12" i="76" s="1"/>
  <c r="M12" i="76" s="1"/>
  <c r="N12" i="76" s="1"/>
  <c r="I12" i="76"/>
  <c r="J12" i="76" s="1"/>
  <c r="F12" i="76"/>
  <c r="G12" i="76" s="1"/>
  <c r="D12" i="76"/>
  <c r="E12" i="76" s="1"/>
  <c r="O12" i="76" s="1"/>
  <c r="N11" i="76"/>
  <c r="K11" i="76"/>
  <c r="L11" i="76" s="1"/>
  <c r="M11" i="76" s="1"/>
  <c r="F11" i="76"/>
  <c r="E11" i="76"/>
  <c r="I10" i="76"/>
  <c r="D10" i="76"/>
  <c r="O9" i="76"/>
  <c r="A8" i="76"/>
  <c r="H95" i="75"/>
  <c r="C90" i="75"/>
  <c r="C89" i="75"/>
  <c r="G84" i="75"/>
  <c r="H83" i="75"/>
  <c r="H80" i="75"/>
  <c r="H79" i="75"/>
  <c r="H77" i="75"/>
  <c r="H76" i="75"/>
  <c r="H75" i="75"/>
  <c r="H74" i="75"/>
  <c r="H73" i="75"/>
  <c r="H72" i="75"/>
  <c r="H70" i="75"/>
  <c r="G58" i="75"/>
  <c r="G53" i="75"/>
  <c r="C49" i="75"/>
  <c r="M48" i="75"/>
  <c r="N48" i="75" s="1"/>
  <c r="I48" i="75"/>
  <c r="J48" i="75" s="1"/>
  <c r="K48" i="75" s="1"/>
  <c r="L48" i="75" s="1"/>
  <c r="H48" i="75"/>
  <c r="G48" i="75"/>
  <c r="O48" i="75" s="1"/>
  <c r="N47" i="75"/>
  <c r="J47" i="75"/>
  <c r="K47" i="75" s="1"/>
  <c r="L47" i="75" s="1"/>
  <c r="M47" i="75" s="1"/>
  <c r="F47" i="75"/>
  <c r="G47" i="75" s="1"/>
  <c r="H47" i="75" s="1"/>
  <c r="I47" i="75" s="1"/>
  <c r="D47" i="75"/>
  <c r="O47" i="75" s="1"/>
  <c r="M46" i="75"/>
  <c r="N46" i="75" s="1"/>
  <c r="I46" i="75"/>
  <c r="J46" i="75" s="1"/>
  <c r="K46" i="75" s="1"/>
  <c r="L46" i="75" s="1"/>
  <c r="E46" i="75"/>
  <c r="F46" i="75" s="1"/>
  <c r="G46" i="75" s="1"/>
  <c r="H46" i="75" s="1"/>
  <c r="D46" i="75"/>
  <c r="O46" i="75" s="1"/>
  <c r="M45" i="75"/>
  <c r="N45" i="75" s="1"/>
  <c r="I45" i="75"/>
  <c r="J45" i="75" s="1"/>
  <c r="K45" i="75" s="1"/>
  <c r="L45" i="75" s="1"/>
  <c r="E45" i="75"/>
  <c r="F45" i="75" s="1"/>
  <c r="G45" i="75" s="1"/>
  <c r="H45" i="75" s="1"/>
  <c r="D45" i="75"/>
  <c r="O45" i="75" s="1"/>
  <c r="D44" i="75"/>
  <c r="L43" i="75"/>
  <c r="M43" i="75" s="1"/>
  <c r="N43" i="75" s="1"/>
  <c r="I43" i="75"/>
  <c r="J43" i="75" s="1"/>
  <c r="K43" i="75" s="1"/>
  <c r="D43" i="75"/>
  <c r="O42" i="75"/>
  <c r="O76" i="75" s="1"/>
  <c r="N42" i="75"/>
  <c r="J42" i="75"/>
  <c r="K42" i="75" s="1"/>
  <c r="L42" i="75" s="1"/>
  <c r="F42" i="75"/>
  <c r="G42" i="75" s="1"/>
  <c r="H42" i="75" s="1"/>
  <c r="I42" i="75" s="1"/>
  <c r="E42" i="75"/>
  <c r="D42" i="75"/>
  <c r="F41" i="75"/>
  <c r="G41" i="75" s="1"/>
  <c r="H41" i="75" s="1"/>
  <c r="I41" i="75" s="1"/>
  <c r="J41" i="75" s="1"/>
  <c r="K41" i="75" s="1"/>
  <c r="L41" i="75" s="1"/>
  <c r="M41" i="75" s="1"/>
  <c r="N41" i="75" s="1"/>
  <c r="E41" i="75"/>
  <c r="D41" i="75"/>
  <c r="F40" i="75"/>
  <c r="E40" i="75"/>
  <c r="D40" i="75"/>
  <c r="O39" i="75"/>
  <c r="O38" i="75"/>
  <c r="G99" i="75" s="1"/>
  <c r="C37" i="75"/>
  <c r="O36" i="75"/>
  <c r="O35" i="75"/>
  <c r="O34" i="75"/>
  <c r="O33" i="75"/>
  <c r="O32" i="75"/>
  <c r="O31" i="75"/>
  <c r="O30" i="75"/>
  <c r="O29" i="75"/>
  <c r="O28" i="75"/>
  <c r="O27" i="75"/>
  <c r="O26" i="75"/>
  <c r="O25" i="75"/>
  <c r="O24" i="75"/>
  <c r="O23" i="75"/>
  <c r="O22" i="75"/>
  <c r="O21" i="75"/>
  <c r="O20" i="75"/>
  <c r="O19" i="75"/>
  <c r="O18" i="75"/>
  <c r="O17" i="75"/>
  <c r="D16" i="75"/>
  <c r="O15" i="75"/>
  <c r="O14" i="75"/>
  <c r="O13" i="75"/>
  <c r="G12" i="75"/>
  <c r="H12" i="75" s="1"/>
  <c r="F12" i="75"/>
  <c r="D12" i="75"/>
  <c r="O11" i="75"/>
  <c r="L10" i="75"/>
  <c r="M10" i="75" s="1"/>
  <c r="I10" i="75"/>
  <c r="D10" i="75"/>
  <c r="D9" i="75"/>
  <c r="A8" i="75"/>
  <c r="H94" i="74"/>
  <c r="C89" i="74"/>
  <c r="C88" i="74"/>
  <c r="H82" i="74"/>
  <c r="H79" i="74"/>
  <c r="H76" i="74"/>
  <c r="H75" i="74"/>
  <c r="H74" i="74"/>
  <c r="H73" i="74"/>
  <c r="H72" i="74"/>
  <c r="H71" i="74"/>
  <c r="H69" i="74"/>
  <c r="G57" i="74"/>
  <c r="M50" i="74"/>
  <c r="I50" i="74"/>
  <c r="E50" i="74"/>
  <c r="N49" i="74"/>
  <c r="M49" i="74"/>
  <c r="L49" i="74"/>
  <c r="K49" i="74"/>
  <c r="J49" i="74"/>
  <c r="I49" i="74"/>
  <c r="H49" i="74"/>
  <c r="G49" i="74"/>
  <c r="F49" i="74"/>
  <c r="E49" i="74"/>
  <c r="D49" i="74"/>
  <c r="C49" i="74"/>
  <c r="O48" i="74"/>
  <c r="O47" i="74"/>
  <c r="O46" i="74"/>
  <c r="O45" i="74"/>
  <c r="O44" i="74"/>
  <c r="G56" i="74" s="1"/>
  <c r="O43" i="74"/>
  <c r="G68" i="74" s="1"/>
  <c r="G77" i="74" s="1"/>
  <c r="O42" i="74"/>
  <c r="O72" i="74" s="1"/>
  <c r="O41" i="74"/>
  <c r="O40" i="74"/>
  <c r="G70" i="74" s="1"/>
  <c r="H70" i="74" s="1"/>
  <c r="O39" i="74"/>
  <c r="O38" i="74"/>
  <c r="G98" i="74" s="1"/>
  <c r="F70" i="1" s="1"/>
  <c r="P70" i="1" s="1"/>
  <c r="N37" i="74"/>
  <c r="M37" i="74"/>
  <c r="L37" i="74"/>
  <c r="L50" i="74" s="1"/>
  <c r="K37" i="74"/>
  <c r="K50" i="74" s="1"/>
  <c r="J37" i="74"/>
  <c r="I37" i="74"/>
  <c r="H37" i="74"/>
  <c r="H50" i="74" s="1"/>
  <c r="G37" i="74"/>
  <c r="G50" i="74" s="1"/>
  <c r="F37" i="74"/>
  <c r="E37" i="74"/>
  <c r="D37" i="74"/>
  <c r="D50" i="74" s="1"/>
  <c r="C37" i="74"/>
  <c r="C50" i="74" s="1"/>
  <c r="O36" i="74"/>
  <c r="O35" i="74"/>
  <c r="O34" i="74"/>
  <c r="O33" i="74"/>
  <c r="O32" i="74"/>
  <c r="O31" i="74"/>
  <c r="O30" i="74"/>
  <c r="O29" i="74"/>
  <c r="O28" i="74"/>
  <c r="O27" i="74"/>
  <c r="O26" i="74"/>
  <c r="O25" i="74"/>
  <c r="O24" i="74"/>
  <c r="O23" i="74"/>
  <c r="O22" i="74"/>
  <c r="O21" i="74"/>
  <c r="O20" i="74"/>
  <c r="O19" i="74"/>
  <c r="O18" i="74"/>
  <c r="O17" i="74"/>
  <c r="O16" i="74"/>
  <c r="O15" i="74"/>
  <c r="O14" i="74"/>
  <c r="O13" i="74"/>
  <c r="O12" i="74"/>
  <c r="O11" i="74"/>
  <c r="O10" i="74"/>
  <c r="O9" i="74"/>
  <c r="A8" i="74"/>
  <c r="H94" i="73"/>
  <c r="C89" i="73"/>
  <c r="C88" i="73"/>
  <c r="H82" i="73"/>
  <c r="H79" i="73"/>
  <c r="H76" i="73"/>
  <c r="H75" i="73"/>
  <c r="H74" i="73"/>
  <c r="H73" i="73"/>
  <c r="H72" i="73"/>
  <c r="H71" i="73"/>
  <c r="C49" i="73"/>
  <c r="J48" i="73"/>
  <c r="K48" i="73" s="1"/>
  <c r="L48" i="73" s="1"/>
  <c r="M48" i="73" s="1"/>
  <c r="N48" i="73" s="1"/>
  <c r="H48" i="73"/>
  <c r="I48" i="73" s="1"/>
  <c r="G48" i="73"/>
  <c r="E47" i="73"/>
  <c r="F47" i="73" s="1"/>
  <c r="G47" i="73" s="1"/>
  <c r="D47" i="73"/>
  <c r="E46" i="73"/>
  <c r="F46" i="73" s="1"/>
  <c r="G46" i="73" s="1"/>
  <c r="D46" i="73"/>
  <c r="E45" i="73"/>
  <c r="F45" i="73" s="1"/>
  <c r="D45" i="73"/>
  <c r="F44" i="73"/>
  <c r="D44" i="73"/>
  <c r="E44" i="73" s="1"/>
  <c r="F43" i="73"/>
  <c r="G43" i="73" s="1"/>
  <c r="H43" i="73" s="1"/>
  <c r="I43" i="73" s="1"/>
  <c r="J43" i="73" s="1"/>
  <c r="K43" i="73" s="1"/>
  <c r="L43" i="73" s="1"/>
  <c r="M43" i="73" s="1"/>
  <c r="N43" i="73" s="1"/>
  <c r="D43" i="73"/>
  <c r="E43" i="73" s="1"/>
  <c r="F42" i="73"/>
  <c r="G42" i="73" s="1"/>
  <c r="H42" i="73" s="1"/>
  <c r="I42" i="73" s="1"/>
  <c r="J42" i="73" s="1"/>
  <c r="K42" i="73" s="1"/>
  <c r="L42" i="73" s="1"/>
  <c r="M42" i="73" s="1"/>
  <c r="N42" i="73" s="1"/>
  <c r="D42" i="73"/>
  <c r="E42" i="73" s="1"/>
  <c r="F41" i="73"/>
  <c r="G41" i="73" s="1"/>
  <c r="H41" i="73" s="1"/>
  <c r="I41" i="73" s="1"/>
  <c r="J41" i="73" s="1"/>
  <c r="K41" i="73" s="1"/>
  <c r="L41" i="73" s="1"/>
  <c r="M41" i="73" s="1"/>
  <c r="N41" i="73" s="1"/>
  <c r="D41" i="73"/>
  <c r="E41" i="73" s="1"/>
  <c r="D40" i="73"/>
  <c r="D49" i="73" s="1"/>
  <c r="O39" i="73"/>
  <c r="O38" i="73"/>
  <c r="G98" i="73" s="1"/>
  <c r="F76" i="1" s="1"/>
  <c r="P76" i="1" s="1"/>
  <c r="D37" i="73"/>
  <c r="D50" i="73" s="1"/>
  <c r="C37" i="73"/>
  <c r="O36" i="73"/>
  <c r="O35" i="73"/>
  <c r="O34" i="73"/>
  <c r="O33" i="73"/>
  <c r="O32" i="73"/>
  <c r="O31" i="73"/>
  <c r="O30" i="73"/>
  <c r="O29" i="73"/>
  <c r="O28" i="73"/>
  <c r="O27" i="73"/>
  <c r="O26" i="73"/>
  <c r="O25" i="73"/>
  <c r="O24" i="73"/>
  <c r="O23" i="73"/>
  <c r="O22" i="73"/>
  <c r="O21" i="73"/>
  <c r="O20" i="73"/>
  <c r="O19" i="73"/>
  <c r="O18" i="73"/>
  <c r="O17" i="73"/>
  <c r="O16" i="73"/>
  <c r="O15" i="73"/>
  <c r="O14" i="73"/>
  <c r="O13" i="73"/>
  <c r="M12" i="73"/>
  <c r="N12" i="73" s="1"/>
  <c r="K12" i="73"/>
  <c r="L12" i="73" s="1"/>
  <c r="J12" i="73"/>
  <c r="F12" i="73"/>
  <c r="G12" i="73" s="1"/>
  <c r="H12" i="73" s="1"/>
  <c r="H37" i="73" s="1"/>
  <c r="E12" i="73"/>
  <c r="O11" i="73"/>
  <c r="J10" i="73"/>
  <c r="K10" i="73" s="1"/>
  <c r="I10" i="73"/>
  <c r="I37" i="73" s="1"/>
  <c r="E10" i="73"/>
  <c r="D10" i="73"/>
  <c r="E9" i="73"/>
  <c r="F9" i="73" s="1"/>
  <c r="D9" i="73"/>
  <c r="A8" i="73"/>
  <c r="H94" i="72"/>
  <c r="C89" i="72"/>
  <c r="C88" i="72"/>
  <c r="G83" i="72"/>
  <c r="H82" i="72"/>
  <c r="H79" i="72"/>
  <c r="H78" i="72"/>
  <c r="H76" i="72"/>
  <c r="H75" i="72"/>
  <c r="H74" i="72"/>
  <c r="G73" i="72"/>
  <c r="H73" i="72" s="1"/>
  <c r="H72" i="72"/>
  <c r="H71" i="72"/>
  <c r="G70" i="72"/>
  <c r="H70" i="72" s="1"/>
  <c r="O68" i="72"/>
  <c r="G56" i="72"/>
  <c r="Q50" i="72"/>
  <c r="L50" i="72"/>
  <c r="H50" i="72"/>
  <c r="D50" i="72"/>
  <c r="N49" i="72"/>
  <c r="M49" i="72"/>
  <c r="L49" i="72"/>
  <c r="K49" i="72"/>
  <c r="J49" i="72"/>
  <c r="I49" i="72"/>
  <c r="H49" i="72"/>
  <c r="G49" i="72"/>
  <c r="F49" i="72"/>
  <c r="E49" i="72"/>
  <c r="D49" i="72"/>
  <c r="C49" i="72"/>
  <c r="O48" i="72"/>
  <c r="O47" i="72"/>
  <c r="G69" i="72" s="1"/>
  <c r="H69" i="72" s="1"/>
  <c r="O46" i="72"/>
  <c r="O45" i="72"/>
  <c r="O44" i="72"/>
  <c r="O43" i="72"/>
  <c r="G68" i="72" s="1"/>
  <c r="O42" i="72"/>
  <c r="O41" i="72"/>
  <c r="O40" i="72"/>
  <c r="O39" i="72"/>
  <c r="O38" i="72"/>
  <c r="G98" i="72" s="1"/>
  <c r="F77" i="1" s="1"/>
  <c r="N37" i="72"/>
  <c r="M37" i="72"/>
  <c r="L37" i="72"/>
  <c r="K37" i="72"/>
  <c r="K50" i="72" s="1"/>
  <c r="J37" i="72"/>
  <c r="J87" i="72" s="1"/>
  <c r="I37" i="72"/>
  <c r="H37" i="72"/>
  <c r="G37" i="72"/>
  <c r="G50" i="72" s="1"/>
  <c r="F37" i="72"/>
  <c r="F50" i="72" s="1"/>
  <c r="E37" i="72"/>
  <c r="D37" i="72"/>
  <c r="C37" i="72"/>
  <c r="C50" i="72" s="1"/>
  <c r="O36" i="72"/>
  <c r="O35" i="72"/>
  <c r="O34" i="72"/>
  <c r="O33" i="72"/>
  <c r="O32" i="72"/>
  <c r="O31" i="72"/>
  <c r="O30" i="72"/>
  <c r="O29" i="72"/>
  <c r="O28" i="72"/>
  <c r="O27" i="72"/>
  <c r="O26" i="72"/>
  <c r="O25" i="72"/>
  <c r="O24" i="72"/>
  <c r="O23" i="72"/>
  <c r="O22" i="72"/>
  <c r="O21" i="72"/>
  <c r="O20" i="72"/>
  <c r="O19" i="72"/>
  <c r="O18" i="72"/>
  <c r="O17" i="72"/>
  <c r="O16" i="72"/>
  <c r="O15" i="72"/>
  <c r="O14" i="72"/>
  <c r="O13" i="72"/>
  <c r="O12" i="72"/>
  <c r="O11" i="72"/>
  <c r="O10" i="72"/>
  <c r="O9" i="72"/>
  <c r="A8" i="72"/>
  <c r="H94" i="71"/>
  <c r="C89" i="71"/>
  <c r="C88" i="71"/>
  <c r="H82" i="71"/>
  <c r="H79" i="71"/>
  <c r="H76" i="71"/>
  <c r="H75" i="71"/>
  <c r="H74" i="71"/>
  <c r="H73" i="71"/>
  <c r="H72" i="71"/>
  <c r="H71" i="71"/>
  <c r="H70" i="71"/>
  <c r="G56" i="71"/>
  <c r="L49" i="71"/>
  <c r="K49" i="71"/>
  <c r="J49" i="71"/>
  <c r="E49" i="71"/>
  <c r="D49" i="71"/>
  <c r="C49" i="71"/>
  <c r="O48" i="71"/>
  <c r="O47" i="71"/>
  <c r="G69" i="71" s="1"/>
  <c r="H69" i="71" s="1"/>
  <c r="L46" i="71"/>
  <c r="M46" i="71" s="1"/>
  <c r="F46" i="71"/>
  <c r="F49" i="71" s="1"/>
  <c r="O45" i="71"/>
  <c r="O44" i="71"/>
  <c r="O43" i="71"/>
  <c r="G68" i="71" s="1"/>
  <c r="G77" i="71" s="1"/>
  <c r="O42" i="71"/>
  <c r="G78" i="71" s="1"/>
  <c r="O41" i="71"/>
  <c r="O40" i="71"/>
  <c r="G70" i="71" s="1"/>
  <c r="O39" i="71"/>
  <c r="O38" i="71"/>
  <c r="G98" i="71" s="1"/>
  <c r="I37" i="71"/>
  <c r="H37" i="71"/>
  <c r="G37" i="71"/>
  <c r="F37" i="71"/>
  <c r="E37" i="71"/>
  <c r="E50" i="71" s="1"/>
  <c r="D37" i="71"/>
  <c r="C37" i="71"/>
  <c r="O36" i="71"/>
  <c r="O35" i="71"/>
  <c r="O34" i="71"/>
  <c r="O33" i="71"/>
  <c r="O32" i="71"/>
  <c r="O31" i="71"/>
  <c r="O30" i="71"/>
  <c r="O29" i="71"/>
  <c r="O28" i="71"/>
  <c r="O27" i="71"/>
  <c r="O26" i="71"/>
  <c r="O25" i="71"/>
  <c r="O24" i="71"/>
  <c r="O23" i="71"/>
  <c r="O22" i="71"/>
  <c r="O21" i="71"/>
  <c r="O20" i="71"/>
  <c r="O19" i="71"/>
  <c r="O18" i="71"/>
  <c r="O17" i="71"/>
  <c r="O16" i="71"/>
  <c r="O15" i="71"/>
  <c r="O14" i="71"/>
  <c r="O13" i="71"/>
  <c r="O12" i="71"/>
  <c r="O11" i="71"/>
  <c r="J10" i="71"/>
  <c r="O9" i="71"/>
  <c r="A8" i="71"/>
  <c r="H94" i="70"/>
  <c r="C89" i="70"/>
  <c r="C88" i="70"/>
  <c r="H82" i="70"/>
  <c r="H79" i="70"/>
  <c r="H76" i="70"/>
  <c r="H75" i="70"/>
  <c r="H74" i="70"/>
  <c r="H73" i="70"/>
  <c r="O72" i="70"/>
  <c r="H72" i="70"/>
  <c r="H71" i="70"/>
  <c r="Q50" i="70"/>
  <c r="C49" i="70"/>
  <c r="J48" i="70"/>
  <c r="K48" i="70" s="1"/>
  <c r="L48" i="70" s="1"/>
  <c r="M48" i="70" s="1"/>
  <c r="N48" i="70" s="1"/>
  <c r="I48" i="70"/>
  <c r="E48" i="70"/>
  <c r="F48" i="70" s="1"/>
  <c r="G48" i="70" s="1"/>
  <c r="D48" i="70"/>
  <c r="M47" i="70"/>
  <c r="N47" i="70" s="1"/>
  <c r="I47" i="70"/>
  <c r="J47" i="70" s="1"/>
  <c r="K47" i="70" s="1"/>
  <c r="L47" i="70" s="1"/>
  <c r="D47" i="70"/>
  <c r="J46" i="70"/>
  <c r="K46" i="70" s="1"/>
  <c r="L46" i="70" s="1"/>
  <c r="M46" i="70" s="1"/>
  <c r="N46" i="70" s="1"/>
  <c r="I46" i="70"/>
  <c r="G46" i="70"/>
  <c r="E46" i="70"/>
  <c r="F46" i="70" s="1"/>
  <c r="D46" i="70"/>
  <c r="O46" i="70" s="1"/>
  <c r="K45" i="70"/>
  <c r="L45" i="70" s="1"/>
  <c r="M45" i="70" s="1"/>
  <c r="N45" i="70" s="1"/>
  <c r="I45" i="70"/>
  <c r="J45" i="70" s="1"/>
  <c r="F45" i="70"/>
  <c r="G45" i="70" s="1"/>
  <c r="D45" i="70"/>
  <c r="E45" i="70" s="1"/>
  <c r="O44" i="70"/>
  <c r="G56" i="70" s="1"/>
  <c r="O43" i="70"/>
  <c r="G68" i="70" s="1"/>
  <c r="O42" i="70"/>
  <c r="G78" i="70" s="1"/>
  <c r="G83" i="70" s="1"/>
  <c r="I41" i="70"/>
  <c r="J41" i="70" s="1"/>
  <c r="K41" i="70" s="1"/>
  <c r="L41" i="70" s="1"/>
  <c r="M41" i="70" s="1"/>
  <c r="N41" i="70" s="1"/>
  <c r="D41" i="70"/>
  <c r="D40" i="70"/>
  <c r="I39" i="70"/>
  <c r="J39" i="70" s="1"/>
  <c r="E39" i="70"/>
  <c r="F39" i="70" s="1"/>
  <c r="D39" i="70"/>
  <c r="O38" i="70"/>
  <c r="G98" i="70" s="1"/>
  <c r="F79" i="1" s="1"/>
  <c r="P79" i="1" s="1"/>
  <c r="Q37" i="70"/>
  <c r="C37" i="70"/>
  <c r="C50" i="70" s="1"/>
  <c r="L36" i="70"/>
  <c r="M36" i="70" s="1"/>
  <c r="N36" i="70" s="1"/>
  <c r="I36" i="70"/>
  <c r="F36" i="70"/>
  <c r="G36" i="70" s="1"/>
  <c r="O36" i="70" s="1"/>
  <c r="L35" i="70"/>
  <c r="M35" i="70" s="1"/>
  <c r="N35" i="70" s="1"/>
  <c r="I35" i="70"/>
  <c r="G35" i="70"/>
  <c r="F35" i="70"/>
  <c r="M34" i="70"/>
  <c r="N34" i="70" s="1"/>
  <c r="I34" i="70"/>
  <c r="J34" i="70" s="1"/>
  <c r="K34" i="70" s="1"/>
  <c r="L34" i="70" s="1"/>
  <c r="D34" i="70"/>
  <c r="I33" i="70"/>
  <c r="J33" i="70" s="1"/>
  <c r="K33" i="70" s="1"/>
  <c r="L33" i="70" s="1"/>
  <c r="M33" i="70" s="1"/>
  <c r="N33" i="70" s="1"/>
  <c r="D33" i="70"/>
  <c r="K32" i="70"/>
  <c r="L32" i="70" s="1"/>
  <c r="M32" i="70" s="1"/>
  <c r="N32" i="70" s="1"/>
  <c r="I32" i="70"/>
  <c r="J32" i="70" s="1"/>
  <c r="F32" i="70"/>
  <c r="G32" i="70" s="1"/>
  <c r="D32" i="70"/>
  <c r="E32" i="70" s="1"/>
  <c r="O32" i="70" s="1"/>
  <c r="N31" i="70"/>
  <c r="J31" i="70"/>
  <c r="K31" i="70" s="1"/>
  <c r="L31" i="70" s="1"/>
  <c r="M31" i="70" s="1"/>
  <c r="I31" i="70"/>
  <c r="E31" i="70"/>
  <c r="D31" i="70"/>
  <c r="I30" i="70"/>
  <c r="J30" i="70" s="1"/>
  <c r="K30" i="70" s="1"/>
  <c r="L30" i="70" s="1"/>
  <c r="M30" i="70" s="1"/>
  <c r="N30" i="70" s="1"/>
  <c r="D30" i="70"/>
  <c r="L29" i="70"/>
  <c r="M29" i="70" s="1"/>
  <c r="N29" i="70" s="1"/>
  <c r="I29" i="70"/>
  <c r="J29" i="70" s="1"/>
  <c r="K29" i="70" s="1"/>
  <c r="D29" i="70"/>
  <c r="I28" i="70"/>
  <c r="J28" i="70" s="1"/>
  <c r="K28" i="70" s="1"/>
  <c r="L28" i="70" s="1"/>
  <c r="M28" i="70" s="1"/>
  <c r="N28" i="70" s="1"/>
  <c r="D28" i="70"/>
  <c r="E28" i="70" s="1"/>
  <c r="F28" i="70" s="1"/>
  <c r="G28" i="70" s="1"/>
  <c r="J27" i="70"/>
  <c r="K27" i="70" s="1"/>
  <c r="L27" i="70" s="1"/>
  <c r="M27" i="70" s="1"/>
  <c r="N27" i="70" s="1"/>
  <c r="I27" i="70"/>
  <c r="E27" i="70"/>
  <c r="D27" i="70"/>
  <c r="M26" i="70"/>
  <c r="N26" i="70" s="1"/>
  <c r="I26" i="70"/>
  <c r="J26" i="70" s="1"/>
  <c r="K26" i="70" s="1"/>
  <c r="L26" i="70" s="1"/>
  <c r="D26" i="70"/>
  <c r="I25" i="70"/>
  <c r="J25" i="70" s="1"/>
  <c r="K25" i="70" s="1"/>
  <c r="L25" i="70" s="1"/>
  <c r="M25" i="70" s="1"/>
  <c r="N25" i="70" s="1"/>
  <c r="D25" i="70"/>
  <c r="K24" i="70"/>
  <c r="L24" i="70" s="1"/>
  <c r="M24" i="70" s="1"/>
  <c r="N24" i="70" s="1"/>
  <c r="I24" i="70"/>
  <c r="J24" i="70" s="1"/>
  <c r="F24" i="70"/>
  <c r="G24" i="70" s="1"/>
  <c r="D24" i="70"/>
  <c r="E24" i="70" s="1"/>
  <c r="O24" i="70" s="1"/>
  <c r="N23" i="70"/>
  <c r="J23" i="70"/>
  <c r="K23" i="70" s="1"/>
  <c r="L23" i="70" s="1"/>
  <c r="M23" i="70" s="1"/>
  <c r="I23" i="70"/>
  <c r="E23" i="70"/>
  <c r="F23" i="70" s="1"/>
  <c r="G23" i="70" s="1"/>
  <c r="D23" i="70"/>
  <c r="O23" i="70" s="1"/>
  <c r="M22" i="70"/>
  <c r="N22" i="70" s="1"/>
  <c r="L22" i="70"/>
  <c r="I22" i="70"/>
  <c r="F22" i="70"/>
  <c r="G22" i="70" s="1"/>
  <c r="E22" i="70"/>
  <c r="D22" i="70"/>
  <c r="O22" i="70" s="1"/>
  <c r="J21" i="70"/>
  <c r="K21" i="70" s="1"/>
  <c r="L21" i="70" s="1"/>
  <c r="M21" i="70" s="1"/>
  <c r="N21" i="70" s="1"/>
  <c r="I21" i="70"/>
  <c r="E21" i="70"/>
  <c r="F21" i="70" s="1"/>
  <c r="G21" i="70" s="1"/>
  <c r="D21" i="70"/>
  <c r="M20" i="70"/>
  <c r="N20" i="70" s="1"/>
  <c r="I20" i="70"/>
  <c r="J20" i="70" s="1"/>
  <c r="K20" i="70" s="1"/>
  <c r="L20" i="70" s="1"/>
  <c r="D20" i="70"/>
  <c r="D19" i="70"/>
  <c r="L18" i="70"/>
  <c r="M18" i="70" s="1"/>
  <c r="N18" i="70" s="1"/>
  <c r="I18" i="70"/>
  <c r="J18" i="70" s="1"/>
  <c r="K18" i="70" s="1"/>
  <c r="G18" i="70"/>
  <c r="F18" i="70"/>
  <c r="E18" i="70"/>
  <c r="D18" i="70"/>
  <c r="O17" i="70"/>
  <c r="K17" i="70"/>
  <c r="L17" i="70" s="1"/>
  <c r="M17" i="70" s="1"/>
  <c r="N17" i="70" s="1"/>
  <c r="J17" i="70"/>
  <c r="I17" i="70"/>
  <c r="F17" i="70"/>
  <c r="G17" i="70" s="1"/>
  <c r="E17" i="70"/>
  <c r="D17" i="70"/>
  <c r="J16" i="70"/>
  <c r="K16" i="70" s="1"/>
  <c r="L16" i="70" s="1"/>
  <c r="M16" i="70" s="1"/>
  <c r="N16" i="70" s="1"/>
  <c r="I16" i="70"/>
  <c r="E16" i="70"/>
  <c r="F16" i="70" s="1"/>
  <c r="G16" i="70" s="1"/>
  <c r="D16" i="70"/>
  <c r="M15" i="70"/>
  <c r="N15" i="70" s="1"/>
  <c r="I15" i="70"/>
  <c r="J15" i="70" s="1"/>
  <c r="K15" i="70" s="1"/>
  <c r="L15" i="70" s="1"/>
  <c r="D15" i="70"/>
  <c r="L14" i="70"/>
  <c r="M14" i="70" s="1"/>
  <c r="N14" i="70" s="1"/>
  <c r="K14" i="70"/>
  <c r="G14" i="70"/>
  <c r="H14" i="70" s="1"/>
  <c r="F14" i="70"/>
  <c r="E14" i="70"/>
  <c r="J13" i="70"/>
  <c r="K13" i="70" s="1"/>
  <c r="L13" i="70" s="1"/>
  <c r="M13" i="70" s="1"/>
  <c r="N13" i="70" s="1"/>
  <c r="I13" i="70"/>
  <c r="E13" i="70"/>
  <c r="F13" i="70" s="1"/>
  <c r="G13" i="70" s="1"/>
  <c r="D13" i="70"/>
  <c r="M12" i="70"/>
  <c r="N12" i="70" s="1"/>
  <c r="I12" i="70"/>
  <c r="J12" i="70" s="1"/>
  <c r="K12" i="70" s="1"/>
  <c r="L12" i="70" s="1"/>
  <c r="D12" i="70"/>
  <c r="L11" i="70"/>
  <c r="M11" i="70" s="1"/>
  <c r="N11" i="70" s="1"/>
  <c r="K11" i="70"/>
  <c r="E11" i="70"/>
  <c r="K10" i="70"/>
  <c r="J10" i="70"/>
  <c r="I10" i="70"/>
  <c r="F10" i="70"/>
  <c r="G10" i="70" s="1"/>
  <c r="E10" i="70"/>
  <c r="D10" i="70"/>
  <c r="O9" i="70"/>
  <c r="A8" i="70"/>
  <c r="H95" i="69"/>
  <c r="C90" i="69"/>
  <c r="C89" i="69"/>
  <c r="H83" i="69"/>
  <c r="H80" i="69"/>
  <c r="H78" i="69"/>
  <c r="H77" i="69"/>
  <c r="H76" i="69"/>
  <c r="H75" i="69"/>
  <c r="H74" i="69"/>
  <c r="H73" i="69"/>
  <c r="H72" i="69"/>
  <c r="G70" i="69"/>
  <c r="H70" i="69" s="1"/>
  <c r="Q51" i="69"/>
  <c r="L50" i="69"/>
  <c r="K50" i="69"/>
  <c r="J50" i="69"/>
  <c r="I50" i="69"/>
  <c r="H50" i="69"/>
  <c r="G50" i="69"/>
  <c r="F50" i="69"/>
  <c r="E50" i="69"/>
  <c r="C50" i="69"/>
  <c r="N49" i="69"/>
  <c r="N50" i="69" s="1"/>
  <c r="M49" i="69"/>
  <c r="M50" i="69" s="1"/>
  <c r="D49" i="69"/>
  <c r="O48" i="69"/>
  <c r="O47" i="69"/>
  <c r="O46" i="69"/>
  <c r="O45" i="69"/>
  <c r="O44" i="69"/>
  <c r="G57" i="69" s="1"/>
  <c r="O43" i="69"/>
  <c r="G69" i="69" s="1"/>
  <c r="O42" i="69"/>
  <c r="O73" i="69" s="1"/>
  <c r="O41" i="69"/>
  <c r="O40" i="69"/>
  <c r="G71" i="69" s="1"/>
  <c r="H71" i="69" s="1"/>
  <c r="Q39" i="69"/>
  <c r="O39" i="69"/>
  <c r="O38" i="69"/>
  <c r="G99" i="69" s="1"/>
  <c r="F73" i="1" s="1"/>
  <c r="C37" i="69"/>
  <c r="L36" i="69"/>
  <c r="M36" i="69" s="1"/>
  <c r="N36" i="69" s="1"/>
  <c r="I36" i="69"/>
  <c r="F36" i="69"/>
  <c r="L35" i="69"/>
  <c r="M35" i="69" s="1"/>
  <c r="N35" i="69" s="1"/>
  <c r="I35" i="69"/>
  <c r="F35" i="69"/>
  <c r="K34" i="69"/>
  <c r="L34" i="69" s="1"/>
  <c r="M34" i="69" s="1"/>
  <c r="N34" i="69" s="1"/>
  <c r="J34" i="69"/>
  <c r="I34" i="69"/>
  <c r="F34" i="69"/>
  <c r="E34" i="69"/>
  <c r="D34" i="69"/>
  <c r="J33" i="69"/>
  <c r="K33" i="69" s="1"/>
  <c r="L33" i="69" s="1"/>
  <c r="M33" i="69" s="1"/>
  <c r="N33" i="69" s="1"/>
  <c r="I33" i="69"/>
  <c r="F33" i="69"/>
  <c r="G33" i="69" s="1"/>
  <c r="E33" i="69"/>
  <c r="D33" i="69"/>
  <c r="I32" i="69"/>
  <c r="J32" i="69" s="1"/>
  <c r="K32" i="69" s="1"/>
  <c r="L32" i="69" s="1"/>
  <c r="M32" i="69" s="1"/>
  <c r="N32" i="69" s="1"/>
  <c r="D32" i="69"/>
  <c r="I31" i="69"/>
  <c r="J31" i="69" s="1"/>
  <c r="K31" i="69" s="1"/>
  <c r="L31" i="69" s="1"/>
  <c r="M31" i="69" s="1"/>
  <c r="N31" i="69" s="1"/>
  <c r="D31" i="69"/>
  <c r="K30" i="69"/>
  <c r="L30" i="69" s="1"/>
  <c r="M30" i="69" s="1"/>
  <c r="N30" i="69" s="1"/>
  <c r="J30" i="69"/>
  <c r="I30" i="69"/>
  <c r="F30" i="69"/>
  <c r="E30" i="69"/>
  <c r="D30" i="69"/>
  <c r="J29" i="69"/>
  <c r="K29" i="69" s="1"/>
  <c r="L29" i="69" s="1"/>
  <c r="M29" i="69" s="1"/>
  <c r="N29" i="69" s="1"/>
  <c r="I29" i="69"/>
  <c r="F29" i="69"/>
  <c r="G29" i="69" s="1"/>
  <c r="E29" i="69"/>
  <c r="D29" i="69"/>
  <c r="I28" i="69"/>
  <c r="J28" i="69" s="1"/>
  <c r="K28" i="69" s="1"/>
  <c r="L28" i="69" s="1"/>
  <c r="M28" i="69" s="1"/>
  <c r="N28" i="69" s="1"/>
  <c r="D28" i="69"/>
  <c r="E28" i="69" s="1"/>
  <c r="F28" i="69" s="1"/>
  <c r="G28" i="69" s="1"/>
  <c r="I27" i="69"/>
  <c r="J27" i="69" s="1"/>
  <c r="K27" i="69" s="1"/>
  <c r="L27" i="69" s="1"/>
  <c r="M27" i="69" s="1"/>
  <c r="N27" i="69" s="1"/>
  <c r="D27" i="69"/>
  <c r="K26" i="69"/>
  <c r="L26" i="69" s="1"/>
  <c r="M26" i="69" s="1"/>
  <c r="N26" i="69" s="1"/>
  <c r="J26" i="69"/>
  <c r="I26" i="69"/>
  <c r="F26" i="69"/>
  <c r="E26" i="69"/>
  <c r="D26" i="69"/>
  <c r="J25" i="69"/>
  <c r="K25" i="69" s="1"/>
  <c r="L25" i="69" s="1"/>
  <c r="M25" i="69" s="1"/>
  <c r="N25" i="69" s="1"/>
  <c r="I25" i="69"/>
  <c r="F25" i="69"/>
  <c r="G25" i="69" s="1"/>
  <c r="E25" i="69"/>
  <c r="D25" i="69"/>
  <c r="I24" i="69"/>
  <c r="J24" i="69" s="1"/>
  <c r="K24" i="69" s="1"/>
  <c r="L24" i="69" s="1"/>
  <c r="M24" i="69" s="1"/>
  <c r="N24" i="69" s="1"/>
  <c r="D24" i="69"/>
  <c r="E24" i="69" s="1"/>
  <c r="F24" i="69" s="1"/>
  <c r="G24" i="69" s="1"/>
  <c r="I23" i="69"/>
  <c r="J23" i="69" s="1"/>
  <c r="K23" i="69" s="1"/>
  <c r="L23" i="69" s="1"/>
  <c r="M23" i="69" s="1"/>
  <c r="N23" i="69" s="1"/>
  <c r="D23" i="69"/>
  <c r="L22" i="69"/>
  <c r="M22" i="69" s="1"/>
  <c r="N22" i="69" s="1"/>
  <c r="I22" i="69"/>
  <c r="D22" i="69"/>
  <c r="E22" i="69" s="1"/>
  <c r="F22" i="69" s="1"/>
  <c r="G22" i="69" s="1"/>
  <c r="L21" i="69"/>
  <c r="M21" i="69" s="1"/>
  <c r="N21" i="69" s="1"/>
  <c r="I21" i="69"/>
  <c r="J21" i="69" s="1"/>
  <c r="K21" i="69" s="1"/>
  <c r="D21" i="69"/>
  <c r="K20" i="69"/>
  <c r="L20" i="69" s="1"/>
  <c r="M20" i="69" s="1"/>
  <c r="N20" i="69" s="1"/>
  <c r="J20" i="69"/>
  <c r="I20" i="69"/>
  <c r="F20" i="69"/>
  <c r="G20" i="69" s="1"/>
  <c r="O20" i="69" s="1"/>
  <c r="E20" i="69"/>
  <c r="D20" i="69"/>
  <c r="J19" i="69"/>
  <c r="K19" i="69" s="1"/>
  <c r="L19" i="69" s="1"/>
  <c r="M19" i="69" s="1"/>
  <c r="N19" i="69" s="1"/>
  <c r="I19" i="69"/>
  <c r="E19" i="69"/>
  <c r="D19" i="69"/>
  <c r="I18" i="69"/>
  <c r="J18" i="69" s="1"/>
  <c r="K18" i="69" s="1"/>
  <c r="L18" i="69" s="1"/>
  <c r="M18" i="69" s="1"/>
  <c r="N18" i="69" s="1"/>
  <c r="D18" i="69"/>
  <c r="L17" i="69"/>
  <c r="M17" i="69" s="1"/>
  <c r="N17" i="69" s="1"/>
  <c r="I17" i="69"/>
  <c r="J17" i="69" s="1"/>
  <c r="K17" i="69" s="1"/>
  <c r="D17" i="69"/>
  <c r="K16" i="69"/>
  <c r="L16" i="69" s="1"/>
  <c r="M16" i="69" s="1"/>
  <c r="N16" i="69" s="1"/>
  <c r="J16" i="69"/>
  <c r="I16" i="69"/>
  <c r="E16" i="69"/>
  <c r="F16" i="69" s="1"/>
  <c r="D16" i="69"/>
  <c r="I15" i="69"/>
  <c r="J15" i="69" s="1"/>
  <c r="K15" i="69" s="1"/>
  <c r="L15" i="69" s="1"/>
  <c r="M15" i="69" s="1"/>
  <c r="N15" i="69" s="1"/>
  <c r="E15" i="69"/>
  <c r="F15" i="69" s="1"/>
  <c r="G15" i="69" s="1"/>
  <c r="D15" i="69"/>
  <c r="L14" i="69"/>
  <c r="M14" i="69" s="1"/>
  <c r="N14" i="69" s="1"/>
  <c r="K14" i="69"/>
  <c r="G14" i="69"/>
  <c r="H14" i="69" s="1"/>
  <c r="F14" i="69"/>
  <c r="E14" i="69"/>
  <c r="J13" i="69"/>
  <c r="K13" i="69" s="1"/>
  <c r="L13" i="69" s="1"/>
  <c r="M13" i="69" s="1"/>
  <c r="N13" i="69" s="1"/>
  <c r="I13" i="69"/>
  <c r="E13" i="69"/>
  <c r="D13" i="69"/>
  <c r="I12" i="69"/>
  <c r="J12" i="69" s="1"/>
  <c r="K12" i="69" s="1"/>
  <c r="L12" i="69" s="1"/>
  <c r="M12" i="69" s="1"/>
  <c r="N12" i="69" s="1"/>
  <c r="D12" i="69"/>
  <c r="L11" i="69"/>
  <c r="M11" i="69" s="1"/>
  <c r="N11" i="69" s="1"/>
  <c r="K11" i="69"/>
  <c r="E11" i="69"/>
  <c r="L10" i="69"/>
  <c r="K10" i="69"/>
  <c r="J10" i="69"/>
  <c r="I10" i="69"/>
  <c r="G10" i="69"/>
  <c r="F10" i="69"/>
  <c r="E10" i="69"/>
  <c r="D10" i="69"/>
  <c r="O9" i="69"/>
  <c r="A8" i="69"/>
  <c r="H94" i="67"/>
  <c r="C89" i="67"/>
  <c r="C88" i="67"/>
  <c r="H82" i="67"/>
  <c r="H79" i="67"/>
  <c r="H76" i="67"/>
  <c r="H75" i="67"/>
  <c r="H74" i="67"/>
  <c r="H73" i="67"/>
  <c r="H72" i="67"/>
  <c r="H71" i="67"/>
  <c r="G57" i="67"/>
  <c r="Q50" i="67"/>
  <c r="D49" i="67"/>
  <c r="C49" i="67"/>
  <c r="H48" i="67"/>
  <c r="I48" i="67" s="1"/>
  <c r="J48" i="67" s="1"/>
  <c r="K48" i="67" s="1"/>
  <c r="L48" i="67" s="1"/>
  <c r="M48" i="67" s="1"/>
  <c r="N48" i="67" s="1"/>
  <c r="G48" i="67"/>
  <c r="E47" i="67"/>
  <c r="F47" i="67" s="1"/>
  <c r="G47" i="67" s="1"/>
  <c r="H47" i="67" s="1"/>
  <c r="I47" i="67" s="1"/>
  <c r="J47" i="67" s="1"/>
  <c r="K47" i="67" s="1"/>
  <c r="L47" i="67" s="1"/>
  <c r="M47" i="67" s="1"/>
  <c r="N47" i="67" s="1"/>
  <c r="D47" i="67"/>
  <c r="E46" i="67"/>
  <c r="F46" i="67" s="1"/>
  <c r="G46" i="67" s="1"/>
  <c r="H46" i="67" s="1"/>
  <c r="I46" i="67" s="1"/>
  <c r="J46" i="67" s="1"/>
  <c r="K46" i="67" s="1"/>
  <c r="L46" i="67" s="1"/>
  <c r="M46" i="67" s="1"/>
  <c r="N46" i="67" s="1"/>
  <c r="D46" i="67"/>
  <c r="J45" i="67"/>
  <c r="K45" i="67" s="1"/>
  <c r="L45" i="67" s="1"/>
  <c r="M45" i="67" s="1"/>
  <c r="N45" i="67" s="1"/>
  <c r="E45" i="67"/>
  <c r="F45" i="67" s="1"/>
  <c r="G45" i="67" s="1"/>
  <c r="H45" i="67" s="1"/>
  <c r="D45" i="67"/>
  <c r="D44" i="67"/>
  <c r="G43" i="67"/>
  <c r="H43" i="67" s="1"/>
  <c r="I43" i="67" s="1"/>
  <c r="J43" i="67" s="1"/>
  <c r="K43" i="67" s="1"/>
  <c r="L43" i="67" s="1"/>
  <c r="M43" i="67" s="1"/>
  <c r="N43" i="67" s="1"/>
  <c r="D43" i="67"/>
  <c r="E43" i="67" s="1"/>
  <c r="N42" i="67"/>
  <c r="E42" i="67"/>
  <c r="D42" i="67"/>
  <c r="F41" i="67"/>
  <c r="G41" i="67" s="1"/>
  <c r="H41" i="67" s="1"/>
  <c r="I41" i="67" s="1"/>
  <c r="J41" i="67" s="1"/>
  <c r="K41" i="67" s="1"/>
  <c r="L41" i="67" s="1"/>
  <c r="M41" i="67" s="1"/>
  <c r="N41" i="67" s="1"/>
  <c r="E41" i="67"/>
  <c r="D41" i="67"/>
  <c r="E40" i="67"/>
  <c r="F40" i="67" s="1"/>
  <c r="D40" i="67"/>
  <c r="O39" i="67"/>
  <c r="O38" i="67"/>
  <c r="G98" i="67" s="1"/>
  <c r="F72" i="1" s="1"/>
  <c r="P72" i="1" s="1"/>
  <c r="H37" i="67"/>
  <c r="D37" i="67"/>
  <c r="C37" i="67"/>
  <c r="C50" i="67" s="1"/>
  <c r="O36" i="67"/>
  <c r="O35" i="67"/>
  <c r="O34" i="67"/>
  <c r="O33" i="67"/>
  <c r="O32" i="67"/>
  <c r="O31" i="67"/>
  <c r="O30" i="67"/>
  <c r="O29" i="67"/>
  <c r="O28" i="67"/>
  <c r="O27" i="67"/>
  <c r="O26" i="67"/>
  <c r="O25" i="67"/>
  <c r="O24" i="67"/>
  <c r="O23" i="67"/>
  <c r="O22" i="67"/>
  <c r="O21" i="67"/>
  <c r="O20" i="67"/>
  <c r="O19" i="67"/>
  <c r="O18" i="67"/>
  <c r="O17" i="67"/>
  <c r="O16" i="67"/>
  <c r="O15" i="67"/>
  <c r="O14" i="67"/>
  <c r="O13" i="67"/>
  <c r="O12" i="67"/>
  <c r="O11" i="67"/>
  <c r="J10" i="67"/>
  <c r="J37" i="67" s="1"/>
  <c r="I10" i="67"/>
  <c r="I37" i="67" s="1"/>
  <c r="E10" i="67"/>
  <c r="D10" i="67"/>
  <c r="E9" i="67"/>
  <c r="D9" i="67"/>
  <c r="A8" i="67"/>
  <c r="H95" i="66"/>
  <c r="C90" i="66"/>
  <c r="C89" i="66"/>
  <c r="H83" i="66"/>
  <c r="H80" i="66"/>
  <c r="H77" i="66"/>
  <c r="H76" i="66"/>
  <c r="H75" i="66"/>
  <c r="H74" i="66"/>
  <c r="H73" i="66"/>
  <c r="H72" i="66"/>
  <c r="G69" i="66"/>
  <c r="H69" i="66" s="1"/>
  <c r="G58" i="66"/>
  <c r="L50" i="66"/>
  <c r="K50" i="66"/>
  <c r="E50" i="66"/>
  <c r="N49" i="66"/>
  <c r="M49" i="66"/>
  <c r="L49" i="66"/>
  <c r="K49" i="66"/>
  <c r="J49" i="66"/>
  <c r="I49" i="66"/>
  <c r="H49" i="66"/>
  <c r="G49" i="66"/>
  <c r="F49" i="66"/>
  <c r="E49" i="66"/>
  <c r="D49" i="66"/>
  <c r="C49" i="66"/>
  <c r="O48" i="66"/>
  <c r="O47" i="66"/>
  <c r="G70" i="66" s="1"/>
  <c r="H70" i="66" s="1"/>
  <c r="O46" i="66"/>
  <c r="O45" i="66"/>
  <c r="O44" i="66"/>
  <c r="G56" i="66" s="1"/>
  <c r="O43" i="66"/>
  <c r="O42" i="66"/>
  <c r="G79" i="66" s="1"/>
  <c r="O41" i="66"/>
  <c r="O40" i="66"/>
  <c r="G71" i="66" s="1"/>
  <c r="O39" i="66"/>
  <c r="O38" i="66"/>
  <c r="G99" i="66" s="1"/>
  <c r="F71" i="1" s="1"/>
  <c r="P71" i="1" s="1"/>
  <c r="N37" i="66"/>
  <c r="N50" i="66" s="1"/>
  <c r="M37" i="66"/>
  <c r="M50" i="66" s="1"/>
  <c r="L37" i="66"/>
  <c r="K37" i="66"/>
  <c r="J37" i="66"/>
  <c r="I37" i="66"/>
  <c r="I50" i="66" s="1"/>
  <c r="H37" i="66"/>
  <c r="H50" i="66" s="1"/>
  <c r="G37" i="66"/>
  <c r="J87" i="66" s="1"/>
  <c r="F37" i="66"/>
  <c r="F50" i="66" s="1"/>
  <c r="E37" i="66"/>
  <c r="D37" i="66"/>
  <c r="D50" i="66" s="1"/>
  <c r="C37" i="66"/>
  <c r="C50" i="66" s="1"/>
  <c r="O36" i="66"/>
  <c r="O35" i="66"/>
  <c r="O34" i="66"/>
  <c r="O33" i="66"/>
  <c r="O32" i="66"/>
  <c r="O31" i="66"/>
  <c r="O30" i="66"/>
  <c r="O29" i="66"/>
  <c r="O28" i="66"/>
  <c r="O27" i="66"/>
  <c r="O26" i="66"/>
  <c r="O25" i="66"/>
  <c r="O24" i="66"/>
  <c r="O23" i="66"/>
  <c r="O22" i="66"/>
  <c r="O21" i="66"/>
  <c r="O20" i="66"/>
  <c r="O19" i="66"/>
  <c r="O18" i="66"/>
  <c r="O17" i="66"/>
  <c r="O16" i="66"/>
  <c r="O15" i="66"/>
  <c r="O14" i="66"/>
  <c r="O13" i="66"/>
  <c r="O12" i="66"/>
  <c r="O11" i="66"/>
  <c r="O10" i="66"/>
  <c r="O9" i="66"/>
  <c r="A8" i="66"/>
  <c r="F4" i="1"/>
  <c r="P4" i="1" s="1"/>
  <c r="H94" i="65"/>
  <c r="C89" i="65"/>
  <c r="C88" i="65"/>
  <c r="G83" i="65"/>
  <c r="H82" i="65"/>
  <c r="H80" i="65"/>
  <c r="H79" i="65"/>
  <c r="H78" i="65"/>
  <c r="H76" i="65"/>
  <c r="H75" i="65"/>
  <c r="H74" i="65"/>
  <c r="H73" i="65"/>
  <c r="H72" i="65"/>
  <c r="H71" i="65"/>
  <c r="G70" i="65"/>
  <c r="H70" i="65" s="1"/>
  <c r="H69" i="65"/>
  <c r="C50" i="65"/>
  <c r="N49" i="65"/>
  <c r="M49" i="65"/>
  <c r="L49" i="65"/>
  <c r="K49" i="65"/>
  <c r="J49" i="65"/>
  <c r="I49" i="65"/>
  <c r="H49" i="65"/>
  <c r="G49" i="65"/>
  <c r="F49" i="65"/>
  <c r="E49" i="65"/>
  <c r="D49" i="65"/>
  <c r="C49" i="65"/>
  <c r="O49" i="65" s="1"/>
  <c r="O48" i="65"/>
  <c r="O47" i="65"/>
  <c r="O46" i="65"/>
  <c r="O45" i="65"/>
  <c r="O44" i="65"/>
  <c r="G56" i="65" s="1"/>
  <c r="O43" i="65"/>
  <c r="G68" i="65" s="1"/>
  <c r="O42" i="65"/>
  <c r="O41" i="65"/>
  <c r="O40" i="65"/>
  <c r="O39" i="65"/>
  <c r="O38" i="65"/>
  <c r="G98" i="65" s="1"/>
  <c r="F47" i="1" s="1"/>
  <c r="P47" i="1" s="1"/>
  <c r="C37" i="65"/>
  <c r="M36" i="65"/>
  <c r="N36" i="65" s="1"/>
  <c r="L36" i="65"/>
  <c r="I36" i="65"/>
  <c r="F36" i="65"/>
  <c r="L35" i="65"/>
  <c r="M35" i="65" s="1"/>
  <c r="N35" i="65" s="1"/>
  <c r="I35" i="65"/>
  <c r="F35" i="65"/>
  <c r="G35" i="65" s="1"/>
  <c r="O35" i="65" s="1"/>
  <c r="K34" i="65"/>
  <c r="L34" i="65" s="1"/>
  <c r="M34" i="65" s="1"/>
  <c r="N34" i="65" s="1"/>
  <c r="J34" i="65"/>
  <c r="I34" i="65"/>
  <c r="F34" i="65"/>
  <c r="G34" i="65" s="1"/>
  <c r="E34" i="65"/>
  <c r="D34" i="65"/>
  <c r="J33" i="65"/>
  <c r="K33" i="65" s="1"/>
  <c r="L33" i="65" s="1"/>
  <c r="M33" i="65" s="1"/>
  <c r="N33" i="65" s="1"/>
  <c r="I33" i="65"/>
  <c r="E33" i="65"/>
  <c r="F33" i="65" s="1"/>
  <c r="G33" i="65" s="1"/>
  <c r="D33" i="65"/>
  <c r="I32" i="65"/>
  <c r="J32" i="65" s="1"/>
  <c r="K32" i="65" s="1"/>
  <c r="L32" i="65" s="1"/>
  <c r="M32" i="65" s="1"/>
  <c r="N32" i="65" s="1"/>
  <c r="G32" i="65"/>
  <c r="D32" i="65"/>
  <c r="J31" i="65"/>
  <c r="K31" i="65" s="1"/>
  <c r="L31" i="65" s="1"/>
  <c r="M31" i="65" s="1"/>
  <c r="N31" i="65" s="1"/>
  <c r="I31" i="65"/>
  <c r="E31" i="65"/>
  <c r="F31" i="65" s="1"/>
  <c r="G31" i="65" s="1"/>
  <c r="D31" i="65"/>
  <c r="I30" i="65"/>
  <c r="J30" i="65" s="1"/>
  <c r="K30" i="65" s="1"/>
  <c r="L30" i="65" s="1"/>
  <c r="M30" i="65" s="1"/>
  <c r="N30" i="65" s="1"/>
  <c r="D30" i="65"/>
  <c r="I29" i="65"/>
  <c r="J29" i="65" s="1"/>
  <c r="K29" i="65" s="1"/>
  <c r="L29" i="65" s="1"/>
  <c r="M29" i="65" s="1"/>
  <c r="N29" i="65" s="1"/>
  <c r="D29" i="65"/>
  <c r="E29" i="65" s="1"/>
  <c r="K28" i="65"/>
  <c r="L28" i="65" s="1"/>
  <c r="M28" i="65" s="1"/>
  <c r="N28" i="65" s="1"/>
  <c r="J28" i="65"/>
  <c r="I28" i="65"/>
  <c r="F28" i="65"/>
  <c r="G28" i="65" s="1"/>
  <c r="E28" i="65"/>
  <c r="D28" i="65"/>
  <c r="J27" i="65"/>
  <c r="K27" i="65" s="1"/>
  <c r="L27" i="65" s="1"/>
  <c r="M27" i="65" s="1"/>
  <c r="N27" i="65" s="1"/>
  <c r="I27" i="65"/>
  <c r="E27" i="65"/>
  <c r="F27" i="65" s="1"/>
  <c r="G27" i="65" s="1"/>
  <c r="D27" i="65"/>
  <c r="I26" i="65"/>
  <c r="J26" i="65" s="1"/>
  <c r="K26" i="65" s="1"/>
  <c r="L26" i="65" s="1"/>
  <c r="M26" i="65" s="1"/>
  <c r="N26" i="65" s="1"/>
  <c r="D26" i="65"/>
  <c r="I25" i="65"/>
  <c r="J25" i="65" s="1"/>
  <c r="K25" i="65" s="1"/>
  <c r="L25" i="65" s="1"/>
  <c r="M25" i="65" s="1"/>
  <c r="N25" i="65" s="1"/>
  <c r="D25" i="65"/>
  <c r="E25" i="65" s="1"/>
  <c r="K24" i="65"/>
  <c r="L24" i="65" s="1"/>
  <c r="M24" i="65" s="1"/>
  <c r="N24" i="65" s="1"/>
  <c r="J24" i="65"/>
  <c r="I24" i="65"/>
  <c r="F24" i="65"/>
  <c r="G24" i="65" s="1"/>
  <c r="E24" i="65"/>
  <c r="D24" i="65"/>
  <c r="J23" i="65"/>
  <c r="K23" i="65" s="1"/>
  <c r="L23" i="65" s="1"/>
  <c r="M23" i="65" s="1"/>
  <c r="N23" i="65" s="1"/>
  <c r="I23" i="65"/>
  <c r="E23" i="65"/>
  <c r="F23" i="65" s="1"/>
  <c r="G23" i="65" s="1"/>
  <c r="D23" i="65"/>
  <c r="M22" i="65"/>
  <c r="N22" i="65" s="1"/>
  <c r="L22" i="65"/>
  <c r="I22" i="65"/>
  <c r="F22" i="65"/>
  <c r="G22" i="65" s="1"/>
  <c r="E22" i="65"/>
  <c r="D22" i="65"/>
  <c r="O22" i="65" s="1"/>
  <c r="J21" i="65"/>
  <c r="K21" i="65" s="1"/>
  <c r="L21" i="65" s="1"/>
  <c r="M21" i="65" s="1"/>
  <c r="N21" i="65" s="1"/>
  <c r="I21" i="65"/>
  <c r="E21" i="65"/>
  <c r="F21" i="65" s="1"/>
  <c r="G21" i="65" s="1"/>
  <c r="D21" i="65"/>
  <c r="M20" i="65"/>
  <c r="N20" i="65" s="1"/>
  <c r="I20" i="65"/>
  <c r="J20" i="65" s="1"/>
  <c r="K20" i="65" s="1"/>
  <c r="L20" i="65" s="1"/>
  <c r="D20" i="65"/>
  <c r="D19" i="65"/>
  <c r="L18" i="65"/>
  <c r="M18" i="65" s="1"/>
  <c r="N18" i="65" s="1"/>
  <c r="I18" i="65"/>
  <c r="J18" i="65" s="1"/>
  <c r="K18" i="65" s="1"/>
  <c r="D18" i="65"/>
  <c r="E18" i="65" s="1"/>
  <c r="K17" i="65"/>
  <c r="L17" i="65" s="1"/>
  <c r="M17" i="65" s="1"/>
  <c r="N17" i="65" s="1"/>
  <c r="J17" i="65"/>
  <c r="I17" i="65"/>
  <c r="F17" i="65"/>
  <c r="G17" i="65" s="1"/>
  <c r="E17" i="65"/>
  <c r="D17" i="65"/>
  <c r="J16" i="65"/>
  <c r="K16" i="65" s="1"/>
  <c r="L16" i="65" s="1"/>
  <c r="M16" i="65" s="1"/>
  <c r="N16" i="65" s="1"/>
  <c r="I16" i="65"/>
  <c r="E16" i="65"/>
  <c r="F16" i="65" s="1"/>
  <c r="G16" i="65" s="1"/>
  <c r="D16" i="65"/>
  <c r="M15" i="65"/>
  <c r="N15" i="65" s="1"/>
  <c r="I15" i="65"/>
  <c r="J15" i="65" s="1"/>
  <c r="K15" i="65" s="1"/>
  <c r="L15" i="65" s="1"/>
  <c r="D15" i="65"/>
  <c r="L14" i="65"/>
  <c r="M14" i="65" s="1"/>
  <c r="N14" i="65" s="1"/>
  <c r="K14" i="65"/>
  <c r="G14" i="65"/>
  <c r="H14" i="65" s="1"/>
  <c r="F14" i="65"/>
  <c r="E14" i="65"/>
  <c r="N13" i="65"/>
  <c r="J13" i="65"/>
  <c r="K13" i="65" s="1"/>
  <c r="L13" i="65" s="1"/>
  <c r="M13" i="65" s="1"/>
  <c r="I13" i="65"/>
  <c r="E13" i="65"/>
  <c r="F13" i="65" s="1"/>
  <c r="G13" i="65" s="1"/>
  <c r="D13" i="65"/>
  <c r="O13" i="65" s="1"/>
  <c r="I12" i="65"/>
  <c r="J12" i="65" s="1"/>
  <c r="K12" i="65" s="1"/>
  <c r="L12" i="65" s="1"/>
  <c r="M12" i="65" s="1"/>
  <c r="N12" i="65" s="1"/>
  <c r="D12" i="65"/>
  <c r="E11" i="65"/>
  <c r="F11" i="65" s="1"/>
  <c r="O11" i="65" s="1"/>
  <c r="K10" i="65"/>
  <c r="J10" i="65"/>
  <c r="I10" i="65"/>
  <c r="F10" i="65"/>
  <c r="G10" i="65" s="1"/>
  <c r="E10" i="65"/>
  <c r="D10" i="65"/>
  <c r="F9" i="65"/>
  <c r="E9" i="65"/>
  <c r="D9" i="65"/>
  <c r="D37" i="65" s="1"/>
  <c r="D50" i="65" s="1"/>
  <c r="A8" i="65"/>
  <c r="H94" i="64"/>
  <c r="C89" i="64"/>
  <c r="C88" i="64"/>
  <c r="G83" i="64"/>
  <c r="H82" i="64"/>
  <c r="H79" i="64"/>
  <c r="H78" i="64"/>
  <c r="H76" i="64"/>
  <c r="H75" i="64"/>
  <c r="H74" i="64"/>
  <c r="H73" i="64"/>
  <c r="O72" i="64"/>
  <c r="H72" i="64"/>
  <c r="H71" i="64"/>
  <c r="H69" i="64"/>
  <c r="G57" i="64"/>
  <c r="M54" i="64"/>
  <c r="M53" i="64"/>
  <c r="Q50" i="64"/>
  <c r="I50" i="64"/>
  <c r="N49" i="64"/>
  <c r="M49" i="64"/>
  <c r="L49" i="64"/>
  <c r="K49" i="64"/>
  <c r="J49" i="64"/>
  <c r="I49" i="64"/>
  <c r="H49" i="64"/>
  <c r="G49" i="64"/>
  <c r="F49" i="64"/>
  <c r="E49" i="64"/>
  <c r="D49" i="64"/>
  <c r="C49" i="64"/>
  <c r="O48" i="64"/>
  <c r="O47" i="64"/>
  <c r="O46" i="64"/>
  <c r="O45" i="64"/>
  <c r="O44" i="64"/>
  <c r="G56" i="64" s="1"/>
  <c r="O43" i="64"/>
  <c r="G68" i="64" s="1"/>
  <c r="O42" i="64"/>
  <c r="O41" i="64"/>
  <c r="O40" i="64"/>
  <c r="G70" i="64" s="1"/>
  <c r="H70" i="64" s="1"/>
  <c r="O39" i="64"/>
  <c r="O38" i="64"/>
  <c r="G98" i="64" s="1"/>
  <c r="N37" i="64"/>
  <c r="M37" i="64"/>
  <c r="L37" i="64"/>
  <c r="K37" i="64"/>
  <c r="K50" i="64" s="1"/>
  <c r="J37" i="64"/>
  <c r="I37" i="64"/>
  <c r="H37" i="64"/>
  <c r="H50" i="64" s="1"/>
  <c r="G37" i="64"/>
  <c r="G50" i="64" s="1"/>
  <c r="F37" i="64"/>
  <c r="E37" i="64"/>
  <c r="E50" i="64" s="1"/>
  <c r="D37" i="64"/>
  <c r="D50" i="64" s="1"/>
  <c r="C37" i="64"/>
  <c r="C50" i="64" s="1"/>
  <c r="O36" i="64"/>
  <c r="O35" i="64"/>
  <c r="O34" i="64"/>
  <c r="O33" i="64"/>
  <c r="O32" i="64"/>
  <c r="O31" i="64"/>
  <c r="O30" i="64"/>
  <c r="O29" i="64"/>
  <c r="O28" i="64"/>
  <c r="O27" i="64"/>
  <c r="O26" i="64"/>
  <c r="O25" i="64"/>
  <c r="O24" i="64"/>
  <c r="O23" i="64"/>
  <c r="O22" i="64"/>
  <c r="O21" i="64"/>
  <c r="O20" i="64"/>
  <c r="O19" i="64"/>
  <c r="O18" i="64"/>
  <c r="O17" i="64"/>
  <c r="O16" i="64"/>
  <c r="O15" i="64"/>
  <c r="O14" i="64"/>
  <c r="O13" i="64"/>
  <c r="O12" i="64"/>
  <c r="O11" i="64"/>
  <c r="O10" i="64"/>
  <c r="O9" i="64"/>
  <c r="A8" i="64"/>
  <c r="H94" i="63"/>
  <c r="C89" i="63"/>
  <c r="C88" i="63"/>
  <c r="G83" i="63"/>
  <c r="H82" i="63"/>
  <c r="H79" i="63"/>
  <c r="H78" i="63"/>
  <c r="H77" i="63"/>
  <c r="H83" i="63" s="1"/>
  <c r="H76" i="63"/>
  <c r="H75" i="63"/>
  <c r="H74" i="63"/>
  <c r="H73" i="63"/>
  <c r="H72" i="63"/>
  <c r="H71" i="63"/>
  <c r="H69" i="63"/>
  <c r="G68" i="63"/>
  <c r="G56" i="63"/>
  <c r="M54" i="63"/>
  <c r="M53" i="63"/>
  <c r="J51" i="63"/>
  <c r="J52" i="63" s="1"/>
  <c r="Q50" i="63"/>
  <c r="M50" i="63"/>
  <c r="I50" i="63"/>
  <c r="G50" i="63"/>
  <c r="E50" i="63"/>
  <c r="N49" i="63"/>
  <c r="N50" i="63" s="1"/>
  <c r="M49" i="63"/>
  <c r="L49" i="63"/>
  <c r="K49" i="63"/>
  <c r="J49" i="63"/>
  <c r="I49" i="63"/>
  <c r="H49" i="63"/>
  <c r="G49" i="63"/>
  <c r="F49" i="63"/>
  <c r="E49" i="63"/>
  <c r="D49" i="63"/>
  <c r="C49" i="63"/>
  <c r="O49" i="63" s="1"/>
  <c r="O48" i="63"/>
  <c r="O47" i="63"/>
  <c r="O46" i="63"/>
  <c r="O45" i="63"/>
  <c r="O44" i="63"/>
  <c r="O43" i="63"/>
  <c r="O42" i="63"/>
  <c r="O72" i="63" s="1"/>
  <c r="O41" i="63"/>
  <c r="O40" i="63"/>
  <c r="G70" i="63" s="1"/>
  <c r="H70" i="63" s="1"/>
  <c r="O39" i="63"/>
  <c r="O38" i="63"/>
  <c r="G98" i="63" s="1"/>
  <c r="F38" i="1" s="1"/>
  <c r="P38" i="1" s="1"/>
  <c r="N37" i="63"/>
  <c r="M37" i="63"/>
  <c r="L37" i="63"/>
  <c r="L50" i="63" s="1"/>
  <c r="K37" i="63"/>
  <c r="K50" i="63" s="1"/>
  <c r="J37" i="63"/>
  <c r="J50" i="63" s="1"/>
  <c r="I37" i="63"/>
  <c r="H37" i="63"/>
  <c r="H50" i="63" s="1"/>
  <c r="G37" i="63"/>
  <c r="F37" i="63"/>
  <c r="F50" i="63" s="1"/>
  <c r="E37" i="63"/>
  <c r="D37" i="63"/>
  <c r="D50" i="63" s="1"/>
  <c r="C37" i="63"/>
  <c r="C50" i="63" s="1"/>
  <c r="O36" i="63"/>
  <c r="O35" i="63"/>
  <c r="O34" i="63"/>
  <c r="O33" i="63"/>
  <c r="O32" i="63"/>
  <c r="O31" i="63"/>
  <c r="O30" i="63"/>
  <c r="O29" i="63"/>
  <c r="O28" i="63"/>
  <c r="O27" i="63"/>
  <c r="O26" i="63"/>
  <c r="O25" i="63"/>
  <c r="O24" i="63"/>
  <c r="O23" i="63"/>
  <c r="O22" i="63"/>
  <c r="O21" i="63"/>
  <c r="O20" i="63"/>
  <c r="O19" i="63"/>
  <c r="O18" i="63"/>
  <c r="G57" i="63" s="1"/>
  <c r="O17" i="63"/>
  <c r="O16" i="63"/>
  <c r="O15" i="63"/>
  <c r="O14" i="63"/>
  <c r="O13" i="63"/>
  <c r="O12" i="63"/>
  <c r="O11" i="63"/>
  <c r="O10" i="63"/>
  <c r="O9" i="63"/>
  <c r="A8" i="63"/>
  <c r="H95" i="62"/>
  <c r="F90" i="62"/>
  <c r="H90" i="62" s="1"/>
  <c r="C90" i="62"/>
  <c r="C89" i="62"/>
  <c r="H83" i="62"/>
  <c r="H80" i="62"/>
  <c r="H77" i="62"/>
  <c r="H76" i="62"/>
  <c r="H75" i="62"/>
  <c r="H74" i="62"/>
  <c r="O73" i="62"/>
  <c r="H73" i="62"/>
  <c r="H72" i="62"/>
  <c r="G71" i="62"/>
  <c r="G56" i="62"/>
  <c r="C50" i="62"/>
  <c r="N49" i="62"/>
  <c r="M49" i="62"/>
  <c r="L49" i="62"/>
  <c r="K49" i="62"/>
  <c r="J49" i="62"/>
  <c r="I49" i="62"/>
  <c r="H49" i="62"/>
  <c r="G49" i="62"/>
  <c r="F49" i="62"/>
  <c r="E49" i="62"/>
  <c r="D49" i="62"/>
  <c r="C49" i="62"/>
  <c r="O48" i="62"/>
  <c r="O47" i="62"/>
  <c r="G70" i="62" s="1"/>
  <c r="H70" i="62" s="1"/>
  <c r="O46" i="62"/>
  <c r="O45" i="62"/>
  <c r="O44" i="62"/>
  <c r="O43" i="62"/>
  <c r="G69" i="62" s="1"/>
  <c r="O42" i="62"/>
  <c r="G79" i="62" s="1"/>
  <c r="O41" i="62"/>
  <c r="O40" i="62"/>
  <c r="O39" i="62"/>
  <c r="O38" i="62"/>
  <c r="G99" i="62" s="1"/>
  <c r="H37" i="62"/>
  <c r="C37" i="62"/>
  <c r="M36" i="62"/>
  <c r="N36" i="62" s="1"/>
  <c r="L36" i="62"/>
  <c r="I36" i="62"/>
  <c r="J36" i="62" s="1"/>
  <c r="K36" i="62" s="1"/>
  <c r="F36" i="62"/>
  <c r="D36" i="62"/>
  <c r="E36" i="62" s="1"/>
  <c r="T35" i="62"/>
  <c r="L35" i="62"/>
  <c r="M35" i="62" s="1"/>
  <c r="N35" i="62" s="1"/>
  <c r="J35" i="62"/>
  <c r="K35" i="62" s="1"/>
  <c r="I35" i="62"/>
  <c r="D35" i="62"/>
  <c r="T34" i="62"/>
  <c r="T36" i="62" s="1"/>
  <c r="J34" i="62"/>
  <c r="K34" i="62" s="1"/>
  <c r="L34" i="62" s="1"/>
  <c r="M34" i="62" s="1"/>
  <c r="N34" i="62" s="1"/>
  <c r="I34" i="62"/>
  <c r="E34" i="62"/>
  <c r="F34" i="62" s="1"/>
  <c r="G34" i="62" s="1"/>
  <c r="D34" i="62"/>
  <c r="K33" i="62"/>
  <c r="L33" i="62" s="1"/>
  <c r="M33" i="62" s="1"/>
  <c r="N33" i="62" s="1"/>
  <c r="I33" i="62"/>
  <c r="J33" i="62" s="1"/>
  <c r="D33" i="62"/>
  <c r="N32" i="62"/>
  <c r="L32" i="62"/>
  <c r="M32" i="62" s="1"/>
  <c r="K32" i="62"/>
  <c r="J32" i="62"/>
  <c r="I32" i="62"/>
  <c r="G32" i="62"/>
  <c r="F32" i="62"/>
  <c r="E32" i="62"/>
  <c r="O32" i="62" s="1"/>
  <c r="D32" i="62"/>
  <c r="J31" i="62"/>
  <c r="K31" i="62" s="1"/>
  <c r="L31" i="62" s="1"/>
  <c r="M31" i="62" s="1"/>
  <c r="N31" i="62" s="1"/>
  <c r="I31" i="62"/>
  <c r="D31" i="62"/>
  <c r="I30" i="62"/>
  <c r="J30" i="62" s="1"/>
  <c r="K30" i="62" s="1"/>
  <c r="L30" i="62" s="1"/>
  <c r="M30" i="62" s="1"/>
  <c r="N30" i="62" s="1"/>
  <c r="E30" i="62"/>
  <c r="F30" i="62" s="1"/>
  <c r="G30" i="62" s="1"/>
  <c r="D30" i="62"/>
  <c r="K29" i="62"/>
  <c r="L29" i="62" s="1"/>
  <c r="M29" i="62" s="1"/>
  <c r="N29" i="62" s="1"/>
  <c r="I29" i="62"/>
  <c r="J29" i="62" s="1"/>
  <c r="D29" i="62"/>
  <c r="J28" i="62"/>
  <c r="K28" i="62" s="1"/>
  <c r="L28" i="62" s="1"/>
  <c r="M28" i="62" s="1"/>
  <c r="N28" i="62" s="1"/>
  <c r="I28" i="62"/>
  <c r="E28" i="62"/>
  <c r="F28" i="62" s="1"/>
  <c r="G28" i="62" s="1"/>
  <c r="D28" i="62"/>
  <c r="J27" i="62"/>
  <c r="K27" i="62" s="1"/>
  <c r="L27" i="62" s="1"/>
  <c r="M27" i="62" s="1"/>
  <c r="N27" i="62" s="1"/>
  <c r="I27" i="62"/>
  <c r="D27" i="62"/>
  <c r="I26" i="62"/>
  <c r="D26" i="62"/>
  <c r="K25" i="62"/>
  <c r="L25" i="62" s="1"/>
  <c r="M25" i="62" s="1"/>
  <c r="N25" i="62" s="1"/>
  <c r="I25" i="62"/>
  <c r="J25" i="62" s="1"/>
  <c r="D25" i="62"/>
  <c r="J24" i="62"/>
  <c r="I24" i="62"/>
  <c r="F24" i="62"/>
  <c r="G24" i="62" s="1"/>
  <c r="E24" i="62"/>
  <c r="D24" i="62"/>
  <c r="I23" i="62"/>
  <c r="J23" i="62" s="1"/>
  <c r="K23" i="62" s="1"/>
  <c r="L23" i="62" s="1"/>
  <c r="M23" i="62" s="1"/>
  <c r="N23" i="62" s="1"/>
  <c r="F23" i="62"/>
  <c r="G23" i="62" s="1"/>
  <c r="E23" i="62"/>
  <c r="D23" i="62"/>
  <c r="M22" i="62"/>
  <c r="N22" i="62" s="1"/>
  <c r="L22" i="62"/>
  <c r="I22" i="62"/>
  <c r="J22" i="62" s="1"/>
  <c r="K22" i="62" s="1"/>
  <c r="E22" i="62"/>
  <c r="F22" i="62" s="1"/>
  <c r="G22" i="62" s="1"/>
  <c r="D22" i="62"/>
  <c r="L21" i="62"/>
  <c r="M21" i="62" s="1"/>
  <c r="N21" i="62" s="1"/>
  <c r="J21" i="62"/>
  <c r="K21" i="62" s="1"/>
  <c r="I21" i="62"/>
  <c r="E21" i="62"/>
  <c r="F21" i="62" s="1"/>
  <c r="G21" i="62" s="1"/>
  <c r="D21" i="62"/>
  <c r="M20" i="62"/>
  <c r="N20" i="62" s="1"/>
  <c r="L20" i="62"/>
  <c r="K20" i="62"/>
  <c r="I20" i="62"/>
  <c r="J20" i="62" s="1"/>
  <c r="G20" i="62"/>
  <c r="F20" i="62"/>
  <c r="D20" i="62"/>
  <c r="E20" i="62" s="1"/>
  <c r="L19" i="62"/>
  <c r="M19" i="62" s="1"/>
  <c r="N19" i="62" s="1"/>
  <c r="K19" i="62"/>
  <c r="J19" i="62"/>
  <c r="I19" i="62"/>
  <c r="F19" i="62"/>
  <c r="E19" i="62"/>
  <c r="D19" i="62"/>
  <c r="M18" i="62"/>
  <c r="N18" i="62" s="1"/>
  <c r="I18" i="62"/>
  <c r="J18" i="62" s="1"/>
  <c r="K18" i="62" s="1"/>
  <c r="L18" i="62" s="1"/>
  <c r="G18" i="62"/>
  <c r="E18" i="62"/>
  <c r="F18" i="62" s="1"/>
  <c r="D18" i="62"/>
  <c r="I17" i="62"/>
  <c r="J17" i="62" s="1"/>
  <c r="K17" i="62" s="1"/>
  <c r="L17" i="62" s="1"/>
  <c r="M17" i="62" s="1"/>
  <c r="N17" i="62" s="1"/>
  <c r="G17" i="62"/>
  <c r="O17" i="62" s="1"/>
  <c r="F17" i="62"/>
  <c r="D17" i="62"/>
  <c r="E17" i="62" s="1"/>
  <c r="N16" i="62"/>
  <c r="J16" i="62"/>
  <c r="K16" i="62" s="1"/>
  <c r="L16" i="62" s="1"/>
  <c r="M16" i="62" s="1"/>
  <c r="I16" i="62"/>
  <c r="E16" i="62"/>
  <c r="F16" i="62" s="1"/>
  <c r="G16" i="62" s="1"/>
  <c r="D16" i="62"/>
  <c r="K15" i="62"/>
  <c r="L15" i="62" s="1"/>
  <c r="M15" i="62" s="1"/>
  <c r="N15" i="62" s="1"/>
  <c r="J15" i="62"/>
  <c r="I15" i="62"/>
  <c r="E15" i="62"/>
  <c r="F15" i="62" s="1"/>
  <c r="G15" i="62" s="1"/>
  <c r="D15" i="62"/>
  <c r="M14" i="62"/>
  <c r="N14" i="62" s="1"/>
  <c r="L14" i="62"/>
  <c r="J14" i="62"/>
  <c r="K14" i="62" s="1"/>
  <c r="I14" i="62"/>
  <c r="E14" i="62"/>
  <c r="K13" i="62"/>
  <c r="L13" i="62" s="1"/>
  <c r="M13" i="62" s="1"/>
  <c r="N13" i="62" s="1"/>
  <c r="J13" i="62"/>
  <c r="I13" i="62"/>
  <c r="F13" i="62"/>
  <c r="G13" i="62" s="1"/>
  <c r="E13" i="62"/>
  <c r="O13" i="62" s="1"/>
  <c r="D13" i="62"/>
  <c r="J12" i="62"/>
  <c r="K12" i="62" s="1"/>
  <c r="L12" i="62" s="1"/>
  <c r="M12" i="62" s="1"/>
  <c r="N12" i="62" s="1"/>
  <c r="I12" i="62"/>
  <c r="D12" i="62"/>
  <c r="E12" i="62" s="1"/>
  <c r="F12" i="62" s="1"/>
  <c r="G12" i="62" s="1"/>
  <c r="J11" i="62"/>
  <c r="K11" i="62" s="1"/>
  <c r="L11" i="62" s="1"/>
  <c r="M11" i="62" s="1"/>
  <c r="N11" i="62" s="1"/>
  <c r="I11" i="62"/>
  <c r="F11" i="62"/>
  <c r="E11" i="62"/>
  <c r="I10" i="62"/>
  <c r="J10" i="62" s="1"/>
  <c r="D10" i="62"/>
  <c r="F9" i="62"/>
  <c r="E9" i="62"/>
  <c r="D9" i="62"/>
  <c r="A8" i="62"/>
  <c r="H94" i="61"/>
  <c r="C89" i="61"/>
  <c r="C88" i="61"/>
  <c r="G83" i="61"/>
  <c r="H82" i="61"/>
  <c r="H79" i="61"/>
  <c r="H78" i="61"/>
  <c r="H76" i="61"/>
  <c r="H75" i="61"/>
  <c r="H74" i="61"/>
  <c r="H73" i="61"/>
  <c r="H72" i="61"/>
  <c r="H71" i="61"/>
  <c r="G68" i="61"/>
  <c r="G77" i="61" s="1"/>
  <c r="G56" i="61"/>
  <c r="Q50" i="61"/>
  <c r="C50" i="61"/>
  <c r="N49" i="61"/>
  <c r="M49" i="61"/>
  <c r="L49" i="61"/>
  <c r="K49" i="61"/>
  <c r="J49" i="61"/>
  <c r="I49" i="61"/>
  <c r="H49" i="61"/>
  <c r="G49" i="61"/>
  <c r="F49" i="61"/>
  <c r="E49" i="61"/>
  <c r="D49" i="61"/>
  <c r="C49" i="61"/>
  <c r="O49" i="61" s="1"/>
  <c r="O48" i="61"/>
  <c r="O47" i="61"/>
  <c r="G69" i="61" s="1"/>
  <c r="H69" i="61" s="1"/>
  <c r="O46" i="61"/>
  <c r="O45" i="61"/>
  <c r="O44" i="61"/>
  <c r="O43" i="61"/>
  <c r="O42" i="61"/>
  <c r="O41" i="61"/>
  <c r="O40" i="61"/>
  <c r="G70" i="61" s="1"/>
  <c r="H70" i="61" s="1"/>
  <c r="O39" i="61"/>
  <c r="O38" i="61"/>
  <c r="G98" i="61" s="1"/>
  <c r="H37" i="61"/>
  <c r="C37" i="61"/>
  <c r="I36" i="61"/>
  <c r="J36" i="61" s="1"/>
  <c r="K36" i="61" s="1"/>
  <c r="L36" i="61" s="1"/>
  <c r="M36" i="61" s="1"/>
  <c r="N36" i="61" s="1"/>
  <c r="F36" i="61"/>
  <c r="L35" i="61"/>
  <c r="M35" i="61" s="1"/>
  <c r="N35" i="61" s="1"/>
  <c r="J35" i="61"/>
  <c r="K35" i="61" s="1"/>
  <c r="I35" i="61"/>
  <c r="G35" i="61"/>
  <c r="F35" i="61"/>
  <c r="O35" i="61" s="1"/>
  <c r="J34" i="61"/>
  <c r="K34" i="61" s="1"/>
  <c r="L34" i="61" s="1"/>
  <c r="M34" i="61" s="1"/>
  <c r="N34" i="61" s="1"/>
  <c r="I34" i="61"/>
  <c r="D34" i="61"/>
  <c r="J33" i="61"/>
  <c r="K33" i="61" s="1"/>
  <c r="L33" i="61" s="1"/>
  <c r="M33" i="61" s="1"/>
  <c r="N33" i="61" s="1"/>
  <c r="I33" i="61"/>
  <c r="D33" i="61"/>
  <c r="K32" i="61"/>
  <c r="L32" i="61" s="1"/>
  <c r="M32" i="61" s="1"/>
  <c r="N32" i="61" s="1"/>
  <c r="I32" i="61"/>
  <c r="J32" i="61" s="1"/>
  <c r="D32" i="61"/>
  <c r="L31" i="61"/>
  <c r="M31" i="61" s="1"/>
  <c r="N31" i="61" s="1"/>
  <c r="K31" i="61"/>
  <c r="J31" i="61"/>
  <c r="I31" i="61"/>
  <c r="G31" i="61"/>
  <c r="F31" i="61"/>
  <c r="E31" i="61"/>
  <c r="D31" i="61"/>
  <c r="I30" i="61"/>
  <c r="J30" i="61" s="1"/>
  <c r="K30" i="61" s="1"/>
  <c r="L30" i="61" s="1"/>
  <c r="M30" i="61" s="1"/>
  <c r="N30" i="61" s="1"/>
  <c r="D30" i="61"/>
  <c r="E30" i="61" s="1"/>
  <c r="I29" i="61"/>
  <c r="J29" i="61" s="1"/>
  <c r="K29" i="61" s="1"/>
  <c r="L29" i="61" s="1"/>
  <c r="M29" i="61" s="1"/>
  <c r="N29" i="61" s="1"/>
  <c r="E29" i="61"/>
  <c r="F29" i="61" s="1"/>
  <c r="G29" i="61" s="1"/>
  <c r="D29" i="61"/>
  <c r="I28" i="61"/>
  <c r="J28" i="61" s="1"/>
  <c r="K28" i="61" s="1"/>
  <c r="L28" i="61" s="1"/>
  <c r="M28" i="61" s="1"/>
  <c r="N28" i="61" s="1"/>
  <c r="F28" i="61"/>
  <c r="D28" i="61"/>
  <c r="E28" i="61" s="1"/>
  <c r="J27" i="61"/>
  <c r="K27" i="61" s="1"/>
  <c r="L27" i="61" s="1"/>
  <c r="M27" i="61" s="1"/>
  <c r="N27" i="61" s="1"/>
  <c r="I27" i="61"/>
  <c r="G27" i="61"/>
  <c r="E27" i="61"/>
  <c r="F27" i="61" s="1"/>
  <c r="D27" i="61"/>
  <c r="J26" i="61"/>
  <c r="K26" i="61" s="1"/>
  <c r="L26" i="61" s="1"/>
  <c r="M26" i="61" s="1"/>
  <c r="N26" i="61" s="1"/>
  <c r="I26" i="61"/>
  <c r="D26" i="61"/>
  <c r="E26" i="61" s="1"/>
  <c r="F26" i="61" s="1"/>
  <c r="G26" i="61" s="1"/>
  <c r="J25" i="61"/>
  <c r="K25" i="61" s="1"/>
  <c r="L25" i="61" s="1"/>
  <c r="M25" i="61" s="1"/>
  <c r="N25" i="61" s="1"/>
  <c r="I25" i="61"/>
  <c r="D25" i="61"/>
  <c r="K24" i="61"/>
  <c r="L24" i="61" s="1"/>
  <c r="M24" i="61" s="1"/>
  <c r="N24" i="61" s="1"/>
  <c r="I24" i="61"/>
  <c r="J24" i="61" s="1"/>
  <c r="D24" i="61"/>
  <c r="K23" i="61"/>
  <c r="L23" i="61" s="1"/>
  <c r="M23" i="61" s="1"/>
  <c r="N23" i="61" s="1"/>
  <c r="J23" i="61"/>
  <c r="I23" i="61"/>
  <c r="F23" i="61"/>
  <c r="G23" i="61" s="1"/>
  <c r="E23" i="61"/>
  <c r="D23" i="61"/>
  <c r="I22" i="61"/>
  <c r="J22" i="61" s="1"/>
  <c r="K22" i="61" s="1"/>
  <c r="L22" i="61" s="1"/>
  <c r="M22" i="61" s="1"/>
  <c r="N22" i="61" s="1"/>
  <c r="D22" i="61"/>
  <c r="E22" i="61" s="1"/>
  <c r="F22" i="61" s="1"/>
  <c r="G22" i="61" s="1"/>
  <c r="I21" i="61"/>
  <c r="J21" i="61" s="1"/>
  <c r="K21" i="61" s="1"/>
  <c r="L21" i="61" s="1"/>
  <c r="M21" i="61" s="1"/>
  <c r="N21" i="61" s="1"/>
  <c r="D21" i="61"/>
  <c r="I20" i="61"/>
  <c r="J20" i="61" s="1"/>
  <c r="K20" i="61" s="1"/>
  <c r="L20" i="61" s="1"/>
  <c r="M20" i="61" s="1"/>
  <c r="N20" i="61" s="1"/>
  <c r="D20" i="61"/>
  <c r="E20" i="61" s="1"/>
  <c r="F20" i="61" s="1"/>
  <c r="O19" i="61"/>
  <c r="J19" i="61"/>
  <c r="K19" i="61" s="1"/>
  <c r="L19" i="61" s="1"/>
  <c r="M19" i="61" s="1"/>
  <c r="N19" i="61" s="1"/>
  <c r="I19" i="61"/>
  <c r="D19" i="61"/>
  <c r="E19" i="61" s="1"/>
  <c r="O18" i="61"/>
  <c r="G57" i="61" s="1"/>
  <c r="I18" i="61"/>
  <c r="J18" i="61" s="1"/>
  <c r="K18" i="61" s="1"/>
  <c r="L18" i="61" s="1"/>
  <c r="M18" i="61" s="1"/>
  <c r="N18" i="61" s="1"/>
  <c r="D18" i="61"/>
  <c r="E18" i="61" s="1"/>
  <c r="F18" i="61" s="1"/>
  <c r="G18" i="61" s="1"/>
  <c r="J17" i="61"/>
  <c r="D17" i="61"/>
  <c r="E17" i="61" s="1"/>
  <c r="F17" i="61" s="1"/>
  <c r="G17" i="61" s="1"/>
  <c r="L16" i="61"/>
  <c r="M16" i="61" s="1"/>
  <c r="N16" i="61" s="1"/>
  <c r="I16" i="61"/>
  <c r="E16" i="61"/>
  <c r="F16" i="61" s="1"/>
  <c r="G16" i="61" s="1"/>
  <c r="D16" i="61"/>
  <c r="O15" i="61"/>
  <c r="Q38" i="61" s="1"/>
  <c r="Q39" i="61" s="1"/>
  <c r="J15" i="61"/>
  <c r="K15" i="61" s="1"/>
  <c r="L15" i="61" s="1"/>
  <c r="M15" i="61" s="1"/>
  <c r="N15" i="61" s="1"/>
  <c r="I15" i="61"/>
  <c r="D15" i="61"/>
  <c r="E15" i="61" s="1"/>
  <c r="F15" i="61" s="1"/>
  <c r="G15" i="61" s="1"/>
  <c r="J14" i="61"/>
  <c r="K14" i="61" s="1"/>
  <c r="L14" i="61" s="1"/>
  <c r="M14" i="61" s="1"/>
  <c r="N14" i="61" s="1"/>
  <c r="I14" i="61"/>
  <c r="G14" i="61"/>
  <c r="E14" i="61"/>
  <c r="O13" i="61"/>
  <c r="J13" i="61"/>
  <c r="K13" i="61" s="1"/>
  <c r="L13" i="61" s="1"/>
  <c r="M13" i="61" s="1"/>
  <c r="N13" i="61" s="1"/>
  <c r="I13" i="61"/>
  <c r="D13" i="61"/>
  <c r="E13" i="61" s="1"/>
  <c r="F13" i="61" s="1"/>
  <c r="G13" i="61" s="1"/>
  <c r="J12" i="61"/>
  <c r="K12" i="61" s="1"/>
  <c r="L12" i="61" s="1"/>
  <c r="M12" i="61" s="1"/>
  <c r="N12" i="61" s="1"/>
  <c r="I12" i="61"/>
  <c r="D12" i="61"/>
  <c r="K11" i="61"/>
  <c r="L11" i="61" s="1"/>
  <c r="M11" i="61" s="1"/>
  <c r="N11" i="61" s="1"/>
  <c r="I11" i="61"/>
  <c r="J11" i="61" s="1"/>
  <c r="E11" i="61"/>
  <c r="I10" i="61"/>
  <c r="G10" i="61"/>
  <c r="F10" i="61"/>
  <c r="D10" i="61"/>
  <c r="E10" i="61" s="1"/>
  <c r="E9" i="61"/>
  <c r="D9" i="61"/>
  <c r="A8" i="61"/>
  <c r="H94" i="60"/>
  <c r="C89" i="60"/>
  <c r="C88" i="60"/>
  <c r="G83" i="60"/>
  <c r="H80" i="60"/>
  <c r="H79" i="60"/>
  <c r="H78" i="60"/>
  <c r="H76" i="60"/>
  <c r="H75" i="60"/>
  <c r="H74" i="60"/>
  <c r="H73" i="60"/>
  <c r="H72" i="60"/>
  <c r="H71" i="60"/>
  <c r="G70" i="60"/>
  <c r="H70" i="60" s="1"/>
  <c r="H69" i="60"/>
  <c r="Q50" i="60"/>
  <c r="C50" i="60"/>
  <c r="N49" i="60"/>
  <c r="M49" i="60"/>
  <c r="L49" i="60"/>
  <c r="K49" i="60"/>
  <c r="J49" i="60"/>
  <c r="I49" i="60"/>
  <c r="H49" i="60"/>
  <c r="G49" i="60"/>
  <c r="F49" i="60"/>
  <c r="E49" i="60"/>
  <c r="D49" i="60"/>
  <c r="C49" i="60"/>
  <c r="O48" i="60"/>
  <c r="O47" i="60"/>
  <c r="O46" i="60"/>
  <c r="O45" i="60"/>
  <c r="O44" i="60"/>
  <c r="G56" i="60" s="1"/>
  <c r="O43" i="60"/>
  <c r="G68" i="60" s="1"/>
  <c r="O42" i="60"/>
  <c r="O76" i="60" s="1"/>
  <c r="O41" i="60"/>
  <c r="O40" i="60"/>
  <c r="O39" i="60"/>
  <c r="O38" i="60"/>
  <c r="G98" i="60" s="1"/>
  <c r="F50" i="1" s="1"/>
  <c r="P50" i="1" s="1"/>
  <c r="C37" i="60"/>
  <c r="O36" i="60"/>
  <c r="L36" i="60"/>
  <c r="M36" i="60" s="1"/>
  <c r="N36" i="60" s="1"/>
  <c r="I36" i="60"/>
  <c r="G36" i="60"/>
  <c r="F36" i="60"/>
  <c r="N35" i="60"/>
  <c r="M35" i="60"/>
  <c r="L35" i="60"/>
  <c r="I35" i="60"/>
  <c r="G35" i="60"/>
  <c r="O35" i="60" s="1"/>
  <c r="F35" i="60"/>
  <c r="I34" i="60"/>
  <c r="J34" i="60" s="1"/>
  <c r="K34" i="60" s="1"/>
  <c r="L34" i="60" s="1"/>
  <c r="M34" i="60" s="1"/>
  <c r="N34" i="60" s="1"/>
  <c r="D34" i="60"/>
  <c r="I33" i="60"/>
  <c r="J33" i="60" s="1"/>
  <c r="K33" i="60" s="1"/>
  <c r="L33" i="60" s="1"/>
  <c r="M33" i="60" s="1"/>
  <c r="N33" i="60" s="1"/>
  <c r="D33" i="60"/>
  <c r="K32" i="60"/>
  <c r="L32" i="60" s="1"/>
  <c r="M32" i="60" s="1"/>
  <c r="N32" i="60" s="1"/>
  <c r="J32" i="60"/>
  <c r="I32" i="60"/>
  <c r="G32" i="60"/>
  <c r="D32" i="60"/>
  <c r="O32" i="60" s="1"/>
  <c r="L31" i="60"/>
  <c r="M31" i="60" s="1"/>
  <c r="N31" i="60" s="1"/>
  <c r="I31" i="60"/>
  <c r="J31" i="60" s="1"/>
  <c r="K31" i="60" s="1"/>
  <c r="D31" i="60"/>
  <c r="K30" i="60"/>
  <c r="L30" i="60" s="1"/>
  <c r="M30" i="60" s="1"/>
  <c r="N30" i="60" s="1"/>
  <c r="J30" i="60"/>
  <c r="I30" i="60"/>
  <c r="F30" i="60"/>
  <c r="G30" i="60" s="1"/>
  <c r="E30" i="60"/>
  <c r="D30" i="60"/>
  <c r="J29" i="60"/>
  <c r="K29" i="60" s="1"/>
  <c r="L29" i="60" s="1"/>
  <c r="M29" i="60" s="1"/>
  <c r="N29" i="60" s="1"/>
  <c r="I29" i="60"/>
  <c r="E29" i="60"/>
  <c r="D29" i="60"/>
  <c r="I28" i="60"/>
  <c r="J28" i="60" s="1"/>
  <c r="K28" i="60" s="1"/>
  <c r="L28" i="60" s="1"/>
  <c r="M28" i="60" s="1"/>
  <c r="N28" i="60" s="1"/>
  <c r="D28" i="60"/>
  <c r="I27" i="60"/>
  <c r="J27" i="60" s="1"/>
  <c r="K27" i="60" s="1"/>
  <c r="L27" i="60" s="1"/>
  <c r="M27" i="60" s="1"/>
  <c r="N27" i="60" s="1"/>
  <c r="D27" i="60"/>
  <c r="K26" i="60"/>
  <c r="L26" i="60" s="1"/>
  <c r="M26" i="60" s="1"/>
  <c r="N26" i="60" s="1"/>
  <c r="J26" i="60"/>
  <c r="I26" i="60"/>
  <c r="F26" i="60"/>
  <c r="G26" i="60" s="1"/>
  <c r="E26" i="60"/>
  <c r="D26" i="60"/>
  <c r="J25" i="60"/>
  <c r="K25" i="60" s="1"/>
  <c r="L25" i="60" s="1"/>
  <c r="M25" i="60" s="1"/>
  <c r="N25" i="60" s="1"/>
  <c r="I25" i="60"/>
  <c r="E25" i="60"/>
  <c r="D25" i="60"/>
  <c r="I24" i="60"/>
  <c r="J24" i="60" s="1"/>
  <c r="K24" i="60" s="1"/>
  <c r="L24" i="60" s="1"/>
  <c r="M24" i="60" s="1"/>
  <c r="N24" i="60" s="1"/>
  <c r="D24" i="60"/>
  <c r="I23" i="60"/>
  <c r="J23" i="60" s="1"/>
  <c r="K23" i="60" s="1"/>
  <c r="L23" i="60" s="1"/>
  <c r="M23" i="60" s="1"/>
  <c r="N23" i="60" s="1"/>
  <c r="D23" i="60"/>
  <c r="K22" i="60"/>
  <c r="L22" i="60" s="1"/>
  <c r="M22" i="60" s="1"/>
  <c r="N22" i="60" s="1"/>
  <c r="J22" i="60"/>
  <c r="I22" i="60"/>
  <c r="F22" i="60"/>
  <c r="G22" i="60" s="1"/>
  <c r="E22" i="60"/>
  <c r="D22" i="60"/>
  <c r="N21" i="60"/>
  <c r="J21" i="60"/>
  <c r="K21" i="60" s="1"/>
  <c r="L21" i="60" s="1"/>
  <c r="M21" i="60" s="1"/>
  <c r="I21" i="60"/>
  <c r="E21" i="60"/>
  <c r="D21" i="60"/>
  <c r="I20" i="60"/>
  <c r="J20" i="60" s="1"/>
  <c r="K20" i="60" s="1"/>
  <c r="L20" i="60" s="1"/>
  <c r="M20" i="60" s="1"/>
  <c r="N20" i="60" s="1"/>
  <c r="D20" i="60"/>
  <c r="L19" i="60"/>
  <c r="M19" i="60" s="1"/>
  <c r="N19" i="60" s="1"/>
  <c r="I19" i="60"/>
  <c r="J19" i="60" s="1"/>
  <c r="K19" i="60" s="1"/>
  <c r="D19" i="60"/>
  <c r="K18" i="60"/>
  <c r="L18" i="60" s="1"/>
  <c r="M18" i="60" s="1"/>
  <c r="N18" i="60" s="1"/>
  <c r="J18" i="60"/>
  <c r="I18" i="60"/>
  <c r="F18" i="60"/>
  <c r="G18" i="60" s="1"/>
  <c r="E18" i="60"/>
  <c r="D18" i="60"/>
  <c r="J17" i="60"/>
  <c r="K17" i="60" s="1"/>
  <c r="L17" i="60" s="1"/>
  <c r="M17" i="60" s="1"/>
  <c r="N17" i="60" s="1"/>
  <c r="I17" i="60"/>
  <c r="E17" i="60"/>
  <c r="D17" i="60"/>
  <c r="M16" i="60"/>
  <c r="N16" i="60" s="1"/>
  <c r="I16" i="60"/>
  <c r="J16" i="60" s="1"/>
  <c r="K16" i="60" s="1"/>
  <c r="L16" i="60" s="1"/>
  <c r="D16" i="60"/>
  <c r="I15" i="60"/>
  <c r="J15" i="60" s="1"/>
  <c r="D15" i="60"/>
  <c r="K14" i="60"/>
  <c r="L14" i="60" s="1"/>
  <c r="M14" i="60" s="1"/>
  <c r="N14" i="60" s="1"/>
  <c r="F14" i="60"/>
  <c r="G14" i="60" s="1"/>
  <c r="H14" i="60" s="1"/>
  <c r="E14" i="60"/>
  <c r="D14" i="60"/>
  <c r="N13" i="60"/>
  <c r="J13" i="60"/>
  <c r="K13" i="60" s="1"/>
  <c r="L13" i="60" s="1"/>
  <c r="M13" i="60" s="1"/>
  <c r="I13" i="60"/>
  <c r="E13" i="60"/>
  <c r="D13" i="60"/>
  <c r="I12" i="60"/>
  <c r="J12" i="60" s="1"/>
  <c r="K12" i="60" s="1"/>
  <c r="L12" i="60" s="1"/>
  <c r="M12" i="60" s="1"/>
  <c r="N12" i="60" s="1"/>
  <c r="D12" i="60"/>
  <c r="L11" i="60"/>
  <c r="M11" i="60" s="1"/>
  <c r="N11" i="60" s="1"/>
  <c r="K11" i="60"/>
  <c r="E11" i="60"/>
  <c r="K10" i="60"/>
  <c r="J10" i="60"/>
  <c r="I10" i="60"/>
  <c r="F10" i="60"/>
  <c r="G10" i="60" s="1"/>
  <c r="E10" i="60"/>
  <c r="D10" i="60"/>
  <c r="F9" i="60"/>
  <c r="O9" i="60" s="1"/>
  <c r="E9" i="60"/>
  <c r="D9" i="60"/>
  <c r="A8" i="60"/>
  <c r="H96" i="59"/>
  <c r="F91" i="59"/>
  <c r="H91" i="59" s="1"/>
  <c r="C91" i="59"/>
  <c r="C90" i="59"/>
  <c r="G85" i="59"/>
  <c r="H84" i="59"/>
  <c r="H81" i="59"/>
  <c r="H80" i="59"/>
  <c r="H85" i="59" s="1"/>
  <c r="H79" i="59"/>
  <c r="H78" i="59"/>
  <c r="O77" i="59"/>
  <c r="H77" i="59"/>
  <c r="H76" i="59"/>
  <c r="H75" i="59"/>
  <c r="H74" i="59"/>
  <c r="H73" i="59"/>
  <c r="H71" i="59"/>
  <c r="G71" i="59"/>
  <c r="M51" i="59"/>
  <c r="J51" i="59"/>
  <c r="I51" i="59"/>
  <c r="F51" i="59"/>
  <c r="E51" i="59"/>
  <c r="N50" i="59"/>
  <c r="N51" i="59" s="1"/>
  <c r="M50" i="59"/>
  <c r="L50" i="59"/>
  <c r="K50" i="59"/>
  <c r="J50" i="59"/>
  <c r="I50" i="59"/>
  <c r="H50" i="59"/>
  <c r="G50" i="59"/>
  <c r="F50" i="59"/>
  <c r="E50" i="59"/>
  <c r="D50" i="59"/>
  <c r="C50" i="59"/>
  <c r="O50" i="59" s="1"/>
  <c r="O49" i="59"/>
  <c r="O48" i="59"/>
  <c r="O47" i="59"/>
  <c r="O46" i="59"/>
  <c r="O45" i="59"/>
  <c r="G57" i="59" s="1"/>
  <c r="O44" i="59"/>
  <c r="G70" i="59" s="1"/>
  <c r="O43" i="59"/>
  <c r="O42" i="59"/>
  <c r="O41" i="59"/>
  <c r="G72" i="59" s="1"/>
  <c r="H72" i="59" s="1"/>
  <c r="O40" i="59"/>
  <c r="O39" i="59"/>
  <c r="G100" i="59" s="1"/>
  <c r="F51" i="1" s="1"/>
  <c r="P51" i="1" s="1"/>
  <c r="N38" i="59"/>
  <c r="M38" i="59"/>
  <c r="J90" i="59" s="1"/>
  <c r="L38" i="59"/>
  <c r="L51" i="59" s="1"/>
  <c r="K38" i="59"/>
  <c r="K51" i="59" s="1"/>
  <c r="J38" i="59"/>
  <c r="J52" i="59" s="1"/>
  <c r="J53" i="59" s="1"/>
  <c r="I38" i="59"/>
  <c r="H38" i="59"/>
  <c r="H51" i="59" s="1"/>
  <c r="G38" i="59"/>
  <c r="F38" i="59"/>
  <c r="E38" i="59"/>
  <c r="D38" i="59"/>
  <c r="D51" i="59" s="1"/>
  <c r="C38" i="59"/>
  <c r="O37" i="59"/>
  <c r="O36" i="59"/>
  <c r="O35" i="59"/>
  <c r="O34" i="59"/>
  <c r="O33" i="59"/>
  <c r="O32" i="59"/>
  <c r="O31" i="59"/>
  <c r="O30" i="59"/>
  <c r="O29" i="59"/>
  <c r="O28" i="59"/>
  <c r="O27" i="59"/>
  <c r="O26" i="59"/>
  <c r="O25" i="59"/>
  <c r="O24" i="59"/>
  <c r="O23" i="59"/>
  <c r="O22" i="59"/>
  <c r="O21" i="59"/>
  <c r="O20" i="59"/>
  <c r="O19" i="59"/>
  <c r="O18" i="59"/>
  <c r="G59" i="59" s="1"/>
  <c r="O17" i="59"/>
  <c r="O16" i="59"/>
  <c r="O15" i="59"/>
  <c r="O14" i="59"/>
  <c r="O13" i="59"/>
  <c r="O12" i="59"/>
  <c r="O11" i="59"/>
  <c r="O10" i="59"/>
  <c r="O9" i="59"/>
  <c r="A8" i="59"/>
  <c r="H95" i="58"/>
  <c r="F90" i="58"/>
  <c r="H90" i="58" s="1"/>
  <c r="C90" i="58"/>
  <c r="J89" i="58"/>
  <c r="L89" i="58" s="1"/>
  <c r="C89" i="58"/>
  <c r="H83" i="58"/>
  <c r="H80" i="58"/>
  <c r="H77" i="58"/>
  <c r="H76" i="58"/>
  <c r="H75" i="58"/>
  <c r="H74" i="58"/>
  <c r="H73" i="58"/>
  <c r="H72" i="58"/>
  <c r="G71" i="58"/>
  <c r="H71" i="58" s="1"/>
  <c r="G69" i="58"/>
  <c r="G56" i="58"/>
  <c r="Q50" i="58"/>
  <c r="L50" i="58"/>
  <c r="K50" i="58"/>
  <c r="G50" i="58"/>
  <c r="C50" i="58"/>
  <c r="N49" i="58"/>
  <c r="M49" i="58"/>
  <c r="L49" i="58"/>
  <c r="K49" i="58"/>
  <c r="J49" i="58"/>
  <c r="I49" i="58"/>
  <c r="H49" i="58"/>
  <c r="G49" i="58"/>
  <c r="F49" i="58"/>
  <c r="E49" i="58"/>
  <c r="D49" i="58"/>
  <c r="C49" i="58"/>
  <c r="O48" i="58"/>
  <c r="O47" i="58"/>
  <c r="G70" i="58" s="1"/>
  <c r="H70" i="58" s="1"/>
  <c r="O46" i="58"/>
  <c r="O45" i="58"/>
  <c r="O44" i="58"/>
  <c r="O43" i="58"/>
  <c r="O42" i="58"/>
  <c r="O41" i="58"/>
  <c r="O40" i="58"/>
  <c r="O39" i="58"/>
  <c r="O38" i="58"/>
  <c r="G99" i="58" s="1"/>
  <c r="F52" i="1" s="1"/>
  <c r="P52" i="1" s="1"/>
  <c r="N37" i="58"/>
  <c r="N50" i="58" s="1"/>
  <c r="M37" i="58"/>
  <c r="L37" i="58"/>
  <c r="J88" i="58" s="1"/>
  <c r="L88" i="58" s="1"/>
  <c r="K37" i="58"/>
  <c r="J37" i="58"/>
  <c r="J50" i="58" s="1"/>
  <c r="I37" i="58"/>
  <c r="H37" i="58"/>
  <c r="G37" i="58"/>
  <c r="J87" i="58" s="1"/>
  <c r="C37" i="58"/>
  <c r="O36" i="58"/>
  <c r="O35" i="58"/>
  <c r="O34" i="58"/>
  <c r="O33" i="58"/>
  <c r="O32" i="58"/>
  <c r="O31" i="58"/>
  <c r="O30" i="58"/>
  <c r="O29" i="58"/>
  <c r="O28" i="58"/>
  <c r="O27" i="58"/>
  <c r="O26" i="58"/>
  <c r="O25" i="58"/>
  <c r="O24" i="58"/>
  <c r="O23" i="58"/>
  <c r="O22" i="58"/>
  <c r="O21" i="58"/>
  <c r="O20" i="58"/>
  <c r="O19" i="58"/>
  <c r="S88" i="58" s="1"/>
  <c r="O18" i="58"/>
  <c r="O17" i="58"/>
  <c r="O16" i="58"/>
  <c r="O15" i="58"/>
  <c r="O14" i="58"/>
  <c r="O13" i="58"/>
  <c r="O12" i="58"/>
  <c r="O11" i="58"/>
  <c r="O10" i="58"/>
  <c r="D9" i="58"/>
  <c r="A8" i="58"/>
  <c r="H95" i="57"/>
  <c r="H90" i="57"/>
  <c r="F90" i="57"/>
  <c r="C90" i="57"/>
  <c r="C89" i="57"/>
  <c r="H83" i="57"/>
  <c r="H80" i="57"/>
  <c r="G79" i="57"/>
  <c r="H77" i="57"/>
  <c r="O76" i="57"/>
  <c r="H76" i="57"/>
  <c r="H75" i="57"/>
  <c r="H74" i="57"/>
  <c r="H73" i="57"/>
  <c r="H72" i="57"/>
  <c r="H70" i="57"/>
  <c r="G58" i="57"/>
  <c r="J52" i="57"/>
  <c r="J51" i="57"/>
  <c r="Q50" i="57"/>
  <c r="M50" i="57"/>
  <c r="J50" i="57"/>
  <c r="I50" i="57"/>
  <c r="N49" i="57"/>
  <c r="N50" i="57" s="1"/>
  <c r="M49" i="57"/>
  <c r="L49" i="57"/>
  <c r="K49" i="57"/>
  <c r="J49" i="57"/>
  <c r="I49" i="57"/>
  <c r="H49" i="57"/>
  <c r="G49" i="57"/>
  <c r="F49" i="57"/>
  <c r="E49" i="57"/>
  <c r="D49" i="57"/>
  <c r="C49" i="57"/>
  <c r="O48" i="57"/>
  <c r="O47" i="57"/>
  <c r="O46" i="57"/>
  <c r="O45" i="57"/>
  <c r="O44" i="57"/>
  <c r="G56" i="57" s="1"/>
  <c r="O43" i="57"/>
  <c r="G69" i="57" s="1"/>
  <c r="O42" i="57"/>
  <c r="O41" i="57"/>
  <c r="O40" i="57"/>
  <c r="G71" i="57" s="1"/>
  <c r="H71" i="57" s="1"/>
  <c r="O39" i="57"/>
  <c r="O38" i="57"/>
  <c r="G99" i="57" s="1"/>
  <c r="F53" i="1" s="1"/>
  <c r="P53" i="1" s="1"/>
  <c r="N37" i="57"/>
  <c r="M37" i="57"/>
  <c r="J89" i="57" s="1"/>
  <c r="L89" i="57" s="1"/>
  <c r="L37" i="57"/>
  <c r="L50" i="57" s="1"/>
  <c r="K37" i="57"/>
  <c r="K50" i="57" s="1"/>
  <c r="J37" i="57"/>
  <c r="I37" i="57"/>
  <c r="H37" i="57"/>
  <c r="H50" i="57" s="1"/>
  <c r="G37" i="57"/>
  <c r="C37" i="57"/>
  <c r="C50" i="57" s="1"/>
  <c r="O36" i="57"/>
  <c r="O35" i="57"/>
  <c r="O34" i="57"/>
  <c r="O33" i="57"/>
  <c r="O32" i="57"/>
  <c r="O31" i="57"/>
  <c r="O30" i="57"/>
  <c r="O29" i="57"/>
  <c r="O28" i="57"/>
  <c r="O27" i="57"/>
  <c r="O26" i="57"/>
  <c r="O25" i="57"/>
  <c r="O24" i="57"/>
  <c r="O23" i="57"/>
  <c r="O22" i="57"/>
  <c r="O21" i="57"/>
  <c r="O20" i="57"/>
  <c r="O19" i="57"/>
  <c r="O18" i="57"/>
  <c r="O17" i="57"/>
  <c r="O16" i="57"/>
  <c r="O15" i="57"/>
  <c r="O14" i="57"/>
  <c r="O13" i="57"/>
  <c r="O12" i="57"/>
  <c r="O11" i="57"/>
  <c r="O10" i="57"/>
  <c r="D9" i="57"/>
  <c r="E9" i="57" s="1"/>
  <c r="A8" i="57"/>
  <c r="H94" i="56"/>
  <c r="C89" i="56"/>
  <c r="J88" i="56"/>
  <c r="L88" i="56" s="1"/>
  <c r="C88" i="56"/>
  <c r="H82" i="56"/>
  <c r="H79" i="56"/>
  <c r="H76" i="56"/>
  <c r="H75" i="56"/>
  <c r="H74" i="56"/>
  <c r="H73" i="56"/>
  <c r="H72" i="56"/>
  <c r="H71" i="56"/>
  <c r="H70" i="56"/>
  <c r="H69" i="56"/>
  <c r="G68" i="56"/>
  <c r="G57" i="56"/>
  <c r="G56" i="56"/>
  <c r="J51" i="56"/>
  <c r="J52" i="56" s="1"/>
  <c r="L50" i="56"/>
  <c r="K50" i="56"/>
  <c r="G50" i="56"/>
  <c r="C50" i="56"/>
  <c r="N49" i="56"/>
  <c r="M49" i="56"/>
  <c r="L49" i="56"/>
  <c r="K49" i="56"/>
  <c r="J49" i="56"/>
  <c r="I49" i="56"/>
  <c r="H49" i="56"/>
  <c r="G49" i="56"/>
  <c r="F49" i="56"/>
  <c r="E49" i="56"/>
  <c r="D49" i="56"/>
  <c r="C49" i="56"/>
  <c r="O48" i="56"/>
  <c r="O47" i="56"/>
  <c r="O46" i="56"/>
  <c r="O45" i="56"/>
  <c r="O44" i="56"/>
  <c r="O43" i="56"/>
  <c r="O42" i="56"/>
  <c r="O41" i="56"/>
  <c r="O40" i="56"/>
  <c r="G70" i="56" s="1"/>
  <c r="O39" i="56"/>
  <c r="O38" i="56"/>
  <c r="G98" i="56" s="1"/>
  <c r="F54" i="1" s="1"/>
  <c r="P54" i="1" s="1"/>
  <c r="N37" i="56"/>
  <c r="N50" i="56" s="1"/>
  <c r="M37" i="56"/>
  <c r="L37" i="56"/>
  <c r="K37" i="56"/>
  <c r="J37" i="56"/>
  <c r="J87" i="56" s="1"/>
  <c r="L87" i="56" s="1"/>
  <c r="I37" i="56"/>
  <c r="H37" i="56"/>
  <c r="G37" i="56"/>
  <c r="C37" i="56"/>
  <c r="O36" i="56"/>
  <c r="O35" i="56"/>
  <c r="O34" i="56"/>
  <c r="O33" i="56"/>
  <c r="O32" i="56"/>
  <c r="O31" i="56"/>
  <c r="O30" i="56"/>
  <c r="O29" i="56"/>
  <c r="O28" i="56"/>
  <c r="O27" i="56"/>
  <c r="O26" i="56"/>
  <c r="O25" i="56"/>
  <c r="O24" i="56"/>
  <c r="O23" i="56"/>
  <c r="O22" i="56"/>
  <c r="O21" i="56"/>
  <c r="O20" i="56"/>
  <c r="O19" i="56"/>
  <c r="O18" i="56"/>
  <c r="O17" i="56"/>
  <c r="O16" i="56"/>
  <c r="O15" i="56"/>
  <c r="O14" i="56"/>
  <c r="O13" i="56"/>
  <c r="O12" i="56"/>
  <c r="O11" i="56"/>
  <c r="O10" i="56"/>
  <c r="D9" i="56"/>
  <c r="A8" i="56"/>
  <c r="H94" i="51"/>
  <c r="C89" i="51"/>
  <c r="C88" i="51"/>
  <c r="H82" i="51"/>
  <c r="H79" i="51"/>
  <c r="H76" i="51"/>
  <c r="H75" i="51"/>
  <c r="H74" i="51"/>
  <c r="H73" i="51"/>
  <c r="O72" i="51"/>
  <c r="H72" i="51"/>
  <c r="H71" i="51"/>
  <c r="G68" i="51"/>
  <c r="J51" i="51"/>
  <c r="Q50" i="51"/>
  <c r="L50" i="51"/>
  <c r="K50" i="51"/>
  <c r="G50" i="51"/>
  <c r="C50" i="51"/>
  <c r="N49" i="51"/>
  <c r="M49" i="51"/>
  <c r="L49" i="51"/>
  <c r="K49" i="51"/>
  <c r="J49" i="51"/>
  <c r="I49" i="51"/>
  <c r="H49" i="51"/>
  <c r="G49" i="51"/>
  <c r="F49" i="51"/>
  <c r="E49" i="51"/>
  <c r="D49" i="51"/>
  <c r="C49" i="51"/>
  <c r="O48" i="51"/>
  <c r="O47" i="51"/>
  <c r="G69" i="51" s="1"/>
  <c r="H69" i="51" s="1"/>
  <c r="O46" i="51"/>
  <c r="O45" i="51"/>
  <c r="O44" i="51"/>
  <c r="G56" i="51" s="1"/>
  <c r="O43" i="51"/>
  <c r="O42" i="51"/>
  <c r="G78" i="51" s="1"/>
  <c r="G83" i="51" s="1"/>
  <c r="O41" i="51"/>
  <c r="O40" i="51"/>
  <c r="G70" i="51" s="1"/>
  <c r="H70" i="51" s="1"/>
  <c r="O39" i="51"/>
  <c r="O38" i="51"/>
  <c r="G98" i="51" s="1"/>
  <c r="F48" i="1" s="1"/>
  <c r="P48" i="1" s="1"/>
  <c r="N37" i="51"/>
  <c r="M37" i="51"/>
  <c r="M50" i="51" s="1"/>
  <c r="L37" i="51"/>
  <c r="J87" i="51" s="1"/>
  <c r="K37" i="51"/>
  <c r="J37" i="51"/>
  <c r="I37" i="51"/>
  <c r="I50" i="51" s="1"/>
  <c r="H37" i="51"/>
  <c r="H50" i="51" s="1"/>
  <c r="G37" i="51"/>
  <c r="F37" i="51"/>
  <c r="E37" i="51"/>
  <c r="J85" i="51" s="1"/>
  <c r="D37" i="51"/>
  <c r="D50" i="51" s="1"/>
  <c r="C37" i="51"/>
  <c r="O36" i="51"/>
  <c r="O35" i="51"/>
  <c r="O34" i="51"/>
  <c r="O33" i="51"/>
  <c r="O32" i="51"/>
  <c r="O31" i="51"/>
  <c r="O30" i="51"/>
  <c r="O29" i="51"/>
  <c r="O28" i="51"/>
  <c r="O27" i="51"/>
  <c r="O26" i="51"/>
  <c r="O25" i="51"/>
  <c r="O24" i="51"/>
  <c r="O23" i="51"/>
  <c r="O22" i="51"/>
  <c r="O21" i="51"/>
  <c r="O20" i="51"/>
  <c r="O19" i="51"/>
  <c r="O18" i="51"/>
  <c r="O17" i="51"/>
  <c r="O16" i="51"/>
  <c r="O15" i="51"/>
  <c r="O14" i="51"/>
  <c r="O13" i="51"/>
  <c r="O12" i="51"/>
  <c r="O11" i="51"/>
  <c r="O10" i="51"/>
  <c r="O9" i="51"/>
  <c r="A8" i="51"/>
  <c r="H94" i="50"/>
  <c r="C89" i="50"/>
  <c r="C88" i="50"/>
  <c r="H82" i="50"/>
  <c r="H79" i="50"/>
  <c r="H76" i="50"/>
  <c r="H75" i="50"/>
  <c r="H74" i="50"/>
  <c r="H73" i="50"/>
  <c r="H72" i="50"/>
  <c r="H71" i="50"/>
  <c r="H69" i="50"/>
  <c r="G56" i="50"/>
  <c r="J51" i="50"/>
  <c r="J52" i="50" s="1"/>
  <c r="Q50" i="50"/>
  <c r="K50" i="50"/>
  <c r="G50" i="50"/>
  <c r="C50" i="50"/>
  <c r="N49" i="50"/>
  <c r="M49" i="50"/>
  <c r="L49" i="50"/>
  <c r="K49" i="50"/>
  <c r="J49" i="50"/>
  <c r="I49" i="50"/>
  <c r="I50" i="50" s="1"/>
  <c r="H49" i="50"/>
  <c r="G49" i="50"/>
  <c r="F49" i="50"/>
  <c r="E49" i="50"/>
  <c r="D49" i="50"/>
  <c r="D50" i="50" s="1"/>
  <c r="C49" i="50"/>
  <c r="O48" i="50"/>
  <c r="O47" i="50"/>
  <c r="O46" i="50"/>
  <c r="O45" i="50"/>
  <c r="O44" i="50"/>
  <c r="O43" i="50"/>
  <c r="G68" i="50" s="1"/>
  <c r="O42" i="50"/>
  <c r="O41" i="50"/>
  <c r="O40" i="50"/>
  <c r="G70" i="50" s="1"/>
  <c r="H70" i="50" s="1"/>
  <c r="O39" i="50"/>
  <c r="O38" i="50"/>
  <c r="G98" i="50" s="1"/>
  <c r="F60" i="1" s="1"/>
  <c r="P60" i="1" s="1"/>
  <c r="N37" i="50"/>
  <c r="M37" i="50"/>
  <c r="L37" i="50"/>
  <c r="K37" i="50"/>
  <c r="J37" i="50"/>
  <c r="I37" i="50"/>
  <c r="H37" i="50"/>
  <c r="G37" i="50"/>
  <c r="J86" i="50" s="1"/>
  <c r="D37" i="50"/>
  <c r="C37" i="50"/>
  <c r="O36" i="50"/>
  <c r="O35" i="50"/>
  <c r="O34" i="50"/>
  <c r="O33" i="50"/>
  <c r="O32" i="50"/>
  <c r="O31" i="50"/>
  <c r="O30" i="50"/>
  <c r="O29" i="50"/>
  <c r="O28" i="50"/>
  <c r="O27" i="50"/>
  <c r="O26" i="50"/>
  <c r="O25" i="50"/>
  <c r="O24" i="50"/>
  <c r="O23" i="50"/>
  <c r="O22" i="50"/>
  <c r="O21" i="50"/>
  <c r="O20" i="50"/>
  <c r="O19" i="50"/>
  <c r="O18" i="50"/>
  <c r="O17" i="50"/>
  <c r="O16" i="50"/>
  <c r="O15" i="50"/>
  <c r="O14" i="50"/>
  <c r="O13" i="50"/>
  <c r="O12" i="50"/>
  <c r="O11" i="50"/>
  <c r="O10" i="50"/>
  <c r="D9" i="50"/>
  <c r="A8" i="50"/>
  <c r="H95" i="49"/>
  <c r="C90" i="49"/>
  <c r="C89" i="49"/>
  <c r="G84" i="49"/>
  <c r="H83" i="49"/>
  <c r="H80" i="49"/>
  <c r="H79" i="49"/>
  <c r="H77" i="49"/>
  <c r="H76" i="49"/>
  <c r="H75" i="49"/>
  <c r="H74" i="49"/>
  <c r="H73" i="49"/>
  <c r="H72" i="49"/>
  <c r="G71" i="49"/>
  <c r="H71" i="49" s="1"/>
  <c r="H70" i="49"/>
  <c r="Q50" i="49"/>
  <c r="N49" i="49"/>
  <c r="M49" i="49"/>
  <c r="L49" i="49"/>
  <c r="K49" i="49"/>
  <c r="J49" i="49"/>
  <c r="I49" i="49"/>
  <c r="H49" i="49"/>
  <c r="G49" i="49"/>
  <c r="F49" i="49"/>
  <c r="E49" i="49"/>
  <c r="D49" i="49"/>
  <c r="C49" i="49"/>
  <c r="O49" i="49" s="1"/>
  <c r="O48" i="49"/>
  <c r="O47" i="49"/>
  <c r="O46" i="49"/>
  <c r="O45" i="49"/>
  <c r="O44" i="49"/>
  <c r="G56" i="49" s="1"/>
  <c r="O43" i="49"/>
  <c r="G69" i="49" s="1"/>
  <c r="O42" i="49"/>
  <c r="O41" i="49"/>
  <c r="O40" i="49"/>
  <c r="Q39" i="49"/>
  <c r="O39" i="49"/>
  <c r="O38" i="49"/>
  <c r="G99" i="49" s="1"/>
  <c r="F61" i="1" s="1"/>
  <c r="P61" i="1" s="1"/>
  <c r="C37" i="49"/>
  <c r="M36" i="49"/>
  <c r="N36" i="49" s="1"/>
  <c r="L36" i="49"/>
  <c r="I36" i="49"/>
  <c r="F36" i="49"/>
  <c r="L35" i="49"/>
  <c r="M35" i="49" s="1"/>
  <c r="N35" i="49" s="1"/>
  <c r="I35" i="49"/>
  <c r="F35" i="49"/>
  <c r="G35" i="49" s="1"/>
  <c r="O35" i="49" s="1"/>
  <c r="J34" i="49"/>
  <c r="K34" i="49" s="1"/>
  <c r="L34" i="49" s="1"/>
  <c r="M34" i="49" s="1"/>
  <c r="N34" i="49" s="1"/>
  <c r="I34" i="49"/>
  <c r="E34" i="49"/>
  <c r="F34" i="49" s="1"/>
  <c r="D34" i="49"/>
  <c r="I33" i="49"/>
  <c r="J33" i="49" s="1"/>
  <c r="K33" i="49" s="1"/>
  <c r="L33" i="49" s="1"/>
  <c r="M33" i="49" s="1"/>
  <c r="N33" i="49" s="1"/>
  <c r="E33" i="49"/>
  <c r="F33" i="49" s="1"/>
  <c r="G33" i="49" s="1"/>
  <c r="D33" i="49"/>
  <c r="L32" i="49"/>
  <c r="M32" i="49" s="1"/>
  <c r="N32" i="49" s="1"/>
  <c r="I32" i="49"/>
  <c r="J32" i="49" s="1"/>
  <c r="K32" i="49" s="1"/>
  <c r="D32" i="49"/>
  <c r="I31" i="49"/>
  <c r="J31" i="49" s="1"/>
  <c r="K31" i="49" s="1"/>
  <c r="L31" i="49" s="1"/>
  <c r="M31" i="49" s="1"/>
  <c r="N31" i="49" s="1"/>
  <c r="G31" i="49"/>
  <c r="O31" i="49" s="1"/>
  <c r="D31" i="49"/>
  <c r="I30" i="49"/>
  <c r="J30" i="49" s="1"/>
  <c r="K30" i="49" s="1"/>
  <c r="L30" i="49" s="1"/>
  <c r="M30" i="49" s="1"/>
  <c r="N30" i="49" s="1"/>
  <c r="D30" i="49"/>
  <c r="L29" i="49"/>
  <c r="M29" i="49" s="1"/>
  <c r="N29" i="49" s="1"/>
  <c r="K29" i="49"/>
  <c r="I29" i="49"/>
  <c r="J29" i="49" s="1"/>
  <c r="F29" i="49"/>
  <c r="G29" i="49" s="1"/>
  <c r="D29" i="49"/>
  <c r="E29" i="49" s="1"/>
  <c r="O29" i="49" s="1"/>
  <c r="K28" i="49"/>
  <c r="L28" i="49" s="1"/>
  <c r="M28" i="49" s="1"/>
  <c r="N28" i="49" s="1"/>
  <c r="J28" i="49"/>
  <c r="I28" i="49"/>
  <c r="E28" i="49"/>
  <c r="D28" i="49"/>
  <c r="J27" i="49"/>
  <c r="K27" i="49" s="1"/>
  <c r="L27" i="49" s="1"/>
  <c r="M27" i="49" s="1"/>
  <c r="N27" i="49" s="1"/>
  <c r="I27" i="49"/>
  <c r="D27" i="49"/>
  <c r="M26" i="49"/>
  <c r="N26" i="49" s="1"/>
  <c r="L26" i="49"/>
  <c r="I26" i="49"/>
  <c r="J26" i="49" s="1"/>
  <c r="K26" i="49" s="1"/>
  <c r="D26" i="49"/>
  <c r="I25" i="49"/>
  <c r="J25" i="49" s="1"/>
  <c r="K25" i="49" s="1"/>
  <c r="L25" i="49" s="1"/>
  <c r="M25" i="49" s="1"/>
  <c r="N25" i="49" s="1"/>
  <c r="D25" i="49"/>
  <c r="E25" i="49" s="1"/>
  <c r="F25" i="49" s="1"/>
  <c r="J24" i="49"/>
  <c r="K24" i="49" s="1"/>
  <c r="I24" i="49"/>
  <c r="F24" i="49"/>
  <c r="G24" i="49" s="1"/>
  <c r="E24" i="49"/>
  <c r="D24" i="49"/>
  <c r="I23" i="49"/>
  <c r="J23" i="49" s="1"/>
  <c r="K23" i="49" s="1"/>
  <c r="L23" i="49" s="1"/>
  <c r="M23" i="49" s="1"/>
  <c r="N23" i="49" s="1"/>
  <c r="E23" i="49"/>
  <c r="F23" i="49" s="1"/>
  <c r="G23" i="49" s="1"/>
  <c r="D23" i="49"/>
  <c r="L22" i="49"/>
  <c r="M22" i="49" s="1"/>
  <c r="N22" i="49" s="1"/>
  <c r="I22" i="49"/>
  <c r="F22" i="49"/>
  <c r="G22" i="49" s="1"/>
  <c r="E22" i="49"/>
  <c r="D22" i="49"/>
  <c r="I21" i="49"/>
  <c r="J21" i="49" s="1"/>
  <c r="K21" i="49" s="1"/>
  <c r="L21" i="49" s="1"/>
  <c r="M21" i="49" s="1"/>
  <c r="N21" i="49" s="1"/>
  <c r="E21" i="49"/>
  <c r="F21" i="49" s="1"/>
  <c r="G21" i="49" s="1"/>
  <c r="D21" i="49"/>
  <c r="I20" i="49"/>
  <c r="J20" i="49" s="1"/>
  <c r="K20" i="49" s="1"/>
  <c r="L20" i="49" s="1"/>
  <c r="M20" i="49" s="1"/>
  <c r="N20" i="49" s="1"/>
  <c r="D20" i="49"/>
  <c r="D19" i="49"/>
  <c r="E19" i="49" s="1"/>
  <c r="F19" i="49" s="1"/>
  <c r="I18" i="49"/>
  <c r="J18" i="49" s="1"/>
  <c r="K18" i="49" s="1"/>
  <c r="L18" i="49" s="1"/>
  <c r="M18" i="49" s="1"/>
  <c r="N18" i="49" s="1"/>
  <c r="D18" i="49"/>
  <c r="E18" i="49" s="1"/>
  <c r="F18" i="49" s="1"/>
  <c r="J17" i="49"/>
  <c r="K17" i="49" s="1"/>
  <c r="I17" i="49"/>
  <c r="F17" i="49"/>
  <c r="G17" i="49" s="1"/>
  <c r="E17" i="49"/>
  <c r="D17" i="49"/>
  <c r="I16" i="49"/>
  <c r="J16" i="49" s="1"/>
  <c r="K16" i="49" s="1"/>
  <c r="L16" i="49" s="1"/>
  <c r="M16" i="49" s="1"/>
  <c r="N16" i="49" s="1"/>
  <c r="E16" i="49"/>
  <c r="F16" i="49" s="1"/>
  <c r="G16" i="49" s="1"/>
  <c r="D16" i="49"/>
  <c r="I15" i="49"/>
  <c r="J15" i="49" s="1"/>
  <c r="K15" i="49" s="1"/>
  <c r="L15" i="49" s="1"/>
  <c r="M15" i="49" s="1"/>
  <c r="N15" i="49" s="1"/>
  <c r="D15" i="49"/>
  <c r="L14" i="49"/>
  <c r="M14" i="49" s="1"/>
  <c r="N14" i="49" s="1"/>
  <c r="K14" i="49"/>
  <c r="F14" i="49"/>
  <c r="G14" i="49" s="1"/>
  <c r="H14" i="49" s="1"/>
  <c r="E14" i="49"/>
  <c r="I13" i="49"/>
  <c r="J13" i="49" s="1"/>
  <c r="K13" i="49" s="1"/>
  <c r="L13" i="49" s="1"/>
  <c r="M13" i="49" s="1"/>
  <c r="N13" i="49" s="1"/>
  <c r="E13" i="49"/>
  <c r="F13" i="49" s="1"/>
  <c r="G13" i="49" s="1"/>
  <c r="D13" i="49"/>
  <c r="I12" i="49"/>
  <c r="D12" i="49"/>
  <c r="O11" i="49"/>
  <c r="L11" i="49"/>
  <c r="M11" i="49" s="1"/>
  <c r="N11" i="49" s="1"/>
  <c r="K11" i="49"/>
  <c r="E11" i="49"/>
  <c r="F11" i="49" s="1"/>
  <c r="J10" i="49"/>
  <c r="I10" i="49"/>
  <c r="F10" i="49"/>
  <c r="G10" i="49" s="1"/>
  <c r="E10" i="49"/>
  <c r="D10" i="49"/>
  <c r="F9" i="49"/>
  <c r="E9" i="49"/>
  <c r="D9" i="49"/>
  <c r="A8" i="49"/>
  <c r="H96" i="48"/>
  <c r="C91" i="48"/>
  <c r="C90" i="48"/>
  <c r="J88" i="48"/>
  <c r="G85" i="48"/>
  <c r="H84" i="48"/>
  <c r="H81" i="48"/>
  <c r="H80" i="48"/>
  <c r="H78" i="48"/>
  <c r="H77" i="48"/>
  <c r="H76" i="48"/>
  <c r="H75" i="48"/>
  <c r="H74" i="48"/>
  <c r="H73" i="48"/>
  <c r="G72" i="48"/>
  <c r="H72" i="48" s="1"/>
  <c r="H70" i="48"/>
  <c r="G70" i="48"/>
  <c r="H79" i="48" s="1"/>
  <c r="H85" i="48" s="1"/>
  <c r="G59" i="48"/>
  <c r="G58" i="48"/>
  <c r="J53" i="48"/>
  <c r="J54" i="48" s="1"/>
  <c r="E53" i="48"/>
  <c r="D53" i="48"/>
  <c r="Q52" i="48"/>
  <c r="J52" i="48"/>
  <c r="G52" i="48"/>
  <c r="F52" i="48"/>
  <c r="N51" i="48"/>
  <c r="N52" i="48" s="1"/>
  <c r="M51" i="48"/>
  <c r="L51" i="48"/>
  <c r="K51" i="48"/>
  <c r="K52" i="48" s="1"/>
  <c r="J51" i="48"/>
  <c r="I51" i="48"/>
  <c r="H51" i="48"/>
  <c r="G51" i="48"/>
  <c r="F51" i="48"/>
  <c r="E51" i="48"/>
  <c r="D51" i="48"/>
  <c r="C51" i="48"/>
  <c r="C52" i="48" s="1"/>
  <c r="O50" i="48"/>
  <c r="O49" i="48"/>
  <c r="G71" i="48" s="1"/>
  <c r="H71" i="48" s="1"/>
  <c r="O48" i="48"/>
  <c r="O47" i="48"/>
  <c r="O46" i="48"/>
  <c r="O45" i="48"/>
  <c r="O44" i="48"/>
  <c r="O43" i="48"/>
  <c r="O42" i="48"/>
  <c r="O41" i="48"/>
  <c r="O40" i="48"/>
  <c r="O39" i="48"/>
  <c r="G100" i="48" s="1"/>
  <c r="F62" i="1" s="1"/>
  <c r="P62" i="1" s="1"/>
  <c r="N38" i="48"/>
  <c r="M38" i="48"/>
  <c r="L38" i="48"/>
  <c r="L52" i="48" s="1"/>
  <c r="K38" i="48"/>
  <c r="J38" i="48"/>
  <c r="J89" i="48" s="1"/>
  <c r="I38" i="48"/>
  <c r="I52" i="48" s="1"/>
  <c r="H38" i="48"/>
  <c r="H52" i="48" s="1"/>
  <c r="G38" i="48"/>
  <c r="F38" i="48"/>
  <c r="E38" i="48"/>
  <c r="E52" i="48" s="1"/>
  <c r="D38" i="48"/>
  <c r="D52" i="48" s="1"/>
  <c r="C38" i="48"/>
  <c r="O37" i="48"/>
  <c r="O36" i="48"/>
  <c r="O35" i="48"/>
  <c r="O34" i="48"/>
  <c r="O33" i="48"/>
  <c r="O32" i="48"/>
  <c r="O31" i="48"/>
  <c r="O30" i="48"/>
  <c r="O29" i="48"/>
  <c r="O28" i="48"/>
  <c r="O27" i="48"/>
  <c r="O26" i="48"/>
  <c r="O25" i="48"/>
  <c r="O24" i="48"/>
  <c r="O23" i="48"/>
  <c r="O22" i="48"/>
  <c r="O21" i="48"/>
  <c r="O20" i="48"/>
  <c r="O19" i="48"/>
  <c r="O18" i="48"/>
  <c r="O17" i="48"/>
  <c r="O16" i="48"/>
  <c r="O15" i="48"/>
  <c r="O14" i="48"/>
  <c r="O13" i="48"/>
  <c r="O12" i="48"/>
  <c r="O11" i="48"/>
  <c r="O10" i="48"/>
  <c r="O9" i="48"/>
  <c r="A8" i="48"/>
  <c r="H94" i="47"/>
  <c r="C89" i="47"/>
  <c r="C88" i="47"/>
  <c r="H82" i="47"/>
  <c r="H79" i="47"/>
  <c r="G77" i="47"/>
  <c r="H76" i="47"/>
  <c r="H75" i="47"/>
  <c r="H74" i="47"/>
  <c r="H73" i="47"/>
  <c r="H72" i="47"/>
  <c r="H71" i="47"/>
  <c r="H70" i="47"/>
  <c r="G70" i="47"/>
  <c r="G68" i="47"/>
  <c r="G56" i="47"/>
  <c r="C50" i="47"/>
  <c r="N49" i="47"/>
  <c r="M49" i="47"/>
  <c r="L49" i="47"/>
  <c r="K49" i="47"/>
  <c r="J49" i="47"/>
  <c r="I49" i="47"/>
  <c r="H49" i="47"/>
  <c r="G49" i="47"/>
  <c r="F49" i="47"/>
  <c r="E49" i="47"/>
  <c r="D49" i="47"/>
  <c r="C49" i="47"/>
  <c r="O48" i="47"/>
  <c r="O47" i="47"/>
  <c r="G69" i="47" s="1"/>
  <c r="H69" i="47" s="1"/>
  <c r="O46" i="47"/>
  <c r="O45" i="47"/>
  <c r="O44" i="47"/>
  <c r="O43" i="47"/>
  <c r="O42" i="47"/>
  <c r="G78" i="47" s="1"/>
  <c r="G83" i="47" s="1"/>
  <c r="O41" i="47"/>
  <c r="O40" i="47"/>
  <c r="O39" i="47"/>
  <c r="O38" i="47"/>
  <c r="G98" i="47" s="1"/>
  <c r="F59" i="1" s="1"/>
  <c r="P59" i="1" s="1"/>
  <c r="H37" i="47"/>
  <c r="H50" i="47" s="1"/>
  <c r="C37" i="47"/>
  <c r="M36" i="47"/>
  <c r="N36" i="47" s="1"/>
  <c r="L36" i="47"/>
  <c r="I36" i="47"/>
  <c r="F36" i="47"/>
  <c r="O35" i="47"/>
  <c r="L35" i="47"/>
  <c r="M35" i="47" s="1"/>
  <c r="N35" i="47" s="1"/>
  <c r="I35" i="47"/>
  <c r="F35" i="47"/>
  <c r="G35" i="47" s="1"/>
  <c r="J34" i="47"/>
  <c r="K34" i="47" s="1"/>
  <c r="I34" i="47"/>
  <c r="F34" i="47"/>
  <c r="G34" i="47" s="1"/>
  <c r="E34" i="47"/>
  <c r="D34" i="47"/>
  <c r="I33" i="47"/>
  <c r="J33" i="47" s="1"/>
  <c r="K33" i="47" s="1"/>
  <c r="L33" i="47" s="1"/>
  <c r="M33" i="47" s="1"/>
  <c r="N33" i="47" s="1"/>
  <c r="E33" i="47"/>
  <c r="F33" i="47" s="1"/>
  <c r="G33" i="47" s="1"/>
  <c r="D33" i="47"/>
  <c r="L32" i="47"/>
  <c r="M32" i="47" s="1"/>
  <c r="N32" i="47" s="1"/>
  <c r="J32" i="47"/>
  <c r="K32" i="47" s="1"/>
  <c r="I32" i="47"/>
  <c r="E32" i="47"/>
  <c r="F32" i="47" s="1"/>
  <c r="G32" i="47" s="1"/>
  <c r="D32" i="47"/>
  <c r="L31" i="47"/>
  <c r="M31" i="47" s="1"/>
  <c r="N31" i="47" s="1"/>
  <c r="K31" i="47"/>
  <c r="I31" i="47"/>
  <c r="J31" i="47" s="1"/>
  <c r="F31" i="47"/>
  <c r="G31" i="47" s="1"/>
  <c r="D31" i="47"/>
  <c r="E31" i="47" s="1"/>
  <c r="L30" i="47"/>
  <c r="M30" i="47" s="1"/>
  <c r="N30" i="47" s="1"/>
  <c r="K30" i="47"/>
  <c r="J30" i="47"/>
  <c r="I30" i="47"/>
  <c r="G30" i="47"/>
  <c r="F30" i="47"/>
  <c r="E30" i="47"/>
  <c r="D30" i="47"/>
  <c r="J29" i="47"/>
  <c r="K29" i="47" s="1"/>
  <c r="L29" i="47" s="1"/>
  <c r="M29" i="47" s="1"/>
  <c r="N29" i="47" s="1"/>
  <c r="I29" i="47"/>
  <c r="D29" i="47"/>
  <c r="E29" i="47" s="1"/>
  <c r="F29" i="47" s="1"/>
  <c r="G29" i="47" s="1"/>
  <c r="J28" i="47"/>
  <c r="K28" i="47" s="1"/>
  <c r="L28" i="47" s="1"/>
  <c r="M28" i="47" s="1"/>
  <c r="N28" i="47" s="1"/>
  <c r="I28" i="47"/>
  <c r="D28" i="47"/>
  <c r="K27" i="47"/>
  <c r="L27" i="47" s="1"/>
  <c r="M27" i="47" s="1"/>
  <c r="N27" i="47" s="1"/>
  <c r="I27" i="47"/>
  <c r="J27" i="47" s="1"/>
  <c r="D27" i="47"/>
  <c r="E27" i="47" s="1"/>
  <c r="F27" i="47" s="1"/>
  <c r="G27" i="47" s="1"/>
  <c r="K26" i="47"/>
  <c r="L26" i="47" s="1"/>
  <c r="M26" i="47" s="1"/>
  <c r="N26" i="47" s="1"/>
  <c r="J26" i="47"/>
  <c r="I26" i="47"/>
  <c r="F26" i="47"/>
  <c r="G26" i="47" s="1"/>
  <c r="E26" i="47"/>
  <c r="O26" i="47" s="1"/>
  <c r="D26" i="47"/>
  <c r="I25" i="47"/>
  <c r="J25" i="47" s="1"/>
  <c r="K25" i="47" s="1"/>
  <c r="L25" i="47" s="1"/>
  <c r="M25" i="47" s="1"/>
  <c r="N25" i="47" s="1"/>
  <c r="D25" i="47"/>
  <c r="E25" i="47" s="1"/>
  <c r="F25" i="47" s="1"/>
  <c r="G25" i="47" s="1"/>
  <c r="I24" i="47"/>
  <c r="J24" i="47" s="1"/>
  <c r="K24" i="47" s="1"/>
  <c r="L24" i="47" s="1"/>
  <c r="M24" i="47" s="1"/>
  <c r="N24" i="47" s="1"/>
  <c r="D24" i="47"/>
  <c r="I23" i="47"/>
  <c r="J23" i="47" s="1"/>
  <c r="K23" i="47" s="1"/>
  <c r="L23" i="47" s="1"/>
  <c r="M23" i="47" s="1"/>
  <c r="N23" i="47" s="1"/>
  <c r="D23" i="47"/>
  <c r="E23" i="47" s="1"/>
  <c r="F23" i="47" s="1"/>
  <c r="N22" i="47"/>
  <c r="L22" i="47"/>
  <c r="M22" i="47" s="1"/>
  <c r="I22" i="47"/>
  <c r="G22" i="47"/>
  <c r="O22" i="47" s="1"/>
  <c r="E22" i="47"/>
  <c r="F22" i="47" s="1"/>
  <c r="D22" i="47"/>
  <c r="I21" i="47"/>
  <c r="J21" i="47" s="1"/>
  <c r="K21" i="47" s="1"/>
  <c r="L21" i="47" s="1"/>
  <c r="M21" i="47" s="1"/>
  <c r="N21" i="47" s="1"/>
  <c r="G21" i="47"/>
  <c r="F21" i="47"/>
  <c r="O21" i="47" s="1"/>
  <c r="D21" i="47"/>
  <c r="E21" i="47" s="1"/>
  <c r="J20" i="47"/>
  <c r="K20" i="47" s="1"/>
  <c r="L20" i="47" s="1"/>
  <c r="M20" i="47" s="1"/>
  <c r="N20" i="47" s="1"/>
  <c r="I20" i="47"/>
  <c r="E20" i="47"/>
  <c r="F20" i="47" s="1"/>
  <c r="G20" i="47" s="1"/>
  <c r="D20" i="47"/>
  <c r="E19" i="47"/>
  <c r="F19" i="47" s="1"/>
  <c r="O19" i="47" s="1"/>
  <c r="D19" i="47"/>
  <c r="K18" i="47"/>
  <c r="L18" i="47" s="1"/>
  <c r="M18" i="47" s="1"/>
  <c r="N18" i="47" s="1"/>
  <c r="J18" i="47"/>
  <c r="I18" i="47"/>
  <c r="E18" i="47"/>
  <c r="F18" i="47" s="1"/>
  <c r="G18" i="47" s="1"/>
  <c r="D18" i="47"/>
  <c r="O18" i="47" s="1"/>
  <c r="L17" i="47"/>
  <c r="M17" i="47" s="1"/>
  <c r="N17" i="47" s="1"/>
  <c r="J17" i="47"/>
  <c r="K17" i="47" s="1"/>
  <c r="I17" i="47"/>
  <c r="E17" i="47"/>
  <c r="F17" i="47" s="1"/>
  <c r="G17" i="47" s="1"/>
  <c r="D17" i="47"/>
  <c r="L16" i="47"/>
  <c r="M16" i="47" s="1"/>
  <c r="N16" i="47" s="1"/>
  <c r="K16" i="47"/>
  <c r="I16" i="47"/>
  <c r="J16" i="47" s="1"/>
  <c r="F16" i="47"/>
  <c r="G16" i="47" s="1"/>
  <c r="D16" i="47"/>
  <c r="E16" i="47" s="1"/>
  <c r="L15" i="47"/>
  <c r="M15" i="47" s="1"/>
  <c r="N15" i="47" s="1"/>
  <c r="K15" i="47"/>
  <c r="J15" i="47"/>
  <c r="I15" i="47"/>
  <c r="G15" i="47"/>
  <c r="F15" i="47"/>
  <c r="E15" i="47"/>
  <c r="D15" i="47"/>
  <c r="K14" i="47"/>
  <c r="L14" i="47" s="1"/>
  <c r="M14" i="47" s="1"/>
  <c r="N14" i="47" s="1"/>
  <c r="F14" i="47"/>
  <c r="O14" i="47" s="1"/>
  <c r="E14" i="47"/>
  <c r="L13" i="47"/>
  <c r="M13" i="47" s="1"/>
  <c r="N13" i="47" s="1"/>
  <c r="J13" i="47"/>
  <c r="K13" i="47" s="1"/>
  <c r="I13" i="47"/>
  <c r="E13" i="47"/>
  <c r="F13" i="47" s="1"/>
  <c r="G13" i="47" s="1"/>
  <c r="D13" i="47"/>
  <c r="L12" i="47"/>
  <c r="M12" i="47" s="1"/>
  <c r="N12" i="47" s="1"/>
  <c r="K12" i="47"/>
  <c r="I12" i="47"/>
  <c r="J12" i="47" s="1"/>
  <c r="F12" i="47"/>
  <c r="G12" i="47" s="1"/>
  <c r="D12" i="47"/>
  <c r="E12" i="47" s="1"/>
  <c r="L11" i="47"/>
  <c r="M11" i="47" s="1"/>
  <c r="N11" i="47" s="1"/>
  <c r="K11" i="47"/>
  <c r="F11" i="47"/>
  <c r="E11" i="47"/>
  <c r="J10" i="47"/>
  <c r="K10" i="47" s="1"/>
  <c r="I10" i="47"/>
  <c r="D10" i="47"/>
  <c r="D37" i="47" s="1"/>
  <c r="O9" i="47"/>
  <c r="A8" i="47"/>
  <c r="P3" i="1"/>
  <c r="G48" i="46"/>
  <c r="G47" i="46"/>
  <c r="G46" i="46"/>
  <c r="G45" i="46"/>
  <c r="G44" i="46"/>
  <c r="G43" i="46"/>
  <c r="G42" i="46"/>
  <c r="G41" i="46"/>
  <c r="G40" i="46"/>
  <c r="G39" i="46"/>
  <c r="G38" i="46"/>
  <c r="G37" i="46"/>
  <c r="G36" i="46"/>
  <c r="G35" i="46"/>
  <c r="G34" i="46"/>
  <c r="G33" i="46"/>
  <c r="G32" i="46"/>
  <c r="G31" i="46"/>
  <c r="G30" i="46"/>
  <c r="G29" i="46"/>
  <c r="G28" i="46"/>
  <c r="G27" i="46"/>
  <c r="G26" i="46"/>
  <c r="G25" i="46"/>
  <c r="G24" i="46"/>
  <c r="G23" i="46"/>
  <c r="G22" i="46"/>
  <c r="G21" i="46"/>
  <c r="G20" i="46"/>
  <c r="G19" i="46"/>
  <c r="G18" i="46"/>
  <c r="G17" i="46"/>
  <c r="G16" i="46"/>
  <c r="G15" i="46"/>
  <c r="G14" i="46"/>
  <c r="G13" i="46"/>
  <c r="G12" i="46"/>
  <c r="G11" i="46"/>
  <c r="G10" i="46"/>
  <c r="G9" i="46"/>
  <c r="G8" i="46"/>
  <c r="G6" i="46"/>
  <c r="G5" i="46"/>
  <c r="G4" i="46"/>
  <c r="H95" i="45"/>
  <c r="C90" i="45"/>
  <c r="C89" i="45"/>
  <c r="G84" i="45"/>
  <c r="H83" i="45"/>
  <c r="H81" i="45"/>
  <c r="H80" i="45"/>
  <c r="H79" i="45"/>
  <c r="H77" i="45"/>
  <c r="H76" i="45"/>
  <c r="H75" i="45"/>
  <c r="H74" i="45"/>
  <c r="H73" i="45"/>
  <c r="H72" i="45"/>
  <c r="G71" i="45"/>
  <c r="H71" i="45" s="1"/>
  <c r="H70" i="45"/>
  <c r="M50" i="45"/>
  <c r="K50" i="45"/>
  <c r="I50" i="45"/>
  <c r="G50" i="45"/>
  <c r="E50" i="45"/>
  <c r="C50" i="45"/>
  <c r="N49" i="45"/>
  <c r="M49" i="45"/>
  <c r="L49" i="45"/>
  <c r="K49" i="45"/>
  <c r="J49" i="45"/>
  <c r="I49" i="45"/>
  <c r="H49" i="45"/>
  <c r="G49" i="45"/>
  <c r="F49" i="45"/>
  <c r="E49" i="45"/>
  <c r="D49" i="45"/>
  <c r="C49" i="45"/>
  <c r="O48" i="45"/>
  <c r="O47" i="45"/>
  <c r="O46" i="45"/>
  <c r="O45" i="45"/>
  <c r="O44" i="45"/>
  <c r="G56" i="45" s="1"/>
  <c r="O43" i="45"/>
  <c r="G69" i="45" s="1"/>
  <c r="O42" i="45"/>
  <c r="O73" i="45" s="1"/>
  <c r="O41" i="45"/>
  <c r="O40" i="45"/>
  <c r="O39" i="45"/>
  <c r="O38" i="45"/>
  <c r="G99" i="45" s="1"/>
  <c r="N37" i="45"/>
  <c r="N50" i="45" s="1"/>
  <c r="M37" i="45"/>
  <c r="J89" i="45" s="1"/>
  <c r="L37" i="45"/>
  <c r="K37" i="45"/>
  <c r="J37" i="45"/>
  <c r="J50" i="45" s="1"/>
  <c r="I37" i="45"/>
  <c r="H37" i="45"/>
  <c r="H50" i="45" s="1"/>
  <c r="G37" i="45"/>
  <c r="F37" i="45"/>
  <c r="F50" i="45" s="1"/>
  <c r="E37" i="45"/>
  <c r="D37" i="45"/>
  <c r="C37" i="45"/>
  <c r="O36" i="45"/>
  <c r="O35" i="45"/>
  <c r="O34" i="45"/>
  <c r="O33" i="45"/>
  <c r="O32" i="45"/>
  <c r="O31" i="45"/>
  <c r="O30" i="45"/>
  <c r="O29" i="45"/>
  <c r="O28" i="45"/>
  <c r="O27" i="45"/>
  <c r="O26" i="45"/>
  <c r="O25" i="45"/>
  <c r="O24" i="45"/>
  <c r="O23" i="45"/>
  <c r="O22" i="45"/>
  <c r="O21" i="45"/>
  <c r="O20" i="45"/>
  <c r="O19" i="45"/>
  <c r="O18" i="45"/>
  <c r="G58" i="45" s="1"/>
  <c r="O17" i="45"/>
  <c r="O16" i="45"/>
  <c r="O15" i="45"/>
  <c r="O14" i="45"/>
  <c r="O13" i="45"/>
  <c r="O12" i="45"/>
  <c r="O11" i="45"/>
  <c r="O10" i="45"/>
  <c r="O9" i="45"/>
  <c r="A8" i="45"/>
  <c r="H95" i="44"/>
  <c r="C90" i="44"/>
  <c r="C89" i="44"/>
  <c r="G84" i="44"/>
  <c r="H83" i="44"/>
  <c r="H81" i="44"/>
  <c r="H80" i="44"/>
  <c r="H79" i="44"/>
  <c r="H77" i="44"/>
  <c r="H76" i="44"/>
  <c r="H75" i="44"/>
  <c r="H74" i="44"/>
  <c r="H73" i="44"/>
  <c r="H72" i="44"/>
  <c r="H70" i="44"/>
  <c r="G58" i="44"/>
  <c r="M50" i="44"/>
  <c r="K50" i="44"/>
  <c r="G50" i="44"/>
  <c r="N49" i="44"/>
  <c r="M49" i="44"/>
  <c r="L49" i="44"/>
  <c r="K49" i="44"/>
  <c r="J49" i="44"/>
  <c r="I49" i="44"/>
  <c r="H49" i="44"/>
  <c r="G49" i="44"/>
  <c r="F49" i="44"/>
  <c r="E49" i="44"/>
  <c r="D49" i="44"/>
  <c r="C49" i="44"/>
  <c r="O48" i="44"/>
  <c r="O47" i="44"/>
  <c r="O46" i="44"/>
  <c r="O45" i="44"/>
  <c r="O44" i="44"/>
  <c r="G56" i="44" s="1"/>
  <c r="O43" i="44"/>
  <c r="G69" i="44" s="1"/>
  <c r="O42" i="44"/>
  <c r="O73" i="44" s="1"/>
  <c r="O41" i="44"/>
  <c r="O40" i="44"/>
  <c r="G71" i="44" s="1"/>
  <c r="H71" i="44" s="1"/>
  <c r="O39" i="44"/>
  <c r="O38" i="44"/>
  <c r="G99" i="44" s="1"/>
  <c r="F125" i="1" s="1"/>
  <c r="P125" i="1" s="1"/>
  <c r="N37" i="44"/>
  <c r="M37" i="44"/>
  <c r="L37" i="44"/>
  <c r="L50" i="44" s="1"/>
  <c r="K37" i="44"/>
  <c r="J37" i="44"/>
  <c r="I37" i="44"/>
  <c r="I50" i="44" s="1"/>
  <c r="H37" i="44"/>
  <c r="G37" i="44"/>
  <c r="F37" i="44"/>
  <c r="F50" i="44" s="1"/>
  <c r="E37" i="44"/>
  <c r="E50" i="44" s="1"/>
  <c r="D37" i="44"/>
  <c r="D50" i="44" s="1"/>
  <c r="C37" i="44"/>
  <c r="O36" i="44"/>
  <c r="O35" i="44"/>
  <c r="O34" i="44"/>
  <c r="O33" i="44"/>
  <c r="O32" i="44"/>
  <c r="O31" i="44"/>
  <c r="O30" i="44"/>
  <c r="O29" i="44"/>
  <c r="O28" i="44"/>
  <c r="O27" i="44"/>
  <c r="O26" i="44"/>
  <c r="O25" i="44"/>
  <c r="O24" i="44"/>
  <c r="O23" i="44"/>
  <c r="O22" i="44"/>
  <c r="O21" i="44"/>
  <c r="O20" i="44"/>
  <c r="O19" i="44"/>
  <c r="O18" i="44"/>
  <c r="O17" i="44"/>
  <c r="O16" i="44"/>
  <c r="O15" i="44"/>
  <c r="O14" i="44"/>
  <c r="O13" i="44"/>
  <c r="O12" i="44"/>
  <c r="O11" i="44"/>
  <c r="O10" i="44"/>
  <c r="O9" i="44"/>
  <c r="A8" i="44"/>
  <c r="H95" i="43"/>
  <c r="C90" i="43"/>
  <c r="C89" i="43"/>
  <c r="J88" i="43"/>
  <c r="G84" i="43"/>
  <c r="H83" i="43"/>
  <c r="H81" i="43"/>
  <c r="H79" i="43"/>
  <c r="H77" i="43"/>
  <c r="H76" i="43"/>
  <c r="H75" i="43"/>
  <c r="H74" i="43"/>
  <c r="H73" i="43"/>
  <c r="H72" i="43"/>
  <c r="H70" i="43"/>
  <c r="G56" i="43"/>
  <c r="N50" i="43"/>
  <c r="J50" i="43"/>
  <c r="F50" i="43"/>
  <c r="N49" i="43"/>
  <c r="M49" i="43"/>
  <c r="L49" i="43"/>
  <c r="K49" i="43"/>
  <c r="J49" i="43"/>
  <c r="I49" i="43"/>
  <c r="H49" i="43"/>
  <c r="G49" i="43"/>
  <c r="F49" i="43"/>
  <c r="E49" i="43"/>
  <c r="D49" i="43"/>
  <c r="C49" i="43"/>
  <c r="O49" i="43" s="1"/>
  <c r="O48" i="43"/>
  <c r="O47" i="43"/>
  <c r="O46" i="43"/>
  <c r="O45" i="43"/>
  <c r="O44" i="43"/>
  <c r="O43" i="43"/>
  <c r="G69" i="43" s="1"/>
  <c r="O42" i="43"/>
  <c r="O73" i="43" s="1"/>
  <c r="O41" i="43"/>
  <c r="O40" i="43"/>
  <c r="G71" i="43" s="1"/>
  <c r="H71" i="43" s="1"/>
  <c r="O39" i="43"/>
  <c r="O38" i="43"/>
  <c r="G99" i="43" s="1"/>
  <c r="N37" i="43"/>
  <c r="M37" i="43"/>
  <c r="M50" i="43" s="1"/>
  <c r="L37" i="43"/>
  <c r="L50" i="43" s="1"/>
  <c r="K37" i="43"/>
  <c r="K50" i="43" s="1"/>
  <c r="J37" i="43"/>
  <c r="J51" i="43" s="1"/>
  <c r="J52" i="43" s="1"/>
  <c r="J53" i="43" s="1"/>
  <c r="I37" i="43"/>
  <c r="I50" i="43" s="1"/>
  <c r="H37" i="43"/>
  <c r="H50" i="43" s="1"/>
  <c r="G37" i="43"/>
  <c r="F37" i="43"/>
  <c r="E37" i="43"/>
  <c r="E50" i="43" s="1"/>
  <c r="D37" i="43"/>
  <c r="D50" i="43" s="1"/>
  <c r="C37" i="43"/>
  <c r="O36" i="43"/>
  <c r="O35" i="43"/>
  <c r="O34" i="43"/>
  <c r="O33" i="43"/>
  <c r="O32" i="43"/>
  <c r="O31" i="43"/>
  <c r="O30" i="43"/>
  <c r="O29" i="43"/>
  <c r="O28" i="43"/>
  <c r="O27" i="43"/>
  <c r="O26" i="43"/>
  <c r="O25" i="43"/>
  <c r="O24" i="43"/>
  <c r="O23" i="43"/>
  <c r="O22" i="43"/>
  <c r="O21" i="43"/>
  <c r="O20" i="43"/>
  <c r="O19" i="43"/>
  <c r="O18" i="43"/>
  <c r="G58" i="43" s="1"/>
  <c r="O17" i="43"/>
  <c r="O16" i="43"/>
  <c r="O15" i="43"/>
  <c r="O14" i="43"/>
  <c r="O13" i="43"/>
  <c r="O12" i="43"/>
  <c r="O11" i="43"/>
  <c r="O10" i="43"/>
  <c r="O9" i="43"/>
  <c r="A8" i="43"/>
  <c r="G99" i="42"/>
  <c r="H95" i="42"/>
  <c r="C90" i="42"/>
  <c r="C89" i="42"/>
  <c r="G84" i="42"/>
  <c r="H83" i="42"/>
  <c r="H81" i="42"/>
  <c r="H80" i="42"/>
  <c r="H79" i="42"/>
  <c r="H78" i="42"/>
  <c r="H84" i="42" s="1"/>
  <c r="H77" i="42"/>
  <c r="H76" i="42"/>
  <c r="H75" i="42"/>
  <c r="H74" i="42"/>
  <c r="H73" i="42"/>
  <c r="H72" i="42"/>
  <c r="H70" i="42"/>
  <c r="H69" i="42"/>
  <c r="G58" i="42"/>
  <c r="M50" i="42"/>
  <c r="I50" i="42"/>
  <c r="E50" i="42"/>
  <c r="N49" i="42"/>
  <c r="M49" i="42"/>
  <c r="L49" i="42"/>
  <c r="K49" i="42"/>
  <c r="J49" i="42"/>
  <c r="I49" i="42"/>
  <c r="H49" i="42"/>
  <c r="G49" i="42"/>
  <c r="F49" i="42"/>
  <c r="E49" i="42"/>
  <c r="D49" i="42"/>
  <c r="C49" i="42"/>
  <c r="O49" i="42" s="1"/>
  <c r="O48" i="42"/>
  <c r="O47" i="42"/>
  <c r="O46" i="42"/>
  <c r="O45" i="42"/>
  <c r="O44" i="42"/>
  <c r="G56" i="42" s="1"/>
  <c r="O43" i="42"/>
  <c r="G69" i="42" s="1"/>
  <c r="O42" i="42"/>
  <c r="O73" i="42" s="1"/>
  <c r="O41" i="42"/>
  <c r="O40" i="42"/>
  <c r="G71" i="42" s="1"/>
  <c r="H71" i="42" s="1"/>
  <c r="O39" i="42"/>
  <c r="O38" i="42"/>
  <c r="N37" i="42"/>
  <c r="N50" i="42" s="1"/>
  <c r="M37" i="42"/>
  <c r="L37" i="42"/>
  <c r="L50" i="42" s="1"/>
  <c r="K37" i="42"/>
  <c r="K50" i="42" s="1"/>
  <c r="J37" i="42"/>
  <c r="I37" i="42"/>
  <c r="H37" i="42"/>
  <c r="H50" i="42" s="1"/>
  <c r="G37" i="42"/>
  <c r="G50" i="42" s="1"/>
  <c r="F37" i="42"/>
  <c r="F50" i="42" s="1"/>
  <c r="E37" i="42"/>
  <c r="D37" i="42"/>
  <c r="D50" i="42" s="1"/>
  <c r="C37" i="42"/>
  <c r="C50" i="42" s="1"/>
  <c r="O36" i="42"/>
  <c r="O35" i="42"/>
  <c r="O34" i="42"/>
  <c r="O33" i="42"/>
  <c r="O32" i="42"/>
  <c r="O31" i="42"/>
  <c r="O30" i="42"/>
  <c r="O29" i="42"/>
  <c r="O28" i="42"/>
  <c r="O27" i="42"/>
  <c r="O26" i="42"/>
  <c r="O25" i="42"/>
  <c r="O24" i="42"/>
  <c r="O23" i="42"/>
  <c r="O22" i="42"/>
  <c r="O21" i="42"/>
  <c r="O20" i="42"/>
  <c r="O19" i="42"/>
  <c r="O18" i="42"/>
  <c r="O17" i="42"/>
  <c r="O16" i="42"/>
  <c r="O15" i="42"/>
  <c r="O14" i="42"/>
  <c r="O13" i="42"/>
  <c r="O12" i="42"/>
  <c r="O11" i="42"/>
  <c r="O10" i="42"/>
  <c r="O9" i="42"/>
  <c r="A8" i="42"/>
  <c r="H94" i="41"/>
  <c r="C89" i="41"/>
  <c r="C88" i="41"/>
  <c r="H82" i="41"/>
  <c r="H79" i="41"/>
  <c r="H76" i="41"/>
  <c r="H75" i="41"/>
  <c r="H74" i="41"/>
  <c r="H73" i="41"/>
  <c r="O72" i="41"/>
  <c r="H72" i="41"/>
  <c r="H71" i="41"/>
  <c r="G68" i="41"/>
  <c r="E51" i="41"/>
  <c r="Q50" i="41"/>
  <c r="M50" i="41"/>
  <c r="I50" i="41"/>
  <c r="E50" i="41"/>
  <c r="N49" i="41"/>
  <c r="M49" i="41"/>
  <c r="L49" i="41"/>
  <c r="K49" i="41"/>
  <c r="J49" i="41"/>
  <c r="I49" i="41"/>
  <c r="H49" i="41"/>
  <c r="G49" i="41"/>
  <c r="F49" i="41"/>
  <c r="E49" i="41"/>
  <c r="D49" i="41"/>
  <c r="C49" i="41"/>
  <c r="O49" i="41" s="1"/>
  <c r="O48" i="41"/>
  <c r="O47" i="41"/>
  <c r="G69" i="41" s="1"/>
  <c r="H69" i="41" s="1"/>
  <c r="O46" i="41"/>
  <c r="O45" i="41"/>
  <c r="O44" i="41"/>
  <c r="G56" i="41" s="1"/>
  <c r="O43" i="41"/>
  <c r="O42" i="41"/>
  <c r="G78" i="41" s="1"/>
  <c r="G83" i="41" s="1"/>
  <c r="O41" i="41"/>
  <c r="O40" i="41"/>
  <c r="G70" i="41" s="1"/>
  <c r="H70" i="41" s="1"/>
  <c r="O39" i="41"/>
  <c r="O38" i="41"/>
  <c r="G98" i="41" s="1"/>
  <c r="N37" i="41"/>
  <c r="N50" i="41" s="1"/>
  <c r="M37" i="41"/>
  <c r="J88" i="41" s="1"/>
  <c r="L37" i="41"/>
  <c r="L50" i="41" s="1"/>
  <c r="K37" i="41"/>
  <c r="K50" i="41" s="1"/>
  <c r="J37" i="41"/>
  <c r="J51" i="41" s="1"/>
  <c r="J52" i="41" s="1"/>
  <c r="J53" i="41" s="1"/>
  <c r="I37" i="41"/>
  <c r="H37" i="41"/>
  <c r="H50" i="41" s="1"/>
  <c r="G37" i="41"/>
  <c r="F37" i="41"/>
  <c r="F50" i="41" s="1"/>
  <c r="E37" i="41"/>
  <c r="D37" i="41"/>
  <c r="D50" i="41" s="1"/>
  <c r="C37" i="41"/>
  <c r="O36" i="41"/>
  <c r="O35" i="41"/>
  <c r="O34" i="41"/>
  <c r="O33" i="41"/>
  <c r="O32" i="41"/>
  <c r="O31" i="41"/>
  <c r="O30" i="41"/>
  <c r="O29" i="41"/>
  <c r="O28" i="41"/>
  <c r="O27" i="41"/>
  <c r="O26" i="41"/>
  <c r="O25" i="41"/>
  <c r="O24" i="41"/>
  <c r="O23" i="41"/>
  <c r="O22" i="41"/>
  <c r="O21" i="41"/>
  <c r="O20" i="41"/>
  <c r="O19" i="41"/>
  <c r="O18" i="41"/>
  <c r="O17" i="41"/>
  <c r="O16" i="41"/>
  <c r="O15" i="41"/>
  <c r="O14" i="41"/>
  <c r="O13" i="41"/>
  <c r="O12" i="41"/>
  <c r="O11" i="41"/>
  <c r="O10" i="41"/>
  <c r="O9" i="41"/>
  <c r="A8" i="41"/>
  <c r="H94" i="40"/>
  <c r="C89" i="40"/>
  <c r="C88" i="40"/>
  <c r="G83" i="40"/>
  <c r="H82" i="40"/>
  <c r="H79" i="40"/>
  <c r="H78" i="40"/>
  <c r="H76" i="40"/>
  <c r="H75" i="40"/>
  <c r="H74" i="40"/>
  <c r="H73" i="40"/>
  <c r="H72" i="40"/>
  <c r="H71" i="40"/>
  <c r="E51" i="40"/>
  <c r="Q50" i="40"/>
  <c r="N49" i="40"/>
  <c r="M49" i="40"/>
  <c r="L49" i="40"/>
  <c r="K49" i="40"/>
  <c r="J49" i="40"/>
  <c r="I49" i="40"/>
  <c r="H49" i="40"/>
  <c r="G49" i="40"/>
  <c r="F49" i="40"/>
  <c r="E49" i="40"/>
  <c r="D49" i="40"/>
  <c r="C49" i="40"/>
  <c r="O48" i="40"/>
  <c r="O47" i="40"/>
  <c r="G69" i="40" s="1"/>
  <c r="H69" i="40" s="1"/>
  <c r="O46" i="40"/>
  <c r="O45" i="40"/>
  <c r="O44" i="40"/>
  <c r="G56" i="40" s="1"/>
  <c r="O43" i="40"/>
  <c r="G68" i="40" s="1"/>
  <c r="O42" i="40"/>
  <c r="O72" i="40" s="1"/>
  <c r="O41" i="40"/>
  <c r="O40" i="40"/>
  <c r="G70" i="40" s="1"/>
  <c r="H70" i="40" s="1"/>
  <c r="O39" i="40"/>
  <c r="O38" i="40"/>
  <c r="G98" i="40" s="1"/>
  <c r="F6" i="1" s="1"/>
  <c r="P6" i="1" s="1"/>
  <c r="C37" i="40"/>
  <c r="L36" i="40"/>
  <c r="M36" i="40" s="1"/>
  <c r="N36" i="40" s="1"/>
  <c r="I36" i="40"/>
  <c r="F36" i="40"/>
  <c r="G36" i="40" s="1"/>
  <c r="L35" i="40"/>
  <c r="M35" i="40" s="1"/>
  <c r="N35" i="40" s="1"/>
  <c r="I35" i="40"/>
  <c r="G35" i="40"/>
  <c r="F35" i="40"/>
  <c r="N34" i="40"/>
  <c r="J34" i="40"/>
  <c r="K34" i="40" s="1"/>
  <c r="L34" i="40" s="1"/>
  <c r="M34" i="40" s="1"/>
  <c r="I34" i="40"/>
  <c r="E34" i="40"/>
  <c r="F34" i="40" s="1"/>
  <c r="G34" i="40" s="1"/>
  <c r="D34" i="40"/>
  <c r="O34" i="40" s="1"/>
  <c r="I33" i="40"/>
  <c r="J33" i="40" s="1"/>
  <c r="K33" i="40" s="1"/>
  <c r="L33" i="40" s="1"/>
  <c r="M33" i="40" s="1"/>
  <c r="N33" i="40" s="1"/>
  <c r="D33" i="40"/>
  <c r="L32" i="40"/>
  <c r="M32" i="40" s="1"/>
  <c r="N32" i="40" s="1"/>
  <c r="I32" i="40"/>
  <c r="J32" i="40" s="1"/>
  <c r="K32" i="40" s="1"/>
  <c r="D32" i="40"/>
  <c r="E32" i="40" s="1"/>
  <c r="K31" i="40"/>
  <c r="L31" i="40" s="1"/>
  <c r="M31" i="40" s="1"/>
  <c r="N31" i="40" s="1"/>
  <c r="J31" i="40"/>
  <c r="I31" i="40"/>
  <c r="F31" i="40"/>
  <c r="G31" i="40" s="1"/>
  <c r="E31" i="40"/>
  <c r="D31" i="40"/>
  <c r="J30" i="40"/>
  <c r="K30" i="40" s="1"/>
  <c r="L30" i="40" s="1"/>
  <c r="M30" i="40" s="1"/>
  <c r="N30" i="40" s="1"/>
  <c r="I30" i="40"/>
  <c r="E30" i="40"/>
  <c r="F30" i="40" s="1"/>
  <c r="G30" i="40" s="1"/>
  <c r="D30" i="40"/>
  <c r="M29" i="40"/>
  <c r="N29" i="40" s="1"/>
  <c r="I29" i="40"/>
  <c r="J29" i="40" s="1"/>
  <c r="K29" i="40" s="1"/>
  <c r="L29" i="40" s="1"/>
  <c r="D29" i="40"/>
  <c r="I28" i="40"/>
  <c r="J28" i="40" s="1"/>
  <c r="K28" i="40" s="1"/>
  <c r="L28" i="40" s="1"/>
  <c r="M28" i="40" s="1"/>
  <c r="N28" i="40" s="1"/>
  <c r="D28" i="40"/>
  <c r="E28" i="40" s="1"/>
  <c r="K27" i="40"/>
  <c r="L27" i="40" s="1"/>
  <c r="M27" i="40" s="1"/>
  <c r="N27" i="40" s="1"/>
  <c r="J27" i="40"/>
  <c r="I27" i="40"/>
  <c r="F27" i="40"/>
  <c r="G27" i="40" s="1"/>
  <c r="E27" i="40"/>
  <c r="D27" i="40"/>
  <c r="J26" i="40"/>
  <c r="K26" i="40" s="1"/>
  <c r="L26" i="40" s="1"/>
  <c r="M26" i="40" s="1"/>
  <c r="N26" i="40" s="1"/>
  <c r="I26" i="40"/>
  <c r="E26" i="40"/>
  <c r="F26" i="40" s="1"/>
  <c r="G26" i="40" s="1"/>
  <c r="D26" i="40"/>
  <c r="I25" i="40"/>
  <c r="J25" i="40" s="1"/>
  <c r="K25" i="40" s="1"/>
  <c r="L25" i="40" s="1"/>
  <c r="M25" i="40" s="1"/>
  <c r="N25" i="40" s="1"/>
  <c r="D25" i="40"/>
  <c r="I24" i="40"/>
  <c r="J24" i="40" s="1"/>
  <c r="K24" i="40" s="1"/>
  <c r="L24" i="40" s="1"/>
  <c r="M24" i="40" s="1"/>
  <c r="N24" i="40" s="1"/>
  <c r="D24" i="40"/>
  <c r="E24" i="40" s="1"/>
  <c r="K23" i="40"/>
  <c r="L23" i="40" s="1"/>
  <c r="M23" i="40" s="1"/>
  <c r="N23" i="40" s="1"/>
  <c r="J23" i="40"/>
  <c r="I23" i="40"/>
  <c r="F23" i="40"/>
  <c r="G23" i="40" s="1"/>
  <c r="E23" i="40"/>
  <c r="D23" i="40"/>
  <c r="I22" i="40"/>
  <c r="J22" i="40" s="1"/>
  <c r="K22" i="40" s="1"/>
  <c r="L22" i="40" s="1"/>
  <c r="M22" i="40" s="1"/>
  <c r="N22" i="40" s="1"/>
  <c r="D22" i="40"/>
  <c r="L21" i="40"/>
  <c r="M21" i="40" s="1"/>
  <c r="N21" i="40" s="1"/>
  <c r="I21" i="40"/>
  <c r="J21" i="40" s="1"/>
  <c r="K21" i="40" s="1"/>
  <c r="D21" i="40"/>
  <c r="I20" i="40"/>
  <c r="J20" i="40" s="1"/>
  <c r="K20" i="40" s="1"/>
  <c r="L20" i="40" s="1"/>
  <c r="M20" i="40" s="1"/>
  <c r="N20" i="40" s="1"/>
  <c r="D20" i="40"/>
  <c r="E20" i="40" s="1"/>
  <c r="F20" i="40" s="1"/>
  <c r="J19" i="40"/>
  <c r="K19" i="40" s="1"/>
  <c r="L19" i="40" s="1"/>
  <c r="M19" i="40" s="1"/>
  <c r="N19" i="40" s="1"/>
  <c r="I19" i="40"/>
  <c r="F19" i="40"/>
  <c r="G19" i="40" s="1"/>
  <c r="E19" i="40"/>
  <c r="D19" i="40"/>
  <c r="I18" i="40"/>
  <c r="J18" i="40" s="1"/>
  <c r="K18" i="40" s="1"/>
  <c r="L18" i="40" s="1"/>
  <c r="M18" i="40" s="1"/>
  <c r="N18" i="40" s="1"/>
  <c r="D18" i="40"/>
  <c r="E18" i="40" s="1"/>
  <c r="F18" i="40" s="1"/>
  <c r="G18" i="40" s="1"/>
  <c r="I17" i="40"/>
  <c r="J17" i="40" s="1"/>
  <c r="K17" i="40" s="1"/>
  <c r="L17" i="40" s="1"/>
  <c r="M17" i="40" s="1"/>
  <c r="N17" i="40" s="1"/>
  <c r="D17" i="40"/>
  <c r="K16" i="40"/>
  <c r="L16" i="40" s="1"/>
  <c r="M16" i="40" s="1"/>
  <c r="N16" i="40" s="1"/>
  <c r="I16" i="40"/>
  <c r="J16" i="40" s="1"/>
  <c r="D16" i="40"/>
  <c r="E16" i="40" s="1"/>
  <c r="J15" i="40"/>
  <c r="K15" i="40" s="1"/>
  <c r="L15" i="40" s="1"/>
  <c r="M15" i="40" s="1"/>
  <c r="N15" i="40" s="1"/>
  <c r="I15" i="40"/>
  <c r="E15" i="40"/>
  <c r="D15" i="40"/>
  <c r="K14" i="40"/>
  <c r="L14" i="40" s="1"/>
  <c r="M14" i="40" s="1"/>
  <c r="N14" i="40" s="1"/>
  <c r="E14" i="40"/>
  <c r="I13" i="40"/>
  <c r="J13" i="40" s="1"/>
  <c r="K13" i="40" s="1"/>
  <c r="L13" i="40" s="1"/>
  <c r="M13" i="40" s="1"/>
  <c r="N13" i="40" s="1"/>
  <c r="F13" i="40"/>
  <c r="D13" i="40"/>
  <c r="E13" i="40" s="1"/>
  <c r="K12" i="40"/>
  <c r="L12" i="40" s="1"/>
  <c r="M12" i="40" s="1"/>
  <c r="N12" i="40" s="1"/>
  <c r="J12" i="40"/>
  <c r="I12" i="40"/>
  <c r="E12" i="40"/>
  <c r="D12" i="40"/>
  <c r="K11" i="40"/>
  <c r="L11" i="40" s="1"/>
  <c r="M11" i="40" s="1"/>
  <c r="N11" i="40" s="1"/>
  <c r="E11" i="40"/>
  <c r="I10" i="40"/>
  <c r="D10" i="40"/>
  <c r="O9" i="40"/>
  <c r="A8" i="40"/>
  <c r="H95" i="39"/>
  <c r="C90" i="39"/>
  <c r="C89" i="39"/>
  <c r="H83" i="39"/>
  <c r="H80" i="39"/>
  <c r="H77" i="39"/>
  <c r="H76" i="39"/>
  <c r="H75" i="39"/>
  <c r="H74" i="39"/>
  <c r="H73" i="39"/>
  <c r="H72" i="39"/>
  <c r="G71" i="39"/>
  <c r="H71" i="39" s="1"/>
  <c r="G56" i="39"/>
  <c r="Q51" i="39"/>
  <c r="N50" i="39"/>
  <c r="M50" i="39"/>
  <c r="L50" i="39"/>
  <c r="K50" i="39"/>
  <c r="J50" i="39"/>
  <c r="I50" i="39"/>
  <c r="H50" i="39"/>
  <c r="G50" i="39"/>
  <c r="F50" i="39"/>
  <c r="E50" i="39"/>
  <c r="D50" i="39"/>
  <c r="C50" i="39"/>
  <c r="O50" i="39" s="1"/>
  <c r="O49" i="39"/>
  <c r="O48" i="39"/>
  <c r="G70" i="39" s="1"/>
  <c r="H70" i="39" s="1"/>
  <c r="O47" i="39"/>
  <c r="O46" i="39"/>
  <c r="O45" i="39"/>
  <c r="G57" i="39" s="1"/>
  <c r="O44" i="39"/>
  <c r="G69" i="39" s="1"/>
  <c r="O43" i="39"/>
  <c r="G79" i="39" s="1"/>
  <c r="O42" i="39"/>
  <c r="O41" i="39"/>
  <c r="O40" i="39"/>
  <c r="O39" i="39"/>
  <c r="G99" i="39" s="1"/>
  <c r="Q38" i="39"/>
  <c r="Q40" i="39" s="1"/>
  <c r="C38" i="39"/>
  <c r="C51" i="39" s="1"/>
  <c r="O37" i="39"/>
  <c r="O36" i="39"/>
  <c r="O35" i="39"/>
  <c r="O34" i="39"/>
  <c r="O33" i="39"/>
  <c r="O31" i="39"/>
  <c r="O30" i="39"/>
  <c r="O29" i="39"/>
  <c r="O28" i="39"/>
  <c r="O27" i="39"/>
  <c r="O26" i="39"/>
  <c r="O25" i="39"/>
  <c r="O24" i="39"/>
  <c r="O23" i="39"/>
  <c r="O22" i="39"/>
  <c r="O21" i="39"/>
  <c r="O20" i="39"/>
  <c r="O19" i="39"/>
  <c r="O18" i="39"/>
  <c r="O17" i="39"/>
  <c r="O16" i="39"/>
  <c r="O15" i="39"/>
  <c r="Q39" i="39" s="1"/>
  <c r="O14" i="39"/>
  <c r="O13" i="39"/>
  <c r="O12" i="39"/>
  <c r="O11" i="39"/>
  <c r="O10" i="39"/>
  <c r="D9" i="39"/>
  <c r="E9" i="39" s="1"/>
  <c r="A8" i="39"/>
  <c r="H97" i="38"/>
  <c r="C92" i="38"/>
  <c r="C91" i="38"/>
  <c r="H85" i="38"/>
  <c r="H82" i="38"/>
  <c r="H79" i="38"/>
  <c r="H78" i="38"/>
  <c r="H77" i="38"/>
  <c r="H76" i="38"/>
  <c r="H75" i="38"/>
  <c r="H74" i="38"/>
  <c r="G72" i="38"/>
  <c r="H72" i="38" s="1"/>
  <c r="G71" i="38"/>
  <c r="Q52" i="38"/>
  <c r="L52" i="38"/>
  <c r="H52" i="38"/>
  <c r="D52" i="38"/>
  <c r="N51" i="38"/>
  <c r="M51" i="38"/>
  <c r="M52" i="38" s="1"/>
  <c r="L51" i="38"/>
  <c r="K51" i="38"/>
  <c r="J51" i="38"/>
  <c r="I51" i="38"/>
  <c r="I52" i="38" s="1"/>
  <c r="H51" i="38"/>
  <c r="G51" i="38"/>
  <c r="F51" i="38"/>
  <c r="E51" i="38"/>
  <c r="E52" i="38" s="1"/>
  <c r="D51" i="38"/>
  <c r="C51" i="38"/>
  <c r="O50" i="38"/>
  <c r="O49" i="38"/>
  <c r="O48" i="38"/>
  <c r="O47" i="38"/>
  <c r="O46" i="38"/>
  <c r="O45" i="38"/>
  <c r="G58" i="38" s="1"/>
  <c r="O44" i="38"/>
  <c r="O43" i="38"/>
  <c r="G81" i="38" s="1"/>
  <c r="O42" i="38"/>
  <c r="O41" i="38"/>
  <c r="G73" i="38" s="1"/>
  <c r="H73" i="38" s="1"/>
  <c r="O40" i="38"/>
  <c r="O39" i="38"/>
  <c r="G101" i="38" s="1"/>
  <c r="F7" i="1" s="1"/>
  <c r="P7" i="1" s="1"/>
  <c r="N38" i="38"/>
  <c r="N52" i="38" s="1"/>
  <c r="M38" i="38"/>
  <c r="L38" i="38"/>
  <c r="K38" i="38"/>
  <c r="K52" i="38" s="1"/>
  <c r="J38" i="38"/>
  <c r="J90" i="38" s="1"/>
  <c r="I38" i="38"/>
  <c r="H38" i="38"/>
  <c r="G38" i="38"/>
  <c r="J89" i="38" s="1"/>
  <c r="F38" i="38"/>
  <c r="F52" i="38" s="1"/>
  <c r="E38" i="38"/>
  <c r="D38" i="38"/>
  <c r="C38" i="38"/>
  <c r="C52" i="38" s="1"/>
  <c r="O37" i="38"/>
  <c r="O36" i="38"/>
  <c r="O35" i="38"/>
  <c r="O34" i="38"/>
  <c r="O33" i="38"/>
  <c r="O32" i="38"/>
  <c r="O31" i="38"/>
  <c r="O30" i="38"/>
  <c r="O29" i="38"/>
  <c r="O28" i="38"/>
  <c r="O27" i="38"/>
  <c r="O26" i="38"/>
  <c r="O25" i="38"/>
  <c r="O24" i="38"/>
  <c r="O23" i="38"/>
  <c r="O22" i="38"/>
  <c r="O21" i="38"/>
  <c r="O20" i="38"/>
  <c r="O19" i="38"/>
  <c r="O18" i="38"/>
  <c r="H59" i="38" s="1"/>
  <c r="O17" i="38"/>
  <c r="O16" i="38"/>
  <c r="O15" i="38"/>
  <c r="O14" i="38"/>
  <c r="O13" i="38"/>
  <c r="O12" i="38"/>
  <c r="O11" i="38"/>
  <c r="O10" i="38"/>
  <c r="O9" i="38"/>
  <c r="A8" i="38"/>
  <c r="H96" i="37"/>
  <c r="C91" i="37"/>
  <c r="J90" i="37"/>
  <c r="C90" i="37"/>
  <c r="H84" i="37"/>
  <c r="H81" i="37"/>
  <c r="H78" i="37"/>
  <c r="H77" i="37"/>
  <c r="H75" i="37"/>
  <c r="H74" i="37"/>
  <c r="H73" i="37"/>
  <c r="G72" i="37"/>
  <c r="H72" i="37" s="1"/>
  <c r="G71" i="37"/>
  <c r="H71" i="37" s="1"/>
  <c r="G58" i="37"/>
  <c r="M52" i="37"/>
  <c r="J52" i="37"/>
  <c r="I52" i="37"/>
  <c r="E52" i="37"/>
  <c r="N51" i="37"/>
  <c r="N52" i="37" s="1"/>
  <c r="M51" i="37"/>
  <c r="L51" i="37"/>
  <c r="K51" i="37"/>
  <c r="J51" i="37"/>
  <c r="I51" i="37"/>
  <c r="H51" i="37"/>
  <c r="G51" i="37"/>
  <c r="F51" i="37"/>
  <c r="F52" i="37" s="1"/>
  <c r="E51" i="37"/>
  <c r="D51" i="37"/>
  <c r="C51" i="37"/>
  <c r="O51" i="37" s="1"/>
  <c r="O50" i="37"/>
  <c r="O49" i="37"/>
  <c r="O48" i="37"/>
  <c r="G76" i="37" s="1"/>
  <c r="H76" i="37" s="1"/>
  <c r="O47" i="37"/>
  <c r="O46" i="37"/>
  <c r="O45" i="37"/>
  <c r="O44" i="37"/>
  <c r="G70" i="37" s="1"/>
  <c r="O43" i="37"/>
  <c r="G80" i="37" s="1"/>
  <c r="O42" i="37"/>
  <c r="O41" i="37"/>
  <c r="O40" i="37"/>
  <c r="O39" i="37"/>
  <c r="G100" i="37" s="1"/>
  <c r="N38" i="37"/>
  <c r="M38" i="37"/>
  <c r="L38" i="37"/>
  <c r="L52" i="37" s="1"/>
  <c r="K38" i="37"/>
  <c r="J38" i="37"/>
  <c r="I38" i="37"/>
  <c r="H38" i="37"/>
  <c r="H52" i="37" s="1"/>
  <c r="G38" i="37"/>
  <c r="F38" i="37"/>
  <c r="E38" i="37"/>
  <c r="D38" i="37"/>
  <c r="D52" i="37" s="1"/>
  <c r="C38" i="37"/>
  <c r="O37" i="37"/>
  <c r="O36" i="37"/>
  <c r="O35" i="37"/>
  <c r="O34" i="37"/>
  <c r="O33" i="37"/>
  <c r="O32" i="37"/>
  <c r="O31" i="37"/>
  <c r="O30" i="37"/>
  <c r="O29" i="37"/>
  <c r="O28" i="37"/>
  <c r="O27" i="37"/>
  <c r="O26" i="37"/>
  <c r="O25" i="37"/>
  <c r="O24" i="37"/>
  <c r="O23" i="37"/>
  <c r="O22" i="37"/>
  <c r="O21" i="37"/>
  <c r="O20" i="37"/>
  <c r="O19" i="37"/>
  <c r="O18" i="37"/>
  <c r="G59" i="37" s="1"/>
  <c r="O17" i="37"/>
  <c r="O16" i="37"/>
  <c r="O15" i="37"/>
  <c r="O14" i="37"/>
  <c r="O13" i="37"/>
  <c r="O12" i="37"/>
  <c r="O11" i="37"/>
  <c r="O10" i="37"/>
  <c r="O9" i="37"/>
  <c r="A8" i="37"/>
  <c r="H94" i="36"/>
  <c r="C89" i="36"/>
  <c r="C88" i="36"/>
  <c r="H82" i="36"/>
  <c r="H79" i="36"/>
  <c r="H76" i="36"/>
  <c r="H75" i="36"/>
  <c r="H74" i="36"/>
  <c r="H73" i="36"/>
  <c r="H72" i="36"/>
  <c r="H71" i="36"/>
  <c r="G69" i="36"/>
  <c r="H69" i="36" s="1"/>
  <c r="G57" i="36"/>
  <c r="N49" i="36"/>
  <c r="M49" i="36"/>
  <c r="L49" i="36"/>
  <c r="K49" i="36"/>
  <c r="J49" i="36"/>
  <c r="I49" i="36"/>
  <c r="H49" i="36"/>
  <c r="G49" i="36"/>
  <c r="F49" i="36"/>
  <c r="E49" i="36"/>
  <c r="D49" i="36"/>
  <c r="C49" i="36"/>
  <c r="O48" i="36"/>
  <c r="O47" i="36"/>
  <c r="N47" i="36"/>
  <c r="N46" i="36"/>
  <c r="O46" i="36" s="1"/>
  <c r="O45" i="36"/>
  <c r="O44" i="36"/>
  <c r="G56" i="36" s="1"/>
  <c r="O43" i="36"/>
  <c r="G68" i="36" s="1"/>
  <c r="O42" i="36"/>
  <c r="O41" i="36"/>
  <c r="N41" i="36"/>
  <c r="O40" i="36"/>
  <c r="G70" i="36" s="1"/>
  <c r="H70" i="36" s="1"/>
  <c r="O39" i="36"/>
  <c r="O38" i="36"/>
  <c r="G98" i="36" s="1"/>
  <c r="C37" i="36"/>
  <c r="I36" i="36"/>
  <c r="E36" i="36"/>
  <c r="F36" i="36" s="1"/>
  <c r="G36" i="36" s="1"/>
  <c r="O35" i="36"/>
  <c r="I35" i="36"/>
  <c r="E35" i="36"/>
  <c r="F35" i="36" s="1"/>
  <c r="G35" i="36" s="1"/>
  <c r="J34" i="36"/>
  <c r="K34" i="36" s="1"/>
  <c r="L34" i="36" s="1"/>
  <c r="I34" i="36"/>
  <c r="E34" i="36"/>
  <c r="F34" i="36" s="1"/>
  <c r="G34" i="36" s="1"/>
  <c r="D34" i="36"/>
  <c r="K33" i="36"/>
  <c r="L33" i="36" s="1"/>
  <c r="J33" i="36"/>
  <c r="I33" i="36"/>
  <c r="F33" i="36"/>
  <c r="G33" i="36" s="1"/>
  <c r="E33" i="36"/>
  <c r="D33" i="36"/>
  <c r="O33" i="36" s="1"/>
  <c r="L32" i="36"/>
  <c r="I32" i="36"/>
  <c r="J32" i="36" s="1"/>
  <c r="K32" i="36" s="1"/>
  <c r="D32" i="36"/>
  <c r="E32" i="36" s="1"/>
  <c r="F32" i="36" s="1"/>
  <c r="G32" i="36" s="1"/>
  <c r="O31" i="36"/>
  <c r="I31" i="36"/>
  <c r="J31" i="36" s="1"/>
  <c r="K31" i="36" s="1"/>
  <c r="L31" i="36" s="1"/>
  <c r="D31" i="36"/>
  <c r="E31" i="36" s="1"/>
  <c r="F31" i="36" s="1"/>
  <c r="G31" i="36" s="1"/>
  <c r="J30" i="36"/>
  <c r="K30" i="36" s="1"/>
  <c r="L30" i="36" s="1"/>
  <c r="I30" i="36"/>
  <c r="E30" i="36"/>
  <c r="F30" i="36" s="1"/>
  <c r="G30" i="36" s="1"/>
  <c r="D30" i="36"/>
  <c r="K29" i="36"/>
  <c r="L29" i="36" s="1"/>
  <c r="J29" i="36"/>
  <c r="I29" i="36"/>
  <c r="F29" i="36"/>
  <c r="G29" i="36" s="1"/>
  <c r="E29" i="36"/>
  <c r="D29" i="36"/>
  <c r="O29" i="36" s="1"/>
  <c r="L28" i="36"/>
  <c r="I28" i="36"/>
  <c r="J28" i="36" s="1"/>
  <c r="K28" i="36" s="1"/>
  <c r="D28" i="36"/>
  <c r="E28" i="36" s="1"/>
  <c r="F28" i="36" s="1"/>
  <c r="G28" i="36" s="1"/>
  <c r="I27" i="36"/>
  <c r="J27" i="36" s="1"/>
  <c r="K27" i="36" s="1"/>
  <c r="L27" i="36" s="1"/>
  <c r="D27" i="36"/>
  <c r="E27" i="36" s="1"/>
  <c r="F27" i="36" s="1"/>
  <c r="G27" i="36" s="1"/>
  <c r="J26" i="36"/>
  <c r="K26" i="36" s="1"/>
  <c r="L26" i="36" s="1"/>
  <c r="I26" i="36"/>
  <c r="E26" i="36"/>
  <c r="F26" i="36" s="1"/>
  <c r="G26" i="36" s="1"/>
  <c r="D26" i="36"/>
  <c r="K25" i="36"/>
  <c r="L25" i="36" s="1"/>
  <c r="J25" i="36"/>
  <c r="I25" i="36"/>
  <c r="F25" i="36"/>
  <c r="G25" i="36" s="1"/>
  <c r="E25" i="36"/>
  <c r="D25" i="36"/>
  <c r="I24" i="36"/>
  <c r="J24" i="36" s="1"/>
  <c r="K24" i="36" s="1"/>
  <c r="L24" i="36" s="1"/>
  <c r="G24" i="36"/>
  <c r="D24" i="36"/>
  <c r="E24" i="36" s="1"/>
  <c r="F24" i="36" s="1"/>
  <c r="I23" i="36"/>
  <c r="J23" i="36" s="1"/>
  <c r="K23" i="36" s="1"/>
  <c r="L23" i="36" s="1"/>
  <c r="D23" i="36"/>
  <c r="J22" i="36"/>
  <c r="K22" i="36" s="1"/>
  <c r="L22" i="36" s="1"/>
  <c r="I22" i="36"/>
  <c r="E22" i="36"/>
  <c r="F22" i="36" s="1"/>
  <c r="G22" i="36" s="1"/>
  <c r="D22" i="36"/>
  <c r="O22" i="36" s="1"/>
  <c r="K21" i="36"/>
  <c r="L21" i="36" s="1"/>
  <c r="J21" i="36"/>
  <c r="I21" i="36"/>
  <c r="F21" i="36"/>
  <c r="G21" i="36" s="1"/>
  <c r="E21" i="36"/>
  <c r="D21" i="36"/>
  <c r="I20" i="36"/>
  <c r="J20" i="36" s="1"/>
  <c r="K20" i="36" s="1"/>
  <c r="L20" i="36" s="1"/>
  <c r="G20" i="36"/>
  <c r="D20" i="36"/>
  <c r="E20" i="36" s="1"/>
  <c r="F20" i="36" s="1"/>
  <c r="I19" i="36"/>
  <c r="D19" i="36"/>
  <c r="E19" i="36" s="1"/>
  <c r="F19" i="36" s="1"/>
  <c r="G19" i="36" s="1"/>
  <c r="J18" i="36"/>
  <c r="K18" i="36" s="1"/>
  <c r="L18" i="36" s="1"/>
  <c r="I18" i="36"/>
  <c r="E18" i="36"/>
  <c r="F18" i="36" s="1"/>
  <c r="G18" i="36" s="1"/>
  <c r="D18" i="36"/>
  <c r="K17" i="36"/>
  <c r="L17" i="36" s="1"/>
  <c r="J17" i="36"/>
  <c r="I17" i="36"/>
  <c r="F17" i="36"/>
  <c r="G17" i="36" s="1"/>
  <c r="E17" i="36"/>
  <c r="D17" i="36"/>
  <c r="O17" i="36" s="1"/>
  <c r="N16" i="36"/>
  <c r="J16" i="36"/>
  <c r="K16" i="36" s="1"/>
  <c r="L16" i="36" s="1"/>
  <c r="M16" i="36" s="1"/>
  <c r="I16" i="36"/>
  <c r="E16" i="36"/>
  <c r="F16" i="36" s="1"/>
  <c r="G16" i="36" s="1"/>
  <c r="D16" i="36"/>
  <c r="O16" i="36" s="1"/>
  <c r="K15" i="36"/>
  <c r="L15" i="36" s="1"/>
  <c r="J15" i="36"/>
  <c r="I15" i="36"/>
  <c r="F15" i="36"/>
  <c r="G15" i="36" s="1"/>
  <c r="E15" i="36"/>
  <c r="D15" i="36"/>
  <c r="E14" i="36"/>
  <c r="D14" i="36"/>
  <c r="O14" i="36" s="1"/>
  <c r="K13" i="36"/>
  <c r="L13" i="36" s="1"/>
  <c r="J13" i="36"/>
  <c r="I13" i="36"/>
  <c r="F13" i="36"/>
  <c r="G13" i="36" s="1"/>
  <c r="E13" i="36"/>
  <c r="D13" i="36"/>
  <c r="I12" i="36"/>
  <c r="J12" i="36" s="1"/>
  <c r="K12" i="36" s="1"/>
  <c r="L12" i="36" s="1"/>
  <c r="G12" i="36"/>
  <c r="D12" i="36"/>
  <c r="E12" i="36" s="1"/>
  <c r="F12" i="36" s="1"/>
  <c r="K11" i="36"/>
  <c r="E11" i="36"/>
  <c r="D11" i="36"/>
  <c r="J10" i="36"/>
  <c r="K10" i="36" s="1"/>
  <c r="L10" i="36" s="1"/>
  <c r="M10" i="36" s="1"/>
  <c r="N10" i="36" s="1"/>
  <c r="I10" i="36"/>
  <c r="E10" i="36"/>
  <c r="F10" i="36" s="1"/>
  <c r="D10" i="36"/>
  <c r="I9" i="36"/>
  <c r="J9" i="36" s="1"/>
  <c r="H9" i="36"/>
  <c r="H37" i="36" s="1"/>
  <c r="H50" i="36" s="1"/>
  <c r="A8" i="36"/>
  <c r="H94" i="35"/>
  <c r="C89" i="35"/>
  <c r="C88" i="35"/>
  <c r="H82" i="35"/>
  <c r="H79" i="35"/>
  <c r="H76" i="35"/>
  <c r="H75" i="35"/>
  <c r="H74" i="35"/>
  <c r="H73" i="35"/>
  <c r="H72" i="35"/>
  <c r="H71" i="35"/>
  <c r="H70" i="35"/>
  <c r="G70" i="35"/>
  <c r="G69" i="35"/>
  <c r="H69" i="35" s="1"/>
  <c r="H68" i="35"/>
  <c r="G56" i="35"/>
  <c r="Q50" i="35"/>
  <c r="L50" i="35"/>
  <c r="K50" i="35"/>
  <c r="H50" i="35"/>
  <c r="G50" i="35"/>
  <c r="D50" i="35"/>
  <c r="C50" i="35"/>
  <c r="N49" i="35"/>
  <c r="M49" i="35"/>
  <c r="L49" i="35"/>
  <c r="K49" i="35"/>
  <c r="J49" i="35"/>
  <c r="I49" i="35"/>
  <c r="H49" i="35"/>
  <c r="G49" i="35"/>
  <c r="F49" i="35"/>
  <c r="E49" i="35"/>
  <c r="D49" i="35"/>
  <c r="C49" i="35"/>
  <c r="O48" i="35"/>
  <c r="O47" i="35"/>
  <c r="O46" i="35"/>
  <c r="O45" i="35"/>
  <c r="O44" i="35"/>
  <c r="O43" i="35"/>
  <c r="G68" i="35" s="1"/>
  <c r="H77" i="35" s="1"/>
  <c r="O42" i="35"/>
  <c r="O72" i="35" s="1"/>
  <c r="O41" i="35"/>
  <c r="O40" i="35"/>
  <c r="O39" i="35"/>
  <c r="O38" i="35"/>
  <c r="G98" i="35" s="1"/>
  <c r="F10" i="1" s="1"/>
  <c r="P10" i="1" s="1"/>
  <c r="Q37" i="35"/>
  <c r="N37" i="35"/>
  <c r="N50" i="35" s="1"/>
  <c r="M37" i="35"/>
  <c r="L37" i="35"/>
  <c r="K37" i="35"/>
  <c r="J37" i="35"/>
  <c r="I37" i="35"/>
  <c r="I50" i="35" s="1"/>
  <c r="H37" i="35"/>
  <c r="G37" i="35"/>
  <c r="J86" i="35" s="1"/>
  <c r="L86" i="35" s="1"/>
  <c r="F37" i="35"/>
  <c r="F50" i="35" s="1"/>
  <c r="E37" i="35"/>
  <c r="E50" i="35" s="1"/>
  <c r="D37" i="35"/>
  <c r="C37" i="35"/>
  <c r="O36" i="35"/>
  <c r="O35" i="35"/>
  <c r="O34" i="35"/>
  <c r="O33" i="35"/>
  <c r="O32" i="35"/>
  <c r="O31" i="35"/>
  <c r="O30" i="35"/>
  <c r="O29" i="35"/>
  <c r="O28" i="35"/>
  <c r="O27" i="35"/>
  <c r="O26" i="35"/>
  <c r="O25" i="35"/>
  <c r="O24" i="35"/>
  <c r="O23" i="35"/>
  <c r="O22" i="35"/>
  <c r="O21" i="35"/>
  <c r="O20" i="35"/>
  <c r="O19" i="35"/>
  <c r="O18" i="35"/>
  <c r="O17" i="35"/>
  <c r="O16" i="35"/>
  <c r="O15" i="35"/>
  <c r="O14" i="35"/>
  <c r="O13" i="35"/>
  <c r="O12" i="35"/>
  <c r="O11" i="35"/>
  <c r="O10" i="35"/>
  <c r="O9" i="35"/>
  <c r="A8" i="35"/>
  <c r="H95" i="34"/>
  <c r="C90" i="34"/>
  <c r="C89" i="34"/>
  <c r="H83" i="34"/>
  <c r="H81" i="34"/>
  <c r="H80" i="34"/>
  <c r="G78" i="34"/>
  <c r="H77" i="34"/>
  <c r="H76" i="34"/>
  <c r="H75" i="34"/>
  <c r="H74" i="34"/>
  <c r="H73" i="34"/>
  <c r="H72" i="34"/>
  <c r="H71" i="34"/>
  <c r="G71" i="34"/>
  <c r="H70" i="34"/>
  <c r="G69" i="34"/>
  <c r="G57" i="34"/>
  <c r="C51" i="34"/>
  <c r="N50" i="34"/>
  <c r="M50" i="34"/>
  <c r="L50" i="34"/>
  <c r="K50" i="34"/>
  <c r="J50" i="34"/>
  <c r="I50" i="34"/>
  <c r="H50" i="34"/>
  <c r="G50" i="34"/>
  <c r="F50" i="34"/>
  <c r="E50" i="34"/>
  <c r="D50" i="34"/>
  <c r="C50" i="34"/>
  <c r="O49" i="34"/>
  <c r="O48" i="34"/>
  <c r="O47" i="34"/>
  <c r="O46" i="34"/>
  <c r="O45" i="34"/>
  <c r="O44" i="34"/>
  <c r="O43" i="34"/>
  <c r="O42" i="34"/>
  <c r="O41" i="34"/>
  <c r="O40" i="34"/>
  <c r="O39" i="34"/>
  <c r="G99" i="34" s="1"/>
  <c r="H38" i="34"/>
  <c r="H51" i="34" s="1"/>
  <c r="D38" i="34"/>
  <c r="D51" i="34" s="1"/>
  <c r="C38" i="34"/>
  <c r="O37" i="34"/>
  <c r="O36" i="34"/>
  <c r="O35" i="34"/>
  <c r="D35" i="34"/>
  <c r="I34" i="34"/>
  <c r="J34" i="34" s="1"/>
  <c r="K34" i="34" s="1"/>
  <c r="L34" i="34" s="1"/>
  <c r="M34" i="34" s="1"/>
  <c r="N34" i="34" s="1"/>
  <c r="D34" i="34"/>
  <c r="L33" i="34"/>
  <c r="M33" i="34" s="1"/>
  <c r="N33" i="34" s="1"/>
  <c r="I33" i="34"/>
  <c r="J33" i="34" s="1"/>
  <c r="K33" i="34" s="1"/>
  <c r="D33" i="34"/>
  <c r="E33" i="34" s="1"/>
  <c r="K32" i="34"/>
  <c r="L32" i="34" s="1"/>
  <c r="M32" i="34" s="1"/>
  <c r="N32" i="34" s="1"/>
  <c r="J32" i="34"/>
  <c r="I32" i="34"/>
  <c r="F32" i="34"/>
  <c r="G32" i="34" s="1"/>
  <c r="E32" i="34"/>
  <c r="D32" i="34"/>
  <c r="N31" i="34"/>
  <c r="J31" i="34"/>
  <c r="K31" i="34" s="1"/>
  <c r="L31" i="34" s="1"/>
  <c r="M31" i="34" s="1"/>
  <c r="I31" i="34"/>
  <c r="E31" i="34"/>
  <c r="F31" i="34" s="1"/>
  <c r="G31" i="34" s="1"/>
  <c r="D31" i="34"/>
  <c r="O31" i="34" s="1"/>
  <c r="M30" i="34"/>
  <c r="N30" i="34" s="1"/>
  <c r="I30" i="34"/>
  <c r="J30" i="34" s="1"/>
  <c r="K30" i="34" s="1"/>
  <c r="L30" i="34" s="1"/>
  <c r="D30" i="34"/>
  <c r="L29" i="34"/>
  <c r="M29" i="34" s="1"/>
  <c r="N29" i="34" s="1"/>
  <c r="I29" i="34"/>
  <c r="J29" i="34" s="1"/>
  <c r="K29" i="34" s="1"/>
  <c r="G29" i="34"/>
  <c r="F29" i="34"/>
  <c r="E29" i="34"/>
  <c r="D29" i="34"/>
  <c r="K28" i="34"/>
  <c r="L28" i="34" s="1"/>
  <c r="M28" i="34" s="1"/>
  <c r="N28" i="34" s="1"/>
  <c r="J28" i="34"/>
  <c r="I28" i="34"/>
  <c r="F28" i="34"/>
  <c r="G28" i="34" s="1"/>
  <c r="E28" i="34"/>
  <c r="D28" i="34"/>
  <c r="N27" i="34"/>
  <c r="J27" i="34"/>
  <c r="K27" i="34" s="1"/>
  <c r="L27" i="34" s="1"/>
  <c r="M27" i="34" s="1"/>
  <c r="I27" i="34"/>
  <c r="E27" i="34"/>
  <c r="F27" i="34" s="1"/>
  <c r="G27" i="34" s="1"/>
  <c r="D27" i="34"/>
  <c r="I26" i="34"/>
  <c r="J26" i="34" s="1"/>
  <c r="K26" i="34" s="1"/>
  <c r="L26" i="34" s="1"/>
  <c r="M26" i="34" s="1"/>
  <c r="N26" i="34" s="1"/>
  <c r="D26" i="34"/>
  <c r="L25" i="34"/>
  <c r="M25" i="34" s="1"/>
  <c r="N25" i="34" s="1"/>
  <c r="I25" i="34"/>
  <c r="J25" i="34" s="1"/>
  <c r="K25" i="34" s="1"/>
  <c r="D25" i="34"/>
  <c r="E25" i="34" s="1"/>
  <c r="K24" i="34"/>
  <c r="L24" i="34" s="1"/>
  <c r="M24" i="34" s="1"/>
  <c r="N24" i="34" s="1"/>
  <c r="J24" i="34"/>
  <c r="I24" i="34"/>
  <c r="F24" i="34"/>
  <c r="G24" i="34" s="1"/>
  <c r="E24" i="34"/>
  <c r="D24" i="34"/>
  <c r="N23" i="34"/>
  <c r="J23" i="34"/>
  <c r="K23" i="34" s="1"/>
  <c r="L23" i="34" s="1"/>
  <c r="M23" i="34" s="1"/>
  <c r="I23" i="34"/>
  <c r="E23" i="34"/>
  <c r="F23" i="34" s="1"/>
  <c r="G23" i="34" s="1"/>
  <c r="D23" i="34"/>
  <c r="O23" i="34" s="1"/>
  <c r="M22" i="34"/>
  <c r="N22" i="34" s="1"/>
  <c r="I22" i="34"/>
  <c r="J22" i="34" s="1"/>
  <c r="K22" i="34" s="1"/>
  <c r="L22" i="34" s="1"/>
  <c r="D22" i="34"/>
  <c r="L21" i="34"/>
  <c r="M21" i="34" s="1"/>
  <c r="N21" i="34" s="1"/>
  <c r="I21" i="34"/>
  <c r="J21" i="34" s="1"/>
  <c r="K21" i="34" s="1"/>
  <c r="G21" i="34"/>
  <c r="F21" i="34"/>
  <c r="E21" i="34"/>
  <c r="D21" i="34"/>
  <c r="K20" i="34"/>
  <c r="L20" i="34" s="1"/>
  <c r="M20" i="34" s="1"/>
  <c r="N20" i="34" s="1"/>
  <c r="J20" i="34"/>
  <c r="I20" i="34"/>
  <c r="E20" i="34"/>
  <c r="F20" i="34" s="1"/>
  <c r="D20" i="34"/>
  <c r="M19" i="34"/>
  <c r="N19" i="34" s="1"/>
  <c r="I19" i="34"/>
  <c r="J19" i="34" s="1"/>
  <c r="K19" i="34" s="1"/>
  <c r="L19" i="34" s="1"/>
  <c r="D19" i="34"/>
  <c r="L18" i="34"/>
  <c r="M18" i="34" s="1"/>
  <c r="N18" i="34" s="1"/>
  <c r="K18" i="34"/>
  <c r="J18" i="34"/>
  <c r="I18" i="34"/>
  <c r="G18" i="34"/>
  <c r="F18" i="34"/>
  <c r="O18" i="34" s="1"/>
  <c r="G58" i="34" s="1"/>
  <c r="E18" i="34"/>
  <c r="D18" i="34"/>
  <c r="K17" i="34"/>
  <c r="L17" i="34" s="1"/>
  <c r="M17" i="34" s="1"/>
  <c r="N17" i="34" s="1"/>
  <c r="J17" i="34"/>
  <c r="I17" i="34"/>
  <c r="F17" i="34"/>
  <c r="G17" i="34" s="1"/>
  <c r="E17" i="34"/>
  <c r="D17" i="34"/>
  <c r="J16" i="34"/>
  <c r="K16" i="34" s="1"/>
  <c r="L16" i="34" s="1"/>
  <c r="M16" i="34" s="1"/>
  <c r="N16" i="34" s="1"/>
  <c r="I16" i="34"/>
  <c r="E16" i="34"/>
  <c r="F16" i="34" s="1"/>
  <c r="G16" i="34" s="1"/>
  <c r="D16" i="34"/>
  <c r="I15" i="34"/>
  <c r="J15" i="34" s="1"/>
  <c r="K15" i="34" s="1"/>
  <c r="L15" i="34" s="1"/>
  <c r="M15" i="34" s="1"/>
  <c r="N15" i="34" s="1"/>
  <c r="D15" i="34"/>
  <c r="I14" i="34"/>
  <c r="J14" i="34" s="1"/>
  <c r="K14" i="34" s="1"/>
  <c r="L14" i="34" s="1"/>
  <c r="M14" i="34" s="1"/>
  <c r="N14" i="34" s="1"/>
  <c r="G14" i="34"/>
  <c r="F14" i="34"/>
  <c r="E14" i="34"/>
  <c r="J13" i="34"/>
  <c r="K13" i="34" s="1"/>
  <c r="L13" i="34" s="1"/>
  <c r="M13" i="34" s="1"/>
  <c r="N13" i="34" s="1"/>
  <c r="I13" i="34"/>
  <c r="E13" i="34"/>
  <c r="F13" i="34" s="1"/>
  <c r="G13" i="34" s="1"/>
  <c r="D13" i="34"/>
  <c r="M12" i="34"/>
  <c r="N12" i="34" s="1"/>
  <c r="I12" i="34"/>
  <c r="J12" i="34" s="1"/>
  <c r="K12" i="34" s="1"/>
  <c r="L12" i="34" s="1"/>
  <c r="D12" i="34"/>
  <c r="I11" i="34"/>
  <c r="J11" i="34" s="1"/>
  <c r="K11" i="34" s="1"/>
  <c r="L11" i="34" s="1"/>
  <c r="M11" i="34" s="1"/>
  <c r="N11" i="34" s="1"/>
  <c r="F11" i="34"/>
  <c r="E11" i="34"/>
  <c r="I10" i="34"/>
  <c r="D10" i="34"/>
  <c r="O9" i="34"/>
  <c r="A8" i="34"/>
  <c r="H95" i="33"/>
  <c r="C90" i="33"/>
  <c r="C89" i="33"/>
  <c r="H83" i="33"/>
  <c r="H81" i="33"/>
  <c r="H80" i="33"/>
  <c r="G79" i="33"/>
  <c r="G84" i="33" s="1"/>
  <c r="H77" i="33"/>
  <c r="H76" i="33"/>
  <c r="O75" i="33"/>
  <c r="H75" i="33"/>
  <c r="H74" i="33"/>
  <c r="H73" i="33"/>
  <c r="H72" i="33"/>
  <c r="H70" i="33"/>
  <c r="C51" i="33"/>
  <c r="N50" i="33"/>
  <c r="M50" i="33"/>
  <c r="L50" i="33"/>
  <c r="K50" i="33"/>
  <c r="J50" i="33"/>
  <c r="I50" i="33"/>
  <c r="H50" i="33"/>
  <c r="G50" i="33"/>
  <c r="F50" i="33"/>
  <c r="E50" i="33"/>
  <c r="D50" i="33"/>
  <c r="C50" i="33"/>
  <c r="O49" i="33"/>
  <c r="O48" i="33"/>
  <c r="O47" i="33"/>
  <c r="O46" i="33"/>
  <c r="O45" i="33"/>
  <c r="G57" i="33" s="1"/>
  <c r="O44" i="33"/>
  <c r="G69" i="33" s="1"/>
  <c r="G78" i="33" s="1"/>
  <c r="O43" i="33"/>
  <c r="O42" i="33"/>
  <c r="O41" i="33"/>
  <c r="G71" i="33" s="1"/>
  <c r="H71" i="33" s="1"/>
  <c r="O40" i="33"/>
  <c r="O39" i="33"/>
  <c r="G99" i="33" s="1"/>
  <c r="F12" i="1" s="1"/>
  <c r="P12" i="1" s="1"/>
  <c r="C38" i="33"/>
  <c r="G37" i="33"/>
  <c r="O37" i="33" s="1"/>
  <c r="F37" i="33"/>
  <c r="F36" i="33"/>
  <c r="E35" i="33"/>
  <c r="F35" i="33" s="1"/>
  <c r="G35" i="33" s="1"/>
  <c r="D35" i="33"/>
  <c r="I34" i="33"/>
  <c r="J34" i="33" s="1"/>
  <c r="K34" i="33" s="1"/>
  <c r="L34" i="33" s="1"/>
  <c r="M34" i="33" s="1"/>
  <c r="N34" i="33" s="1"/>
  <c r="D34" i="33"/>
  <c r="L33" i="33"/>
  <c r="M33" i="33" s="1"/>
  <c r="N33" i="33" s="1"/>
  <c r="I33" i="33"/>
  <c r="J33" i="33" s="1"/>
  <c r="K33" i="33" s="1"/>
  <c r="D33" i="33"/>
  <c r="K32" i="33"/>
  <c r="L32" i="33" s="1"/>
  <c r="M32" i="33" s="1"/>
  <c r="N32" i="33" s="1"/>
  <c r="J32" i="33"/>
  <c r="I32" i="33"/>
  <c r="F32" i="33"/>
  <c r="G32" i="33" s="1"/>
  <c r="E32" i="33"/>
  <c r="D32" i="33"/>
  <c r="N31" i="33"/>
  <c r="J31" i="33"/>
  <c r="K31" i="33" s="1"/>
  <c r="L31" i="33" s="1"/>
  <c r="M31" i="33" s="1"/>
  <c r="I31" i="33"/>
  <c r="E31" i="33"/>
  <c r="D31" i="33"/>
  <c r="M30" i="33"/>
  <c r="N30" i="33" s="1"/>
  <c r="I30" i="33"/>
  <c r="J30" i="33" s="1"/>
  <c r="K30" i="33" s="1"/>
  <c r="L30" i="33" s="1"/>
  <c r="D30" i="33"/>
  <c r="L29" i="33"/>
  <c r="M29" i="33" s="1"/>
  <c r="N29" i="33" s="1"/>
  <c r="I29" i="33"/>
  <c r="J29" i="33" s="1"/>
  <c r="K29" i="33" s="1"/>
  <c r="D29" i="33"/>
  <c r="K28" i="33"/>
  <c r="L28" i="33" s="1"/>
  <c r="M28" i="33" s="1"/>
  <c r="N28" i="33" s="1"/>
  <c r="J28" i="33"/>
  <c r="I28" i="33"/>
  <c r="F28" i="33"/>
  <c r="G28" i="33" s="1"/>
  <c r="E28" i="33"/>
  <c r="D28" i="33"/>
  <c r="J27" i="33"/>
  <c r="K27" i="33" s="1"/>
  <c r="L27" i="33" s="1"/>
  <c r="M27" i="33" s="1"/>
  <c r="N27" i="33" s="1"/>
  <c r="I27" i="33"/>
  <c r="E27" i="33"/>
  <c r="D27" i="33"/>
  <c r="M26" i="33"/>
  <c r="N26" i="33" s="1"/>
  <c r="I26" i="33"/>
  <c r="J26" i="33" s="1"/>
  <c r="K26" i="33" s="1"/>
  <c r="L26" i="33" s="1"/>
  <c r="D26" i="33"/>
  <c r="I25" i="33"/>
  <c r="J25" i="33" s="1"/>
  <c r="K25" i="33" s="1"/>
  <c r="L25" i="33" s="1"/>
  <c r="M25" i="33" s="1"/>
  <c r="N25" i="33" s="1"/>
  <c r="D25" i="33"/>
  <c r="K24" i="33"/>
  <c r="L24" i="33" s="1"/>
  <c r="M24" i="33" s="1"/>
  <c r="N24" i="33" s="1"/>
  <c r="J24" i="33"/>
  <c r="I24" i="33"/>
  <c r="F24" i="33"/>
  <c r="G24" i="33" s="1"/>
  <c r="E24" i="33"/>
  <c r="D24" i="33"/>
  <c r="K23" i="33"/>
  <c r="L23" i="33" s="1"/>
  <c r="M23" i="33" s="1"/>
  <c r="N23" i="33" s="1"/>
  <c r="I23" i="33"/>
  <c r="D23" i="33"/>
  <c r="I22" i="33"/>
  <c r="J22" i="33" s="1"/>
  <c r="K22" i="33" s="1"/>
  <c r="L22" i="33" s="1"/>
  <c r="M22" i="33" s="1"/>
  <c r="N22" i="33" s="1"/>
  <c r="D22" i="33"/>
  <c r="K21" i="33"/>
  <c r="L21" i="33" s="1"/>
  <c r="M21" i="33" s="1"/>
  <c r="N21" i="33" s="1"/>
  <c r="J21" i="33"/>
  <c r="I21" i="33"/>
  <c r="F21" i="33"/>
  <c r="G21" i="33" s="1"/>
  <c r="E21" i="33"/>
  <c r="D21" i="33"/>
  <c r="N20" i="33"/>
  <c r="J20" i="33"/>
  <c r="K20" i="33" s="1"/>
  <c r="L20" i="33" s="1"/>
  <c r="M20" i="33" s="1"/>
  <c r="I20" i="33"/>
  <c r="E20" i="33"/>
  <c r="D20" i="33"/>
  <c r="E19" i="33"/>
  <c r="F19" i="33" s="1"/>
  <c r="D19" i="33"/>
  <c r="O19" i="33" s="1"/>
  <c r="M18" i="33"/>
  <c r="N18" i="33" s="1"/>
  <c r="I18" i="33"/>
  <c r="J18" i="33" s="1"/>
  <c r="K18" i="33" s="1"/>
  <c r="L18" i="33" s="1"/>
  <c r="D18" i="33"/>
  <c r="I17" i="33"/>
  <c r="J17" i="33" s="1"/>
  <c r="K17" i="33" s="1"/>
  <c r="L17" i="33" s="1"/>
  <c r="M17" i="33" s="1"/>
  <c r="N17" i="33" s="1"/>
  <c r="D17" i="33"/>
  <c r="K16" i="33"/>
  <c r="L16" i="33" s="1"/>
  <c r="M16" i="33" s="1"/>
  <c r="N16" i="33" s="1"/>
  <c r="J16" i="33"/>
  <c r="I16" i="33"/>
  <c r="F16" i="33"/>
  <c r="G16" i="33" s="1"/>
  <c r="E16" i="33"/>
  <c r="D16" i="33"/>
  <c r="J15" i="33"/>
  <c r="K15" i="33" s="1"/>
  <c r="L15" i="33" s="1"/>
  <c r="M15" i="33" s="1"/>
  <c r="N15" i="33" s="1"/>
  <c r="I15" i="33"/>
  <c r="E15" i="33"/>
  <c r="D15" i="33"/>
  <c r="M14" i="33"/>
  <c r="N14" i="33" s="1"/>
  <c r="L14" i="33"/>
  <c r="K14" i="33"/>
  <c r="E14" i="33"/>
  <c r="K13" i="33"/>
  <c r="L13" i="33" s="1"/>
  <c r="M13" i="33" s="1"/>
  <c r="N13" i="33" s="1"/>
  <c r="J13" i="33"/>
  <c r="I13" i="33"/>
  <c r="F13" i="33"/>
  <c r="G13" i="33" s="1"/>
  <c r="E13" i="33"/>
  <c r="D13" i="33"/>
  <c r="J12" i="33"/>
  <c r="K12" i="33" s="1"/>
  <c r="L12" i="33" s="1"/>
  <c r="M12" i="33" s="1"/>
  <c r="N12" i="33" s="1"/>
  <c r="I12" i="33"/>
  <c r="E12" i="33"/>
  <c r="D12" i="33"/>
  <c r="M11" i="33"/>
  <c r="N11" i="33" s="1"/>
  <c r="L11" i="33"/>
  <c r="K11" i="33"/>
  <c r="E11" i="33"/>
  <c r="I10" i="33"/>
  <c r="J10" i="33" s="1"/>
  <c r="D10" i="33"/>
  <c r="O9" i="33"/>
  <c r="A8" i="33"/>
  <c r="G98" i="32"/>
  <c r="H94" i="32"/>
  <c r="C89" i="32"/>
  <c r="C88" i="32"/>
  <c r="G83" i="32"/>
  <c r="H82" i="32"/>
  <c r="H80" i="32"/>
  <c r="H79" i="32"/>
  <c r="H78" i="32"/>
  <c r="O77" i="32"/>
  <c r="H76" i="32"/>
  <c r="H75" i="32"/>
  <c r="H74" i="32"/>
  <c r="H73" i="32"/>
  <c r="H72" i="32"/>
  <c r="H71" i="32"/>
  <c r="H69" i="32"/>
  <c r="H68" i="32"/>
  <c r="G57" i="32"/>
  <c r="M50" i="32"/>
  <c r="L50" i="32"/>
  <c r="I50" i="32"/>
  <c r="H50" i="32"/>
  <c r="E50" i="32"/>
  <c r="D50" i="32"/>
  <c r="N49" i="32"/>
  <c r="M49" i="32"/>
  <c r="L49" i="32"/>
  <c r="K49" i="32"/>
  <c r="J49" i="32"/>
  <c r="I49" i="32"/>
  <c r="H49" i="32"/>
  <c r="G49" i="32"/>
  <c r="F49" i="32"/>
  <c r="E49" i="32"/>
  <c r="D49" i="32"/>
  <c r="C49" i="32"/>
  <c r="O49" i="32" s="1"/>
  <c r="O48" i="32"/>
  <c r="O47" i="32"/>
  <c r="O46" i="32"/>
  <c r="O45" i="32"/>
  <c r="O44" i="32"/>
  <c r="G56" i="32" s="1"/>
  <c r="O43" i="32"/>
  <c r="G68" i="32" s="1"/>
  <c r="O42" i="32"/>
  <c r="O41" i="32"/>
  <c r="O40" i="32"/>
  <c r="G70" i="32" s="1"/>
  <c r="H70" i="32" s="1"/>
  <c r="O39" i="32"/>
  <c r="O38" i="32"/>
  <c r="N37" i="32"/>
  <c r="N50" i="32" s="1"/>
  <c r="M37" i="32"/>
  <c r="L37" i="32"/>
  <c r="K37" i="32"/>
  <c r="K50" i="32" s="1"/>
  <c r="J37" i="32"/>
  <c r="I37" i="32"/>
  <c r="H37" i="32"/>
  <c r="G37" i="32"/>
  <c r="G50" i="32" s="1"/>
  <c r="F37" i="32"/>
  <c r="E37" i="32"/>
  <c r="D37" i="32"/>
  <c r="C37" i="32"/>
  <c r="C50" i="32" s="1"/>
  <c r="O36" i="32"/>
  <c r="O35" i="32"/>
  <c r="O34" i="32"/>
  <c r="O33" i="32"/>
  <c r="O32" i="32"/>
  <c r="O31" i="32"/>
  <c r="O30" i="32"/>
  <c r="O29" i="32"/>
  <c r="O28" i="32"/>
  <c r="O27" i="32"/>
  <c r="O26" i="32"/>
  <c r="O25" i="32"/>
  <c r="O24" i="32"/>
  <c r="O23" i="32"/>
  <c r="O22" i="32"/>
  <c r="O21" i="32"/>
  <c r="O20" i="32"/>
  <c r="O19" i="32"/>
  <c r="O18" i="32"/>
  <c r="O17" i="32"/>
  <c r="O16" i="32"/>
  <c r="O15" i="32"/>
  <c r="O14" i="32"/>
  <c r="O13" i="32"/>
  <c r="O12" i="32"/>
  <c r="O11" i="32"/>
  <c r="O10" i="32"/>
  <c r="O9" i="32"/>
  <c r="A8" i="32"/>
  <c r="H96" i="31"/>
  <c r="C91" i="31"/>
  <c r="C90" i="31"/>
  <c r="G85" i="31"/>
  <c r="H84" i="31"/>
  <c r="H81" i="31"/>
  <c r="H80" i="31"/>
  <c r="H78" i="31"/>
  <c r="H77" i="31"/>
  <c r="H76" i="31"/>
  <c r="H75" i="31"/>
  <c r="H74" i="31"/>
  <c r="H73" i="31"/>
  <c r="H71" i="31"/>
  <c r="G58" i="31"/>
  <c r="J53" i="31"/>
  <c r="J54" i="31" s="1"/>
  <c r="Q52" i="31"/>
  <c r="M52" i="31"/>
  <c r="M53" i="31" s="1"/>
  <c r="I52" i="31"/>
  <c r="E52" i="31"/>
  <c r="N51" i="31"/>
  <c r="N52" i="31" s="1"/>
  <c r="M51" i="31"/>
  <c r="L51" i="31"/>
  <c r="K51" i="31"/>
  <c r="J51" i="31"/>
  <c r="J52" i="31" s="1"/>
  <c r="I51" i="31"/>
  <c r="H51" i="31"/>
  <c r="G51" i="31"/>
  <c r="F51" i="31"/>
  <c r="F52" i="31" s="1"/>
  <c r="E51" i="31"/>
  <c r="D51" i="31"/>
  <c r="C51" i="31"/>
  <c r="O51" i="31" s="1"/>
  <c r="O50" i="31"/>
  <c r="O48" i="31"/>
  <c r="O47" i="31"/>
  <c r="O46" i="31"/>
  <c r="O45" i="31"/>
  <c r="O44" i="31"/>
  <c r="O43" i="31"/>
  <c r="G70" i="31" s="1"/>
  <c r="O42" i="31"/>
  <c r="O41" i="31"/>
  <c r="O40" i="31"/>
  <c r="G72" i="31" s="1"/>
  <c r="H72" i="31" s="1"/>
  <c r="O39" i="31"/>
  <c r="O38" i="31"/>
  <c r="G100" i="31" s="1"/>
  <c r="N37" i="31"/>
  <c r="M37" i="31"/>
  <c r="J90" i="31" s="1"/>
  <c r="L37" i="31"/>
  <c r="L52" i="31" s="1"/>
  <c r="K37" i="31"/>
  <c r="K52" i="31" s="1"/>
  <c r="J37" i="31"/>
  <c r="I37" i="31"/>
  <c r="H37" i="31"/>
  <c r="H52" i="31" s="1"/>
  <c r="G37" i="31"/>
  <c r="F37" i="31"/>
  <c r="E37" i="31"/>
  <c r="D37" i="31"/>
  <c r="D52" i="31" s="1"/>
  <c r="C37" i="31"/>
  <c r="O36" i="31"/>
  <c r="O35" i="31"/>
  <c r="O34" i="31"/>
  <c r="O33" i="31"/>
  <c r="O32" i="31"/>
  <c r="O31" i="31"/>
  <c r="O30" i="31"/>
  <c r="O29" i="31"/>
  <c r="O28" i="31"/>
  <c r="O27" i="31"/>
  <c r="O26" i="31"/>
  <c r="O25" i="31"/>
  <c r="O24" i="31"/>
  <c r="O23" i="31"/>
  <c r="O22" i="31"/>
  <c r="O21" i="31"/>
  <c r="O20" i="31"/>
  <c r="O19" i="31"/>
  <c r="O18" i="31"/>
  <c r="O17" i="31"/>
  <c r="O16" i="31"/>
  <c r="O15" i="31"/>
  <c r="O14" i="31"/>
  <c r="O13" i="31"/>
  <c r="O12" i="31"/>
  <c r="O11" i="31"/>
  <c r="O10" i="31"/>
  <c r="O9" i="31"/>
  <c r="A8" i="31"/>
  <c r="G100" i="30"/>
  <c r="H96" i="30"/>
  <c r="C91" i="30"/>
  <c r="C90" i="30"/>
  <c r="H84" i="30"/>
  <c r="H83" i="30"/>
  <c r="H81" i="30"/>
  <c r="H78" i="30"/>
  <c r="H77" i="30"/>
  <c r="H76" i="30"/>
  <c r="H75" i="30"/>
  <c r="H74" i="30"/>
  <c r="H73" i="30"/>
  <c r="H71" i="30"/>
  <c r="G51" i="30"/>
  <c r="C51" i="30"/>
  <c r="N50" i="30"/>
  <c r="M50" i="30"/>
  <c r="L50" i="30"/>
  <c r="K50" i="30"/>
  <c r="J50" i="30"/>
  <c r="I50" i="30"/>
  <c r="H50" i="30"/>
  <c r="G50" i="30"/>
  <c r="F50" i="30"/>
  <c r="E50" i="30"/>
  <c r="D50" i="30"/>
  <c r="C50" i="30"/>
  <c r="O49" i="30"/>
  <c r="O48" i="30"/>
  <c r="O47" i="30"/>
  <c r="O46" i="30"/>
  <c r="O45" i="30"/>
  <c r="G57" i="30" s="1"/>
  <c r="O44" i="30"/>
  <c r="G70" i="30" s="1"/>
  <c r="O43" i="30"/>
  <c r="G80" i="30" s="1"/>
  <c r="O42" i="30"/>
  <c r="O41" i="30"/>
  <c r="G72" i="30" s="1"/>
  <c r="H72" i="30" s="1"/>
  <c r="O40" i="30"/>
  <c r="O39" i="30"/>
  <c r="H38" i="30"/>
  <c r="H51" i="30" s="1"/>
  <c r="G38" i="30"/>
  <c r="D38" i="30"/>
  <c r="D51" i="30" s="1"/>
  <c r="C38" i="30"/>
  <c r="O37" i="30"/>
  <c r="O36" i="30"/>
  <c r="O35" i="30"/>
  <c r="O34" i="30"/>
  <c r="O33" i="30"/>
  <c r="O32" i="30"/>
  <c r="O31" i="30"/>
  <c r="O30" i="30"/>
  <c r="O29" i="30"/>
  <c r="O28" i="30"/>
  <c r="O27" i="30"/>
  <c r="O26" i="30"/>
  <c r="O25" i="30"/>
  <c r="O24" i="30"/>
  <c r="O23" i="30"/>
  <c r="O22" i="30"/>
  <c r="O21" i="30"/>
  <c r="O20" i="30"/>
  <c r="O19" i="30"/>
  <c r="O18" i="30"/>
  <c r="G59" i="30" s="1"/>
  <c r="O17" i="30"/>
  <c r="O16" i="30"/>
  <c r="O15" i="30"/>
  <c r="O14" i="30"/>
  <c r="O13" i="30"/>
  <c r="O12" i="30"/>
  <c r="O11" i="30"/>
  <c r="O10" i="30"/>
  <c r="I9" i="30"/>
  <c r="H9" i="30"/>
  <c r="D9" i="30"/>
  <c r="A8" i="30"/>
  <c r="G98" i="29"/>
  <c r="F14" i="1" s="1"/>
  <c r="P14" i="1" s="1"/>
  <c r="H94" i="29"/>
  <c r="C89" i="29"/>
  <c r="C88" i="29"/>
  <c r="H82" i="29"/>
  <c r="H79" i="29"/>
  <c r="H76" i="29"/>
  <c r="H75" i="29"/>
  <c r="H74" i="29"/>
  <c r="H73" i="29"/>
  <c r="H72" i="29"/>
  <c r="H71" i="29"/>
  <c r="H69" i="29"/>
  <c r="H68" i="29"/>
  <c r="G56" i="29"/>
  <c r="Q50" i="29"/>
  <c r="N49" i="29"/>
  <c r="M49" i="29"/>
  <c r="L49" i="29"/>
  <c r="K49" i="29"/>
  <c r="J49" i="29"/>
  <c r="I49" i="29"/>
  <c r="H49" i="29"/>
  <c r="G49" i="29"/>
  <c r="F49" i="29"/>
  <c r="E49" i="29"/>
  <c r="D49" i="29"/>
  <c r="C49" i="29"/>
  <c r="O48" i="29"/>
  <c r="O47" i="29"/>
  <c r="O46" i="29"/>
  <c r="O45" i="29"/>
  <c r="O44" i="29"/>
  <c r="O43" i="29"/>
  <c r="G68" i="29" s="1"/>
  <c r="O42" i="29"/>
  <c r="O72" i="29" s="1"/>
  <c r="O41" i="29"/>
  <c r="O40" i="29"/>
  <c r="G70" i="29" s="1"/>
  <c r="H70" i="29" s="1"/>
  <c r="O39" i="29"/>
  <c r="O38" i="29"/>
  <c r="C37" i="29"/>
  <c r="N36" i="29"/>
  <c r="M36" i="29"/>
  <c r="L36" i="29"/>
  <c r="I36" i="29"/>
  <c r="G36" i="29"/>
  <c r="O36" i="29" s="1"/>
  <c r="F36" i="29"/>
  <c r="M35" i="29"/>
  <c r="N35" i="29" s="1"/>
  <c r="L35" i="29"/>
  <c r="I35" i="29"/>
  <c r="F35" i="29"/>
  <c r="L34" i="29"/>
  <c r="M34" i="29" s="1"/>
  <c r="N34" i="29" s="1"/>
  <c r="I34" i="29"/>
  <c r="J34" i="29" s="1"/>
  <c r="K34" i="29" s="1"/>
  <c r="D34" i="29"/>
  <c r="K33" i="29"/>
  <c r="L33" i="29" s="1"/>
  <c r="M33" i="29" s="1"/>
  <c r="N33" i="29" s="1"/>
  <c r="J33" i="29"/>
  <c r="I33" i="29"/>
  <c r="F33" i="29"/>
  <c r="G33" i="29" s="1"/>
  <c r="E33" i="29"/>
  <c r="D33" i="29"/>
  <c r="J32" i="29"/>
  <c r="K32" i="29" s="1"/>
  <c r="L32" i="29" s="1"/>
  <c r="M32" i="29" s="1"/>
  <c r="N32" i="29" s="1"/>
  <c r="D32" i="29"/>
  <c r="I31" i="29"/>
  <c r="J31" i="29" s="1"/>
  <c r="K31" i="29" s="1"/>
  <c r="L31" i="29" s="1"/>
  <c r="M31" i="29" s="1"/>
  <c r="N31" i="29" s="1"/>
  <c r="D31" i="29"/>
  <c r="K30" i="29"/>
  <c r="L30" i="29" s="1"/>
  <c r="M30" i="29" s="1"/>
  <c r="N30" i="29" s="1"/>
  <c r="J30" i="29"/>
  <c r="I30" i="29"/>
  <c r="F30" i="29"/>
  <c r="G30" i="29" s="1"/>
  <c r="E30" i="29"/>
  <c r="D30" i="29"/>
  <c r="N29" i="29"/>
  <c r="J29" i="29"/>
  <c r="K29" i="29" s="1"/>
  <c r="L29" i="29" s="1"/>
  <c r="M29" i="29" s="1"/>
  <c r="I29" i="29"/>
  <c r="E29" i="29"/>
  <c r="D29" i="29"/>
  <c r="I28" i="29"/>
  <c r="J28" i="29" s="1"/>
  <c r="K28" i="29" s="1"/>
  <c r="L28" i="29" s="1"/>
  <c r="M28" i="29" s="1"/>
  <c r="N28" i="29" s="1"/>
  <c r="D28" i="29"/>
  <c r="L27" i="29"/>
  <c r="M27" i="29" s="1"/>
  <c r="N27" i="29" s="1"/>
  <c r="I27" i="29"/>
  <c r="J27" i="29" s="1"/>
  <c r="K27" i="29" s="1"/>
  <c r="D27" i="29"/>
  <c r="K26" i="29"/>
  <c r="L26" i="29" s="1"/>
  <c r="M26" i="29" s="1"/>
  <c r="N26" i="29" s="1"/>
  <c r="J26" i="29"/>
  <c r="I26" i="29"/>
  <c r="F26" i="29"/>
  <c r="G26" i="29" s="1"/>
  <c r="E26" i="29"/>
  <c r="D26" i="29"/>
  <c r="N25" i="29"/>
  <c r="J25" i="29"/>
  <c r="K25" i="29" s="1"/>
  <c r="L25" i="29" s="1"/>
  <c r="M25" i="29" s="1"/>
  <c r="I25" i="29"/>
  <c r="E25" i="29"/>
  <c r="D25" i="29"/>
  <c r="M24" i="29"/>
  <c r="N24" i="29" s="1"/>
  <c r="I24" i="29"/>
  <c r="J24" i="29" s="1"/>
  <c r="K24" i="29" s="1"/>
  <c r="L24" i="29" s="1"/>
  <c r="D24" i="29"/>
  <c r="L23" i="29"/>
  <c r="M23" i="29" s="1"/>
  <c r="N23" i="29" s="1"/>
  <c r="I23" i="29"/>
  <c r="J23" i="29" s="1"/>
  <c r="K23" i="29" s="1"/>
  <c r="D23" i="29"/>
  <c r="O22" i="29"/>
  <c r="L22" i="29"/>
  <c r="M22" i="29" s="1"/>
  <c r="N22" i="29" s="1"/>
  <c r="I22" i="29"/>
  <c r="D22" i="29"/>
  <c r="E22" i="29" s="1"/>
  <c r="F22" i="29" s="1"/>
  <c r="G22" i="29" s="1"/>
  <c r="L21" i="29"/>
  <c r="M21" i="29" s="1"/>
  <c r="N21" i="29" s="1"/>
  <c r="I21" i="29"/>
  <c r="J21" i="29" s="1"/>
  <c r="K21" i="29" s="1"/>
  <c r="D21" i="29"/>
  <c r="K20" i="29"/>
  <c r="L20" i="29" s="1"/>
  <c r="M20" i="29" s="1"/>
  <c r="N20" i="29" s="1"/>
  <c r="J20" i="29"/>
  <c r="I20" i="29"/>
  <c r="F20" i="29"/>
  <c r="G20" i="29" s="1"/>
  <c r="E20" i="29"/>
  <c r="D20" i="29"/>
  <c r="J19" i="29"/>
  <c r="K19" i="29" s="1"/>
  <c r="L19" i="29" s="1"/>
  <c r="M19" i="29" s="1"/>
  <c r="N19" i="29" s="1"/>
  <c r="I19" i="29"/>
  <c r="E19" i="29"/>
  <c r="D19" i="29"/>
  <c r="M18" i="29"/>
  <c r="N18" i="29" s="1"/>
  <c r="I18" i="29"/>
  <c r="J18" i="29" s="1"/>
  <c r="K18" i="29" s="1"/>
  <c r="L18" i="29" s="1"/>
  <c r="D18" i="29"/>
  <c r="I17" i="29"/>
  <c r="J17" i="29" s="1"/>
  <c r="K17" i="29" s="1"/>
  <c r="L17" i="29" s="1"/>
  <c r="M17" i="29" s="1"/>
  <c r="N17" i="29" s="1"/>
  <c r="D17" i="29"/>
  <c r="K16" i="29"/>
  <c r="L16" i="29" s="1"/>
  <c r="M16" i="29" s="1"/>
  <c r="N16" i="29" s="1"/>
  <c r="J16" i="29"/>
  <c r="I16" i="29"/>
  <c r="F16" i="29"/>
  <c r="G16" i="29" s="1"/>
  <c r="E16" i="29"/>
  <c r="D16" i="29"/>
  <c r="J15" i="29"/>
  <c r="K15" i="29" s="1"/>
  <c r="L15" i="29" s="1"/>
  <c r="M15" i="29" s="1"/>
  <c r="N15" i="29" s="1"/>
  <c r="I15" i="29"/>
  <c r="E15" i="29"/>
  <c r="D15" i="29"/>
  <c r="M14" i="29"/>
  <c r="N14" i="29" s="1"/>
  <c r="L14" i="29"/>
  <c r="K14" i="29"/>
  <c r="E14" i="29"/>
  <c r="K13" i="29"/>
  <c r="L13" i="29" s="1"/>
  <c r="M13" i="29" s="1"/>
  <c r="N13" i="29" s="1"/>
  <c r="J13" i="29"/>
  <c r="I13" i="29"/>
  <c r="F13" i="29"/>
  <c r="G13" i="29" s="1"/>
  <c r="E13" i="29"/>
  <c r="D13" i="29"/>
  <c r="J12" i="29"/>
  <c r="K12" i="29" s="1"/>
  <c r="L12" i="29" s="1"/>
  <c r="M12" i="29" s="1"/>
  <c r="N12" i="29" s="1"/>
  <c r="I12" i="29"/>
  <c r="E12" i="29"/>
  <c r="D12" i="29"/>
  <c r="M11" i="29"/>
  <c r="N11" i="29" s="1"/>
  <c r="J11" i="29"/>
  <c r="K11" i="29" s="1"/>
  <c r="L11" i="29" s="1"/>
  <c r="F11" i="29"/>
  <c r="E11" i="29"/>
  <c r="M10" i="29"/>
  <c r="N10" i="29" s="1"/>
  <c r="I10" i="29"/>
  <c r="J10" i="29" s="1"/>
  <c r="K10" i="29" s="1"/>
  <c r="L10" i="29" s="1"/>
  <c r="D10" i="29"/>
  <c r="H9" i="29"/>
  <c r="D9" i="29"/>
  <c r="A8" i="29"/>
  <c r="H94" i="28"/>
  <c r="C89" i="28"/>
  <c r="C88" i="28"/>
  <c r="H82" i="28"/>
  <c r="H79" i="28"/>
  <c r="G78" i="28"/>
  <c r="H78" i="28" s="1"/>
  <c r="H76" i="28"/>
  <c r="H75" i="28"/>
  <c r="H74" i="28"/>
  <c r="H73" i="28"/>
  <c r="H72" i="28"/>
  <c r="H71" i="28"/>
  <c r="G69" i="28"/>
  <c r="H69" i="28" s="1"/>
  <c r="O68" i="28"/>
  <c r="G68" i="28"/>
  <c r="G55" i="28"/>
  <c r="N49" i="28"/>
  <c r="M49" i="28"/>
  <c r="L49" i="28"/>
  <c r="K49" i="28"/>
  <c r="J49" i="28"/>
  <c r="I49" i="28"/>
  <c r="H49" i="28"/>
  <c r="G49" i="28"/>
  <c r="F49" i="28"/>
  <c r="E49" i="28"/>
  <c r="D49" i="28"/>
  <c r="C49" i="28"/>
  <c r="O49" i="28" s="1"/>
  <c r="O48" i="28"/>
  <c r="O47" i="28"/>
  <c r="O46" i="28"/>
  <c r="O45" i="28"/>
  <c r="O44" i="28"/>
  <c r="G56" i="28" s="1"/>
  <c r="O43" i="28"/>
  <c r="O42" i="28"/>
  <c r="O41" i="28"/>
  <c r="O40" i="28"/>
  <c r="G70" i="28" s="1"/>
  <c r="H70" i="28" s="1"/>
  <c r="O39" i="28"/>
  <c r="O38" i="28"/>
  <c r="G98" i="28" s="1"/>
  <c r="H37" i="28"/>
  <c r="H50" i="28" s="1"/>
  <c r="C37" i="28"/>
  <c r="L36" i="28"/>
  <c r="M36" i="28" s="1"/>
  <c r="N36" i="28" s="1"/>
  <c r="I36" i="28"/>
  <c r="J36" i="28" s="1"/>
  <c r="K36" i="28" s="1"/>
  <c r="D36" i="28"/>
  <c r="K35" i="28"/>
  <c r="L35" i="28" s="1"/>
  <c r="M35" i="28" s="1"/>
  <c r="N35" i="28" s="1"/>
  <c r="J35" i="28"/>
  <c r="I35" i="28"/>
  <c r="F35" i="28"/>
  <c r="G35" i="28" s="1"/>
  <c r="E35" i="28"/>
  <c r="D35" i="28"/>
  <c r="N34" i="28"/>
  <c r="J34" i="28"/>
  <c r="K34" i="28" s="1"/>
  <c r="L34" i="28" s="1"/>
  <c r="M34" i="28" s="1"/>
  <c r="I34" i="28"/>
  <c r="E34" i="28"/>
  <c r="D34" i="28"/>
  <c r="M33" i="28"/>
  <c r="N33" i="28" s="1"/>
  <c r="I33" i="28"/>
  <c r="J33" i="28" s="1"/>
  <c r="K33" i="28" s="1"/>
  <c r="L33" i="28" s="1"/>
  <c r="D33" i="28"/>
  <c r="L32" i="28"/>
  <c r="M32" i="28" s="1"/>
  <c r="N32" i="28" s="1"/>
  <c r="I32" i="28"/>
  <c r="J32" i="28" s="1"/>
  <c r="K32" i="28" s="1"/>
  <c r="D32" i="28"/>
  <c r="K31" i="28"/>
  <c r="L31" i="28" s="1"/>
  <c r="M31" i="28" s="1"/>
  <c r="N31" i="28" s="1"/>
  <c r="J31" i="28"/>
  <c r="I31" i="28"/>
  <c r="F31" i="28"/>
  <c r="G31" i="28" s="1"/>
  <c r="E31" i="28"/>
  <c r="D31" i="28"/>
  <c r="J30" i="28"/>
  <c r="K30" i="28" s="1"/>
  <c r="L30" i="28" s="1"/>
  <c r="M30" i="28" s="1"/>
  <c r="N30" i="28" s="1"/>
  <c r="I30" i="28"/>
  <c r="E30" i="28"/>
  <c r="D30" i="28"/>
  <c r="M29" i="28"/>
  <c r="N29" i="28" s="1"/>
  <c r="I29" i="28"/>
  <c r="J29" i="28" s="1"/>
  <c r="K29" i="28" s="1"/>
  <c r="L29" i="28" s="1"/>
  <c r="D29" i="28"/>
  <c r="I28" i="28"/>
  <c r="J28" i="28" s="1"/>
  <c r="K28" i="28" s="1"/>
  <c r="L28" i="28" s="1"/>
  <c r="M28" i="28" s="1"/>
  <c r="N28" i="28" s="1"/>
  <c r="D28" i="28"/>
  <c r="K27" i="28"/>
  <c r="L27" i="28" s="1"/>
  <c r="M27" i="28" s="1"/>
  <c r="N27" i="28" s="1"/>
  <c r="J27" i="28"/>
  <c r="I27" i="28"/>
  <c r="F27" i="28"/>
  <c r="G27" i="28" s="1"/>
  <c r="E27" i="28"/>
  <c r="D27" i="28"/>
  <c r="J26" i="28"/>
  <c r="K26" i="28" s="1"/>
  <c r="L26" i="28" s="1"/>
  <c r="M26" i="28" s="1"/>
  <c r="N26" i="28" s="1"/>
  <c r="I26" i="28"/>
  <c r="E26" i="28"/>
  <c r="D26" i="28"/>
  <c r="I25" i="28"/>
  <c r="J25" i="28" s="1"/>
  <c r="K25" i="28" s="1"/>
  <c r="L25" i="28" s="1"/>
  <c r="M25" i="28" s="1"/>
  <c r="N25" i="28" s="1"/>
  <c r="D25" i="28"/>
  <c r="I24" i="28"/>
  <c r="J24" i="28" s="1"/>
  <c r="K24" i="28" s="1"/>
  <c r="L24" i="28" s="1"/>
  <c r="M24" i="28" s="1"/>
  <c r="N24" i="28" s="1"/>
  <c r="D24" i="28"/>
  <c r="K23" i="28"/>
  <c r="L23" i="28" s="1"/>
  <c r="M23" i="28" s="1"/>
  <c r="N23" i="28" s="1"/>
  <c r="J23" i="28"/>
  <c r="I23" i="28"/>
  <c r="F23" i="28"/>
  <c r="G23" i="28" s="1"/>
  <c r="E23" i="28"/>
  <c r="D23" i="28"/>
  <c r="N22" i="28"/>
  <c r="J22" i="28"/>
  <c r="K22" i="28" s="1"/>
  <c r="L22" i="28" s="1"/>
  <c r="M22" i="28" s="1"/>
  <c r="I22" i="28"/>
  <c r="E22" i="28"/>
  <c r="D22" i="28"/>
  <c r="I21" i="28"/>
  <c r="J21" i="28" s="1"/>
  <c r="K21" i="28" s="1"/>
  <c r="L21" i="28" s="1"/>
  <c r="M21" i="28" s="1"/>
  <c r="N21" i="28" s="1"/>
  <c r="D21" i="28"/>
  <c r="L20" i="28"/>
  <c r="M20" i="28" s="1"/>
  <c r="N20" i="28" s="1"/>
  <c r="I20" i="28"/>
  <c r="J20" i="28" s="1"/>
  <c r="K20" i="28" s="1"/>
  <c r="D20" i="28"/>
  <c r="K19" i="28"/>
  <c r="L19" i="28" s="1"/>
  <c r="M19" i="28" s="1"/>
  <c r="N19" i="28" s="1"/>
  <c r="J19" i="28"/>
  <c r="I19" i="28"/>
  <c r="F19" i="28"/>
  <c r="G19" i="28" s="1"/>
  <c r="E19" i="28"/>
  <c r="D19" i="28"/>
  <c r="N18" i="28"/>
  <c r="J18" i="28"/>
  <c r="K18" i="28" s="1"/>
  <c r="L18" i="28" s="1"/>
  <c r="M18" i="28" s="1"/>
  <c r="I18" i="28"/>
  <c r="E18" i="28"/>
  <c r="D18" i="28"/>
  <c r="M17" i="28"/>
  <c r="N17" i="28" s="1"/>
  <c r="I17" i="28"/>
  <c r="J17" i="28" s="1"/>
  <c r="K17" i="28" s="1"/>
  <c r="L17" i="28" s="1"/>
  <c r="D17" i="28"/>
  <c r="L16" i="28"/>
  <c r="M16" i="28" s="1"/>
  <c r="N16" i="28" s="1"/>
  <c r="I16" i="28"/>
  <c r="J16" i="28" s="1"/>
  <c r="K16" i="28" s="1"/>
  <c r="D16" i="28"/>
  <c r="K15" i="28"/>
  <c r="L15" i="28" s="1"/>
  <c r="M15" i="28" s="1"/>
  <c r="N15" i="28" s="1"/>
  <c r="I15" i="28"/>
  <c r="J15" i="28" s="1"/>
  <c r="D15" i="28"/>
  <c r="E15" i="28" s="1"/>
  <c r="F15" i="28" s="1"/>
  <c r="G15" i="28" s="1"/>
  <c r="N14" i="28"/>
  <c r="J14" i="28"/>
  <c r="K14" i="28" s="1"/>
  <c r="L14" i="28" s="1"/>
  <c r="M14" i="28" s="1"/>
  <c r="I14" i="28"/>
  <c r="E14" i="28"/>
  <c r="D14" i="28"/>
  <c r="I13" i="28"/>
  <c r="J13" i="28" s="1"/>
  <c r="K13" i="28" s="1"/>
  <c r="L13" i="28" s="1"/>
  <c r="M13" i="28" s="1"/>
  <c r="N13" i="28" s="1"/>
  <c r="D13" i="28"/>
  <c r="L12" i="28"/>
  <c r="M12" i="28" s="1"/>
  <c r="N12" i="28" s="1"/>
  <c r="I12" i="28"/>
  <c r="J12" i="28" s="1"/>
  <c r="K12" i="28" s="1"/>
  <c r="D12" i="28"/>
  <c r="I11" i="28"/>
  <c r="J11" i="28" s="1"/>
  <c r="K11" i="28" s="1"/>
  <c r="L11" i="28" s="1"/>
  <c r="M11" i="28" s="1"/>
  <c r="N11" i="28" s="1"/>
  <c r="F11" i="28"/>
  <c r="G11" i="28" s="1"/>
  <c r="D11" i="28"/>
  <c r="E11" i="28" s="1"/>
  <c r="J10" i="28"/>
  <c r="I10" i="28"/>
  <c r="I37" i="28" s="1"/>
  <c r="I50" i="28" s="1"/>
  <c r="E10" i="28"/>
  <c r="D10" i="28"/>
  <c r="O9" i="28"/>
  <c r="A8" i="28"/>
  <c r="H95" i="27"/>
  <c r="C90" i="27"/>
  <c r="C89" i="27"/>
  <c r="G84" i="27"/>
  <c r="H83" i="27"/>
  <c r="H81" i="27"/>
  <c r="H80" i="27"/>
  <c r="H79" i="27"/>
  <c r="H77" i="27"/>
  <c r="H76" i="27"/>
  <c r="H75" i="27"/>
  <c r="H74" i="27"/>
  <c r="H73" i="27"/>
  <c r="H72" i="27"/>
  <c r="H69" i="27"/>
  <c r="G57" i="27"/>
  <c r="K50" i="27"/>
  <c r="G50" i="27"/>
  <c r="C50" i="27"/>
  <c r="N49" i="27"/>
  <c r="M49" i="27"/>
  <c r="L49" i="27"/>
  <c r="K49" i="27"/>
  <c r="J49" i="27"/>
  <c r="I49" i="27"/>
  <c r="H49" i="27"/>
  <c r="G49" i="27"/>
  <c r="F49" i="27"/>
  <c r="E49" i="27"/>
  <c r="D49" i="27"/>
  <c r="C49" i="27"/>
  <c r="O49" i="27" s="1"/>
  <c r="O48" i="27"/>
  <c r="O47" i="27"/>
  <c r="G70" i="27" s="1"/>
  <c r="H70" i="27" s="1"/>
  <c r="O46" i="27"/>
  <c r="O45" i="27"/>
  <c r="O44" i="27"/>
  <c r="O43" i="27"/>
  <c r="G69" i="27" s="1"/>
  <c r="O42" i="27"/>
  <c r="O72" i="27" s="1"/>
  <c r="O41" i="27"/>
  <c r="O40" i="27"/>
  <c r="G71" i="27" s="1"/>
  <c r="H71" i="27" s="1"/>
  <c r="O39" i="27"/>
  <c r="O38" i="27"/>
  <c r="G99" i="27" s="1"/>
  <c r="F20" i="1" s="1"/>
  <c r="P20" i="1" s="1"/>
  <c r="N37" i="27"/>
  <c r="N50" i="27" s="1"/>
  <c r="M37" i="27"/>
  <c r="L37" i="27"/>
  <c r="K37" i="27"/>
  <c r="J37" i="27"/>
  <c r="I37" i="27"/>
  <c r="I50" i="27" s="1"/>
  <c r="H37" i="27"/>
  <c r="G37" i="27"/>
  <c r="J87" i="27" s="1"/>
  <c r="L87" i="27" s="1"/>
  <c r="F37" i="27"/>
  <c r="F50" i="27" s="1"/>
  <c r="E37" i="27"/>
  <c r="E50" i="27" s="1"/>
  <c r="D37" i="27"/>
  <c r="C37" i="27"/>
  <c r="O36" i="27"/>
  <c r="O35" i="27"/>
  <c r="O34" i="27"/>
  <c r="O33" i="27"/>
  <c r="O32" i="27"/>
  <c r="O31" i="27"/>
  <c r="O30" i="27"/>
  <c r="O29" i="27"/>
  <c r="O28" i="27"/>
  <c r="O27" i="27"/>
  <c r="O26" i="27"/>
  <c r="O25" i="27"/>
  <c r="O24" i="27"/>
  <c r="O23" i="27"/>
  <c r="O22" i="27"/>
  <c r="O21" i="27"/>
  <c r="O20" i="27"/>
  <c r="O19" i="27"/>
  <c r="O18" i="27"/>
  <c r="O17" i="27"/>
  <c r="Q38" i="27" s="1"/>
  <c r="Q39" i="27" s="1"/>
  <c r="O16" i="27"/>
  <c r="O15" i="27"/>
  <c r="O14" i="27"/>
  <c r="O13" i="27"/>
  <c r="O12" i="27"/>
  <c r="O11" i="27"/>
  <c r="O10" i="27"/>
  <c r="O9" i="27"/>
  <c r="A8" i="27"/>
  <c r="H94" i="26"/>
  <c r="C89" i="26"/>
  <c r="J88" i="26"/>
  <c r="L88" i="26" s="1"/>
  <c r="C88" i="26"/>
  <c r="H82" i="26"/>
  <c r="H81" i="26"/>
  <c r="H79" i="26"/>
  <c r="H76" i="26"/>
  <c r="H75" i="26"/>
  <c r="H74" i="26"/>
  <c r="H73" i="26"/>
  <c r="H72" i="26"/>
  <c r="H71" i="26"/>
  <c r="H69" i="26"/>
  <c r="M50" i="26"/>
  <c r="I50" i="26"/>
  <c r="E50" i="26"/>
  <c r="N49" i="26"/>
  <c r="M49" i="26"/>
  <c r="L49" i="26"/>
  <c r="K49" i="26"/>
  <c r="J49" i="26"/>
  <c r="I49" i="26"/>
  <c r="H49" i="26"/>
  <c r="G49" i="26"/>
  <c r="F49" i="26"/>
  <c r="E49" i="26"/>
  <c r="D49" i="26"/>
  <c r="C49" i="26"/>
  <c r="O48" i="26"/>
  <c r="O47" i="26"/>
  <c r="O46" i="26"/>
  <c r="O45" i="26"/>
  <c r="O44" i="26"/>
  <c r="G56" i="26" s="1"/>
  <c r="O43" i="26"/>
  <c r="G68" i="26" s="1"/>
  <c r="O42" i="26"/>
  <c r="O72" i="26" s="1"/>
  <c r="G78" i="26" s="1"/>
  <c r="O41" i="26"/>
  <c r="O40" i="26"/>
  <c r="G70" i="26" s="1"/>
  <c r="H70" i="26" s="1"/>
  <c r="O39" i="26"/>
  <c r="O38" i="26"/>
  <c r="G98" i="26" s="1"/>
  <c r="F21" i="1" s="1"/>
  <c r="P21" i="1" s="1"/>
  <c r="N37" i="26"/>
  <c r="M37" i="26"/>
  <c r="L37" i="26"/>
  <c r="L50" i="26" s="1"/>
  <c r="K37" i="26"/>
  <c r="K50" i="26" s="1"/>
  <c r="J37" i="26"/>
  <c r="I37" i="26"/>
  <c r="H37" i="26"/>
  <c r="H50" i="26" s="1"/>
  <c r="G37" i="26"/>
  <c r="G50" i="26" s="1"/>
  <c r="F37" i="26"/>
  <c r="E37" i="26"/>
  <c r="D37" i="26"/>
  <c r="D50" i="26" s="1"/>
  <c r="C37" i="26"/>
  <c r="C50" i="26" s="1"/>
  <c r="O36" i="26"/>
  <c r="O35" i="26"/>
  <c r="O34" i="26"/>
  <c r="O33" i="26"/>
  <c r="O32" i="26"/>
  <c r="O31" i="26"/>
  <c r="O30" i="26"/>
  <c r="O29" i="26"/>
  <c r="O28" i="26"/>
  <c r="O27" i="26"/>
  <c r="O26" i="26"/>
  <c r="O25" i="26"/>
  <c r="O24" i="26"/>
  <c r="O23" i="26"/>
  <c r="O22" i="26"/>
  <c r="O21" i="26"/>
  <c r="O20" i="26"/>
  <c r="O19" i="26"/>
  <c r="O18" i="26"/>
  <c r="G57" i="26" s="1"/>
  <c r="O17" i="26"/>
  <c r="O16" i="26"/>
  <c r="O15" i="26"/>
  <c r="O14" i="26"/>
  <c r="O13" i="26"/>
  <c r="O12" i="26"/>
  <c r="O11" i="26"/>
  <c r="O10" i="26"/>
  <c r="O9" i="26"/>
  <c r="A8" i="26"/>
  <c r="H95" i="25"/>
  <c r="C90" i="25"/>
  <c r="C89" i="25"/>
  <c r="H83" i="25"/>
  <c r="H80" i="25"/>
  <c r="H77" i="25"/>
  <c r="H76" i="25"/>
  <c r="H75" i="25"/>
  <c r="H74" i="25"/>
  <c r="H73" i="25"/>
  <c r="H72" i="25"/>
  <c r="G71" i="25"/>
  <c r="H71" i="25" s="1"/>
  <c r="H70" i="25"/>
  <c r="G56" i="25"/>
  <c r="Q50" i="25"/>
  <c r="K50" i="25"/>
  <c r="J50" i="25"/>
  <c r="G50" i="25"/>
  <c r="F50" i="25"/>
  <c r="C50" i="25"/>
  <c r="N49" i="25"/>
  <c r="N50" i="25" s="1"/>
  <c r="M49" i="25"/>
  <c r="L49" i="25"/>
  <c r="K49" i="25"/>
  <c r="J49" i="25"/>
  <c r="I49" i="25"/>
  <c r="H49" i="25"/>
  <c r="G49" i="25"/>
  <c r="F49" i="25"/>
  <c r="E49" i="25"/>
  <c r="D49" i="25"/>
  <c r="C49" i="25"/>
  <c r="O48" i="25"/>
  <c r="O47" i="25"/>
  <c r="O46" i="25"/>
  <c r="O45" i="25"/>
  <c r="O44" i="25"/>
  <c r="O43" i="25"/>
  <c r="G69" i="25" s="1"/>
  <c r="O42" i="25"/>
  <c r="G79" i="25" s="1"/>
  <c r="O41" i="25"/>
  <c r="O40" i="25"/>
  <c r="O39" i="25"/>
  <c r="O38" i="25"/>
  <c r="G99" i="25" s="1"/>
  <c r="F22" i="1" s="1"/>
  <c r="P22" i="1" s="1"/>
  <c r="N37" i="25"/>
  <c r="M37" i="25"/>
  <c r="M50" i="25" s="1"/>
  <c r="L37" i="25"/>
  <c r="L50" i="25" s="1"/>
  <c r="K37" i="25"/>
  <c r="J37" i="25"/>
  <c r="J51" i="25" s="1"/>
  <c r="J52" i="25" s="1"/>
  <c r="I37" i="25"/>
  <c r="I50" i="25" s="1"/>
  <c r="H37" i="25"/>
  <c r="H50" i="25" s="1"/>
  <c r="G37" i="25"/>
  <c r="J87" i="25" s="1"/>
  <c r="L87" i="25" s="1"/>
  <c r="F37" i="25"/>
  <c r="E37" i="25"/>
  <c r="E50" i="25" s="1"/>
  <c r="D37" i="25"/>
  <c r="D50" i="25" s="1"/>
  <c r="C37" i="25"/>
  <c r="O37" i="25" s="1"/>
  <c r="G53" i="25" s="1"/>
  <c r="G60" i="25" s="1"/>
  <c r="G65" i="25" s="1"/>
  <c r="O36" i="25"/>
  <c r="O35" i="25"/>
  <c r="O34" i="25"/>
  <c r="O33" i="25"/>
  <c r="O32" i="25"/>
  <c r="O31" i="25"/>
  <c r="O30" i="25"/>
  <c r="O29" i="25"/>
  <c r="O28" i="25"/>
  <c r="O27" i="25"/>
  <c r="O26" i="25"/>
  <c r="O25" i="25"/>
  <c r="O24" i="25"/>
  <c r="O23" i="25"/>
  <c r="O22" i="25"/>
  <c r="O21" i="25"/>
  <c r="O20" i="25"/>
  <c r="O19" i="25"/>
  <c r="O18" i="25"/>
  <c r="G58" i="25" s="1"/>
  <c r="O17" i="25"/>
  <c r="O16" i="25"/>
  <c r="O15" i="25"/>
  <c r="O14" i="25"/>
  <c r="O13" i="25"/>
  <c r="O12" i="25"/>
  <c r="O11" i="25"/>
  <c r="O10" i="25"/>
  <c r="O9" i="25"/>
  <c r="A8" i="25"/>
  <c r="H94" i="24"/>
  <c r="C89" i="24"/>
  <c r="C88" i="24"/>
  <c r="G83" i="24"/>
  <c r="H82" i="24"/>
  <c r="H79" i="24"/>
  <c r="H78" i="24"/>
  <c r="H76" i="24"/>
  <c r="H75" i="24"/>
  <c r="H74" i="24"/>
  <c r="H73" i="24"/>
  <c r="H72" i="24"/>
  <c r="H71" i="24"/>
  <c r="H69" i="24"/>
  <c r="G69" i="24"/>
  <c r="Q50" i="24"/>
  <c r="N49" i="24"/>
  <c r="M49" i="24"/>
  <c r="L49" i="24"/>
  <c r="K49" i="24"/>
  <c r="J49" i="24"/>
  <c r="I49" i="24"/>
  <c r="H49" i="24"/>
  <c r="G49" i="24"/>
  <c r="F49" i="24"/>
  <c r="E49" i="24"/>
  <c r="D49" i="24"/>
  <c r="C49" i="24"/>
  <c r="O48" i="24"/>
  <c r="O47" i="24"/>
  <c r="O46" i="24"/>
  <c r="O45" i="24"/>
  <c r="O44" i="24"/>
  <c r="G56" i="24" s="1"/>
  <c r="O43" i="24"/>
  <c r="G68" i="24" s="1"/>
  <c r="O42" i="24"/>
  <c r="O41" i="24"/>
  <c r="O40" i="24"/>
  <c r="G70" i="24" s="1"/>
  <c r="H70" i="24" s="1"/>
  <c r="O39" i="24"/>
  <c r="O38" i="24"/>
  <c r="G98" i="24" s="1"/>
  <c r="F23" i="1" s="1"/>
  <c r="P23" i="1" s="1"/>
  <c r="H37" i="24"/>
  <c r="H50" i="24" s="1"/>
  <c r="C37" i="24"/>
  <c r="O36" i="24"/>
  <c r="O35" i="24"/>
  <c r="O34" i="24"/>
  <c r="O33" i="24"/>
  <c r="O32" i="24"/>
  <c r="O31" i="24"/>
  <c r="O30" i="24"/>
  <c r="O29" i="24"/>
  <c r="O28" i="24"/>
  <c r="O27" i="24"/>
  <c r="O26" i="24"/>
  <c r="O25" i="24"/>
  <c r="O24" i="24"/>
  <c r="O23" i="24"/>
  <c r="O22" i="24"/>
  <c r="O21" i="24"/>
  <c r="O20" i="24"/>
  <c r="O19" i="24"/>
  <c r="O18" i="24"/>
  <c r="O17" i="24"/>
  <c r="O16" i="24"/>
  <c r="O15" i="24"/>
  <c r="O14" i="24"/>
  <c r="O13" i="24"/>
  <c r="O12" i="24"/>
  <c r="O11" i="24"/>
  <c r="O10" i="24"/>
  <c r="K9" i="24"/>
  <c r="L9" i="24" s="1"/>
  <c r="J9" i="24"/>
  <c r="J37" i="24" s="1"/>
  <c r="I9" i="24"/>
  <c r="I37" i="24" s="1"/>
  <c r="I50" i="24" s="1"/>
  <c r="F9" i="24"/>
  <c r="F37" i="24" s="1"/>
  <c r="F50" i="24" s="1"/>
  <c r="E9" i="24"/>
  <c r="E37" i="24" s="1"/>
  <c r="E50" i="24" s="1"/>
  <c r="D9" i="24"/>
  <c r="D37" i="24" s="1"/>
  <c r="D50" i="24" s="1"/>
  <c r="A8" i="24"/>
  <c r="H95" i="23"/>
  <c r="F90" i="23"/>
  <c r="H90" i="23" s="1"/>
  <c r="C90" i="23"/>
  <c r="C89" i="23"/>
  <c r="H83" i="23"/>
  <c r="H80" i="23"/>
  <c r="H77" i="23"/>
  <c r="H76" i="23"/>
  <c r="H75" i="23"/>
  <c r="H74" i="23"/>
  <c r="O73" i="23"/>
  <c r="H73" i="23"/>
  <c r="H72" i="23"/>
  <c r="G71" i="23"/>
  <c r="H71" i="23" s="1"/>
  <c r="G57" i="23"/>
  <c r="C51" i="23"/>
  <c r="N50" i="23"/>
  <c r="M50" i="23"/>
  <c r="L50" i="23"/>
  <c r="K50" i="23"/>
  <c r="J50" i="23"/>
  <c r="I50" i="23"/>
  <c r="H50" i="23"/>
  <c r="G50" i="23"/>
  <c r="F50" i="23"/>
  <c r="E50" i="23"/>
  <c r="D50" i="23"/>
  <c r="C50" i="23"/>
  <c r="O50" i="23" s="1"/>
  <c r="O49" i="23"/>
  <c r="O48" i="23"/>
  <c r="G70" i="23" s="1"/>
  <c r="H70" i="23" s="1"/>
  <c r="O47" i="23"/>
  <c r="O46" i="23"/>
  <c r="O45" i="23"/>
  <c r="O44" i="23"/>
  <c r="O43" i="23"/>
  <c r="G69" i="23" s="1"/>
  <c r="O42" i="23"/>
  <c r="G79" i="23" s="1"/>
  <c r="O41" i="23"/>
  <c r="O40" i="23"/>
  <c r="O39" i="23"/>
  <c r="O38" i="23"/>
  <c r="G99" i="23" s="1"/>
  <c r="F24" i="1" s="1"/>
  <c r="P24" i="1" s="1"/>
  <c r="C37" i="23"/>
  <c r="N36" i="23"/>
  <c r="M36" i="23"/>
  <c r="L36" i="23"/>
  <c r="I36" i="23"/>
  <c r="G36" i="23"/>
  <c r="F36" i="23"/>
  <c r="O36" i="23" s="1"/>
  <c r="M35" i="23"/>
  <c r="N35" i="23" s="1"/>
  <c r="L35" i="23"/>
  <c r="I35" i="23"/>
  <c r="F35" i="23"/>
  <c r="L34" i="23"/>
  <c r="M34" i="23" s="1"/>
  <c r="N34" i="23" s="1"/>
  <c r="K34" i="23"/>
  <c r="J34" i="23"/>
  <c r="I34" i="23"/>
  <c r="G34" i="23"/>
  <c r="F34" i="23"/>
  <c r="E34" i="23"/>
  <c r="D34" i="23"/>
  <c r="K33" i="23"/>
  <c r="L33" i="23" s="1"/>
  <c r="M33" i="23" s="1"/>
  <c r="N33" i="23" s="1"/>
  <c r="J33" i="23"/>
  <c r="I33" i="23"/>
  <c r="F33" i="23"/>
  <c r="G33" i="23" s="1"/>
  <c r="E33" i="23"/>
  <c r="D33" i="23"/>
  <c r="J32" i="23"/>
  <c r="K32" i="23" s="1"/>
  <c r="L32" i="23" s="1"/>
  <c r="M32" i="23" s="1"/>
  <c r="N32" i="23" s="1"/>
  <c r="I32" i="23"/>
  <c r="E32" i="23"/>
  <c r="F32" i="23" s="1"/>
  <c r="G32" i="23" s="1"/>
  <c r="D32" i="23"/>
  <c r="I31" i="23"/>
  <c r="J31" i="23" s="1"/>
  <c r="K31" i="23" s="1"/>
  <c r="L31" i="23" s="1"/>
  <c r="M31" i="23" s="1"/>
  <c r="N31" i="23" s="1"/>
  <c r="D31" i="23"/>
  <c r="L30" i="23"/>
  <c r="M30" i="23" s="1"/>
  <c r="N30" i="23" s="1"/>
  <c r="K30" i="23"/>
  <c r="J30" i="23"/>
  <c r="I30" i="23"/>
  <c r="G30" i="23"/>
  <c r="F30" i="23"/>
  <c r="E30" i="23"/>
  <c r="D30" i="23"/>
  <c r="K29" i="23"/>
  <c r="L29" i="23" s="1"/>
  <c r="M29" i="23" s="1"/>
  <c r="N29" i="23" s="1"/>
  <c r="J29" i="23"/>
  <c r="I29" i="23"/>
  <c r="F29" i="23"/>
  <c r="G29" i="23" s="1"/>
  <c r="E29" i="23"/>
  <c r="D29" i="23"/>
  <c r="J28" i="23"/>
  <c r="K28" i="23" s="1"/>
  <c r="L28" i="23" s="1"/>
  <c r="M28" i="23" s="1"/>
  <c r="N28" i="23" s="1"/>
  <c r="I28" i="23"/>
  <c r="E28" i="23"/>
  <c r="F28" i="23" s="1"/>
  <c r="G28" i="23" s="1"/>
  <c r="D28" i="23"/>
  <c r="I27" i="23"/>
  <c r="J27" i="23" s="1"/>
  <c r="K27" i="23" s="1"/>
  <c r="L27" i="23" s="1"/>
  <c r="M27" i="23" s="1"/>
  <c r="N27" i="23" s="1"/>
  <c r="D27" i="23"/>
  <c r="L26" i="23"/>
  <c r="M26" i="23" s="1"/>
  <c r="N26" i="23" s="1"/>
  <c r="K26" i="23"/>
  <c r="J26" i="23"/>
  <c r="I26" i="23"/>
  <c r="G26" i="23"/>
  <c r="F26" i="23"/>
  <c r="E26" i="23"/>
  <c r="D26" i="23"/>
  <c r="K25" i="23"/>
  <c r="L25" i="23" s="1"/>
  <c r="M25" i="23" s="1"/>
  <c r="N25" i="23" s="1"/>
  <c r="J25" i="23"/>
  <c r="I25" i="23"/>
  <c r="F25" i="23"/>
  <c r="G25" i="23" s="1"/>
  <c r="E25" i="23"/>
  <c r="D25" i="23"/>
  <c r="J24" i="23"/>
  <c r="K24" i="23" s="1"/>
  <c r="L24" i="23" s="1"/>
  <c r="M24" i="23" s="1"/>
  <c r="N24" i="23" s="1"/>
  <c r="I24" i="23"/>
  <c r="E24" i="23"/>
  <c r="F24" i="23" s="1"/>
  <c r="G24" i="23" s="1"/>
  <c r="D24" i="23"/>
  <c r="I23" i="23"/>
  <c r="J23" i="23" s="1"/>
  <c r="K23" i="23" s="1"/>
  <c r="L23" i="23" s="1"/>
  <c r="M23" i="23" s="1"/>
  <c r="N23" i="23" s="1"/>
  <c r="D23" i="23"/>
  <c r="L22" i="23"/>
  <c r="M22" i="23" s="1"/>
  <c r="N22" i="23" s="1"/>
  <c r="I22" i="23"/>
  <c r="E22" i="23"/>
  <c r="F22" i="23" s="1"/>
  <c r="G22" i="23" s="1"/>
  <c r="D22" i="23"/>
  <c r="O22" i="23" s="1"/>
  <c r="I21" i="23"/>
  <c r="J21" i="23" s="1"/>
  <c r="K21" i="23" s="1"/>
  <c r="L21" i="23" s="1"/>
  <c r="M21" i="23" s="1"/>
  <c r="N21" i="23" s="1"/>
  <c r="D21" i="23"/>
  <c r="L20" i="23"/>
  <c r="M20" i="23" s="1"/>
  <c r="N20" i="23" s="1"/>
  <c r="K20" i="23"/>
  <c r="J20" i="23"/>
  <c r="I20" i="23"/>
  <c r="G20" i="23"/>
  <c r="F20" i="23"/>
  <c r="O20" i="23" s="1"/>
  <c r="E20" i="23"/>
  <c r="D20" i="23"/>
  <c r="O19" i="23"/>
  <c r="F19" i="23"/>
  <c r="E19" i="23"/>
  <c r="D19" i="23"/>
  <c r="K18" i="23"/>
  <c r="L18" i="23" s="1"/>
  <c r="M18" i="23" s="1"/>
  <c r="N18" i="23" s="1"/>
  <c r="J18" i="23"/>
  <c r="I18" i="23"/>
  <c r="F18" i="23"/>
  <c r="G18" i="23" s="1"/>
  <c r="E18" i="23"/>
  <c r="D18" i="23"/>
  <c r="J17" i="23"/>
  <c r="K17" i="23" s="1"/>
  <c r="L17" i="23" s="1"/>
  <c r="M17" i="23" s="1"/>
  <c r="N17" i="23" s="1"/>
  <c r="I17" i="23"/>
  <c r="E17" i="23"/>
  <c r="F17" i="23" s="1"/>
  <c r="G17" i="23" s="1"/>
  <c r="D17" i="23"/>
  <c r="I16" i="23"/>
  <c r="J16" i="23" s="1"/>
  <c r="K16" i="23" s="1"/>
  <c r="L16" i="23" s="1"/>
  <c r="M16" i="23" s="1"/>
  <c r="N16" i="23" s="1"/>
  <c r="D16" i="23"/>
  <c r="L15" i="23"/>
  <c r="M15" i="23" s="1"/>
  <c r="N15" i="23" s="1"/>
  <c r="K15" i="23"/>
  <c r="J15" i="23"/>
  <c r="I15" i="23"/>
  <c r="G15" i="23"/>
  <c r="F15" i="23"/>
  <c r="O15" i="23" s="1"/>
  <c r="E15" i="23"/>
  <c r="D15" i="23"/>
  <c r="K14" i="23"/>
  <c r="L14" i="23" s="1"/>
  <c r="M14" i="23" s="1"/>
  <c r="N14" i="23" s="1"/>
  <c r="F14" i="23"/>
  <c r="E14" i="23"/>
  <c r="I13" i="23"/>
  <c r="D13" i="23"/>
  <c r="L12" i="23"/>
  <c r="M12" i="23" s="1"/>
  <c r="N12" i="23" s="1"/>
  <c r="K12" i="23"/>
  <c r="J12" i="23"/>
  <c r="I12" i="23"/>
  <c r="G12" i="23"/>
  <c r="F12" i="23"/>
  <c r="E12" i="23"/>
  <c r="D12" i="23"/>
  <c r="O11" i="23"/>
  <c r="K11" i="23"/>
  <c r="L11" i="23" s="1"/>
  <c r="M11" i="23" s="1"/>
  <c r="N11" i="23" s="1"/>
  <c r="F11" i="23"/>
  <c r="E11" i="23"/>
  <c r="J10" i="23"/>
  <c r="I10" i="23"/>
  <c r="E10" i="23"/>
  <c r="D10" i="23"/>
  <c r="O9" i="23"/>
  <c r="A8" i="23"/>
  <c r="H95" i="22"/>
  <c r="C90" i="22"/>
  <c r="C89" i="22"/>
  <c r="G84" i="22"/>
  <c r="H83" i="22"/>
  <c r="H80" i="22"/>
  <c r="H79" i="22"/>
  <c r="H77" i="22"/>
  <c r="H76" i="22"/>
  <c r="H75" i="22"/>
  <c r="H74" i="22"/>
  <c r="O73" i="22"/>
  <c r="H73" i="22"/>
  <c r="H72" i="22"/>
  <c r="G71" i="22"/>
  <c r="H71" i="22" s="1"/>
  <c r="G69" i="22"/>
  <c r="G56" i="22"/>
  <c r="K50" i="22"/>
  <c r="J50" i="22"/>
  <c r="G50" i="22"/>
  <c r="F50" i="22"/>
  <c r="C50" i="22"/>
  <c r="N49" i="22"/>
  <c r="N50" i="22" s="1"/>
  <c r="M49" i="22"/>
  <c r="L49" i="22"/>
  <c r="K49" i="22"/>
  <c r="J49" i="22"/>
  <c r="I49" i="22"/>
  <c r="H49" i="22"/>
  <c r="G49" i="22"/>
  <c r="F49" i="22"/>
  <c r="E49" i="22"/>
  <c r="D49" i="22"/>
  <c r="C49" i="22"/>
  <c r="O48" i="22"/>
  <c r="O47" i="22"/>
  <c r="G70" i="22" s="1"/>
  <c r="H70" i="22" s="1"/>
  <c r="O46" i="22"/>
  <c r="O45" i="22"/>
  <c r="O44" i="22"/>
  <c r="O43" i="22"/>
  <c r="O42" i="22"/>
  <c r="O41" i="22"/>
  <c r="O40" i="22"/>
  <c r="O39" i="22"/>
  <c r="O38" i="22"/>
  <c r="G99" i="22" s="1"/>
  <c r="F25" i="1" s="1"/>
  <c r="P25" i="1" s="1"/>
  <c r="N37" i="22"/>
  <c r="M37" i="22"/>
  <c r="M50" i="22" s="1"/>
  <c r="L37" i="22"/>
  <c r="K37" i="22"/>
  <c r="J88" i="22" s="1"/>
  <c r="L88" i="22" s="1"/>
  <c r="J37" i="22"/>
  <c r="J51" i="22" s="1"/>
  <c r="J52" i="22" s="1"/>
  <c r="I37" i="22"/>
  <c r="I50" i="22" s="1"/>
  <c r="H37" i="22"/>
  <c r="G37" i="22"/>
  <c r="J87" i="22" s="1"/>
  <c r="F37" i="22"/>
  <c r="E37" i="22"/>
  <c r="E50" i="22" s="1"/>
  <c r="D37" i="22"/>
  <c r="C37" i="22"/>
  <c r="O37" i="22" s="1"/>
  <c r="G53" i="22" s="1"/>
  <c r="G60" i="22" s="1"/>
  <c r="G65" i="22" s="1"/>
  <c r="G95" i="22" s="1"/>
  <c r="O36" i="22"/>
  <c r="O35" i="22"/>
  <c r="O34" i="22"/>
  <c r="O33" i="22"/>
  <c r="O32" i="22"/>
  <c r="O31" i="22"/>
  <c r="O30" i="22"/>
  <c r="O29" i="22"/>
  <c r="O28" i="22"/>
  <c r="O27" i="22"/>
  <c r="O26" i="22"/>
  <c r="O25" i="22"/>
  <c r="O24" i="22"/>
  <c r="O23" i="22"/>
  <c r="O22" i="22"/>
  <c r="O21" i="22"/>
  <c r="O20" i="22"/>
  <c r="O19" i="22"/>
  <c r="O18" i="22"/>
  <c r="G58" i="22" s="1"/>
  <c r="O17" i="22"/>
  <c r="O16" i="22"/>
  <c r="O15" i="22"/>
  <c r="O14" i="22"/>
  <c r="O13" i="22"/>
  <c r="O12" i="22"/>
  <c r="O11" i="22"/>
  <c r="O10" i="22"/>
  <c r="O9" i="22"/>
  <c r="A8" i="22"/>
  <c r="H95" i="21"/>
  <c r="C90" i="21"/>
  <c r="C89" i="21"/>
  <c r="G84" i="21"/>
  <c r="H83" i="21"/>
  <c r="H82" i="21"/>
  <c r="H80" i="21"/>
  <c r="H79" i="21"/>
  <c r="O78" i="21"/>
  <c r="H77" i="21"/>
  <c r="H76" i="21"/>
  <c r="H75" i="21"/>
  <c r="H74" i="21"/>
  <c r="H73" i="21"/>
  <c r="H72" i="21"/>
  <c r="H70" i="21"/>
  <c r="G57" i="21"/>
  <c r="C51" i="21"/>
  <c r="N50" i="21"/>
  <c r="M50" i="21"/>
  <c r="L50" i="21"/>
  <c r="K50" i="21"/>
  <c r="J50" i="21"/>
  <c r="I50" i="21"/>
  <c r="H50" i="21"/>
  <c r="G50" i="21"/>
  <c r="F50" i="21"/>
  <c r="E50" i="21"/>
  <c r="D50" i="21"/>
  <c r="C50" i="21"/>
  <c r="O49" i="21"/>
  <c r="O48" i="21"/>
  <c r="O47" i="21"/>
  <c r="O46" i="21"/>
  <c r="O45" i="21"/>
  <c r="O44" i="21"/>
  <c r="G69" i="21" s="1"/>
  <c r="H69" i="21" s="1"/>
  <c r="O43" i="21"/>
  <c r="O42" i="21"/>
  <c r="O41" i="21"/>
  <c r="G71" i="21" s="1"/>
  <c r="H71" i="21" s="1"/>
  <c r="O40" i="21"/>
  <c r="O39" i="21"/>
  <c r="G99" i="21" s="1"/>
  <c r="F26" i="1" s="1"/>
  <c r="P26" i="1" s="1"/>
  <c r="C38" i="21"/>
  <c r="L37" i="21"/>
  <c r="M37" i="21" s="1"/>
  <c r="I37" i="21"/>
  <c r="F37" i="21"/>
  <c r="M36" i="21"/>
  <c r="L36" i="21"/>
  <c r="I36" i="21"/>
  <c r="G36" i="21"/>
  <c r="O36" i="21" s="1"/>
  <c r="F36" i="21"/>
  <c r="M35" i="21"/>
  <c r="L35" i="21"/>
  <c r="I35" i="21"/>
  <c r="J35" i="21" s="1"/>
  <c r="K35" i="21" s="1"/>
  <c r="D35" i="21"/>
  <c r="J34" i="21"/>
  <c r="K34" i="21" s="1"/>
  <c r="L34" i="21" s="1"/>
  <c r="M34" i="21" s="1"/>
  <c r="I34" i="21"/>
  <c r="F34" i="21"/>
  <c r="G34" i="21" s="1"/>
  <c r="E34" i="21"/>
  <c r="D34" i="21"/>
  <c r="M33" i="21"/>
  <c r="L33" i="21"/>
  <c r="I33" i="21"/>
  <c r="J33" i="21" s="1"/>
  <c r="K33" i="21" s="1"/>
  <c r="D33" i="21"/>
  <c r="J32" i="21"/>
  <c r="K32" i="21" s="1"/>
  <c r="L32" i="21" s="1"/>
  <c r="M32" i="21" s="1"/>
  <c r="I32" i="21"/>
  <c r="F32" i="21"/>
  <c r="G32" i="21" s="1"/>
  <c r="E32" i="21"/>
  <c r="D32" i="21"/>
  <c r="M31" i="21"/>
  <c r="L31" i="21"/>
  <c r="I31" i="21"/>
  <c r="J31" i="21" s="1"/>
  <c r="K31" i="21" s="1"/>
  <c r="D31" i="21"/>
  <c r="J30" i="21"/>
  <c r="K30" i="21" s="1"/>
  <c r="L30" i="21" s="1"/>
  <c r="M30" i="21" s="1"/>
  <c r="I30" i="21"/>
  <c r="F30" i="21"/>
  <c r="G30" i="21" s="1"/>
  <c r="E30" i="21"/>
  <c r="D30" i="21"/>
  <c r="M29" i="21"/>
  <c r="L29" i="21"/>
  <c r="I29" i="21"/>
  <c r="J29" i="21" s="1"/>
  <c r="K29" i="21" s="1"/>
  <c r="D29" i="21"/>
  <c r="J28" i="21"/>
  <c r="K28" i="21" s="1"/>
  <c r="L28" i="21" s="1"/>
  <c r="M28" i="21" s="1"/>
  <c r="I28" i="21"/>
  <c r="F28" i="21"/>
  <c r="G28" i="21" s="1"/>
  <c r="E28" i="21"/>
  <c r="D28" i="21"/>
  <c r="M27" i="21"/>
  <c r="L27" i="21"/>
  <c r="I27" i="21"/>
  <c r="J27" i="21" s="1"/>
  <c r="K27" i="21" s="1"/>
  <c r="D27" i="21"/>
  <c r="J26" i="21"/>
  <c r="K26" i="21" s="1"/>
  <c r="L26" i="21" s="1"/>
  <c r="M26" i="21" s="1"/>
  <c r="I26" i="21"/>
  <c r="F26" i="21"/>
  <c r="G26" i="21" s="1"/>
  <c r="E26" i="21"/>
  <c r="D26" i="21"/>
  <c r="M25" i="21"/>
  <c r="L25" i="21"/>
  <c r="I25" i="21"/>
  <c r="J25" i="21" s="1"/>
  <c r="K25" i="21" s="1"/>
  <c r="D25" i="21"/>
  <c r="J24" i="21"/>
  <c r="K24" i="21" s="1"/>
  <c r="L24" i="21" s="1"/>
  <c r="M24" i="21" s="1"/>
  <c r="I24" i="21"/>
  <c r="F24" i="21"/>
  <c r="G24" i="21" s="1"/>
  <c r="E24" i="21"/>
  <c r="D24" i="21"/>
  <c r="M23" i="21"/>
  <c r="L23" i="21"/>
  <c r="I23" i="21"/>
  <c r="J23" i="21" s="1"/>
  <c r="K23" i="21" s="1"/>
  <c r="D23" i="21"/>
  <c r="L22" i="21"/>
  <c r="M22" i="21" s="1"/>
  <c r="I22" i="21"/>
  <c r="G22" i="21"/>
  <c r="D22" i="21"/>
  <c r="E22" i="21" s="1"/>
  <c r="F22" i="21" s="1"/>
  <c r="J21" i="21"/>
  <c r="K21" i="21" s="1"/>
  <c r="L21" i="21" s="1"/>
  <c r="M21" i="21" s="1"/>
  <c r="I21" i="21"/>
  <c r="E21" i="21"/>
  <c r="D21" i="21"/>
  <c r="I20" i="21"/>
  <c r="J20" i="21" s="1"/>
  <c r="K20" i="21" s="1"/>
  <c r="L20" i="21" s="1"/>
  <c r="M20" i="21" s="1"/>
  <c r="D20" i="21"/>
  <c r="D19" i="21"/>
  <c r="E19" i="21" s="1"/>
  <c r="F19" i="21" s="1"/>
  <c r="K18" i="21"/>
  <c r="L18" i="21" s="1"/>
  <c r="M18" i="21" s="1"/>
  <c r="J18" i="21"/>
  <c r="I18" i="21"/>
  <c r="F18" i="21"/>
  <c r="G18" i="21" s="1"/>
  <c r="E18" i="21"/>
  <c r="D18" i="21"/>
  <c r="L17" i="21"/>
  <c r="M17" i="21" s="1"/>
  <c r="I17" i="21"/>
  <c r="J17" i="21" s="1"/>
  <c r="K17" i="21" s="1"/>
  <c r="D17" i="21"/>
  <c r="K16" i="21"/>
  <c r="L16" i="21" s="1"/>
  <c r="M16" i="21" s="1"/>
  <c r="J16" i="21"/>
  <c r="I16" i="21"/>
  <c r="F16" i="21"/>
  <c r="G16" i="21" s="1"/>
  <c r="E16" i="21"/>
  <c r="D16" i="21"/>
  <c r="L15" i="21"/>
  <c r="M15" i="21" s="1"/>
  <c r="I15" i="21"/>
  <c r="J15" i="21" s="1"/>
  <c r="K15" i="21" s="1"/>
  <c r="D15" i="21"/>
  <c r="L14" i="21"/>
  <c r="M14" i="21" s="1"/>
  <c r="N14" i="21" s="1"/>
  <c r="K14" i="21"/>
  <c r="F14" i="21"/>
  <c r="G14" i="21" s="1"/>
  <c r="H14" i="21" s="1"/>
  <c r="E14" i="21"/>
  <c r="I13" i="21"/>
  <c r="D13" i="21"/>
  <c r="K12" i="21"/>
  <c r="L12" i="21" s="1"/>
  <c r="M12" i="21" s="1"/>
  <c r="J12" i="21"/>
  <c r="I12" i="21"/>
  <c r="E12" i="21"/>
  <c r="D12" i="21"/>
  <c r="K11" i="21"/>
  <c r="L11" i="21" s="1"/>
  <c r="M11" i="21" s="1"/>
  <c r="N11" i="21" s="1"/>
  <c r="N38" i="21" s="1"/>
  <c r="F11" i="21"/>
  <c r="E11" i="21"/>
  <c r="K10" i="21"/>
  <c r="I10" i="21"/>
  <c r="J10" i="21" s="1"/>
  <c r="D10" i="21"/>
  <c r="D9" i="21"/>
  <c r="E9" i="21" s="1"/>
  <c r="A8" i="21"/>
  <c r="H94" i="20"/>
  <c r="C89" i="20"/>
  <c r="C88" i="20"/>
  <c r="G83" i="20"/>
  <c r="H82" i="20"/>
  <c r="H79" i="20"/>
  <c r="H78" i="20"/>
  <c r="H76" i="20"/>
  <c r="H75" i="20"/>
  <c r="H74" i="20"/>
  <c r="H73" i="20"/>
  <c r="H72" i="20"/>
  <c r="H71" i="20"/>
  <c r="H70" i="20"/>
  <c r="G68" i="20"/>
  <c r="G56" i="20"/>
  <c r="Q52" i="20"/>
  <c r="K51" i="20"/>
  <c r="J51" i="20"/>
  <c r="I51" i="20"/>
  <c r="H51" i="20"/>
  <c r="G51" i="20"/>
  <c r="E51" i="20"/>
  <c r="N49" i="20"/>
  <c r="M49" i="20"/>
  <c r="L49" i="20"/>
  <c r="K49" i="20"/>
  <c r="J49" i="20"/>
  <c r="I49" i="20"/>
  <c r="H49" i="20"/>
  <c r="G49" i="20"/>
  <c r="F49" i="20"/>
  <c r="E49" i="20"/>
  <c r="D49" i="20"/>
  <c r="C49" i="20"/>
  <c r="O48" i="20"/>
  <c r="O47" i="20"/>
  <c r="G69" i="20" s="1"/>
  <c r="H69" i="20" s="1"/>
  <c r="O46" i="20"/>
  <c r="O45" i="20"/>
  <c r="O44" i="20"/>
  <c r="O43" i="20"/>
  <c r="O42" i="20"/>
  <c r="O41" i="20"/>
  <c r="O40" i="20"/>
  <c r="G70" i="20" s="1"/>
  <c r="Q39" i="20"/>
  <c r="O39" i="20"/>
  <c r="O38" i="20"/>
  <c r="G98" i="20" s="1"/>
  <c r="F28" i="1" s="1"/>
  <c r="P28" i="1" s="1"/>
  <c r="C37" i="20"/>
  <c r="C50" i="20" s="1"/>
  <c r="L36" i="20"/>
  <c r="M36" i="20" s="1"/>
  <c r="N36" i="20" s="1"/>
  <c r="I36" i="20"/>
  <c r="G36" i="20"/>
  <c r="M35" i="20"/>
  <c r="N35" i="20" s="1"/>
  <c r="L35" i="20"/>
  <c r="I35" i="20"/>
  <c r="F35" i="20"/>
  <c r="I34" i="20"/>
  <c r="J34" i="20" s="1"/>
  <c r="K34" i="20" s="1"/>
  <c r="L34" i="20" s="1"/>
  <c r="M34" i="20" s="1"/>
  <c r="N34" i="20" s="1"/>
  <c r="D34" i="20"/>
  <c r="K33" i="20"/>
  <c r="L33" i="20" s="1"/>
  <c r="M33" i="20" s="1"/>
  <c r="N33" i="20" s="1"/>
  <c r="J33" i="20"/>
  <c r="I33" i="20"/>
  <c r="F33" i="20"/>
  <c r="G33" i="20" s="1"/>
  <c r="E33" i="20"/>
  <c r="D33" i="20"/>
  <c r="N32" i="20"/>
  <c r="J32" i="20"/>
  <c r="K32" i="20" s="1"/>
  <c r="L32" i="20" s="1"/>
  <c r="M32" i="20" s="1"/>
  <c r="I32" i="20"/>
  <c r="E32" i="20"/>
  <c r="D32" i="20"/>
  <c r="I31" i="20"/>
  <c r="J31" i="20" s="1"/>
  <c r="K31" i="20" s="1"/>
  <c r="L31" i="20" s="1"/>
  <c r="M31" i="20" s="1"/>
  <c r="N31" i="20" s="1"/>
  <c r="D31" i="20"/>
  <c r="L30" i="20"/>
  <c r="M30" i="20" s="1"/>
  <c r="N30" i="20" s="1"/>
  <c r="I30" i="20"/>
  <c r="J30" i="20" s="1"/>
  <c r="K30" i="20" s="1"/>
  <c r="D30" i="20"/>
  <c r="K29" i="20"/>
  <c r="L29" i="20" s="1"/>
  <c r="M29" i="20" s="1"/>
  <c r="N29" i="20" s="1"/>
  <c r="J29" i="20"/>
  <c r="I29" i="20"/>
  <c r="F29" i="20"/>
  <c r="G29" i="20" s="1"/>
  <c r="E29" i="20"/>
  <c r="D29" i="20"/>
  <c r="J28" i="20"/>
  <c r="K28" i="20" s="1"/>
  <c r="L28" i="20" s="1"/>
  <c r="M28" i="20" s="1"/>
  <c r="N28" i="20" s="1"/>
  <c r="I28" i="20"/>
  <c r="E28" i="20"/>
  <c r="D28" i="20"/>
  <c r="M27" i="20"/>
  <c r="N27" i="20" s="1"/>
  <c r="I27" i="20"/>
  <c r="J27" i="20" s="1"/>
  <c r="K27" i="20" s="1"/>
  <c r="L27" i="20" s="1"/>
  <c r="D27" i="20"/>
  <c r="I26" i="20"/>
  <c r="J26" i="20" s="1"/>
  <c r="K26" i="20" s="1"/>
  <c r="L26" i="20" s="1"/>
  <c r="M26" i="20" s="1"/>
  <c r="N26" i="20" s="1"/>
  <c r="D26" i="20"/>
  <c r="K25" i="20"/>
  <c r="L25" i="20" s="1"/>
  <c r="M25" i="20" s="1"/>
  <c r="N25" i="20" s="1"/>
  <c r="J25" i="20"/>
  <c r="I25" i="20"/>
  <c r="F25" i="20"/>
  <c r="G25" i="20" s="1"/>
  <c r="E25" i="20"/>
  <c r="D25" i="20"/>
  <c r="N24" i="20"/>
  <c r="J24" i="20"/>
  <c r="K24" i="20" s="1"/>
  <c r="L24" i="20" s="1"/>
  <c r="M24" i="20" s="1"/>
  <c r="I24" i="20"/>
  <c r="E24" i="20"/>
  <c r="D24" i="20"/>
  <c r="I23" i="20"/>
  <c r="J23" i="20" s="1"/>
  <c r="K23" i="20" s="1"/>
  <c r="L23" i="20" s="1"/>
  <c r="M23" i="20" s="1"/>
  <c r="N23" i="20" s="1"/>
  <c r="D23" i="20"/>
  <c r="M22" i="20"/>
  <c r="N22" i="20" s="1"/>
  <c r="I22" i="20"/>
  <c r="D22" i="20"/>
  <c r="I21" i="20"/>
  <c r="J21" i="20" s="1"/>
  <c r="K21" i="20" s="1"/>
  <c r="L21" i="20" s="1"/>
  <c r="M21" i="20" s="1"/>
  <c r="N21" i="20" s="1"/>
  <c r="D21" i="20"/>
  <c r="K20" i="20"/>
  <c r="L20" i="20" s="1"/>
  <c r="M20" i="20" s="1"/>
  <c r="N20" i="20" s="1"/>
  <c r="J20" i="20"/>
  <c r="I20" i="20"/>
  <c r="F20" i="20"/>
  <c r="G20" i="20" s="1"/>
  <c r="E20" i="20"/>
  <c r="D20" i="20"/>
  <c r="F19" i="20"/>
  <c r="O19" i="20" s="1"/>
  <c r="E19" i="20"/>
  <c r="D19" i="20"/>
  <c r="J18" i="20"/>
  <c r="K18" i="20" s="1"/>
  <c r="L18" i="20" s="1"/>
  <c r="M18" i="20" s="1"/>
  <c r="N18" i="20" s="1"/>
  <c r="I18" i="20"/>
  <c r="E18" i="20"/>
  <c r="D18" i="20"/>
  <c r="M17" i="20"/>
  <c r="N17" i="20" s="1"/>
  <c r="I17" i="20"/>
  <c r="J17" i="20" s="1"/>
  <c r="K17" i="20" s="1"/>
  <c r="L17" i="20" s="1"/>
  <c r="D17" i="20"/>
  <c r="I16" i="20"/>
  <c r="J16" i="20" s="1"/>
  <c r="K16" i="20" s="1"/>
  <c r="L16" i="20" s="1"/>
  <c r="M16" i="20" s="1"/>
  <c r="N16" i="20" s="1"/>
  <c r="D16" i="20"/>
  <c r="K15" i="20"/>
  <c r="L15" i="20" s="1"/>
  <c r="M15" i="20" s="1"/>
  <c r="N15" i="20" s="1"/>
  <c r="J15" i="20"/>
  <c r="I15" i="20"/>
  <c r="F15" i="20"/>
  <c r="G15" i="20" s="1"/>
  <c r="E15" i="20"/>
  <c r="D15" i="20"/>
  <c r="N14" i="20"/>
  <c r="K14" i="20"/>
  <c r="L14" i="20" s="1"/>
  <c r="M14" i="20" s="1"/>
  <c r="E14" i="20"/>
  <c r="L13" i="20"/>
  <c r="M13" i="20" s="1"/>
  <c r="N13" i="20" s="1"/>
  <c r="I13" i="20"/>
  <c r="J13" i="20" s="1"/>
  <c r="K13" i="20" s="1"/>
  <c r="D13" i="20"/>
  <c r="K12" i="20"/>
  <c r="L12" i="20" s="1"/>
  <c r="M12" i="20" s="1"/>
  <c r="N12" i="20" s="1"/>
  <c r="J12" i="20"/>
  <c r="I12" i="20"/>
  <c r="F12" i="20"/>
  <c r="G12" i="20" s="1"/>
  <c r="E12" i="20"/>
  <c r="D12" i="20"/>
  <c r="K11" i="20"/>
  <c r="L11" i="20" s="1"/>
  <c r="M11" i="20" s="1"/>
  <c r="N11" i="20" s="1"/>
  <c r="F11" i="20"/>
  <c r="E11" i="20"/>
  <c r="I10" i="20"/>
  <c r="D10" i="20"/>
  <c r="O9" i="20"/>
  <c r="A8" i="20"/>
  <c r="H94" i="19"/>
  <c r="C89" i="19"/>
  <c r="C88" i="19"/>
  <c r="H82" i="19"/>
  <c r="H79" i="19"/>
  <c r="G78" i="19"/>
  <c r="H78" i="19" s="1"/>
  <c r="H76" i="19"/>
  <c r="H75" i="19"/>
  <c r="H74" i="19"/>
  <c r="H73" i="19"/>
  <c r="H72" i="19"/>
  <c r="H71" i="19"/>
  <c r="G69" i="19"/>
  <c r="H69" i="19" s="1"/>
  <c r="J51" i="19"/>
  <c r="J52" i="19" s="1"/>
  <c r="E51" i="19"/>
  <c r="Q50" i="19"/>
  <c r="N50" i="19"/>
  <c r="J50" i="19"/>
  <c r="F50" i="19"/>
  <c r="N49" i="19"/>
  <c r="M49" i="19"/>
  <c r="L49" i="19"/>
  <c r="K49" i="19"/>
  <c r="J49" i="19"/>
  <c r="I49" i="19"/>
  <c r="H49" i="19"/>
  <c r="G49" i="19"/>
  <c r="F49" i="19"/>
  <c r="E49" i="19"/>
  <c r="D49" i="19"/>
  <c r="C49" i="19"/>
  <c r="O48" i="19"/>
  <c r="O47" i="19"/>
  <c r="O46" i="19"/>
  <c r="O45" i="19"/>
  <c r="O44" i="19"/>
  <c r="G56" i="19" s="1"/>
  <c r="O43" i="19"/>
  <c r="G68" i="19" s="1"/>
  <c r="O42" i="19"/>
  <c r="O41" i="19"/>
  <c r="O40" i="19"/>
  <c r="G70" i="19" s="1"/>
  <c r="H70" i="19" s="1"/>
  <c r="O39" i="19"/>
  <c r="O38" i="19"/>
  <c r="G98" i="19" s="1"/>
  <c r="F29" i="1" s="1"/>
  <c r="P29" i="1" s="1"/>
  <c r="N37" i="19"/>
  <c r="M37" i="19"/>
  <c r="M50" i="19" s="1"/>
  <c r="L37" i="19"/>
  <c r="L50" i="19" s="1"/>
  <c r="K37" i="19"/>
  <c r="K50" i="19" s="1"/>
  <c r="J37" i="19"/>
  <c r="I37" i="19"/>
  <c r="I50" i="19" s="1"/>
  <c r="H37" i="19"/>
  <c r="H50" i="19" s="1"/>
  <c r="G37" i="19"/>
  <c r="G50" i="19" s="1"/>
  <c r="F37" i="19"/>
  <c r="E37" i="19"/>
  <c r="E50" i="19" s="1"/>
  <c r="D37" i="19"/>
  <c r="D50" i="19" s="1"/>
  <c r="C37" i="19"/>
  <c r="C50" i="19" s="1"/>
  <c r="O36" i="19"/>
  <c r="O35" i="19"/>
  <c r="O34" i="19"/>
  <c r="O33" i="19"/>
  <c r="O32" i="19"/>
  <c r="O31" i="19"/>
  <c r="O30" i="19"/>
  <c r="O29" i="19"/>
  <c r="O28" i="19"/>
  <c r="O27" i="19"/>
  <c r="O26" i="19"/>
  <c r="O25" i="19"/>
  <c r="O24" i="19"/>
  <c r="O23" i="19"/>
  <c r="O22" i="19"/>
  <c r="O21" i="19"/>
  <c r="O20" i="19"/>
  <c r="O19" i="19"/>
  <c r="O18" i="19"/>
  <c r="O17" i="19"/>
  <c r="O16" i="19"/>
  <c r="O15" i="19"/>
  <c r="O14" i="19"/>
  <c r="O13" i="19"/>
  <c r="O12" i="19"/>
  <c r="O11" i="19"/>
  <c r="O10" i="19"/>
  <c r="O9" i="19"/>
  <c r="A8" i="19"/>
  <c r="H96" i="18"/>
  <c r="C91" i="18"/>
  <c r="C90" i="18"/>
  <c r="H84" i="18"/>
  <c r="H81" i="18"/>
  <c r="G79" i="18"/>
  <c r="H78" i="18"/>
  <c r="H77" i="18"/>
  <c r="H76" i="18"/>
  <c r="H75" i="18"/>
  <c r="H74" i="18"/>
  <c r="H73" i="18"/>
  <c r="H72" i="18"/>
  <c r="H71" i="18"/>
  <c r="G70" i="18"/>
  <c r="E53" i="18"/>
  <c r="Q52" i="18"/>
  <c r="H52" i="18"/>
  <c r="N51" i="18"/>
  <c r="M51" i="18"/>
  <c r="L51" i="18"/>
  <c r="K51" i="18"/>
  <c r="J51" i="18"/>
  <c r="I51" i="18"/>
  <c r="H51" i="18"/>
  <c r="G51" i="18"/>
  <c r="F51" i="18"/>
  <c r="E51" i="18"/>
  <c r="D51" i="18"/>
  <c r="C51" i="18"/>
  <c r="O50" i="18"/>
  <c r="O49" i="18"/>
  <c r="O48" i="18"/>
  <c r="O47" i="18"/>
  <c r="O46" i="18"/>
  <c r="O45" i="18"/>
  <c r="G58" i="18" s="1"/>
  <c r="O44" i="18"/>
  <c r="O43" i="18"/>
  <c r="G80" i="18" s="1"/>
  <c r="O42" i="18"/>
  <c r="O41" i="18"/>
  <c r="G72" i="18" s="1"/>
  <c r="O40" i="18"/>
  <c r="O39" i="18"/>
  <c r="G100" i="18" s="1"/>
  <c r="F30" i="1" s="1"/>
  <c r="P30" i="1" s="1"/>
  <c r="H38" i="18"/>
  <c r="C38" i="18"/>
  <c r="C52" i="18" s="1"/>
  <c r="O37" i="18"/>
  <c r="O36" i="18"/>
  <c r="I35" i="18"/>
  <c r="J35" i="18" s="1"/>
  <c r="K35" i="18" s="1"/>
  <c r="L35" i="18" s="1"/>
  <c r="M35" i="18" s="1"/>
  <c r="N35" i="18" s="1"/>
  <c r="D35" i="18"/>
  <c r="L34" i="18"/>
  <c r="M34" i="18" s="1"/>
  <c r="N34" i="18" s="1"/>
  <c r="I34" i="18"/>
  <c r="J34" i="18" s="1"/>
  <c r="K34" i="18" s="1"/>
  <c r="D34" i="18"/>
  <c r="K33" i="18"/>
  <c r="L33" i="18" s="1"/>
  <c r="M33" i="18" s="1"/>
  <c r="N33" i="18" s="1"/>
  <c r="J33" i="18"/>
  <c r="I33" i="18"/>
  <c r="F33" i="18"/>
  <c r="G33" i="18" s="1"/>
  <c r="E33" i="18"/>
  <c r="D33" i="18"/>
  <c r="J32" i="18"/>
  <c r="K32" i="18" s="1"/>
  <c r="L32" i="18" s="1"/>
  <c r="M32" i="18" s="1"/>
  <c r="N32" i="18" s="1"/>
  <c r="I32" i="18"/>
  <c r="E32" i="18"/>
  <c r="D32" i="18"/>
  <c r="M31" i="18"/>
  <c r="N31" i="18" s="1"/>
  <c r="I31" i="18"/>
  <c r="J31" i="18" s="1"/>
  <c r="K31" i="18" s="1"/>
  <c r="L31" i="18" s="1"/>
  <c r="D31" i="18"/>
  <c r="I30" i="18"/>
  <c r="J30" i="18" s="1"/>
  <c r="K30" i="18" s="1"/>
  <c r="L30" i="18" s="1"/>
  <c r="M30" i="18" s="1"/>
  <c r="N30" i="18" s="1"/>
  <c r="D30" i="18"/>
  <c r="K29" i="18"/>
  <c r="L29" i="18" s="1"/>
  <c r="M29" i="18" s="1"/>
  <c r="N29" i="18" s="1"/>
  <c r="I29" i="18"/>
  <c r="J29" i="18" s="1"/>
  <c r="F29" i="18"/>
  <c r="G29" i="18" s="1"/>
  <c r="D29" i="18"/>
  <c r="E29" i="18" s="1"/>
  <c r="O29" i="18" s="1"/>
  <c r="N28" i="18"/>
  <c r="J28" i="18"/>
  <c r="K28" i="18" s="1"/>
  <c r="L28" i="18" s="1"/>
  <c r="M28" i="18" s="1"/>
  <c r="I28" i="18"/>
  <c r="E28" i="18"/>
  <c r="D28" i="18"/>
  <c r="I27" i="18"/>
  <c r="J27" i="18" s="1"/>
  <c r="K27" i="18" s="1"/>
  <c r="L27" i="18" s="1"/>
  <c r="M27" i="18" s="1"/>
  <c r="N27" i="18" s="1"/>
  <c r="D27" i="18"/>
  <c r="L26" i="18"/>
  <c r="M26" i="18" s="1"/>
  <c r="N26" i="18" s="1"/>
  <c r="I26" i="18"/>
  <c r="J26" i="18" s="1"/>
  <c r="K26" i="18" s="1"/>
  <c r="D26" i="18"/>
  <c r="K25" i="18"/>
  <c r="L25" i="18" s="1"/>
  <c r="M25" i="18" s="1"/>
  <c r="N25" i="18" s="1"/>
  <c r="J25" i="18"/>
  <c r="I25" i="18"/>
  <c r="F25" i="18"/>
  <c r="G25" i="18" s="1"/>
  <c r="E25" i="18"/>
  <c r="D25" i="18"/>
  <c r="J24" i="18"/>
  <c r="K24" i="18" s="1"/>
  <c r="L24" i="18" s="1"/>
  <c r="M24" i="18" s="1"/>
  <c r="N24" i="18" s="1"/>
  <c r="I24" i="18"/>
  <c r="E24" i="18"/>
  <c r="D24" i="18"/>
  <c r="M23" i="18"/>
  <c r="N23" i="18" s="1"/>
  <c r="I23" i="18"/>
  <c r="J23" i="18" s="1"/>
  <c r="K23" i="18" s="1"/>
  <c r="L23" i="18" s="1"/>
  <c r="D23" i="18"/>
  <c r="I22" i="18"/>
  <c r="D22" i="18"/>
  <c r="N21" i="18"/>
  <c r="J21" i="18"/>
  <c r="K21" i="18" s="1"/>
  <c r="L21" i="18" s="1"/>
  <c r="M21" i="18" s="1"/>
  <c r="I21" i="18"/>
  <c r="E21" i="18"/>
  <c r="D21" i="18"/>
  <c r="I20" i="18"/>
  <c r="J20" i="18" s="1"/>
  <c r="K20" i="18" s="1"/>
  <c r="L20" i="18" s="1"/>
  <c r="M20" i="18" s="1"/>
  <c r="N20" i="18" s="1"/>
  <c r="D20" i="18"/>
  <c r="I19" i="18"/>
  <c r="J19" i="18" s="1"/>
  <c r="K19" i="18" s="1"/>
  <c r="L19" i="18" s="1"/>
  <c r="M19" i="18" s="1"/>
  <c r="N19" i="18" s="1"/>
  <c r="D19" i="18"/>
  <c r="E19" i="18" s="1"/>
  <c r="F19" i="18" s="1"/>
  <c r="G19" i="18" s="1"/>
  <c r="J18" i="18"/>
  <c r="K18" i="18" s="1"/>
  <c r="L18" i="18" s="1"/>
  <c r="M18" i="18" s="1"/>
  <c r="N18" i="18" s="1"/>
  <c r="I18" i="18"/>
  <c r="E18" i="18"/>
  <c r="D18" i="18"/>
  <c r="M17" i="18"/>
  <c r="N17" i="18" s="1"/>
  <c r="I17" i="18"/>
  <c r="J17" i="18" s="1"/>
  <c r="K17" i="18" s="1"/>
  <c r="L17" i="18" s="1"/>
  <c r="D17" i="18"/>
  <c r="I16" i="18"/>
  <c r="J16" i="18" s="1"/>
  <c r="K16" i="18" s="1"/>
  <c r="L16" i="18" s="1"/>
  <c r="M16" i="18" s="1"/>
  <c r="N16" i="18" s="1"/>
  <c r="D16" i="18"/>
  <c r="K15" i="18"/>
  <c r="L15" i="18" s="1"/>
  <c r="M15" i="18" s="1"/>
  <c r="N15" i="18" s="1"/>
  <c r="I15" i="18"/>
  <c r="J15" i="18" s="1"/>
  <c r="F15" i="18"/>
  <c r="G15" i="18" s="1"/>
  <c r="D15" i="18"/>
  <c r="E15" i="18" s="1"/>
  <c r="O15" i="18" s="1"/>
  <c r="O14" i="18"/>
  <c r="K13" i="18"/>
  <c r="L13" i="18" s="1"/>
  <c r="M13" i="18" s="1"/>
  <c r="N13" i="18" s="1"/>
  <c r="I13" i="18"/>
  <c r="J13" i="18" s="1"/>
  <c r="F13" i="18"/>
  <c r="G13" i="18" s="1"/>
  <c r="E13" i="18"/>
  <c r="D13" i="18"/>
  <c r="J12" i="18"/>
  <c r="K12" i="18" s="1"/>
  <c r="L12" i="18" s="1"/>
  <c r="M12" i="18" s="1"/>
  <c r="N12" i="18" s="1"/>
  <c r="I12" i="18"/>
  <c r="E12" i="18"/>
  <c r="D12" i="18"/>
  <c r="F11" i="18"/>
  <c r="G11" i="18" s="1"/>
  <c r="E11" i="18"/>
  <c r="I10" i="18"/>
  <c r="D10" i="18"/>
  <c r="D9" i="18"/>
  <c r="A8" i="18"/>
  <c r="G98" i="17"/>
  <c r="H94" i="17"/>
  <c r="C89" i="17"/>
  <c r="L88" i="17"/>
  <c r="C88" i="17"/>
  <c r="L87" i="17"/>
  <c r="H82" i="17"/>
  <c r="H79" i="17"/>
  <c r="G78" i="17"/>
  <c r="H76" i="17"/>
  <c r="H75" i="17"/>
  <c r="H74" i="17"/>
  <c r="H73" i="17"/>
  <c r="H72" i="17"/>
  <c r="H71" i="17"/>
  <c r="H69" i="17"/>
  <c r="G55" i="17"/>
  <c r="N49" i="17"/>
  <c r="M49" i="17"/>
  <c r="L49" i="17"/>
  <c r="K49" i="17"/>
  <c r="J49" i="17"/>
  <c r="I49" i="17"/>
  <c r="H49" i="17"/>
  <c r="G49" i="17"/>
  <c r="F49" i="17"/>
  <c r="E49" i="17"/>
  <c r="D49" i="17"/>
  <c r="C49" i="17"/>
  <c r="O48" i="17"/>
  <c r="O47" i="17"/>
  <c r="O46" i="17"/>
  <c r="O45" i="17"/>
  <c r="O44" i="17"/>
  <c r="G56" i="17" s="1"/>
  <c r="O43" i="17"/>
  <c r="G68" i="17" s="1"/>
  <c r="O42" i="17"/>
  <c r="O41" i="17"/>
  <c r="O40" i="17"/>
  <c r="G70" i="17" s="1"/>
  <c r="H70" i="17" s="1"/>
  <c r="O39" i="17"/>
  <c r="O38" i="17"/>
  <c r="H37" i="17"/>
  <c r="H50" i="17" s="1"/>
  <c r="C37" i="17"/>
  <c r="C50" i="17" s="1"/>
  <c r="I36" i="17"/>
  <c r="J36" i="17" s="1"/>
  <c r="F36" i="17"/>
  <c r="G36" i="17" s="1"/>
  <c r="E36" i="17"/>
  <c r="D36" i="17"/>
  <c r="N35" i="17"/>
  <c r="J35" i="17"/>
  <c r="K35" i="17" s="1"/>
  <c r="L35" i="17" s="1"/>
  <c r="M35" i="17" s="1"/>
  <c r="I35" i="17"/>
  <c r="E35" i="17"/>
  <c r="D35" i="17"/>
  <c r="I34" i="17"/>
  <c r="J34" i="17" s="1"/>
  <c r="K34" i="17" s="1"/>
  <c r="L34" i="17" s="1"/>
  <c r="M34" i="17" s="1"/>
  <c r="N34" i="17" s="1"/>
  <c r="D34" i="17"/>
  <c r="L33" i="17"/>
  <c r="M33" i="17" s="1"/>
  <c r="N33" i="17" s="1"/>
  <c r="I33" i="17"/>
  <c r="J33" i="17" s="1"/>
  <c r="K33" i="17" s="1"/>
  <c r="D33" i="17"/>
  <c r="K32" i="17"/>
  <c r="L32" i="17" s="1"/>
  <c r="M32" i="17" s="1"/>
  <c r="N32" i="17" s="1"/>
  <c r="J32" i="17"/>
  <c r="I32" i="17"/>
  <c r="F32" i="17"/>
  <c r="G32" i="17" s="1"/>
  <c r="E32" i="17"/>
  <c r="D32" i="17"/>
  <c r="J31" i="17"/>
  <c r="K31" i="17" s="1"/>
  <c r="L31" i="17" s="1"/>
  <c r="M31" i="17" s="1"/>
  <c r="N31" i="17" s="1"/>
  <c r="I31" i="17"/>
  <c r="E31" i="17"/>
  <c r="D31" i="17"/>
  <c r="M30" i="17"/>
  <c r="N30" i="17" s="1"/>
  <c r="I30" i="17"/>
  <c r="J30" i="17" s="1"/>
  <c r="K30" i="17" s="1"/>
  <c r="L30" i="17" s="1"/>
  <c r="D30" i="17"/>
  <c r="I29" i="17"/>
  <c r="J29" i="17" s="1"/>
  <c r="K29" i="17" s="1"/>
  <c r="L29" i="17" s="1"/>
  <c r="M29" i="17" s="1"/>
  <c r="N29" i="17" s="1"/>
  <c r="D29" i="17"/>
  <c r="K28" i="17"/>
  <c r="L28" i="17" s="1"/>
  <c r="M28" i="17" s="1"/>
  <c r="N28" i="17" s="1"/>
  <c r="J28" i="17"/>
  <c r="I28" i="17"/>
  <c r="F28" i="17"/>
  <c r="G28" i="17" s="1"/>
  <c r="E28" i="17"/>
  <c r="D28" i="17"/>
  <c r="N27" i="17"/>
  <c r="J27" i="17"/>
  <c r="K27" i="17" s="1"/>
  <c r="L27" i="17" s="1"/>
  <c r="M27" i="17" s="1"/>
  <c r="I27" i="17"/>
  <c r="E27" i="17"/>
  <c r="D27" i="17"/>
  <c r="I26" i="17"/>
  <c r="J26" i="17" s="1"/>
  <c r="K26" i="17" s="1"/>
  <c r="L26" i="17" s="1"/>
  <c r="M26" i="17" s="1"/>
  <c r="N26" i="17" s="1"/>
  <c r="D26" i="17"/>
  <c r="L25" i="17"/>
  <c r="M25" i="17" s="1"/>
  <c r="N25" i="17" s="1"/>
  <c r="I25" i="17"/>
  <c r="J25" i="17" s="1"/>
  <c r="K25" i="17" s="1"/>
  <c r="D25" i="17"/>
  <c r="K24" i="17"/>
  <c r="L24" i="17" s="1"/>
  <c r="M24" i="17" s="1"/>
  <c r="N24" i="17" s="1"/>
  <c r="J24" i="17"/>
  <c r="I24" i="17"/>
  <c r="F24" i="17"/>
  <c r="G24" i="17" s="1"/>
  <c r="E24" i="17"/>
  <c r="D24" i="17"/>
  <c r="J23" i="17"/>
  <c r="K23" i="17" s="1"/>
  <c r="L23" i="17" s="1"/>
  <c r="M23" i="17" s="1"/>
  <c r="N23" i="17" s="1"/>
  <c r="I23" i="17"/>
  <c r="E23" i="17"/>
  <c r="D23" i="17"/>
  <c r="M22" i="17"/>
  <c r="N22" i="17" s="1"/>
  <c r="I22" i="17"/>
  <c r="J22" i="17" s="1"/>
  <c r="K22" i="17" s="1"/>
  <c r="L22" i="17" s="1"/>
  <c r="D22" i="17"/>
  <c r="I21" i="17"/>
  <c r="J21" i="17" s="1"/>
  <c r="K21" i="17" s="1"/>
  <c r="L21" i="17" s="1"/>
  <c r="M21" i="17" s="1"/>
  <c r="N21" i="17" s="1"/>
  <c r="D21" i="17"/>
  <c r="K20" i="17"/>
  <c r="L20" i="17" s="1"/>
  <c r="M20" i="17" s="1"/>
  <c r="N20" i="17" s="1"/>
  <c r="J20" i="17"/>
  <c r="I20" i="17"/>
  <c r="F20" i="17"/>
  <c r="G20" i="17" s="1"/>
  <c r="E20" i="17"/>
  <c r="D20" i="17"/>
  <c r="N19" i="17"/>
  <c r="J19" i="17"/>
  <c r="K19" i="17" s="1"/>
  <c r="L19" i="17" s="1"/>
  <c r="M19" i="17" s="1"/>
  <c r="I19" i="17"/>
  <c r="E19" i="17"/>
  <c r="D19" i="17"/>
  <c r="I18" i="17"/>
  <c r="J18" i="17" s="1"/>
  <c r="K18" i="17" s="1"/>
  <c r="L18" i="17" s="1"/>
  <c r="M18" i="17" s="1"/>
  <c r="N18" i="17" s="1"/>
  <c r="D18" i="17"/>
  <c r="L17" i="17"/>
  <c r="M17" i="17" s="1"/>
  <c r="N17" i="17" s="1"/>
  <c r="I17" i="17"/>
  <c r="J17" i="17" s="1"/>
  <c r="K17" i="17" s="1"/>
  <c r="D17" i="17"/>
  <c r="K16" i="17"/>
  <c r="L16" i="17" s="1"/>
  <c r="M16" i="17" s="1"/>
  <c r="N16" i="17" s="1"/>
  <c r="J16" i="17"/>
  <c r="I16" i="17"/>
  <c r="F16" i="17"/>
  <c r="G16" i="17" s="1"/>
  <c r="E16" i="17"/>
  <c r="D16" i="17"/>
  <c r="J15" i="17"/>
  <c r="K15" i="17" s="1"/>
  <c r="L15" i="17" s="1"/>
  <c r="M15" i="17" s="1"/>
  <c r="N15" i="17" s="1"/>
  <c r="I15" i="17"/>
  <c r="E15" i="17"/>
  <c r="D15" i="17"/>
  <c r="M14" i="17"/>
  <c r="N14" i="17" s="1"/>
  <c r="I14" i="17"/>
  <c r="J14" i="17" s="1"/>
  <c r="K14" i="17" s="1"/>
  <c r="L14" i="17" s="1"/>
  <c r="D14" i="17"/>
  <c r="I13" i="17"/>
  <c r="J13" i="17" s="1"/>
  <c r="K13" i="17" s="1"/>
  <c r="L13" i="17" s="1"/>
  <c r="M13" i="17" s="1"/>
  <c r="N13" i="17" s="1"/>
  <c r="D13" i="17"/>
  <c r="K12" i="17"/>
  <c r="L12" i="17" s="1"/>
  <c r="M12" i="17" s="1"/>
  <c r="N12" i="17" s="1"/>
  <c r="J12" i="17"/>
  <c r="I12" i="17"/>
  <c r="F12" i="17"/>
  <c r="G12" i="17" s="1"/>
  <c r="E12" i="17"/>
  <c r="D12" i="17"/>
  <c r="N11" i="17"/>
  <c r="J11" i="17"/>
  <c r="K11" i="17" s="1"/>
  <c r="L11" i="17" s="1"/>
  <c r="M11" i="17" s="1"/>
  <c r="I11" i="17"/>
  <c r="E11" i="17"/>
  <c r="D11" i="17"/>
  <c r="I10" i="17"/>
  <c r="D10" i="17"/>
  <c r="O9" i="17"/>
  <c r="A8" i="17"/>
  <c r="H94" i="16"/>
  <c r="C89" i="16"/>
  <c r="C88" i="16"/>
  <c r="H82" i="16"/>
  <c r="H79" i="16"/>
  <c r="G78" i="16"/>
  <c r="H78" i="16" s="1"/>
  <c r="H76" i="16"/>
  <c r="H75" i="16"/>
  <c r="H74" i="16"/>
  <c r="H73" i="16"/>
  <c r="H72" i="16"/>
  <c r="H71" i="16"/>
  <c r="G55" i="16"/>
  <c r="H50" i="16"/>
  <c r="N49" i="16"/>
  <c r="M49" i="16"/>
  <c r="L49" i="16"/>
  <c r="K49" i="16"/>
  <c r="J49" i="16"/>
  <c r="I49" i="16"/>
  <c r="H49" i="16"/>
  <c r="G49" i="16"/>
  <c r="F49" i="16"/>
  <c r="E49" i="16"/>
  <c r="D49" i="16"/>
  <c r="C49" i="16"/>
  <c r="O48" i="16"/>
  <c r="O47" i="16"/>
  <c r="G69" i="16" s="1"/>
  <c r="O46" i="16"/>
  <c r="O45" i="16"/>
  <c r="O44" i="16"/>
  <c r="G56" i="16" s="1"/>
  <c r="O43" i="16"/>
  <c r="G68" i="16" s="1"/>
  <c r="O42" i="16"/>
  <c r="O72" i="16" s="1"/>
  <c r="O41" i="16"/>
  <c r="O40" i="16"/>
  <c r="G70" i="16" s="1"/>
  <c r="H70" i="16" s="1"/>
  <c r="O39" i="16"/>
  <c r="O38" i="16"/>
  <c r="G98" i="16" s="1"/>
  <c r="H37" i="16"/>
  <c r="C37" i="16"/>
  <c r="C50" i="16" s="1"/>
  <c r="N36" i="16"/>
  <c r="J36" i="16"/>
  <c r="K36" i="16" s="1"/>
  <c r="L36" i="16" s="1"/>
  <c r="M36" i="16" s="1"/>
  <c r="I36" i="16"/>
  <c r="E36" i="16"/>
  <c r="D36" i="16"/>
  <c r="I35" i="16"/>
  <c r="J35" i="16" s="1"/>
  <c r="K35" i="16" s="1"/>
  <c r="L35" i="16" s="1"/>
  <c r="M35" i="16" s="1"/>
  <c r="N35" i="16" s="1"/>
  <c r="D35" i="16"/>
  <c r="L34" i="16"/>
  <c r="M34" i="16" s="1"/>
  <c r="N34" i="16" s="1"/>
  <c r="I34" i="16"/>
  <c r="J34" i="16" s="1"/>
  <c r="K34" i="16" s="1"/>
  <c r="D34" i="16"/>
  <c r="I33" i="16"/>
  <c r="J33" i="16" s="1"/>
  <c r="K33" i="16" s="1"/>
  <c r="L33" i="16" s="1"/>
  <c r="M33" i="16" s="1"/>
  <c r="N33" i="16" s="1"/>
  <c r="D33" i="16"/>
  <c r="E33" i="16" s="1"/>
  <c r="F33" i="16" s="1"/>
  <c r="G33" i="16" s="1"/>
  <c r="J32" i="16"/>
  <c r="K32" i="16" s="1"/>
  <c r="L32" i="16" s="1"/>
  <c r="M32" i="16" s="1"/>
  <c r="N32" i="16" s="1"/>
  <c r="I32" i="16"/>
  <c r="E32" i="16"/>
  <c r="D32" i="16"/>
  <c r="M31" i="16"/>
  <c r="N31" i="16" s="1"/>
  <c r="I31" i="16"/>
  <c r="J31" i="16" s="1"/>
  <c r="K31" i="16" s="1"/>
  <c r="L31" i="16" s="1"/>
  <c r="D31" i="16"/>
  <c r="I30" i="16"/>
  <c r="J30" i="16" s="1"/>
  <c r="K30" i="16" s="1"/>
  <c r="L30" i="16" s="1"/>
  <c r="M30" i="16" s="1"/>
  <c r="N30" i="16" s="1"/>
  <c r="D30" i="16"/>
  <c r="K29" i="16"/>
  <c r="L29" i="16" s="1"/>
  <c r="M29" i="16" s="1"/>
  <c r="N29" i="16" s="1"/>
  <c r="I29" i="16"/>
  <c r="J29" i="16" s="1"/>
  <c r="F29" i="16"/>
  <c r="G29" i="16" s="1"/>
  <c r="D29" i="16"/>
  <c r="E29" i="16" s="1"/>
  <c r="O29" i="16" s="1"/>
  <c r="N28" i="16"/>
  <c r="J28" i="16"/>
  <c r="K28" i="16" s="1"/>
  <c r="L28" i="16" s="1"/>
  <c r="M28" i="16" s="1"/>
  <c r="I28" i="16"/>
  <c r="E28" i="16"/>
  <c r="D28" i="16"/>
  <c r="J27" i="16"/>
  <c r="K27" i="16" s="1"/>
  <c r="L27" i="16" s="1"/>
  <c r="M27" i="16" s="1"/>
  <c r="N27" i="16" s="1"/>
  <c r="I27" i="16"/>
  <c r="E27" i="16"/>
  <c r="F27" i="16" s="1"/>
  <c r="G27" i="16" s="1"/>
  <c r="D27" i="16"/>
  <c r="I26" i="16"/>
  <c r="J26" i="16" s="1"/>
  <c r="K26" i="16" s="1"/>
  <c r="L26" i="16" s="1"/>
  <c r="M26" i="16" s="1"/>
  <c r="N26" i="16" s="1"/>
  <c r="D26" i="16"/>
  <c r="I25" i="16"/>
  <c r="J25" i="16" s="1"/>
  <c r="K25" i="16" s="1"/>
  <c r="L25" i="16" s="1"/>
  <c r="M25" i="16" s="1"/>
  <c r="N25" i="16" s="1"/>
  <c r="F25" i="16"/>
  <c r="G25" i="16" s="1"/>
  <c r="D25" i="16"/>
  <c r="E25" i="16" s="1"/>
  <c r="O25" i="16" s="1"/>
  <c r="K24" i="16"/>
  <c r="L24" i="16" s="1"/>
  <c r="M24" i="16" s="1"/>
  <c r="N24" i="16" s="1"/>
  <c r="J24" i="16"/>
  <c r="I24" i="16"/>
  <c r="E24" i="16"/>
  <c r="D24" i="16"/>
  <c r="J23" i="16"/>
  <c r="K23" i="16" s="1"/>
  <c r="L23" i="16" s="1"/>
  <c r="M23" i="16" s="1"/>
  <c r="N23" i="16" s="1"/>
  <c r="I23" i="16"/>
  <c r="E23" i="16"/>
  <c r="F23" i="16" s="1"/>
  <c r="G23" i="16" s="1"/>
  <c r="D23" i="16"/>
  <c r="I22" i="16"/>
  <c r="J22" i="16" s="1"/>
  <c r="K22" i="16" s="1"/>
  <c r="L22" i="16" s="1"/>
  <c r="M22" i="16" s="1"/>
  <c r="N22" i="16" s="1"/>
  <c r="D22" i="16"/>
  <c r="I21" i="16"/>
  <c r="J21" i="16" s="1"/>
  <c r="K21" i="16" s="1"/>
  <c r="L21" i="16" s="1"/>
  <c r="M21" i="16" s="1"/>
  <c r="N21" i="16" s="1"/>
  <c r="F21" i="16"/>
  <c r="D21" i="16"/>
  <c r="E21" i="16" s="1"/>
  <c r="K20" i="16"/>
  <c r="L20" i="16" s="1"/>
  <c r="M20" i="16" s="1"/>
  <c r="N20" i="16" s="1"/>
  <c r="J20" i="16"/>
  <c r="I20" i="16"/>
  <c r="E20" i="16"/>
  <c r="F20" i="16" s="1"/>
  <c r="D20" i="16"/>
  <c r="J19" i="16"/>
  <c r="K19" i="16" s="1"/>
  <c r="L19" i="16" s="1"/>
  <c r="M19" i="16" s="1"/>
  <c r="N19" i="16" s="1"/>
  <c r="I19" i="16"/>
  <c r="E19" i="16"/>
  <c r="F19" i="16" s="1"/>
  <c r="G19" i="16" s="1"/>
  <c r="D19" i="16"/>
  <c r="I18" i="16"/>
  <c r="J18" i="16" s="1"/>
  <c r="K18" i="16" s="1"/>
  <c r="L18" i="16" s="1"/>
  <c r="M18" i="16" s="1"/>
  <c r="N18" i="16" s="1"/>
  <c r="D18" i="16"/>
  <c r="I17" i="16"/>
  <c r="J17" i="16" s="1"/>
  <c r="K17" i="16" s="1"/>
  <c r="L17" i="16" s="1"/>
  <c r="M17" i="16" s="1"/>
  <c r="N17" i="16" s="1"/>
  <c r="F17" i="16"/>
  <c r="E17" i="16"/>
  <c r="D17" i="16"/>
  <c r="J16" i="16"/>
  <c r="K16" i="16" s="1"/>
  <c r="L16" i="16" s="1"/>
  <c r="M16" i="16" s="1"/>
  <c r="N16" i="16" s="1"/>
  <c r="I16" i="16"/>
  <c r="F16" i="16"/>
  <c r="G16" i="16" s="1"/>
  <c r="E16" i="16"/>
  <c r="D16" i="16"/>
  <c r="I15" i="16"/>
  <c r="J15" i="16" s="1"/>
  <c r="K15" i="16" s="1"/>
  <c r="L15" i="16" s="1"/>
  <c r="M15" i="16" s="1"/>
  <c r="N15" i="16" s="1"/>
  <c r="D15" i="16"/>
  <c r="E15" i="16" s="1"/>
  <c r="F15" i="16" s="1"/>
  <c r="G15" i="16" s="1"/>
  <c r="I14" i="16"/>
  <c r="J14" i="16" s="1"/>
  <c r="K14" i="16" s="1"/>
  <c r="L14" i="16" s="1"/>
  <c r="M14" i="16" s="1"/>
  <c r="N14" i="16" s="1"/>
  <c r="D14" i="16"/>
  <c r="J13" i="16"/>
  <c r="K13" i="16" s="1"/>
  <c r="L13" i="16" s="1"/>
  <c r="M13" i="16" s="1"/>
  <c r="N13" i="16" s="1"/>
  <c r="I13" i="16"/>
  <c r="E13" i="16"/>
  <c r="F13" i="16" s="1"/>
  <c r="G13" i="16" s="1"/>
  <c r="D13" i="16"/>
  <c r="I12" i="16"/>
  <c r="J12" i="16" s="1"/>
  <c r="K12" i="16" s="1"/>
  <c r="L12" i="16" s="1"/>
  <c r="M12" i="16" s="1"/>
  <c r="N12" i="16" s="1"/>
  <c r="D12" i="16"/>
  <c r="J11" i="16"/>
  <c r="K11" i="16" s="1"/>
  <c r="L11" i="16" s="1"/>
  <c r="M11" i="16" s="1"/>
  <c r="N11" i="16" s="1"/>
  <c r="I11" i="16"/>
  <c r="E11" i="16"/>
  <c r="D11" i="16"/>
  <c r="I10" i="16"/>
  <c r="J10" i="16" s="1"/>
  <c r="D10" i="16"/>
  <c r="O9" i="16"/>
  <c r="A8" i="16"/>
  <c r="H95" i="15"/>
  <c r="C90" i="15"/>
  <c r="C89" i="15"/>
  <c r="H83" i="15"/>
  <c r="H80" i="15"/>
  <c r="H79" i="15"/>
  <c r="G79" i="15"/>
  <c r="G84" i="15" s="1"/>
  <c r="O77" i="15"/>
  <c r="H77" i="15"/>
  <c r="H76" i="15"/>
  <c r="H75" i="15"/>
  <c r="H74" i="15"/>
  <c r="H73" i="15"/>
  <c r="H72" i="15"/>
  <c r="G71" i="15"/>
  <c r="H71" i="15" s="1"/>
  <c r="H70" i="15"/>
  <c r="G58" i="15"/>
  <c r="J51" i="15"/>
  <c r="J52" i="15" s="1"/>
  <c r="N50" i="15"/>
  <c r="L50" i="15"/>
  <c r="J50" i="15"/>
  <c r="H50" i="15"/>
  <c r="F50" i="15"/>
  <c r="D50" i="15"/>
  <c r="N49" i="15"/>
  <c r="M49" i="15"/>
  <c r="L49" i="15"/>
  <c r="K49" i="15"/>
  <c r="J49" i="15"/>
  <c r="I49" i="15"/>
  <c r="H49" i="15"/>
  <c r="G49" i="15"/>
  <c r="F49" i="15"/>
  <c r="E49" i="15"/>
  <c r="D49" i="15"/>
  <c r="C49" i="15"/>
  <c r="O48" i="15"/>
  <c r="O47" i="15"/>
  <c r="O46" i="15"/>
  <c r="O45" i="15"/>
  <c r="O44" i="15"/>
  <c r="G56" i="15" s="1"/>
  <c r="O43" i="15"/>
  <c r="G69" i="15" s="1"/>
  <c r="O42" i="15"/>
  <c r="O41" i="15"/>
  <c r="O40" i="15"/>
  <c r="O39" i="15"/>
  <c r="O38" i="15"/>
  <c r="G99" i="15" s="1"/>
  <c r="F31" i="1" s="1"/>
  <c r="P31" i="1" s="1"/>
  <c r="N37" i="15"/>
  <c r="M37" i="15"/>
  <c r="M50" i="15" s="1"/>
  <c r="L37" i="15"/>
  <c r="K37" i="15"/>
  <c r="J88" i="15" s="1"/>
  <c r="J37" i="15"/>
  <c r="I37" i="15"/>
  <c r="I50" i="15" s="1"/>
  <c r="H37" i="15"/>
  <c r="G37" i="15"/>
  <c r="J87" i="15" s="1"/>
  <c r="F37" i="15"/>
  <c r="E37" i="15"/>
  <c r="E50" i="15" s="1"/>
  <c r="D37" i="15"/>
  <c r="C37" i="15"/>
  <c r="J86" i="15" s="1"/>
  <c r="O36" i="15"/>
  <c r="O35" i="15"/>
  <c r="O34" i="15"/>
  <c r="O33" i="15"/>
  <c r="O32" i="15"/>
  <c r="O31" i="15"/>
  <c r="O30" i="15"/>
  <c r="O29" i="15"/>
  <c r="O28" i="15"/>
  <c r="O27" i="15"/>
  <c r="O26" i="15"/>
  <c r="O25" i="15"/>
  <c r="O24" i="15"/>
  <c r="O23" i="15"/>
  <c r="O22" i="15"/>
  <c r="O21" i="15"/>
  <c r="O20" i="15"/>
  <c r="O19" i="15"/>
  <c r="O18" i="15"/>
  <c r="O17" i="15"/>
  <c r="O16" i="15"/>
  <c r="O15" i="15"/>
  <c r="O14" i="15"/>
  <c r="O13" i="15"/>
  <c r="O12" i="15"/>
  <c r="O11" i="15"/>
  <c r="O10" i="15"/>
  <c r="O9" i="15"/>
  <c r="A8" i="15"/>
  <c r="G99" i="14"/>
  <c r="H95" i="14"/>
  <c r="C90" i="14"/>
  <c r="C89" i="14"/>
  <c r="H83" i="14"/>
  <c r="H80" i="14"/>
  <c r="H77" i="14"/>
  <c r="H76" i="14"/>
  <c r="H75" i="14"/>
  <c r="H74" i="14"/>
  <c r="H73" i="14"/>
  <c r="H72" i="14"/>
  <c r="H71" i="14"/>
  <c r="G69" i="14"/>
  <c r="G68" i="14"/>
  <c r="H68" i="14" s="1"/>
  <c r="M50" i="14"/>
  <c r="K50" i="14"/>
  <c r="I50" i="14"/>
  <c r="G50" i="14"/>
  <c r="E50" i="14"/>
  <c r="C50" i="14"/>
  <c r="N49" i="14"/>
  <c r="M49" i="14"/>
  <c r="L49" i="14"/>
  <c r="K49" i="14"/>
  <c r="J49" i="14"/>
  <c r="I49" i="14"/>
  <c r="H49" i="14"/>
  <c r="G49" i="14"/>
  <c r="F49" i="14"/>
  <c r="E49" i="14"/>
  <c r="D49" i="14"/>
  <c r="C49" i="14"/>
  <c r="O49" i="14" s="1"/>
  <c r="O48" i="14"/>
  <c r="O47" i="14"/>
  <c r="O46" i="14"/>
  <c r="O45" i="14"/>
  <c r="O44" i="14"/>
  <c r="G56" i="14" s="1"/>
  <c r="O43" i="14"/>
  <c r="O42" i="14"/>
  <c r="G79" i="14" s="1"/>
  <c r="O41" i="14"/>
  <c r="O40" i="14"/>
  <c r="G70" i="14" s="1"/>
  <c r="H70" i="14" s="1"/>
  <c r="O39" i="14"/>
  <c r="O38" i="14"/>
  <c r="N37" i="14"/>
  <c r="J89" i="14" s="1"/>
  <c r="M37" i="14"/>
  <c r="L37" i="14"/>
  <c r="L50" i="14" s="1"/>
  <c r="K37" i="14"/>
  <c r="J37" i="14"/>
  <c r="J88" i="14" s="1"/>
  <c r="I37" i="14"/>
  <c r="H37" i="14"/>
  <c r="H50" i="14" s="1"/>
  <c r="G37" i="14"/>
  <c r="F37" i="14"/>
  <c r="F50" i="14" s="1"/>
  <c r="E37" i="14"/>
  <c r="D37" i="14"/>
  <c r="D50" i="14" s="1"/>
  <c r="C37" i="14"/>
  <c r="J86" i="14" s="1"/>
  <c r="O36" i="14"/>
  <c r="O35" i="14"/>
  <c r="O34" i="14"/>
  <c r="O33" i="14"/>
  <c r="O32" i="14"/>
  <c r="O31" i="14"/>
  <c r="O30" i="14"/>
  <c r="O29" i="14"/>
  <c r="O28" i="14"/>
  <c r="O27" i="14"/>
  <c r="O26" i="14"/>
  <c r="O25" i="14"/>
  <c r="O24" i="14"/>
  <c r="O23" i="14"/>
  <c r="O22" i="14"/>
  <c r="O21" i="14"/>
  <c r="O20" i="14"/>
  <c r="O19" i="14"/>
  <c r="O18" i="14"/>
  <c r="G57" i="14" s="1"/>
  <c r="O17" i="14"/>
  <c r="O16" i="14"/>
  <c r="O15" i="14"/>
  <c r="O14" i="14"/>
  <c r="O13" i="14"/>
  <c r="O12" i="14"/>
  <c r="O11" i="14"/>
  <c r="O10" i="14"/>
  <c r="O9" i="14"/>
  <c r="A8" i="14"/>
  <c r="H95" i="13"/>
  <c r="C90" i="13"/>
  <c r="C89" i="13"/>
  <c r="J88" i="13"/>
  <c r="H83" i="13"/>
  <c r="H80" i="13"/>
  <c r="H77" i="13"/>
  <c r="H76" i="13"/>
  <c r="H75" i="13"/>
  <c r="H73" i="13"/>
  <c r="O72" i="13"/>
  <c r="H72" i="13"/>
  <c r="H71" i="13"/>
  <c r="G70" i="13"/>
  <c r="H70" i="13" s="1"/>
  <c r="G68" i="13"/>
  <c r="G62" i="13"/>
  <c r="G57" i="13"/>
  <c r="J51" i="13"/>
  <c r="J52" i="13" s="1"/>
  <c r="L50" i="13"/>
  <c r="J50" i="13"/>
  <c r="H50" i="13"/>
  <c r="F50" i="13"/>
  <c r="D50" i="13"/>
  <c r="N49" i="13"/>
  <c r="N50" i="13" s="1"/>
  <c r="M49" i="13"/>
  <c r="L49" i="13"/>
  <c r="K49" i="13"/>
  <c r="J49" i="13"/>
  <c r="I49" i="13"/>
  <c r="H49" i="13"/>
  <c r="G49" i="13"/>
  <c r="F49" i="13"/>
  <c r="E49" i="13"/>
  <c r="D49" i="13"/>
  <c r="C49" i="13"/>
  <c r="O48" i="13"/>
  <c r="O47" i="13"/>
  <c r="G69" i="13" s="1"/>
  <c r="H69" i="13" s="1"/>
  <c r="O46" i="13"/>
  <c r="O45" i="13"/>
  <c r="O44" i="13"/>
  <c r="G56" i="13" s="1"/>
  <c r="O43" i="13"/>
  <c r="O42" i="13"/>
  <c r="G79" i="13" s="1"/>
  <c r="G84" i="13" s="1"/>
  <c r="O41" i="13"/>
  <c r="O40" i="13"/>
  <c r="O39" i="13"/>
  <c r="O38" i="13"/>
  <c r="G99" i="13" s="1"/>
  <c r="F33" i="1" s="1"/>
  <c r="P33" i="1" s="1"/>
  <c r="N37" i="13"/>
  <c r="M37" i="13"/>
  <c r="L37" i="13"/>
  <c r="K37" i="13"/>
  <c r="K50" i="13" s="1"/>
  <c r="J37" i="13"/>
  <c r="I37" i="13"/>
  <c r="I50" i="13" s="1"/>
  <c r="H37" i="13"/>
  <c r="G37" i="13"/>
  <c r="F37" i="13"/>
  <c r="E37" i="13"/>
  <c r="E50" i="13" s="1"/>
  <c r="D37" i="13"/>
  <c r="C37" i="13"/>
  <c r="C50" i="13" s="1"/>
  <c r="O36" i="13"/>
  <c r="O35" i="13"/>
  <c r="O34" i="13"/>
  <c r="O33" i="13"/>
  <c r="O32" i="13"/>
  <c r="O31" i="13"/>
  <c r="O30" i="13"/>
  <c r="O29" i="13"/>
  <c r="O28" i="13"/>
  <c r="O27" i="13"/>
  <c r="O26" i="13"/>
  <c r="O25" i="13"/>
  <c r="O24" i="13"/>
  <c r="O23" i="13"/>
  <c r="O22" i="13"/>
  <c r="O21" i="13"/>
  <c r="O20" i="13"/>
  <c r="O19" i="13"/>
  <c r="O18" i="13"/>
  <c r="O17" i="13"/>
  <c r="O16" i="13"/>
  <c r="O15" i="13"/>
  <c r="O14" i="13"/>
  <c r="O13" i="13"/>
  <c r="O12" i="13"/>
  <c r="O11" i="13"/>
  <c r="O10" i="13"/>
  <c r="O9" i="13"/>
  <c r="A8" i="13"/>
  <c r="H95" i="12"/>
  <c r="C90" i="12"/>
  <c r="C89" i="12"/>
  <c r="G84" i="12"/>
  <c r="H83" i="12"/>
  <c r="H80" i="12"/>
  <c r="H79" i="12"/>
  <c r="H77" i="12"/>
  <c r="H76" i="12"/>
  <c r="H75" i="12"/>
  <c r="H74" i="12"/>
  <c r="H73" i="12"/>
  <c r="H72" i="12"/>
  <c r="H70" i="12"/>
  <c r="H69" i="12"/>
  <c r="G58" i="12"/>
  <c r="M50" i="12"/>
  <c r="K50" i="12"/>
  <c r="I50" i="12"/>
  <c r="G50" i="12"/>
  <c r="E50" i="12"/>
  <c r="C50" i="12"/>
  <c r="N49" i="12"/>
  <c r="M49" i="12"/>
  <c r="L49" i="12"/>
  <c r="K49" i="12"/>
  <c r="J49" i="12"/>
  <c r="I49" i="12"/>
  <c r="H49" i="12"/>
  <c r="G49" i="12"/>
  <c r="F49" i="12"/>
  <c r="E49" i="12"/>
  <c r="D49" i="12"/>
  <c r="C49" i="12"/>
  <c r="O49" i="12" s="1"/>
  <c r="O48" i="12"/>
  <c r="O47" i="12"/>
  <c r="O46" i="12"/>
  <c r="O45" i="12"/>
  <c r="O44" i="12"/>
  <c r="G56" i="12" s="1"/>
  <c r="O43" i="12"/>
  <c r="G69" i="12" s="1"/>
  <c r="O42" i="12"/>
  <c r="O41" i="12"/>
  <c r="O40" i="12"/>
  <c r="G71" i="12" s="1"/>
  <c r="H71" i="12" s="1"/>
  <c r="O39" i="12"/>
  <c r="O38" i="12"/>
  <c r="G99" i="12" s="1"/>
  <c r="N37" i="12"/>
  <c r="N50" i="12" s="1"/>
  <c r="M37" i="12"/>
  <c r="L37" i="12"/>
  <c r="L50" i="12" s="1"/>
  <c r="K37" i="12"/>
  <c r="J37" i="12"/>
  <c r="I37" i="12"/>
  <c r="H37" i="12"/>
  <c r="H50" i="12" s="1"/>
  <c r="G37" i="12"/>
  <c r="J87" i="12" s="1"/>
  <c r="F37" i="12"/>
  <c r="F50" i="12" s="1"/>
  <c r="E37" i="12"/>
  <c r="D37" i="12"/>
  <c r="D50" i="12" s="1"/>
  <c r="C37" i="12"/>
  <c r="O36" i="12"/>
  <c r="O35" i="12"/>
  <c r="O34" i="12"/>
  <c r="O33" i="12"/>
  <c r="O32" i="12"/>
  <c r="O31" i="12"/>
  <c r="O30" i="12"/>
  <c r="O29" i="12"/>
  <c r="O28" i="12"/>
  <c r="O27" i="12"/>
  <c r="O26" i="12"/>
  <c r="O25" i="12"/>
  <c r="O24" i="12"/>
  <c r="O23" i="12"/>
  <c r="O22" i="12"/>
  <c r="O21" i="12"/>
  <c r="O20" i="12"/>
  <c r="O19" i="12"/>
  <c r="O18" i="12"/>
  <c r="O17" i="12"/>
  <c r="O16" i="12"/>
  <c r="O15" i="12"/>
  <c r="O14" i="12"/>
  <c r="O13" i="12"/>
  <c r="O12" i="12"/>
  <c r="O11" i="12"/>
  <c r="O10" i="12"/>
  <c r="O9" i="12"/>
  <c r="A8" i="12"/>
  <c r="H94" i="11"/>
  <c r="C89" i="11"/>
  <c r="C88" i="11"/>
  <c r="H82" i="11"/>
  <c r="H79" i="11"/>
  <c r="G78" i="11"/>
  <c r="H78" i="11" s="1"/>
  <c r="H76" i="11"/>
  <c r="H75" i="11"/>
  <c r="H74" i="11"/>
  <c r="H73" i="11"/>
  <c r="H72" i="11"/>
  <c r="H71" i="11"/>
  <c r="G70" i="11"/>
  <c r="H70" i="11" s="1"/>
  <c r="H69" i="11"/>
  <c r="G69" i="11"/>
  <c r="G68" i="11"/>
  <c r="P63" i="11"/>
  <c r="G56" i="11"/>
  <c r="N50" i="11"/>
  <c r="M50" i="11"/>
  <c r="K50" i="11"/>
  <c r="J50" i="11"/>
  <c r="I50" i="11"/>
  <c r="F50" i="11"/>
  <c r="E50" i="11"/>
  <c r="N49" i="11"/>
  <c r="M49" i="11"/>
  <c r="L49" i="11"/>
  <c r="K49" i="11"/>
  <c r="J49" i="11"/>
  <c r="I49" i="11"/>
  <c r="H49" i="11"/>
  <c r="G49" i="11"/>
  <c r="F49" i="11"/>
  <c r="E49" i="11"/>
  <c r="D49" i="11"/>
  <c r="C49" i="11"/>
  <c r="O49" i="11" s="1"/>
  <c r="O48" i="11"/>
  <c r="O47" i="11"/>
  <c r="O46" i="11"/>
  <c r="O45" i="11"/>
  <c r="O44" i="11"/>
  <c r="O43" i="11"/>
  <c r="O42" i="11"/>
  <c r="O72" i="11" s="1"/>
  <c r="O41" i="11"/>
  <c r="O40" i="11"/>
  <c r="O39" i="11"/>
  <c r="O38" i="11"/>
  <c r="G98" i="11" s="1"/>
  <c r="N37" i="11"/>
  <c r="M37" i="11"/>
  <c r="J88" i="11" s="1"/>
  <c r="L37" i="11"/>
  <c r="L50" i="11" s="1"/>
  <c r="K37" i="11"/>
  <c r="J87" i="11" s="1"/>
  <c r="J37" i="11"/>
  <c r="J51" i="11" s="1"/>
  <c r="J52" i="11" s="1"/>
  <c r="I37" i="11"/>
  <c r="H37" i="11"/>
  <c r="H50" i="11" s="1"/>
  <c r="G37" i="11"/>
  <c r="J86" i="11" s="1"/>
  <c r="F37" i="11"/>
  <c r="E37" i="11"/>
  <c r="D37" i="11"/>
  <c r="D50" i="11" s="1"/>
  <c r="C37" i="11"/>
  <c r="J85" i="11" s="1"/>
  <c r="O36" i="11"/>
  <c r="O35" i="11"/>
  <c r="O34" i="11"/>
  <c r="O33" i="11"/>
  <c r="O32" i="11"/>
  <c r="O31" i="11"/>
  <c r="O30" i="11"/>
  <c r="O29" i="11"/>
  <c r="O28" i="11"/>
  <c r="O27" i="11"/>
  <c r="O26" i="11"/>
  <c r="O25" i="11"/>
  <c r="O24" i="11"/>
  <c r="O23" i="11"/>
  <c r="O22" i="11"/>
  <c r="O21" i="11"/>
  <c r="O20" i="11"/>
  <c r="O19" i="11"/>
  <c r="O18" i="11"/>
  <c r="O17" i="11"/>
  <c r="O16" i="11"/>
  <c r="O15" i="11"/>
  <c r="O14" i="11"/>
  <c r="O13" i="11"/>
  <c r="O12" i="11"/>
  <c r="O11" i="11"/>
  <c r="O10" i="11"/>
  <c r="O9" i="11"/>
  <c r="A8" i="11"/>
  <c r="C90" i="10"/>
  <c r="C89" i="10"/>
  <c r="J87" i="10"/>
  <c r="G84" i="10"/>
  <c r="H83" i="10"/>
  <c r="H80" i="10"/>
  <c r="H79" i="10"/>
  <c r="H77" i="10"/>
  <c r="H76" i="10"/>
  <c r="H75" i="10"/>
  <c r="H74" i="10"/>
  <c r="H73" i="10"/>
  <c r="H72" i="10"/>
  <c r="H70" i="10"/>
  <c r="G69" i="10"/>
  <c r="G78" i="10" s="1"/>
  <c r="G58" i="10"/>
  <c r="Q51" i="10"/>
  <c r="L51" i="10"/>
  <c r="K51" i="10"/>
  <c r="I51" i="10"/>
  <c r="H51" i="10"/>
  <c r="G51" i="10"/>
  <c r="D51" i="10"/>
  <c r="C51" i="10"/>
  <c r="N50" i="10"/>
  <c r="M50" i="10"/>
  <c r="L50" i="10"/>
  <c r="K50" i="10"/>
  <c r="J50" i="10"/>
  <c r="I50" i="10"/>
  <c r="H50" i="10"/>
  <c r="G50" i="10"/>
  <c r="F50" i="10"/>
  <c r="E50" i="10"/>
  <c r="E51" i="10" s="1"/>
  <c r="D50" i="10"/>
  <c r="C50" i="10"/>
  <c r="O49" i="10"/>
  <c r="O48" i="10"/>
  <c r="O47" i="10"/>
  <c r="O46" i="10"/>
  <c r="O45" i="10"/>
  <c r="O44" i="10"/>
  <c r="G57" i="10" s="1"/>
  <c r="O43" i="10"/>
  <c r="O42" i="10"/>
  <c r="O41" i="10"/>
  <c r="O40" i="10"/>
  <c r="G71" i="10" s="1"/>
  <c r="H71" i="10" s="1"/>
  <c r="O39" i="10"/>
  <c r="Q38" i="10"/>
  <c r="O38" i="10"/>
  <c r="G99" i="10" s="1"/>
  <c r="Q37" i="10"/>
  <c r="Q39" i="10" s="1"/>
  <c r="N37" i="10"/>
  <c r="N51" i="10" s="1"/>
  <c r="M37" i="10"/>
  <c r="L37" i="10"/>
  <c r="K37" i="10"/>
  <c r="J37" i="10"/>
  <c r="J51" i="10" s="1"/>
  <c r="I37" i="10"/>
  <c r="H37" i="10"/>
  <c r="G37" i="10"/>
  <c r="F37" i="10"/>
  <c r="F51" i="10" s="1"/>
  <c r="E37" i="10"/>
  <c r="D37" i="10"/>
  <c r="C37" i="10"/>
  <c r="O36" i="10"/>
  <c r="O35" i="10"/>
  <c r="O34" i="10"/>
  <c r="O33" i="10"/>
  <c r="O32" i="10"/>
  <c r="O31" i="10"/>
  <c r="O30" i="10"/>
  <c r="O29" i="10"/>
  <c r="O28" i="10"/>
  <c r="O27" i="10"/>
  <c r="O26" i="10"/>
  <c r="O25" i="10"/>
  <c r="O24" i="10"/>
  <c r="O23" i="10"/>
  <c r="O22" i="10"/>
  <c r="O21" i="10"/>
  <c r="O20" i="10"/>
  <c r="O19" i="10"/>
  <c r="O18" i="10"/>
  <c r="O17" i="10"/>
  <c r="O16" i="10"/>
  <c r="O15" i="10"/>
  <c r="O14" i="10"/>
  <c r="O13" i="10"/>
  <c r="O12" i="10"/>
  <c r="O11" i="10"/>
  <c r="O10" i="10"/>
  <c r="O9" i="10"/>
  <c r="A8" i="10"/>
  <c r="H95" i="9"/>
  <c r="C90" i="9"/>
  <c r="J89" i="9"/>
  <c r="C89" i="9"/>
  <c r="J88" i="9"/>
  <c r="J87" i="9"/>
  <c r="J86" i="9"/>
  <c r="J90" i="9" s="1"/>
  <c r="G84" i="9"/>
  <c r="H83" i="9"/>
  <c r="H80" i="9"/>
  <c r="H79" i="9"/>
  <c r="H77" i="9"/>
  <c r="H76" i="9"/>
  <c r="H75" i="9"/>
  <c r="H74" i="9"/>
  <c r="H73" i="9"/>
  <c r="H72" i="9"/>
  <c r="G70" i="9"/>
  <c r="H70" i="9" s="1"/>
  <c r="O69" i="9"/>
  <c r="G69" i="9"/>
  <c r="H78" i="9" s="1"/>
  <c r="H84" i="9" s="1"/>
  <c r="G57" i="9"/>
  <c r="J56" i="9"/>
  <c r="J53" i="9"/>
  <c r="J52" i="9"/>
  <c r="Q51" i="9"/>
  <c r="J51" i="9"/>
  <c r="F51" i="9"/>
  <c r="N50" i="9"/>
  <c r="N51" i="9" s="1"/>
  <c r="M50" i="9"/>
  <c r="L50" i="9"/>
  <c r="K50" i="9"/>
  <c r="K51" i="9" s="1"/>
  <c r="J50" i="9"/>
  <c r="I50" i="9"/>
  <c r="H50" i="9"/>
  <c r="G50" i="9"/>
  <c r="G51" i="9" s="1"/>
  <c r="F50" i="9"/>
  <c r="E50" i="9"/>
  <c r="D50" i="9"/>
  <c r="C50" i="9"/>
  <c r="O49" i="9"/>
  <c r="O48" i="9"/>
  <c r="O47" i="9"/>
  <c r="O46" i="9"/>
  <c r="O45" i="9"/>
  <c r="O44" i="9"/>
  <c r="O43" i="9"/>
  <c r="O73" i="9" s="1"/>
  <c r="O42" i="9"/>
  <c r="O41" i="9"/>
  <c r="G71" i="9" s="1"/>
  <c r="H71" i="9" s="1"/>
  <c r="O40" i="9"/>
  <c r="O39" i="9"/>
  <c r="O38" i="9"/>
  <c r="G99" i="9" s="1"/>
  <c r="F37" i="1" s="1"/>
  <c r="P37" i="1" s="1"/>
  <c r="N37" i="9"/>
  <c r="M37" i="9"/>
  <c r="M51" i="9" s="1"/>
  <c r="L37" i="9"/>
  <c r="L51" i="9" s="1"/>
  <c r="K37" i="9"/>
  <c r="J37" i="9"/>
  <c r="I37" i="9"/>
  <c r="I51" i="9" s="1"/>
  <c r="J55" i="9" s="1"/>
  <c r="H37" i="9"/>
  <c r="H51" i="9" s="1"/>
  <c r="G37" i="9"/>
  <c r="F37" i="9"/>
  <c r="E37" i="9"/>
  <c r="E51" i="9" s="1"/>
  <c r="D37" i="9"/>
  <c r="D51" i="9" s="1"/>
  <c r="C37" i="9"/>
  <c r="O37" i="9" s="1"/>
  <c r="G54" i="9" s="1"/>
  <c r="G60" i="9" s="1"/>
  <c r="G65" i="9" s="1"/>
  <c r="O36" i="9"/>
  <c r="O35" i="9"/>
  <c r="O34" i="9"/>
  <c r="O33" i="9"/>
  <c r="O32" i="9"/>
  <c r="O31" i="9"/>
  <c r="O30" i="9"/>
  <c r="O29" i="9"/>
  <c r="O28" i="9"/>
  <c r="O27" i="9"/>
  <c r="O26" i="9"/>
  <c r="O25" i="9"/>
  <c r="O24" i="9"/>
  <c r="O23" i="9"/>
  <c r="O22" i="9"/>
  <c r="O21" i="9"/>
  <c r="O20" i="9"/>
  <c r="O19" i="9"/>
  <c r="O18" i="9"/>
  <c r="G58" i="9" s="1"/>
  <c r="O17" i="9"/>
  <c r="O16" i="9"/>
  <c r="O15" i="9"/>
  <c r="O14" i="9"/>
  <c r="O13" i="9"/>
  <c r="O12" i="9"/>
  <c r="O11" i="9"/>
  <c r="O10" i="9"/>
  <c r="O9" i="9"/>
  <c r="A8" i="9"/>
  <c r="H94" i="8"/>
  <c r="C89" i="8"/>
  <c r="C88" i="8"/>
  <c r="J85" i="8"/>
  <c r="H82" i="8"/>
  <c r="H79" i="8"/>
  <c r="H76" i="8"/>
  <c r="H75" i="8"/>
  <c r="H74" i="8"/>
  <c r="H73" i="8"/>
  <c r="H72" i="8"/>
  <c r="H71" i="8"/>
  <c r="H70" i="8"/>
  <c r="H69" i="8"/>
  <c r="G56" i="8"/>
  <c r="G53" i="8"/>
  <c r="G59" i="8" s="1"/>
  <c r="G64" i="8" s="1"/>
  <c r="Q50" i="8"/>
  <c r="K50" i="8"/>
  <c r="G50" i="8"/>
  <c r="C50" i="8"/>
  <c r="N49" i="8"/>
  <c r="M49" i="8"/>
  <c r="L49" i="8"/>
  <c r="L50" i="8" s="1"/>
  <c r="K49" i="8"/>
  <c r="J49" i="8"/>
  <c r="I49" i="8"/>
  <c r="H49" i="8"/>
  <c r="G49" i="8"/>
  <c r="F49" i="8"/>
  <c r="E49" i="8"/>
  <c r="D49" i="8"/>
  <c r="D50" i="8" s="1"/>
  <c r="C49" i="8"/>
  <c r="O49" i="8" s="1"/>
  <c r="O48" i="8"/>
  <c r="O47" i="8"/>
  <c r="O46" i="8"/>
  <c r="O45" i="8"/>
  <c r="O44" i="8"/>
  <c r="O43" i="8"/>
  <c r="G68" i="8" s="1"/>
  <c r="O42" i="8"/>
  <c r="G78" i="8" s="1"/>
  <c r="O41" i="8"/>
  <c r="O40" i="8"/>
  <c r="G70" i="8" s="1"/>
  <c r="O39" i="8"/>
  <c r="O38" i="8"/>
  <c r="G98" i="8" s="1"/>
  <c r="N37" i="8"/>
  <c r="N50" i="8" s="1"/>
  <c r="M37" i="8"/>
  <c r="L37" i="8"/>
  <c r="K37" i="8"/>
  <c r="J37" i="8"/>
  <c r="J50" i="8" s="1"/>
  <c r="I37" i="8"/>
  <c r="H37" i="8"/>
  <c r="H50" i="8" s="1"/>
  <c r="G37" i="8"/>
  <c r="F37" i="8"/>
  <c r="F50" i="8" s="1"/>
  <c r="E37" i="8"/>
  <c r="D37" i="8"/>
  <c r="C37" i="8"/>
  <c r="O37" i="8" s="1"/>
  <c r="O36" i="8"/>
  <c r="O35" i="8"/>
  <c r="O34" i="8"/>
  <c r="O33" i="8"/>
  <c r="O32" i="8"/>
  <c r="O31" i="8"/>
  <c r="O30" i="8"/>
  <c r="O29" i="8"/>
  <c r="O28" i="8"/>
  <c r="O27" i="8"/>
  <c r="O26" i="8"/>
  <c r="O25" i="8"/>
  <c r="O24" i="8"/>
  <c r="O23" i="8"/>
  <c r="O22" i="8"/>
  <c r="O21" i="8"/>
  <c r="O20" i="8"/>
  <c r="O19" i="8"/>
  <c r="O18" i="8"/>
  <c r="O17" i="8"/>
  <c r="O16" i="8"/>
  <c r="O15" i="8"/>
  <c r="O14" i="8"/>
  <c r="O13" i="8"/>
  <c r="O12" i="8"/>
  <c r="O11" i="8"/>
  <c r="O10" i="8"/>
  <c r="O9" i="8"/>
  <c r="A8" i="8"/>
  <c r="H94" i="7"/>
  <c r="C89" i="7"/>
  <c r="C88" i="7"/>
  <c r="H82" i="7"/>
  <c r="H79" i="7"/>
  <c r="H76" i="7"/>
  <c r="H75" i="7"/>
  <c r="H74" i="7"/>
  <c r="H73" i="7"/>
  <c r="H72" i="7"/>
  <c r="H71" i="7"/>
  <c r="G70" i="7"/>
  <c r="H70" i="7" s="1"/>
  <c r="H69" i="7"/>
  <c r="G68" i="7"/>
  <c r="Q50" i="7"/>
  <c r="N50" i="7"/>
  <c r="J50" i="7"/>
  <c r="G50" i="7"/>
  <c r="F50" i="7"/>
  <c r="N49" i="7"/>
  <c r="M49" i="7"/>
  <c r="L49" i="7"/>
  <c r="K49" i="7"/>
  <c r="J49" i="7"/>
  <c r="I49" i="7"/>
  <c r="H49" i="7"/>
  <c r="G49" i="7"/>
  <c r="F49" i="7"/>
  <c r="E49" i="7"/>
  <c r="D49" i="7"/>
  <c r="C49" i="7"/>
  <c r="O49" i="7" s="1"/>
  <c r="O48" i="7"/>
  <c r="O47" i="7"/>
  <c r="G69" i="7" s="1"/>
  <c r="O46" i="7"/>
  <c r="O45" i="7"/>
  <c r="O44" i="7"/>
  <c r="G56" i="7" s="1"/>
  <c r="O43" i="7"/>
  <c r="O42" i="7"/>
  <c r="G78" i="7" s="1"/>
  <c r="O41" i="7"/>
  <c r="O40" i="7"/>
  <c r="O39" i="7"/>
  <c r="O38" i="7"/>
  <c r="G98" i="7" s="1"/>
  <c r="N37" i="7"/>
  <c r="M37" i="7"/>
  <c r="M50" i="7" s="1"/>
  <c r="L37" i="7"/>
  <c r="L50" i="7" s="1"/>
  <c r="K37" i="7"/>
  <c r="J87" i="7" s="1"/>
  <c r="J37" i="7"/>
  <c r="J51" i="7" s="1"/>
  <c r="J52" i="7" s="1"/>
  <c r="I37" i="7"/>
  <c r="I50" i="7" s="1"/>
  <c r="H37" i="7"/>
  <c r="H50" i="7" s="1"/>
  <c r="G37" i="7"/>
  <c r="J86" i="7" s="1"/>
  <c r="F37" i="7"/>
  <c r="E37" i="7"/>
  <c r="E50" i="7" s="1"/>
  <c r="D37" i="7"/>
  <c r="D50" i="7" s="1"/>
  <c r="C37" i="7"/>
  <c r="J85" i="7" s="1"/>
  <c r="O36" i="7"/>
  <c r="O35" i="7"/>
  <c r="O34" i="7"/>
  <c r="O33" i="7"/>
  <c r="O32" i="7"/>
  <c r="O31" i="7"/>
  <c r="O30" i="7"/>
  <c r="O29" i="7"/>
  <c r="O28" i="7"/>
  <c r="O27" i="7"/>
  <c r="O26" i="7"/>
  <c r="O25" i="7"/>
  <c r="O24" i="7"/>
  <c r="O23" i="7"/>
  <c r="O22" i="7"/>
  <c r="O21" i="7"/>
  <c r="O20" i="7"/>
  <c r="O19" i="7"/>
  <c r="O18" i="7"/>
  <c r="O17" i="7"/>
  <c r="O16" i="7"/>
  <c r="O15" i="7"/>
  <c r="O14" i="7"/>
  <c r="O13" i="7"/>
  <c r="O12" i="7"/>
  <c r="O11" i="7"/>
  <c r="O10" i="7"/>
  <c r="O9" i="7"/>
  <c r="A8" i="7"/>
  <c r="G99" i="6"/>
  <c r="H95" i="6"/>
  <c r="C90" i="6"/>
  <c r="C89" i="6"/>
  <c r="H83" i="6"/>
  <c r="H80" i="6"/>
  <c r="H77" i="6"/>
  <c r="H76" i="6"/>
  <c r="H75" i="6"/>
  <c r="H74" i="6"/>
  <c r="H73" i="6"/>
  <c r="H72" i="6"/>
  <c r="G70" i="6"/>
  <c r="H70" i="6" s="1"/>
  <c r="G57" i="6"/>
  <c r="J51" i="6"/>
  <c r="J52" i="6" s="1"/>
  <c r="M50" i="6"/>
  <c r="L50" i="6"/>
  <c r="H50" i="6"/>
  <c r="E50" i="6"/>
  <c r="D50" i="6"/>
  <c r="N49" i="6"/>
  <c r="M49" i="6"/>
  <c r="L49" i="6"/>
  <c r="K49" i="6"/>
  <c r="J49" i="6"/>
  <c r="I49" i="6"/>
  <c r="H49" i="6"/>
  <c r="G49" i="6"/>
  <c r="F49" i="6"/>
  <c r="E49" i="6"/>
  <c r="D49" i="6"/>
  <c r="C49" i="6"/>
  <c r="O48" i="6"/>
  <c r="O47" i="6"/>
  <c r="O46" i="6"/>
  <c r="O45" i="6"/>
  <c r="O44" i="6"/>
  <c r="G56" i="6" s="1"/>
  <c r="O43" i="6"/>
  <c r="G69" i="6" s="1"/>
  <c r="H78" i="6" s="1"/>
  <c r="O42" i="6"/>
  <c r="O73" i="6" s="1"/>
  <c r="O41" i="6"/>
  <c r="O40" i="6"/>
  <c r="G71" i="6" s="1"/>
  <c r="H71" i="6" s="1"/>
  <c r="O39" i="6"/>
  <c r="O38" i="6"/>
  <c r="N37" i="6"/>
  <c r="M37" i="6"/>
  <c r="J89" i="6" s="1"/>
  <c r="L37" i="6"/>
  <c r="K37" i="6"/>
  <c r="K50" i="6" s="1"/>
  <c r="J37" i="6"/>
  <c r="I37" i="6"/>
  <c r="I50" i="6" s="1"/>
  <c r="H37" i="6"/>
  <c r="G37" i="6"/>
  <c r="G50" i="6" s="1"/>
  <c r="F37" i="6"/>
  <c r="E37" i="6"/>
  <c r="J86" i="6" s="1"/>
  <c r="D37" i="6"/>
  <c r="C37" i="6"/>
  <c r="C50" i="6" s="1"/>
  <c r="O36" i="6"/>
  <c r="O35" i="6"/>
  <c r="O34" i="6"/>
  <c r="O33" i="6"/>
  <c r="O32" i="6"/>
  <c r="O31" i="6"/>
  <c r="O30" i="6"/>
  <c r="O29" i="6"/>
  <c r="O28" i="6"/>
  <c r="O27" i="6"/>
  <c r="O26" i="6"/>
  <c r="O25" i="6"/>
  <c r="O24" i="6"/>
  <c r="O23" i="6"/>
  <c r="O22" i="6"/>
  <c r="O21" i="6"/>
  <c r="O20" i="6"/>
  <c r="O19" i="6"/>
  <c r="O102" i="6" s="1"/>
  <c r="O18" i="6"/>
  <c r="O17" i="6"/>
  <c r="O16" i="6"/>
  <c r="O15" i="6"/>
  <c r="O14" i="6"/>
  <c r="O13" i="6"/>
  <c r="O12" i="6"/>
  <c r="O11" i="6"/>
  <c r="O101" i="6" s="1"/>
  <c r="O10" i="6"/>
  <c r="O9" i="6"/>
  <c r="O103" i="6" s="1"/>
  <c r="A8" i="6"/>
  <c r="H95" i="5"/>
  <c r="C90" i="5"/>
  <c r="J89" i="5"/>
  <c r="C89" i="5"/>
  <c r="J88" i="5"/>
  <c r="J87" i="5"/>
  <c r="J86" i="5"/>
  <c r="J90" i="5" s="1"/>
  <c r="H83" i="5"/>
  <c r="H80" i="5"/>
  <c r="H77" i="5"/>
  <c r="H76" i="5"/>
  <c r="H75" i="5"/>
  <c r="H74" i="5"/>
  <c r="O73" i="5"/>
  <c r="H73" i="5"/>
  <c r="H72" i="5"/>
  <c r="G71" i="5"/>
  <c r="G78" i="5" s="1"/>
  <c r="H69" i="5"/>
  <c r="G69" i="5"/>
  <c r="G58" i="5"/>
  <c r="G57" i="5"/>
  <c r="E52" i="5"/>
  <c r="Q51" i="5"/>
  <c r="Q53" i="5" s="1"/>
  <c r="G51" i="5"/>
  <c r="N50" i="5"/>
  <c r="M50" i="5"/>
  <c r="L50" i="5"/>
  <c r="K50" i="5"/>
  <c r="K51" i="5" s="1"/>
  <c r="J50" i="5"/>
  <c r="I50" i="5"/>
  <c r="H50" i="5"/>
  <c r="G50" i="5"/>
  <c r="F50" i="5"/>
  <c r="E50" i="5"/>
  <c r="D50" i="5"/>
  <c r="C50" i="5"/>
  <c r="C51" i="5" s="1"/>
  <c r="O49" i="5"/>
  <c r="O48" i="5"/>
  <c r="G70" i="5" s="1"/>
  <c r="H70" i="5" s="1"/>
  <c r="O47" i="5"/>
  <c r="O46" i="5"/>
  <c r="O45" i="5"/>
  <c r="O44" i="5"/>
  <c r="O43" i="5"/>
  <c r="G79" i="5" s="1"/>
  <c r="G84" i="5" s="1"/>
  <c r="O42" i="5"/>
  <c r="O41" i="5"/>
  <c r="O40" i="5"/>
  <c r="Q39" i="5"/>
  <c r="Q40" i="5" s="1"/>
  <c r="O39" i="5"/>
  <c r="G99" i="5" s="1"/>
  <c r="N38" i="5"/>
  <c r="N51" i="5" s="1"/>
  <c r="M38" i="5"/>
  <c r="M51" i="5" s="1"/>
  <c r="L38" i="5"/>
  <c r="L51" i="5" s="1"/>
  <c r="K38" i="5"/>
  <c r="J38" i="5"/>
  <c r="J52" i="5" s="1"/>
  <c r="J53" i="5" s="1"/>
  <c r="I38" i="5"/>
  <c r="I51" i="5" s="1"/>
  <c r="H38" i="5"/>
  <c r="H51" i="5" s="1"/>
  <c r="G38" i="5"/>
  <c r="F38" i="5"/>
  <c r="F51" i="5" s="1"/>
  <c r="E38" i="5"/>
  <c r="E51" i="5" s="1"/>
  <c r="D38" i="5"/>
  <c r="D51" i="5" s="1"/>
  <c r="C38" i="5"/>
  <c r="O37" i="5"/>
  <c r="O36" i="5"/>
  <c r="O35" i="5"/>
  <c r="O34" i="5"/>
  <c r="O33" i="5"/>
  <c r="O32" i="5"/>
  <c r="O31" i="5"/>
  <c r="O30" i="5"/>
  <c r="O29" i="5"/>
  <c r="O28" i="5"/>
  <c r="O27" i="5"/>
  <c r="O26" i="5"/>
  <c r="O25" i="5"/>
  <c r="O24" i="5"/>
  <c r="O23" i="5"/>
  <c r="O22" i="5"/>
  <c r="O21" i="5"/>
  <c r="O20" i="5"/>
  <c r="O19" i="5"/>
  <c r="O18" i="5"/>
  <c r="O17" i="5"/>
  <c r="O16" i="5"/>
  <c r="O15" i="5"/>
  <c r="O14" i="5"/>
  <c r="O13" i="5"/>
  <c r="O12" i="5"/>
  <c r="O11" i="5"/>
  <c r="O10" i="5"/>
  <c r="O9" i="5"/>
  <c r="A8" i="5"/>
  <c r="G99" i="4"/>
  <c r="H95" i="4"/>
  <c r="C90" i="4"/>
  <c r="C89" i="4"/>
  <c r="G84" i="4"/>
  <c r="H83" i="4"/>
  <c r="H80" i="4"/>
  <c r="H79" i="4"/>
  <c r="H77" i="4"/>
  <c r="H76" i="4"/>
  <c r="H75" i="4"/>
  <c r="H74" i="4"/>
  <c r="O73" i="4"/>
  <c r="H73" i="4"/>
  <c r="H72" i="4"/>
  <c r="G71" i="4"/>
  <c r="H71" i="4" s="1"/>
  <c r="H69" i="4"/>
  <c r="G69" i="4"/>
  <c r="G58" i="4"/>
  <c r="G57" i="4"/>
  <c r="J52" i="4"/>
  <c r="J53" i="4" s="1"/>
  <c r="Q51" i="4"/>
  <c r="M51" i="4"/>
  <c r="L51" i="4"/>
  <c r="I51" i="4"/>
  <c r="H51" i="4"/>
  <c r="E51" i="4"/>
  <c r="D51" i="4"/>
  <c r="N50" i="4"/>
  <c r="M50" i="4"/>
  <c r="L50" i="4"/>
  <c r="K50" i="4"/>
  <c r="J50" i="4"/>
  <c r="I50" i="4"/>
  <c r="H50" i="4"/>
  <c r="G50" i="4"/>
  <c r="F50" i="4"/>
  <c r="E50" i="4"/>
  <c r="D50" i="4"/>
  <c r="C50" i="4"/>
  <c r="O49" i="4"/>
  <c r="O48" i="4"/>
  <c r="O47" i="4"/>
  <c r="G70" i="4" s="1"/>
  <c r="H70" i="4" s="1"/>
  <c r="O46" i="4"/>
  <c r="O45" i="4"/>
  <c r="O44" i="4"/>
  <c r="O43" i="4"/>
  <c r="O42" i="4"/>
  <c r="O41" i="4"/>
  <c r="O40" i="4"/>
  <c r="O39" i="4"/>
  <c r="O38" i="4"/>
  <c r="N37" i="4"/>
  <c r="M37" i="4"/>
  <c r="L37" i="4"/>
  <c r="K37" i="4"/>
  <c r="K51" i="4" s="1"/>
  <c r="J37" i="4"/>
  <c r="I37" i="4"/>
  <c r="H37" i="4"/>
  <c r="G37" i="4"/>
  <c r="F37" i="4"/>
  <c r="E37" i="4"/>
  <c r="D37" i="4"/>
  <c r="C37" i="4"/>
  <c r="C51" i="4" s="1"/>
  <c r="O36" i="4"/>
  <c r="O35" i="4"/>
  <c r="O34" i="4"/>
  <c r="O33" i="4"/>
  <c r="O32" i="4"/>
  <c r="O31" i="4"/>
  <c r="O30" i="4"/>
  <c r="O29" i="4"/>
  <c r="O28" i="4"/>
  <c r="O27" i="4"/>
  <c r="O26" i="4"/>
  <c r="O25" i="4"/>
  <c r="O24" i="4"/>
  <c r="O23" i="4"/>
  <c r="O22" i="4"/>
  <c r="O21" i="4"/>
  <c r="O20" i="4"/>
  <c r="O19" i="4"/>
  <c r="O18" i="4"/>
  <c r="O17" i="4"/>
  <c r="O16" i="4"/>
  <c r="O15" i="4"/>
  <c r="O14" i="4"/>
  <c r="O13" i="4"/>
  <c r="O12" i="4"/>
  <c r="O11" i="4"/>
  <c r="O10" i="4"/>
  <c r="O9" i="4"/>
  <c r="A8" i="4"/>
  <c r="G98" i="3"/>
  <c r="H94" i="3"/>
  <c r="C89" i="3"/>
  <c r="C88" i="3"/>
  <c r="H82" i="3"/>
  <c r="H79" i="3"/>
  <c r="H76" i="3"/>
  <c r="H75" i="3"/>
  <c r="H74" i="3"/>
  <c r="H73" i="3"/>
  <c r="H72" i="3"/>
  <c r="H71" i="3"/>
  <c r="O68" i="3"/>
  <c r="H68" i="3"/>
  <c r="G57" i="3"/>
  <c r="Q50" i="3"/>
  <c r="M50" i="3"/>
  <c r="I50" i="3"/>
  <c r="E50" i="3"/>
  <c r="N49" i="3"/>
  <c r="M49" i="3"/>
  <c r="L49" i="3"/>
  <c r="K49" i="3"/>
  <c r="J49" i="3"/>
  <c r="I49" i="3"/>
  <c r="H49" i="3"/>
  <c r="G49" i="3"/>
  <c r="F49" i="3"/>
  <c r="E49" i="3"/>
  <c r="D49" i="3"/>
  <c r="C49" i="3"/>
  <c r="O49" i="3" s="1"/>
  <c r="O48" i="3"/>
  <c r="O47" i="3"/>
  <c r="G69" i="3" s="1"/>
  <c r="H69" i="3" s="1"/>
  <c r="O46" i="3"/>
  <c r="O45" i="3"/>
  <c r="O44" i="3"/>
  <c r="G56" i="3" s="1"/>
  <c r="O43" i="3"/>
  <c r="G68" i="3" s="1"/>
  <c r="O42" i="3"/>
  <c r="G78" i="3" s="1"/>
  <c r="O41" i="3"/>
  <c r="O40" i="3"/>
  <c r="G70" i="3" s="1"/>
  <c r="O39" i="3"/>
  <c r="O38" i="3"/>
  <c r="N37" i="3"/>
  <c r="J88" i="3" s="1"/>
  <c r="M37" i="3"/>
  <c r="L37" i="3"/>
  <c r="L50" i="3" s="1"/>
  <c r="K37" i="3"/>
  <c r="K50" i="3" s="1"/>
  <c r="J37" i="3"/>
  <c r="J87" i="3" s="1"/>
  <c r="I37" i="3"/>
  <c r="H37" i="3"/>
  <c r="H50" i="3" s="1"/>
  <c r="G37" i="3"/>
  <c r="F37" i="3"/>
  <c r="F50" i="3" s="1"/>
  <c r="E37" i="3"/>
  <c r="D37" i="3"/>
  <c r="D50" i="3" s="1"/>
  <c r="C37" i="3"/>
  <c r="C50" i="3" s="1"/>
  <c r="O36" i="3"/>
  <c r="O35" i="3"/>
  <c r="O34" i="3"/>
  <c r="O33" i="3"/>
  <c r="O32" i="3"/>
  <c r="O31" i="3"/>
  <c r="O30" i="3"/>
  <c r="O29" i="3"/>
  <c r="O28" i="3"/>
  <c r="O27" i="3"/>
  <c r="O26" i="3"/>
  <c r="O25" i="3"/>
  <c r="O24" i="3"/>
  <c r="O23" i="3"/>
  <c r="O22" i="3"/>
  <c r="O21" i="3"/>
  <c r="O20" i="3"/>
  <c r="O19" i="3"/>
  <c r="O18" i="3"/>
  <c r="O17" i="3"/>
  <c r="O16" i="3"/>
  <c r="O15" i="3"/>
  <c r="O14" i="3"/>
  <c r="O13" i="3"/>
  <c r="O12" i="3"/>
  <c r="O11" i="3"/>
  <c r="O10" i="3"/>
  <c r="O9" i="3"/>
  <c r="H95" i="2"/>
  <c r="C90" i="2"/>
  <c r="C89" i="2"/>
  <c r="H83" i="2"/>
  <c r="H81" i="2"/>
  <c r="H80" i="2"/>
  <c r="G78" i="2"/>
  <c r="H77" i="2"/>
  <c r="H76" i="2"/>
  <c r="H75" i="2"/>
  <c r="H74" i="2"/>
  <c r="H73" i="2"/>
  <c r="H72" i="2"/>
  <c r="H70" i="2"/>
  <c r="G69" i="2"/>
  <c r="H69" i="2" s="1"/>
  <c r="G56" i="2"/>
  <c r="N50" i="2"/>
  <c r="M50" i="2"/>
  <c r="I50" i="2"/>
  <c r="F50" i="2"/>
  <c r="E50" i="2"/>
  <c r="N49" i="2"/>
  <c r="M49" i="2"/>
  <c r="L49" i="2"/>
  <c r="K49" i="2"/>
  <c r="J49" i="2"/>
  <c r="I49" i="2"/>
  <c r="H49" i="2"/>
  <c r="G49" i="2"/>
  <c r="F49" i="2"/>
  <c r="E49" i="2"/>
  <c r="D49" i="2"/>
  <c r="C49" i="2"/>
  <c r="O49" i="2" s="1"/>
  <c r="O48" i="2"/>
  <c r="O47" i="2"/>
  <c r="O46" i="2"/>
  <c r="O45" i="2"/>
  <c r="O44" i="2"/>
  <c r="O43" i="2"/>
  <c r="O42" i="2"/>
  <c r="O73" i="2" s="1"/>
  <c r="O41" i="2"/>
  <c r="O40" i="2"/>
  <c r="G71" i="2" s="1"/>
  <c r="H78" i="2" s="1"/>
  <c r="O39" i="2"/>
  <c r="O38" i="2"/>
  <c r="G99" i="2" s="1"/>
  <c r="N37" i="2"/>
  <c r="M37" i="2"/>
  <c r="L37" i="2"/>
  <c r="L50" i="2" s="1"/>
  <c r="K37" i="2"/>
  <c r="K50" i="2" s="1"/>
  <c r="J37" i="2"/>
  <c r="J51" i="2" s="1"/>
  <c r="J52" i="2" s="1"/>
  <c r="J53" i="2" s="1"/>
  <c r="I37" i="2"/>
  <c r="H37" i="2"/>
  <c r="H50" i="2" s="1"/>
  <c r="G37" i="2"/>
  <c r="G50" i="2" s="1"/>
  <c r="F37" i="2"/>
  <c r="E37" i="2"/>
  <c r="D37" i="2"/>
  <c r="D50" i="2" s="1"/>
  <c r="C37" i="2"/>
  <c r="C50" i="2" s="1"/>
  <c r="O36" i="2"/>
  <c r="O35" i="2"/>
  <c r="O34" i="2"/>
  <c r="O33" i="2"/>
  <c r="O32" i="2"/>
  <c r="O31" i="2"/>
  <c r="O30" i="2"/>
  <c r="O29" i="2"/>
  <c r="O28" i="2"/>
  <c r="O27" i="2"/>
  <c r="O26" i="2"/>
  <c r="O25" i="2"/>
  <c r="O24" i="2"/>
  <c r="O23" i="2"/>
  <c r="O22" i="2"/>
  <c r="O21" i="2"/>
  <c r="O20" i="2"/>
  <c r="O19" i="2"/>
  <c r="O18" i="2"/>
  <c r="O17" i="2"/>
  <c r="O16" i="2"/>
  <c r="O15" i="2"/>
  <c r="O14" i="2"/>
  <c r="O13" i="2"/>
  <c r="O12" i="2"/>
  <c r="O11" i="2"/>
  <c r="O10" i="2"/>
  <c r="O9" i="2"/>
  <c r="A8" i="2"/>
  <c r="N50" i="85" l="1"/>
  <c r="N50" i="125"/>
  <c r="O49" i="89"/>
  <c r="O49" i="29"/>
  <c r="N50" i="94"/>
  <c r="O49" i="87"/>
  <c r="O49" i="88"/>
  <c r="O49" i="84"/>
  <c r="N51" i="91"/>
  <c r="O50" i="91"/>
  <c r="O49" i="90"/>
  <c r="O49" i="118"/>
  <c r="O50" i="118"/>
  <c r="O50" i="134"/>
  <c r="O52" i="135"/>
  <c r="O49" i="136"/>
  <c r="O49" i="137"/>
  <c r="O49" i="139"/>
  <c r="O49" i="140"/>
  <c r="O49" i="128"/>
  <c r="N50" i="95"/>
  <c r="O49" i="99"/>
  <c r="N50" i="101"/>
  <c r="O51" i="103"/>
  <c r="O49" i="109"/>
  <c r="O49" i="113"/>
  <c r="O49" i="86"/>
  <c r="O49" i="76"/>
  <c r="O49" i="66"/>
  <c r="O49" i="74"/>
  <c r="N50" i="78"/>
  <c r="P63" i="1"/>
  <c r="G63" i="1"/>
  <c r="O49" i="47"/>
  <c r="O49" i="56"/>
  <c r="O49" i="57"/>
  <c r="O49" i="58"/>
  <c r="O49" i="60"/>
  <c r="O49" i="124"/>
  <c r="O50" i="9"/>
  <c r="O49" i="13"/>
  <c r="O49" i="15"/>
  <c r="O51" i="18"/>
  <c r="O49" i="19"/>
  <c r="O49" i="20"/>
  <c r="O50" i="21"/>
  <c r="N51" i="21"/>
  <c r="O49" i="22"/>
  <c r="O49" i="24"/>
  <c r="O49" i="25"/>
  <c r="O50" i="33"/>
  <c r="O49" i="35"/>
  <c r="O51" i="38"/>
  <c r="P116" i="1"/>
  <c r="O14" i="132"/>
  <c r="O11" i="132"/>
  <c r="H50" i="85"/>
  <c r="F50" i="85"/>
  <c r="E50" i="85"/>
  <c r="D50" i="85"/>
  <c r="O49" i="85"/>
  <c r="J86" i="85"/>
  <c r="O37" i="85"/>
  <c r="G53" i="85" s="1"/>
  <c r="C50" i="85"/>
  <c r="G89" i="68"/>
  <c r="P58" i="1"/>
  <c r="G58" i="1"/>
  <c r="G100" i="53"/>
  <c r="E57" i="1" s="1"/>
  <c r="G103" i="54"/>
  <c r="B103" i="54" s="1"/>
  <c r="F91" i="130"/>
  <c r="H91" i="130" s="1"/>
  <c r="G93" i="130" s="1"/>
  <c r="G96" i="130" s="1"/>
  <c r="G91" i="130"/>
  <c r="G55" i="1"/>
  <c r="H50" i="44"/>
  <c r="N50" i="44"/>
  <c r="O49" i="44"/>
  <c r="J87" i="44"/>
  <c r="O37" i="44"/>
  <c r="G53" i="44" s="1"/>
  <c r="G60" i="44" s="1"/>
  <c r="G65" i="44" s="1"/>
  <c r="J86" i="44"/>
  <c r="C50" i="44"/>
  <c r="P73" i="1"/>
  <c r="P77" i="1"/>
  <c r="N49" i="148"/>
  <c r="O40" i="148"/>
  <c r="G70" i="148" s="1"/>
  <c r="G95" i="148"/>
  <c r="G90" i="146"/>
  <c r="G91" i="145"/>
  <c r="F93" i="144"/>
  <c r="H93" i="144" s="1"/>
  <c r="G95" i="144" s="1"/>
  <c r="G98" i="144" s="1"/>
  <c r="G97" i="143"/>
  <c r="G98" i="143" s="1"/>
  <c r="G100" i="143" s="1"/>
  <c r="B100" i="143" s="1"/>
  <c r="G91" i="143"/>
  <c r="N50" i="72"/>
  <c r="N50" i="138"/>
  <c r="O49" i="138"/>
  <c r="O49" i="104"/>
  <c r="L50" i="104"/>
  <c r="H79" i="30"/>
  <c r="H50" i="61"/>
  <c r="M50" i="64"/>
  <c r="L50" i="64"/>
  <c r="G3" i="1"/>
  <c r="G77" i="136"/>
  <c r="H68" i="136"/>
  <c r="H77" i="136"/>
  <c r="H83" i="136" s="1"/>
  <c r="H69" i="134"/>
  <c r="H78" i="134"/>
  <c r="H84" i="134" s="1"/>
  <c r="G78" i="134"/>
  <c r="H81" i="135"/>
  <c r="G86" i="135"/>
  <c r="G77" i="137"/>
  <c r="H77" i="137"/>
  <c r="H83" i="137" s="1"/>
  <c r="H68" i="137"/>
  <c r="H80" i="135"/>
  <c r="G80" i="135"/>
  <c r="H71" i="135"/>
  <c r="J52" i="134"/>
  <c r="J53" i="134" s="1"/>
  <c r="J86" i="134"/>
  <c r="J90" i="134" s="1"/>
  <c r="J89" i="135"/>
  <c r="J92" i="135" s="1"/>
  <c r="O37" i="136"/>
  <c r="G53" i="136" s="1"/>
  <c r="G59" i="136" s="1"/>
  <c r="G64" i="136" s="1"/>
  <c r="J50" i="136"/>
  <c r="J86" i="136"/>
  <c r="J89" i="136" s="1"/>
  <c r="C50" i="137"/>
  <c r="G50" i="137"/>
  <c r="C50" i="138"/>
  <c r="O50" i="138" s="1"/>
  <c r="J88" i="139"/>
  <c r="M50" i="139"/>
  <c r="H78" i="140"/>
  <c r="H83" i="140" s="1"/>
  <c r="J87" i="140"/>
  <c r="J89" i="140" s="1"/>
  <c r="H68" i="141"/>
  <c r="N50" i="142"/>
  <c r="M51" i="134"/>
  <c r="J87" i="134"/>
  <c r="O40" i="135"/>
  <c r="G56" i="135" s="1"/>
  <c r="G62" i="135" s="1"/>
  <c r="G67" i="135" s="1"/>
  <c r="M53" i="135"/>
  <c r="J54" i="135"/>
  <c r="J55" i="135" s="1"/>
  <c r="J90" i="135"/>
  <c r="L90" i="135" s="1"/>
  <c r="C50" i="136"/>
  <c r="O50" i="136" s="1"/>
  <c r="J87" i="136"/>
  <c r="J51" i="137"/>
  <c r="J52" i="137" s="1"/>
  <c r="H77" i="138"/>
  <c r="H83" i="138" s="1"/>
  <c r="H68" i="138"/>
  <c r="G77" i="138"/>
  <c r="J50" i="139"/>
  <c r="O50" i="139" s="1"/>
  <c r="J87" i="139"/>
  <c r="J89" i="139" s="1"/>
  <c r="J51" i="139"/>
  <c r="J52" i="139" s="1"/>
  <c r="G77" i="139"/>
  <c r="H68" i="139"/>
  <c r="J50" i="140"/>
  <c r="J86" i="142"/>
  <c r="M50" i="142"/>
  <c r="O38" i="134"/>
  <c r="G54" i="134" s="1"/>
  <c r="G60" i="134" s="1"/>
  <c r="G65" i="134" s="1"/>
  <c r="J51" i="134"/>
  <c r="O51" i="134" s="1"/>
  <c r="J88" i="136"/>
  <c r="M50" i="137"/>
  <c r="J87" i="137"/>
  <c r="J89" i="137" s="1"/>
  <c r="J86" i="138"/>
  <c r="L86" i="138" s="1"/>
  <c r="J88" i="138"/>
  <c r="L88" i="138" s="1"/>
  <c r="K50" i="140"/>
  <c r="J50" i="141"/>
  <c r="O50" i="141" s="1"/>
  <c r="J51" i="141"/>
  <c r="J52" i="141" s="1"/>
  <c r="N50" i="141"/>
  <c r="J88" i="141"/>
  <c r="J89" i="141" s="1"/>
  <c r="O49" i="141"/>
  <c r="H78" i="142"/>
  <c r="G83" i="142"/>
  <c r="C53" i="135"/>
  <c r="O53" i="135" s="1"/>
  <c r="O37" i="137"/>
  <c r="G53" i="137" s="1"/>
  <c r="G59" i="137" s="1"/>
  <c r="G64" i="137" s="1"/>
  <c r="O72" i="141"/>
  <c r="G78" i="141"/>
  <c r="J89" i="142"/>
  <c r="J91" i="142" s="1"/>
  <c r="H83" i="142"/>
  <c r="E50" i="142"/>
  <c r="J52" i="142"/>
  <c r="O37" i="140"/>
  <c r="G53" i="140" s="1"/>
  <c r="G59" i="140" s="1"/>
  <c r="G64" i="140" s="1"/>
  <c r="C50" i="140"/>
  <c r="G50" i="140"/>
  <c r="G77" i="140"/>
  <c r="O37" i="141"/>
  <c r="G53" i="141" s="1"/>
  <c r="G59" i="141" s="1"/>
  <c r="G64" i="141" s="1"/>
  <c r="J50" i="142"/>
  <c r="O68" i="142"/>
  <c r="J87" i="138"/>
  <c r="L87" i="138" s="1"/>
  <c r="O37" i="139"/>
  <c r="G53" i="139" s="1"/>
  <c r="G59" i="139" s="1"/>
  <c r="G64" i="139" s="1"/>
  <c r="H68" i="140"/>
  <c r="O37" i="142"/>
  <c r="G53" i="142" s="1"/>
  <c r="G59" i="142" s="1"/>
  <c r="G64" i="142" s="1"/>
  <c r="G50" i="142"/>
  <c r="O50" i="142" s="1"/>
  <c r="O37" i="138"/>
  <c r="G53" i="138" s="1"/>
  <c r="G59" i="138" s="1"/>
  <c r="G64" i="138" s="1"/>
  <c r="G78" i="88"/>
  <c r="J90" i="91"/>
  <c r="G78" i="91"/>
  <c r="G77" i="92"/>
  <c r="H68" i="92"/>
  <c r="H77" i="92"/>
  <c r="G59" i="93"/>
  <c r="G64" i="93" s="1"/>
  <c r="H83" i="93"/>
  <c r="H77" i="90"/>
  <c r="H83" i="90" s="1"/>
  <c r="H68" i="90"/>
  <c r="G77" i="90"/>
  <c r="H78" i="90"/>
  <c r="G83" i="90"/>
  <c r="G77" i="87"/>
  <c r="H68" i="87"/>
  <c r="H77" i="87"/>
  <c r="H83" i="87" s="1"/>
  <c r="G95" i="88"/>
  <c r="H79" i="88"/>
  <c r="G84" i="88"/>
  <c r="G95" i="91"/>
  <c r="H78" i="92"/>
  <c r="G83" i="92"/>
  <c r="O50" i="93"/>
  <c r="G84" i="100"/>
  <c r="H79" i="100"/>
  <c r="G83" i="86"/>
  <c r="J86" i="86"/>
  <c r="L86" i="86" s="1"/>
  <c r="H78" i="88"/>
  <c r="H84" i="88" s="1"/>
  <c r="G86" i="88" s="1"/>
  <c r="G83" i="89"/>
  <c r="O37" i="92"/>
  <c r="G53" i="92" s="1"/>
  <c r="G59" i="92" s="1"/>
  <c r="G64" i="92" s="1"/>
  <c r="H78" i="93"/>
  <c r="G83" i="93"/>
  <c r="O72" i="93"/>
  <c r="H78" i="94"/>
  <c r="G78" i="94"/>
  <c r="H69" i="94"/>
  <c r="G79" i="94"/>
  <c r="J51" i="98"/>
  <c r="J52" i="98" s="1"/>
  <c r="J50" i="98"/>
  <c r="J88" i="98"/>
  <c r="H77" i="99"/>
  <c r="H83" i="99" s="1"/>
  <c r="H68" i="99"/>
  <c r="G77" i="99"/>
  <c r="J86" i="101"/>
  <c r="C50" i="106"/>
  <c r="J85" i="106"/>
  <c r="J86" i="106"/>
  <c r="G50" i="106"/>
  <c r="O37" i="106"/>
  <c r="G53" i="106" s="1"/>
  <c r="G59" i="106" s="1"/>
  <c r="G64" i="106" s="1"/>
  <c r="H78" i="113"/>
  <c r="G83" i="113"/>
  <c r="L10" i="131"/>
  <c r="K37" i="131"/>
  <c r="K50" i="131" s="1"/>
  <c r="C50" i="86"/>
  <c r="O50" i="86" s="1"/>
  <c r="C50" i="87"/>
  <c r="G50" i="87"/>
  <c r="G83" i="87"/>
  <c r="D50" i="88"/>
  <c r="O50" i="88" s="1"/>
  <c r="H50" i="88"/>
  <c r="H69" i="88"/>
  <c r="C50" i="89"/>
  <c r="O50" i="89" s="1"/>
  <c r="G50" i="89"/>
  <c r="K50" i="89"/>
  <c r="I50" i="90"/>
  <c r="M50" i="90"/>
  <c r="Q51" i="90" s="1"/>
  <c r="J87" i="90"/>
  <c r="J89" i="90" s="1"/>
  <c r="D51" i="91"/>
  <c r="O51" i="91" s="1"/>
  <c r="H69" i="91"/>
  <c r="H78" i="91"/>
  <c r="C50" i="92"/>
  <c r="G50" i="92"/>
  <c r="J88" i="93"/>
  <c r="H68" i="93"/>
  <c r="G77" i="93"/>
  <c r="J85" i="93"/>
  <c r="D50" i="94"/>
  <c r="O50" i="94" s="1"/>
  <c r="H50" i="94"/>
  <c r="L50" i="94"/>
  <c r="J88" i="96"/>
  <c r="M50" i="96"/>
  <c r="H77" i="96"/>
  <c r="H83" i="96" s="1"/>
  <c r="H68" i="96"/>
  <c r="G77" i="96"/>
  <c r="J86" i="96"/>
  <c r="O37" i="97"/>
  <c r="G53" i="97" s="1"/>
  <c r="G59" i="97" s="1"/>
  <c r="G64" i="97" s="1"/>
  <c r="J86" i="97"/>
  <c r="O49" i="97"/>
  <c r="J86" i="98"/>
  <c r="J88" i="99"/>
  <c r="G83" i="99"/>
  <c r="J86" i="100"/>
  <c r="H78" i="101"/>
  <c r="H84" i="101" s="1"/>
  <c r="G78" i="101"/>
  <c r="H69" i="101"/>
  <c r="F49" i="102"/>
  <c r="F50" i="102" s="1"/>
  <c r="G41" i="102"/>
  <c r="O42" i="102"/>
  <c r="O44" i="102"/>
  <c r="G56" i="102" s="1"/>
  <c r="O45" i="102"/>
  <c r="O46" i="102"/>
  <c r="O47" i="102"/>
  <c r="G70" i="102" s="1"/>
  <c r="H70" i="102" s="1"/>
  <c r="E49" i="102"/>
  <c r="I15" i="103"/>
  <c r="G38" i="103"/>
  <c r="H79" i="103"/>
  <c r="H85" i="103" s="1"/>
  <c r="G79" i="103"/>
  <c r="H70" i="103"/>
  <c r="J87" i="104"/>
  <c r="O49" i="105"/>
  <c r="O49" i="106"/>
  <c r="F50" i="107"/>
  <c r="J87" i="107"/>
  <c r="J51" i="107"/>
  <c r="J52" i="107" s="1"/>
  <c r="J50" i="107"/>
  <c r="N50" i="107"/>
  <c r="O49" i="107"/>
  <c r="H78" i="108"/>
  <c r="G83" i="108"/>
  <c r="J87" i="109"/>
  <c r="O38" i="110"/>
  <c r="G54" i="110" s="1"/>
  <c r="G60" i="110" s="1"/>
  <c r="G65" i="110" s="1"/>
  <c r="E27" i="119"/>
  <c r="F27" i="119" s="1"/>
  <c r="G27" i="119" s="1"/>
  <c r="O29" i="119"/>
  <c r="F29" i="119"/>
  <c r="G29" i="119" s="1"/>
  <c r="O37" i="86"/>
  <c r="G53" i="86" s="1"/>
  <c r="G59" i="86" s="1"/>
  <c r="G64" i="86" s="1"/>
  <c r="O37" i="87"/>
  <c r="G53" i="87" s="1"/>
  <c r="G59" i="87" s="1"/>
  <c r="G64" i="87" s="1"/>
  <c r="O37" i="89"/>
  <c r="G53" i="89" s="1"/>
  <c r="G59" i="89" s="1"/>
  <c r="G64" i="89" s="1"/>
  <c r="O11" i="90"/>
  <c r="J89" i="100"/>
  <c r="M50" i="100"/>
  <c r="O50" i="100" s="1"/>
  <c r="H78" i="100"/>
  <c r="H84" i="100" s="1"/>
  <c r="H69" i="100"/>
  <c r="G78" i="100"/>
  <c r="M50" i="101"/>
  <c r="J89" i="101"/>
  <c r="D38" i="103"/>
  <c r="D52" i="103" s="1"/>
  <c r="E9" i="103"/>
  <c r="C52" i="103"/>
  <c r="J88" i="105"/>
  <c r="J50" i="105"/>
  <c r="O50" i="105" s="1"/>
  <c r="J51" i="105"/>
  <c r="J52" i="105" s="1"/>
  <c r="J89" i="105"/>
  <c r="J85" i="109"/>
  <c r="C50" i="109"/>
  <c r="J86" i="109"/>
  <c r="G50" i="109"/>
  <c r="O37" i="109"/>
  <c r="G53" i="109" s="1"/>
  <c r="G59" i="109" s="1"/>
  <c r="G64" i="109" s="1"/>
  <c r="H78" i="110"/>
  <c r="G21" i="122"/>
  <c r="O21" i="122" s="1"/>
  <c r="J51" i="86"/>
  <c r="J52" i="86" s="1"/>
  <c r="H68" i="86"/>
  <c r="G77" i="86"/>
  <c r="J87" i="87"/>
  <c r="J89" i="87" s="1"/>
  <c r="M50" i="88"/>
  <c r="J88" i="88"/>
  <c r="J90" i="88" s="1"/>
  <c r="H68" i="89"/>
  <c r="G77" i="89"/>
  <c r="J88" i="89"/>
  <c r="J89" i="89" s="1"/>
  <c r="O37" i="90"/>
  <c r="G59" i="90" s="1"/>
  <c r="G64" i="90" s="1"/>
  <c r="G79" i="91"/>
  <c r="J87" i="92"/>
  <c r="J89" i="92" s="1"/>
  <c r="J87" i="93"/>
  <c r="O49" i="95"/>
  <c r="O72" i="97"/>
  <c r="G78" i="97"/>
  <c r="H69" i="98"/>
  <c r="H78" i="98"/>
  <c r="H84" i="98" s="1"/>
  <c r="G78" i="98"/>
  <c r="J51" i="99"/>
  <c r="J52" i="99" s="1"/>
  <c r="J87" i="99"/>
  <c r="J50" i="99"/>
  <c r="O37" i="100"/>
  <c r="G53" i="100" s="1"/>
  <c r="G60" i="100" s="1"/>
  <c r="G65" i="100" s="1"/>
  <c r="G86" i="100" s="1"/>
  <c r="J87" i="100"/>
  <c r="O49" i="100"/>
  <c r="J88" i="101"/>
  <c r="O16" i="102"/>
  <c r="O43" i="102"/>
  <c r="G69" i="102" s="1"/>
  <c r="H78" i="104"/>
  <c r="H84" i="104" s="1"/>
  <c r="G78" i="104"/>
  <c r="H79" i="105"/>
  <c r="H84" i="105" s="1"/>
  <c r="G84" i="105"/>
  <c r="H68" i="105"/>
  <c r="E50" i="106"/>
  <c r="I50" i="106"/>
  <c r="H78" i="107"/>
  <c r="G83" i="107"/>
  <c r="F50" i="108"/>
  <c r="J87" i="108"/>
  <c r="N50" i="108"/>
  <c r="H77" i="109"/>
  <c r="H83" i="109" s="1"/>
  <c r="G77" i="109"/>
  <c r="O73" i="110"/>
  <c r="G79" i="110"/>
  <c r="G83" i="111"/>
  <c r="H78" i="111"/>
  <c r="L25" i="119"/>
  <c r="M25" i="119" s="1"/>
  <c r="N25" i="119" s="1"/>
  <c r="O25" i="119"/>
  <c r="J9" i="120"/>
  <c r="C50" i="122"/>
  <c r="M50" i="87"/>
  <c r="C50" i="90"/>
  <c r="O50" i="90" s="1"/>
  <c r="J51" i="91"/>
  <c r="M50" i="92"/>
  <c r="J86" i="93"/>
  <c r="O49" i="94"/>
  <c r="O37" i="95"/>
  <c r="G53" i="95" s="1"/>
  <c r="G59" i="95" s="1"/>
  <c r="G64" i="95" s="1"/>
  <c r="J86" i="95"/>
  <c r="H77" i="95"/>
  <c r="G77" i="95"/>
  <c r="H68" i="95"/>
  <c r="H78" i="95"/>
  <c r="J87" i="95"/>
  <c r="M50" i="97"/>
  <c r="J88" i="97"/>
  <c r="H68" i="97"/>
  <c r="H77" i="97"/>
  <c r="J89" i="98"/>
  <c r="J89" i="99"/>
  <c r="O37" i="101"/>
  <c r="G53" i="101" s="1"/>
  <c r="G60" i="101" s="1"/>
  <c r="G65" i="101" s="1"/>
  <c r="J87" i="101"/>
  <c r="L50" i="101"/>
  <c r="O49" i="101"/>
  <c r="I19" i="102"/>
  <c r="I37" i="102" s="1"/>
  <c r="J9" i="102"/>
  <c r="H12" i="102"/>
  <c r="I12" i="102" s="1"/>
  <c r="J12" i="102" s="1"/>
  <c r="K12" i="102" s="1"/>
  <c r="L12" i="102" s="1"/>
  <c r="M12" i="102" s="1"/>
  <c r="N12" i="102" s="1"/>
  <c r="G37" i="102"/>
  <c r="D49" i="102"/>
  <c r="O16" i="103"/>
  <c r="J89" i="104"/>
  <c r="M50" i="104"/>
  <c r="G77" i="105"/>
  <c r="H77" i="106"/>
  <c r="H83" i="106" s="1"/>
  <c r="G77" i="106"/>
  <c r="J87" i="106"/>
  <c r="H68" i="107"/>
  <c r="H77" i="107"/>
  <c r="H83" i="107" s="1"/>
  <c r="C50" i="108"/>
  <c r="J85" i="108"/>
  <c r="J86" i="108"/>
  <c r="G50" i="108"/>
  <c r="O37" i="108"/>
  <c r="G53" i="108" s="1"/>
  <c r="G59" i="108" s="1"/>
  <c r="G64" i="108" s="1"/>
  <c r="G85" i="108" s="1"/>
  <c r="H77" i="108"/>
  <c r="H83" i="108" s="1"/>
  <c r="H68" i="108"/>
  <c r="G77" i="108"/>
  <c r="G78" i="110"/>
  <c r="G24" i="120"/>
  <c r="O24" i="120" s="1"/>
  <c r="J51" i="94"/>
  <c r="J52" i="94" s="1"/>
  <c r="J88" i="94"/>
  <c r="J90" i="94" s="1"/>
  <c r="J51" i="95"/>
  <c r="J52" i="95" s="1"/>
  <c r="J51" i="96"/>
  <c r="J52" i="96" s="1"/>
  <c r="J87" i="96"/>
  <c r="J89" i="96" s="1"/>
  <c r="J85" i="97"/>
  <c r="J89" i="97" s="1"/>
  <c r="O37" i="98"/>
  <c r="G53" i="98" s="1"/>
  <c r="G60" i="98" s="1"/>
  <c r="G65" i="98" s="1"/>
  <c r="O37" i="99"/>
  <c r="G53" i="99" s="1"/>
  <c r="G59" i="99" s="1"/>
  <c r="G64" i="99" s="1"/>
  <c r="O11" i="101"/>
  <c r="R84" i="101" s="1"/>
  <c r="E19" i="102"/>
  <c r="C37" i="102"/>
  <c r="O37" i="105"/>
  <c r="G53" i="105" s="1"/>
  <c r="G59" i="105" s="1"/>
  <c r="G64" i="105" s="1"/>
  <c r="J86" i="105"/>
  <c r="M50" i="106"/>
  <c r="J51" i="106"/>
  <c r="J52" i="106" s="1"/>
  <c r="O37" i="107"/>
  <c r="G53" i="107" s="1"/>
  <c r="G59" i="107" s="1"/>
  <c r="G64" i="107" s="1"/>
  <c r="J85" i="107"/>
  <c r="J89" i="107" s="1"/>
  <c r="J50" i="108"/>
  <c r="J88" i="109"/>
  <c r="J85" i="111"/>
  <c r="J89" i="111" s="1"/>
  <c r="H78" i="112"/>
  <c r="G83" i="112"/>
  <c r="G77" i="114"/>
  <c r="H69" i="117"/>
  <c r="H78" i="117"/>
  <c r="H84" i="117" s="1"/>
  <c r="G78" i="117"/>
  <c r="F15" i="119"/>
  <c r="G15" i="119" s="1"/>
  <c r="O20" i="119"/>
  <c r="G20" i="119"/>
  <c r="G34" i="119"/>
  <c r="O34" i="119" s="1"/>
  <c r="H68" i="119"/>
  <c r="H77" i="119"/>
  <c r="H83" i="119" s="1"/>
  <c r="G77" i="119"/>
  <c r="O13" i="120"/>
  <c r="G13" i="120"/>
  <c r="E33" i="120"/>
  <c r="F33" i="120" s="1"/>
  <c r="G33" i="120" s="1"/>
  <c r="O25" i="122"/>
  <c r="E25" i="122"/>
  <c r="F25" i="122" s="1"/>
  <c r="G25" i="122" s="1"/>
  <c r="H78" i="122"/>
  <c r="G83" i="122"/>
  <c r="M11" i="123"/>
  <c r="N11" i="123" s="1"/>
  <c r="D50" i="123"/>
  <c r="H77" i="127"/>
  <c r="G77" i="127"/>
  <c r="H68" i="127"/>
  <c r="M50" i="94"/>
  <c r="O69" i="94"/>
  <c r="M50" i="95"/>
  <c r="O50" i="95" s="1"/>
  <c r="O68" i="95"/>
  <c r="J85" i="95"/>
  <c r="J89" i="95" s="1"/>
  <c r="O37" i="96"/>
  <c r="G53" i="96" s="1"/>
  <c r="G59" i="96" s="1"/>
  <c r="G64" i="96" s="1"/>
  <c r="G85" i="96" s="1"/>
  <c r="J51" i="97"/>
  <c r="J52" i="97" s="1"/>
  <c r="C50" i="98"/>
  <c r="G50" i="98"/>
  <c r="C50" i="99"/>
  <c r="O50" i="99" s="1"/>
  <c r="J51" i="100"/>
  <c r="J52" i="100" s="1"/>
  <c r="J88" i="100"/>
  <c r="J51" i="101"/>
  <c r="J52" i="101" s="1"/>
  <c r="O37" i="104"/>
  <c r="G53" i="104" s="1"/>
  <c r="G60" i="104" s="1"/>
  <c r="G65" i="104" s="1"/>
  <c r="J86" i="104"/>
  <c r="O72" i="105"/>
  <c r="J87" i="105"/>
  <c r="G50" i="107"/>
  <c r="O50" i="107" s="1"/>
  <c r="O72" i="107"/>
  <c r="H83" i="111"/>
  <c r="G77" i="112"/>
  <c r="H77" i="112"/>
  <c r="H83" i="112" s="1"/>
  <c r="J85" i="114"/>
  <c r="J89" i="114" s="1"/>
  <c r="C50" i="114"/>
  <c r="O50" i="114" s="1"/>
  <c r="O37" i="114"/>
  <c r="G53" i="114" s="1"/>
  <c r="G59" i="114" s="1"/>
  <c r="G64" i="114" s="1"/>
  <c r="H77" i="115"/>
  <c r="H83" i="115" s="1"/>
  <c r="G77" i="115"/>
  <c r="H68" i="115"/>
  <c r="L51" i="117"/>
  <c r="L50" i="117"/>
  <c r="G10" i="119"/>
  <c r="O26" i="119"/>
  <c r="G26" i="119"/>
  <c r="O25" i="120"/>
  <c r="E25" i="120"/>
  <c r="F25" i="120" s="1"/>
  <c r="G25" i="120" s="1"/>
  <c r="F27" i="120"/>
  <c r="G27" i="120" s="1"/>
  <c r="O12" i="122"/>
  <c r="E12" i="122"/>
  <c r="F12" i="122" s="1"/>
  <c r="G12" i="122" s="1"/>
  <c r="D37" i="122"/>
  <c r="D50" i="122" s="1"/>
  <c r="H37" i="122"/>
  <c r="H50" i="122" s="1"/>
  <c r="I14" i="122"/>
  <c r="O14" i="122" s="1"/>
  <c r="E18" i="122"/>
  <c r="F18" i="122" s="1"/>
  <c r="G18" i="122" s="1"/>
  <c r="G77" i="122"/>
  <c r="H77" i="122"/>
  <c r="H83" i="122" s="1"/>
  <c r="H68" i="122"/>
  <c r="J37" i="123"/>
  <c r="K10" i="123"/>
  <c r="K18" i="123"/>
  <c r="L18" i="123" s="1"/>
  <c r="M18" i="123" s="1"/>
  <c r="N18" i="123" s="1"/>
  <c r="O26" i="123"/>
  <c r="O37" i="94"/>
  <c r="G53" i="94" s="1"/>
  <c r="G60" i="94" s="1"/>
  <c r="G65" i="94" s="1"/>
  <c r="Q39" i="96"/>
  <c r="Q40" i="96" s="1"/>
  <c r="C50" i="96"/>
  <c r="O50" i="96" s="1"/>
  <c r="J50" i="97"/>
  <c r="O50" i="97" s="1"/>
  <c r="J50" i="101"/>
  <c r="O50" i="101" s="1"/>
  <c r="G50" i="104"/>
  <c r="O50" i="104" s="1"/>
  <c r="F50" i="111"/>
  <c r="O50" i="111" s="1"/>
  <c r="J50" i="111"/>
  <c r="N50" i="111"/>
  <c r="O49" i="111"/>
  <c r="H68" i="111"/>
  <c r="J85" i="112"/>
  <c r="C50" i="112"/>
  <c r="J86" i="112"/>
  <c r="G50" i="112"/>
  <c r="O37" i="112"/>
  <c r="G53" i="112" s="1"/>
  <c r="G59" i="112" s="1"/>
  <c r="G64" i="112" s="1"/>
  <c r="H68" i="112"/>
  <c r="G94" i="113"/>
  <c r="O49" i="114"/>
  <c r="J52" i="114"/>
  <c r="J53" i="114" s="1"/>
  <c r="J83" i="115"/>
  <c r="E50" i="115"/>
  <c r="M50" i="115"/>
  <c r="J86" i="115"/>
  <c r="G60" i="116"/>
  <c r="G65" i="116" s="1"/>
  <c r="O51" i="116"/>
  <c r="G78" i="116"/>
  <c r="H69" i="116"/>
  <c r="H78" i="116"/>
  <c r="G86" i="117"/>
  <c r="O17" i="119"/>
  <c r="E17" i="119"/>
  <c r="F17" i="119" s="1"/>
  <c r="G17" i="119" s="1"/>
  <c r="E21" i="119"/>
  <c r="F21" i="119" s="1"/>
  <c r="G21" i="119" s="1"/>
  <c r="E9" i="120"/>
  <c r="D37" i="120"/>
  <c r="F14" i="120"/>
  <c r="G14" i="120" s="1"/>
  <c r="H14" i="120" s="1"/>
  <c r="O15" i="120"/>
  <c r="O20" i="120"/>
  <c r="F20" i="120"/>
  <c r="G20" i="120" s="1"/>
  <c r="O21" i="120"/>
  <c r="O23" i="120"/>
  <c r="O32" i="120"/>
  <c r="G32" i="120"/>
  <c r="J50" i="121"/>
  <c r="J51" i="121"/>
  <c r="J52" i="121" s="1"/>
  <c r="J87" i="121"/>
  <c r="J88" i="121"/>
  <c r="G10" i="122"/>
  <c r="N37" i="122"/>
  <c r="N50" i="122" s="1"/>
  <c r="E17" i="122"/>
  <c r="F17" i="122" s="1"/>
  <c r="G17" i="122" s="1"/>
  <c r="E22" i="123"/>
  <c r="F22" i="123" s="1"/>
  <c r="G22" i="123" s="1"/>
  <c r="O22" i="123"/>
  <c r="F50" i="115"/>
  <c r="J50" i="115"/>
  <c r="N50" i="115"/>
  <c r="O49" i="115"/>
  <c r="J87" i="117"/>
  <c r="H51" i="117"/>
  <c r="M51" i="117"/>
  <c r="M50" i="117"/>
  <c r="O49" i="117"/>
  <c r="N51" i="117"/>
  <c r="J86" i="117"/>
  <c r="O37" i="118"/>
  <c r="G53" i="118" s="1"/>
  <c r="G59" i="118" s="1"/>
  <c r="G64" i="118" s="1"/>
  <c r="O11" i="119"/>
  <c r="E13" i="119"/>
  <c r="F13" i="119" s="1"/>
  <c r="G13" i="119" s="1"/>
  <c r="O22" i="119"/>
  <c r="O17" i="120"/>
  <c r="E17" i="120"/>
  <c r="F17" i="120" s="1"/>
  <c r="G17" i="120" s="1"/>
  <c r="C50" i="120"/>
  <c r="G83" i="120"/>
  <c r="J86" i="121"/>
  <c r="E15" i="122"/>
  <c r="F15" i="122" s="1"/>
  <c r="G15" i="122" s="1"/>
  <c r="O20" i="122"/>
  <c r="O34" i="122"/>
  <c r="O20" i="123"/>
  <c r="E28" i="123"/>
  <c r="F28" i="123" s="1"/>
  <c r="G28" i="123" s="1"/>
  <c r="O30" i="123"/>
  <c r="F30" i="123"/>
  <c r="G30" i="123" s="1"/>
  <c r="H68" i="123"/>
  <c r="H77" i="123"/>
  <c r="H83" i="123" s="1"/>
  <c r="G77" i="123"/>
  <c r="J88" i="128"/>
  <c r="M50" i="128"/>
  <c r="O37" i="111"/>
  <c r="G53" i="111" s="1"/>
  <c r="G59" i="111" s="1"/>
  <c r="G64" i="111" s="1"/>
  <c r="O74" i="111"/>
  <c r="I50" i="112"/>
  <c r="J88" i="112"/>
  <c r="M50" i="112"/>
  <c r="H77" i="114"/>
  <c r="H83" i="114" s="1"/>
  <c r="H68" i="114"/>
  <c r="O50" i="115"/>
  <c r="O11" i="117"/>
  <c r="E51" i="117"/>
  <c r="E50" i="117"/>
  <c r="I50" i="117"/>
  <c r="I51" i="117" s="1"/>
  <c r="D50" i="117"/>
  <c r="D51" i="117" s="1"/>
  <c r="O51" i="117" s="1"/>
  <c r="J10" i="119"/>
  <c r="E23" i="119"/>
  <c r="F23" i="119" s="1"/>
  <c r="G23" i="119" s="1"/>
  <c r="E28" i="119"/>
  <c r="F28" i="119" s="1"/>
  <c r="G28" i="119" s="1"/>
  <c r="O31" i="119"/>
  <c r="E31" i="119"/>
  <c r="F31" i="119" s="1"/>
  <c r="G31" i="119" s="1"/>
  <c r="E10" i="120"/>
  <c r="F10" i="120" s="1"/>
  <c r="G10" i="120" s="1"/>
  <c r="O18" i="120"/>
  <c r="F19" i="120"/>
  <c r="O19" i="120" s="1"/>
  <c r="O22" i="120"/>
  <c r="E22" i="120"/>
  <c r="F22" i="120" s="1"/>
  <c r="G22" i="120" s="1"/>
  <c r="E26" i="120"/>
  <c r="F26" i="120" s="1"/>
  <c r="G26" i="120" s="1"/>
  <c r="E29" i="120"/>
  <c r="F29" i="120" s="1"/>
  <c r="G29" i="120" s="1"/>
  <c r="H68" i="121"/>
  <c r="H77" i="121"/>
  <c r="H83" i="121" s="1"/>
  <c r="J37" i="122"/>
  <c r="E13" i="122"/>
  <c r="F13" i="122" s="1"/>
  <c r="G13" i="122" s="1"/>
  <c r="O27" i="122"/>
  <c r="O30" i="122"/>
  <c r="G31" i="122"/>
  <c r="O31" i="122" s="1"/>
  <c r="O33" i="122"/>
  <c r="K37" i="122"/>
  <c r="K50" i="122" s="1"/>
  <c r="F10" i="123"/>
  <c r="O12" i="123"/>
  <c r="E12" i="123"/>
  <c r="F12" i="123" s="1"/>
  <c r="G12" i="123" s="1"/>
  <c r="F23" i="123"/>
  <c r="G23" i="123" s="1"/>
  <c r="E25" i="123"/>
  <c r="F25" i="123" s="1"/>
  <c r="G25" i="123" s="1"/>
  <c r="O32" i="123"/>
  <c r="E32" i="123"/>
  <c r="F32" i="123" s="1"/>
  <c r="G32" i="123" s="1"/>
  <c r="E33" i="123"/>
  <c r="F33" i="123" s="1"/>
  <c r="G33" i="123" s="1"/>
  <c r="O35" i="129"/>
  <c r="G35" i="129"/>
  <c r="J87" i="112"/>
  <c r="J51" i="112"/>
  <c r="J52" i="112" s="1"/>
  <c r="N50" i="112"/>
  <c r="J88" i="113"/>
  <c r="M50" i="113"/>
  <c r="O50" i="113" s="1"/>
  <c r="G77" i="113"/>
  <c r="H68" i="113"/>
  <c r="H77" i="113"/>
  <c r="H83" i="113" s="1"/>
  <c r="G85" i="113" s="1"/>
  <c r="H69" i="114"/>
  <c r="J51" i="115"/>
  <c r="J52" i="115" s="1"/>
  <c r="G79" i="116"/>
  <c r="J88" i="117"/>
  <c r="H77" i="118"/>
  <c r="H83" i="118" s="1"/>
  <c r="G77" i="118"/>
  <c r="H68" i="118"/>
  <c r="O14" i="119"/>
  <c r="O16" i="119"/>
  <c r="E16" i="119"/>
  <c r="F16" i="119" s="1"/>
  <c r="G16" i="119" s="1"/>
  <c r="O24" i="119"/>
  <c r="O32" i="119"/>
  <c r="D37" i="119"/>
  <c r="O30" i="120"/>
  <c r="G77" i="121"/>
  <c r="M37" i="122"/>
  <c r="O16" i="122"/>
  <c r="O23" i="122"/>
  <c r="O26" i="122"/>
  <c r="O29" i="122"/>
  <c r="L37" i="122"/>
  <c r="L50" i="122" s="1"/>
  <c r="O34" i="123"/>
  <c r="J87" i="124"/>
  <c r="J51" i="124"/>
  <c r="J52" i="124" s="1"/>
  <c r="J50" i="124"/>
  <c r="J51" i="125"/>
  <c r="J52" i="125" s="1"/>
  <c r="J87" i="125"/>
  <c r="J50" i="125"/>
  <c r="F49" i="125"/>
  <c r="F50" i="125" s="1"/>
  <c r="C50" i="127"/>
  <c r="G83" i="127"/>
  <c r="H78" i="127"/>
  <c r="O13" i="129"/>
  <c r="E13" i="129"/>
  <c r="F13" i="129" s="1"/>
  <c r="G13" i="129" s="1"/>
  <c r="O49" i="123"/>
  <c r="O50" i="124"/>
  <c r="O37" i="124"/>
  <c r="G53" i="124" s="1"/>
  <c r="G59" i="124" s="1"/>
  <c r="G64" i="124" s="1"/>
  <c r="H77" i="124"/>
  <c r="H83" i="124" s="1"/>
  <c r="J88" i="126"/>
  <c r="M50" i="126"/>
  <c r="J85" i="126"/>
  <c r="D49" i="127"/>
  <c r="D50" i="127" s="1"/>
  <c r="L50" i="127"/>
  <c r="J87" i="127"/>
  <c r="F29" i="129"/>
  <c r="G29" i="129" s="1"/>
  <c r="O29" i="129"/>
  <c r="K18" i="132"/>
  <c r="L18" i="132" s="1"/>
  <c r="M18" i="132" s="1"/>
  <c r="N18" i="132" s="1"/>
  <c r="J51" i="113"/>
  <c r="J52" i="113" s="1"/>
  <c r="J87" i="113"/>
  <c r="J89" i="113" s="1"/>
  <c r="O37" i="115"/>
  <c r="G53" i="115" s="1"/>
  <c r="G59" i="115" s="1"/>
  <c r="G64" i="115" s="1"/>
  <c r="J84" i="115"/>
  <c r="G77" i="120"/>
  <c r="O37" i="121"/>
  <c r="G53" i="121" s="1"/>
  <c r="G59" i="121" s="1"/>
  <c r="G64" i="121" s="1"/>
  <c r="J85" i="121"/>
  <c r="J89" i="121" s="1"/>
  <c r="J91" i="121" s="1"/>
  <c r="J92" i="121" s="1"/>
  <c r="E16" i="123"/>
  <c r="F16" i="123" s="1"/>
  <c r="G16" i="123" s="1"/>
  <c r="J85" i="124"/>
  <c r="E49" i="126"/>
  <c r="E50" i="126" s="1"/>
  <c r="H69" i="128"/>
  <c r="H77" i="128"/>
  <c r="O19" i="131"/>
  <c r="J50" i="117"/>
  <c r="J51" i="117" s="1"/>
  <c r="J52" i="117"/>
  <c r="J53" i="117" s="1"/>
  <c r="H68" i="120"/>
  <c r="G50" i="121"/>
  <c r="O50" i="121" s="1"/>
  <c r="O72" i="121"/>
  <c r="I37" i="122"/>
  <c r="I50" i="122" s="1"/>
  <c r="O19" i="122"/>
  <c r="O24" i="122"/>
  <c r="E24" i="122"/>
  <c r="F24" i="122" s="1"/>
  <c r="G24" i="122" s="1"/>
  <c r="E28" i="122"/>
  <c r="F28" i="122" s="1"/>
  <c r="G28" i="122" s="1"/>
  <c r="O32" i="122"/>
  <c r="E32" i="122"/>
  <c r="F32" i="122" s="1"/>
  <c r="G32" i="122" s="1"/>
  <c r="I37" i="123"/>
  <c r="I50" i="123" s="1"/>
  <c r="E13" i="123"/>
  <c r="F13" i="123" s="1"/>
  <c r="G13" i="123" s="1"/>
  <c r="O17" i="123"/>
  <c r="E24" i="123"/>
  <c r="F24" i="123" s="1"/>
  <c r="G24" i="123" s="1"/>
  <c r="E29" i="123"/>
  <c r="F29" i="123" s="1"/>
  <c r="G29" i="123" s="1"/>
  <c r="G31" i="123"/>
  <c r="O31" i="123" s="1"/>
  <c r="G36" i="123"/>
  <c r="O36" i="123" s="1"/>
  <c r="G77" i="124"/>
  <c r="H68" i="124"/>
  <c r="J86" i="124"/>
  <c r="J88" i="125"/>
  <c r="H49" i="127"/>
  <c r="H50" i="127" s="1"/>
  <c r="I14" i="129"/>
  <c r="H37" i="129"/>
  <c r="H50" i="129" s="1"/>
  <c r="E20" i="129"/>
  <c r="F20" i="129" s="1"/>
  <c r="G20" i="129" s="1"/>
  <c r="O32" i="129"/>
  <c r="J85" i="125"/>
  <c r="O11" i="128"/>
  <c r="J50" i="128"/>
  <c r="J85" i="128"/>
  <c r="D37" i="129"/>
  <c r="E10" i="129"/>
  <c r="O12" i="129"/>
  <c r="O15" i="129"/>
  <c r="E15" i="129"/>
  <c r="F15" i="129" s="1"/>
  <c r="G15" i="129" s="1"/>
  <c r="O18" i="129"/>
  <c r="G57" i="129" s="1"/>
  <c r="E22" i="129"/>
  <c r="F22" i="129" s="1"/>
  <c r="G22" i="129" s="1"/>
  <c r="O25" i="129"/>
  <c r="E34" i="129"/>
  <c r="F34" i="129" s="1"/>
  <c r="G34" i="129" s="1"/>
  <c r="G77" i="129"/>
  <c r="H68" i="129"/>
  <c r="H77" i="129"/>
  <c r="J88" i="124"/>
  <c r="H77" i="125"/>
  <c r="H83" i="125" s="1"/>
  <c r="G77" i="125"/>
  <c r="H68" i="125"/>
  <c r="H77" i="126"/>
  <c r="H83" i="126" s="1"/>
  <c r="G77" i="128"/>
  <c r="I37" i="129"/>
  <c r="I50" i="129" s="1"/>
  <c r="J10" i="129"/>
  <c r="O14" i="129"/>
  <c r="O19" i="129"/>
  <c r="O21" i="129"/>
  <c r="E21" i="129"/>
  <c r="F21" i="129" s="1"/>
  <c r="G21" i="129" s="1"/>
  <c r="O37" i="125"/>
  <c r="G53" i="125" s="1"/>
  <c r="G59" i="125" s="1"/>
  <c r="G64" i="125" s="1"/>
  <c r="C49" i="125"/>
  <c r="J51" i="126"/>
  <c r="J52" i="126" s="1"/>
  <c r="J86" i="126"/>
  <c r="E49" i="127"/>
  <c r="I49" i="127"/>
  <c r="I50" i="127" s="1"/>
  <c r="M49" i="127"/>
  <c r="M50" i="127" s="1"/>
  <c r="J88" i="127"/>
  <c r="K37" i="128"/>
  <c r="K50" i="128" s="1"/>
  <c r="O50" i="128" s="1"/>
  <c r="G78" i="128"/>
  <c r="O17" i="129"/>
  <c r="O26" i="129"/>
  <c r="O31" i="129"/>
  <c r="E12" i="131"/>
  <c r="F12" i="131" s="1"/>
  <c r="G12" i="131" s="1"/>
  <c r="E21" i="131"/>
  <c r="F21" i="131" s="1"/>
  <c r="G21" i="131" s="1"/>
  <c r="H77" i="131"/>
  <c r="G77" i="131"/>
  <c r="H68" i="131"/>
  <c r="O12" i="132"/>
  <c r="G78" i="132"/>
  <c r="O76" i="132"/>
  <c r="D49" i="125"/>
  <c r="D50" i="125" s="1"/>
  <c r="C50" i="125"/>
  <c r="O37" i="126"/>
  <c r="G53" i="126" s="1"/>
  <c r="G59" i="126" s="1"/>
  <c r="G64" i="126" s="1"/>
  <c r="C49" i="126"/>
  <c r="O49" i="126" s="1"/>
  <c r="J50" i="126"/>
  <c r="F49" i="127"/>
  <c r="F50" i="127" s="1"/>
  <c r="J49" i="127"/>
  <c r="J50" i="127" s="1"/>
  <c r="N49" i="127"/>
  <c r="N50" i="127" s="1"/>
  <c r="J51" i="127"/>
  <c r="J85" i="127"/>
  <c r="J89" i="127" s="1"/>
  <c r="O28" i="129"/>
  <c r="O49" i="129"/>
  <c r="G10" i="131"/>
  <c r="D37" i="132"/>
  <c r="D50" i="132" s="1"/>
  <c r="E10" i="132"/>
  <c r="O21" i="132"/>
  <c r="O37" i="127"/>
  <c r="G53" i="127" s="1"/>
  <c r="G59" i="127" s="1"/>
  <c r="G64" i="127" s="1"/>
  <c r="G49" i="127"/>
  <c r="G50" i="127" s="1"/>
  <c r="H68" i="128"/>
  <c r="O23" i="129"/>
  <c r="E27" i="129"/>
  <c r="F27" i="129" s="1"/>
  <c r="G27" i="129" s="1"/>
  <c r="G78" i="129"/>
  <c r="I37" i="131"/>
  <c r="I50" i="131" s="1"/>
  <c r="F13" i="131"/>
  <c r="G13" i="131" s="1"/>
  <c r="O16" i="131"/>
  <c r="F16" i="131"/>
  <c r="G16" i="131" s="1"/>
  <c r="O17" i="131"/>
  <c r="G77" i="133"/>
  <c r="H77" i="133"/>
  <c r="H83" i="133" s="1"/>
  <c r="H68" i="133"/>
  <c r="D37" i="131"/>
  <c r="J37" i="131"/>
  <c r="O49" i="131"/>
  <c r="I37" i="132"/>
  <c r="I50" i="132" s="1"/>
  <c r="J10" i="132"/>
  <c r="H50" i="132"/>
  <c r="E15" i="131"/>
  <c r="F15" i="131" s="1"/>
  <c r="G15" i="131" s="1"/>
  <c r="O18" i="131"/>
  <c r="E18" i="131"/>
  <c r="F18" i="131" s="1"/>
  <c r="G18" i="131" s="1"/>
  <c r="E22" i="131"/>
  <c r="F22" i="131" s="1"/>
  <c r="G22" i="131" s="1"/>
  <c r="O20" i="132"/>
  <c r="E20" i="132"/>
  <c r="F20" i="132" s="1"/>
  <c r="G20" i="132" s="1"/>
  <c r="O49" i="132"/>
  <c r="L10" i="133"/>
  <c r="O11" i="133"/>
  <c r="H37" i="133"/>
  <c r="H50" i="133" s="1"/>
  <c r="I14" i="133"/>
  <c r="O17" i="133"/>
  <c r="G78" i="131"/>
  <c r="O13" i="132"/>
  <c r="E13" i="132"/>
  <c r="F13" i="132" s="1"/>
  <c r="G13" i="132" s="1"/>
  <c r="E16" i="132"/>
  <c r="F16" i="132" s="1"/>
  <c r="G16" i="132" s="1"/>
  <c r="O19" i="132"/>
  <c r="H77" i="132"/>
  <c r="G77" i="132"/>
  <c r="H68" i="132"/>
  <c r="E12" i="133"/>
  <c r="F12" i="133" s="1"/>
  <c r="O16" i="133"/>
  <c r="O19" i="133"/>
  <c r="E19" i="133"/>
  <c r="F19" i="133" s="1"/>
  <c r="O21" i="133"/>
  <c r="E11" i="131"/>
  <c r="F11" i="131" s="1"/>
  <c r="G11" i="131" s="1"/>
  <c r="E14" i="131"/>
  <c r="F14" i="131" s="1"/>
  <c r="G14" i="131" s="1"/>
  <c r="O17" i="132"/>
  <c r="O22" i="132"/>
  <c r="D37" i="133"/>
  <c r="I37" i="133"/>
  <c r="I50" i="133" s="1"/>
  <c r="J12" i="133"/>
  <c r="O14" i="133"/>
  <c r="O15" i="133"/>
  <c r="E15" i="133"/>
  <c r="F15" i="133" s="1"/>
  <c r="G15" i="133" s="1"/>
  <c r="O20" i="133"/>
  <c r="E20" i="133"/>
  <c r="F20" i="133" s="1"/>
  <c r="G20" i="133" s="1"/>
  <c r="O22" i="133"/>
  <c r="O49" i="133"/>
  <c r="O13" i="69"/>
  <c r="O16" i="69"/>
  <c r="O43" i="67"/>
  <c r="G68" i="67" s="1"/>
  <c r="I14" i="69"/>
  <c r="H37" i="69"/>
  <c r="H51" i="69" s="1"/>
  <c r="G78" i="66"/>
  <c r="H78" i="66"/>
  <c r="H71" i="66"/>
  <c r="G40" i="67"/>
  <c r="J88" i="66"/>
  <c r="J50" i="66"/>
  <c r="J89" i="66"/>
  <c r="L89" i="66" s="1"/>
  <c r="L37" i="69"/>
  <c r="L51" i="69" s="1"/>
  <c r="M10" i="69"/>
  <c r="O26" i="70"/>
  <c r="E26" i="70"/>
  <c r="F26" i="70" s="1"/>
  <c r="G26" i="70" s="1"/>
  <c r="H78" i="70"/>
  <c r="O37" i="66"/>
  <c r="G53" i="66" s="1"/>
  <c r="G60" i="66" s="1"/>
  <c r="G65" i="66" s="1"/>
  <c r="J86" i="66"/>
  <c r="J90" i="66" s="1"/>
  <c r="K10" i="67"/>
  <c r="O46" i="67"/>
  <c r="O14" i="69"/>
  <c r="O17" i="69"/>
  <c r="E17" i="69"/>
  <c r="F17" i="69" s="1"/>
  <c r="G17" i="69" s="1"/>
  <c r="E21" i="69"/>
  <c r="F21" i="69" s="1"/>
  <c r="G21" i="69" s="1"/>
  <c r="O25" i="69"/>
  <c r="G26" i="69"/>
  <c r="O26" i="69" s="1"/>
  <c r="O29" i="69"/>
  <c r="G30" i="69"/>
  <c r="O30" i="69" s="1"/>
  <c r="E32" i="69"/>
  <c r="F32" i="69" s="1"/>
  <c r="G32" i="69" s="1"/>
  <c r="O33" i="69"/>
  <c r="G34" i="69"/>
  <c r="O34" i="69" s="1"/>
  <c r="D37" i="70"/>
  <c r="D50" i="70" s="1"/>
  <c r="O13" i="70"/>
  <c r="O28" i="70"/>
  <c r="J37" i="70"/>
  <c r="H68" i="70"/>
  <c r="G44" i="73"/>
  <c r="H44" i="73" s="1"/>
  <c r="I44" i="73" s="1"/>
  <c r="J44" i="73" s="1"/>
  <c r="K44" i="73" s="1"/>
  <c r="L44" i="73" s="1"/>
  <c r="M44" i="73" s="1"/>
  <c r="O44" i="73"/>
  <c r="G56" i="73" s="1"/>
  <c r="H46" i="73"/>
  <c r="I46" i="73" s="1"/>
  <c r="J46" i="73" s="1"/>
  <c r="K46" i="73" s="1"/>
  <c r="L46" i="73" s="1"/>
  <c r="M46" i="73" s="1"/>
  <c r="N46" i="73" s="1"/>
  <c r="H79" i="66"/>
  <c r="G84" i="66"/>
  <c r="G50" i="66"/>
  <c r="O50" i="66" s="1"/>
  <c r="E37" i="67"/>
  <c r="F10" i="67"/>
  <c r="G10" i="67" s="1"/>
  <c r="G37" i="67" s="1"/>
  <c r="O41" i="67"/>
  <c r="E44" i="67"/>
  <c r="F44" i="67" s="1"/>
  <c r="G44" i="67" s="1"/>
  <c r="H44" i="67" s="1"/>
  <c r="I44" i="67" s="1"/>
  <c r="J44" i="67" s="1"/>
  <c r="K44" i="67" s="1"/>
  <c r="L44" i="67" s="1"/>
  <c r="M44" i="67" s="1"/>
  <c r="F11" i="69"/>
  <c r="F37" i="69" s="1"/>
  <c r="F51" i="69" s="1"/>
  <c r="F13" i="69"/>
  <c r="G13" i="69" s="1"/>
  <c r="F19" i="69"/>
  <c r="G19" i="69" s="1"/>
  <c r="O22" i="69"/>
  <c r="K37" i="70"/>
  <c r="L10" i="70"/>
  <c r="J85" i="71"/>
  <c r="C50" i="71"/>
  <c r="J86" i="71"/>
  <c r="L86" i="71" s="1"/>
  <c r="H78" i="76"/>
  <c r="G83" i="76"/>
  <c r="J51" i="67"/>
  <c r="E49" i="67"/>
  <c r="O47" i="67"/>
  <c r="G69" i="67" s="1"/>
  <c r="H69" i="67" s="1"/>
  <c r="O24" i="69"/>
  <c r="O28" i="69"/>
  <c r="H37" i="70"/>
  <c r="I14" i="70"/>
  <c r="O14" i="70" s="1"/>
  <c r="E20" i="70"/>
  <c r="F20" i="70" s="1"/>
  <c r="G20" i="70" s="1"/>
  <c r="F27" i="70"/>
  <c r="G27" i="70" s="1"/>
  <c r="J50" i="78"/>
  <c r="J87" i="78"/>
  <c r="L87" i="78" s="1"/>
  <c r="J51" i="78"/>
  <c r="J52" i="78" s="1"/>
  <c r="J51" i="66"/>
  <c r="J52" i="66" s="1"/>
  <c r="F9" i="67"/>
  <c r="F37" i="67" s="1"/>
  <c r="J85" i="67" s="1"/>
  <c r="D50" i="67"/>
  <c r="F42" i="67"/>
  <c r="G42" i="67" s="1"/>
  <c r="H42" i="67" s="1"/>
  <c r="I42" i="67" s="1"/>
  <c r="J42" i="67" s="1"/>
  <c r="K42" i="67" s="1"/>
  <c r="L42" i="67" s="1"/>
  <c r="O45" i="67"/>
  <c r="O48" i="67"/>
  <c r="K37" i="69"/>
  <c r="K51" i="69" s="1"/>
  <c r="E12" i="69"/>
  <c r="F12" i="69" s="1"/>
  <c r="G12" i="69" s="1"/>
  <c r="G37" i="69" s="1"/>
  <c r="O15" i="69"/>
  <c r="E18" i="69"/>
  <c r="F18" i="69" s="1"/>
  <c r="G18" i="69" s="1"/>
  <c r="E23" i="69"/>
  <c r="F23" i="69" s="1"/>
  <c r="G23" i="69" s="1"/>
  <c r="E27" i="69"/>
  <c r="F27" i="69" s="1"/>
  <c r="G27" i="69" s="1"/>
  <c r="E31" i="69"/>
  <c r="F31" i="69" s="1"/>
  <c r="G31" i="69" s="1"/>
  <c r="G35" i="69"/>
  <c r="O35" i="69" s="1"/>
  <c r="D37" i="69"/>
  <c r="G78" i="69"/>
  <c r="H69" i="69"/>
  <c r="K39" i="70"/>
  <c r="O45" i="70"/>
  <c r="J37" i="71"/>
  <c r="K10" i="71"/>
  <c r="H77" i="72"/>
  <c r="H83" i="72" s="1"/>
  <c r="G77" i="72"/>
  <c r="H68" i="72"/>
  <c r="I37" i="69"/>
  <c r="I51" i="69" s="1"/>
  <c r="E12" i="70"/>
  <c r="F12" i="70" s="1"/>
  <c r="G12" i="70" s="1"/>
  <c r="G37" i="70" s="1"/>
  <c r="O16" i="70"/>
  <c r="O18" i="70"/>
  <c r="O29" i="70"/>
  <c r="E30" i="70"/>
  <c r="F30" i="70" s="1"/>
  <c r="G30" i="70" s="1"/>
  <c r="F31" i="70"/>
  <c r="G31" i="70" s="1"/>
  <c r="D49" i="70"/>
  <c r="O41" i="70"/>
  <c r="E41" i="70"/>
  <c r="F41" i="70" s="1"/>
  <c r="G41" i="70" s="1"/>
  <c r="O48" i="70"/>
  <c r="D50" i="71"/>
  <c r="H78" i="71"/>
  <c r="G83" i="71"/>
  <c r="E50" i="72"/>
  <c r="I50" i="72"/>
  <c r="J88" i="72"/>
  <c r="M50" i="72"/>
  <c r="J37" i="69"/>
  <c r="G36" i="69"/>
  <c r="O36" i="69" s="1"/>
  <c r="O49" i="69"/>
  <c r="D50" i="69"/>
  <c r="O50" i="69" s="1"/>
  <c r="O15" i="70"/>
  <c r="E15" i="70"/>
  <c r="F15" i="70" s="1"/>
  <c r="G15" i="70" s="1"/>
  <c r="E34" i="70"/>
  <c r="F34" i="70" s="1"/>
  <c r="G34" i="70" s="1"/>
  <c r="O35" i="70"/>
  <c r="E40" i="70"/>
  <c r="O47" i="70"/>
  <c r="G69" i="70" s="1"/>
  <c r="H69" i="70" s="1"/>
  <c r="E47" i="70"/>
  <c r="F47" i="70" s="1"/>
  <c r="G47" i="70" s="1"/>
  <c r="O49" i="72"/>
  <c r="O45" i="73"/>
  <c r="G45" i="73"/>
  <c r="H45" i="73" s="1"/>
  <c r="I45" i="73" s="1"/>
  <c r="J45" i="73" s="1"/>
  <c r="K45" i="73" s="1"/>
  <c r="L45" i="73" s="1"/>
  <c r="M45" i="73" s="1"/>
  <c r="N45" i="73" s="1"/>
  <c r="C50" i="75"/>
  <c r="O13" i="76"/>
  <c r="E19" i="70"/>
  <c r="F19" i="70" s="1"/>
  <c r="O21" i="70"/>
  <c r="G39" i="70"/>
  <c r="F50" i="71"/>
  <c r="N46" i="71"/>
  <c r="N49" i="71" s="1"/>
  <c r="M49" i="71"/>
  <c r="H68" i="71"/>
  <c r="H77" i="71"/>
  <c r="H83" i="71" s="1"/>
  <c r="K37" i="73"/>
  <c r="L10" i="73"/>
  <c r="H47" i="73"/>
  <c r="I47" i="73" s="1"/>
  <c r="J47" i="73" s="1"/>
  <c r="K47" i="73" s="1"/>
  <c r="L47" i="73" s="1"/>
  <c r="M47" i="73" s="1"/>
  <c r="N47" i="73" s="1"/>
  <c r="F50" i="74"/>
  <c r="J85" i="74"/>
  <c r="J51" i="74"/>
  <c r="J52" i="74" s="1"/>
  <c r="J87" i="74"/>
  <c r="J50" i="74"/>
  <c r="N50" i="74"/>
  <c r="J88" i="74"/>
  <c r="E10" i="75"/>
  <c r="F10" i="75" s="1"/>
  <c r="G10" i="75" s="1"/>
  <c r="H77" i="76"/>
  <c r="H83" i="76" s="1"/>
  <c r="H68" i="76"/>
  <c r="G77" i="76"/>
  <c r="C51" i="69"/>
  <c r="G79" i="69"/>
  <c r="J51" i="72"/>
  <c r="J52" i="72" s="1"/>
  <c r="J85" i="72"/>
  <c r="O23" i="76"/>
  <c r="G59" i="77"/>
  <c r="G64" i="77" s="1"/>
  <c r="F11" i="70"/>
  <c r="F37" i="70" s="1"/>
  <c r="E25" i="70"/>
  <c r="F25" i="70" s="1"/>
  <c r="G25" i="70" s="1"/>
  <c r="E29" i="70"/>
  <c r="F29" i="70" s="1"/>
  <c r="G29" i="70" s="1"/>
  <c r="E33" i="70"/>
  <c r="F33" i="70" s="1"/>
  <c r="G33" i="70" s="1"/>
  <c r="G46" i="71"/>
  <c r="O37" i="72"/>
  <c r="G53" i="72" s="1"/>
  <c r="G59" i="72" s="1"/>
  <c r="G64" i="72" s="1"/>
  <c r="J50" i="72"/>
  <c r="J86" i="72"/>
  <c r="O48" i="73"/>
  <c r="D37" i="76"/>
  <c r="D50" i="76" s="1"/>
  <c r="E10" i="76"/>
  <c r="O27" i="76"/>
  <c r="O9" i="73"/>
  <c r="L14" i="76"/>
  <c r="M14" i="76" s="1"/>
  <c r="N14" i="76" s="1"/>
  <c r="O14" i="76"/>
  <c r="E33" i="76"/>
  <c r="F33" i="76" s="1"/>
  <c r="G33" i="76" s="1"/>
  <c r="F34" i="76"/>
  <c r="G34" i="76" s="1"/>
  <c r="E37" i="73"/>
  <c r="O41" i="73"/>
  <c r="O42" i="73"/>
  <c r="G78" i="73" s="1"/>
  <c r="O43" i="73"/>
  <c r="G68" i="73" s="1"/>
  <c r="O50" i="74"/>
  <c r="E16" i="75"/>
  <c r="F16" i="75" s="1"/>
  <c r="G16" i="75" s="1"/>
  <c r="H16" i="75" s="1"/>
  <c r="I16" i="75" s="1"/>
  <c r="J16" i="75" s="1"/>
  <c r="K16" i="75" s="1"/>
  <c r="L16" i="75" s="1"/>
  <c r="M16" i="75" s="1"/>
  <c r="N16" i="75" s="1"/>
  <c r="E44" i="75"/>
  <c r="F44" i="75" s="1"/>
  <c r="G44" i="75" s="1"/>
  <c r="H44" i="75" s="1"/>
  <c r="I44" i="75" s="1"/>
  <c r="J44" i="75" s="1"/>
  <c r="K44" i="75" s="1"/>
  <c r="L44" i="75" s="1"/>
  <c r="M44" i="75" s="1"/>
  <c r="D49" i="75"/>
  <c r="I37" i="76"/>
  <c r="I50" i="76" s="1"/>
  <c r="J10" i="76"/>
  <c r="O17" i="76"/>
  <c r="O21" i="76"/>
  <c r="E21" i="76"/>
  <c r="F21" i="76" s="1"/>
  <c r="G21" i="76" s="1"/>
  <c r="O22" i="76"/>
  <c r="F22" i="76"/>
  <c r="G22" i="76" s="1"/>
  <c r="H78" i="77"/>
  <c r="G83" i="77"/>
  <c r="G77" i="77"/>
  <c r="H68" i="77"/>
  <c r="J85" i="77"/>
  <c r="O12" i="73"/>
  <c r="J37" i="73"/>
  <c r="H68" i="74"/>
  <c r="H77" i="74"/>
  <c r="N10" i="75"/>
  <c r="O41" i="75"/>
  <c r="O16" i="76"/>
  <c r="E16" i="76"/>
  <c r="F16" i="76" s="1"/>
  <c r="G16" i="76" s="1"/>
  <c r="E25" i="76"/>
  <c r="F25" i="76" s="1"/>
  <c r="G25" i="76" s="1"/>
  <c r="F26" i="76"/>
  <c r="G26" i="76" s="1"/>
  <c r="M50" i="77"/>
  <c r="J88" i="77"/>
  <c r="H77" i="77"/>
  <c r="F10" i="73"/>
  <c r="G10" i="73" s="1"/>
  <c r="G37" i="73" s="1"/>
  <c r="E40" i="73"/>
  <c r="C50" i="73"/>
  <c r="D37" i="75"/>
  <c r="D50" i="75" s="1"/>
  <c r="E9" i="75"/>
  <c r="I12" i="75"/>
  <c r="J12" i="75" s="1"/>
  <c r="G40" i="75"/>
  <c r="O11" i="76"/>
  <c r="E29" i="76"/>
  <c r="F29" i="76" s="1"/>
  <c r="G29" i="76" s="1"/>
  <c r="F30" i="76"/>
  <c r="G30" i="76" s="1"/>
  <c r="C50" i="76"/>
  <c r="O43" i="80"/>
  <c r="G68" i="80" s="1"/>
  <c r="O37" i="74"/>
  <c r="G53" i="74" s="1"/>
  <c r="G59" i="74" s="1"/>
  <c r="G64" i="74" s="1"/>
  <c r="G78" i="74"/>
  <c r="J86" i="74"/>
  <c r="J51" i="77"/>
  <c r="J52" i="77" s="1"/>
  <c r="J85" i="78"/>
  <c r="J86" i="78"/>
  <c r="O37" i="78"/>
  <c r="G53" i="78" s="1"/>
  <c r="G59" i="78" s="1"/>
  <c r="G64" i="78" s="1"/>
  <c r="O49" i="78"/>
  <c r="C50" i="78"/>
  <c r="O11" i="81"/>
  <c r="O12" i="81"/>
  <c r="E43" i="75"/>
  <c r="F43" i="75" s="1"/>
  <c r="G43" i="75" s="1"/>
  <c r="E13" i="76"/>
  <c r="F13" i="76" s="1"/>
  <c r="G13" i="76" s="1"/>
  <c r="E15" i="76"/>
  <c r="F15" i="76" s="1"/>
  <c r="G15" i="76" s="1"/>
  <c r="E20" i="76"/>
  <c r="F20" i="76" s="1"/>
  <c r="G20" i="76" s="1"/>
  <c r="E24" i="76"/>
  <c r="F24" i="76" s="1"/>
  <c r="G24" i="76" s="1"/>
  <c r="E28" i="76"/>
  <c r="F28" i="76" s="1"/>
  <c r="G28" i="76" s="1"/>
  <c r="E32" i="76"/>
  <c r="F32" i="76" s="1"/>
  <c r="G32" i="76" s="1"/>
  <c r="G36" i="76"/>
  <c r="O36" i="76" s="1"/>
  <c r="O72" i="78"/>
  <c r="G78" i="78"/>
  <c r="J50" i="77"/>
  <c r="O50" i="77" s="1"/>
  <c r="J88" i="78"/>
  <c r="L88" i="78" s="1"/>
  <c r="M50" i="78"/>
  <c r="G77" i="78"/>
  <c r="G50" i="78"/>
  <c r="H77" i="78"/>
  <c r="H77" i="79"/>
  <c r="H83" i="79" s="1"/>
  <c r="H68" i="79"/>
  <c r="G77" i="79"/>
  <c r="D50" i="80"/>
  <c r="O47" i="80"/>
  <c r="G69" i="80" s="1"/>
  <c r="H69" i="80" s="1"/>
  <c r="H37" i="81"/>
  <c r="H50" i="81" s="1"/>
  <c r="I14" i="81"/>
  <c r="O37" i="79"/>
  <c r="G53" i="79" s="1"/>
  <c r="G59" i="79" s="1"/>
  <c r="G64" i="79" s="1"/>
  <c r="J50" i="79"/>
  <c r="N50" i="79"/>
  <c r="J85" i="79"/>
  <c r="J89" i="79" s="1"/>
  <c r="E40" i="80"/>
  <c r="E41" i="80"/>
  <c r="F41" i="80" s="1"/>
  <c r="G41" i="80" s="1"/>
  <c r="H41" i="80" s="1"/>
  <c r="I41" i="80" s="1"/>
  <c r="J41" i="80" s="1"/>
  <c r="K41" i="80" s="1"/>
  <c r="L41" i="80" s="1"/>
  <c r="M41" i="80" s="1"/>
  <c r="N41" i="80" s="1"/>
  <c r="E42" i="80"/>
  <c r="F42" i="80" s="1"/>
  <c r="G42" i="80" s="1"/>
  <c r="H42" i="80" s="1"/>
  <c r="I42" i="80" s="1"/>
  <c r="J42" i="80" s="1"/>
  <c r="K42" i="80" s="1"/>
  <c r="L42" i="80" s="1"/>
  <c r="M42" i="80" s="1"/>
  <c r="N42" i="80" s="1"/>
  <c r="E43" i="80"/>
  <c r="F43" i="80" s="1"/>
  <c r="F44" i="80"/>
  <c r="G44" i="80" s="1"/>
  <c r="H44" i="80" s="1"/>
  <c r="I44" i="80" s="1"/>
  <c r="J44" i="80" s="1"/>
  <c r="K44" i="80" s="1"/>
  <c r="L44" i="80" s="1"/>
  <c r="M44" i="80" s="1"/>
  <c r="O45" i="80"/>
  <c r="O46" i="80"/>
  <c r="E12" i="81"/>
  <c r="F12" i="81" s="1"/>
  <c r="G12" i="81" s="1"/>
  <c r="O13" i="81"/>
  <c r="O14" i="81"/>
  <c r="O15" i="81"/>
  <c r="E19" i="81"/>
  <c r="F19" i="81" s="1"/>
  <c r="O21" i="81"/>
  <c r="F24" i="81"/>
  <c r="G24" i="81" s="1"/>
  <c r="O31" i="81"/>
  <c r="E34" i="81"/>
  <c r="F34" i="81" s="1"/>
  <c r="G34" i="81" s="1"/>
  <c r="O49" i="81"/>
  <c r="O9" i="82"/>
  <c r="J51" i="82"/>
  <c r="G50" i="79"/>
  <c r="D49" i="80"/>
  <c r="C50" i="80"/>
  <c r="J85" i="80"/>
  <c r="J89" i="80" s="1"/>
  <c r="D37" i="81"/>
  <c r="D50" i="81" s="1"/>
  <c r="I37" i="81"/>
  <c r="I50" i="81" s="1"/>
  <c r="O16" i="81"/>
  <c r="O17" i="81"/>
  <c r="O20" i="81"/>
  <c r="E20" i="81"/>
  <c r="F20" i="81" s="1"/>
  <c r="G20" i="81" s="1"/>
  <c r="O25" i="81"/>
  <c r="E30" i="81"/>
  <c r="F30" i="81" s="1"/>
  <c r="G30" i="81" s="1"/>
  <c r="O32" i="81"/>
  <c r="H78" i="81"/>
  <c r="G83" i="81"/>
  <c r="J51" i="79"/>
  <c r="J52" i="79" s="1"/>
  <c r="K47" i="80"/>
  <c r="L47" i="80" s="1"/>
  <c r="M47" i="80" s="1"/>
  <c r="N47" i="80" s="1"/>
  <c r="E10" i="81"/>
  <c r="J10" i="81"/>
  <c r="O23" i="81"/>
  <c r="E26" i="81"/>
  <c r="F26" i="81" s="1"/>
  <c r="G26" i="81" s="1"/>
  <c r="O33" i="81"/>
  <c r="H77" i="81"/>
  <c r="H83" i="81" s="1"/>
  <c r="H68" i="81"/>
  <c r="G77" i="81"/>
  <c r="F18" i="81"/>
  <c r="G18" i="81" s="1"/>
  <c r="F9" i="82"/>
  <c r="F10" i="82"/>
  <c r="G10" i="82" s="1"/>
  <c r="G37" i="82" s="1"/>
  <c r="L10" i="82"/>
  <c r="H77" i="82"/>
  <c r="H83" i="82" s="1"/>
  <c r="G77" i="82"/>
  <c r="O45" i="82"/>
  <c r="E45" i="82"/>
  <c r="F45" i="82" s="1"/>
  <c r="G45" i="82" s="1"/>
  <c r="H45" i="82" s="1"/>
  <c r="I45" i="82" s="1"/>
  <c r="J45" i="82" s="1"/>
  <c r="K45" i="82" s="1"/>
  <c r="L45" i="82" s="1"/>
  <c r="M45" i="82" s="1"/>
  <c r="N45" i="82" s="1"/>
  <c r="H68" i="82"/>
  <c r="G77" i="83"/>
  <c r="H68" i="83"/>
  <c r="H77" i="83"/>
  <c r="O22" i="81"/>
  <c r="C50" i="81"/>
  <c r="E42" i="82"/>
  <c r="F42" i="82" s="1"/>
  <c r="G42" i="82" s="1"/>
  <c r="H42" i="82" s="1"/>
  <c r="I42" i="82" s="1"/>
  <c r="J42" i="82" s="1"/>
  <c r="K42" i="82" s="1"/>
  <c r="L42" i="82" s="1"/>
  <c r="M42" i="82" s="1"/>
  <c r="N42" i="82" s="1"/>
  <c r="F25" i="81"/>
  <c r="G25" i="81" s="1"/>
  <c r="F29" i="81"/>
  <c r="G29" i="81" s="1"/>
  <c r="C50" i="82"/>
  <c r="K39" i="82"/>
  <c r="D49" i="82"/>
  <c r="D50" i="82" s="1"/>
  <c r="E41" i="82"/>
  <c r="O47" i="82"/>
  <c r="E47" i="82"/>
  <c r="F47" i="82" s="1"/>
  <c r="G47" i="82" s="1"/>
  <c r="H47" i="82" s="1"/>
  <c r="I47" i="82" s="1"/>
  <c r="J47" i="82" s="1"/>
  <c r="K47" i="82" s="1"/>
  <c r="L47" i="82" s="1"/>
  <c r="M47" i="82" s="1"/>
  <c r="N47" i="82" s="1"/>
  <c r="H78" i="84"/>
  <c r="G83" i="84"/>
  <c r="G59" i="85"/>
  <c r="G64" i="85" s="1"/>
  <c r="G83" i="85"/>
  <c r="H78" i="85"/>
  <c r="E46" i="82"/>
  <c r="F46" i="82" s="1"/>
  <c r="G46" i="82" s="1"/>
  <c r="H46" i="82" s="1"/>
  <c r="I46" i="82" s="1"/>
  <c r="J46" i="82" s="1"/>
  <c r="K46" i="82" s="1"/>
  <c r="L46" i="82" s="1"/>
  <c r="M46" i="82" s="1"/>
  <c r="N46" i="82" s="1"/>
  <c r="G77" i="84"/>
  <c r="H68" i="84"/>
  <c r="H77" i="84"/>
  <c r="H83" i="84" s="1"/>
  <c r="H77" i="85"/>
  <c r="H68" i="85"/>
  <c r="G77" i="85"/>
  <c r="O37" i="83"/>
  <c r="G53" i="83" s="1"/>
  <c r="G59" i="83" s="1"/>
  <c r="G64" i="83" s="1"/>
  <c r="J85" i="83"/>
  <c r="J89" i="83" s="1"/>
  <c r="J91" i="83" s="1"/>
  <c r="J92" i="83" s="1"/>
  <c r="O37" i="84"/>
  <c r="G53" i="84" s="1"/>
  <c r="G59" i="84" s="1"/>
  <c r="G64" i="84" s="1"/>
  <c r="J85" i="84"/>
  <c r="J87" i="85"/>
  <c r="G50" i="83"/>
  <c r="O50" i="83" s="1"/>
  <c r="G78" i="83"/>
  <c r="G50" i="84"/>
  <c r="J88" i="85"/>
  <c r="E44" i="82"/>
  <c r="F44" i="82" s="1"/>
  <c r="G44" i="82" s="1"/>
  <c r="H44" i="82" s="1"/>
  <c r="I44" i="82" s="1"/>
  <c r="J44" i="82" s="1"/>
  <c r="K44" i="82" s="1"/>
  <c r="L44" i="82" s="1"/>
  <c r="M44" i="82" s="1"/>
  <c r="J51" i="83"/>
  <c r="J52" i="83" s="1"/>
  <c r="J87" i="84"/>
  <c r="J51" i="85"/>
  <c r="J52" i="85" s="1"/>
  <c r="J85" i="85"/>
  <c r="M50" i="83"/>
  <c r="M50" i="84"/>
  <c r="L10" i="47"/>
  <c r="K37" i="47"/>
  <c r="K50" i="47" s="1"/>
  <c r="O52" i="48"/>
  <c r="O25" i="49"/>
  <c r="G25" i="49"/>
  <c r="D50" i="47"/>
  <c r="O11" i="47"/>
  <c r="I14" i="49"/>
  <c r="O14" i="49" s="1"/>
  <c r="H37" i="49"/>
  <c r="H50" i="49" s="1"/>
  <c r="L17" i="49"/>
  <c r="M17" i="49" s="1"/>
  <c r="N17" i="49" s="1"/>
  <c r="O28" i="49"/>
  <c r="G23" i="47"/>
  <c r="O23" i="47" s="1"/>
  <c r="O15" i="47"/>
  <c r="O30" i="47"/>
  <c r="L34" i="47"/>
  <c r="M34" i="47" s="1"/>
  <c r="N34" i="47" s="1"/>
  <c r="G18" i="49"/>
  <c r="O18" i="49" s="1"/>
  <c r="L24" i="49"/>
  <c r="M24" i="49" s="1"/>
  <c r="N24" i="49" s="1"/>
  <c r="G34" i="49"/>
  <c r="O34" i="49"/>
  <c r="O28" i="47"/>
  <c r="O29" i="47"/>
  <c r="E26" i="49"/>
  <c r="F26" i="49" s="1"/>
  <c r="G26" i="49" s="1"/>
  <c r="O36" i="49"/>
  <c r="G36" i="49"/>
  <c r="H79" i="57"/>
  <c r="G84" i="57"/>
  <c r="O30" i="60"/>
  <c r="E24" i="61"/>
  <c r="F24" i="61" s="1"/>
  <c r="G24" i="61" s="1"/>
  <c r="G28" i="61"/>
  <c r="O28" i="61" s="1"/>
  <c r="E10" i="47"/>
  <c r="O20" i="47"/>
  <c r="O25" i="47"/>
  <c r="E28" i="47"/>
  <c r="F28" i="47" s="1"/>
  <c r="G28" i="47" s="1"/>
  <c r="G36" i="47"/>
  <c r="O36" i="47" s="1"/>
  <c r="H77" i="47"/>
  <c r="H83" i="47" s="1"/>
  <c r="H78" i="47"/>
  <c r="O38" i="48"/>
  <c r="G55" i="48" s="1"/>
  <c r="G61" i="48" s="1"/>
  <c r="G66" i="48" s="1"/>
  <c r="O51" i="48"/>
  <c r="G79" i="48"/>
  <c r="E12" i="49"/>
  <c r="F12" i="49" s="1"/>
  <c r="G12" i="49" s="1"/>
  <c r="G37" i="49" s="1"/>
  <c r="O19" i="49"/>
  <c r="O22" i="49"/>
  <c r="F28" i="49"/>
  <c r="G28" i="49" s="1"/>
  <c r="E32" i="49"/>
  <c r="F32" i="49" s="1"/>
  <c r="G32" i="49" s="1"/>
  <c r="D37" i="49"/>
  <c r="D50" i="49" s="1"/>
  <c r="H50" i="50"/>
  <c r="J87" i="50"/>
  <c r="L50" i="50"/>
  <c r="H77" i="50"/>
  <c r="G77" i="50"/>
  <c r="H77" i="51"/>
  <c r="H68" i="51"/>
  <c r="E37" i="57"/>
  <c r="E50" i="57" s="1"/>
  <c r="O25" i="60"/>
  <c r="F25" i="60"/>
  <c r="G25" i="60" s="1"/>
  <c r="O26" i="61"/>
  <c r="F30" i="61"/>
  <c r="G30" i="61" s="1"/>
  <c r="G78" i="62"/>
  <c r="H71" i="62"/>
  <c r="F50" i="64"/>
  <c r="J51" i="64"/>
  <c r="J52" i="64" s="1"/>
  <c r="J50" i="64"/>
  <c r="N50" i="64"/>
  <c r="O49" i="64"/>
  <c r="J37" i="47"/>
  <c r="C50" i="49"/>
  <c r="G78" i="50"/>
  <c r="O75" i="50"/>
  <c r="G78" i="57"/>
  <c r="H78" i="57"/>
  <c r="H69" i="57"/>
  <c r="O12" i="47"/>
  <c r="O16" i="47"/>
  <c r="E24" i="47"/>
  <c r="F24" i="47" s="1"/>
  <c r="G24" i="47" s="1"/>
  <c r="O31" i="47"/>
  <c r="H68" i="47"/>
  <c r="K10" i="49"/>
  <c r="O13" i="49"/>
  <c r="O15" i="49"/>
  <c r="E15" i="49"/>
  <c r="F15" i="49" s="1"/>
  <c r="G15" i="49" s="1"/>
  <c r="E20" i="49"/>
  <c r="F20" i="49" s="1"/>
  <c r="G20" i="49" s="1"/>
  <c r="E27" i="49"/>
  <c r="F27" i="49" s="1"/>
  <c r="G27" i="49" s="1"/>
  <c r="O30" i="49"/>
  <c r="E30" i="49"/>
  <c r="F30" i="49" s="1"/>
  <c r="G30" i="49" s="1"/>
  <c r="O33" i="49"/>
  <c r="M50" i="50"/>
  <c r="H68" i="50"/>
  <c r="E50" i="51"/>
  <c r="O50" i="51" s="1"/>
  <c r="J88" i="51"/>
  <c r="F9" i="57"/>
  <c r="F37" i="57" s="1"/>
  <c r="F50" i="57" s="1"/>
  <c r="H78" i="58"/>
  <c r="H69" i="58"/>
  <c r="G78" i="58"/>
  <c r="O21" i="60"/>
  <c r="F21" i="60"/>
  <c r="G21" i="60" s="1"/>
  <c r="E24" i="60"/>
  <c r="F24" i="60" s="1"/>
  <c r="G24" i="60" s="1"/>
  <c r="J26" i="62"/>
  <c r="K26" i="62" s="1"/>
  <c r="L26" i="62" s="1"/>
  <c r="M26" i="62" s="1"/>
  <c r="N26" i="62" s="1"/>
  <c r="I37" i="62"/>
  <c r="I50" i="62" s="1"/>
  <c r="I37" i="47"/>
  <c r="I50" i="47" s="1"/>
  <c r="O13" i="47"/>
  <c r="O17" i="47"/>
  <c r="O27" i="47"/>
  <c r="O32" i="47"/>
  <c r="O33" i="47"/>
  <c r="O72" i="47"/>
  <c r="J90" i="48"/>
  <c r="M52" i="48"/>
  <c r="J87" i="48"/>
  <c r="J91" i="48" s="1"/>
  <c r="E37" i="49"/>
  <c r="E50" i="49" s="1"/>
  <c r="O9" i="49"/>
  <c r="I37" i="49"/>
  <c r="I50" i="49" s="1"/>
  <c r="J12" i="49"/>
  <c r="K12" i="49" s="1"/>
  <c r="L12" i="49" s="1"/>
  <c r="M12" i="49" s="1"/>
  <c r="N12" i="49" s="1"/>
  <c r="O16" i="49"/>
  <c r="O21" i="49"/>
  <c r="O23" i="49"/>
  <c r="G78" i="49"/>
  <c r="J52" i="51"/>
  <c r="G77" i="51"/>
  <c r="G78" i="56"/>
  <c r="O75" i="56"/>
  <c r="H68" i="56"/>
  <c r="H77" i="56"/>
  <c r="G77" i="56"/>
  <c r="G79" i="58"/>
  <c r="O76" i="58"/>
  <c r="O34" i="60"/>
  <c r="E34" i="60"/>
  <c r="F34" i="60" s="1"/>
  <c r="G34" i="60" s="1"/>
  <c r="J88" i="50"/>
  <c r="F50" i="51"/>
  <c r="J50" i="51"/>
  <c r="N50" i="51"/>
  <c r="O49" i="51"/>
  <c r="D37" i="56"/>
  <c r="J86" i="56"/>
  <c r="H50" i="56"/>
  <c r="D37" i="58"/>
  <c r="H50" i="58"/>
  <c r="E12" i="60"/>
  <c r="F12" i="60" s="1"/>
  <c r="G12" i="60" s="1"/>
  <c r="K15" i="60"/>
  <c r="L15" i="60" s="1"/>
  <c r="M15" i="60" s="1"/>
  <c r="N15" i="60" s="1"/>
  <c r="J37" i="60"/>
  <c r="O18" i="60"/>
  <c r="G57" i="60" s="1"/>
  <c r="E20" i="60"/>
  <c r="F20" i="60" s="1"/>
  <c r="G20" i="60" s="1"/>
  <c r="H78" i="49"/>
  <c r="H84" i="49" s="1"/>
  <c r="H69" i="49"/>
  <c r="E9" i="50"/>
  <c r="J50" i="50"/>
  <c r="N50" i="50"/>
  <c r="O49" i="50"/>
  <c r="O37" i="51"/>
  <c r="G53" i="51" s="1"/>
  <c r="G59" i="51" s="1"/>
  <c r="G64" i="51" s="1"/>
  <c r="J86" i="51"/>
  <c r="J89" i="51" s="1"/>
  <c r="H78" i="51"/>
  <c r="E9" i="56"/>
  <c r="G50" i="57"/>
  <c r="J87" i="57"/>
  <c r="E9" i="58"/>
  <c r="O9" i="61"/>
  <c r="K17" i="61"/>
  <c r="L17" i="61" s="1"/>
  <c r="M17" i="61" s="1"/>
  <c r="N17" i="61" s="1"/>
  <c r="O17" i="61"/>
  <c r="I50" i="56"/>
  <c r="M50" i="56"/>
  <c r="J88" i="57"/>
  <c r="I50" i="58"/>
  <c r="M50" i="58"/>
  <c r="J87" i="59"/>
  <c r="J91" i="59" s="1"/>
  <c r="C51" i="59"/>
  <c r="O51" i="59" s="1"/>
  <c r="G51" i="59"/>
  <c r="J88" i="59"/>
  <c r="O38" i="59"/>
  <c r="G54" i="59" s="1"/>
  <c r="G61" i="59" s="1"/>
  <c r="G66" i="59" s="1"/>
  <c r="D37" i="60"/>
  <c r="D50" i="60" s="1"/>
  <c r="L10" i="60"/>
  <c r="O13" i="60"/>
  <c r="Q38" i="60" s="1"/>
  <c r="Q39" i="60" s="1"/>
  <c r="F13" i="60"/>
  <c r="G13" i="60" s="1"/>
  <c r="G20" i="61"/>
  <c r="O20" i="61"/>
  <c r="D37" i="57"/>
  <c r="J51" i="58"/>
  <c r="J52" i="58" s="1"/>
  <c r="G79" i="59"/>
  <c r="H70" i="59"/>
  <c r="O11" i="60"/>
  <c r="O15" i="60"/>
  <c r="O16" i="60"/>
  <c r="E16" i="60"/>
  <c r="F16" i="60" s="1"/>
  <c r="G16" i="60" s="1"/>
  <c r="F17" i="60"/>
  <c r="G17" i="60" s="1"/>
  <c r="G37" i="60" s="1"/>
  <c r="O26" i="60"/>
  <c r="E12" i="61"/>
  <c r="F12" i="61" s="1"/>
  <c r="G12" i="61" s="1"/>
  <c r="G37" i="61" s="1"/>
  <c r="E10" i="62"/>
  <c r="D37" i="62"/>
  <c r="E33" i="62"/>
  <c r="F33" i="62" s="1"/>
  <c r="G33" i="62" s="1"/>
  <c r="O33" i="62"/>
  <c r="O50" i="63"/>
  <c r="J50" i="56"/>
  <c r="J89" i="59"/>
  <c r="L89" i="59" s="1"/>
  <c r="I14" i="60"/>
  <c r="O14" i="60" s="1"/>
  <c r="H37" i="60"/>
  <c r="H50" i="60" s="1"/>
  <c r="O22" i="60"/>
  <c r="E28" i="60"/>
  <c r="F28" i="60" s="1"/>
  <c r="G28" i="60" s="1"/>
  <c r="O29" i="60"/>
  <c r="F29" i="60"/>
  <c r="G29" i="60" s="1"/>
  <c r="H77" i="60"/>
  <c r="H83" i="60" s="1"/>
  <c r="H68" i="60"/>
  <c r="G77" i="60"/>
  <c r="O23" i="61"/>
  <c r="O25" i="61"/>
  <c r="E25" i="61"/>
  <c r="F25" i="61" s="1"/>
  <c r="G25" i="61" s="1"/>
  <c r="E34" i="61"/>
  <c r="F34" i="61" s="1"/>
  <c r="G34" i="61" s="1"/>
  <c r="O36" i="61"/>
  <c r="K10" i="62"/>
  <c r="K24" i="62"/>
  <c r="L24" i="62" s="1"/>
  <c r="M24" i="62" s="1"/>
  <c r="N24" i="62" s="1"/>
  <c r="G77" i="63"/>
  <c r="I37" i="61"/>
  <c r="I50" i="61" s="1"/>
  <c r="J10" i="61"/>
  <c r="O14" i="61"/>
  <c r="O16" i="61"/>
  <c r="O22" i="61"/>
  <c r="O33" i="61"/>
  <c r="D37" i="61"/>
  <c r="O15" i="62"/>
  <c r="O16" i="62"/>
  <c r="O21" i="62"/>
  <c r="G36" i="62"/>
  <c r="O36" i="62" s="1"/>
  <c r="O37" i="63"/>
  <c r="G53" i="63" s="1"/>
  <c r="G59" i="63" s="1"/>
  <c r="G64" i="63" s="1"/>
  <c r="O37" i="64"/>
  <c r="G53" i="64" s="1"/>
  <c r="G59" i="64" s="1"/>
  <c r="G64" i="64" s="1"/>
  <c r="H77" i="64"/>
  <c r="H83" i="64" s="1"/>
  <c r="H68" i="64"/>
  <c r="K37" i="65"/>
  <c r="K50" i="65" s="1"/>
  <c r="L10" i="65"/>
  <c r="O17" i="65"/>
  <c r="O19" i="65"/>
  <c r="E19" i="65"/>
  <c r="F19" i="65" s="1"/>
  <c r="O21" i="65"/>
  <c r="F25" i="65"/>
  <c r="G25" i="65" s="1"/>
  <c r="O27" i="65"/>
  <c r="H68" i="65"/>
  <c r="H77" i="65"/>
  <c r="H83" i="65" s="1"/>
  <c r="G77" i="65"/>
  <c r="F11" i="60"/>
  <c r="F37" i="60" s="1"/>
  <c r="F50" i="60" s="1"/>
  <c r="E15" i="60"/>
  <c r="F15" i="60" s="1"/>
  <c r="G15" i="60" s="1"/>
  <c r="E19" i="60"/>
  <c r="F19" i="60" s="1"/>
  <c r="G19" i="60" s="1"/>
  <c r="E23" i="60"/>
  <c r="F23" i="60" s="1"/>
  <c r="G23" i="60" s="1"/>
  <c r="E27" i="60"/>
  <c r="F27" i="60" s="1"/>
  <c r="G27" i="60" s="1"/>
  <c r="E31" i="60"/>
  <c r="F31" i="60" s="1"/>
  <c r="G31" i="60" s="1"/>
  <c r="E33" i="60"/>
  <c r="F33" i="60" s="1"/>
  <c r="G33" i="60" s="1"/>
  <c r="E21" i="61"/>
  <c r="F21" i="61" s="1"/>
  <c r="G21" i="61" s="1"/>
  <c r="O27" i="61"/>
  <c r="O31" i="61"/>
  <c r="E32" i="61"/>
  <c r="F32" i="61" s="1"/>
  <c r="G32" i="61" s="1"/>
  <c r="E33" i="61"/>
  <c r="F33" i="61" s="1"/>
  <c r="G33" i="61" s="1"/>
  <c r="H68" i="61"/>
  <c r="H77" i="61"/>
  <c r="H83" i="61" s="1"/>
  <c r="O12" i="62"/>
  <c r="O19" i="62"/>
  <c r="T95" i="62" s="1"/>
  <c r="E25" i="62"/>
  <c r="F25" i="62" s="1"/>
  <c r="G25" i="62" s="1"/>
  <c r="O25" i="62"/>
  <c r="E27" i="62"/>
  <c r="F27" i="62" s="1"/>
  <c r="G27" i="62" s="1"/>
  <c r="O28" i="62"/>
  <c r="E35" i="62"/>
  <c r="F35" i="62" s="1"/>
  <c r="G35" i="62" s="1"/>
  <c r="G84" i="62"/>
  <c r="H79" i="62"/>
  <c r="H68" i="63"/>
  <c r="O16" i="65"/>
  <c r="O18" i="65"/>
  <c r="G57" i="65" s="1"/>
  <c r="F18" i="65"/>
  <c r="G18" i="65" s="1"/>
  <c r="O11" i="61"/>
  <c r="O29" i="61"/>
  <c r="G36" i="61"/>
  <c r="F14" i="62"/>
  <c r="G14" i="62" s="1"/>
  <c r="E29" i="62"/>
  <c r="F29" i="62" s="1"/>
  <c r="G29" i="62" s="1"/>
  <c r="E31" i="62"/>
  <c r="F31" i="62" s="1"/>
  <c r="G31" i="62" s="1"/>
  <c r="O34" i="62"/>
  <c r="H50" i="62"/>
  <c r="H78" i="62"/>
  <c r="H84" i="62" s="1"/>
  <c r="H69" i="62"/>
  <c r="G77" i="64"/>
  <c r="O9" i="62"/>
  <c r="O11" i="62"/>
  <c r="O18" i="62"/>
  <c r="O20" i="62"/>
  <c r="O23" i="62"/>
  <c r="I37" i="65"/>
  <c r="I50" i="65" s="1"/>
  <c r="O12" i="65"/>
  <c r="E12" i="65"/>
  <c r="F12" i="65" s="1"/>
  <c r="G12" i="65" s="1"/>
  <c r="O15" i="65"/>
  <c r="E15" i="65"/>
  <c r="F15" i="65" s="1"/>
  <c r="G15" i="65" s="1"/>
  <c r="E20" i="65"/>
  <c r="F20" i="65" s="1"/>
  <c r="G20" i="65" s="1"/>
  <c r="G37" i="65" s="1"/>
  <c r="O33" i="65"/>
  <c r="E26" i="62"/>
  <c r="F26" i="62" s="1"/>
  <c r="G26" i="62" s="1"/>
  <c r="O30" i="62"/>
  <c r="O49" i="62"/>
  <c r="O22" i="62"/>
  <c r="J37" i="65"/>
  <c r="E37" i="65"/>
  <c r="E50" i="65" s="1"/>
  <c r="I14" i="65"/>
  <c r="O14" i="65" s="1"/>
  <c r="H37" i="65"/>
  <c r="H50" i="65" s="1"/>
  <c r="O23" i="65"/>
  <c r="F29" i="65"/>
  <c r="G29" i="65" s="1"/>
  <c r="O31" i="65"/>
  <c r="O32" i="65"/>
  <c r="O24" i="65"/>
  <c r="O28" i="65"/>
  <c r="O34" i="65"/>
  <c r="O9" i="65"/>
  <c r="E26" i="65"/>
  <c r="F26" i="65" s="1"/>
  <c r="G26" i="65" s="1"/>
  <c r="E30" i="65"/>
  <c r="F30" i="65" s="1"/>
  <c r="G30" i="65" s="1"/>
  <c r="G36" i="65"/>
  <c r="O36" i="65" s="1"/>
  <c r="H77" i="3"/>
  <c r="H70" i="3"/>
  <c r="G77" i="8"/>
  <c r="H68" i="8"/>
  <c r="H77" i="8"/>
  <c r="J90" i="6"/>
  <c r="G83" i="7"/>
  <c r="H78" i="7"/>
  <c r="G77" i="3"/>
  <c r="H78" i="8"/>
  <c r="G83" i="8"/>
  <c r="G86" i="9"/>
  <c r="G83" i="11"/>
  <c r="J51" i="12"/>
  <c r="J52" i="12" s="1"/>
  <c r="J50" i="12"/>
  <c r="O50" i="12" s="1"/>
  <c r="H71" i="2"/>
  <c r="J86" i="3"/>
  <c r="G50" i="3"/>
  <c r="O50" i="3" s="1"/>
  <c r="O37" i="3"/>
  <c r="G53" i="3" s="1"/>
  <c r="G59" i="3" s="1"/>
  <c r="G64" i="3" s="1"/>
  <c r="J50" i="3"/>
  <c r="J51" i="3"/>
  <c r="J52" i="3" s="1"/>
  <c r="O50" i="4"/>
  <c r="O38" i="5"/>
  <c r="G54" i="5" s="1"/>
  <c r="G60" i="5" s="1"/>
  <c r="G65" i="5" s="1"/>
  <c r="O50" i="5"/>
  <c r="J51" i="5"/>
  <c r="O51" i="5" s="1"/>
  <c r="H69" i="6"/>
  <c r="J89" i="7"/>
  <c r="O37" i="7"/>
  <c r="G53" i="7" s="1"/>
  <c r="G59" i="7" s="1"/>
  <c r="G64" i="7" s="1"/>
  <c r="H77" i="7"/>
  <c r="G77" i="7"/>
  <c r="H68" i="7"/>
  <c r="C51" i="9"/>
  <c r="O51" i="9" s="1"/>
  <c r="O37" i="10"/>
  <c r="G54" i="10" s="1"/>
  <c r="G60" i="10" s="1"/>
  <c r="G65" i="10" s="1"/>
  <c r="J52" i="10"/>
  <c r="J53" i="10" s="1"/>
  <c r="H69" i="10"/>
  <c r="J88" i="10"/>
  <c r="H77" i="11"/>
  <c r="H83" i="11" s="1"/>
  <c r="G77" i="11"/>
  <c r="H68" i="11"/>
  <c r="O37" i="12"/>
  <c r="G53" i="12" s="1"/>
  <c r="G60" i="12" s="1"/>
  <c r="G65" i="12" s="1"/>
  <c r="O17" i="16"/>
  <c r="J85" i="3"/>
  <c r="G51" i="4"/>
  <c r="J87" i="4"/>
  <c r="O37" i="4"/>
  <c r="G54" i="4" s="1"/>
  <c r="G60" i="4" s="1"/>
  <c r="G65" i="4" s="1"/>
  <c r="J86" i="4"/>
  <c r="J89" i="13"/>
  <c r="M50" i="13"/>
  <c r="H79" i="14"/>
  <c r="G84" i="14"/>
  <c r="O50" i="2"/>
  <c r="O37" i="2"/>
  <c r="G53" i="2" s="1"/>
  <c r="G60" i="2" s="1"/>
  <c r="G65" i="2" s="1"/>
  <c r="J50" i="2"/>
  <c r="H78" i="3"/>
  <c r="G83" i="3"/>
  <c r="G78" i="4"/>
  <c r="H71" i="5"/>
  <c r="G78" i="6"/>
  <c r="C50" i="7"/>
  <c r="O50" i="7" s="1"/>
  <c r="K50" i="7"/>
  <c r="O72" i="7"/>
  <c r="J86" i="8"/>
  <c r="J57" i="9"/>
  <c r="J86" i="10"/>
  <c r="H78" i="10"/>
  <c r="H84" i="10" s="1"/>
  <c r="J89" i="11"/>
  <c r="O37" i="11"/>
  <c r="G53" i="11" s="1"/>
  <c r="G59" i="11" s="1"/>
  <c r="G64" i="11" s="1"/>
  <c r="G50" i="11"/>
  <c r="H78" i="12"/>
  <c r="H84" i="12" s="1"/>
  <c r="G78" i="12"/>
  <c r="J88" i="12"/>
  <c r="J87" i="13"/>
  <c r="H78" i="13"/>
  <c r="G78" i="13"/>
  <c r="H68" i="13"/>
  <c r="G78" i="14"/>
  <c r="H78" i="15"/>
  <c r="H84" i="15" s="1"/>
  <c r="H69" i="15"/>
  <c r="G78" i="15"/>
  <c r="O13" i="16"/>
  <c r="G20" i="16"/>
  <c r="O20" i="16" s="1"/>
  <c r="H69" i="16"/>
  <c r="H77" i="16"/>
  <c r="H83" i="16" s="1"/>
  <c r="G94" i="8"/>
  <c r="G78" i="9"/>
  <c r="H69" i="9"/>
  <c r="O24" i="16"/>
  <c r="N50" i="3"/>
  <c r="F51" i="4"/>
  <c r="O51" i="4" s="1"/>
  <c r="J88" i="4"/>
  <c r="J51" i="4"/>
  <c r="N51" i="4"/>
  <c r="H78" i="4"/>
  <c r="H84" i="4" s="1"/>
  <c r="J89" i="4"/>
  <c r="H78" i="5"/>
  <c r="H79" i="5"/>
  <c r="F50" i="6"/>
  <c r="O50" i="6" s="1"/>
  <c r="J88" i="6"/>
  <c r="J50" i="6"/>
  <c r="N50" i="6"/>
  <c r="O49" i="6"/>
  <c r="E50" i="8"/>
  <c r="O50" i="8" s="1"/>
  <c r="I50" i="8"/>
  <c r="J88" i="8"/>
  <c r="M50" i="8"/>
  <c r="J89" i="10"/>
  <c r="O50" i="10"/>
  <c r="M51" i="10"/>
  <c r="O51" i="10" s="1"/>
  <c r="C50" i="11"/>
  <c r="O50" i="11" s="1"/>
  <c r="J89" i="12"/>
  <c r="L89" i="12" s="1"/>
  <c r="H79" i="13"/>
  <c r="O50" i="14"/>
  <c r="J37" i="16"/>
  <c r="K10" i="16"/>
  <c r="O16" i="16"/>
  <c r="O21" i="16"/>
  <c r="O37" i="15"/>
  <c r="G53" i="15" s="1"/>
  <c r="G60" i="15" s="1"/>
  <c r="G65" i="15" s="1"/>
  <c r="E22" i="16"/>
  <c r="F22" i="16" s="1"/>
  <c r="G22" i="16" s="1"/>
  <c r="E31" i="16"/>
  <c r="F31" i="16" s="1"/>
  <c r="G31" i="16" s="1"/>
  <c r="F32" i="16"/>
  <c r="G32" i="16" s="1"/>
  <c r="O33" i="16"/>
  <c r="I37" i="16"/>
  <c r="I50" i="16" s="1"/>
  <c r="I37" i="17"/>
  <c r="I50" i="17" s="1"/>
  <c r="J10" i="17"/>
  <c r="O16" i="17"/>
  <c r="F23" i="17"/>
  <c r="G23" i="17" s="1"/>
  <c r="E10" i="18"/>
  <c r="F10" i="18" s="1"/>
  <c r="G10" i="18" s="1"/>
  <c r="O25" i="18"/>
  <c r="O33" i="18"/>
  <c r="E22" i="20"/>
  <c r="F22" i="20" s="1"/>
  <c r="G22" i="20" s="1"/>
  <c r="O29" i="20"/>
  <c r="O35" i="20"/>
  <c r="G35" i="20"/>
  <c r="O18" i="21"/>
  <c r="O29" i="21"/>
  <c r="E29" i="21"/>
  <c r="F29" i="21" s="1"/>
  <c r="G29" i="21" s="1"/>
  <c r="D38" i="21"/>
  <c r="H78" i="22"/>
  <c r="H84" i="22" s="1"/>
  <c r="G78" i="22"/>
  <c r="H69" i="22"/>
  <c r="G14" i="23"/>
  <c r="H14" i="23" s="1"/>
  <c r="H78" i="23"/>
  <c r="G78" i="23"/>
  <c r="H69" i="23"/>
  <c r="J51" i="24"/>
  <c r="J52" i="24" s="1"/>
  <c r="J50" i="24"/>
  <c r="H77" i="24"/>
  <c r="H83" i="24" s="1"/>
  <c r="H68" i="24"/>
  <c r="G77" i="24"/>
  <c r="H79" i="25"/>
  <c r="G84" i="25"/>
  <c r="G79" i="2"/>
  <c r="O37" i="6"/>
  <c r="G53" i="6" s="1"/>
  <c r="G60" i="6" s="1"/>
  <c r="G65" i="6" s="1"/>
  <c r="G79" i="6"/>
  <c r="J87" i="6"/>
  <c r="J88" i="7"/>
  <c r="J51" i="8"/>
  <c r="J52" i="8" s="1"/>
  <c r="J87" i="8"/>
  <c r="O37" i="14"/>
  <c r="G53" i="14" s="1"/>
  <c r="G59" i="14" s="1"/>
  <c r="G64" i="14" s="1"/>
  <c r="J50" i="14"/>
  <c r="N50" i="14"/>
  <c r="H69" i="14"/>
  <c r="H78" i="14"/>
  <c r="H84" i="14" s="1"/>
  <c r="C50" i="15"/>
  <c r="G50" i="15"/>
  <c r="K50" i="15"/>
  <c r="J89" i="15"/>
  <c r="J90" i="15" s="1"/>
  <c r="E12" i="16"/>
  <c r="F12" i="16" s="1"/>
  <c r="G12" i="16" s="1"/>
  <c r="G17" i="16"/>
  <c r="O23" i="16"/>
  <c r="F24" i="16"/>
  <c r="G24" i="16" s="1"/>
  <c r="E35" i="16"/>
  <c r="F35" i="16" s="1"/>
  <c r="G35" i="16" s="1"/>
  <c r="F36" i="16"/>
  <c r="G36" i="16" s="1"/>
  <c r="O49" i="16"/>
  <c r="O12" i="17"/>
  <c r="E18" i="17"/>
  <c r="F18" i="17" s="1"/>
  <c r="G18" i="17" s="1"/>
  <c r="F19" i="17"/>
  <c r="G19" i="17" s="1"/>
  <c r="O28" i="17"/>
  <c r="O33" i="17"/>
  <c r="E34" i="17"/>
  <c r="F34" i="17" s="1"/>
  <c r="G34" i="17" s="1"/>
  <c r="F35" i="17"/>
  <c r="G35" i="17" s="1"/>
  <c r="K36" i="17"/>
  <c r="L36" i="17" s="1"/>
  <c r="M36" i="17" s="1"/>
  <c r="N36" i="17" s="1"/>
  <c r="H77" i="17"/>
  <c r="G77" i="17"/>
  <c r="H68" i="17"/>
  <c r="G83" i="17"/>
  <c r="H78" i="17"/>
  <c r="I38" i="18"/>
  <c r="I52" i="18" s="1"/>
  <c r="J10" i="18"/>
  <c r="E27" i="18"/>
  <c r="F27" i="18" s="1"/>
  <c r="G27" i="18" s="1"/>
  <c r="O28" i="18"/>
  <c r="F28" i="18"/>
  <c r="G28" i="18" s="1"/>
  <c r="E35" i="18"/>
  <c r="F35" i="18" s="1"/>
  <c r="G35" i="18" s="1"/>
  <c r="H79" i="18"/>
  <c r="H70" i="18"/>
  <c r="H77" i="19"/>
  <c r="H83" i="19" s="1"/>
  <c r="H68" i="19"/>
  <c r="G77" i="19"/>
  <c r="G83" i="19"/>
  <c r="D37" i="20"/>
  <c r="D50" i="20" s="1"/>
  <c r="E10" i="20"/>
  <c r="O11" i="20"/>
  <c r="O15" i="20"/>
  <c r="O25" i="20"/>
  <c r="E31" i="20"/>
  <c r="F31" i="20" s="1"/>
  <c r="G31" i="20" s="1"/>
  <c r="O32" i="20"/>
  <c r="F32" i="20"/>
  <c r="G32" i="20" s="1"/>
  <c r="L10" i="21"/>
  <c r="I14" i="21"/>
  <c r="O14" i="21" s="1"/>
  <c r="H38" i="21"/>
  <c r="H51" i="21" s="1"/>
  <c r="E23" i="21"/>
  <c r="F23" i="21" s="1"/>
  <c r="G23" i="21" s="1"/>
  <c r="O31" i="21"/>
  <c r="E31" i="21"/>
  <c r="F31" i="21" s="1"/>
  <c r="G31" i="21" s="1"/>
  <c r="O13" i="23"/>
  <c r="E13" i="23"/>
  <c r="F13" i="23" s="1"/>
  <c r="G13" i="23" s="1"/>
  <c r="O15" i="16"/>
  <c r="O22" i="17"/>
  <c r="E22" i="17"/>
  <c r="F22" i="17" s="1"/>
  <c r="G22" i="17" s="1"/>
  <c r="O32" i="17"/>
  <c r="O34" i="20"/>
  <c r="G95" i="25"/>
  <c r="J86" i="12"/>
  <c r="J90" i="12" s="1"/>
  <c r="O37" i="13"/>
  <c r="G53" i="13" s="1"/>
  <c r="G59" i="13" s="1"/>
  <c r="G64" i="13" s="1"/>
  <c r="J86" i="13"/>
  <c r="O72" i="14"/>
  <c r="J87" i="14"/>
  <c r="J90" i="14" s="1"/>
  <c r="D37" i="16"/>
  <c r="E18" i="16"/>
  <c r="F18" i="16" s="1"/>
  <c r="G18" i="16" s="1"/>
  <c r="O26" i="16"/>
  <c r="E26" i="16"/>
  <c r="F26" i="16" s="1"/>
  <c r="G26" i="16" s="1"/>
  <c r="O14" i="17"/>
  <c r="E14" i="17"/>
  <c r="F14" i="17" s="1"/>
  <c r="G14" i="17" s="1"/>
  <c r="F15" i="17"/>
  <c r="G15" i="17" s="1"/>
  <c r="O24" i="17"/>
  <c r="E30" i="17"/>
  <c r="F30" i="17" s="1"/>
  <c r="G30" i="17" s="1"/>
  <c r="O31" i="17"/>
  <c r="F31" i="17"/>
  <c r="G31" i="17" s="1"/>
  <c r="F12" i="18"/>
  <c r="G12" i="18" s="1"/>
  <c r="E17" i="18"/>
  <c r="F17" i="18" s="1"/>
  <c r="G17" i="18" s="1"/>
  <c r="F18" i="18"/>
  <c r="G18" i="18" s="1"/>
  <c r="O19" i="18"/>
  <c r="E23" i="18"/>
  <c r="F23" i="18" s="1"/>
  <c r="G23" i="18" s="1"/>
  <c r="O24" i="18"/>
  <c r="F24" i="18"/>
  <c r="G24" i="18" s="1"/>
  <c r="E31" i="18"/>
  <c r="F31" i="18" s="1"/>
  <c r="G31" i="18" s="1"/>
  <c r="F32" i="18"/>
  <c r="G32" i="18" s="1"/>
  <c r="J10" i="20"/>
  <c r="O12" i="20"/>
  <c r="O17" i="20"/>
  <c r="E17" i="20"/>
  <c r="F17" i="20" s="1"/>
  <c r="G17" i="20" s="1"/>
  <c r="F18" i="20"/>
  <c r="G18" i="20" s="1"/>
  <c r="O26" i="20"/>
  <c r="E27" i="20"/>
  <c r="F27" i="20" s="1"/>
  <c r="G27" i="20" s="1"/>
  <c r="F28" i="20"/>
  <c r="G28" i="20" s="1"/>
  <c r="F12" i="21"/>
  <c r="G12" i="21" s="1"/>
  <c r="O16" i="21"/>
  <c r="E25" i="21"/>
  <c r="F25" i="21" s="1"/>
  <c r="G25" i="21" s="1"/>
  <c r="O33" i="21"/>
  <c r="E33" i="21"/>
  <c r="F33" i="21" s="1"/>
  <c r="G33" i="21" s="1"/>
  <c r="F10" i="23"/>
  <c r="G50" i="13"/>
  <c r="O50" i="13" s="1"/>
  <c r="J51" i="14"/>
  <c r="J52" i="14" s="1"/>
  <c r="E10" i="16"/>
  <c r="F11" i="16"/>
  <c r="G11" i="16" s="1"/>
  <c r="E14" i="16"/>
  <c r="F14" i="16" s="1"/>
  <c r="G14" i="16" s="1"/>
  <c r="O19" i="16"/>
  <c r="G21" i="16"/>
  <c r="O27" i="16"/>
  <c r="F28" i="16"/>
  <c r="G28" i="16" s="1"/>
  <c r="G77" i="16"/>
  <c r="H68" i="16"/>
  <c r="D37" i="17"/>
  <c r="D50" i="17" s="1"/>
  <c r="E10" i="17"/>
  <c r="F11" i="17"/>
  <c r="G11" i="17" s="1"/>
  <c r="O20" i="17"/>
  <c r="E26" i="17"/>
  <c r="F26" i="17" s="1"/>
  <c r="G26" i="17" s="1"/>
  <c r="O27" i="17"/>
  <c r="F27" i="17"/>
  <c r="G27" i="17" s="1"/>
  <c r="O49" i="17"/>
  <c r="D38" i="18"/>
  <c r="D52" i="18" s="1"/>
  <c r="E9" i="18"/>
  <c r="O11" i="18"/>
  <c r="O13" i="18"/>
  <c r="F21" i="18"/>
  <c r="G21" i="18" s="1"/>
  <c r="O22" i="18"/>
  <c r="H80" i="18"/>
  <c r="G85" i="18"/>
  <c r="O50" i="19"/>
  <c r="O37" i="19"/>
  <c r="G53" i="19" s="1"/>
  <c r="G59" i="19" s="1"/>
  <c r="G64" i="19" s="1"/>
  <c r="F14" i="20"/>
  <c r="G14" i="20" s="1"/>
  <c r="H14" i="20" s="1"/>
  <c r="O20" i="20"/>
  <c r="E23" i="20"/>
  <c r="F23" i="20" s="1"/>
  <c r="G23" i="20" s="1"/>
  <c r="F24" i="20"/>
  <c r="G24" i="20" s="1"/>
  <c r="O33" i="20"/>
  <c r="O36" i="20"/>
  <c r="G77" i="20"/>
  <c r="H77" i="20"/>
  <c r="H83" i="20" s="1"/>
  <c r="J13" i="21"/>
  <c r="K13" i="21" s="1"/>
  <c r="L13" i="21" s="1"/>
  <c r="M13" i="21" s="1"/>
  <c r="O27" i="21"/>
  <c r="E27" i="21"/>
  <c r="F27" i="21" s="1"/>
  <c r="G27" i="21" s="1"/>
  <c r="E35" i="21"/>
  <c r="F35" i="21" s="1"/>
  <c r="G35" i="21" s="1"/>
  <c r="G78" i="21"/>
  <c r="H78" i="21"/>
  <c r="H84" i="21" s="1"/>
  <c r="G83" i="16"/>
  <c r="E15" i="21"/>
  <c r="F15" i="21" s="1"/>
  <c r="G15" i="21" s="1"/>
  <c r="E17" i="21"/>
  <c r="F17" i="21" s="1"/>
  <c r="G17" i="21" s="1"/>
  <c r="G86" i="22"/>
  <c r="J13" i="23"/>
  <c r="K13" i="23" s="1"/>
  <c r="L13" i="23" s="1"/>
  <c r="M13" i="23" s="1"/>
  <c r="N13" i="23" s="1"/>
  <c r="O18" i="23"/>
  <c r="M9" i="24"/>
  <c r="L37" i="24"/>
  <c r="L50" i="24" s="1"/>
  <c r="J85" i="24"/>
  <c r="H69" i="25"/>
  <c r="H78" i="25"/>
  <c r="G78" i="25"/>
  <c r="G83" i="26"/>
  <c r="H78" i="26"/>
  <c r="E30" i="16"/>
  <c r="F30" i="16" s="1"/>
  <c r="G30" i="16" s="1"/>
  <c r="E34" i="16"/>
  <c r="F34" i="16" s="1"/>
  <c r="G34" i="16" s="1"/>
  <c r="E13" i="17"/>
  <c r="F13" i="17" s="1"/>
  <c r="G13" i="17" s="1"/>
  <c r="E17" i="17"/>
  <c r="F17" i="17" s="1"/>
  <c r="G17" i="17" s="1"/>
  <c r="E21" i="17"/>
  <c r="F21" i="17" s="1"/>
  <c r="G21" i="17" s="1"/>
  <c r="E25" i="17"/>
  <c r="F25" i="17" s="1"/>
  <c r="G25" i="17" s="1"/>
  <c r="E29" i="17"/>
  <c r="F29" i="17" s="1"/>
  <c r="G29" i="17" s="1"/>
  <c r="E33" i="17"/>
  <c r="F33" i="17" s="1"/>
  <c r="G33" i="17" s="1"/>
  <c r="E16" i="18"/>
  <c r="F16" i="18" s="1"/>
  <c r="G16" i="18" s="1"/>
  <c r="E20" i="18"/>
  <c r="F20" i="18" s="1"/>
  <c r="E26" i="18"/>
  <c r="F26" i="18" s="1"/>
  <c r="G26" i="18" s="1"/>
  <c r="E30" i="18"/>
  <c r="F30" i="18" s="1"/>
  <c r="G30" i="18" s="1"/>
  <c r="E34" i="18"/>
  <c r="F34" i="18" s="1"/>
  <c r="G34" i="18" s="1"/>
  <c r="O77" i="18"/>
  <c r="E13" i="20"/>
  <c r="F13" i="20" s="1"/>
  <c r="G13" i="20" s="1"/>
  <c r="E16" i="20"/>
  <c r="F16" i="20" s="1"/>
  <c r="G16" i="20" s="1"/>
  <c r="E21" i="20"/>
  <c r="F21" i="20" s="1"/>
  <c r="G21" i="20" s="1"/>
  <c r="E26" i="20"/>
  <c r="F26" i="20" s="1"/>
  <c r="G26" i="20" s="1"/>
  <c r="E30" i="20"/>
  <c r="F30" i="20" s="1"/>
  <c r="G30" i="20" s="1"/>
  <c r="E34" i="20"/>
  <c r="F34" i="20" s="1"/>
  <c r="G34" i="20" s="1"/>
  <c r="H68" i="20"/>
  <c r="F9" i="21"/>
  <c r="O11" i="21"/>
  <c r="E13" i="21"/>
  <c r="F13" i="21" s="1"/>
  <c r="G13" i="21" s="1"/>
  <c r="O19" i="21"/>
  <c r="F21" i="21"/>
  <c r="G21" i="21" s="1"/>
  <c r="D50" i="22"/>
  <c r="O50" i="22" s="1"/>
  <c r="H50" i="22"/>
  <c r="L50" i="22"/>
  <c r="K10" i="23"/>
  <c r="O12" i="23"/>
  <c r="O17" i="23"/>
  <c r="E21" i="23"/>
  <c r="F21" i="23" s="1"/>
  <c r="G21" i="23" s="1"/>
  <c r="O24" i="23"/>
  <c r="O26" i="23"/>
  <c r="O28" i="23"/>
  <c r="O30" i="23"/>
  <c r="O32" i="23"/>
  <c r="O34" i="23"/>
  <c r="E22" i="18"/>
  <c r="F22" i="18" s="1"/>
  <c r="G22" i="18" s="1"/>
  <c r="J38" i="21"/>
  <c r="E20" i="21"/>
  <c r="F20" i="21" s="1"/>
  <c r="G20" i="21" s="1"/>
  <c r="O22" i="21"/>
  <c r="O24" i="21"/>
  <c r="O26" i="21"/>
  <c r="O28" i="21"/>
  <c r="O30" i="21"/>
  <c r="O32" i="21"/>
  <c r="O34" i="21"/>
  <c r="G37" i="21"/>
  <c r="O37" i="21" s="1"/>
  <c r="D37" i="23"/>
  <c r="D51" i="23" s="1"/>
  <c r="E16" i="23"/>
  <c r="F16" i="23" s="1"/>
  <c r="G16" i="23" s="1"/>
  <c r="G84" i="23"/>
  <c r="H79" i="23"/>
  <c r="O50" i="25"/>
  <c r="O11" i="28"/>
  <c r="O25" i="23"/>
  <c r="O29" i="23"/>
  <c r="O33" i="23"/>
  <c r="K37" i="24"/>
  <c r="K50" i="24" s="1"/>
  <c r="J88" i="25"/>
  <c r="H77" i="26"/>
  <c r="H83" i="26" s="1"/>
  <c r="H68" i="26"/>
  <c r="G77" i="26"/>
  <c r="J50" i="27"/>
  <c r="J51" i="27"/>
  <c r="J52" i="27" s="1"/>
  <c r="J88" i="27"/>
  <c r="L88" i="27" s="1"/>
  <c r="E13" i="28"/>
  <c r="F13" i="28" s="1"/>
  <c r="G13" i="28" s="1"/>
  <c r="F14" i="28"/>
  <c r="G14" i="28" s="1"/>
  <c r="O15" i="28"/>
  <c r="O20" i="28"/>
  <c r="E21" i="28"/>
  <c r="F21" i="28" s="1"/>
  <c r="G21" i="28" s="1"/>
  <c r="F22" i="28"/>
  <c r="G22" i="28" s="1"/>
  <c r="O31" i="28"/>
  <c r="C50" i="28"/>
  <c r="H37" i="29"/>
  <c r="H50" i="29" s="1"/>
  <c r="I9" i="29"/>
  <c r="O13" i="29"/>
  <c r="O20" i="29"/>
  <c r="O27" i="29"/>
  <c r="E28" i="29"/>
  <c r="F28" i="29" s="1"/>
  <c r="G28" i="29" s="1"/>
  <c r="F29" i="29"/>
  <c r="G29" i="29" s="1"/>
  <c r="O33" i="29"/>
  <c r="I38" i="30"/>
  <c r="I51" i="30" s="1"/>
  <c r="J9" i="30"/>
  <c r="H79" i="31"/>
  <c r="H85" i="31" s="1"/>
  <c r="G79" i="31"/>
  <c r="H70" i="31"/>
  <c r="O34" i="33"/>
  <c r="E34" i="33"/>
  <c r="F34" i="33" s="1"/>
  <c r="G34" i="33" s="1"/>
  <c r="F9" i="39"/>
  <c r="E38" i="39"/>
  <c r="E51" i="39" s="1"/>
  <c r="O15" i="40"/>
  <c r="J86" i="22"/>
  <c r="J89" i="22"/>
  <c r="L89" i="22" s="1"/>
  <c r="E23" i="23"/>
  <c r="F23" i="23" s="1"/>
  <c r="G23" i="23" s="1"/>
  <c r="E27" i="23"/>
  <c r="F27" i="23" s="1"/>
  <c r="G27" i="23" s="1"/>
  <c r="E31" i="23"/>
  <c r="F31" i="23" s="1"/>
  <c r="G31" i="23" s="1"/>
  <c r="G35" i="23"/>
  <c r="O35" i="23" s="1"/>
  <c r="O69" i="23"/>
  <c r="G9" i="24"/>
  <c r="G37" i="24" s="1"/>
  <c r="C50" i="24"/>
  <c r="J86" i="25"/>
  <c r="J89" i="25"/>
  <c r="J86" i="27"/>
  <c r="G78" i="27"/>
  <c r="J37" i="28"/>
  <c r="K10" i="28"/>
  <c r="O17" i="28"/>
  <c r="E17" i="28"/>
  <c r="F17" i="28" s="1"/>
  <c r="G17" i="28" s="1"/>
  <c r="O18" i="28"/>
  <c r="F18" i="28"/>
  <c r="G18" i="28" s="1"/>
  <c r="O27" i="28"/>
  <c r="O33" i="28"/>
  <c r="E33" i="28"/>
  <c r="F33" i="28" s="1"/>
  <c r="G33" i="28" s="1"/>
  <c r="O34" i="28"/>
  <c r="F34" i="28"/>
  <c r="G34" i="28" s="1"/>
  <c r="O11" i="29"/>
  <c r="O16" i="29"/>
  <c r="E24" i="29"/>
  <c r="F24" i="29" s="1"/>
  <c r="G24" i="29" s="1"/>
  <c r="F25" i="29"/>
  <c r="G25" i="29" s="1"/>
  <c r="O35" i="29"/>
  <c r="G35" i="29"/>
  <c r="F50" i="32"/>
  <c r="O50" i="32" s="1"/>
  <c r="J85" i="32"/>
  <c r="J51" i="32"/>
  <c r="J52" i="32" s="1"/>
  <c r="J53" i="32" s="1"/>
  <c r="J87" i="32"/>
  <c r="J50" i="32"/>
  <c r="E10" i="21"/>
  <c r="F10" i="21" s="1"/>
  <c r="G10" i="21" s="1"/>
  <c r="F50" i="26"/>
  <c r="J87" i="26"/>
  <c r="J51" i="26"/>
  <c r="J52" i="26" s="1"/>
  <c r="J50" i="26"/>
  <c r="N50" i="26"/>
  <c r="O49" i="26"/>
  <c r="J85" i="26"/>
  <c r="D50" i="27"/>
  <c r="O50" i="27" s="1"/>
  <c r="H50" i="27"/>
  <c r="L50" i="27"/>
  <c r="H78" i="27"/>
  <c r="H84" i="27" s="1"/>
  <c r="D37" i="28"/>
  <c r="D50" i="28" s="1"/>
  <c r="O23" i="28"/>
  <c r="O28" i="28"/>
  <c r="E29" i="28"/>
  <c r="F29" i="28" s="1"/>
  <c r="G29" i="28" s="1"/>
  <c r="F30" i="28"/>
  <c r="G30" i="28" s="1"/>
  <c r="E10" i="29"/>
  <c r="F10" i="29" s="1"/>
  <c r="G10" i="29" s="1"/>
  <c r="F12" i="29"/>
  <c r="G12" i="29" s="1"/>
  <c r="O18" i="29"/>
  <c r="E18" i="29"/>
  <c r="F18" i="29" s="1"/>
  <c r="G18" i="29" s="1"/>
  <c r="O19" i="29"/>
  <c r="F19" i="29"/>
  <c r="G19" i="29" s="1"/>
  <c r="O30" i="29"/>
  <c r="O20" i="33"/>
  <c r="F20" i="33"/>
  <c r="G20" i="33" s="1"/>
  <c r="O50" i="26"/>
  <c r="J89" i="27"/>
  <c r="F10" i="28"/>
  <c r="O19" i="28"/>
  <c r="E25" i="28"/>
  <c r="F25" i="28" s="1"/>
  <c r="G25" i="28" s="1"/>
  <c r="F26" i="28"/>
  <c r="G26" i="28" s="1"/>
  <c r="O35" i="28"/>
  <c r="H77" i="28"/>
  <c r="H83" i="28" s="1"/>
  <c r="G83" i="28"/>
  <c r="D37" i="29"/>
  <c r="F15" i="29"/>
  <c r="G15" i="29" s="1"/>
  <c r="O26" i="29"/>
  <c r="E32" i="29"/>
  <c r="F32" i="29" s="1"/>
  <c r="G32" i="29" s="1"/>
  <c r="O13" i="33"/>
  <c r="O28" i="33"/>
  <c r="O37" i="26"/>
  <c r="G53" i="26" s="1"/>
  <c r="G59" i="26" s="1"/>
  <c r="G64" i="26" s="1"/>
  <c r="J86" i="26"/>
  <c r="L86" i="26" s="1"/>
  <c r="G53" i="27"/>
  <c r="G60" i="27" s="1"/>
  <c r="G65" i="27" s="1"/>
  <c r="G86" i="27" s="1"/>
  <c r="H77" i="29"/>
  <c r="D38" i="33"/>
  <c r="D51" i="33" s="1"/>
  <c r="F11" i="33"/>
  <c r="O11" i="33" s="1"/>
  <c r="O16" i="33"/>
  <c r="O24" i="33"/>
  <c r="O29" i="33"/>
  <c r="E30" i="33"/>
  <c r="F30" i="33" s="1"/>
  <c r="G30" i="33" s="1"/>
  <c r="F31" i="33"/>
  <c r="G31" i="33" s="1"/>
  <c r="G36" i="33"/>
  <c r="O36" i="33" s="1"/>
  <c r="H69" i="33"/>
  <c r="O26" i="34"/>
  <c r="E26" i="34"/>
  <c r="F26" i="34" s="1"/>
  <c r="G26" i="34" s="1"/>
  <c r="O34" i="34"/>
  <c r="E34" i="34"/>
  <c r="F34" i="34" s="1"/>
  <c r="G34" i="34" s="1"/>
  <c r="J19" i="36"/>
  <c r="K19" i="36" s="1"/>
  <c r="L19" i="36" s="1"/>
  <c r="M50" i="27"/>
  <c r="E12" i="28"/>
  <c r="F12" i="28" s="1"/>
  <c r="G12" i="28" s="1"/>
  <c r="E16" i="28"/>
  <c r="F16" i="28" s="1"/>
  <c r="G16" i="28" s="1"/>
  <c r="E20" i="28"/>
  <c r="F20" i="28" s="1"/>
  <c r="G20" i="28" s="1"/>
  <c r="E24" i="28"/>
  <c r="F24" i="28" s="1"/>
  <c r="G24" i="28" s="1"/>
  <c r="E28" i="28"/>
  <c r="F28" i="28" s="1"/>
  <c r="G28" i="28" s="1"/>
  <c r="E32" i="28"/>
  <c r="F32" i="28" s="1"/>
  <c r="G32" i="28" s="1"/>
  <c r="E36" i="28"/>
  <c r="F36" i="28" s="1"/>
  <c r="G36" i="28" s="1"/>
  <c r="H68" i="28"/>
  <c r="G77" i="28"/>
  <c r="E9" i="29"/>
  <c r="F14" i="29"/>
  <c r="G14" i="29" s="1"/>
  <c r="H14" i="29" s="1"/>
  <c r="I14" i="29" s="1"/>
  <c r="E17" i="29"/>
  <c r="F17" i="29" s="1"/>
  <c r="G17" i="29" s="1"/>
  <c r="E21" i="29"/>
  <c r="F21" i="29" s="1"/>
  <c r="G21" i="29" s="1"/>
  <c r="E23" i="29"/>
  <c r="F23" i="29" s="1"/>
  <c r="G23" i="29" s="1"/>
  <c r="E27" i="29"/>
  <c r="F27" i="29" s="1"/>
  <c r="G27" i="29" s="1"/>
  <c r="E31" i="29"/>
  <c r="F31" i="29" s="1"/>
  <c r="G31" i="29" s="1"/>
  <c r="E34" i="29"/>
  <c r="F34" i="29" s="1"/>
  <c r="G34" i="29" s="1"/>
  <c r="C50" i="29"/>
  <c r="G77" i="29"/>
  <c r="E9" i="30"/>
  <c r="O50" i="30"/>
  <c r="J87" i="31"/>
  <c r="C52" i="31"/>
  <c r="O52" i="31" s="1"/>
  <c r="J88" i="31"/>
  <c r="G52" i="31"/>
  <c r="O37" i="31"/>
  <c r="G55" i="31" s="1"/>
  <c r="G61" i="31" s="1"/>
  <c r="G66" i="31" s="1"/>
  <c r="J89" i="31"/>
  <c r="H77" i="32"/>
  <c r="G77" i="32"/>
  <c r="F12" i="33"/>
  <c r="G12" i="33" s="1"/>
  <c r="O18" i="33"/>
  <c r="G58" i="33" s="1"/>
  <c r="E18" i="33"/>
  <c r="F18" i="33" s="1"/>
  <c r="G18" i="33" s="1"/>
  <c r="O21" i="33"/>
  <c r="O26" i="33"/>
  <c r="E26" i="33"/>
  <c r="F26" i="33" s="1"/>
  <c r="G26" i="33" s="1"/>
  <c r="O27" i="33"/>
  <c r="F27" i="33"/>
  <c r="G27" i="33" s="1"/>
  <c r="H78" i="33"/>
  <c r="H84" i="33" s="1"/>
  <c r="F25" i="34"/>
  <c r="G25" i="34" s="1"/>
  <c r="F33" i="34"/>
  <c r="G33" i="34" s="1"/>
  <c r="G85" i="30"/>
  <c r="H80" i="30"/>
  <c r="H85" i="30" s="1"/>
  <c r="G79" i="30"/>
  <c r="H70" i="30"/>
  <c r="J88" i="32"/>
  <c r="K10" i="33"/>
  <c r="J38" i="33"/>
  <c r="F15" i="33"/>
  <c r="G15" i="33" s="1"/>
  <c r="O23" i="33"/>
  <c r="E23" i="33"/>
  <c r="F23" i="33" s="1"/>
  <c r="G23" i="33" s="1"/>
  <c r="O32" i="33"/>
  <c r="O35" i="33"/>
  <c r="I38" i="34"/>
  <c r="I51" i="34" s="1"/>
  <c r="J10" i="34"/>
  <c r="J50" i="35"/>
  <c r="J51" i="35"/>
  <c r="J52" i="35" s="1"/>
  <c r="J87" i="35"/>
  <c r="L87" i="35" s="1"/>
  <c r="L11" i="36"/>
  <c r="M11" i="36" s="1"/>
  <c r="N11" i="36" s="1"/>
  <c r="E23" i="36"/>
  <c r="F23" i="36" s="1"/>
  <c r="G23" i="36" s="1"/>
  <c r="O37" i="32"/>
  <c r="G53" i="32" s="1"/>
  <c r="G59" i="32" s="1"/>
  <c r="G64" i="32" s="1"/>
  <c r="J86" i="32"/>
  <c r="O13" i="34"/>
  <c r="O17" i="34"/>
  <c r="O21" i="34"/>
  <c r="E22" i="34"/>
  <c r="F22" i="34" s="1"/>
  <c r="G22" i="34" s="1"/>
  <c r="O29" i="34"/>
  <c r="O30" i="34"/>
  <c r="E30" i="34"/>
  <c r="F30" i="34" s="1"/>
  <c r="G30" i="34" s="1"/>
  <c r="J85" i="35"/>
  <c r="D37" i="36"/>
  <c r="D50" i="36" s="1"/>
  <c r="O26" i="36"/>
  <c r="O72" i="36"/>
  <c r="G78" i="36"/>
  <c r="O49" i="36"/>
  <c r="E10" i="33"/>
  <c r="F14" i="33"/>
  <c r="G14" i="33" s="1"/>
  <c r="H14" i="33" s="1"/>
  <c r="E17" i="33"/>
  <c r="F17" i="33" s="1"/>
  <c r="G17" i="33" s="1"/>
  <c r="E22" i="33"/>
  <c r="F22" i="33" s="1"/>
  <c r="G22" i="33" s="1"/>
  <c r="E25" i="33"/>
  <c r="F25" i="33" s="1"/>
  <c r="G25" i="33" s="1"/>
  <c r="E29" i="33"/>
  <c r="F29" i="33" s="1"/>
  <c r="G29" i="33" s="1"/>
  <c r="E33" i="33"/>
  <c r="F33" i="33" s="1"/>
  <c r="G33" i="33" s="1"/>
  <c r="H79" i="33"/>
  <c r="O11" i="34"/>
  <c r="E12" i="34"/>
  <c r="F12" i="34" s="1"/>
  <c r="G12" i="34" s="1"/>
  <c r="O16" i="34"/>
  <c r="O19" i="34"/>
  <c r="E19" i="34"/>
  <c r="F19" i="34" s="1"/>
  <c r="G19" i="34" s="1"/>
  <c r="O20" i="34"/>
  <c r="O28" i="34"/>
  <c r="O50" i="34"/>
  <c r="G10" i="36"/>
  <c r="F37" i="36"/>
  <c r="F50" i="36" s="1"/>
  <c r="O13" i="36"/>
  <c r="O15" i="36"/>
  <c r="O21" i="36"/>
  <c r="O30" i="36"/>
  <c r="I37" i="36"/>
  <c r="I50" i="36" s="1"/>
  <c r="G77" i="36"/>
  <c r="H68" i="36"/>
  <c r="H77" i="36"/>
  <c r="H80" i="37"/>
  <c r="G85" i="37"/>
  <c r="J87" i="37"/>
  <c r="E10" i="34"/>
  <c r="O14" i="34"/>
  <c r="O15" i="34"/>
  <c r="E15" i="34"/>
  <c r="F15" i="34" s="1"/>
  <c r="G15" i="34" s="1"/>
  <c r="O24" i="34"/>
  <c r="O27" i="34"/>
  <c r="O32" i="34"/>
  <c r="G79" i="34"/>
  <c r="O75" i="34"/>
  <c r="H78" i="34"/>
  <c r="H69" i="34"/>
  <c r="J88" i="35"/>
  <c r="L88" i="35" s="1"/>
  <c r="G77" i="35"/>
  <c r="K9" i="36"/>
  <c r="O18" i="36"/>
  <c r="O25" i="36"/>
  <c r="O27" i="36"/>
  <c r="O34" i="36"/>
  <c r="O37" i="35"/>
  <c r="G53" i="35" s="1"/>
  <c r="G59" i="35" s="1"/>
  <c r="G64" i="35" s="1"/>
  <c r="M50" i="35"/>
  <c r="O50" i="35" s="1"/>
  <c r="O10" i="36"/>
  <c r="O12" i="36"/>
  <c r="O20" i="36"/>
  <c r="O24" i="36"/>
  <c r="O28" i="36"/>
  <c r="O32" i="36"/>
  <c r="O36" i="36"/>
  <c r="G79" i="37"/>
  <c r="H70" i="37"/>
  <c r="H79" i="37"/>
  <c r="H85" i="37" s="1"/>
  <c r="G78" i="35"/>
  <c r="C50" i="36"/>
  <c r="J89" i="37"/>
  <c r="H81" i="38"/>
  <c r="G86" i="38"/>
  <c r="H80" i="38"/>
  <c r="H86" i="38" s="1"/>
  <c r="H79" i="39"/>
  <c r="G84" i="39"/>
  <c r="C52" i="37"/>
  <c r="O52" i="37" s="1"/>
  <c r="G52" i="37"/>
  <c r="J88" i="37"/>
  <c r="L88" i="37" s="1"/>
  <c r="K52" i="37"/>
  <c r="O38" i="37"/>
  <c r="G55" i="37" s="1"/>
  <c r="G61" i="37" s="1"/>
  <c r="G66" i="37" s="1"/>
  <c r="H78" i="39"/>
  <c r="H84" i="39" s="1"/>
  <c r="H69" i="39"/>
  <c r="G78" i="39"/>
  <c r="O13" i="40"/>
  <c r="O20" i="40"/>
  <c r="G20" i="40"/>
  <c r="O38" i="38"/>
  <c r="G55" i="38" s="1"/>
  <c r="G62" i="38" s="1"/>
  <c r="G67" i="38" s="1"/>
  <c r="J53" i="38"/>
  <c r="J54" i="38" s="1"/>
  <c r="H71" i="38"/>
  <c r="G80" i="38"/>
  <c r="J91" i="38"/>
  <c r="D38" i="39"/>
  <c r="D51" i="39" s="1"/>
  <c r="D37" i="40"/>
  <c r="E10" i="40"/>
  <c r="F12" i="40"/>
  <c r="G12" i="40" s="1"/>
  <c r="G13" i="40"/>
  <c r="F16" i="40"/>
  <c r="G16" i="40" s="1"/>
  <c r="O19" i="40"/>
  <c r="E21" i="40"/>
  <c r="F21" i="40" s="1"/>
  <c r="G21" i="40" s="1"/>
  <c r="O27" i="40"/>
  <c r="O30" i="40"/>
  <c r="F32" i="40"/>
  <c r="G32" i="40" s="1"/>
  <c r="E33" i="40"/>
  <c r="F33" i="40" s="1"/>
  <c r="G33" i="40" s="1"/>
  <c r="O35" i="40"/>
  <c r="C50" i="40"/>
  <c r="O49" i="40"/>
  <c r="J52" i="38"/>
  <c r="J88" i="38"/>
  <c r="F14" i="40"/>
  <c r="G14" i="40" s="1"/>
  <c r="H14" i="40" s="1"/>
  <c r="F15" i="40"/>
  <c r="G15" i="40" s="1"/>
  <c r="O22" i="40"/>
  <c r="O23" i="40"/>
  <c r="O26" i="40"/>
  <c r="F28" i="40"/>
  <c r="G28" i="40" s="1"/>
  <c r="E29" i="40"/>
  <c r="F29" i="40" s="1"/>
  <c r="G29" i="40" s="1"/>
  <c r="O36" i="40"/>
  <c r="J86" i="45"/>
  <c r="D50" i="45"/>
  <c r="L50" i="45"/>
  <c r="J88" i="45"/>
  <c r="H78" i="45"/>
  <c r="H84" i="45" s="1"/>
  <c r="H69" i="45"/>
  <c r="G78" i="45"/>
  <c r="J53" i="37"/>
  <c r="J54" i="37" s="1"/>
  <c r="G52" i="38"/>
  <c r="O52" i="38" s="1"/>
  <c r="O74" i="38"/>
  <c r="J10" i="40"/>
  <c r="F11" i="40"/>
  <c r="O11" i="40" s="1"/>
  <c r="E17" i="40"/>
  <c r="F17" i="40" s="1"/>
  <c r="G17" i="40" s="1"/>
  <c r="E22" i="40"/>
  <c r="F22" i="40" s="1"/>
  <c r="G22" i="40" s="1"/>
  <c r="O24" i="40"/>
  <c r="F24" i="40"/>
  <c r="G24" i="40" s="1"/>
  <c r="O25" i="40"/>
  <c r="E25" i="40"/>
  <c r="F25" i="40" s="1"/>
  <c r="G25" i="40" s="1"/>
  <c r="H77" i="40"/>
  <c r="H83" i="40" s="1"/>
  <c r="G77" i="40"/>
  <c r="H68" i="40"/>
  <c r="O18" i="40"/>
  <c r="O31" i="40"/>
  <c r="H77" i="41"/>
  <c r="G77" i="41"/>
  <c r="H68" i="41"/>
  <c r="G78" i="44"/>
  <c r="H78" i="44"/>
  <c r="H84" i="44" s="1"/>
  <c r="H69" i="44"/>
  <c r="J85" i="41"/>
  <c r="C50" i="41"/>
  <c r="J86" i="41"/>
  <c r="G50" i="41"/>
  <c r="O37" i="41"/>
  <c r="G53" i="41" s="1"/>
  <c r="G59" i="41" s="1"/>
  <c r="G64" i="41" s="1"/>
  <c r="H78" i="41"/>
  <c r="J87" i="41"/>
  <c r="G78" i="42"/>
  <c r="J86" i="43"/>
  <c r="C50" i="43"/>
  <c r="J87" i="43"/>
  <c r="G50" i="43"/>
  <c r="O37" i="43"/>
  <c r="G53" i="43" s="1"/>
  <c r="G60" i="43" s="1"/>
  <c r="G65" i="43" s="1"/>
  <c r="J89" i="44"/>
  <c r="J51" i="44"/>
  <c r="J52" i="44" s="1"/>
  <c r="J53" i="44" s="1"/>
  <c r="J88" i="44"/>
  <c r="J50" i="44"/>
  <c r="O50" i="44" s="1"/>
  <c r="O49" i="45"/>
  <c r="J51" i="42"/>
  <c r="J52" i="42" s="1"/>
  <c r="J53" i="42" s="1"/>
  <c r="J50" i="42"/>
  <c r="O50" i="42" s="1"/>
  <c r="H78" i="43"/>
  <c r="H84" i="43" s="1"/>
  <c r="H69" i="43"/>
  <c r="G78" i="43"/>
  <c r="G86" i="44"/>
  <c r="G95" i="44"/>
  <c r="O37" i="45"/>
  <c r="G53" i="45" s="1"/>
  <c r="G60" i="45" s="1"/>
  <c r="G65" i="45" s="1"/>
  <c r="J87" i="45"/>
  <c r="J50" i="41"/>
  <c r="O37" i="42"/>
  <c r="G53" i="42" s="1"/>
  <c r="G60" i="42" s="1"/>
  <c r="G65" i="42" s="1"/>
  <c r="J89" i="43"/>
  <c r="J51" i="45"/>
  <c r="J52" i="45" s="1"/>
  <c r="J53" i="45" s="1"/>
  <c r="O50" i="84" l="1"/>
  <c r="O50" i="72"/>
  <c r="O50" i="79"/>
  <c r="O49" i="127"/>
  <c r="O50" i="85"/>
  <c r="F90" i="68"/>
  <c r="H90" i="68" s="1"/>
  <c r="G102" i="53"/>
  <c r="B102" i="53" s="1"/>
  <c r="P56" i="1"/>
  <c r="G56" i="1"/>
  <c r="G97" i="130"/>
  <c r="G98" i="130"/>
  <c r="G93" i="144"/>
  <c r="J90" i="44"/>
  <c r="H70" i="148"/>
  <c r="G77" i="148"/>
  <c r="H77" i="148"/>
  <c r="H83" i="148" s="1"/>
  <c r="G85" i="148" s="1"/>
  <c r="O49" i="148"/>
  <c r="N50" i="148"/>
  <c r="O50" i="148" s="1"/>
  <c r="Q51" i="148" s="1"/>
  <c r="G91" i="146"/>
  <c r="F91" i="146"/>
  <c r="H91" i="146" s="1"/>
  <c r="F92" i="145"/>
  <c r="H92" i="145" s="1"/>
  <c r="G99" i="144"/>
  <c r="G100" i="144" s="1"/>
  <c r="G102" i="144" s="1"/>
  <c r="B102" i="144" s="1"/>
  <c r="J90" i="104"/>
  <c r="O50" i="64"/>
  <c r="O50" i="140"/>
  <c r="G94" i="136"/>
  <c r="G85" i="136"/>
  <c r="G83" i="141"/>
  <c r="H78" i="141"/>
  <c r="H83" i="141" s="1"/>
  <c r="G94" i="137"/>
  <c r="G85" i="137"/>
  <c r="G97" i="135"/>
  <c r="H85" i="142"/>
  <c r="G95" i="134"/>
  <c r="G86" i="134"/>
  <c r="G85" i="138"/>
  <c r="G94" i="138"/>
  <c r="G85" i="139"/>
  <c r="G94" i="139"/>
  <c r="G94" i="141"/>
  <c r="G85" i="141"/>
  <c r="G85" i="140"/>
  <c r="J89" i="138"/>
  <c r="O50" i="137"/>
  <c r="H86" i="135"/>
  <c r="G88" i="135" s="1"/>
  <c r="F88" i="113"/>
  <c r="H88" i="113" s="1"/>
  <c r="J90" i="113"/>
  <c r="J91" i="88"/>
  <c r="F89" i="88"/>
  <c r="H89" i="88" s="1"/>
  <c r="J92" i="88"/>
  <c r="J91" i="113"/>
  <c r="K12" i="133"/>
  <c r="J37" i="133"/>
  <c r="G12" i="133"/>
  <c r="F37" i="133"/>
  <c r="F50" i="133" s="1"/>
  <c r="E37" i="131"/>
  <c r="O22" i="131"/>
  <c r="F37" i="131"/>
  <c r="F50" i="131" s="1"/>
  <c r="D50" i="129"/>
  <c r="C50" i="126"/>
  <c r="O50" i="126" s="1"/>
  <c r="O28" i="122"/>
  <c r="O16" i="123"/>
  <c r="E37" i="122"/>
  <c r="E50" i="122" s="1"/>
  <c r="F37" i="123"/>
  <c r="F50" i="123" s="1"/>
  <c r="G10" i="123"/>
  <c r="G37" i="123" s="1"/>
  <c r="G50" i="123" s="1"/>
  <c r="G94" i="111"/>
  <c r="G85" i="111"/>
  <c r="O26" i="120"/>
  <c r="O10" i="120"/>
  <c r="O13" i="119"/>
  <c r="G37" i="122"/>
  <c r="F9" i="120"/>
  <c r="F37" i="120" s="1"/>
  <c r="F50" i="120" s="1"/>
  <c r="E37" i="120"/>
  <c r="O21" i="119"/>
  <c r="G95" i="116"/>
  <c r="J87" i="115"/>
  <c r="G85" i="112"/>
  <c r="G94" i="112"/>
  <c r="J89" i="112"/>
  <c r="J51" i="123"/>
  <c r="J52" i="123" s="1"/>
  <c r="J50" i="123"/>
  <c r="E37" i="119"/>
  <c r="E50" i="119" s="1"/>
  <c r="G37" i="119"/>
  <c r="O15" i="119"/>
  <c r="C50" i="102"/>
  <c r="G86" i="98"/>
  <c r="G95" i="98"/>
  <c r="G86" i="101"/>
  <c r="G95" i="101"/>
  <c r="H79" i="110"/>
  <c r="G84" i="110"/>
  <c r="H37" i="102"/>
  <c r="J87" i="102" s="1"/>
  <c r="G95" i="100"/>
  <c r="F89" i="100"/>
  <c r="H89" i="100" s="1"/>
  <c r="J91" i="100"/>
  <c r="H79" i="91"/>
  <c r="G84" i="91"/>
  <c r="G94" i="86"/>
  <c r="G85" i="86"/>
  <c r="O27" i="119"/>
  <c r="I38" i="103"/>
  <c r="I52" i="103" s="1"/>
  <c r="J15" i="103"/>
  <c r="G49" i="102"/>
  <c r="H41" i="102"/>
  <c r="E37" i="102"/>
  <c r="E50" i="102" s="1"/>
  <c r="J90" i="100"/>
  <c r="J92" i="100" s="1"/>
  <c r="J89" i="93"/>
  <c r="O50" i="87"/>
  <c r="H79" i="94"/>
  <c r="G84" i="94"/>
  <c r="J89" i="86"/>
  <c r="G85" i="93"/>
  <c r="E37" i="133"/>
  <c r="O15" i="131"/>
  <c r="G37" i="131"/>
  <c r="O27" i="129"/>
  <c r="G85" i="126"/>
  <c r="G94" i="126"/>
  <c r="G83" i="132"/>
  <c r="H78" i="132"/>
  <c r="H83" i="132" s="1"/>
  <c r="O12" i="131"/>
  <c r="H78" i="128"/>
  <c r="G83" i="128"/>
  <c r="O49" i="125"/>
  <c r="J37" i="129"/>
  <c r="K10" i="129"/>
  <c r="O37" i="128"/>
  <c r="G53" i="128" s="1"/>
  <c r="G59" i="128" s="1"/>
  <c r="G64" i="128" s="1"/>
  <c r="O34" i="129"/>
  <c r="O22" i="129"/>
  <c r="J89" i="125"/>
  <c r="O24" i="123"/>
  <c r="J89" i="124"/>
  <c r="O13" i="123"/>
  <c r="O18" i="132"/>
  <c r="O33" i="123"/>
  <c r="J87" i="122"/>
  <c r="L87" i="122" s="1"/>
  <c r="J51" i="122"/>
  <c r="J52" i="122" s="1"/>
  <c r="J50" i="122"/>
  <c r="O29" i="120"/>
  <c r="O23" i="119"/>
  <c r="O28" i="123"/>
  <c r="O15" i="122"/>
  <c r="O28" i="119"/>
  <c r="F37" i="122"/>
  <c r="F50" i="122" s="1"/>
  <c r="I14" i="120"/>
  <c r="H37" i="120"/>
  <c r="H50" i="120" s="1"/>
  <c r="O18" i="123"/>
  <c r="O18" i="122"/>
  <c r="O27" i="120"/>
  <c r="O50" i="98"/>
  <c r="O33" i="120"/>
  <c r="J89" i="108"/>
  <c r="H83" i="95"/>
  <c r="J37" i="120"/>
  <c r="K9" i="120"/>
  <c r="G85" i="90"/>
  <c r="G94" i="90"/>
  <c r="H84" i="110"/>
  <c r="O50" i="109"/>
  <c r="E38" i="103"/>
  <c r="F9" i="103"/>
  <c r="G95" i="110"/>
  <c r="G86" i="110"/>
  <c r="O50" i="92"/>
  <c r="J89" i="106"/>
  <c r="J90" i="101"/>
  <c r="D50" i="102"/>
  <c r="H83" i="92"/>
  <c r="J85" i="133"/>
  <c r="D50" i="133"/>
  <c r="H78" i="131"/>
  <c r="H83" i="131" s="1"/>
  <c r="G83" i="131"/>
  <c r="J50" i="131"/>
  <c r="J51" i="131"/>
  <c r="J52" i="131" s="1"/>
  <c r="O11" i="131"/>
  <c r="H78" i="129"/>
  <c r="G83" i="129"/>
  <c r="O13" i="131"/>
  <c r="O50" i="125"/>
  <c r="G85" i="125"/>
  <c r="G94" i="125"/>
  <c r="H83" i="129"/>
  <c r="E37" i="129"/>
  <c r="F10" i="129"/>
  <c r="O20" i="129"/>
  <c r="H83" i="128"/>
  <c r="O29" i="123"/>
  <c r="G85" i="115"/>
  <c r="G94" i="115"/>
  <c r="J89" i="126"/>
  <c r="H79" i="116"/>
  <c r="H84" i="116" s="1"/>
  <c r="G86" i="116" s="1"/>
  <c r="G84" i="116"/>
  <c r="E37" i="123"/>
  <c r="J37" i="119"/>
  <c r="K10" i="119"/>
  <c r="O25" i="123"/>
  <c r="O13" i="122"/>
  <c r="G94" i="118"/>
  <c r="G85" i="118"/>
  <c r="O17" i="122"/>
  <c r="G86" i="104"/>
  <c r="G95" i="104"/>
  <c r="O11" i="123"/>
  <c r="J90" i="105"/>
  <c r="G94" i="108"/>
  <c r="J90" i="108"/>
  <c r="F88" i="108"/>
  <c r="H88" i="108" s="1"/>
  <c r="O50" i="108"/>
  <c r="J19" i="102"/>
  <c r="K9" i="102"/>
  <c r="J37" i="102"/>
  <c r="O37" i="122"/>
  <c r="G53" i="122" s="1"/>
  <c r="G59" i="122" s="1"/>
  <c r="G64" i="122" s="1"/>
  <c r="H78" i="102"/>
  <c r="H84" i="102" s="1"/>
  <c r="H69" i="102"/>
  <c r="G78" i="102"/>
  <c r="G85" i="109"/>
  <c r="G94" i="109"/>
  <c r="J89" i="109"/>
  <c r="G85" i="89"/>
  <c r="G94" i="89"/>
  <c r="H84" i="91"/>
  <c r="G86" i="91" s="1"/>
  <c r="G85" i="106"/>
  <c r="G94" i="106"/>
  <c r="O50" i="106"/>
  <c r="O16" i="132"/>
  <c r="M10" i="133"/>
  <c r="O14" i="131"/>
  <c r="J37" i="132"/>
  <c r="K10" i="132"/>
  <c r="D50" i="131"/>
  <c r="G85" i="127"/>
  <c r="G94" i="127"/>
  <c r="F10" i="132"/>
  <c r="E37" i="132"/>
  <c r="J52" i="127"/>
  <c r="O21" i="131"/>
  <c r="J87" i="128"/>
  <c r="J89" i="128" s="1"/>
  <c r="E50" i="127"/>
  <c r="O50" i="127" s="1"/>
  <c r="G94" i="121"/>
  <c r="H85" i="121"/>
  <c r="G85" i="124"/>
  <c r="G94" i="124"/>
  <c r="M50" i="122"/>
  <c r="J88" i="122"/>
  <c r="L88" i="122" s="1"/>
  <c r="D50" i="119"/>
  <c r="G37" i="120"/>
  <c r="O50" i="117"/>
  <c r="O23" i="123"/>
  <c r="J90" i="117"/>
  <c r="J92" i="117" s="1"/>
  <c r="D50" i="120"/>
  <c r="F89" i="117"/>
  <c r="H89" i="117" s="1"/>
  <c r="J91" i="117"/>
  <c r="Q51" i="115"/>
  <c r="O50" i="112"/>
  <c r="G95" i="94"/>
  <c r="L10" i="123"/>
  <c r="K37" i="123"/>
  <c r="K50" i="123" s="1"/>
  <c r="O10" i="122"/>
  <c r="F37" i="119"/>
  <c r="F50" i="119" s="1"/>
  <c r="G85" i="114"/>
  <c r="J90" i="96"/>
  <c r="J91" i="96" s="1"/>
  <c r="F88" i="96"/>
  <c r="H88" i="96" s="1"/>
  <c r="G94" i="96"/>
  <c r="G88" i="96"/>
  <c r="H83" i="127"/>
  <c r="G94" i="107"/>
  <c r="G85" i="107"/>
  <c r="G95" i="105"/>
  <c r="G86" i="105"/>
  <c r="G85" i="99"/>
  <c r="G94" i="99"/>
  <c r="G94" i="95"/>
  <c r="G85" i="95"/>
  <c r="H78" i="97"/>
  <c r="H83" i="97" s="1"/>
  <c r="G85" i="97" s="1"/>
  <c r="G83" i="97"/>
  <c r="G85" i="87"/>
  <c r="G94" i="87"/>
  <c r="G52" i="103"/>
  <c r="J88" i="103"/>
  <c r="O12" i="102"/>
  <c r="J90" i="98"/>
  <c r="M10" i="131"/>
  <c r="L37" i="131"/>
  <c r="L50" i="131" s="1"/>
  <c r="H84" i="94"/>
  <c r="G86" i="94" s="1"/>
  <c r="G85" i="92"/>
  <c r="G94" i="92"/>
  <c r="J87" i="69"/>
  <c r="G51" i="69"/>
  <c r="L39" i="82"/>
  <c r="J87" i="73"/>
  <c r="J51" i="73"/>
  <c r="J89" i="84"/>
  <c r="O46" i="82"/>
  <c r="E49" i="82"/>
  <c r="F41" i="82"/>
  <c r="O42" i="82"/>
  <c r="H83" i="83"/>
  <c r="L37" i="82"/>
  <c r="M10" i="82"/>
  <c r="O26" i="81"/>
  <c r="O29" i="81"/>
  <c r="O19" i="81"/>
  <c r="O42" i="80"/>
  <c r="G94" i="78"/>
  <c r="O44" i="80"/>
  <c r="G56" i="80" s="1"/>
  <c r="G59" i="80" s="1"/>
  <c r="G64" i="80" s="1"/>
  <c r="O29" i="76"/>
  <c r="F49" i="75"/>
  <c r="O25" i="76"/>
  <c r="O15" i="76"/>
  <c r="J37" i="76"/>
  <c r="K10" i="76"/>
  <c r="O44" i="75"/>
  <c r="G56" i="75" s="1"/>
  <c r="G60" i="75" s="1"/>
  <c r="G65" i="75" s="1"/>
  <c r="O16" i="75"/>
  <c r="H68" i="73"/>
  <c r="O33" i="76"/>
  <c r="E37" i="76"/>
  <c r="F10" i="76"/>
  <c r="H79" i="69"/>
  <c r="H84" i="69" s="1"/>
  <c r="G84" i="69"/>
  <c r="J89" i="74"/>
  <c r="M10" i="73"/>
  <c r="L37" i="73"/>
  <c r="O34" i="70"/>
  <c r="O11" i="70"/>
  <c r="E37" i="69"/>
  <c r="O31" i="70"/>
  <c r="O12" i="70"/>
  <c r="L10" i="71"/>
  <c r="K37" i="71"/>
  <c r="K50" i="71" s="1"/>
  <c r="D51" i="69"/>
  <c r="J86" i="69"/>
  <c r="O31" i="69"/>
  <c r="O23" i="69"/>
  <c r="O27" i="70"/>
  <c r="O18" i="69"/>
  <c r="G58" i="69" s="1"/>
  <c r="O11" i="69"/>
  <c r="J86" i="67"/>
  <c r="J51" i="70"/>
  <c r="G95" i="66"/>
  <c r="O32" i="69"/>
  <c r="H84" i="66"/>
  <c r="G86" i="66" s="1"/>
  <c r="E37" i="81"/>
  <c r="F10" i="81"/>
  <c r="G85" i="79"/>
  <c r="G94" i="79"/>
  <c r="E37" i="75"/>
  <c r="J86" i="75" s="1"/>
  <c r="F9" i="75"/>
  <c r="F37" i="75" s="1"/>
  <c r="F50" i="75" s="1"/>
  <c r="H78" i="83"/>
  <c r="G83" i="83"/>
  <c r="G85" i="84"/>
  <c r="G94" i="84"/>
  <c r="G94" i="85"/>
  <c r="J86" i="82"/>
  <c r="O24" i="81"/>
  <c r="H78" i="78"/>
  <c r="H83" i="78" s="1"/>
  <c r="G85" i="78" s="1"/>
  <c r="G83" i="78"/>
  <c r="H68" i="80"/>
  <c r="O28" i="76"/>
  <c r="H37" i="75"/>
  <c r="O9" i="75"/>
  <c r="J86" i="73"/>
  <c r="O24" i="76"/>
  <c r="J89" i="77"/>
  <c r="O43" i="75"/>
  <c r="G69" i="75" s="1"/>
  <c r="H78" i="73"/>
  <c r="G83" i="73"/>
  <c r="G94" i="72"/>
  <c r="G85" i="72"/>
  <c r="J89" i="72"/>
  <c r="O10" i="75"/>
  <c r="O33" i="70"/>
  <c r="I37" i="70"/>
  <c r="J86" i="70" s="1"/>
  <c r="O32" i="76"/>
  <c r="L39" i="70"/>
  <c r="E37" i="70"/>
  <c r="E50" i="67"/>
  <c r="O46" i="73"/>
  <c r="O21" i="69"/>
  <c r="L10" i="67"/>
  <c r="K37" i="67"/>
  <c r="M37" i="69"/>
  <c r="N10" i="69"/>
  <c r="H40" i="67"/>
  <c r="G49" i="67"/>
  <c r="G50" i="67" s="1"/>
  <c r="G94" i="83"/>
  <c r="H85" i="83"/>
  <c r="E49" i="80"/>
  <c r="F40" i="80"/>
  <c r="G94" i="74"/>
  <c r="G49" i="75"/>
  <c r="H40" i="75"/>
  <c r="E49" i="73"/>
  <c r="F40" i="73"/>
  <c r="J52" i="69"/>
  <c r="J53" i="69" s="1"/>
  <c r="J88" i="69"/>
  <c r="J51" i="69"/>
  <c r="L37" i="70"/>
  <c r="M10" i="70"/>
  <c r="H68" i="67"/>
  <c r="J89" i="85"/>
  <c r="H83" i="85"/>
  <c r="G85" i="85" s="1"/>
  <c r="O44" i="82"/>
  <c r="G56" i="82" s="1"/>
  <c r="F37" i="82"/>
  <c r="O18" i="81"/>
  <c r="J37" i="81"/>
  <c r="K10" i="81"/>
  <c r="O30" i="81"/>
  <c r="O34" i="81"/>
  <c r="O41" i="80"/>
  <c r="O50" i="78"/>
  <c r="J89" i="78"/>
  <c r="H78" i="74"/>
  <c r="H83" i="74" s="1"/>
  <c r="G85" i="74" s="1"/>
  <c r="G83" i="74"/>
  <c r="O30" i="76"/>
  <c r="J37" i="75"/>
  <c r="K12" i="75"/>
  <c r="H83" i="77"/>
  <c r="G85" i="77" s="1"/>
  <c r="O26" i="76"/>
  <c r="E49" i="75"/>
  <c r="O20" i="76"/>
  <c r="I37" i="75"/>
  <c r="O34" i="76"/>
  <c r="F37" i="73"/>
  <c r="G49" i="71"/>
  <c r="H46" i="71"/>
  <c r="G37" i="75"/>
  <c r="O47" i="73"/>
  <c r="G69" i="73" s="1"/>
  <c r="H69" i="73" s="1"/>
  <c r="O19" i="70"/>
  <c r="F40" i="70"/>
  <c r="E49" i="70"/>
  <c r="O30" i="70"/>
  <c r="J50" i="71"/>
  <c r="J51" i="71"/>
  <c r="J52" i="71" s="1"/>
  <c r="O27" i="69"/>
  <c r="O20" i="70"/>
  <c r="O25" i="70"/>
  <c r="O12" i="69"/>
  <c r="O44" i="67"/>
  <c r="G56" i="67" s="1"/>
  <c r="O9" i="67"/>
  <c r="O19" i="69"/>
  <c r="F49" i="67"/>
  <c r="F50" i="67" s="1"/>
  <c r="O42" i="67"/>
  <c r="G50" i="60"/>
  <c r="Q51" i="49"/>
  <c r="Q52" i="49" s="1"/>
  <c r="G58" i="49"/>
  <c r="J86" i="65"/>
  <c r="G50" i="65"/>
  <c r="J86" i="61"/>
  <c r="G50" i="61"/>
  <c r="J87" i="49"/>
  <c r="G50" i="49"/>
  <c r="G96" i="59"/>
  <c r="G87" i="59"/>
  <c r="H83" i="56"/>
  <c r="G83" i="50"/>
  <c r="H78" i="50"/>
  <c r="H83" i="50" s="1"/>
  <c r="O9" i="57"/>
  <c r="O29" i="65"/>
  <c r="J50" i="65"/>
  <c r="J51" i="65"/>
  <c r="J52" i="65" s="1"/>
  <c r="F37" i="65"/>
  <c r="O31" i="62"/>
  <c r="O14" i="62"/>
  <c r="O25" i="65"/>
  <c r="K37" i="62"/>
  <c r="K50" i="62" s="1"/>
  <c r="L10" i="62"/>
  <c r="O12" i="61"/>
  <c r="O17" i="60"/>
  <c r="L37" i="60"/>
  <c r="L50" i="60" s="1"/>
  <c r="M10" i="60"/>
  <c r="O23" i="60"/>
  <c r="O37" i="57"/>
  <c r="G53" i="57" s="1"/>
  <c r="G60" i="57" s="1"/>
  <c r="G65" i="57" s="1"/>
  <c r="F9" i="56"/>
  <c r="F37" i="56" s="1"/>
  <c r="F50" i="56" s="1"/>
  <c r="E37" i="56"/>
  <c r="G94" i="51"/>
  <c r="O20" i="60"/>
  <c r="E37" i="60"/>
  <c r="H84" i="57"/>
  <c r="H83" i="51"/>
  <c r="G85" i="51" s="1"/>
  <c r="O12" i="49"/>
  <c r="G87" i="48"/>
  <c r="G96" i="48"/>
  <c r="O24" i="47"/>
  <c r="E37" i="61"/>
  <c r="F9" i="58"/>
  <c r="F37" i="58" s="1"/>
  <c r="F50" i="58" s="1"/>
  <c r="E37" i="58"/>
  <c r="J86" i="58" s="1"/>
  <c r="J90" i="58" s="1"/>
  <c r="D50" i="56"/>
  <c r="O27" i="49"/>
  <c r="O26" i="65"/>
  <c r="O26" i="62"/>
  <c r="O20" i="65"/>
  <c r="O29" i="62"/>
  <c r="O27" i="62"/>
  <c r="O30" i="65"/>
  <c r="M10" i="65"/>
  <c r="L37" i="65"/>
  <c r="L50" i="65" s="1"/>
  <c r="G94" i="64"/>
  <c r="G85" i="64"/>
  <c r="O21" i="61"/>
  <c r="K10" i="61"/>
  <c r="J37" i="61"/>
  <c r="J37" i="62"/>
  <c r="O34" i="61"/>
  <c r="F37" i="61"/>
  <c r="F50" i="61" s="1"/>
  <c r="O28" i="60"/>
  <c r="D50" i="62"/>
  <c r="O31" i="60"/>
  <c r="I37" i="60"/>
  <c r="I50" i="60" s="1"/>
  <c r="D50" i="57"/>
  <c r="O50" i="57" s="1"/>
  <c r="J86" i="57"/>
  <c r="J90" i="57" s="1"/>
  <c r="K37" i="60"/>
  <c r="K50" i="60" s="1"/>
  <c r="O19" i="60"/>
  <c r="E37" i="50"/>
  <c r="F9" i="50"/>
  <c r="F37" i="50" s="1"/>
  <c r="F50" i="50" s="1"/>
  <c r="O12" i="60"/>
  <c r="O9" i="50"/>
  <c r="G84" i="58"/>
  <c r="H79" i="58"/>
  <c r="O24" i="60"/>
  <c r="O20" i="49"/>
  <c r="L10" i="49"/>
  <c r="K37" i="49"/>
  <c r="K50" i="49" s="1"/>
  <c r="O32" i="49"/>
  <c r="J37" i="49"/>
  <c r="O26" i="49"/>
  <c r="O24" i="49"/>
  <c r="O34" i="47"/>
  <c r="O17" i="49"/>
  <c r="L37" i="47"/>
  <c r="L50" i="47" s="1"/>
  <c r="M10" i="47"/>
  <c r="J85" i="65"/>
  <c r="E37" i="62"/>
  <c r="O32" i="61"/>
  <c r="G94" i="63"/>
  <c r="G85" i="63"/>
  <c r="O35" i="62"/>
  <c r="D50" i="61"/>
  <c r="O24" i="62"/>
  <c r="O27" i="60"/>
  <c r="F10" i="62"/>
  <c r="O33" i="60"/>
  <c r="J50" i="60"/>
  <c r="J51" i="60"/>
  <c r="J52" i="60" s="1"/>
  <c r="J53" i="60" s="1"/>
  <c r="D50" i="58"/>
  <c r="H78" i="56"/>
  <c r="G83" i="56"/>
  <c r="H84" i="58"/>
  <c r="J51" i="47"/>
  <c r="J52" i="47" s="1"/>
  <c r="J50" i="47"/>
  <c r="J87" i="47"/>
  <c r="O30" i="61"/>
  <c r="E37" i="47"/>
  <c r="F10" i="47"/>
  <c r="O24" i="61"/>
  <c r="F37" i="49"/>
  <c r="F50" i="49" s="1"/>
  <c r="J90" i="45"/>
  <c r="F9" i="29"/>
  <c r="F37" i="29" s="1"/>
  <c r="F50" i="29" s="1"/>
  <c r="E37" i="29"/>
  <c r="E50" i="29" s="1"/>
  <c r="G37" i="29"/>
  <c r="G94" i="19"/>
  <c r="G85" i="19"/>
  <c r="O16" i="18"/>
  <c r="K10" i="18"/>
  <c r="J38" i="18"/>
  <c r="H79" i="6"/>
  <c r="H84" i="6" s="1"/>
  <c r="G86" i="6" s="1"/>
  <c r="G84" i="6"/>
  <c r="O23" i="23"/>
  <c r="G85" i="11"/>
  <c r="G95" i="4"/>
  <c r="G86" i="4"/>
  <c r="G95" i="5"/>
  <c r="G94" i="3"/>
  <c r="J91" i="9"/>
  <c r="J92" i="9" s="1"/>
  <c r="F89" i="9"/>
  <c r="H89" i="9" s="1"/>
  <c r="G86" i="45"/>
  <c r="G95" i="45"/>
  <c r="J37" i="40"/>
  <c r="K10" i="40"/>
  <c r="O28" i="40"/>
  <c r="O33" i="40"/>
  <c r="D50" i="40"/>
  <c r="O12" i="40"/>
  <c r="G94" i="35"/>
  <c r="J91" i="37"/>
  <c r="G37" i="36"/>
  <c r="O12" i="34"/>
  <c r="H78" i="36"/>
  <c r="G83" i="36"/>
  <c r="O11" i="36"/>
  <c r="O22" i="33"/>
  <c r="K38" i="33"/>
  <c r="K51" i="33" s="1"/>
  <c r="L10" i="33"/>
  <c r="E37" i="36"/>
  <c r="E50" i="36" s="1"/>
  <c r="O25" i="34"/>
  <c r="O12" i="33"/>
  <c r="G87" i="31"/>
  <c r="G96" i="31"/>
  <c r="J91" i="31"/>
  <c r="O31" i="33"/>
  <c r="J91" i="27"/>
  <c r="F89" i="27"/>
  <c r="H89" i="27" s="1"/>
  <c r="O32" i="29"/>
  <c r="O15" i="29"/>
  <c r="O25" i="28"/>
  <c r="O17" i="29"/>
  <c r="O10" i="29"/>
  <c r="O29" i="28"/>
  <c r="J89" i="26"/>
  <c r="G38" i="21"/>
  <c r="O25" i="29"/>
  <c r="O21" i="29"/>
  <c r="O32" i="28"/>
  <c r="J51" i="28"/>
  <c r="J52" i="28" s="1"/>
  <c r="J50" i="28"/>
  <c r="J90" i="25"/>
  <c r="O28" i="29"/>
  <c r="J9" i="29"/>
  <c r="I37" i="29"/>
  <c r="I50" i="29" s="1"/>
  <c r="J85" i="28"/>
  <c r="O22" i="28"/>
  <c r="O13" i="28"/>
  <c r="K37" i="23"/>
  <c r="K51" i="23" s="1"/>
  <c r="L10" i="23"/>
  <c r="O13" i="21"/>
  <c r="O17" i="21"/>
  <c r="I38" i="21"/>
  <c r="I51" i="21" s="1"/>
  <c r="O24" i="20"/>
  <c r="H37" i="20"/>
  <c r="H50" i="20" s="1"/>
  <c r="I14" i="20"/>
  <c r="I37" i="20" s="1"/>
  <c r="I50" i="20" s="1"/>
  <c r="E37" i="23"/>
  <c r="O28" i="20"/>
  <c r="O16" i="20"/>
  <c r="O31" i="18"/>
  <c r="O18" i="18"/>
  <c r="O13" i="17"/>
  <c r="O21" i="20"/>
  <c r="O30" i="16"/>
  <c r="M10" i="21"/>
  <c r="M38" i="21" s="1"/>
  <c r="L38" i="21"/>
  <c r="L51" i="21" s="1"/>
  <c r="O35" i="18"/>
  <c r="O35" i="17"/>
  <c r="O18" i="17"/>
  <c r="O35" i="16"/>
  <c r="G95" i="6"/>
  <c r="J87" i="24"/>
  <c r="L87" i="24" s="1"/>
  <c r="H84" i="23"/>
  <c r="O23" i="17"/>
  <c r="O32" i="16"/>
  <c r="O22" i="16"/>
  <c r="O14" i="16"/>
  <c r="H84" i="13"/>
  <c r="J89" i="8"/>
  <c r="O11" i="16"/>
  <c r="O12" i="16"/>
  <c r="G97" i="38"/>
  <c r="G88" i="38"/>
  <c r="H78" i="35"/>
  <c r="H83" i="35" s="1"/>
  <c r="G85" i="35" s="1"/>
  <c r="G83" i="35"/>
  <c r="H83" i="36"/>
  <c r="J51" i="33"/>
  <c r="J52" i="33"/>
  <c r="J53" i="33" s="1"/>
  <c r="F9" i="30"/>
  <c r="F38" i="30" s="1"/>
  <c r="F51" i="30" s="1"/>
  <c r="E38" i="30"/>
  <c r="J51" i="21"/>
  <c r="J52" i="21"/>
  <c r="J53" i="21" s="1"/>
  <c r="G95" i="42"/>
  <c r="G86" i="42"/>
  <c r="O50" i="43"/>
  <c r="O50" i="41"/>
  <c r="H83" i="41"/>
  <c r="H37" i="40"/>
  <c r="H50" i="40" s="1"/>
  <c r="I14" i="40"/>
  <c r="I37" i="40" s="1"/>
  <c r="I50" i="40" s="1"/>
  <c r="J92" i="38"/>
  <c r="J37" i="36"/>
  <c r="G84" i="34"/>
  <c r="H79" i="34"/>
  <c r="H84" i="34" s="1"/>
  <c r="F10" i="34"/>
  <c r="E38" i="34"/>
  <c r="H38" i="33"/>
  <c r="H51" i="33" s="1"/>
  <c r="I14" i="33"/>
  <c r="I38" i="33" s="1"/>
  <c r="I51" i="33" s="1"/>
  <c r="J89" i="35"/>
  <c r="H78" i="29"/>
  <c r="H83" i="29" s="1"/>
  <c r="G83" i="29"/>
  <c r="J38" i="34"/>
  <c r="K10" i="34"/>
  <c r="O31" i="29"/>
  <c r="J85" i="29"/>
  <c r="D50" i="29"/>
  <c r="O24" i="28"/>
  <c r="E37" i="28"/>
  <c r="E50" i="28" s="1"/>
  <c r="O36" i="28"/>
  <c r="O12" i="28"/>
  <c r="O16" i="23"/>
  <c r="O21" i="23"/>
  <c r="J37" i="23"/>
  <c r="H84" i="25"/>
  <c r="G86" i="25" s="1"/>
  <c r="N9" i="24"/>
  <c r="M37" i="24"/>
  <c r="J91" i="22"/>
  <c r="G89" i="22"/>
  <c r="F89" i="22"/>
  <c r="H89" i="22" s="1"/>
  <c r="O35" i="21"/>
  <c r="O14" i="20"/>
  <c r="O21" i="18"/>
  <c r="E38" i="18"/>
  <c r="F9" i="18"/>
  <c r="O26" i="17"/>
  <c r="O11" i="17"/>
  <c r="E37" i="16"/>
  <c r="F10" i="16"/>
  <c r="G10" i="23"/>
  <c r="F37" i="23"/>
  <c r="F51" i="23" s="1"/>
  <c r="O25" i="21"/>
  <c r="O12" i="21"/>
  <c r="O18" i="20"/>
  <c r="O30" i="18"/>
  <c r="O23" i="18"/>
  <c r="O12" i="18"/>
  <c r="O30" i="17"/>
  <c r="O15" i="17"/>
  <c r="O28" i="16"/>
  <c r="O18" i="16"/>
  <c r="G57" i="16" s="1"/>
  <c r="J90" i="13"/>
  <c r="O23" i="21"/>
  <c r="K38" i="21"/>
  <c r="K51" i="21" s="1"/>
  <c r="O31" i="20"/>
  <c r="O34" i="18"/>
  <c r="O27" i="18"/>
  <c r="H83" i="17"/>
  <c r="O17" i="17"/>
  <c r="O34" i="16"/>
  <c r="O50" i="15"/>
  <c r="G84" i="2"/>
  <c r="H79" i="2"/>
  <c r="H84" i="2" s="1"/>
  <c r="H37" i="23"/>
  <c r="H51" i="23" s="1"/>
  <c r="I14" i="23"/>
  <c r="D51" i="21"/>
  <c r="G38" i="18"/>
  <c r="O21" i="17"/>
  <c r="G95" i="15"/>
  <c r="G86" i="15"/>
  <c r="K37" i="16"/>
  <c r="K50" i="16" s="1"/>
  <c r="L10" i="16"/>
  <c r="H84" i="5"/>
  <c r="G86" i="5" s="1"/>
  <c r="G86" i="10"/>
  <c r="H83" i="7"/>
  <c r="E37" i="40"/>
  <c r="F10" i="40"/>
  <c r="G96" i="37"/>
  <c r="G87" i="37"/>
  <c r="G94" i="32"/>
  <c r="F37" i="28"/>
  <c r="F50" i="28" s="1"/>
  <c r="G10" i="28"/>
  <c r="G37" i="28" s="1"/>
  <c r="O23" i="29"/>
  <c r="L10" i="28"/>
  <c r="K37" i="28"/>
  <c r="K50" i="28" s="1"/>
  <c r="K10" i="17"/>
  <c r="J37" i="17"/>
  <c r="F89" i="44"/>
  <c r="H89" i="44" s="1"/>
  <c r="J91" i="44"/>
  <c r="J92" i="44" s="1"/>
  <c r="G86" i="43"/>
  <c r="G95" i="43"/>
  <c r="J90" i="43"/>
  <c r="G85" i="41"/>
  <c r="J89" i="41"/>
  <c r="O17" i="40"/>
  <c r="O50" i="45"/>
  <c r="O29" i="40"/>
  <c r="O32" i="40"/>
  <c r="O21" i="40"/>
  <c r="O16" i="40"/>
  <c r="L9" i="36"/>
  <c r="K37" i="36"/>
  <c r="K50" i="36" s="1"/>
  <c r="F10" i="33"/>
  <c r="E38" i="33"/>
  <c r="O22" i="34"/>
  <c r="O23" i="36"/>
  <c r="O15" i="33"/>
  <c r="O33" i="34"/>
  <c r="O25" i="33"/>
  <c r="O17" i="33"/>
  <c r="O19" i="36"/>
  <c r="R84" i="36" s="1"/>
  <c r="R87" i="36" s="1"/>
  <c r="O30" i="33"/>
  <c r="G85" i="26"/>
  <c r="G94" i="26"/>
  <c r="J88" i="30"/>
  <c r="O26" i="28"/>
  <c r="O12" i="29"/>
  <c r="O30" i="28"/>
  <c r="O33" i="33"/>
  <c r="J89" i="32"/>
  <c r="O34" i="29"/>
  <c r="O24" i="29"/>
  <c r="O14" i="29"/>
  <c r="O16" i="28"/>
  <c r="J90" i="27"/>
  <c r="J86" i="24"/>
  <c r="L86" i="24" s="1"/>
  <c r="G50" i="24"/>
  <c r="J90" i="22"/>
  <c r="G9" i="39"/>
  <c r="F38" i="39"/>
  <c r="J38" i="30"/>
  <c r="K9" i="30"/>
  <c r="O29" i="29"/>
  <c r="O21" i="28"/>
  <c r="O14" i="28"/>
  <c r="O20" i="21"/>
  <c r="F38" i="21"/>
  <c r="F51" i="21" s="1"/>
  <c r="E38" i="21"/>
  <c r="J86" i="21" s="1"/>
  <c r="O15" i="21"/>
  <c r="O23" i="20"/>
  <c r="O13" i="20"/>
  <c r="O20" i="18"/>
  <c r="O25" i="17"/>
  <c r="E37" i="17"/>
  <c r="F10" i="17"/>
  <c r="O21" i="21"/>
  <c r="O9" i="21"/>
  <c r="O27" i="20"/>
  <c r="K10" i="20"/>
  <c r="J37" i="20"/>
  <c r="O32" i="18"/>
  <c r="O17" i="18"/>
  <c r="O29" i="17"/>
  <c r="D50" i="16"/>
  <c r="G95" i="13"/>
  <c r="G86" i="13"/>
  <c r="O31" i="23"/>
  <c r="O30" i="20"/>
  <c r="E37" i="20"/>
  <c r="F10" i="20"/>
  <c r="H85" i="18"/>
  <c r="O26" i="18"/>
  <c r="O34" i="17"/>
  <c r="O19" i="17"/>
  <c r="R80" i="17" s="1"/>
  <c r="R83" i="17" s="1"/>
  <c r="G57" i="17" s="1"/>
  <c r="O36" i="16"/>
  <c r="G95" i="14"/>
  <c r="G86" i="14"/>
  <c r="O27" i="23"/>
  <c r="O22" i="20"/>
  <c r="O31" i="16"/>
  <c r="O36" i="17"/>
  <c r="J50" i="16"/>
  <c r="J90" i="10"/>
  <c r="G86" i="2"/>
  <c r="G95" i="2"/>
  <c r="J90" i="4"/>
  <c r="J89" i="3"/>
  <c r="G95" i="12"/>
  <c r="G86" i="12"/>
  <c r="G94" i="7"/>
  <c r="G85" i="7"/>
  <c r="H83" i="8"/>
  <c r="G85" i="8" s="1"/>
  <c r="H83" i="3"/>
  <c r="G85" i="3" s="1"/>
  <c r="G90" i="68" l="1"/>
  <c r="P57" i="1"/>
  <c r="G57" i="1"/>
  <c r="G27" i="1"/>
  <c r="G100" i="130"/>
  <c r="B100" i="130" s="1"/>
  <c r="P27" i="1"/>
  <c r="J90" i="148"/>
  <c r="J91" i="148" s="1"/>
  <c r="F88" i="148"/>
  <c r="H88" i="148" s="1"/>
  <c r="G94" i="146"/>
  <c r="G97" i="146" s="1"/>
  <c r="G92" i="146"/>
  <c r="F92" i="146"/>
  <c r="H92" i="146" s="1"/>
  <c r="G92" i="145"/>
  <c r="J95" i="135"/>
  <c r="J93" i="135"/>
  <c r="J94" i="135" s="1"/>
  <c r="F91" i="135"/>
  <c r="H91" i="135" s="1"/>
  <c r="J92" i="140"/>
  <c r="J90" i="140"/>
  <c r="J91" i="140" s="1"/>
  <c r="F88" i="140"/>
  <c r="H88" i="140" s="1"/>
  <c r="J92" i="139"/>
  <c r="J90" i="139"/>
  <c r="J91" i="139" s="1"/>
  <c r="F88" i="139"/>
  <c r="H88" i="139" s="1"/>
  <c r="J93" i="134"/>
  <c r="J91" i="134"/>
  <c r="J92" i="134" s="1"/>
  <c r="F89" i="134"/>
  <c r="H89" i="134" s="1"/>
  <c r="J92" i="141"/>
  <c r="J90" i="141"/>
  <c r="J91" i="141" s="1"/>
  <c r="F88" i="141"/>
  <c r="H88" i="141" s="1"/>
  <c r="F88" i="142"/>
  <c r="H88" i="142" s="1"/>
  <c r="J92" i="138"/>
  <c r="J90" i="138"/>
  <c r="J91" i="138" s="1"/>
  <c r="F88" i="138"/>
  <c r="H88" i="138" s="1"/>
  <c r="J90" i="137"/>
  <c r="J91" i="137" s="1"/>
  <c r="J92" i="137"/>
  <c r="F88" i="137"/>
  <c r="H88" i="137" s="1"/>
  <c r="J90" i="136"/>
  <c r="J91" i="136" s="1"/>
  <c r="F88" i="136"/>
  <c r="H88" i="136" s="1"/>
  <c r="J92" i="136"/>
  <c r="G88" i="136"/>
  <c r="J90" i="97"/>
  <c r="J91" i="97" s="1"/>
  <c r="L87" i="97" s="1"/>
  <c r="F88" i="97"/>
  <c r="H88" i="97" s="1"/>
  <c r="G94" i="97"/>
  <c r="F89" i="116"/>
  <c r="H89" i="116" s="1"/>
  <c r="J91" i="116"/>
  <c r="J92" i="116" s="1"/>
  <c r="G89" i="94"/>
  <c r="F89" i="94"/>
  <c r="H89" i="94" s="1"/>
  <c r="J91" i="94"/>
  <c r="J92" i="94" s="1"/>
  <c r="L88" i="94" s="1"/>
  <c r="J90" i="95"/>
  <c r="J91" i="95" s="1"/>
  <c r="L87" i="95" s="1"/>
  <c r="F88" i="95"/>
  <c r="H88" i="95" s="1"/>
  <c r="G88" i="95"/>
  <c r="J90" i="99"/>
  <c r="J91" i="99" s="1"/>
  <c r="F88" i="99"/>
  <c r="H88" i="99" s="1"/>
  <c r="G50" i="120"/>
  <c r="J90" i="127"/>
  <c r="J91" i="127" s="1"/>
  <c r="F88" i="127"/>
  <c r="H88" i="127" s="1"/>
  <c r="J50" i="132"/>
  <c r="J51" i="132"/>
  <c r="J52" i="132" s="1"/>
  <c r="G89" i="91"/>
  <c r="J91" i="91"/>
  <c r="J92" i="91" s="1"/>
  <c r="F89" i="91"/>
  <c r="H89" i="91" s="1"/>
  <c r="K19" i="102"/>
  <c r="K37" i="102" s="1"/>
  <c r="L9" i="102"/>
  <c r="E50" i="123"/>
  <c r="J85" i="123"/>
  <c r="E50" i="129"/>
  <c r="F89" i="110"/>
  <c r="H89" i="110" s="1"/>
  <c r="L9" i="120"/>
  <c r="K37" i="120"/>
  <c r="K50" i="120" s="1"/>
  <c r="J91" i="108"/>
  <c r="I37" i="120"/>
  <c r="J86" i="120" s="1"/>
  <c r="L86" i="120" s="1"/>
  <c r="O14" i="120"/>
  <c r="G85" i="128"/>
  <c r="G94" i="128"/>
  <c r="J91" i="101"/>
  <c r="J92" i="101" s="1"/>
  <c r="F89" i="101"/>
  <c r="H89" i="101" s="1"/>
  <c r="J91" i="98"/>
  <c r="F89" i="98"/>
  <c r="H89" i="98" s="1"/>
  <c r="J90" i="112"/>
  <c r="G88" i="112"/>
  <c r="F88" i="112"/>
  <c r="H88" i="112" s="1"/>
  <c r="J86" i="122"/>
  <c r="L86" i="122" s="1"/>
  <c r="G50" i="122"/>
  <c r="O50" i="122" s="1"/>
  <c r="J90" i="111"/>
  <c r="J91" i="111" s="1"/>
  <c r="F88" i="111"/>
  <c r="H88" i="111" s="1"/>
  <c r="L12" i="133"/>
  <c r="K37" i="133"/>
  <c r="K50" i="133" s="1"/>
  <c r="M37" i="131"/>
  <c r="O37" i="131" s="1"/>
  <c r="G53" i="131" s="1"/>
  <c r="G59" i="131" s="1"/>
  <c r="G64" i="131" s="1"/>
  <c r="N10" i="131"/>
  <c r="N37" i="131" s="1"/>
  <c r="N50" i="131" s="1"/>
  <c r="J91" i="105"/>
  <c r="F89" i="105"/>
  <c r="H89" i="105" s="1"/>
  <c r="E50" i="132"/>
  <c r="G88" i="108"/>
  <c r="F88" i="118"/>
  <c r="H88" i="118" s="1"/>
  <c r="G88" i="118"/>
  <c r="J87" i="131"/>
  <c r="J50" i="120"/>
  <c r="J51" i="120"/>
  <c r="J52" i="120" s="1"/>
  <c r="K37" i="129"/>
  <c r="K50" i="129" s="1"/>
  <c r="L10" i="129"/>
  <c r="G50" i="131"/>
  <c r="J86" i="131"/>
  <c r="F88" i="93"/>
  <c r="H88" i="93" s="1"/>
  <c r="J90" i="93"/>
  <c r="H49" i="102"/>
  <c r="I41" i="102"/>
  <c r="G89" i="100"/>
  <c r="G89" i="88"/>
  <c r="G88" i="113"/>
  <c r="J90" i="92"/>
  <c r="J91" i="92" s="1"/>
  <c r="F88" i="92"/>
  <c r="H88" i="92" s="1"/>
  <c r="J92" i="98"/>
  <c r="G89" i="117"/>
  <c r="J85" i="119"/>
  <c r="G88" i="124"/>
  <c r="J90" i="124"/>
  <c r="F88" i="124"/>
  <c r="H88" i="124" s="1"/>
  <c r="F37" i="132"/>
  <c r="F50" i="132" s="1"/>
  <c r="G10" i="132"/>
  <c r="G37" i="132" s="1"/>
  <c r="N10" i="133"/>
  <c r="J90" i="109"/>
  <c r="J91" i="109" s="1"/>
  <c r="F88" i="109"/>
  <c r="H88" i="109" s="1"/>
  <c r="G85" i="122"/>
  <c r="G94" i="122"/>
  <c r="K37" i="119"/>
  <c r="K50" i="119" s="1"/>
  <c r="L10" i="119"/>
  <c r="J88" i="115"/>
  <c r="J89" i="115" s="1"/>
  <c r="F88" i="115"/>
  <c r="H88" i="115" s="1"/>
  <c r="G88" i="115"/>
  <c r="F38" i="103"/>
  <c r="F52" i="103" s="1"/>
  <c r="O9" i="103"/>
  <c r="J91" i="124"/>
  <c r="J50" i="129"/>
  <c r="J91" i="93"/>
  <c r="J90" i="86"/>
  <c r="G88" i="86"/>
  <c r="F88" i="86"/>
  <c r="H88" i="86" s="1"/>
  <c r="J85" i="122"/>
  <c r="J89" i="122" s="1"/>
  <c r="G50" i="102"/>
  <c r="J86" i="102"/>
  <c r="J86" i="119"/>
  <c r="L86" i="119" s="1"/>
  <c r="G50" i="119"/>
  <c r="J91" i="112"/>
  <c r="E50" i="120"/>
  <c r="J85" i="120"/>
  <c r="G37" i="133"/>
  <c r="J90" i="87"/>
  <c r="J91" i="87" s="1"/>
  <c r="F88" i="87"/>
  <c r="H88" i="87" s="1"/>
  <c r="G88" i="87"/>
  <c r="G88" i="107"/>
  <c r="J90" i="107"/>
  <c r="J91" i="107" s="1"/>
  <c r="F88" i="107"/>
  <c r="H88" i="107" s="1"/>
  <c r="G89" i="96"/>
  <c r="F89" i="96"/>
  <c r="H89" i="96" s="1"/>
  <c r="J90" i="114"/>
  <c r="J91" i="114" s="1"/>
  <c r="F88" i="114"/>
  <c r="H88" i="114" s="1"/>
  <c r="G94" i="114"/>
  <c r="M10" i="123"/>
  <c r="L37" i="123"/>
  <c r="L50" i="123" s="1"/>
  <c r="G88" i="121"/>
  <c r="F88" i="121"/>
  <c r="H88" i="121" s="1"/>
  <c r="K37" i="132"/>
  <c r="K50" i="132" s="1"/>
  <c r="L10" i="132"/>
  <c r="G88" i="106"/>
  <c r="J90" i="106"/>
  <c r="J91" i="106" s="1"/>
  <c r="F88" i="106"/>
  <c r="H88" i="106" s="1"/>
  <c r="J90" i="89"/>
  <c r="J91" i="89" s="1"/>
  <c r="F88" i="89"/>
  <c r="H88" i="89" s="1"/>
  <c r="J51" i="102"/>
  <c r="J92" i="105"/>
  <c r="J91" i="104"/>
  <c r="J92" i="104" s="1"/>
  <c r="F89" i="104"/>
  <c r="H89" i="104" s="1"/>
  <c r="J50" i="119"/>
  <c r="J51" i="119"/>
  <c r="J52" i="119" s="1"/>
  <c r="G10" i="129"/>
  <c r="G37" i="129" s="1"/>
  <c r="F37" i="129"/>
  <c r="F50" i="129" s="1"/>
  <c r="J90" i="125"/>
  <c r="J91" i="125" s="1"/>
  <c r="F88" i="125"/>
  <c r="H88" i="125" s="1"/>
  <c r="E52" i="103"/>
  <c r="J90" i="90"/>
  <c r="J91" i="90" s="1"/>
  <c r="F88" i="90"/>
  <c r="H88" i="90" s="1"/>
  <c r="G88" i="126"/>
  <c r="F88" i="126"/>
  <c r="H88" i="126" s="1"/>
  <c r="J90" i="126"/>
  <c r="J91" i="126" s="1"/>
  <c r="E50" i="133"/>
  <c r="J38" i="103"/>
  <c r="K15" i="103"/>
  <c r="H50" i="102"/>
  <c r="E50" i="131"/>
  <c r="J85" i="131"/>
  <c r="J50" i="133"/>
  <c r="J51" i="133"/>
  <c r="J52" i="133" s="1"/>
  <c r="O10" i="133"/>
  <c r="J90" i="74"/>
  <c r="F88" i="74"/>
  <c r="H88" i="74" s="1"/>
  <c r="J90" i="78"/>
  <c r="J91" i="78" s="1"/>
  <c r="F88" i="78"/>
  <c r="H88" i="78" s="1"/>
  <c r="G88" i="77"/>
  <c r="J90" i="77"/>
  <c r="J91" i="77" s="1"/>
  <c r="F88" i="77"/>
  <c r="H88" i="77" s="1"/>
  <c r="J90" i="85"/>
  <c r="F88" i="85"/>
  <c r="H88" i="85" s="1"/>
  <c r="J93" i="66"/>
  <c r="J91" i="66"/>
  <c r="J92" i="66" s="1"/>
  <c r="J94" i="66" s="1"/>
  <c r="F89" i="66"/>
  <c r="H89" i="66" s="1"/>
  <c r="L12" i="75"/>
  <c r="K37" i="75"/>
  <c r="G88" i="83"/>
  <c r="F88" i="83"/>
  <c r="H88" i="83" s="1"/>
  <c r="M10" i="67"/>
  <c r="L37" i="67"/>
  <c r="F37" i="81"/>
  <c r="F50" i="81" s="1"/>
  <c r="G10" i="81"/>
  <c r="G37" i="81" s="1"/>
  <c r="J91" i="74"/>
  <c r="L87" i="74" s="1"/>
  <c r="G94" i="80"/>
  <c r="G78" i="67"/>
  <c r="O75" i="67"/>
  <c r="G50" i="71"/>
  <c r="O49" i="71"/>
  <c r="J51" i="75"/>
  <c r="J51" i="81"/>
  <c r="J52" i="81" s="1"/>
  <c r="J50" i="81"/>
  <c r="M37" i="70"/>
  <c r="N10" i="70"/>
  <c r="N37" i="70" s="1"/>
  <c r="I40" i="75"/>
  <c r="H49" i="75"/>
  <c r="N37" i="69"/>
  <c r="N51" i="69" s="1"/>
  <c r="O10" i="69"/>
  <c r="M39" i="70"/>
  <c r="E50" i="76"/>
  <c r="J85" i="76"/>
  <c r="L10" i="76"/>
  <c r="K37" i="76"/>
  <c r="K50" i="76" s="1"/>
  <c r="J87" i="75"/>
  <c r="G50" i="75"/>
  <c r="J85" i="73"/>
  <c r="F49" i="80"/>
  <c r="F50" i="80" s="1"/>
  <c r="G40" i="80"/>
  <c r="M51" i="69"/>
  <c r="J89" i="69"/>
  <c r="J90" i="69" s="1"/>
  <c r="J90" i="72"/>
  <c r="J91" i="72" s="1"/>
  <c r="F88" i="72"/>
  <c r="H88" i="72" s="1"/>
  <c r="H50" i="75"/>
  <c r="E50" i="81"/>
  <c r="J85" i="81"/>
  <c r="J51" i="76"/>
  <c r="J52" i="76" s="1"/>
  <c r="J50" i="76"/>
  <c r="N10" i="82"/>
  <c r="M37" i="82"/>
  <c r="G41" i="82"/>
  <c r="F49" i="82"/>
  <c r="F50" i="82" s="1"/>
  <c r="M39" i="82"/>
  <c r="H49" i="71"/>
  <c r="H50" i="71" s="1"/>
  <c r="I46" i="71"/>
  <c r="I49" i="71" s="1"/>
  <c r="I50" i="71" s="1"/>
  <c r="K37" i="81"/>
  <c r="K50" i="81" s="1"/>
  <c r="L10" i="81"/>
  <c r="J91" i="85"/>
  <c r="H49" i="67"/>
  <c r="I40" i="67"/>
  <c r="E50" i="75"/>
  <c r="F37" i="76"/>
  <c r="F50" i="76" s="1"/>
  <c r="G10" i="76"/>
  <c r="G37" i="76" s="1"/>
  <c r="G95" i="75"/>
  <c r="G40" i="70"/>
  <c r="F49" i="70"/>
  <c r="F50" i="70" s="1"/>
  <c r="O46" i="71"/>
  <c r="J85" i="82"/>
  <c r="F49" i="73"/>
  <c r="G40" i="73"/>
  <c r="E50" i="80"/>
  <c r="J87" i="67"/>
  <c r="E50" i="70"/>
  <c r="O37" i="70"/>
  <c r="G53" i="70" s="1"/>
  <c r="G59" i="70" s="1"/>
  <c r="G64" i="70" s="1"/>
  <c r="J85" i="70"/>
  <c r="H69" i="75"/>
  <c r="G88" i="84"/>
  <c r="J90" i="84"/>
  <c r="J91" i="84" s="1"/>
  <c r="F88" i="84"/>
  <c r="H88" i="84" s="1"/>
  <c r="G88" i="79"/>
  <c r="J90" i="79"/>
  <c r="J91" i="79" s="1"/>
  <c r="F88" i="79"/>
  <c r="H88" i="79" s="1"/>
  <c r="J87" i="70"/>
  <c r="L87" i="70" s="1"/>
  <c r="M10" i="71"/>
  <c r="L37" i="71"/>
  <c r="E51" i="69"/>
  <c r="O51" i="69" s="1"/>
  <c r="O37" i="69"/>
  <c r="G54" i="69" s="1"/>
  <c r="G60" i="69" s="1"/>
  <c r="G65" i="69" s="1"/>
  <c r="N10" i="73"/>
  <c r="N37" i="73" s="1"/>
  <c r="M37" i="73"/>
  <c r="E50" i="73"/>
  <c r="J87" i="82"/>
  <c r="E50" i="82"/>
  <c r="O10" i="70"/>
  <c r="F88" i="51"/>
  <c r="H88" i="51" s="1"/>
  <c r="J90" i="51"/>
  <c r="J91" i="51" s="1"/>
  <c r="E50" i="50"/>
  <c r="O37" i="50"/>
  <c r="G53" i="50" s="1"/>
  <c r="G59" i="50" s="1"/>
  <c r="G64" i="50" s="1"/>
  <c r="J85" i="50"/>
  <c r="J89" i="50" s="1"/>
  <c r="L10" i="61"/>
  <c r="K37" i="61"/>
  <c r="K50" i="61" s="1"/>
  <c r="E50" i="47"/>
  <c r="J85" i="47"/>
  <c r="J87" i="60"/>
  <c r="E50" i="62"/>
  <c r="M37" i="47"/>
  <c r="N10" i="47"/>
  <c r="N37" i="47" s="1"/>
  <c r="N50" i="47" s="1"/>
  <c r="J51" i="49"/>
  <c r="J52" i="49" s="1"/>
  <c r="J50" i="49"/>
  <c r="M37" i="60"/>
  <c r="N10" i="60"/>
  <c r="N37" i="60" s="1"/>
  <c r="N50" i="60" s="1"/>
  <c r="O9" i="58"/>
  <c r="S87" i="58" s="1"/>
  <c r="S89" i="58" s="1"/>
  <c r="S91" i="58" s="1"/>
  <c r="F88" i="63"/>
  <c r="H88" i="63" s="1"/>
  <c r="J86" i="49"/>
  <c r="J86" i="62"/>
  <c r="J51" i="62"/>
  <c r="J52" i="62" s="1"/>
  <c r="J50" i="62"/>
  <c r="F88" i="64"/>
  <c r="H88" i="64" s="1"/>
  <c r="E50" i="61"/>
  <c r="J85" i="61"/>
  <c r="G95" i="57"/>
  <c r="G86" i="57"/>
  <c r="M10" i="62"/>
  <c r="L37" i="62"/>
  <c r="L50" i="62" s="1"/>
  <c r="J87" i="65"/>
  <c r="L87" i="65" s="1"/>
  <c r="F37" i="47"/>
  <c r="F50" i="47" s="1"/>
  <c r="G10" i="47"/>
  <c r="G37" i="47" s="1"/>
  <c r="G10" i="62"/>
  <c r="G37" i="62" s="1"/>
  <c r="F37" i="62"/>
  <c r="F50" i="62" s="1"/>
  <c r="E50" i="58"/>
  <c r="O50" i="58" s="1"/>
  <c r="O37" i="58"/>
  <c r="G53" i="58" s="1"/>
  <c r="G60" i="58" s="1"/>
  <c r="G65" i="58" s="1"/>
  <c r="F90" i="48"/>
  <c r="H90" i="48" s="1"/>
  <c r="J92" i="48"/>
  <c r="J93" i="48" s="1"/>
  <c r="E50" i="60"/>
  <c r="J85" i="60"/>
  <c r="O37" i="60"/>
  <c r="G53" i="60" s="1"/>
  <c r="G59" i="60" s="1"/>
  <c r="G64" i="60" s="1"/>
  <c r="E50" i="56"/>
  <c r="O50" i="56" s="1"/>
  <c r="O37" i="56"/>
  <c r="G53" i="56" s="1"/>
  <c r="G59" i="56" s="1"/>
  <c r="G64" i="56" s="1"/>
  <c r="N10" i="65"/>
  <c r="N37" i="65" s="1"/>
  <c r="N50" i="65" s="1"/>
  <c r="M37" i="65"/>
  <c r="M10" i="49"/>
  <c r="L37" i="49"/>
  <c r="L50" i="49" s="1"/>
  <c r="J50" i="61"/>
  <c r="J51" i="61"/>
  <c r="J52" i="61" s="1"/>
  <c r="J85" i="56"/>
  <c r="J89" i="56" s="1"/>
  <c r="O9" i="56"/>
  <c r="F50" i="65"/>
  <c r="O37" i="65"/>
  <c r="G53" i="65" s="1"/>
  <c r="G59" i="65" s="1"/>
  <c r="G64" i="65" s="1"/>
  <c r="J92" i="59"/>
  <c r="J93" i="59" s="1"/>
  <c r="F90" i="59"/>
  <c r="H90" i="59" s="1"/>
  <c r="J86" i="60"/>
  <c r="G88" i="3"/>
  <c r="F88" i="3"/>
  <c r="H88" i="3" s="1"/>
  <c r="J90" i="3"/>
  <c r="F88" i="35"/>
  <c r="H88" i="35" s="1"/>
  <c r="J90" i="35"/>
  <c r="J91" i="5"/>
  <c r="J92" i="5" s="1"/>
  <c r="J93" i="5" s="1"/>
  <c r="F89" i="5"/>
  <c r="H89" i="5" s="1"/>
  <c r="J91" i="6"/>
  <c r="J92" i="6" s="1"/>
  <c r="J93" i="6" s="1"/>
  <c r="F89" i="6"/>
  <c r="H89" i="6" s="1"/>
  <c r="G10" i="20"/>
  <c r="G37" i="20" s="1"/>
  <c r="F37" i="20"/>
  <c r="F50" i="20" s="1"/>
  <c r="L10" i="20"/>
  <c r="K37" i="20"/>
  <c r="K50" i="20" s="1"/>
  <c r="G10" i="17"/>
  <c r="G37" i="17" s="1"/>
  <c r="G50" i="17" s="1"/>
  <c r="F37" i="17"/>
  <c r="F50" i="17" s="1"/>
  <c r="J51" i="30"/>
  <c r="J52" i="30"/>
  <c r="J53" i="30" s="1"/>
  <c r="G88" i="41"/>
  <c r="J90" i="41"/>
  <c r="F88" i="41"/>
  <c r="H88" i="41" s="1"/>
  <c r="J91" i="26"/>
  <c r="G50" i="36"/>
  <c r="J86" i="36"/>
  <c r="J50" i="40"/>
  <c r="J51" i="40"/>
  <c r="J52" i="40" s="1"/>
  <c r="J53" i="40" s="1"/>
  <c r="E50" i="20"/>
  <c r="J85" i="20"/>
  <c r="E50" i="17"/>
  <c r="J85" i="17"/>
  <c r="L10" i="17"/>
  <c r="K37" i="17"/>
  <c r="K50" i="17" s="1"/>
  <c r="F37" i="40"/>
  <c r="F50" i="40" s="1"/>
  <c r="G10" i="40"/>
  <c r="G37" i="40" s="1"/>
  <c r="F37" i="16"/>
  <c r="G10" i="16"/>
  <c r="M50" i="24"/>
  <c r="J88" i="24"/>
  <c r="L88" i="24" s="1"/>
  <c r="J93" i="38"/>
  <c r="F91" i="38"/>
  <c r="H91" i="38" s="1"/>
  <c r="M51" i="21"/>
  <c r="M52" i="21" s="1"/>
  <c r="J89" i="21"/>
  <c r="E51" i="23"/>
  <c r="J86" i="23"/>
  <c r="J92" i="31"/>
  <c r="J93" i="31" s="1"/>
  <c r="F90" i="31"/>
  <c r="H90" i="31" s="1"/>
  <c r="L38" i="33"/>
  <c r="M10" i="33"/>
  <c r="G50" i="29"/>
  <c r="J86" i="29"/>
  <c r="L86" i="29" s="1"/>
  <c r="F89" i="2"/>
  <c r="H89" i="2" s="1"/>
  <c r="J51" i="17"/>
  <c r="J52" i="17" s="1"/>
  <c r="J50" i="17"/>
  <c r="M10" i="28"/>
  <c r="L37" i="28"/>
  <c r="F89" i="10"/>
  <c r="H89" i="10" s="1"/>
  <c r="G89" i="10"/>
  <c r="J91" i="10"/>
  <c r="J51" i="23"/>
  <c r="J88" i="23"/>
  <c r="J52" i="23"/>
  <c r="J53" i="23" s="1"/>
  <c r="L37" i="23"/>
  <c r="L51" i="23" s="1"/>
  <c r="M10" i="23"/>
  <c r="J91" i="3"/>
  <c r="J92" i="3" s="1"/>
  <c r="F38" i="18"/>
  <c r="F52" i="18" s="1"/>
  <c r="O9" i="18"/>
  <c r="J85" i="36"/>
  <c r="O10" i="21"/>
  <c r="G38" i="39"/>
  <c r="H9" i="39"/>
  <c r="J92" i="27"/>
  <c r="J90" i="26"/>
  <c r="F88" i="26"/>
  <c r="H88" i="26" s="1"/>
  <c r="E51" i="33"/>
  <c r="L37" i="36"/>
  <c r="L50" i="36" s="1"/>
  <c r="M9" i="36"/>
  <c r="O14" i="40"/>
  <c r="J91" i="41"/>
  <c r="G89" i="44"/>
  <c r="G50" i="28"/>
  <c r="J86" i="28"/>
  <c r="L86" i="28" s="1"/>
  <c r="E50" i="40"/>
  <c r="J85" i="40"/>
  <c r="L37" i="16"/>
  <c r="M10" i="16"/>
  <c r="I37" i="23"/>
  <c r="I51" i="23" s="1"/>
  <c r="O14" i="23"/>
  <c r="E50" i="16"/>
  <c r="E52" i="18"/>
  <c r="J87" i="18"/>
  <c r="N37" i="24"/>
  <c r="O9" i="24"/>
  <c r="E51" i="34"/>
  <c r="J51" i="36"/>
  <c r="J52" i="36" s="1"/>
  <c r="J50" i="36"/>
  <c r="G89" i="42"/>
  <c r="F89" i="42"/>
  <c r="H89" i="42" s="1"/>
  <c r="J88" i="21"/>
  <c r="K9" i="29"/>
  <c r="J37" i="29"/>
  <c r="G89" i="45"/>
  <c r="J91" i="45"/>
  <c r="J92" i="45" s="1"/>
  <c r="F89" i="45"/>
  <c r="H89" i="45" s="1"/>
  <c r="J90" i="11"/>
  <c r="J91" i="11" s="1"/>
  <c r="F88" i="11"/>
  <c r="H88" i="11" s="1"/>
  <c r="G88" i="11"/>
  <c r="J53" i="18"/>
  <c r="J54" i="18" s="1"/>
  <c r="J52" i="18"/>
  <c r="G88" i="19"/>
  <c r="F88" i="19"/>
  <c r="H88" i="19" s="1"/>
  <c r="J90" i="8"/>
  <c r="J91" i="8" s="1"/>
  <c r="G88" i="8"/>
  <c r="F88" i="8"/>
  <c r="H88" i="8" s="1"/>
  <c r="G89" i="13"/>
  <c r="J91" i="13"/>
  <c r="J92" i="13" s="1"/>
  <c r="F89" i="13"/>
  <c r="H89" i="13" s="1"/>
  <c r="E51" i="21"/>
  <c r="O38" i="21"/>
  <c r="G54" i="21" s="1"/>
  <c r="G60" i="21" s="1"/>
  <c r="G65" i="21" s="1"/>
  <c r="G89" i="15"/>
  <c r="J91" i="15"/>
  <c r="J92" i="15" s="1"/>
  <c r="F89" i="15"/>
  <c r="H89" i="15" s="1"/>
  <c r="J51" i="34"/>
  <c r="J52" i="34"/>
  <c r="J53" i="34" s="1"/>
  <c r="J94" i="38"/>
  <c r="J90" i="7"/>
  <c r="J91" i="7" s="1"/>
  <c r="J92" i="7" s="1"/>
  <c r="F88" i="7"/>
  <c r="H88" i="7" s="1"/>
  <c r="J92" i="10"/>
  <c r="G89" i="14"/>
  <c r="J91" i="14"/>
  <c r="J92" i="14" s="1"/>
  <c r="F89" i="14"/>
  <c r="H89" i="14" s="1"/>
  <c r="F51" i="39"/>
  <c r="J86" i="39"/>
  <c r="J90" i="32"/>
  <c r="J91" i="32" s="1"/>
  <c r="F88" i="32"/>
  <c r="H88" i="32" s="1"/>
  <c r="J91" i="12"/>
  <c r="J92" i="12" s="1"/>
  <c r="F89" i="12"/>
  <c r="H89" i="12" s="1"/>
  <c r="J50" i="20"/>
  <c r="K38" i="30"/>
  <c r="K51" i="30" s="1"/>
  <c r="L9" i="30"/>
  <c r="J92" i="22"/>
  <c r="O14" i="33"/>
  <c r="F38" i="33"/>
  <c r="F51" i="33" s="1"/>
  <c r="G10" i="33"/>
  <c r="G38" i="33" s="1"/>
  <c r="G89" i="43"/>
  <c r="J91" i="43"/>
  <c r="J92" i="43" s="1"/>
  <c r="F89" i="43"/>
  <c r="H89" i="43" s="1"/>
  <c r="J92" i="37"/>
  <c r="J93" i="37" s="1"/>
  <c r="F90" i="37"/>
  <c r="H90" i="37" s="1"/>
  <c r="G52" i="18"/>
  <c r="J88" i="18"/>
  <c r="G37" i="23"/>
  <c r="F90" i="22"/>
  <c r="H90" i="22" s="1"/>
  <c r="J91" i="25"/>
  <c r="J92" i="25" s="1"/>
  <c r="G89" i="25"/>
  <c r="F89" i="25"/>
  <c r="H89" i="25" s="1"/>
  <c r="J93" i="25"/>
  <c r="K38" i="34"/>
  <c r="K51" i="34" s="1"/>
  <c r="L10" i="34"/>
  <c r="J91" i="35"/>
  <c r="G10" i="34"/>
  <c r="F38" i="34"/>
  <c r="F51" i="34" s="1"/>
  <c r="E51" i="30"/>
  <c r="J87" i="30"/>
  <c r="J87" i="28"/>
  <c r="L87" i="28" s="1"/>
  <c r="J87" i="21"/>
  <c r="J90" i="21" s="1"/>
  <c r="G51" i="21"/>
  <c r="O51" i="21" s="1"/>
  <c r="G89" i="27"/>
  <c r="L10" i="40"/>
  <c r="K37" i="40"/>
  <c r="K50" i="40" s="1"/>
  <c r="G89" i="9"/>
  <c r="G89" i="4"/>
  <c r="F89" i="4"/>
  <c r="H89" i="4" s="1"/>
  <c r="J91" i="4"/>
  <c r="J92" i="4" s="1"/>
  <c r="J93" i="4" s="1"/>
  <c r="L10" i="18"/>
  <c r="K38" i="18"/>
  <c r="K52" i="18" s="1"/>
  <c r="G88" i="90" l="1"/>
  <c r="G88" i="32"/>
  <c r="F89" i="32" s="1"/>
  <c r="H89" i="32" s="1"/>
  <c r="G88" i="142"/>
  <c r="F91" i="68"/>
  <c r="H91" i="68" s="1"/>
  <c r="G93" i="68" s="1"/>
  <c r="G96" i="68" s="1"/>
  <c r="G91" i="68"/>
  <c r="G88" i="148"/>
  <c r="G98" i="146"/>
  <c r="G99" i="146"/>
  <c r="G101" i="146" s="1"/>
  <c r="B101" i="146" s="1"/>
  <c r="F93" i="145"/>
  <c r="H93" i="145" s="1"/>
  <c r="G89" i="104"/>
  <c r="G88" i="139"/>
  <c r="G88" i="137"/>
  <c r="G88" i="138"/>
  <c r="G88" i="141"/>
  <c r="G89" i="134"/>
  <c r="G88" i="140"/>
  <c r="G91" i="135"/>
  <c r="G89" i="136"/>
  <c r="F89" i="136"/>
  <c r="H89" i="136" s="1"/>
  <c r="F89" i="142"/>
  <c r="H89" i="142" s="1"/>
  <c r="G94" i="131"/>
  <c r="G85" i="131"/>
  <c r="G88" i="125"/>
  <c r="G88" i="114"/>
  <c r="G50" i="133"/>
  <c r="J86" i="133"/>
  <c r="F90" i="117"/>
  <c r="H90" i="117" s="1"/>
  <c r="I49" i="102"/>
  <c r="I50" i="102" s="1"/>
  <c r="J41" i="102"/>
  <c r="G88" i="93"/>
  <c r="J85" i="132"/>
  <c r="G89" i="101"/>
  <c r="J90" i="128"/>
  <c r="J91" i="128" s="1"/>
  <c r="F88" i="128"/>
  <c r="H88" i="128" s="1"/>
  <c r="G89" i="110"/>
  <c r="G88" i="99"/>
  <c r="J87" i="103"/>
  <c r="L15" i="103"/>
  <c r="K38" i="103"/>
  <c r="K52" i="103" s="1"/>
  <c r="G50" i="129"/>
  <c r="J87" i="129"/>
  <c r="G88" i="89"/>
  <c r="M37" i="123"/>
  <c r="M50" i="123" s="1"/>
  <c r="N10" i="123"/>
  <c r="N37" i="123" s="1"/>
  <c r="N50" i="123" s="1"/>
  <c r="O50" i="123" s="1"/>
  <c r="J86" i="129"/>
  <c r="J90" i="115"/>
  <c r="G88" i="109"/>
  <c r="G89" i="113"/>
  <c r="F89" i="113"/>
  <c r="H89" i="113" s="1"/>
  <c r="G89" i="108"/>
  <c r="F89" i="108"/>
  <c r="H89" i="108" s="1"/>
  <c r="G89" i="105"/>
  <c r="G88" i="111"/>
  <c r="F89" i="112"/>
  <c r="H89" i="112" s="1"/>
  <c r="G89" i="98"/>
  <c r="O37" i="123"/>
  <c r="G53" i="123" s="1"/>
  <c r="G59" i="123" s="1"/>
  <c r="G64" i="123" s="1"/>
  <c r="G85" i="123" s="1"/>
  <c r="G94" i="123" s="1"/>
  <c r="G88" i="127"/>
  <c r="G89" i="116"/>
  <c r="G88" i="97"/>
  <c r="J53" i="103"/>
  <c r="J54" i="103" s="1"/>
  <c r="J52" i="103"/>
  <c r="F89" i="126"/>
  <c r="H89" i="126" s="1"/>
  <c r="F89" i="106"/>
  <c r="H89" i="106" s="1"/>
  <c r="F89" i="107"/>
  <c r="H89" i="107" s="1"/>
  <c r="J90" i="122"/>
  <c r="J91" i="122" s="1"/>
  <c r="G88" i="122"/>
  <c r="F88" i="122"/>
  <c r="H88" i="122" s="1"/>
  <c r="J86" i="132"/>
  <c r="G50" i="132"/>
  <c r="F89" i="124"/>
  <c r="H89" i="124" s="1"/>
  <c r="G89" i="124"/>
  <c r="G88" i="92"/>
  <c r="G90" i="88"/>
  <c r="F90" i="88"/>
  <c r="H90" i="88" s="1"/>
  <c r="G90" i="100"/>
  <c r="F90" i="100"/>
  <c r="H90" i="100" s="1"/>
  <c r="M12" i="133"/>
  <c r="L37" i="133"/>
  <c r="L37" i="120"/>
  <c r="M9" i="120"/>
  <c r="L19" i="102"/>
  <c r="L37" i="102" s="1"/>
  <c r="M9" i="102"/>
  <c r="O10" i="131"/>
  <c r="F89" i="90"/>
  <c r="H89" i="90" s="1"/>
  <c r="F90" i="104"/>
  <c r="H90" i="104" s="1"/>
  <c r="L37" i="132"/>
  <c r="L50" i="132" s="1"/>
  <c r="M10" i="132"/>
  <c r="F89" i="121"/>
  <c r="H89" i="121" s="1"/>
  <c r="G89" i="121"/>
  <c r="F90" i="96"/>
  <c r="H90" i="96" s="1"/>
  <c r="G89" i="87"/>
  <c r="F89" i="87"/>
  <c r="H89" i="87" s="1"/>
  <c r="F89" i="86"/>
  <c r="H89" i="86" s="1"/>
  <c r="G89" i="86"/>
  <c r="G89" i="115"/>
  <c r="F89" i="115"/>
  <c r="H89" i="115" s="1"/>
  <c r="L37" i="119"/>
  <c r="M10" i="119"/>
  <c r="L37" i="129"/>
  <c r="M10" i="129"/>
  <c r="F89" i="118"/>
  <c r="H89" i="118" s="1"/>
  <c r="M50" i="131"/>
  <c r="O50" i="131" s="1"/>
  <c r="J88" i="131"/>
  <c r="J89" i="131" s="1"/>
  <c r="I50" i="120"/>
  <c r="F90" i="91"/>
  <c r="H90" i="91" s="1"/>
  <c r="G89" i="95"/>
  <c r="F89" i="95"/>
  <c r="H89" i="95" s="1"/>
  <c r="F90" i="94"/>
  <c r="H90" i="94" s="1"/>
  <c r="L50" i="71"/>
  <c r="J87" i="71"/>
  <c r="H40" i="70"/>
  <c r="G49" i="70"/>
  <c r="J86" i="76"/>
  <c r="G50" i="76"/>
  <c r="I49" i="67"/>
  <c r="I50" i="67" s="1"/>
  <c r="J40" i="67"/>
  <c r="H40" i="80"/>
  <c r="G49" i="80"/>
  <c r="O37" i="73"/>
  <c r="G53" i="73" s="1"/>
  <c r="G59" i="73" s="1"/>
  <c r="G64" i="73" s="1"/>
  <c r="F89" i="83"/>
  <c r="H89" i="83" s="1"/>
  <c r="G86" i="69"/>
  <c r="M37" i="71"/>
  <c r="O37" i="71" s="1"/>
  <c r="G53" i="71" s="1"/>
  <c r="G59" i="71" s="1"/>
  <c r="G64" i="71" s="1"/>
  <c r="N10" i="71"/>
  <c r="N37" i="71" s="1"/>
  <c r="N50" i="71" s="1"/>
  <c r="G89" i="79"/>
  <c r="F89" i="79"/>
  <c r="H89" i="79" s="1"/>
  <c r="G89" i="84"/>
  <c r="F89" i="84"/>
  <c r="H89" i="84" s="1"/>
  <c r="H50" i="67"/>
  <c r="G49" i="82"/>
  <c r="G50" i="82" s="1"/>
  <c r="H41" i="82"/>
  <c r="F50" i="73"/>
  <c r="N39" i="70"/>
  <c r="I49" i="75"/>
  <c r="I50" i="75" s="1"/>
  <c r="J40" i="75"/>
  <c r="G89" i="66"/>
  <c r="F89" i="77"/>
  <c r="H89" i="77" s="1"/>
  <c r="O10" i="73"/>
  <c r="G49" i="73"/>
  <c r="G50" i="73" s="1"/>
  <c r="H40" i="73"/>
  <c r="J87" i="81"/>
  <c r="L87" i="81" s="1"/>
  <c r="J86" i="81"/>
  <c r="G50" i="81"/>
  <c r="M37" i="67"/>
  <c r="N10" i="67"/>
  <c r="G88" i="85"/>
  <c r="J88" i="73"/>
  <c r="L88" i="73" s="1"/>
  <c r="O10" i="71"/>
  <c r="G94" i="70"/>
  <c r="L37" i="81"/>
  <c r="L50" i="81" s="1"/>
  <c r="M10" i="81"/>
  <c r="N39" i="82"/>
  <c r="N37" i="82"/>
  <c r="O10" i="82"/>
  <c r="G88" i="72"/>
  <c r="J89" i="73"/>
  <c r="L37" i="76"/>
  <c r="M10" i="76"/>
  <c r="J88" i="70"/>
  <c r="L88" i="70" s="1"/>
  <c r="H78" i="67"/>
  <c r="G83" i="67"/>
  <c r="M12" i="75"/>
  <c r="L37" i="75"/>
  <c r="G88" i="78"/>
  <c r="G88" i="74"/>
  <c r="G90" i="59"/>
  <c r="G91" i="59" s="1"/>
  <c r="G90" i="48"/>
  <c r="G89" i="57"/>
  <c r="G90" i="57" s="1"/>
  <c r="F89" i="57"/>
  <c r="H89" i="57" s="1"/>
  <c r="J91" i="57"/>
  <c r="J92" i="57" s="1"/>
  <c r="G88" i="63"/>
  <c r="J88" i="49"/>
  <c r="M50" i="47"/>
  <c r="J88" i="47"/>
  <c r="L88" i="47" s="1"/>
  <c r="O37" i="47"/>
  <c r="G53" i="47" s="1"/>
  <c r="G59" i="47" s="1"/>
  <c r="G64" i="47" s="1"/>
  <c r="L37" i="61"/>
  <c r="M10" i="61"/>
  <c r="O10" i="47"/>
  <c r="G88" i="51"/>
  <c r="G94" i="65"/>
  <c r="G85" i="65"/>
  <c r="M50" i="65"/>
  <c r="M51" i="65" s="1"/>
  <c r="J88" i="65"/>
  <c r="G94" i="50"/>
  <c r="G85" i="50"/>
  <c r="O50" i="65"/>
  <c r="G94" i="56"/>
  <c r="G85" i="56"/>
  <c r="O50" i="60"/>
  <c r="J86" i="47"/>
  <c r="J89" i="47" s="1"/>
  <c r="G50" i="47"/>
  <c r="O50" i="47" s="1"/>
  <c r="M37" i="62"/>
  <c r="N10" i="62"/>
  <c r="O50" i="50"/>
  <c r="Q51" i="50"/>
  <c r="M37" i="49"/>
  <c r="N10" i="49"/>
  <c r="N37" i="49" s="1"/>
  <c r="N50" i="49" s="1"/>
  <c r="O10" i="49"/>
  <c r="O10" i="65"/>
  <c r="G94" i="60"/>
  <c r="G85" i="60"/>
  <c r="G95" i="58"/>
  <c r="G86" i="58"/>
  <c r="J87" i="62"/>
  <c r="G50" i="62"/>
  <c r="G88" i="64"/>
  <c r="J88" i="62"/>
  <c r="O10" i="60"/>
  <c r="J88" i="60"/>
  <c r="L88" i="60" s="1"/>
  <c r="M50" i="60"/>
  <c r="L38" i="18"/>
  <c r="L52" i="18" s="1"/>
  <c r="M10" i="18"/>
  <c r="G38" i="34"/>
  <c r="F90" i="43"/>
  <c r="H90" i="43" s="1"/>
  <c r="G90" i="43"/>
  <c r="G89" i="12"/>
  <c r="L88" i="10"/>
  <c r="J93" i="10"/>
  <c r="F90" i="13"/>
  <c r="H90" i="13" s="1"/>
  <c r="G90" i="13"/>
  <c r="F90" i="45"/>
  <c r="H90" i="45" s="1"/>
  <c r="L37" i="40"/>
  <c r="L50" i="40" s="1"/>
  <c r="M10" i="40"/>
  <c r="G90" i="22"/>
  <c r="G90" i="37"/>
  <c r="O10" i="33"/>
  <c r="G88" i="7"/>
  <c r="J89" i="24"/>
  <c r="J86" i="33"/>
  <c r="G88" i="26"/>
  <c r="I9" i="39"/>
  <c r="H38" i="39"/>
  <c r="M37" i="23"/>
  <c r="N10" i="23"/>
  <c r="N10" i="33"/>
  <c r="N38" i="33" s="1"/>
  <c r="N51" i="33" s="1"/>
  <c r="M38" i="33"/>
  <c r="G90" i="31"/>
  <c r="G37" i="16"/>
  <c r="J87" i="40"/>
  <c r="G90" i="27"/>
  <c r="F90" i="27"/>
  <c r="H90" i="27" s="1"/>
  <c r="G95" i="21"/>
  <c r="G86" i="21"/>
  <c r="J87" i="36"/>
  <c r="L50" i="16"/>
  <c r="J88" i="16"/>
  <c r="J86" i="40"/>
  <c r="G50" i="40"/>
  <c r="F89" i="41"/>
  <c r="H89" i="41" s="1"/>
  <c r="G89" i="41"/>
  <c r="L37" i="20"/>
  <c r="M10" i="20"/>
  <c r="F90" i="4"/>
  <c r="H90" i="4" s="1"/>
  <c r="L38" i="34"/>
  <c r="L51" i="34" s="1"/>
  <c r="M10" i="34"/>
  <c r="F90" i="25"/>
  <c r="H90" i="25" s="1"/>
  <c r="J87" i="33"/>
  <c r="G51" i="33"/>
  <c r="J88" i="34"/>
  <c r="F89" i="8"/>
  <c r="H89" i="8" s="1"/>
  <c r="J89" i="18"/>
  <c r="J50" i="29"/>
  <c r="J51" i="29"/>
  <c r="J52" i="29" s="1"/>
  <c r="F90" i="42"/>
  <c r="H90" i="42" s="1"/>
  <c r="J86" i="34"/>
  <c r="N50" i="24"/>
  <c r="O50" i="24" s="1"/>
  <c r="O37" i="24"/>
  <c r="G53" i="24" s="1"/>
  <c r="G59" i="24" s="1"/>
  <c r="G64" i="24" s="1"/>
  <c r="F90" i="44"/>
  <c r="H90" i="44" s="1"/>
  <c r="N9" i="36"/>
  <c r="N37" i="36" s="1"/>
  <c r="N50" i="36" s="1"/>
  <c r="M37" i="36"/>
  <c r="G51" i="39"/>
  <c r="L50" i="28"/>
  <c r="G89" i="2"/>
  <c r="L51" i="33"/>
  <c r="J88" i="33"/>
  <c r="G91" i="38"/>
  <c r="F50" i="16"/>
  <c r="J86" i="16"/>
  <c r="G89" i="6"/>
  <c r="G89" i="5"/>
  <c r="G88" i="35"/>
  <c r="F90" i="9"/>
  <c r="H90" i="9" s="1"/>
  <c r="J87" i="23"/>
  <c r="L87" i="23" s="1"/>
  <c r="G51" i="23"/>
  <c r="L38" i="30"/>
  <c r="M9" i="30"/>
  <c r="J92" i="32"/>
  <c r="F90" i="14"/>
  <c r="H90" i="14" s="1"/>
  <c r="F90" i="15"/>
  <c r="H90" i="15" s="1"/>
  <c r="G90" i="15"/>
  <c r="F89" i="19"/>
  <c r="H89" i="19" s="1"/>
  <c r="F89" i="11"/>
  <c r="H89" i="11" s="1"/>
  <c r="G89" i="11"/>
  <c r="K37" i="29"/>
  <c r="L9" i="29"/>
  <c r="N10" i="16"/>
  <c r="N37" i="16" s="1"/>
  <c r="N50" i="16" s="1"/>
  <c r="M37" i="16"/>
  <c r="F90" i="10"/>
  <c r="H90" i="10" s="1"/>
  <c r="M37" i="28"/>
  <c r="N10" i="28"/>
  <c r="N37" i="28" s="1"/>
  <c r="N50" i="28" s="1"/>
  <c r="L37" i="17"/>
  <c r="L50" i="17" s="1"/>
  <c r="M10" i="17"/>
  <c r="J89" i="30"/>
  <c r="J86" i="20"/>
  <c r="L86" i="20" s="1"/>
  <c r="G50" i="20"/>
  <c r="F89" i="3"/>
  <c r="H89" i="3" s="1"/>
  <c r="G89" i="90" l="1"/>
  <c r="G97" i="68"/>
  <c r="G98" i="68"/>
  <c r="G90" i="44"/>
  <c r="F91" i="44" s="1"/>
  <c r="H91" i="44" s="1"/>
  <c r="F89" i="148"/>
  <c r="H89" i="148" s="1"/>
  <c r="G89" i="148"/>
  <c r="G93" i="145"/>
  <c r="G90" i="104"/>
  <c r="F91" i="104" s="1"/>
  <c r="H91" i="104" s="1"/>
  <c r="F89" i="140"/>
  <c r="H89" i="140" s="1"/>
  <c r="G89" i="140"/>
  <c r="F90" i="136"/>
  <c r="H90" i="136" s="1"/>
  <c r="G89" i="142"/>
  <c r="G90" i="134"/>
  <c r="F90" i="134"/>
  <c r="H90" i="134" s="1"/>
  <c r="F89" i="141"/>
  <c r="H89" i="141" s="1"/>
  <c r="G89" i="141"/>
  <c r="G89" i="139"/>
  <c r="F89" i="139"/>
  <c r="H89" i="139" s="1"/>
  <c r="F89" i="138"/>
  <c r="H89" i="138" s="1"/>
  <c r="G89" i="137"/>
  <c r="F89" i="137"/>
  <c r="H89" i="137" s="1"/>
  <c r="F92" i="135"/>
  <c r="H92" i="135" s="1"/>
  <c r="J88" i="102"/>
  <c r="O10" i="132"/>
  <c r="G90" i="94"/>
  <c r="M37" i="119"/>
  <c r="N10" i="119"/>
  <c r="F89" i="92"/>
  <c r="H89" i="92" s="1"/>
  <c r="G89" i="107"/>
  <c r="G89" i="126"/>
  <c r="F89" i="97"/>
  <c r="H89" i="97" s="1"/>
  <c r="G89" i="97"/>
  <c r="G89" i="112"/>
  <c r="F89" i="109"/>
  <c r="H89" i="109" s="1"/>
  <c r="G89" i="109"/>
  <c r="F89" i="99"/>
  <c r="H89" i="99" s="1"/>
  <c r="G90" i="91"/>
  <c r="G89" i="118"/>
  <c r="L50" i="119"/>
  <c r="J87" i="119"/>
  <c r="G90" i="96"/>
  <c r="N10" i="132"/>
  <c r="N37" i="132" s="1"/>
  <c r="N50" i="132" s="1"/>
  <c r="M37" i="132"/>
  <c r="F91" i="100"/>
  <c r="H91" i="100" s="1"/>
  <c r="F90" i="124"/>
  <c r="H90" i="124" s="1"/>
  <c r="G90" i="124"/>
  <c r="F90" i="116"/>
  <c r="H90" i="116" s="1"/>
  <c r="F88" i="123"/>
  <c r="H88" i="123" s="1"/>
  <c r="F89" i="111"/>
  <c r="H89" i="111" s="1"/>
  <c r="G90" i="108"/>
  <c r="F90" i="108"/>
  <c r="H90" i="108" s="1"/>
  <c r="M15" i="103"/>
  <c r="L38" i="103"/>
  <c r="J87" i="132"/>
  <c r="G88" i="128"/>
  <c r="G89" i="114"/>
  <c r="F89" i="114"/>
  <c r="H89" i="114" s="1"/>
  <c r="G90" i="95"/>
  <c r="F90" i="95"/>
  <c r="H90" i="95" s="1"/>
  <c r="M37" i="129"/>
  <c r="N10" i="129"/>
  <c r="N37" i="129" s="1"/>
  <c r="N50" i="129" s="1"/>
  <c r="O10" i="129"/>
  <c r="M19" i="102"/>
  <c r="M37" i="102" s="1"/>
  <c r="N9" i="102"/>
  <c r="M37" i="120"/>
  <c r="N9" i="120"/>
  <c r="N37" i="120" s="1"/>
  <c r="N50" i="120" s="1"/>
  <c r="O9" i="120"/>
  <c r="L50" i="133"/>
  <c r="J87" i="133"/>
  <c r="G89" i="106"/>
  <c r="F90" i="98"/>
  <c r="H90" i="98" s="1"/>
  <c r="G90" i="98"/>
  <c r="G90" i="105"/>
  <c r="F90" i="105"/>
  <c r="H90" i="105" s="1"/>
  <c r="F89" i="89"/>
  <c r="H89" i="89" s="1"/>
  <c r="F90" i="110"/>
  <c r="H90" i="110" s="1"/>
  <c r="F90" i="101"/>
  <c r="H90" i="101" s="1"/>
  <c r="F89" i="93"/>
  <c r="H89" i="93" s="1"/>
  <c r="G90" i="117"/>
  <c r="O10" i="123"/>
  <c r="J90" i="131"/>
  <c r="J91" i="131" s="1"/>
  <c r="F88" i="131"/>
  <c r="H88" i="131" s="1"/>
  <c r="L50" i="129"/>
  <c r="J88" i="129"/>
  <c r="G90" i="115"/>
  <c r="F90" i="115"/>
  <c r="H90" i="115" s="1"/>
  <c r="F90" i="86"/>
  <c r="H90" i="86" s="1"/>
  <c r="G90" i="87"/>
  <c r="F90" i="87"/>
  <c r="H90" i="87" s="1"/>
  <c r="F90" i="121"/>
  <c r="H90" i="121" s="1"/>
  <c r="F90" i="90"/>
  <c r="H90" i="90" s="1"/>
  <c r="L50" i="120"/>
  <c r="J87" i="120"/>
  <c r="N12" i="133"/>
  <c r="N37" i="133" s="1"/>
  <c r="N50" i="133" s="1"/>
  <c r="M37" i="133"/>
  <c r="O12" i="133"/>
  <c r="G91" i="88"/>
  <c r="F91" i="88"/>
  <c r="H91" i="88" s="1"/>
  <c r="F89" i="122"/>
  <c r="H89" i="122" s="1"/>
  <c r="F89" i="127"/>
  <c r="H89" i="127" s="1"/>
  <c r="F90" i="113"/>
  <c r="H90" i="113" s="1"/>
  <c r="J49" i="102"/>
  <c r="K41" i="102"/>
  <c r="G89" i="125"/>
  <c r="F89" i="125"/>
  <c r="H89" i="125" s="1"/>
  <c r="O9" i="102"/>
  <c r="G85" i="71"/>
  <c r="G94" i="71"/>
  <c r="F89" i="74"/>
  <c r="H89" i="74" s="1"/>
  <c r="N12" i="75"/>
  <c r="N37" i="75" s="1"/>
  <c r="M37" i="75"/>
  <c r="O12" i="75"/>
  <c r="M37" i="76"/>
  <c r="N10" i="76"/>
  <c r="N37" i="76" s="1"/>
  <c r="N50" i="76" s="1"/>
  <c r="G89" i="77"/>
  <c r="G90" i="79"/>
  <c r="F90" i="79"/>
  <c r="H90" i="79" s="1"/>
  <c r="J91" i="69"/>
  <c r="J92" i="69" s="1"/>
  <c r="F89" i="69"/>
  <c r="H89" i="69" s="1"/>
  <c r="G94" i="73"/>
  <c r="G89" i="78"/>
  <c r="F89" i="78"/>
  <c r="H89" i="78" s="1"/>
  <c r="L50" i="76"/>
  <c r="J87" i="76"/>
  <c r="L87" i="76" s="1"/>
  <c r="N37" i="67"/>
  <c r="O10" i="67"/>
  <c r="H49" i="73"/>
  <c r="H50" i="73" s="1"/>
  <c r="I40" i="73"/>
  <c r="O39" i="70"/>
  <c r="O37" i="82"/>
  <c r="G53" i="82" s="1"/>
  <c r="G59" i="82" s="1"/>
  <c r="G64" i="82" s="1"/>
  <c r="J88" i="67"/>
  <c r="O37" i="67"/>
  <c r="G53" i="67" s="1"/>
  <c r="G59" i="67" s="1"/>
  <c r="G64" i="67" s="1"/>
  <c r="F90" i="66"/>
  <c r="H90" i="66" s="1"/>
  <c r="J49" i="75"/>
  <c r="K40" i="75"/>
  <c r="O37" i="76"/>
  <c r="G53" i="76" s="1"/>
  <c r="G59" i="76" s="1"/>
  <c r="G64" i="76" s="1"/>
  <c r="H49" i="82"/>
  <c r="I41" i="82"/>
  <c r="F90" i="84"/>
  <c r="H90" i="84" s="1"/>
  <c r="M50" i="71"/>
  <c r="O50" i="71" s="1"/>
  <c r="J88" i="71"/>
  <c r="L88" i="71" s="1"/>
  <c r="G50" i="80"/>
  <c r="J49" i="67"/>
  <c r="K40" i="67"/>
  <c r="G50" i="70"/>
  <c r="L87" i="71"/>
  <c r="J88" i="75"/>
  <c r="G89" i="72"/>
  <c r="F89" i="72"/>
  <c r="H89" i="72" s="1"/>
  <c r="O39" i="82"/>
  <c r="M37" i="81"/>
  <c r="N10" i="81"/>
  <c r="F89" i="85"/>
  <c r="H89" i="85" s="1"/>
  <c r="J88" i="82"/>
  <c r="J89" i="82" s="1"/>
  <c r="J89" i="70"/>
  <c r="G89" i="83"/>
  <c r="H49" i="80"/>
  <c r="H50" i="80" s="1"/>
  <c r="I40" i="80"/>
  <c r="H49" i="70"/>
  <c r="H50" i="70" s="1"/>
  <c r="I40" i="70"/>
  <c r="O50" i="49"/>
  <c r="F89" i="63"/>
  <c r="H89" i="63" s="1"/>
  <c r="J91" i="58"/>
  <c r="J92" i="58" s="1"/>
  <c r="G89" i="58"/>
  <c r="G90" i="58" s="1"/>
  <c r="F89" i="58"/>
  <c r="H89" i="58" s="1"/>
  <c r="F88" i="60"/>
  <c r="H88" i="60" s="1"/>
  <c r="J90" i="60"/>
  <c r="G88" i="60"/>
  <c r="J90" i="56"/>
  <c r="J91" i="56" s="1"/>
  <c r="F88" i="56"/>
  <c r="H88" i="56" s="1"/>
  <c r="F89" i="64"/>
  <c r="H89" i="64" s="1"/>
  <c r="J89" i="49"/>
  <c r="M50" i="49"/>
  <c r="O37" i="49"/>
  <c r="G53" i="49" s="1"/>
  <c r="G60" i="49" s="1"/>
  <c r="G65" i="49" s="1"/>
  <c r="J92" i="50"/>
  <c r="J90" i="50"/>
  <c r="J91" i="50" s="1"/>
  <c r="J93" i="50" s="1"/>
  <c r="F88" i="50"/>
  <c r="H88" i="50" s="1"/>
  <c r="J89" i="60"/>
  <c r="L50" i="61"/>
  <c r="J87" i="61"/>
  <c r="F91" i="48"/>
  <c r="H91" i="48" s="1"/>
  <c r="F91" i="57"/>
  <c r="H91" i="57" s="1"/>
  <c r="K94" i="65"/>
  <c r="M94" i="65" s="1"/>
  <c r="M96" i="65" s="1"/>
  <c r="J90" i="65"/>
  <c r="F88" i="65"/>
  <c r="H88" i="65" s="1"/>
  <c r="M37" i="61"/>
  <c r="O37" i="61" s="1"/>
  <c r="G53" i="61" s="1"/>
  <c r="G59" i="61" s="1"/>
  <c r="G64" i="61" s="1"/>
  <c r="N10" i="61"/>
  <c r="N37" i="61" s="1"/>
  <c r="N50" i="61" s="1"/>
  <c r="O10" i="61"/>
  <c r="F92" i="59"/>
  <c r="H92" i="59" s="1"/>
  <c r="N37" i="62"/>
  <c r="O10" i="62"/>
  <c r="M50" i="62"/>
  <c r="J89" i="62"/>
  <c r="L89" i="62" s="1"/>
  <c r="L88" i="65"/>
  <c r="J89" i="65"/>
  <c r="J91" i="65" s="1"/>
  <c r="F89" i="51"/>
  <c r="H89" i="51" s="1"/>
  <c r="G89" i="51"/>
  <c r="G94" i="47"/>
  <c r="G85" i="47"/>
  <c r="O37" i="23"/>
  <c r="G54" i="23" s="1"/>
  <c r="G60" i="23" s="1"/>
  <c r="G65" i="23" s="1"/>
  <c r="K50" i="29"/>
  <c r="G89" i="19"/>
  <c r="G90" i="14"/>
  <c r="M38" i="30"/>
  <c r="F90" i="5"/>
  <c r="H90" i="5" s="1"/>
  <c r="J88" i="36"/>
  <c r="J89" i="36" s="1"/>
  <c r="M50" i="36"/>
  <c r="O50" i="36" s="1"/>
  <c r="M38" i="34"/>
  <c r="N10" i="34"/>
  <c r="N38" i="34" s="1"/>
  <c r="N51" i="34" s="1"/>
  <c r="G90" i="4"/>
  <c r="J89" i="33"/>
  <c r="J90" i="33" s="1"/>
  <c r="M51" i="33"/>
  <c r="O51" i="33" s="1"/>
  <c r="H51" i="39"/>
  <c r="F91" i="13"/>
  <c r="H91" i="13" s="1"/>
  <c r="F91" i="43"/>
  <c r="H91" i="43" s="1"/>
  <c r="O9" i="36"/>
  <c r="F89" i="35"/>
  <c r="H89" i="35" s="1"/>
  <c r="F89" i="21"/>
  <c r="H89" i="21" s="1"/>
  <c r="J91" i="21"/>
  <c r="J92" i="21" s="1"/>
  <c r="F91" i="31"/>
  <c r="H91" i="31" s="1"/>
  <c r="G91" i="31"/>
  <c r="J87" i="34"/>
  <c r="G51" i="34"/>
  <c r="G89" i="3"/>
  <c r="G90" i="11"/>
  <c r="F90" i="11"/>
  <c r="H90" i="11" s="1"/>
  <c r="F91" i="15"/>
  <c r="H91" i="15" s="1"/>
  <c r="L51" i="30"/>
  <c r="G90" i="9"/>
  <c r="F90" i="6"/>
  <c r="H90" i="6" s="1"/>
  <c r="F90" i="2"/>
  <c r="H90" i="2" s="1"/>
  <c r="G90" i="2"/>
  <c r="M37" i="20"/>
  <c r="N10" i="20"/>
  <c r="O38" i="33"/>
  <c r="G54" i="33" s="1"/>
  <c r="G60" i="33" s="1"/>
  <c r="G65" i="33" s="1"/>
  <c r="O10" i="16"/>
  <c r="J9" i="39"/>
  <c r="I38" i="39"/>
  <c r="F91" i="37"/>
  <c r="H91" i="37" s="1"/>
  <c r="M37" i="40"/>
  <c r="N10" i="40"/>
  <c r="N37" i="40" s="1"/>
  <c r="N50" i="40" s="1"/>
  <c r="O10" i="28"/>
  <c r="J89" i="16"/>
  <c r="M50" i="16"/>
  <c r="L37" i="29"/>
  <c r="L50" i="29" s="1"/>
  <c r="M9" i="29"/>
  <c r="F90" i="41"/>
  <c r="H90" i="41" s="1"/>
  <c r="G90" i="41"/>
  <c r="F91" i="27"/>
  <c r="H91" i="27" s="1"/>
  <c r="M51" i="23"/>
  <c r="F90" i="12"/>
  <c r="H90" i="12" s="1"/>
  <c r="M50" i="28"/>
  <c r="O50" i="28" s="1"/>
  <c r="J88" i="28"/>
  <c r="M37" i="17"/>
  <c r="M50" i="17" s="1"/>
  <c r="N10" i="17"/>
  <c r="N37" i="17" s="1"/>
  <c r="N50" i="17" s="1"/>
  <c r="O50" i="17" s="1"/>
  <c r="G90" i="10"/>
  <c r="G92" i="38"/>
  <c r="F92" i="38"/>
  <c r="H92" i="38" s="1"/>
  <c r="O37" i="28"/>
  <c r="G53" i="28" s="1"/>
  <c r="G59" i="28" s="1"/>
  <c r="G64" i="28" s="1"/>
  <c r="G94" i="24"/>
  <c r="G85" i="24"/>
  <c r="G90" i="42"/>
  <c r="G89" i="8"/>
  <c r="G90" i="25"/>
  <c r="O37" i="36"/>
  <c r="G53" i="36" s="1"/>
  <c r="G59" i="36" s="1"/>
  <c r="G64" i="36" s="1"/>
  <c r="L50" i="20"/>
  <c r="L51" i="20" s="1"/>
  <c r="J87" i="20"/>
  <c r="L87" i="20" s="1"/>
  <c r="G50" i="16"/>
  <c r="O50" i="16" s="1"/>
  <c r="J87" i="16"/>
  <c r="J90" i="16" s="1"/>
  <c r="O37" i="16"/>
  <c r="G53" i="16" s="1"/>
  <c r="G59" i="16" s="1"/>
  <c r="G64" i="16" s="1"/>
  <c r="N37" i="23"/>
  <c r="N51" i="23" s="1"/>
  <c r="O10" i="23"/>
  <c r="F89" i="26"/>
  <c r="H89" i="26" s="1"/>
  <c r="G89" i="26"/>
  <c r="F89" i="7"/>
  <c r="H89" i="7" s="1"/>
  <c r="G91" i="22"/>
  <c r="F91" i="22"/>
  <c r="H91" i="22" s="1"/>
  <c r="G90" i="45"/>
  <c r="G89" i="32"/>
  <c r="O10" i="34"/>
  <c r="M38" i="18"/>
  <c r="N10" i="18"/>
  <c r="N38" i="18" s="1"/>
  <c r="N52" i="18" s="1"/>
  <c r="G89" i="111" l="1"/>
  <c r="G89" i="89"/>
  <c r="F90" i="89" s="1"/>
  <c r="H90" i="89" s="1"/>
  <c r="G75" i="1"/>
  <c r="G100" i="68"/>
  <c r="B100" i="68" s="1"/>
  <c r="P75" i="1"/>
  <c r="F90" i="148"/>
  <c r="H90" i="148" s="1"/>
  <c r="F94" i="145"/>
  <c r="H94" i="145" s="1"/>
  <c r="G96" i="145" s="1"/>
  <c r="G99" i="145" s="1"/>
  <c r="G89" i="138"/>
  <c r="G89" i="64"/>
  <c r="F90" i="139"/>
  <c r="H90" i="139" s="1"/>
  <c r="F90" i="140"/>
  <c r="H90" i="140" s="1"/>
  <c r="G92" i="135"/>
  <c r="F90" i="137"/>
  <c r="H90" i="137" s="1"/>
  <c r="G91" i="134"/>
  <c r="F91" i="134"/>
  <c r="H91" i="134" s="1"/>
  <c r="F90" i="141"/>
  <c r="H90" i="141" s="1"/>
  <c r="F90" i="142"/>
  <c r="H90" i="142" s="1"/>
  <c r="G90" i="136"/>
  <c r="G93" i="87"/>
  <c r="G95" i="87" s="1"/>
  <c r="G91" i="87"/>
  <c r="F91" i="87"/>
  <c r="H91" i="87" s="1"/>
  <c r="J50" i="102"/>
  <c r="J52" i="102"/>
  <c r="G90" i="113"/>
  <c r="G89" i="122"/>
  <c r="J88" i="133"/>
  <c r="J89" i="133" s="1"/>
  <c r="M50" i="133"/>
  <c r="G90" i="90"/>
  <c r="G90" i="121"/>
  <c r="G90" i="86"/>
  <c r="G88" i="131"/>
  <c r="G89" i="93"/>
  <c r="G90" i="110"/>
  <c r="F89" i="128"/>
  <c r="H89" i="128" s="1"/>
  <c r="G90" i="116"/>
  <c r="G91" i="100"/>
  <c r="F90" i="118"/>
  <c r="H90" i="118" s="1"/>
  <c r="G89" i="99"/>
  <c r="F90" i="112"/>
  <c r="H90" i="112" s="1"/>
  <c r="F90" i="107"/>
  <c r="H90" i="107" s="1"/>
  <c r="N37" i="119"/>
  <c r="O10" i="119"/>
  <c r="G90" i="125"/>
  <c r="F90" i="125"/>
  <c r="H90" i="125" s="1"/>
  <c r="G89" i="127"/>
  <c r="O50" i="133"/>
  <c r="G90" i="101"/>
  <c r="F90" i="106"/>
  <c r="H90" i="106" s="1"/>
  <c r="O37" i="133"/>
  <c r="G53" i="133" s="1"/>
  <c r="G59" i="133" s="1"/>
  <c r="G64" i="133" s="1"/>
  <c r="J88" i="120"/>
  <c r="M50" i="120"/>
  <c r="O50" i="120" s="1"/>
  <c r="O37" i="120"/>
  <c r="G53" i="120" s="1"/>
  <c r="G59" i="120" s="1"/>
  <c r="G64" i="120" s="1"/>
  <c r="J89" i="129"/>
  <c r="J90" i="129" s="1"/>
  <c r="M50" i="129"/>
  <c r="O50" i="129" s="1"/>
  <c r="F90" i="114"/>
  <c r="H90" i="114" s="1"/>
  <c r="G91" i="108"/>
  <c r="F91" i="108"/>
  <c r="H91" i="108" s="1"/>
  <c r="G93" i="108" s="1"/>
  <c r="G95" i="108" s="1"/>
  <c r="F91" i="124"/>
  <c r="H91" i="124" s="1"/>
  <c r="G93" i="124" s="1"/>
  <c r="G95" i="124" s="1"/>
  <c r="G91" i="124"/>
  <c r="M50" i="132"/>
  <c r="O50" i="132" s="1"/>
  <c r="J88" i="132"/>
  <c r="J89" i="132" s="1"/>
  <c r="O37" i="132"/>
  <c r="G53" i="132" s="1"/>
  <c r="G59" i="132" s="1"/>
  <c r="G64" i="132" s="1"/>
  <c r="G91" i="91"/>
  <c r="F91" i="91"/>
  <c r="H91" i="91" s="1"/>
  <c r="F90" i="109"/>
  <c r="H90" i="109" s="1"/>
  <c r="F90" i="97"/>
  <c r="H90" i="97" s="1"/>
  <c r="M50" i="119"/>
  <c r="J88" i="119"/>
  <c r="L88" i="119" s="1"/>
  <c r="G92" i="88"/>
  <c r="F92" i="88"/>
  <c r="H92" i="88" s="1"/>
  <c r="G94" i="88" s="1"/>
  <c r="G96" i="88" s="1"/>
  <c r="J89" i="120"/>
  <c r="G91" i="104"/>
  <c r="F91" i="117"/>
  <c r="H91" i="117" s="1"/>
  <c r="F91" i="105"/>
  <c r="H91" i="105" s="1"/>
  <c r="N19" i="102"/>
  <c r="O19" i="102" s="1"/>
  <c r="N37" i="102"/>
  <c r="L52" i="103"/>
  <c r="J89" i="103"/>
  <c r="G88" i="123"/>
  <c r="G89" i="92"/>
  <c r="F91" i="94"/>
  <c r="H91" i="94" s="1"/>
  <c r="O37" i="129"/>
  <c r="G53" i="129" s="1"/>
  <c r="G59" i="129" s="1"/>
  <c r="G64" i="129" s="1"/>
  <c r="K49" i="102"/>
  <c r="K50" i="102" s="1"/>
  <c r="L41" i="102"/>
  <c r="G91" i="115"/>
  <c r="F91" i="115"/>
  <c r="H91" i="115" s="1"/>
  <c r="G93" i="115" s="1"/>
  <c r="G95" i="115" s="1"/>
  <c r="F91" i="98"/>
  <c r="H91" i="98" s="1"/>
  <c r="G91" i="95"/>
  <c r="F91" i="95"/>
  <c r="H91" i="95" s="1"/>
  <c r="G93" i="95" s="1"/>
  <c r="G95" i="95" s="1"/>
  <c r="N15" i="103"/>
  <c r="M38" i="103"/>
  <c r="M52" i="103" s="1"/>
  <c r="G90" i="111"/>
  <c r="F90" i="111"/>
  <c r="H90" i="111" s="1"/>
  <c r="F91" i="96"/>
  <c r="H91" i="96" s="1"/>
  <c r="G93" i="96" s="1"/>
  <c r="G95" i="96" s="1"/>
  <c r="G90" i="126"/>
  <c r="F90" i="126"/>
  <c r="H90" i="126" s="1"/>
  <c r="G89" i="85"/>
  <c r="I49" i="82"/>
  <c r="I50" i="82" s="1"/>
  <c r="J41" i="82"/>
  <c r="J50" i="75"/>
  <c r="J52" i="75"/>
  <c r="L88" i="67"/>
  <c r="J89" i="67"/>
  <c r="J40" i="73"/>
  <c r="I49" i="73"/>
  <c r="I50" i="73" s="1"/>
  <c r="L88" i="69"/>
  <c r="J93" i="69"/>
  <c r="M50" i="76"/>
  <c r="J88" i="76"/>
  <c r="L88" i="76" s="1"/>
  <c r="J90" i="71"/>
  <c r="F88" i="71"/>
  <c r="H88" i="71" s="1"/>
  <c r="J40" i="70"/>
  <c r="I49" i="70"/>
  <c r="I50" i="70" s="1"/>
  <c r="G90" i="83"/>
  <c r="F90" i="83"/>
  <c r="H90" i="83" s="1"/>
  <c r="J89" i="71"/>
  <c r="J91" i="71" s="1"/>
  <c r="L40" i="67"/>
  <c r="K49" i="67"/>
  <c r="K50" i="67" s="1"/>
  <c r="H50" i="82"/>
  <c r="G90" i="66"/>
  <c r="O50" i="76"/>
  <c r="G89" i="69"/>
  <c r="G89" i="74"/>
  <c r="N37" i="81"/>
  <c r="N50" i="81" s="1"/>
  <c r="O10" i="81"/>
  <c r="F90" i="72"/>
  <c r="H90" i="72" s="1"/>
  <c r="G90" i="72"/>
  <c r="J50" i="67"/>
  <c r="J52" i="67"/>
  <c r="G94" i="76"/>
  <c r="G85" i="76"/>
  <c r="G85" i="82"/>
  <c r="G94" i="82"/>
  <c r="O10" i="76"/>
  <c r="J89" i="75"/>
  <c r="J89" i="76"/>
  <c r="I49" i="80"/>
  <c r="I50" i="80" s="1"/>
  <c r="J40" i="80"/>
  <c r="M50" i="81"/>
  <c r="O37" i="81"/>
  <c r="G53" i="81" s="1"/>
  <c r="G59" i="81" s="1"/>
  <c r="G64" i="81" s="1"/>
  <c r="J90" i="75"/>
  <c r="G90" i="84"/>
  <c r="K49" i="75"/>
  <c r="K50" i="75" s="1"/>
  <c r="L40" i="75"/>
  <c r="G94" i="67"/>
  <c r="F90" i="78"/>
  <c r="H90" i="78" s="1"/>
  <c r="G91" i="79"/>
  <c r="F91" i="79"/>
  <c r="H91" i="79" s="1"/>
  <c r="G93" i="79" s="1"/>
  <c r="G95" i="79" s="1"/>
  <c r="F90" i="77"/>
  <c r="H90" i="77" s="1"/>
  <c r="G94" i="61"/>
  <c r="G85" i="61"/>
  <c r="J89" i="61"/>
  <c r="L89" i="49"/>
  <c r="J90" i="49"/>
  <c r="J90" i="62"/>
  <c r="J90" i="47"/>
  <c r="J91" i="47" s="1"/>
  <c r="F88" i="47"/>
  <c r="H88" i="47" s="1"/>
  <c r="Q37" i="62"/>
  <c r="T94" i="62"/>
  <c r="Q35" i="62"/>
  <c r="Q36" i="62" s="1"/>
  <c r="T96" i="62"/>
  <c r="G88" i="65"/>
  <c r="G88" i="50"/>
  <c r="G95" i="49"/>
  <c r="G86" i="49"/>
  <c r="G88" i="56"/>
  <c r="F90" i="51"/>
  <c r="H90" i="51" s="1"/>
  <c r="G90" i="51"/>
  <c r="J88" i="61"/>
  <c r="M50" i="61"/>
  <c r="O50" i="61" s="1"/>
  <c r="G89" i="60"/>
  <c r="F89" i="60"/>
  <c r="H89" i="60" s="1"/>
  <c r="F91" i="58"/>
  <c r="H91" i="58" s="1"/>
  <c r="G92" i="59"/>
  <c r="G91" i="57"/>
  <c r="F90" i="64"/>
  <c r="H90" i="64" s="1"/>
  <c r="G89" i="63"/>
  <c r="N50" i="62"/>
  <c r="O50" i="62" s="1"/>
  <c r="O37" i="62"/>
  <c r="G53" i="62" s="1"/>
  <c r="G60" i="62" s="1"/>
  <c r="G65" i="62" s="1"/>
  <c r="G91" i="48"/>
  <c r="J91" i="60"/>
  <c r="G93" i="41"/>
  <c r="G95" i="41" s="1"/>
  <c r="G92" i="22"/>
  <c r="F92" i="22"/>
  <c r="H92" i="22" s="1"/>
  <c r="G93" i="38"/>
  <c r="F93" i="38"/>
  <c r="H93" i="38" s="1"/>
  <c r="G95" i="33"/>
  <c r="G86" i="33"/>
  <c r="F91" i="9"/>
  <c r="H91" i="9" s="1"/>
  <c r="G95" i="23"/>
  <c r="G86" i="23"/>
  <c r="F90" i="32"/>
  <c r="H90" i="32" s="1"/>
  <c r="G89" i="7"/>
  <c r="G90" i="8"/>
  <c r="F90" i="8"/>
  <c r="H90" i="8" s="1"/>
  <c r="G90" i="12"/>
  <c r="G91" i="27"/>
  <c r="G91" i="44"/>
  <c r="J88" i="40"/>
  <c r="J89" i="40" s="1"/>
  <c r="M50" i="40"/>
  <c r="O50" i="40" s="1"/>
  <c r="O37" i="40"/>
  <c r="G53" i="40" s="1"/>
  <c r="G59" i="40" s="1"/>
  <c r="G64" i="40" s="1"/>
  <c r="I51" i="39"/>
  <c r="J87" i="39"/>
  <c r="N37" i="20"/>
  <c r="O10" i="20"/>
  <c r="G90" i="3"/>
  <c r="F90" i="3"/>
  <c r="H90" i="3" s="1"/>
  <c r="G89" i="21"/>
  <c r="G91" i="43"/>
  <c r="M51" i="34"/>
  <c r="J89" i="34"/>
  <c r="J90" i="34" s="1"/>
  <c r="N38" i="30"/>
  <c r="J90" i="30" s="1"/>
  <c r="J91" i="30" s="1"/>
  <c r="O9" i="30"/>
  <c r="F90" i="26"/>
  <c r="H90" i="26" s="1"/>
  <c r="G90" i="26"/>
  <c r="F91" i="2"/>
  <c r="H91" i="2" s="1"/>
  <c r="F90" i="19"/>
  <c r="H90" i="19" s="1"/>
  <c r="F91" i="45"/>
  <c r="H91" i="45" s="1"/>
  <c r="G91" i="45"/>
  <c r="F91" i="42"/>
  <c r="H91" i="42" s="1"/>
  <c r="G85" i="28"/>
  <c r="G94" i="28"/>
  <c r="F91" i="10"/>
  <c r="H91" i="10" s="1"/>
  <c r="L88" i="28"/>
  <c r="J89" i="28"/>
  <c r="O51" i="23"/>
  <c r="F91" i="41"/>
  <c r="H91" i="41" s="1"/>
  <c r="G91" i="41"/>
  <c r="M37" i="29"/>
  <c r="N9" i="29"/>
  <c r="N37" i="29" s="1"/>
  <c r="N50" i="29" s="1"/>
  <c r="K9" i="39"/>
  <c r="J38" i="39"/>
  <c r="M50" i="20"/>
  <c r="M51" i="20" s="1"/>
  <c r="J88" i="20"/>
  <c r="L88" i="20" s="1"/>
  <c r="F91" i="11"/>
  <c r="H91" i="11" s="1"/>
  <c r="G93" i="11" s="1"/>
  <c r="G95" i="11" s="1"/>
  <c r="G96" i="11" s="1"/>
  <c r="O51" i="34"/>
  <c r="J89" i="20"/>
  <c r="O37" i="17"/>
  <c r="G53" i="17" s="1"/>
  <c r="G59" i="17" s="1"/>
  <c r="G64" i="17" s="1"/>
  <c r="G85" i="17" s="1"/>
  <c r="G90" i="5"/>
  <c r="M51" i="30"/>
  <c r="O10" i="18"/>
  <c r="J91" i="16"/>
  <c r="J92" i="16" s="1"/>
  <c r="G85" i="16"/>
  <c r="G94" i="16"/>
  <c r="F91" i="25"/>
  <c r="H91" i="25" s="1"/>
  <c r="F92" i="31"/>
  <c r="H92" i="31" s="1"/>
  <c r="G92" i="31"/>
  <c r="R85" i="36"/>
  <c r="R83" i="36"/>
  <c r="M52" i="18"/>
  <c r="O52" i="18" s="1"/>
  <c r="J90" i="18"/>
  <c r="J91" i="18" s="1"/>
  <c r="G94" i="22"/>
  <c r="G96" i="22" s="1"/>
  <c r="O38" i="18"/>
  <c r="G55" i="18" s="1"/>
  <c r="G61" i="18" s="1"/>
  <c r="G66" i="18" s="1"/>
  <c r="G94" i="36"/>
  <c r="G85" i="36"/>
  <c r="F88" i="24"/>
  <c r="H88" i="24" s="1"/>
  <c r="J90" i="24"/>
  <c r="J91" i="24" s="1"/>
  <c r="G88" i="24"/>
  <c r="O10" i="17"/>
  <c r="J89" i="23"/>
  <c r="J90" i="23" s="1"/>
  <c r="O10" i="40"/>
  <c r="G91" i="37"/>
  <c r="J87" i="29"/>
  <c r="G90" i="6"/>
  <c r="G91" i="15"/>
  <c r="O38" i="34"/>
  <c r="G54" i="34" s="1"/>
  <c r="G60" i="34" s="1"/>
  <c r="G65" i="34" s="1"/>
  <c r="G89" i="35"/>
  <c r="G91" i="13"/>
  <c r="G91" i="4"/>
  <c r="F91" i="4"/>
  <c r="H91" i="4" s="1"/>
  <c r="F91" i="14"/>
  <c r="H91" i="14" s="1"/>
  <c r="G90" i="32" l="1"/>
  <c r="F91" i="32" s="1"/>
  <c r="H91" i="32" s="1"/>
  <c r="G93" i="32" s="1"/>
  <c r="G91" i="2"/>
  <c r="G90" i="148"/>
  <c r="G100" i="145"/>
  <c r="G101" i="145" s="1"/>
  <c r="G103" i="145" s="1"/>
  <c r="B103" i="145" s="1"/>
  <c r="G94" i="145"/>
  <c r="F90" i="138"/>
  <c r="H90" i="138" s="1"/>
  <c r="G90" i="64"/>
  <c r="F91" i="64" s="1"/>
  <c r="H91" i="64" s="1"/>
  <c r="G93" i="64" s="1"/>
  <c r="G95" i="64" s="1"/>
  <c r="G90" i="142"/>
  <c r="G90" i="141"/>
  <c r="G90" i="137"/>
  <c r="G90" i="139"/>
  <c r="F91" i="136"/>
  <c r="H91" i="136" s="1"/>
  <c r="G93" i="136" s="1"/>
  <c r="G95" i="136" s="1"/>
  <c r="F92" i="134"/>
  <c r="H92" i="134" s="1"/>
  <c r="G94" i="134" s="1"/>
  <c r="G96" i="134" s="1"/>
  <c r="G93" i="135"/>
  <c r="F93" i="135"/>
  <c r="H93" i="135" s="1"/>
  <c r="G90" i="140"/>
  <c r="G97" i="95"/>
  <c r="G97" i="115"/>
  <c r="G97" i="124"/>
  <c r="F89" i="123"/>
  <c r="H89" i="123" s="1"/>
  <c r="G85" i="133"/>
  <c r="G94" i="133"/>
  <c r="F91" i="101"/>
  <c r="H91" i="101" s="1"/>
  <c r="G91" i="101"/>
  <c r="F92" i="100"/>
  <c r="H92" i="100" s="1"/>
  <c r="G94" i="100" s="1"/>
  <c r="G96" i="100" s="1"/>
  <c r="G97" i="87"/>
  <c r="G90" i="89"/>
  <c r="J91" i="129"/>
  <c r="G85" i="129"/>
  <c r="G94" i="129"/>
  <c r="J90" i="103"/>
  <c r="F92" i="104"/>
  <c r="H92" i="104" s="1"/>
  <c r="G94" i="104" s="1"/>
  <c r="G96" i="104" s="1"/>
  <c r="G90" i="97"/>
  <c r="G97" i="108"/>
  <c r="G99" i="108" s="1"/>
  <c r="B99" i="108" s="1"/>
  <c r="G96" i="108"/>
  <c r="G94" i="120"/>
  <c r="G85" i="120"/>
  <c r="G90" i="106"/>
  <c r="G90" i="107"/>
  <c r="G90" i="118"/>
  <c r="F91" i="116"/>
  <c r="H91" i="116" s="1"/>
  <c r="F90" i="93"/>
  <c r="H90" i="93" s="1"/>
  <c r="F91" i="90"/>
  <c r="H91" i="90" s="1"/>
  <c r="G93" i="90" s="1"/>
  <c r="G95" i="90" s="1"/>
  <c r="G96" i="90" s="1"/>
  <c r="F91" i="113"/>
  <c r="H91" i="113" s="1"/>
  <c r="G93" i="113" s="1"/>
  <c r="G95" i="113" s="1"/>
  <c r="F90" i="92"/>
  <c r="H90" i="92" s="1"/>
  <c r="F91" i="121"/>
  <c r="H91" i="121" s="1"/>
  <c r="G93" i="121" s="1"/>
  <c r="G95" i="121" s="1"/>
  <c r="G91" i="121"/>
  <c r="F90" i="122"/>
  <c r="H90" i="122" s="1"/>
  <c r="G96" i="96"/>
  <c r="G97" i="96" s="1"/>
  <c r="G99" i="96" s="1"/>
  <c r="B99" i="96" s="1"/>
  <c r="F91" i="111"/>
  <c r="H91" i="111" s="1"/>
  <c r="G93" i="111" s="1"/>
  <c r="G95" i="111" s="1"/>
  <c r="G96" i="111" s="1"/>
  <c r="G92" i="91"/>
  <c r="F92" i="91"/>
  <c r="H92" i="91" s="1"/>
  <c r="G94" i="91" s="1"/>
  <c r="G96" i="91" s="1"/>
  <c r="J92" i="129"/>
  <c r="F90" i="127"/>
  <c r="H90" i="127" s="1"/>
  <c r="F89" i="131"/>
  <c r="H89" i="131" s="1"/>
  <c r="O37" i="102"/>
  <c r="G53" i="102" s="1"/>
  <c r="G60" i="102" s="1"/>
  <c r="G65" i="102" s="1"/>
  <c r="G86" i="102" s="1"/>
  <c r="G91" i="126"/>
  <c r="F91" i="126"/>
  <c r="H91" i="126" s="1"/>
  <c r="N38" i="103"/>
  <c r="O15" i="103"/>
  <c r="F91" i="125"/>
  <c r="H91" i="125" s="1"/>
  <c r="G93" i="125" s="1"/>
  <c r="G95" i="125" s="1"/>
  <c r="F90" i="99"/>
  <c r="H90" i="99" s="1"/>
  <c r="F91" i="110"/>
  <c r="H91" i="110" s="1"/>
  <c r="G93" i="126"/>
  <c r="G95" i="126" s="1"/>
  <c r="G91" i="96"/>
  <c r="G91" i="98"/>
  <c r="L49" i="102"/>
  <c r="L50" i="102" s="1"/>
  <c r="M41" i="102"/>
  <c r="G91" i="94"/>
  <c r="J89" i="119"/>
  <c r="J91" i="103"/>
  <c r="G91" i="105"/>
  <c r="G91" i="117"/>
  <c r="G98" i="88"/>
  <c r="G90" i="109"/>
  <c r="G85" i="132"/>
  <c r="G94" i="132"/>
  <c r="G90" i="114"/>
  <c r="N50" i="119"/>
  <c r="O50" i="119" s="1"/>
  <c r="O37" i="119"/>
  <c r="G53" i="119" s="1"/>
  <c r="G59" i="119" s="1"/>
  <c r="G64" i="119" s="1"/>
  <c r="G90" i="112"/>
  <c r="G89" i="128"/>
  <c r="F91" i="86"/>
  <c r="H91" i="86" s="1"/>
  <c r="G93" i="86" s="1"/>
  <c r="G95" i="86" s="1"/>
  <c r="J89" i="102"/>
  <c r="J90" i="102" s="1"/>
  <c r="G97" i="79"/>
  <c r="G90" i="77"/>
  <c r="M40" i="75"/>
  <c r="L49" i="75"/>
  <c r="L50" i="75" s="1"/>
  <c r="J91" i="76"/>
  <c r="F91" i="66"/>
  <c r="H91" i="66" s="1"/>
  <c r="L49" i="67"/>
  <c r="L50" i="67" s="1"/>
  <c r="M40" i="67"/>
  <c r="G93" i="83"/>
  <c r="G95" i="83" s="1"/>
  <c r="K40" i="70"/>
  <c r="J49" i="70"/>
  <c r="G94" i="81"/>
  <c r="G85" i="81"/>
  <c r="J90" i="76"/>
  <c r="G88" i="76"/>
  <c r="F88" i="76"/>
  <c r="H88" i="76" s="1"/>
  <c r="G90" i="69"/>
  <c r="F90" i="69"/>
  <c r="H90" i="69" s="1"/>
  <c r="G91" i="83"/>
  <c r="F91" i="83"/>
  <c r="H91" i="83" s="1"/>
  <c r="G90" i="78"/>
  <c r="G91" i="84"/>
  <c r="F91" i="84"/>
  <c r="H91" i="84" s="1"/>
  <c r="G93" i="84" s="1"/>
  <c r="G95" i="84" s="1"/>
  <c r="O50" i="81"/>
  <c r="J49" i="80"/>
  <c r="K40" i="80"/>
  <c r="F91" i="72"/>
  <c r="H91" i="72" s="1"/>
  <c r="G93" i="72" s="1"/>
  <c r="G95" i="72" s="1"/>
  <c r="G91" i="72"/>
  <c r="G88" i="71"/>
  <c r="J49" i="73"/>
  <c r="K40" i="73"/>
  <c r="F90" i="85"/>
  <c r="H90" i="85" s="1"/>
  <c r="J88" i="81"/>
  <c r="G88" i="82"/>
  <c r="J90" i="82"/>
  <c r="J91" i="82" s="1"/>
  <c r="F88" i="82"/>
  <c r="H88" i="82" s="1"/>
  <c r="F90" i="74"/>
  <c r="H90" i="74" s="1"/>
  <c r="K41" i="82"/>
  <c r="J49" i="82"/>
  <c r="F90" i="60"/>
  <c r="H90" i="60" s="1"/>
  <c r="F91" i="51"/>
  <c r="H91" i="51" s="1"/>
  <c r="G93" i="51" s="1"/>
  <c r="G95" i="51" s="1"/>
  <c r="F92" i="57"/>
  <c r="H92" i="57" s="1"/>
  <c r="G94" i="57" s="1"/>
  <c r="G96" i="57" s="1"/>
  <c r="F89" i="56"/>
  <c r="H89" i="56" s="1"/>
  <c r="G89" i="56"/>
  <c r="F89" i="50"/>
  <c r="H89" i="50" s="1"/>
  <c r="F89" i="65"/>
  <c r="H89" i="65" s="1"/>
  <c r="F92" i="48"/>
  <c r="H92" i="48" s="1"/>
  <c r="G90" i="63"/>
  <c r="F90" i="63"/>
  <c r="H90" i="63" s="1"/>
  <c r="G91" i="58"/>
  <c r="J90" i="61"/>
  <c r="J91" i="61" s="1"/>
  <c r="F88" i="61"/>
  <c r="H88" i="61" s="1"/>
  <c r="G95" i="62"/>
  <c r="G86" i="62"/>
  <c r="F93" i="59"/>
  <c r="H93" i="59" s="1"/>
  <c r="G95" i="59" s="1"/>
  <c r="G97" i="59" s="1"/>
  <c r="J91" i="49"/>
  <c r="J92" i="49" s="1"/>
  <c r="J94" i="49" s="1"/>
  <c r="F89" i="49"/>
  <c r="H89" i="49" s="1"/>
  <c r="J93" i="49"/>
  <c r="G88" i="47"/>
  <c r="G97" i="11"/>
  <c r="F92" i="15"/>
  <c r="H92" i="15" s="1"/>
  <c r="G94" i="15" s="1"/>
  <c r="G96" i="15" s="1"/>
  <c r="G94" i="17"/>
  <c r="F88" i="17"/>
  <c r="H88" i="17" s="1"/>
  <c r="G91" i="14"/>
  <c r="F91" i="6"/>
  <c r="H91" i="6" s="1"/>
  <c r="G96" i="18"/>
  <c r="G87" i="18"/>
  <c r="F92" i="45"/>
  <c r="H92" i="45" s="1"/>
  <c r="G92" i="45"/>
  <c r="G94" i="40"/>
  <c r="G85" i="40"/>
  <c r="J91" i="23"/>
  <c r="F89" i="23"/>
  <c r="H89" i="23" s="1"/>
  <c r="G91" i="9"/>
  <c r="F94" i="38"/>
  <c r="H94" i="38" s="1"/>
  <c r="G96" i="38" s="1"/>
  <c r="G98" i="38" s="1"/>
  <c r="F90" i="35"/>
  <c r="H90" i="35" s="1"/>
  <c r="J89" i="29"/>
  <c r="G98" i="22"/>
  <c r="F88" i="16"/>
  <c r="H88" i="16" s="1"/>
  <c r="G88" i="16"/>
  <c r="G94" i="45"/>
  <c r="G96" i="45" s="1"/>
  <c r="O37" i="29"/>
  <c r="G53" i="29" s="1"/>
  <c r="G59" i="29" s="1"/>
  <c r="G64" i="29" s="1"/>
  <c r="N50" i="20"/>
  <c r="O37" i="20"/>
  <c r="G53" i="20" s="1"/>
  <c r="G59" i="20" s="1"/>
  <c r="G64" i="20" s="1"/>
  <c r="G91" i="12"/>
  <c r="F91" i="12"/>
  <c r="H91" i="12" s="1"/>
  <c r="F90" i="7"/>
  <c r="H90" i="7" s="1"/>
  <c r="G89" i="33"/>
  <c r="F89" i="33"/>
  <c r="H89" i="33" s="1"/>
  <c r="J91" i="33"/>
  <c r="J92" i="33" s="1"/>
  <c r="O9" i="29"/>
  <c r="G92" i="4"/>
  <c r="F92" i="4"/>
  <c r="H92" i="4" s="1"/>
  <c r="F89" i="24"/>
  <c r="H89" i="24" s="1"/>
  <c r="F93" i="31"/>
  <c r="H93" i="31" s="1"/>
  <c r="G95" i="31" s="1"/>
  <c r="G97" i="31" s="1"/>
  <c r="F92" i="13"/>
  <c r="H92" i="13" s="1"/>
  <c r="G94" i="13" s="1"/>
  <c r="G96" i="13" s="1"/>
  <c r="G92" i="13"/>
  <c r="J92" i="23"/>
  <c r="K38" i="39"/>
  <c r="K51" i="39" s="1"/>
  <c r="L9" i="39"/>
  <c r="J90" i="28"/>
  <c r="J91" i="28" s="1"/>
  <c r="F88" i="28"/>
  <c r="H88" i="28" s="1"/>
  <c r="F92" i="27"/>
  <c r="H92" i="27" s="1"/>
  <c r="G94" i="27" s="1"/>
  <c r="G96" i="27" s="1"/>
  <c r="G97" i="27" s="1"/>
  <c r="G96" i="41"/>
  <c r="G97" i="41"/>
  <c r="G94" i="4"/>
  <c r="G96" i="4" s="1"/>
  <c r="G86" i="34"/>
  <c r="G95" i="34"/>
  <c r="F92" i="37"/>
  <c r="H92" i="37" s="1"/>
  <c r="J90" i="36"/>
  <c r="J91" i="36" s="1"/>
  <c r="F88" i="36"/>
  <c r="H88" i="36" s="1"/>
  <c r="G91" i="25"/>
  <c r="F91" i="5"/>
  <c r="H91" i="5" s="1"/>
  <c r="G91" i="5"/>
  <c r="G91" i="11"/>
  <c r="G91" i="10"/>
  <c r="G91" i="42"/>
  <c r="G90" i="19"/>
  <c r="F92" i="43"/>
  <c r="H92" i="43" s="1"/>
  <c r="G94" i="43" s="1"/>
  <c r="G96" i="43" s="1"/>
  <c r="G92" i="43"/>
  <c r="G91" i="3"/>
  <c r="F91" i="3"/>
  <c r="H91" i="3" s="1"/>
  <c r="G93" i="3" s="1"/>
  <c r="G95" i="3" s="1"/>
  <c r="G93" i="8"/>
  <c r="G95" i="8" s="1"/>
  <c r="J51" i="39"/>
  <c r="J52" i="39"/>
  <c r="J53" i="39" s="1"/>
  <c r="M50" i="29"/>
  <c r="O50" i="29" s="1"/>
  <c r="J88" i="29"/>
  <c r="F91" i="26"/>
  <c r="H91" i="26" s="1"/>
  <c r="G93" i="26" s="1"/>
  <c r="G95" i="26" s="1"/>
  <c r="N51" i="30"/>
  <c r="O51" i="30" s="1"/>
  <c r="O38" i="30"/>
  <c r="G54" i="30" s="1"/>
  <c r="G61" i="30" s="1"/>
  <c r="G66" i="30" s="1"/>
  <c r="G90" i="21"/>
  <c r="F90" i="21"/>
  <c r="H90" i="21" s="1"/>
  <c r="F92" i="44"/>
  <c r="H92" i="44" s="1"/>
  <c r="G94" i="44" s="1"/>
  <c r="G96" i="44" s="1"/>
  <c r="G91" i="8"/>
  <c r="F91" i="8"/>
  <c r="H91" i="8" s="1"/>
  <c r="G91" i="90" l="1"/>
  <c r="G100" i="88"/>
  <c r="B100" i="88" s="1"/>
  <c r="E102" i="1"/>
  <c r="G102" i="1" s="1"/>
  <c r="G99" i="87"/>
  <c r="B99" i="87" s="1"/>
  <c r="E101" i="1"/>
  <c r="G101" i="1" s="1"/>
  <c r="G99" i="95"/>
  <c r="B99" i="95" s="1"/>
  <c r="E98" i="1"/>
  <c r="G98" i="1" s="1"/>
  <c r="G99" i="115"/>
  <c r="B99" i="115" s="1"/>
  <c r="E81" i="1"/>
  <c r="G81" i="1" s="1"/>
  <c r="G99" i="79"/>
  <c r="B99" i="79" s="1"/>
  <c r="E67" i="1"/>
  <c r="G67" i="1" s="1"/>
  <c r="G99" i="124"/>
  <c r="B99" i="124" s="1"/>
  <c r="E39" i="1"/>
  <c r="G39" i="1" s="1"/>
  <c r="G99" i="11"/>
  <c r="B99" i="11" s="1"/>
  <c r="E35" i="1"/>
  <c r="G35" i="1" s="1"/>
  <c r="G100" i="22"/>
  <c r="B100" i="22" s="1"/>
  <c r="E25" i="1"/>
  <c r="G25" i="1" s="1"/>
  <c r="G99" i="41"/>
  <c r="B99" i="41" s="1"/>
  <c r="E4" i="1"/>
  <c r="G4" i="1" s="1"/>
  <c r="F92" i="2"/>
  <c r="H92" i="2" s="1"/>
  <c r="G94" i="2" s="1"/>
  <c r="G96" i="2" s="1"/>
  <c r="G97" i="2" s="1"/>
  <c r="F91" i="148"/>
  <c r="H91" i="148" s="1"/>
  <c r="G93" i="148" s="1"/>
  <c r="G96" i="148" s="1"/>
  <c r="G90" i="138"/>
  <c r="F91" i="138" s="1"/>
  <c r="H91" i="138" s="1"/>
  <c r="G93" i="138" s="1"/>
  <c r="G95" i="138" s="1"/>
  <c r="G97" i="138" s="1"/>
  <c r="G91" i="64"/>
  <c r="F94" i="135"/>
  <c r="H94" i="135" s="1"/>
  <c r="F91" i="137"/>
  <c r="H91" i="137" s="1"/>
  <c r="G93" i="137" s="1"/>
  <c r="G95" i="137" s="1"/>
  <c r="G98" i="134"/>
  <c r="G97" i="136"/>
  <c r="F91" i="141"/>
  <c r="H91" i="141" s="1"/>
  <c r="G93" i="141" s="1"/>
  <c r="G95" i="141" s="1"/>
  <c r="G91" i="141"/>
  <c r="F91" i="140"/>
  <c r="H91" i="140" s="1"/>
  <c r="G93" i="140" s="1"/>
  <c r="G95" i="140" s="1"/>
  <c r="G96" i="140" s="1"/>
  <c r="G91" i="140"/>
  <c r="G92" i="134"/>
  <c r="G91" i="136"/>
  <c r="F91" i="142"/>
  <c r="H91" i="142" s="1"/>
  <c r="G93" i="142" s="1"/>
  <c r="G95" i="142" s="1"/>
  <c r="G96" i="142" s="1"/>
  <c r="G96" i="135"/>
  <c r="G98" i="135" s="1"/>
  <c r="F91" i="139"/>
  <c r="H91" i="139" s="1"/>
  <c r="G93" i="139" s="1"/>
  <c r="G95" i="139" s="1"/>
  <c r="G98" i="91"/>
  <c r="F92" i="105"/>
  <c r="H92" i="105" s="1"/>
  <c r="G94" i="105" s="1"/>
  <c r="G96" i="105" s="1"/>
  <c r="N52" i="103"/>
  <c r="O52" i="103" s="1"/>
  <c r="O38" i="103"/>
  <c r="G55" i="103" s="1"/>
  <c r="G61" i="103" s="1"/>
  <c r="G66" i="103" s="1"/>
  <c r="F91" i="106"/>
  <c r="H91" i="106" s="1"/>
  <c r="G93" i="106" s="1"/>
  <c r="G95" i="106" s="1"/>
  <c r="F90" i="128"/>
  <c r="H90" i="128" s="1"/>
  <c r="G91" i="114"/>
  <c r="F91" i="114"/>
  <c r="H91" i="114" s="1"/>
  <c r="G93" i="114" s="1"/>
  <c r="G95" i="114" s="1"/>
  <c r="M49" i="102"/>
  <c r="M50" i="102" s="1"/>
  <c r="N41" i="102"/>
  <c r="G97" i="126"/>
  <c r="G99" i="126" s="1"/>
  <c r="B99" i="126" s="1"/>
  <c r="G96" i="126"/>
  <c r="G90" i="99"/>
  <c r="G89" i="131"/>
  <c r="G90" i="127"/>
  <c r="G96" i="121"/>
  <c r="G97" i="121" s="1"/>
  <c r="G99" i="121" s="1"/>
  <c r="B99" i="121" s="1"/>
  <c r="G90" i="92"/>
  <c r="G97" i="90"/>
  <c r="G91" i="116"/>
  <c r="G88" i="120"/>
  <c r="F88" i="120"/>
  <c r="H88" i="120" s="1"/>
  <c r="J90" i="120"/>
  <c r="J91" i="120" s="1"/>
  <c r="F91" i="89"/>
  <c r="H91" i="89" s="1"/>
  <c r="G93" i="89" s="1"/>
  <c r="G95" i="89" s="1"/>
  <c r="G96" i="89" s="1"/>
  <c r="G92" i="100"/>
  <c r="J90" i="133"/>
  <c r="J91" i="133" s="1"/>
  <c r="F88" i="133"/>
  <c r="H88" i="133" s="1"/>
  <c r="G91" i="112"/>
  <c r="F91" i="112"/>
  <c r="H91" i="112" s="1"/>
  <c r="G93" i="112" s="1"/>
  <c r="G95" i="112" s="1"/>
  <c r="G97" i="125"/>
  <c r="G97" i="113"/>
  <c r="F91" i="118"/>
  <c r="H91" i="118" s="1"/>
  <c r="G93" i="118" s="1"/>
  <c r="G95" i="118" s="1"/>
  <c r="F91" i="97"/>
  <c r="H91" i="97" s="1"/>
  <c r="G93" i="97" s="1"/>
  <c r="G95" i="97" s="1"/>
  <c r="F92" i="101"/>
  <c r="H92" i="101" s="1"/>
  <c r="G92" i="101"/>
  <c r="G97" i="86"/>
  <c r="F91" i="109"/>
  <c r="H91" i="109" s="1"/>
  <c r="G93" i="109" s="1"/>
  <c r="G95" i="109" s="1"/>
  <c r="G92" i="94"/>
  <c r="F92" i="94"/>
  <c r="H92" i="94" s="1"/>
  <c r="G94" i="94" s="1"/>
  <c r="G96" i="94" s="1"/>
  <c r="G91" i="86"/>
  <c r="G85" i="119"/>
  <c r="G94" i="119"/>
  <c r="J90" i="132"/>
  <c r="J91" i="132" s="1"/>
  <c r="F88" i="132"/>
  <c r="H88" i="132" s="1"/>
  <c r="G92" i="117"/>
  <c r="F92" i="117"/>
  <c r="H92" i="117" s="1"/>
  <c r="G94" i="117" s="1"/>
  <c r="G96" i="117" s="1"/>
  <c r="F92" i="98"/>
  <c r="H92" i="98" s="1"/>
  <c r="G94" i="98" s="1"/>
  <c r="G96" i="98" s="1"/>
  <c r="G91" i="110"/>
  <c r="G91" i="125"/>
  <c r="G95" i="102"/>
  <c r="J91" i="102"/>
  <c r="J92" i="102" s="1"/>
  <c r="F89" i="102"/>
  <c r="H89" i="102" s="1"/>
  <c r="G91" i="111"/>
  <c r="G90" i="122"/>
  <c r="G91" i="113"/>
  <c r="G90" i="93"/>
  <c r="G91" i="107"/>
  <c r="F91" i="107"/>
  <c r="H91" i="107" s="1"/>
  <c r="G93" i="107" s="1"/>
  <c r="G95" i="107" s="1"/>
  <c r="G92" i="104"/>
  <c r="F88" i="129"/>
  <c r="H88" i="129" s="1"/>
  <c r="G94" i="101"/>
  <c r="G96" i="101" s="1"/>
  <c r="G89" i="123"/>
  <c r="G98" i="104"/>
  <c r="G98" i="100"/>
  <c r="G100" i="100" s="1"/>
  <c r="B100" i="100" s="1"/>
  <c r="G97" i="100"/>
  <c r="G97" i="111"/>
  <c r="G97" i="72"/>
  <c r="F89" i="82"/>
  <c r="H89" i="82" s="1"/>
  <c r="G89" i="82"/>
  <c r="G97" i="84"/>
  <c r="M49" i="67"/>
  <c r="M50" i="67" s="1"/>
  <c r="N40" i="67"/>
  <c r="G91" i="66"/>
  <c r="G90" i="74"/>
  <c r="L88" i="81"/>
  <c r="J89" i="81"/>
  <c r="J91" i="81" s="1"/>
  <c r="K49" i="73"/>
  <c r="K50" i="73" s="1"/>
  <c r="L40" i="73"/>
  <c r="L40" i="80"/>
  <c r="K49" i="80"/>
  <c r="K50" i="80" s="1"/>
  <c r="F91" i="69"/>
  <c r="H91" i="69" s="1"/>
  <c r="J90" i="81"/>
  <c r="G88" i="81"/>
  <c r="F88" i="81"/>
  <c r="H88" i="81" s="1"/>
  <c r="J50" i="70"/>
  <c r="J52" i="70"/>
  <c r="J50" i="82"/>
  <c r="J52" i="82"/>
  <c r="G90" i="85"/>
  <c r="J50" i="73"/>
  <c r="J52" i="73"/>
  <c r="J52" i="80"/>
  <c r="J50" i="80"/>
  <c r="F91" i="78"/>
  <c r="H91" i="78" s="1"/>
  <c r="G93" i="78" s="1"/>
  <c r="G95" i="78" s="1"/>
  <c r="L40" i="70"/>
  <c r="K49" i="70"/>
  <c r="K50" i="70" s="1"/>
  <c r="M49" i="75"/>
  <c r="M50" i="75" s="1"/>
  <c r="N40" i="75"/>
  <c r="L41" i="82"/>
  <c r="K49" i="82"/>
  <c r="K50" i="82" s="1"/>
  <c r="G89" i="71"/>
  <c r="F89" i="71"/>
  <c r="H89" i="71" s="1"/>
  <c r="G89" i="76"/>
  <c r="F89" i="76"/>
  <c r="H89" i="76" s="1"/>
  <c r="G97" i="83"/>
  <c r="F91" i="77"/>
  <c r="H91" i="77" s="1"/>
  <c r="G93" i="77" s="1"/>
  <c r="G95" i="77" s="1"/>
  <c r="G96" i="77" s="1"/>
  <c r="F89" i="47"/>
  <c r="H89" i="47" s="1"/>
  <c r="G90" i="56"/>
  <c r="F90" i="56"/>
  <c r="H90" i="56" s="1"/>
  <c r="G98" i="57"/>
  <c r="G97" i="51"/>
  <c r="G92" i="58"/>
  <c r="F92" i="58"/>
  <c r="H92" i="58" s="1"/>
  <c r="G94" i="58" s="1"/>
  <c r="G96" i="58" s="1"/>
  <c r="G92" i="48"/>
  <c r="G89" i="65"/>
  <c r="G92" i="57"/>
  <c r="G93" i="59"/>
  <c r="G89" i="50"/>
  <c r="G90" i="60"/>
  <c r="G99" i="59"/>
  <c r="G89" i="49"/>
  <c r="J91" i="62"/>
  <c r="J92" i="62" s="1"/>
  <c r="G89" i="62"/>
  <c r="G90" i="62" s="1"/>
  <c r="F89" i="62"/>
  <c r="H89" i="62" s="1"/>
  <c r="G88" i="61"/>
  <c r="G91" i="63"/>
  <c r="F91" i="63"/>
  <c r="H91" i="63" s="1"/>
  <c r="G93" i="63" s="1"/>
  <c r="G95" i="63" s="1"/>
  <c r="G91" i="51"/>
  <c r="G97" i="64"/>
  <c r="G97" i="26"/>
  <c r="G96" i="3"/>
  <c r="G97" i="3"/>
  <c r="G99" i="3" s="1"/>
  <c r="B99" i="3" s="1"/>
  <c r="G96" i="32"/>
  <c r="G95" i="32"/>
  <c r="G98" i="31"/>
  <c r="G99" i="31"/>
  <c r="G101" i="31" s="1"/>
  <c r="B101" i="31" s="1"/>
  <c r="G100" i="38"/>
  <c r="G96" i="8"/>
  <c r="G97" i="8" s="1"/>
  <c r="G99" i="8" s="1"/>
  <c r="B99" i="8" s="1"/>
  <c r="G98" i="27"/>
  <c r="F92" i="12"/>
  <c r="H92" i="12" s="1"/>
  <c r="G94" i="12" s="1"/>
  <c r="G96" i="12" s="1"/>
  <c r="G97" i="12" s="1"/>
  <c r="G96" i="30"/>
  <c r="G87" i="30"/>
  <c r="G91" i="19"/>
  <c r="F91" i="19"/>
  <c r="H91" i="19" s="1"/>
  <c r="G93" i="19" s="1"/>
  <c r="G95" i="19" s="1"/>
  <c r="G92" i="27"/>
  <c r="G98" i="45"/>
  <c r="G91" i="21"/>
  <c r="F91" i="21"/>
  <c r="H91" i="21" s="1"/>
  <c r="G94" i="29"/>
  <c r="G85" i="29"/>
  <c r="G98" i="15"/>
  <c r="G97" i="44"/>
  <c r="G98" i="44" s="1"/>
  <c r="G85" i="20"/>
  <c r="G94" i="20"/>
  <c r="G94" i="38"/>
  <c r="G91" i="32"/>
  <c r="G92" i="44"/>
  <c r="G97" i="43"/>
  <c r="G98" i="43" s="1"/>
  <c r="F92" i="42"/>
  <c r="H92" i="42" s="1"/>
  <c r="G94" i="42" s="1"/>
  <c r="G96" i="42" s="1"/>
  <c r="F92" i="5"/>
  <c r="H92" i="5" s="1"/>
  <c r="G92" i="37"/>
  <c r="M9" i="39"/>
  <c r="L38" i="39"/>
  <c r="G98" i="13"/>
  <c r="G89" i="24"/>
  <c r="G90" i="7"/>
  <c r="N51" i="20"/>
  <c r="O50" i="20"/>
  <c r="F92" i="9"/>
  <c r="H92" i="9" s="1"/>
  <c r="G94" i="9" s="1"/>
  <c r="G96" i="9" s="1"/>
  <c r="G97" i="9" s="1"/>
  <c r="J90" i="40"/>
  <c r="J91" i="40" s="1"/>
  <c r="F88" i="40"/>
  <c r="H88" i="40" s="1"/>
  <c r="G91" i="6"/>
  <c r="G92" i="25"/>
  <c r="F92" i="25"/>
  <c r="H92" i="25" s="1"/>
  <c r="G94" i="25" s="1"/>
  <c r="G96" i="25" s="1"/>
  <c r="G89" i="34"/>
  <c r="J91" i="34"/>
  <c r="J92" i="34" s="1"/>
  <c r="F89" i="34"/>
  <c r="H89" i="34" s="1"/>
  <c r="F90" i="33"/>
  <c r="H90" i="33" s="1"/>
  <c r="G89" i="16"/>
  <c r="F89" i="16"/>
  <c r="H89" i="16" s="1"/>
  <c r="G97" i="4"/>
  <c r="G98" i="4"/>
  <c r="G100" i="4" s="1"/>
  <c r="B100" i="4" s="1"/>
  <c r="G88" i="17"/>
  <c r="G91" i="26"/>
  <c r="G98" i="2"/>
  <c r="G100" i="2" s="1"/>
  <c r="B100" i="2" s="1"/>
  <c r="G92" i="10"/>
  <c r="F92" i="10"/>
  <c r="H92" i="10" s="1"/>
  <c r="G94" i="10" s="1"/>
  <c r="G96" i="10" s="1"/>
  <c r="G94" i="5"/>
  <c r="G96" i="5" s="1"/>
  <c r="G88" i="36"/>
  <c r="G88" i="28"/>
  <c r="G93" i="31"/>
  <c r="G90" i="35"/>
  <c r="G89" i="23"/>
  <c r="G90" i="23" s="1"/>
  <c r="J92" i="18"/>
  <c r="J93" i="18" s="1"/>
  <c r="F90" i="18"/>
  <c r="H90" i="18" s="1"/>
  <c r="F92" i="14"/>
  <c r="H92" i="14" s="1"/>
  <c r="G94" i="14" s="1"/>
  <c r="G96" i="14" s="1"/>
  <c r="G92" i="15"/>
  <c r="G100" i="43" l="1"/>
  <c r="B100" i="43" s="1"/>
  <c r="E124" i="1"/>
  <c r="G124" i="1" s="1"/>
  <c r="G99" i="125"/>
  <c r="B99" i="125" s="1"/>
  <c r="E117" i="1"/>
  <c r="G117" i="1" s="1"/>
  <c r="G99" i="136"/>
  <c r="B99" i="136" s="1"/>
  <c r="E110" i="1"/>
  <c r="G110" i="1" s="1"/>
  <c r="G99" i="90"/>
  <c r="B99" i="90" s="1"/>
  <c r="E106" i="1"/>
  <c r="G106" i="1" s="1"/>
  <c r="G100" i="91"/>
  <c r="B100" i="91" s="1"/>
  <c r="E105" i="1"/>
  <c r="G105" i="1" s="1"/>
  <c r="G99" i="84"/>
  <c r="B99" i="84" s="1"/>
  <c r="E104" i="1"/>
  <c r="G104" i="1" s="1"/>
  <c r="G100" i="45"/>
  <c r="B100" i="45" s="1"/>
  <c r="E94" i="1"/>
  <c r="G94" i="1" s="1"/>
  <c r="G99" i="111"/>
  <c r="B99" i="111" s="1"/>
  <c r="E85" i="1"/>
  <c r="G85" i="1" s="1"/>
  <c r="G99" i="113"/>
  <c r="B99" i="113" s="1"/>
  <c r="E83" i="1"/>
  <c r="G83" i="1" s="1"/>
  <c r="G99" i="86"/>
  <c r="B99" i="86" s="1"/>
  <c r="E82" i="1"/>
  <c r="G82" i="1" s="1"/>
  <c r="G99" i="72"/>
  <c r="B99" i="72" s="1"/>
  <c r="E77" i="1"/>
  <c r="G77" i="1" s="1"/>
  <c r="G100" i="57"/>
  <c r="B100" i="57" s="1"/>
  <c r="E53" i="1"/>
  <c r="G53" i="1" s="1"/>
  <c r="G100" i="134"/>
  <c r="B100" i="134" s="1"/>
  <c r="E108" i="1"/>
  <c r="G108" i="1" s="1"/>
  <c r="G101" i="59"/>
  <c r="B101" i="59" s="1"/>
  <c r="E51" i="1"/>
  <c r="G51" i="1" s="1"/>
  <c r="G99" i="51"/>
  <c r="B99" i="51" s="1"/>
  <c r="E48" i="1"/>
  <c r="G48" i="1" s="1"/>
  <c r="G99" i="83"/>
  <c r="B99" i="83" s="1"/>
  <c r="E46" i="1"/>
  <c r="G46" i="1" s="1"/>
  <c r="G100" i="13"/>
  <c r="B100" i="13" s="1"/>
  <c r="E33" i="1"/>
  <c r="G33" i="1" s="1"/>
  <c r="G100" i="15"/>
  <c r="B100" i="15" s="1"/>
  <c r="E31" i="1"/>
  <c r="G31" i="1" s="1"/>
  <c r="G99" i="26"/>
  <c r="B99" i="26" s="1"/>
  <c r="E21" i="1"/>
  <c r="G21" i="1" s="1"/>
  <c r="G100" i="27"/>
  <c r="B100" i="27" s="1"/>
  <c r="E20" i="1"/>
  <c r="G20" i="1" s="1"/>
  <c r="G102" i="38"/>
  <c r="B102" i="38" s="1"/>
  <c r="E7" i="1"/>
  <c r="G7" i="1" s="1"/>
  <c r="G92" i="2"/>
  <c r="G99" i="64"/>
  <c r="B99" i="64" s="1"/>
  <c r="E149" i="1"/>
  <c r="G149" i="1" s="1"/>
  <c r="G100" i="44"/>
  <c r="B100" i="44" s="1"/>
  <c r="G125" i="1"/>
  <c r="G91" i="148"/>
  <c r="G97" i="148"/>
  <c r="G98" i="148"/>
  <c r="G100" i="148" s="1"/>
  <c r="B100" i="148" s="1"/>
  <c r="G91" i="138"/>
  <c r="G99" i="138"/>
  <c r="B99" i="138" s="1"/>
  <c r="E112" i="1"/>
  <c r="G112" i="1" s="1"/>
  <c r="G100" i="104"/>
  <c r="B100" i="104" s="1"/>
  <c r="E92" i="1"/>
  <c r="G92" i="1" s="1"/>
  <c r="G100" i="135"/>
  <c r="G97" i="141"/>
  <c r="G97" i="139"/>
  <c r="G97" i="142"/>
  <c r="G97" i="137"/>
  <c r="G91" i="139"/>
  <c r="G91" i="142"/>
  <c r="G97" i="140"/>
  <c r="G91" i="137"/>
  <c r="G94" i="135"/>
  <c r="G98" i="105"/>
  <c r="F90" i="123"/>
  <c r="H90" i="123" s="1"/>
  <c r="F92" i="110"/>
  <c r="H92" i="110" s="1"/>
  <c r="G94" i="110" s="1"/>
  <c r="G96" i="110" s="1"/>
  <c r="G92" i="110"/>
  <c r="G98" i="117"/>
  <c r="G88" i="132"/>
  <c r="G98" i="94"/>
  <c r="G91" i="118"/>
  <c r="G90" i="128"/>
  <c r="G87" i="103"/>
  <c r="G96" i="103"/>
  <c r="G92" i="105"/>
  <c r="G97" i="118"/>
  <c r="G97" i="89"/>
  <c r="F92" i="116"/>
  <c r="H92" i="116" s="1"/>
  <c r="G94" i="116" s="1"/>
  <c r="G96" i="116" s="1"/>
  <c r="G91" i="99"/>
  <c r="F91" i="99"/>
  <c r="H91" i="99" s="1"/>
  <c r="G93" i="99" s="1"/>
  <c r="G95" i="99" s="1"/>
  <c r="G98" i="101"/>
  <c r="G97" i="107"/>
  <c r="F91" i="122"/>
  <c r="H91" i="122" s="1"/>
  <c r="G93" i="122" s="1"/>
  <c r="G95" i="122" s="1"/>
  <c r="G89" i="102"/>
  <c r="G90" i="102" s="1"/>
  <c r="G92" i="98"/>
  <c r="G91" i="97"/>
  <c r="F91" i="127"/>
  <c r="H91" i="127" s="1"/>
  <c r="G93" i="127" s="1"/>
  <c r="G95" i="127" s="1"/>
  <c r="G96" i="114"/>
  <c r="G97" i="114" s="1"/>
  <c r="G99" i="114" s="1"/>
  <c r="B99" i="114" s="1"/>
  <c r="G91" i="106"/>
  <c r="G91" i="93"/>
  <c r="F91" i="93"/>
  <c r="H91" i="93" s="1"/>
  <c r="G93" i="93" s="1"/>
  <c r="G95" i="93" s="1"/>
  <c r="G96" i="93" s="1"/>
  <c r="G97" i="109"/>
  <c r="G88" i="129"/>
  <c r="G98" i="98"/>
  <c r="J90" i="119"/>
  <c r="J91" i="119" s="1"/>
  <c r="F88" i="119"/>
  <c r="H88" i="119" s="1"/>
  <c r="G91" i="109"/>
  <c r="G96" i="97"/>
  <c r="G97" i="97" s="1"/>
  <c r="G99" i="97" s="1"/>
  <c r="B99" i="97" s="1"/>
  <c r="G97" i="112"/>
  <c r="G88" i="133"/>
  <c r="G91" i="89"/>
  <c r="F89" i="120"/>
  <c r="H89" i="120" s="1"/>
  <c r="G91" i="92"/>
  <c r="F91" i="92"/>
  <c r="H91" i="92" s="1"/>
  <c r="G93" i="92" s="1"/>
  <c r="G95" i="92" s="1"/>
  <c r="F90" i="131"/>
  <c r="H90" i="131" s="1"/>
  <c r="N49" i="102"/>
  <c r="O41" i="102"/>
  <c r="G97" i="106"/>
  <c r="G91" i="77"/>
  <c r="L49" i="80"/>
  <c r="L50" i="80" s="1"/>
  <c r="M40" i="80"/>
  <c r="N49" i="67"/>
  <c r="O40" i="67"/>
  <c r="G70" i="67" s="1"/>
  <c r="G97" i="77"/>
  <c r="G90" i="76"/>
  <c r="F90" i="76"/>
  <c r="H90" i="76" s="1"/>
  <c r="F90" i="71"/>
  <c r="H90" i="71" s="1"/>
  <c r="M41" i="82"/>
  <c r="L49" i="82"/>
  <c r="L50" i="82" s="1"/>
  <c r="G97" i="78"/>
  <c r="L49" i="73"/>
  <c r="L50" i="73" s="1"/>
  <c r="M40" i="73"/>
  <c r="F91" i="74"/>
  <c r="H91" i="74" s="1"/>
  <c r="G93" i="74" s="1"/>
  <c r="G95" i="74" s="1"/>
  <c r="G96" i="74" s="1"/>
  <c r="N49" i="75"/>
  <c r="O40" i="75"/>
  <c r="G71" i="75" s="1"/>
  <c r="G91" i="78"/>
  <c r="G91" i="69"/>
  <c r="M40" i="70"/>
  <c r="L49" i="70"/>
  <c r="L50" i="70" s="1"/>
  <c r="F91" i="85"/>
  <c r="H91" i="85" s="1"/>
  <c r="G93" i="85" s="1"/>
  <c r="G95" i="85" s="1"/>
  <c r="G89" i="81"/>
  <c r="F89" i="81"/>
  <c r="H89" i="81" s="1"/>
  <c r="F92" i="66"/>
  <c r="H92" i="66" s="1"/>
  <c r="G94" i="66" s="1"/>
  <c r="G96" i="66" s="1"/>
  <c r="F90" i="82"/>
  <c r="H90" i="82" s="1"/>
  <c r="G90" i="82"/>
  <c r="G97" i="63"/>
  <c r="F91" i="62"/>
  <c r="H91" i="62" s="1"/>
  <c r="G91" i="62"/>
  <c r="F90" i="65"/>
  <c r="H90" i="65" s="1"/>
  <c r="G89" i="61"/>
  <c r="F89" i="61"/>
  <c r="H89" i="61" s="1"/>
  <c r="F90" i="49"/>
  <c r="H90" i="49" s="1"/>
  <c r="G90" i="49"/>
  <c r="G93" i="48"/>
  <c r="F93" i="48"/>
  <c r="H93" i="48" s="1"/>
  <c r="G95" i="48" s="1"/>
  <c r="G97" i="48" s="1"/>
  <c r="G89" i="47"/>
  <c r="F91" i="60"/>
  <c r="H91" i="60" s="1"/>
  <c r="G93" i="60" s="1"/>
  <c r="G95" i="60" s="1"/>
  <c r="G91" i="60"/>
  <c r="F90" i="50"/>
  <c r="H90" i="50" s="1"/>
  <c r="G90" i="50"/>
  <c r="G98" i="58"/>
  <c r="F91" i="56"/>
  <c r="H91" i="56" s="1"/>
  <c r="G93" i="56" s="1"/>
  <c r="G95" i="56" s="1"/>
  <c r="G98" i="12"/>
  <c r="G98" i="9"/>
  <c r="F91" i="7"/>
  <c r="H91" i="7" s="1"/>
  <c r="G93" i="7" s="1"/>
  <c r="G95" i="7" s="1"/>
  <c r="G91" i="7"/>
  <c r="L51" i="39"/>
  <c r="J88" i="39"/>
  <c r="F89" i="36"/>
  <c r="H89" i="36" s="1"/>
  <c r="G89" i="17"/>
  <c r="F89" i="17"/>
  <c r="H89" i="17" s="1"/>
  <c r="G90" i="33"/>
  <c r="G98" i="25"/>
  <c r="G90" i="24"/>
  <c r="F90" i="24"/>
  <c r="H90" i="24" s="1"/>
  <c r="N9" i="39"/>
  <c r="N38" i="39" s="1"/>
  <c r="M38" i="39"/>
  <c r="O9" i="39"/>
  <c r="G92" i="5"/>
  <c r="J90" i="20"/>
  <c r="J91" i="20" s="1"/>
  <c r="G88" i="20"/>
  <c r="F88" i="20"/>
  <c r="H88" i="20" s="1"/>
  <c r="J92" i="30"/>
  <c r="J93" i="30" s="1"/>
  <c r="F90" i="30"/>
  <c r="H90" i="30" s="1"/>
  <c r="G92" i="12"/>
  <c r="F89" i="28"/>
  <c r="H89" i="28" s="1"/>
  <c r="G89" i="28"/>
  <c r="G97" i="14"/>
  <c r="G98" i="14" s="1"/>
  <c r="G100" i="14" s="1"/>
  <c r="B100" i="14" s="1"/>
  <c r="G90" i="18"/>
  <c r="G97" i="5"/>
  <c r="G98" i="5" s="1"/>
  <c r="G100" i="5" s="1"/>
  <c r="B100" i="5" s="1"/>
  <c r="G88" i="40"/>
  <c r="G97" i="32"/>
  <c r="F91" i="35"/>
  <c r="H91" i="35" s="1"/>
  <c r="G93" i="35" s="1"/>
  <c r="G95" i="35" s="1"/>
  <c r="F90" i="34"/>
  <c r="H90" i="34" s="1"/>
  <c r="G98" i="42"/>
  <c r="G88" i="29"/>
  <c r="J90" i="29"/>
  <c r="J91" i="29" s="1"/>
  <c r="F88" i="29"/>
  <c r="H88" i="29" s="1"/>
  <c r="G92" i="14"/>
  <c r="G91" i="23"/>
  <c r="F91" i="23"/>
  <c r="H91" i="23" s="1"/>
  <c r="G97" i="10"/>
  <c r="G98" i="10" s="1"/>
  <c r="G90" i="16"/>
  <c r="F90" i="16"/>
  <c r="H90" i="16" s="1"/>
  <c r="F92" i="6"/>
  <c r="H92" i="6" s="1"/>
  <c r="G94" i="6" s="1"/>
  <c r="G96" i="6" s="1"/>
  <c r="G92" i="9"/>
  <c r="G93" i="37"/>
  <c r="F93" i="37"/>
  <c r="H93" i="37" s="1"/>
  <c r="G95" i="37" s="1"/>
  <c r="G97" i="37" s="1"/>
  <c r="G92" i="42"/>
  <c r="G92" i="21"/>
  <c r="F92" i="21"/>
  <c r="H92" i="21" s="1"/>
  <c r="G94" i="21" s="1"/>
  <c r="G96" i="21" s="1"/>
  <c r="G97" i="19"/>
  <c r="G90" i="123" l="1"/>
  <c r="G99" i="32"/>
  <c r="B99" i="32" s="1"/>
  <c r="E9" i="1"/>
  <c r="G9" i="1" s="1"/>
  <c r="G99" i="142"/>
  <c r="B99" i="142" s="1"/>
  <c r="E116" i="1"/>
  <c r="G116" i="1" s="1"/>
  <c r="G99" i="141"/>
  <c r="B99" i="141" s="1"/>
  <c r="E115" i="1"/>
  <c r="G115" i="1" s="1"/>
  <c r="G99" i="140"/>
  <c r="B99" i="140" s="1"/>
  <c r="E114" i="1"/>
  <c r="G114" i="1" s="1"/>
  <c r="G99" i="139"/>
  <c r="B99" i="139" s="1"/>
  <c r="E113" i="1"/>
  <c r="G113" i="1" s="1"/>
  <c r="G99" i="137"/>
  <c r="B99" i="137" s="1"/>
  <c r="E111" i="1"/>
  <c r="G111" i="1" s="1"/>
  <c r="G102" i="135"/>
  <c r="B102" i="135" s="1"/>
  <c r="E109" i="1"/>
  <c r="G109" i="1" s="1"/>
  <c r="G99" i="118"/>
  <c r="B99" i="118" s="1"/>
  <c r="E107" i="1"/>
  <c r="G107" i="1" s="1"/>
  <c r="G99" i="89"/>
  <c r="B99" i="89" s="1"/>
  <c r="E103" i="1"/>
  <c r="G103" i="1" s="1"/>
  <c r="G100" i="94"/>
  <c r="B100" i="94" s="1"/>
  <c r="E99" i="1"/>
  <c r="G99" i="1" s="1"/>
  <c r="G100" i="98"/>
  <c r="B100" i="98" s="1"/>
  <c r="E97" i="1"/>
  <c r="G97" i="1" s="1"/>
  <c r="G100" i="101"/>
  <c r="B100" i="101" s="1"/>
  <c r="E95" i="1"/>
  <c r="G95" i="1" s="1"/>
  <c r="G100" i="105"/>
  <c r="B100" i="105" s="1"/>
  <c r="E91" i="1"/>
  <c r="G91" i="1" s="1"/>
  <c r="G99" i="106"/>
  <c r="B99" i="106" s="1"/>
  <c r="E90" i="1"/>
  <c r="G90" i="1" s="1"/>
  <c r="G99" i="107"/>
  <c r="B99" i="107" s="1"/>
  <c r="E89" i="1"/>
  <c r="G89" i="1" s="1"/>
  <c r="G99" i="109"/>
  <c r="B99" i="109" s="1"/>
  <c r="E87" i="1"/>
  <c r="G87" i="1" s="1"/>
  <c r="G99" i="112"/>
  <c r="B99" i="112" s="1"/>
  <c r="E84" i="1"/>
  <c r="G84" i="1" s="1"/>
  <c r="G100" i="117"/>
  <c r="B100" i="117" s="1"/>
  <c r="E80" i="1"/>
  <c r="G80" i="1" s="1"/>
  <c r="G90" i="71"/>
  <c r="F91" i="71" s="1"/>
  <c r="H91" i="71" s="1"/>
  <c r="G93" i="71" s="1"/>
  <c r="G95" i="71" s="1"/>
  <c r="G91" i="74"/>
  <c r="G99" i="78"/>
  <c r="B99" i="78" s="1"/>
  <c r="E68" i="1"/>
  <c r="G68" i="1" s="1"/>
  <c r="G100" i="58"/>
  <c r="B100" i="58" s="1"/>
  <c r="E52" i="1"/>
  <c r="G52" i="1" s="1"/>
  <c r="G99" i="63"/>
  <c r="B99" i="63" s="1"/>
  <c r="E38" i="1"/>
  <c r="G38" i="1" s="1"/>
  <c r="G100" i="9"/>
  <c r="B100" i="9" s="1"/>
  <c r="E37" i="1"/>
  <c r="G37" i="1" s="1"/>
  <c r="G100" i="10"/>
  <c r="B100" i="10" s="1"/>
  <c r="E36" i="1"/>
  <c r="G36" i="1" s="1"/>
  <c r="G100" i="12"/>
  <c r="B100" i="12" s="1"/>
  <c r="E34" i="1"/>
  <c r="G34" i="1" s="1"/>
  <c r="G100" i="42"/>
  <c r="B100" i="42" s="1"/>
  <c r="E32" i="1"/>
  <c r="G32" i="1" s="1"/>
  <c r="G99" i="19"/>
  <c r="B99" i="19" s="1"/>
  <c r="E29" i="1"/>
  <c r="G29" i="1" s="1"/>
  <c r="G100" i="25"/>
  <c r="B100" i="25" s="1"/>
  <c r="E22" i="1"/>
  <c r="G22" i="1" s="1"/>
  <c r="G99" i="77"/>
  <c r="B99" i="77" s="1"/>
  <c r="E69" i="1"/>
  <c r="G69" i="1" s="1"/>
  <c r="G91" i="85"/>
  <c r="G96" i="92"/>
  <c r="G97" i="92" s="1"/>
  <c r="G99" i="92" s="1"/>
  <c r="B99" i="92" s="1"/>
  <c r="G88" i="119"/>
  <c r="G97" i="93"/>
  <c r="G91" i="127"/>
  <c r="G97" i="99"/>
  <c r="F91" i="128"/>
  <c r="H91" i="128" s="1"/>
  <c r="G93" i="128" s="1"/>
  <c r="G95" i="128" s="1"/>
  <c r="F89" i="132"/>
  <c r="H89" i="132" s="1"/>
  <c r="G97" i="110"/>
  <c r="G98" i="110" s="1"/>
  <c r="G100" i="110" s="1"/>
  <c r="B100" i="110" s="1"/>
  <c r="O49" i="102"/>
  <c r="N50" i="102"/>
  <c r="O50" i="102" s="1"/>
  <c r="F89" i="133"/>
  <c r="H89" i="133" s="1"/>
  <c r="G89" i="129"/>
  <c r="F89" i="129"/>
  <c r="H89" i="129" s="1"/>
  <c r="G97" i="127"/>
  <c r="G91" i="102"/>
  <c r="F91" i="102"/>
  <c r="H91" i="102" s="1"/>
  <c r="G97" i="122"/>
  <c r="G97" i="116"/>
  <c r="G98" i="116" s="1"/>
  <c r="G100" i="116" s="1"/>
  <c r="B100" i="116" s="1"/>
  <c r="G90" i="131"/>
  <c r="G89" i="120"/>
  <c r="G91" i="122"/>
  <c r="G92" i="116"/>
  <c r="J92" i="103"/>
  <c r="J93" i="103" s="1"/>
  <c r="F90" i="103"/>
  <c r="H90" i="103" s="1"/>
  <c r="G90" i="103"/>
  <c r="G92" i="66"/>
  <c r="G97" i="74"/>
  <c r="M49" i="80"/>
  <c r="M50" i="80" s="1"/>
  <c r="N40" i="80"/>
  <c r="F91" i="82"/>
  <c r="H91" i="82" s="1"/>
  <c r="G91" i="82"/>
  <c r="G98" i="66"/>
  <c r="G97" i="85"/>
  <c r="G93" i="82"/>
  <c r="G95" i="82" s="1"/>
  <c r="G92" i="69"/>
  <c r="F92" i="69"/>
  <c r="H92" i="69" s="1"/>
  <c r="G94" i="69" s="1"/>
  <c r="G96" i="69" s="1"/>
  <c r="G97" i="69" s="1"/>
  <c r="H71" i="75"/>
  <c r="H78" i="75"/>
  <c r="H84" i="75" s="1"/>
  <c r="G86" i="75" s="1"/>
  <c r="G78" i="75"/>
  <c r="N40" i="73"/>
  <c r="M49" i="73"/>
  <c r="M50" i="73" s="1"/>
  <c r="H70" i="67"/>
  <c r="H77" i="67"/>
  <c r="H83" i="67" s="1"/>
  <c r="G85" i="67" s="1"/>
  <c r="G77" i="67"/>
  <c r="F90" i="81"/>
  <c r="H90" i="81" s="1"/>
  <c r="N40" i="70"/>
  <c r="M49" i="70"/>
  <c r="M50" i="70" s="1"/>
  <c r="O49" i="75"/>
  <c r="N50" i="75"/>
  <c r="N41" i="82"/>
  <c r="M49" i="82"/>
  <c r="M50" i="82" s="1"/>
  <c r="Q51" i="82" s="1"/>
  <c r="F91" i="76"/>
  <c r="H91" i="76" s="1"/>
  <c r="G93" i="76" s="1"/>
  <c r="G95" i="76" s="1"/>
  <c r="O49" i="67"/>
  <c r="N50" i="67"/>
  <c r="O50" i="67" s="1"/>
  <c r="G91" i="49"/>
  <c r="F91" i="49"/>
  <c r="H91" i="49" s="1"/>
  <c r="G97" i="56"/>
  <c r="F92" i="62"/>
  <c r="H92" i="62" s="1"/>
  <c r="G94" i="62" s="1"/>
  <c r="G96" i="62" s="1"/>
  <c r="F90" i="61"/>
  <c r="H90" i="61" s="1"/>
  <c r="F91" i="50"/>
  <c r="H91" i="50" s="1"/>
  <c r="G93" i="50" s="1"/>
  <c r="G95" i="50" s="1"/>
  <c r="F90" i="47"/>
  <c r="H90" i="47" s="1"/>
  <c r="G91" i="56"/>
  <c r="G97" i="60"/>
  <c r="G99" i="48"/>
  <c r="G90" i="65"/>
  <c r="G97" i="35"/>
  <c r="N51" i="39"/>
  <c r="O38" i="39"/>
  <c r="G54" i="39" s="1"/>
  <c r="G60" i="39" s="1"/>
  <c r="G65" i="39" s="1"/>
  <c r="G86" i="39" s="1"/>
  <c r="G91" i="16"/>
  <c r="F91" i="16"/>
  <c r="H91" i="16" s="1"/>
  <c r="F92" i="23"/>
  <c r="H92" i="23" s="1"/>
  <c r="F89" i="29"/>
  <c r="H89" i="29" s="1"/>
  <c r="F89" i="40"/>
  <c r="H89" i="40" s="1"/>
  <c r="F90" i="28"/>
  <c r="H90" i="28" s="1"/>
  <c r="F89" i="20"/>
  <c r="H89" i="20" s="1"/>
  <c r="M51" i="39"/>
  <c r="J89" i="39"/>
  <c r="F90" i="17"/>
  <c r="H90" i="17" s="1"/>
  <c r="G97" i="6"/>
  <c r="G98" i="6"/>
  <c r="G100" i="6" s="1"/>
  <c r="B100" i="6" s="1"/>
  <c r="G99" i="37"/>
  <c r="G92" i="6"/>
  <c r="G91" i="35"/>
  <c r="G90" i="30"/>
  <c r="F91" i="33"/>
  <c r="H91" i="33" s="1"/>
  <c r="G89" i="36"/>
  <c r="G96" i="7"/>
  <c r="G97" i="7" s="1"/>
  <c r="G99" i="7" s="1"/>
  <c r="B99" i="7" s="1"/>
  <c r="F91" i="18"/>
  <c r="H91" i="18" s="1"/>
  <c r="G98" i="21"/>
  <c r="G93" i="16"/>
  <c r="G95" i="16" s="1"/>
  <c r="G94" i="23"/>
  <c r="G96" i="23" s="1"/>
  <c r="G90" i="34"/>
  <c r="F91" i="24"/>
  <c r="H91" i="24" s="1"/>
  <c r="G93" i="24" s="1"/>
  <c r="G95" i="24" s="1"/>
  <c r="J90" i="39"/>
  <c r="F91" i="123" l="1"/>
  <c r="H91" i="123" s="1"/>
  <c r="G93" i="123" s="1"/>
  <c r="G95" i="123" s="1"/>
  <c r="G96" i="123" s="1"/>
  <c r="G89" i="29"/>
  <c r="F90" i="29" s="1"/>
  <c r="G101" i="37"/>
  <c r="B101" i="37" s="1"/>
  <c r="E8" i="1"/>
  <c r="G8" i="1" s="1"/>
  <c r="G99" i="93"/>
  <c r="B99" i="93" s="1"/>
  <c r="E100" i="1"/>
  <c r="G100" i="1" s="1"/>
  <c r="G99" i="99"/>
  <c r="B99" i="99" s="1"/>
  <c r="E96" i="1"/>
  <c r="G96" i="1" s="1"/>
  <c r="G100" i="66"/>
  <c r="B100" i="66" s="1"/>
  <c r="E71" i="1"/>
  <c r="G71" i="1" s="1"/>
  <c r="G99" i="74"/>
  <c r="B99" i="74" s="1"/>
  <c r="E70" i="1"/>
  <c r="G70" i="1" s="1"/>
  <c r="G101" i="48"/>
  <c r="B101" i="48" s="1"/>
  <c r="E62" i="1"/>
  <c r="G62" i="1" s="1"/>
  <c r="G99" i="56"/>
  <c r="B99" i="56" s="1"/>
  <c r="E54" i="1"/>
  <c r="G54" i="1" s="1"/>
  <c r="G99" i="60"/>
  <c r="B99" i="60" s="1"/>
  <c r="E50" i="1"/>
  <c r="G50" i="1" s="1"/>
  <c r="G100" i="21"/>
  <c r="B100" i="21" s="1"/>
  <c r="E26" i="1"/>
  <c r="G26" i="1" s="1"/>
  <c r="G99" i="122"/>
  <c r="B99" i="122" s="1"/>
  <c r="E18" i="1"/>
  <c r="G18" i="1" s="1"/>
  <c r="G99" i="35"/>
  <c r="B99" i="35" s="1"/>
  <c r="E10" i="1"/>
  <c r="G10" i="1" s="1"/>
  <c r="G99" i="127"/>
  <c r="B99" i="127" s="1"/>
  <c r="E5" i="1"/>
  <c r="G5" i="1" s="1"/>
  <c r="G89" i="132"/>
  <c r="F90" i="132" s="1"/>
  <c r="H90" i="132" s="1"/>
  <c r="G99" i="85"/>
  <c r="B99" i="85" s="1"/>
  <c r="E122" i="1"/>
  <c r="G122" i="1" s="1"/>
  <c r="G90" i="61"/>
  <c r="F91" i="131"/>
  <c r="H91" i="131" s="1"/>
  <c r="G93" i="131" s="1"/>
  <c r="G95" i="131" s="1"/>
  <c r="F89" i="119"/>
  <c r="H89" i="119" s="1"/>
  <c r="G89" i="119"/>
  <c r="G89" i="133"/>
  <c r="G97" i="128"/>
  <c r="G91" i="103"/>
  <c r="F91" i="103"/>
  <c r="H91" i="103" s="1"/>
  <c r="F90" i="120"/>
  <c r="H90" i="120" s="1"/>
  <c r="G91" i="128"/>
  <c r="G92" i="102"/>
  <c r="F92" i="102"/>
  <c r="H92" i="102" s="1"/>
  <c r="G94" i="102" s="1"/>
  <c r="G96" i="102" s="1"/>
  <c r="F90" i="129"/>
  <c r="H90" i="129" s="1"/>
  <c r="G90" i="129"/>
  <c r="G97" i="76"/>
  <c r="G96" i="71"/>
  <c r="G97" i="71" s="1"/>
  <c r="G91" i="76"/>
  <c r="G90" i="81"/>
  <c r="N49" i="73"/>
  <c r="O40" i="73"/>
  <c r="G70" i="73" s="1"/>
  <c r="G98" i="69"/>
  <c r="G91" i="71"/>
  <c r="J90" i="67"/>
  <c r="J91" i="67" s="1"/>
  <c r="F88" i="67"/>
  <c r="H88" i="67" s="1"/>
  <c r="N49" i="82"/>
  <c r="O41" i="82"/>
  <c r="N49" i="70"/>
  <c r="O40" i="70"/>
  <c r="G70" i="70" s="1"/>
  <c r="J91" i="75"/>
  <c r="F89" i="75"/>
  <c r="H89" i="75" s="1"/>
  <c r="G96" i="82"/>
  <c r="G97" i="82" s="1"/>
  <c r="G99" i="82" s="1"/>
  <c r="B99" i="82" s="1"/>
  <c r="N49" i="80"/>
  <c r="O40" i="80"/>
  <c r="G70" i="80" s="1"/>
  <c r="G98" i="62"/>
  <c r="G97" i="50"/>
  <c r="F92" i="49"/>
  <c r="H92" i="49" s="1"/>
  <c r="G94" i="49" s="1"/>
  <c r="G96" i="49" s="1"/>
  <c r="G90" i="47"/>
  <c r="F91" i="61"/>
  <c r="H91" i="61" s="1"/>
  <c r="G93" i="61" s="1"/>
  <c r="G95" i="61" s="1"/>
  <c r="G91" i="65"/>
  <c r="F91" i="65"/>
  <c r="H91" i="65" s="1"/>
  <c r="G93" i="65" s="1"/>
  <c r="G95" i="65" s="1"/>
  <c r="G91" i="50"/>
  <c r="G92" i="62"/>
  <c r="G97" i="24"/>
  <c r="G98" i="23"/>
  <c r="G96" i="16"/>
  <c r="G97" i="16" s="1"/>
  <c r="G99" i="16" s="1"/>
  <c r="B99" i="16" s="1"/>
  <c r="G91" i="18"/>
  <c r="G90" i="17"/>
  <c r="G89" i="20"/>
  <c r="F91" i="30"/>
  <c r="H91" i="30" s="1"/>
  <c r="G91" i="33"/>
  <c r="G89" i="40"/>
  <c r="G92" i="23"/>
  <c r="G95" i="39"/>
  <c r="G89" i="39"/>
  <c r="J91" i="39"/>
  <c r="J92" i="39" s="1"/>
  <c r="F89" i="39"/>
  <c r="H89" i="39" s="1"/>
  <c r="F90" i="36"/>
  <c r="H90" i="36" s="1"/>
  <c r="G90" i="36"/>
  <c r="G91" i="24"/>
  <c r="F91" i="34"/>
  <c r="H91" i="34" s="1"/>
  <c r="G91" i="34"/>
  <c r="G90" i="28"/>
  <c r="O51" i="39"/>
  <c r="G97" i="123" l="1"/>
  <c r="G99" i="123" s="1"/>
  <c r="B99" i="123" s="1"/>
  <c r="G91" i="123"/>
  <c r="H90" i="29"/>
  <c r="G90" i="29"/>
  <c r="G99" i="128"/>
  <c r="B99" i="128" s="1"/>
  <c r="E119" i="1"/>
  <c r="G119" i="1" s="1"/>
  <c r="G99" i="71"/>
  <c r="B99" i="71" s="1"/>
  <c r="E78" i="1"/>
  <c r="G78" i="1" s="1"/>
  <c r="G99" i="76"/>
  <c r="B99" i="76" s="1"/>
  <c r="E74" i="1"/>
  <c r="G74" i="1" s="1"/>
  <c r="G100" i="69"/>
  <c r="B100" i="69" s="1"/>
  <c r="E73" i="1"/>
  <c r="G73" i="1" s="1"/>
  <c r="G99" i="50"/>
  <c r="B99" i="50" s="1"/>
  <c r="E60" i="1"/>
  <c r="G60" i="1" s="1"/>
  <c r="G100" i="62"/>
  <c r="B100" i="62" s="1"/>
  <c r="E49" i="1"/>
  <c r="G49" i="1" s="1"/>
  <c r="G100" i="23"/>
  <c r="B100" i="23" s="1"/>
  <c r="E24" i="1"/>
  <c r="G24" i="1" s="1"/>
  <c r="G99" i="24"/>
  <c r="B99" i="24" s="1"/>
  <c r="E23" i="1"/>
  <c r="G23" i="1" s="1"/>
  <c r="G93" i="129"/>
  <c r="G95" i="129" s="1"/>
  <c r="G97" i="102"/>
  <c r="G98" i="102" s="1"/>
  <c r="G100" i="102" s="1"/>
  <c r="B100" i="102" s="1"/>
  <c r="G92" i="103"/>
  <c r="F92" i="103"/>
  <c r="H92" i="103" s="1"/>
  <c r="F91" i="129"/>
  <c r="H91" i="129" s="1"/>
  <c r="G90" i="120"/>
  <c r="G96" i="131"/>
  <c r="G97" i="131" s="1"/>
  <c r="G99" i="131" s="1"/>
  <c r="B99" i="131" s="1"/>
  <c r="F90" i="119"/>
  <c r="H90" i="119" s="1"/>
  <c r="G90" i="119"/>
  <c r="G91" i="131"/>
  <c r="G90" i="132"/>
  <c r="F90" i="133"/>
  <c r="H90" i="133" s="1"/>
  <c r="G89" i="75"/>
  <c r="H70" i="73"/>
  <c r="G77" i="73"/>
  <c r="H77" i="73"/>
  <c r="H83" i="73" s="1"/>
  <c r="G85" i="73" s="1"/>
  <c r="H70" i="80"/>
  <c r="G77" i="80"/>
  <c r="H77" i="80"/>
  <c r="H83" i="80" s="1"/>
  <c r="G85" i="80" s="1"/>
  <c r="N50" i="82"/>
  <c r="O50" i="82" s="1"/>
  <c r="O49" i="82"/>
  <c r="O49" i="73"/>
  <c r="N50" i="73"/>
  <c r="O50" i="73" s="1"/>
  <c r="N50" i="80"/>
  <c r="O50" i="80" s="1"/>
  <c r="O49" i="80"/>
  <c r="L91" i="75"/>
  <c r="J92" i="75"/>
  <c r="H70" i="70"/>
  <c r="H77" i="70"/>
  <c r="H83" i="70" s="1"/>
  <c r="G85" i="70" s="1"/>
  <c r="G77" i="70"/>
  <c r="G91" i="81"/>
  <c r="F91" i="81"/>
  <c r="H91" i="81" s="1"/>
  <c r="G93" i="81" s="1"/>
  <c r="G95" i="81" s="1"/>
  <c r="N50" i="70"/>
  <c r="O50" i="70" s="1"/>
  <c r="O49" i="70"/>
  <c r="G88" i="67"/>
  <c r="G96" i="61"/>
  <c r="G97" i="61" s="1"/>
  <c r="F91" i="47"/>
  <c r="H91" i="47" s="1"/>
  <c r="G93" i="47" s="1"/>
  <c r="G95" i="47" s="1"/>
  <c r="G91" i="47"/>
  <c r="G98" i="49"/>
  <c r="G91" i="61"/>
  <c r="G92" i="49"/>
  <c r="G97" i="65"/>
  <c r="F91" i="36"/>
  <c r="H91" i="36" s="1"/>
  <c r="F92" i="33"/>
  <c r="H92" i="33" s="1"/>
  <c r="G94" i="33" s="1"/>
  <c r="G96" i="33" s="1"/>
  <c r="F92" i="18"/>
  <c r="H92" i="18" s="1"/>
  <c r="F91" i="29"/>
  <c r="H91" i="29" s="1"/>
  <c r="G93" i="29" s="1"/>
  <c r="G95" i="29" s="1"/>
  <c r="G96" i="29" s="1"/>
  <c r="G93" i="36"/>
  <c r="G95" i="36" s="1"/>
  <c r="G90" i="20"/>
  <c r="F90" i="20"/>
  <c r="H90" i="20" s="1"/>
  <c r="G91" i="30"/>
  <c r="F91" i="17"/>
  <c r="H91" i="17" s="1"/>
  <c r="G93" i="17" s="1"/>
  <c r="G95" i="17" s="1"/>
  <c r="F92" i="34"/>
  <c r="H92" i="34" s="1"/>
  <c r="G94" i="34" s="1"/>
  <c r="G96" i="34" s="1"/>
  <c r="G92" i="34"/>
  <c r="G90" i="39"/>
  <c r="F90" i="39"/>
  <c r="H90" i="39" s="1"/>
  <c r="F91" i="28"/>
  <c r="H91" i="28" s="1"/>
  <c r="G93" i="28" s="1"/>
  <c r="G95" i="28" s="1"/>
  <c r="G91" i="28"/>
  <c r="F90" i="40"/>
  <c r="H90" i="40" s="1"/>
  <c r="E88" i="1" l="1"/>
  <c r="G88" i="1" s="1"/>
  <c r="G90" i="40"/>
  <c r="F91" i="40" s="1"/>
  <c r="G100" i="49"/>
  <c r="B100" i="49" s="1"/>
  <c r="E61" i="1"/>
  <c r="G61" i="1" s="1"/>
  <c r="G99" i="65"/>
  <c r="B99" i="65" s="1"/>
  <c r="E47" i="1"/>
  <c r="G47" i="1" s="1"/>
  <c r="G99" i="61"/>
  <c r="B99" i="61" s="1"/>
  <c r="E137" i="1"/>
  <c r="G137" i="1" s="1"/>
  <c r="F91" i="132"/>
  <c r="H91" i="132" s="1"/>
  <c r="G93" i="132" s="1"/>
  <c r="G95" i="132" s="1"/>
  <c r="F91" i="120"/>
  <c r="H91" i="120" s="1"/>
  <c r="G93" i="120" s="1"/>
  <c r="G95" i="120" s="1"/>
  <c r="G97" i="129"/>
  <c r="F91" i="119"/>
  <c r="H91" i="119" s="1"/>
  <c r="G93" i="119" s="1"/>
  <c r="G95" i="119" s="1"/>
  <c r="G91" i="119"/>
  <c r="G91" i="129"/>
  <c r="G90" i="133"/>
  <c r="G95" i="103"/>
  <c r="G97" i="103" s="1"/>
  <c r="F93" i="103"/>
  <c r="H93" i="103" s="1"/>
  <c r="F89" i="67"/>
  <c r="H89" i="67" s="1"/>
  <c r="J90" i="73"/>
  <c r="J91" i="73" s="1"/>
  <c r="F88" i="73"/>
  <c r="H88" i="73" s="1"/>
  <c r="J90" i="80"/>
  <c r="J91" i="80" s="1"/>
  <c r="F88" i="80"/>
  <c r="H88" i="80" s="1"/>
  <c r="G97" i="81"/>
  <c r="F88" i="70"/>
  <c r="H88" i="70" s="1"/>
  <c r="J90" i="70"/>
  <c r="J91" i="70" s="1"/>
  <c r="G90" i="75"/>
  <c r="F90" i="75"/>
  <c r="H90" i="75" s="1"/>
  <c r="G97" i="47"/>
  <c r="G97" i="29"/>
  <c r="G98" i="34"/>
  <c r="F91" i="39"/>
  <c r="H91" i="39" s="1"/>
  <c r="G91" i="20"/>
  <c r="F91" i="20"/>
  <c r="H91" i="20" s="1"/>
  <c r="F92" i="30"/>
  <c r="H92" i="30" s="1"/>
  <c r="G91" i="29"/>
  <c r="G92" i="33"/>
  <c r="G97" i="17"/>
  <c r="G99" i="17" s="1"/>
  <c r="B99" i="17" s="1"/>
  <c r="G96" i="17"/>
  <c r="G98" i="33"/>
  <c r="G96" i="28"/>
  <c r="G97" i="28" s="1"/>
  <c r="G99" i="28" s="1"/>
  <c r="B99" i="28" s="1"/>
  <c r="G97" i="36"/>
  <c r="G99" i="36" s="1"/>
  <c r="B99" i="36" s="1"/>
  <c r="G96" i="36"/>
  <c r="G91" i="17"/>
  <c r="G93" i="20"/>
  <c r="G95" i="20" s="1"/>
  <c r="G92" i="18"/>
  <c r="G91" i="36"/>
  <c r="H91" i="40" l="1"/>
  <c r="G93" i="40" s="1"/>
  <c r="G95" i="40" s="1"/>
  <c r="G96" i="40" s="1"/>
  <c r="G97" i="40" s="1"/>
  <c r="G91" i="40"/>
  <c r="G99" i="81"/>
  <c r="B99" i="81" s="1"/>
  <c r="E65" i="1"/>
  <c r="G65" i="1" s="1"/>
  <c r="G99" i="47"/>
  <c r="B99" i="47" s="1"/>
  <c r="E59" i="1"/>
  <c r="G59" i="1" s="1"/>
  <c r="G99" i="129"/>
  <c r="B99" i="129" s="1"/>
  <c r="E19" i="1"/>
  <c r="G19" i="1" s="1"/>
  <c r="G99" i="29"/>
  <c r="B99" i="29" s="1"/>
  <c r="E14" i="1"/>
  <c r="G14" i="1" s="1"/>
  <c r="G100" i="33"/>
  <c r="B100" i="33" s="1"/>
  <c r="E12" i="1"/>
  <c r="G12" i="1" s="1"/>
  <c r="G100" i="34"/>
  <c r="B100" i="34" s="1"/>
  <c r="E11" i="1"/>
  <c r="G11" i="1" s="1"/>
  <c r="G91" i="132"/>
  <c r="G99" i="103"/>
  <c r="G96" i="132"/>
  <c r="G97" i="132" s="1"/>
  <c r="F91" i="133"/>
  <c r="H91" i="133" s="1"/>
  <c r="G93" i="133" s="1"/>
  <c r="G95" i="133" s="1"/>
  <c r="G97" i="119"/>
  <c r="G97" i="120"/>
  <c r="G93" i="103"/>
  <c r="G91" i="120"/>
  <c r="G88" i="80"/>
  <c r="F91" i="75"/>
  <c r="H91" i="75" s="1"/>
  <c r="G88" i="70"/>
  <c r="G88" i="73"/>
  <c r="G89" i="67"/>
  <c r="F93" i="18"/>
  <c r="H93" i="18" s="1"/>
  <c r="G95" i="18" s="1"/>
  <c r="G97" i="18" s="1"/>
  <c r="G92" i="30"/>
  <c r="G91" i="39"/>
  <c r="G97" i="20"/>
  <c r="G99" i="40" l="1"/>
  <c r="B99" i="40" s="1"/>
  <c r="E6" i="1"/>
  <c r="G6" i="1" s="1"/>
  <c r="G101" i="103"/>
  <c r="B101" i="103" s="1"/>
  <c r="E93" i="1"/>
  <c r="G93" i="1" s="1"/>
  <c r="G99" i="20"/>
  <c r="B99" i="20" s="1"/>
  <c r="E28" i="1"/>
  <c r="G28" i="1" s="1"/>
  <c r="G99" i="119"/>
  <c r="B99" i="119" s="1"/>
  <c r="E16" i="1"/>
  <c r="G16" i="1" s="1"/>
  <c r="E15" i="1"/>
  <c r="G15" i="1" s="1"/>
  <c r="G99" i="120"/>
  <c r="B99" i="120" s="1"/>
  <c r="G99" i="132"/>
  <c r="B99" i="132" s="1"/>
  <c r="E120" i="1"/>
  <c r="G120" i="1" s="1"/>
  <c r="G96" i="133"/>
  <c r="G97" i="133"/>
  <c r="G99" i="133" s="1"/>
  <c r="B99" i="133" s="1"/>
  <c r="G91" i="133"/>
  <c r="F90" i="67"/>
  <c r="H90" i="67" s="1"/>
  <c r="G90" i="67"/>
  <c r="F89" i="70"/>
  <c r="H89" i="70" s="1"/>
  <c r="F89" i="73"/>
  <c r="H89" i="73" s="1"/>
  <c r="G91" i="75"/>
  <c r="F89" i="80"/>
  <c r="H89" i="80" s="1"/>
  <c r="F92" i="39"/>
  <c r="H92" i="39" s="1"/>
  <c r="G94" i="39" s="1"/>
  <c r="G96" i="39" s="1"/>
  <c r="G99" i="18"/>
  <c r="G93" i="18"/>
  <c r="F93" i="30"/>
  <c r="H93" i="30" s="1"/>
  <c r="G95" i="30" s="1"/>
  <c r="G97" i="30" s="1"/>
  <c r="G89" i="70" l="1"/>
  <c r="G101" i="18"/>
  <c r="B101" i="18" s="1"/>
  <c r="E30" i="1"/>
  <c r="G30" i="1" s="1"/>
  <c r="G90" i="70"/>
  <c r="F90" i="70"/>
  <c r="H90" i="70" s="1"/>
  <c r="G89" i="80"/>
  <c r="G89" i="73"/>
  <c r="F91" i="67"/>
  <c r="H91" i="67" s="1"/>
  <c r="G93" i="67" s="1"/>
  <c r="G95" i="67" s="1"/>
  <c r="G96" i="67" s="1"/>
  <c r="G91" i="67"/>
  <c r="G92" i="75"/>
  <c r="F92" i="75"/>
  <c r="H92" i="75" s="1"/>
  <c r="G94" i="75" s="1"/>
  <c r="G96" i="75" s="1"/>
  <c r="G97" i="39"/>
  <c r="G98" i="39" s="1"/>
  <c r="G100" i="39" s="1"/>
  <c r="B100" i="39" s="1"/>
  <c r="G99" i="30"/>
  <c r="G93" i="30"/>
  <c r="G92" i="39"/>
  <c r="G101" i="30" l="1"/>
  <c r="B101" i="30" s="1"/>
  <c r="E17" i="1"/>
  <c r="G17" i="1" s="1"/>
  <c r="G97" i="67"/>
  <c r="F91" i="70"/>
  <c r="H91" i="70" s="1"/>
  <c r="G93" i="70" s="1"/>
  <c r="G95" i="70" s="1"/>
  <c r="F90" i="73"/>
  <c r="H90" i="73" s="1"/>
  <c r="G90" i="80"/>
  <c r="F90" i="80"/>
  <c r="H90" i="80" s="1"/>
  <c r="G98" i="75"/>
  <c r="G99" i="67" l="1"/>
  <c r="B99" i="67" s="1"/>
  <c r="E72" i="1"/>
  <c r="G72" i="1" s="1"/>
  <c r="G100" i="75"/>
  <c r="B100" i="75" s="1"/>
  <c r="E64" i="1"/>
  <c r="G64" i="1" s="1"/>
  <c r="G97" i="70"/>
  <c r="G91" i="70"/>
  <c r="F91" i="80"/>
  <c r="H91" i="80" s="1"/>
  <c r="G93" i="80" s="1"/>
  <c r="G95" i="80" s="1"/>
  <c r="G90" i="73"/>
  <c r="G99" i="70" l="1"/>
  <c r="B99" i="70" s="1"/>
  <c r="E79" i="1"/>
  <c r="G79" i="1" s="1"/>
  <c r="G97" i="80"/>
  <c r="G99" i="80" s="1"/>
  <c r="B99" i="80" s="1"/>
  <c r="G96" i="80"/>
  <c r="F91" i="73"/>
  <c r="H91" i="73" s="1"/>
  <c r="G93" i="73" s="1"/>
  <c r="G95" i="73" s="1"/>
  <c r="G91" i="73"/>
  <c r="G91" i="80"/>
  <c r="G97" i="73" l="1"/>
  <c r="A4" i="1"/>
  <c r="A5" i="1" s="1"/>
  <c r="A6" i="1" s="1"/>
  <c r="A7" i="1" s="1"/>
  <c r="A8" i="1" s="1"/>
  <c r="A9" i="1" s="1"/>
  <c r="A10" i="1" s="1"/>
  <c r="A11" i="1" s="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31" i="1" s="1"/>
  <c r="A132" i="1" s="1"/>
  <c r="A133" i="1" s="1"/>
  <c r="A134" i="1" s="1"/>
  <c r="A135" i="1" s="1"/>
  <c r="A136" i="1" s="1"/>
  <c r="A137" i="1" s="1"/>
  <c r="A138" i="1" s="1"/>
  <c r="A139" i="1" s="1"/>
  <c r="A140" i="1" s="1"/>
  <c r="A141" i="1" s="1"/>
  <c r="A142" i="1" s="1"/>
  <c r="A143" i="1" s="1"/>
  <c r="A144" i="1" s="1"/>
  <c r="A145" i="1" s="1"/>
  <c r="A146" i="1" s="1"/>
  <c r="A147" i="1" s="1"/>
  <c r="A148" i="1" s="1"/>
  <c r="A149" i="1" s="1"/>
  <c r="G99" i="73" l="1"/>
  <c r="B99" i="73" s="1"/>
  <c r="E76" i="1"/>
  <c r="G76" i="1" s="1"/>
</calcChain>
</file>

<file path=xl/comments1.xml><?xml version="1.0" encoding="utf-8"?>
<comments xmlns="http://schemas.openxmlformats.org/spreadsheetml/2006/main">
  <authors>
    <author>accounts</author>
  </authors>
  <commentList>
    <comment ref="J63" authorId="0" shapeId="0">
      <text>
        <r>
          <rPr>
            <b/>
            <sz val="8"/>
            <color indexed="81"/>
            <rFont val="Tahoma"/>
            <family val="2"/>
          </rPr>
          <t>RECHECKED ON 10/12/13</t>
        </r>
        <r>
          <rPr>
            <sz val="8"/>
            <color indexed="81"/>
            <rFont val="Tahoma"/>
            <family val="2"/>
          </rPr>
          <t xml:space="preserve">
</t>
        </r>
      </text>
    </comment>
  </commentList>
</comments>
</file>

<file path=xl/comments2.xml><?xml version="1.0" encoding="utf-8"?>
<comments xmlns="http://schemas.openxmlformats.org/spreadsheetml/2006/main">
  <authors>
    <author>dahibawkar</author>
    <author>accounts</author>
  </authors>
  <commentList>
    <comment ref="J63" authorId="0" shapeId="0">
      <text>
        <r>
          <rPr>
            <b/>
            <sz val="8"/>
            <color indexed="81"/>
            <rFont val="Tahoma"/>
            <family val="2"/>
          </rPr>
          <t>PROPERTY IS LET OUT AND FROM NOV-13 HOME LOAN SHIFTED TO SARASWAT CO-OP BANK LTD</t>
        </r>
      </text>
    </comment>
    <comment ref="O65" authorId="1" shapeId="0">
      <text>
        <r>
          <rPr>
            <b/>
            <sz val="8"/>
            <color indexed="81"/>
            <rFont val="Tahoma"/>
            <family val="2"/>
          </rPr>
          <t>MAX DEDUCTION ALLOWED UPTO 1.50LACS</t>
        </r>
        <r>
          <rPr>
            <sz val="8"/>
            <color indexed="81"/>
            <rFont val="Tahoma"/>
            <family val="2"/>
          </rPr>
          <t xml:space="preserve">
</t>
        </r>
      </text>
    </comment>
    <comment ref="J66" authorId="0" shapeId="0">
      <text>
        <r>
          <rPr>
            <sz val="8"/>
            <color indexed="81"/>
            <rFont val="Tahoma"/>
            <family val="2"/>
          </rPr>
          <t xml:space="preserve">SHIFTED TO SARASWAT CO-OP BANK FROM 30.11.13
</t>
        </r>
      </text>
    </comment>
    <comment ref="O69" authorId="1" shapeId="0">
      <text>
        <r>
          <rPr>
            <b/>
            <sz val="8"/>
            <color indexed="81"/>
            <rFont val="Tahoma"/>
            <family val="2"/>
          </rPr>
          <t>CHECKED ON 10.12.13</t>
        </r>
      </text>
    </comment>
    <comment ref="O70" authorId="1" shapeId="0">
      <text>
        <r>
          <rPr>
            <b/>
            <sz val="8"/>
            <color indexed="81"/>
            <rFont val="Tahoma"/>
            <family val="2"/>
          </rPr>
          <t>CHECKED ON 10.12.13</t>
        </r>
      </text>
    </comment>
    <comment ref="O71" authorId="1" shapeId="0">
      <text>
        <r>
          <rPr>
            <b/>
            <sz val="8"/>
            <color indexed="81"/>
            <rFont val="Tahoma"/>
            <family val="2"/>
          </rPr>
          <t>CHECKED ON 10.12.13</t>
        </r>
      </text>
    </comment>
    <comment ref="R83" authorId="0" shapeId="0">
      <text>
        <r>
          <rPr>
            <sz val="8"/>
            <color indexed="81"/>
            <rFont val="Tahoma"/>
            <family val="2"/>
          </rPr>
          <t xml:space="preserve">RCPT RECD ON 14.02.14
</t>
        </r>
      </text>
    </comment>
  </commentList>
</comments>
</file>

<file path=xl/comments3.xml><?xml version="1.0" encoding="utf-8"?>
<comments xmlns="http://schemas.openxmlformats.org/spreadsheetml/2006/main">
  <authors>
    <author>accounts</author>
  </authors>
  <commentList>
    <comment ref="O68" authorId="0" shapeId="0">
      <text>
        <r>
          <rPr>
            <b/>
            <sz val="8"/>
            <color indexed="81"/>
            <rFont val="Tahoma"/>
            <family val="2"/>
          </rPr>
          <t>IT IS AN OPEN ENDED EQUITY LINKED SAVINGS SCHEME QUALIFYING FOR SEC. 80C</t>
        </r>
        <r>
          <rPr>
            <sz val="8"/>
            <color indexed="81"/>
            <rFont val="Tahoma"/>
            <family val="2"/>
          </rPr>
          <t xml:space="preserve">
</t>
        </r>
      </text>
    </comment>
  </commentList>
</comments>
</file>

<file path=xl/comments4.xml><?xml version="1.0" encoding="utf-8"?>
<comments xmlns="http://schemas.openxmlformats.org/spreadsheetml/2006/main">
  <authors>
    <author>dahibawkar</author>
  </authors>
  <commentList>
    <comment ref="J70" authorId="0" shapeId="0">
      <text>
        <r>
          <rPr>
            <b/>
            <sz val="8"/>
            <color indexed="81"/>
            <rFont val="Tahoma"/>
            <family val="2"/>
          </rPr>
          <t>CHECKED ON 14.2.14</t>
        </r>
      </text>
    </comment>
  </commentList>
</comments>
</file>

<file path=xl/comments5.xml><?xml version="1.0" encoding="utf-8"?>
<comments xmlns="http://schemas.openxmlformats.org/spreadsheetml/2006/main">
  <authors>
    <author>dahibawkar</author>
  </authors>
  <commentList>
    <comment ref="J70" authorId="0" shapeId="0">
      <text>
        <r>
          <rPr>
            <b/>
            <sz val="8"/>
            <color indexed="81"/>
            <rFont val="Tahoma"/>
            <family val="2"/>
          </rPr>
          <t>CHECKED ON 14.2.14</t>
        </r>
      </text>
    </comment>
  </commentList>
</comments>
</file>

<file path=xl/comments6.xml><?xml version="1.0" encoding="utf-8"?>
<comments xmlns="http://schemas.openxmlformats.org/spreadsheetml/2006/main">
  <authors>
    <author>accounts</author>
    <author>dahibawkar</author>
  </authors>
  <commentList>
    <comment ref="J65" authorId="0" shapeId="0">
      <text>
        <r>
          <rPr>
            <b/>
            <sz val="8"/>
            <color indexed="81"/>
            <rFont val="Tahoma"/>
            <family val="2"/>
          </rPr>
          <t>checked on 11.12.13</t>
        </r>
        <r>
          <rPr>
            <sz val="8"/>
            <color indexed="81"/>
            <rFont val="Tahoma"/>
            <family val="2"/>
          </rPr>
          <t xml:space="preserve">
</t>
        </r>
      </text>
    </comment>
    <comment ref="O71" authorId="1" shapeId="0">
      <text>
        <r>
          <rPr>
            <b/>
            <sz val="8"/>
            <color indexed="81"/>
            <rFont val="Tahoma"/>
            <family val="2"/>
          </rPr>
          <t>CHECKED ON 13.01.14</t>
        </r>
        <r>
          <rPr>
            <sz val="8"/>
            <color indexed="81"/>
            <rFont val="Tahoma"/>
            <family val="2"/>
          </rPr>
          <t xml:space="preserve">
</t>
        </r>
      </text>
    </comment>
    <comment ref="O72" authorId="0" shapeId="0">
      <text>
        <r>
          <rPr>
            <sz val="8"/>
            <color indexed="81"/>
            <rFont val="Tahoma"/>
            <family val="2"/>
          </rPr>
          <t xml:space="preserve">CONSOLIDATED STATEMENT RECD ON 14.02.14
</t>
        </r>
      </text>
    </comment>
    <comment ref="O77" authorId="1" shapeId="0">
      <text>
        <r>
          <rPr>
            <b/>
            <sz val="8"/>
            <color indexed="81"/>
            <rFont val="Tahoma"/>
            <family val="2"/>
          </rPr>
          <t>CHECKED ON 13.01.14</t>
        </r>
        <r>
          <rPr>
            <sz val="8"/>
            <color indexed="81"/>
            <rFont val="Tahoma"/>
            <family val="2"/>
          </rPr>
          <t xml:space="preserve">
</t>
        </r>
      </text>
    </comment>
  </commentList>
</comments>
</file>

<file path=xl/comments7.xml><?xml version="1.0" encoding="utf-8"?>
<comments xmlns="http://schemas.openxmlformats.org/spreadsheetml/2006/main">
  <authors>
    <author>accounts</author>
  </authors>
  <commentList>
    <comment ref="J63" authorId="0" shapeId="0">
      <text>
        <r>
          <rPr>
            <b/>
            <sz val="8"/>
            <color indexed="81"/>
            <rFont val="Tahoma"/>
            <family val="2"/>
          </rPr>
          <t>checked on 16.12.13</t>
        </r>
        <r>
          <rPr>
            <sz val="8"/>
            <color indexed="81"/>
            <rFont val="Tahoma"/>
            <family val="2"/>
          </rPr>
          <t xml:space="preserve">
</t>
        </r>
      </text>
    </comment>
  </commentList>
</comments>
</file>

<file path=xl/comments8.xml><?xml version="1.0" encoding="utf-8"?>
<comments xmlns="http://schemas.openxmlformats.org/spreadsheetml/2006/main">
  <authors>
    <author>accounts</author>
  </authors>
  <commentList>
    <comment ref="J65" authorId="0" shapeId="0">
      <text>
        <r>
          <rPr>
            <b/>
            <sz val="8"/>
            <color indexed="81"/>
            <rFont val="Tahoma"/>
            <family val="2"/>
          </rPr>
          <t>CHECKED ON 11.12.13</t>
        </r>
        <r>
          <rPr>
            <sz val="8"/>
            <color indexed="81"/>
            <rFont val="Tahoma"/>
            <family val="2"/>
          </rPr>
          <t xml:space="preserve">
</t>
        </r>
      </text>
    </comment>
  </commentList>
</comments>
</file>

<file path=xl/comments9.xml><?xml version="1.0" encoding="utf-8"?>
<comments xmlns="http://schemas.openxmlformats.org/spreadsheetml/2006/main">
  <authors>
    <author>accounts</author>
  </authors>
  <commentList>
    <comment ref="J63" authorId="0" shapeId="0">
      <text>
        <r>
          <rPr>
            <b/>
            <sz val="8"/>
            <color indexed="81"/>
            <rFont val="Tahoma"/>
            <family val="2"/>
          </rPr>
          <t>CHECKED ON 05.12.13</t>
        </r>
        <r>
          <rPr>
            <sz val="8"/>
            <color indexed="81"/>
            <rFont val="Tahoma"/>
            <family val="2"/>
          </rPr>
          <t xml:space="preserve">
</t>
        </r>
      </text>
    </comment>
    <comment ref="O68" authorId="0" shapeId="0">
      <text>
        <r>
          <rPr>
            <b/>
            <sz val="8"/>
            <color indexed="81"/>
            <rFont val="Tahoma"/>
            <family val="2"/>
          </rPr>
          <t>CHECKED ON 05.12.13</t>
        </r>
        <r>
          <rPr>
            <sz val="8"/>
            <color indexed="81"/>
            <rFont val="Tahoma"/>
            <family val="2"/>
          </rPr>
          <t xml:space="preserve">
</t>
        </r>
      </text>
    </comment>
    <comment ref="O69" authorId="0" shapeId="0">
      <text>
        <r>
          <rPr>
            <b/>
            <sz val="8"/>
            <color indexed="81"/>
            <rFont val="Tahoma"/>
            <family val="2"/>
          </rPr>
          <t>CHECKED ON 05.12.13</t>
        </r>
        <r>
          <rPr>
            <sz val="8"/>
            <color indexed="81"/>
            <rFont val="Tahoma"/>
            <family val="2"/>
          </rPr>
          <t xml:space="preserve">
</t>
        </r>
      </text>
    </comment>
  </commentList>
</comments>
</file>

<file path=xl/comments10.xml><?xml version="1.0" encoding="utf-8"?>
<comments xmlns="http://schemas.openxmlformats.org/spreadsheetml/2006/main">
  <authors>
    <author>accounts</author>
  </authors>
  <commentList>
    <comment ref="J73" authorId="0" shapeId="0">
      <text>
        <r>
          <rPr>
            <b/>
            <sz val="8"/>
            <color indexed="81"/>
            <rFont val="Tahoma"/>
            <family val="2"/>
          </rPr>
          <t>CHECKED ON 11.12.13</t>
        </r>
        <r>
          <rPr>
            <sz val="8"/>
            <color indexed="81"/>
            <rFont val="Tahoma"/>
            <family val="2"/>
          </rPr>
          <t xml:space="preserve">
</t>
        </r>
      </text>
    </comment>
  </commentList>
</comments>
</file>

<file path=xl/comments11.xml><?xml version="1.0" encoding="utf-8"?>
<comments xmlns="http://schemas.openxmlformats.org/spreadsheetml/2006/main">
  <authors>
    <author>accounts</author>
  </authors>
  <commentList>
    <comment ref="J73" authorId="0" shapeId="0">
      <text>
        <r>
          <rPr>
            <b/>
            <sz val="8"/>
            <color indexed="81"/>
            <rFont val="Tahoma"/>
            <family val="2"/>
          </rPr>
          <t>CHECKED ON 11.12.13</t>
        </r>
        <r>
          <rPr>
            <sz val="8"/>
            <color indexed="81"/>
            <rFont val="Tahoma"/>
            <family val="2"/>
          </rPr>
          <t xml:space="preserve">
</t>
        </r>
      </text>
    </comment>
    <comment ref="J79" authorId="0" shapeId="0">
      <text>
        <r>
          <rPr>
            <b/>
            <sz val="8"/>
            <color indexed="81"/>
            <rFont val="Tahoma"/>
            <family val="2"/>
          </rPr>
          <t>CHECKED ON 11.12.13</t>
        </r>
        <r>
          <rPr>
            <sz val="8"/>
            <color indexed="81"/>
            <rFont val="Tahoma"/>
            <family val="2"/>
          </rPr>
          <t xml:space="preserve">
</t>
        </r>
      </text>
    </comment>
  </commentList>
</comments>
</file>

<file path=xl/comments12.xml><?xml version="1.0" encoding="utf-8"?>
<comments xmlns="http://schemas.openxmlformats.org/spreadsheetml/2006/main">
  <authors>
    <author>accounts</author>
  </authors>
  <commentList>
    <comment ref="J64" authorId="0" shapeId="0">
      <text>
        <r>
          <rPr>
            <sz val="8"/>
            <color indexed="81"/>
            <rFont val="Tahoma"/>
            <family val="2"/>
          </rPr>
          <t xml:space="preserve">checked on 11.12.13
</t>
        </r>
      </text>
    </comment>
  </commentList>
</comments>
</file>

<file path=xl/comments13.xml><?xml version="1.0" encoding="utf-8"?>
<comments xmlns="http://schemas.openxmlformats.org/spreadsheetml/2006/main">
  <authors>
    <author>accounts</author>
  </authors>
  <commentList>
    <comment ref="J63" authorId="0" shapeId="0">
      <text>
        <r>
          <rPr>
            <b/>
            <sz val="8"/>
            <color indexed="81"/>
            <rFont val="Tahoma"/>
            <family val="2"/>
          </rPr>
          <t>RECHECKED ON 10/12/13</t>
        </r>
        <r>
          <rPr>
            <sz val="8"/>
            <color indexed="81"/>
            <rFont val="Tahoma"/>
            <family val="2"/>
          </rPr>
          <t xml:space="preserve">
</t>
        </r>
      </text>
    </comment>
  </commentList>
</comments>
</file>

<file path=xl/comments14.xml><?xml version="1.0" encoding="utf-8"?>
<comments xmlns="http://schemas.openxmlformats.org/spreadsheetml/2006/main">
  <authors>
    <author>accounts</author>
  </authors>
  <commentList>
    <comment ref="J70" authorId="0" shapeId="0">
      <text>
        <r>
          <rPr>
            <b/>
            <sz val="8"/>
            <color indexed="81"/>
            <rFont val="Tahoma"/>
            <family val="2"/>
          </rPr>
          <t>CHECKED ON 21.11.13</t>
        </r>
        <r>
          <rPr>
            <sz val="8"/>
            <color indexed="81"/>
            <rFont val="Tahoma"/>
            <family val="2"/>
          </rPr>
          <t xml:space="preserve">
RECHKD ON 10.12.13</t>
        </r>
      </text>
    </comment>
    <comment ref="J71" authorId="0" shapeId="0">
      <text>
        <r>
          <rPr>
            <b/>
            <sz val="8"/>
            <color indexed="81"/>
            <rFont val="Tahoma"/>
            <family val="2"/>
          </rPr>
          <t>checked on 10.01.14</t>
        </r>
        <r>
          <rPr>
            <sz val="8"/>
            <color indexed="81"/>
            <rFont val="Tahoma"/>
            <family val="2"/>
          </rPr>
          <t xml:space="preserve">
</t>
        </r>
      </text>
    </comment>
    <comment ref="J72" authorId="0" shapeId="0">
      <text>
        <r>
          <rPr>
            <b/>
            <sz val="8"/>
            <color indexed="81"/>
            <rFont val="Tahoma"/>
            <family val="2"/>
          </rPr>
          <t>checked on 10.01.14</t>
        </r>
        <r>
          <rPr>
            <sz val="8"/>
            <color indexed="81"/>
            <rFont val="Tahoma"/>
            <family val="2"/>
          </rPr>
          <t xml:space="preserve">
</t>
        </r>
      </text>
    </comment>
  </commentList>
</comments>
</file>

<file path=xl/comments15.xml><?xml version="1.0" encoding="utf-8"?>
<comments xmlns="http://schemas.openxmlformats.org/spreadsheetml/2006/main">
  <authors>
    <author>accounts</author>
  </authors>
  <commentList>
    <comment ref="O74" authorId="0" shapeId="0">
      <text>
        <r>
          <rPr>
            <b/>
            <sz val="8"/>
            <color indexed="81"/>
            <rFont val="Tahoma"/>
            <family val="2"/>
          </rPr>
          <t>CHECKED ON 05.12.13</t>
        </r>
        <r>
          <rPr>
            <sz val="8"/>
            <color indexed="81"/>
            <rFont val="Tahoma"/>
            <family val="2"/>
          </rPr>
          <t xml:space="preserve">
</t>
        </r>
      </text>
    </comment>
  </commentList>
</comments>
</file>

<file path=xl/comments16.xml><?xml version="1.0" encoding="utf-8"?>
<comments xmlns="http://schemas.openxmlformats.org/spreadsheetml/2006/main">
  <authors>
    <author>accounts</author>
  </authors>
  <commentList>
    <comment ref="O69" authorId="0" shapeId="0">
      <text>
        <r>
          <rPr>
            <b/>
            <sz val="8"/>
            <color indexed="81"/>
            <rFont val="Tahoma"/>
            <family val="2"/>
          </rPr>
          <t>CHECKED ON 10.12.13</t>
        </r>
        <r>
          <rPr>
            <sz val="8"/>
            <color indexed="81"/>
            <rFont val="Tahoma"/>
            <family val="2"/>
          </rPr>
          <t xml:space="preserve">
</t>
        </r>
      </text>
    </comment>
    <comment ref="O70" authorId="0" shapeId="0">
      <text>
        <r>
          <rPr>
            <b/>
            <sz val="8"/>
            <color indexed="81"/>
            <rFont val="Tahoma"/>
            <family val="2"/>
          </rPr>
          <t>CHECKED ON 10.12.13</t>
        </r>
        <r>
          <rPr>
            <sz val="8"/>
            <color indexed="81"/>
            <rFont val="Tahoma"/>
            <family val="2"/>
          </rPr>
          <t xml:space="preserve">
</t>
        </r>
      </text>
    </comment>
  </commentList>
</comments>
</file>

<file path=xl/comments17.xml><?xml version="1.0" encoding="utf-8"?>
<comments xmlns="http://schemas.openxmlformats.org/spreadsheetml/2006/main">
  <authors>
    <author>accounts</author>
  </authors>
  <commentList>
    <comment ref="J100" authorId="0" shapeId="0">
      <text>
        <r>
          <rPr>
            <b/>
            <sz val="8"/>
            <color indexed="81"/>
            <rFont val="Tahoma"/>
            <family val="2"/>
          </rPr>
          <t>RENT RCPT CHECKED ON 10/12/13 AND CALCULATION DONE ACCORDINGLY</t>
        </r>
        <r>
          <rPr>
            <sz val="8"/>
            <color indexed="81"/>
            <rFont val="Tahoma"/>
            <family val="2"/>
          </rPr>
          <t xml:space="preserve">
</t>
        </r>
      </text>
    </comment>
  </commentList>
</comments>
</file>

<file path=xl/comments18.xml><?xml version="1.0" encoding="utf-8"?>
<comments xmlns="http://schemas.openxmlformats.org/spreadsheetml/2006/main">
  <authors>
    <author>accounts</author>
  </authors>
  <commentList>
    <comment ref="J64" authorId="0" shapeId="0">
      <text>
        <r>
          <rPr>
            <b/>
            <sz val="8"/>
            <color indexed="81"/>
            <rFont val="Tahoma"/>
            <family val="2"/>
          </rPr>
          <t xml:space="preserve">RECHECKED ON 05.12.13
</t>
        </r>
        <r>
          <rPr>
            <sz val="8"/>
            <color indexed="81"/>
            <rFont val="Tahoma"/>
            <family val="2"/>
          </rPr>
          <t xml:space="preserve">
</t>
        </r>
      </text>
    </comment>
  </commentList>
</comments>
</file>

<file path=xl/comments19.xml><?xml version="1.0" encoding="utf-8"?>
<comments xmlns="http://schemas.openxmlformats.org/spreadsheetml/2006/main">
  <authors>
    <author>accounts</author>
  </authors>
  <commentList>
    <comment ref="J63" authorId="0" shapeId="0">
      <text>
        <r>
          <rPr>
            <b/>
            <sz val="8"/>
            <color indexed="81"/>
            <rFont val="Tahoma"/>
            <family val="2"/>
          </rPr>
          <t>Rechecked on 16.12.13</t>
        </r>
        <r>
          <rPr>
            <sz val="8"/>
            <color indexed="81"/>
            <rFont val="Tahoma"/>
            <family val="2"/>
          </rPr>
          <t xml:space="preserve">
</t>
        </r>
      </text>
    </comment>
  </commentList>
</comments>
</file>

<file path=xl/comments20.xml><?xml version="1.0" encoding="utf-8"?>
<comments xmlns="http://schemas.openxmlformats.org/spreadsheetml/2006/main">
  <authors>
    <author>accounts</author>
  </authors>
  <commentList>
    <comment ref="J63" authorId="0" shapeId="0">
      <text>
        <r>
          <rPr>
            <b/>
            <sz val="8"/>
            <color indexed="81"/>
            <rFont val="Tahoma"/>
            <family val="2"/>
          </rPr>
          <t>checked on 11/12/13</t>
        </r>
        <r>
          <rPr>
            <sz val="8"/>
            <color indexed="81"/>
            <rFont val="Tahoma"/>
            <family val="2"/>
          </rPr>
          <t xml:space="preserve">
</t>
        </r>
      </text>
    </comment>
    <comment ref="J70" authorId="0" shapeId="0">
      <text>
        <r>
          <rPr>
            <b/>
            <sz val="8"/>
            <color indexed="81"/>
            <rFont val="Tahoma"/>
            <family val="2"/>
          </rPr>
          <t>checked on 11/12/13</t>
        </r>
        <r>
          <rPr>
            <sz val="8"/>
            <color indexed="81"/>
            <rFont val="Tahoma"/>
            <family val="2"/>
          </rPr>
          <t xml:space="preserve">
</t>
        </r>
      </text>
    </comment>
  </commentList>
</comments>
</file>

<file path=xl/comments21.xml><?xml version="1.0" encoding="utf-8"?>
<comments xmlns="http://schemas.openxmlformats.org/spreadsheetml/2006/main">
  <authors>
    <author>accounts</author>
  </authors>
  <commentList>
    <comment ref="O78" authorId="0" shapeId="0">
      <text>
        <r>
          <rPr>
            <b/>
            <sz val="8"/>
            <color indexed="81"/>
            <rFont val="Tahoma"/>
            <family val="2"/>
          </rPr>
          <t>CERTIFICATE GIVEN ON 31.01.14</t>
        </r>
        <r>
          <rPr>
            <sz val="8"/>
            <color indexed="81"/>
            <rFont val="Tahoma"/>
            <family val="2"/>
          </rPr>
          <t xml:space="preserve">
</t>
        </r>
      </text>
    </comment>
  </commentList>
</comments>
</file>

<file path=xl/comments22.xml><?xml version="1.0" encoding="utf-8"?>
<comments xmlns="http://schemas.openxmlformats.org/spreadsheetml/2006/main">
  <authors>
    <author>accounts</author>
  </authors>
  <commentList>
    <comment ref="J64" authorId="0" shapeId="0">
      <text>
        <r>
          <rPr>
            <b/>
            <sz val="8"/>
            <color indexed="81"/>
            <rFont val="Tahoma"/>
            <family val="2"/>
          </rPr>
          <t>CHECKED ON 11.12.13</t>
        </r>
        <r>
          <rPr>
            <sz val="8"/>
            <color indexed="81"/>
            <rFont val="Tahoma"/>
            <family val="2"/>
          </rPr>
          <t xml:space="preserve">
</t>
        </r>
      </text>
    </comment>
  </commentList>
</comments>
</file>

<file path=xl/comments23.xml><?xml version="1.0" encoding="utf-8"?>
<comments xmlns="http://schemas.openxmlformats.org/spreadsheetml/2006/main">
  <authors>
    <author>accounts</author>
  </authors>
  <commentList>
    <comment ref="J63" authorId="0" shapeId="0">
      <text>
        <r>
          <rPr>
            <b/>
            <sz val="8"/>
            <color indexed="81"/>
            <rFont val="Tahoma"/>
            <family val="2"/>
          </rPr>
          <t>CHECKED ON 11.12.13</t>
        </r>
        <r>
          <rPr>
            <sz val="8"/>
            <color indexed="81"/>
            <rFont val="Tahoma"/>
            <family val="2"/>
          </rPr>
          <t xml:space="preserve">
</t>
        </r>
      </text>
    </comment>
  </commentList>
</comments>
</file>

<file path=xl/comments24.xml><?xml version="1.0" encoding="utf-8"?>
<comments xmlns="http://schemas.openxmlformats.org/spreadsheetml/2006/main">
  <authors>
    <author>accounts</author>
  </authors>
  <commentList>
    <comment ref="J66" authorId="0" shapeId="0">
      <text>
        <r>
          <rPr>
            <b/>
            <sz val="8"/>
            <color indexed="81"/>
            <rFont val="Tahoma"/>
            <family val="2"/>
          </rPr>
          <t>CHECKED ON 11.12.13</t>
        </r>
      </text>
    </comment>
    <comment ref="J79" authorId="0" shapeId="0">
      <text>
        <r>
          <rPr>
            <b/>
            <sz val="8"/>
            <color indexed="81"/>
            <rFont val="Tahoma"/>
            <family val="2"/>
          </rPr>
          <t>checked on 11.12.13</t>
        </r>
        <r>
          <rPr>
            <sz val="8"/>
            <color indexed="81"/>
            <rFont val="Tahoma"/>
            <family val="2"/>
          </rPr>
          <t xml:space="preserve">
</t>
        </r>
      </text>
    </comment>
  </commentList>
</comments>
</file>

<file path=xl/comments25.xml><?xml version="1.0" encoding="utf-8"?>
<comments xmlns="http://schemas.openxmlformats.org/spreadsheetml/2006/main">
  <authors>
    <author>accounts</author>
  </authors>
  <commentList>
    <comment ref="J65" authorId="0" shapeId="0">
      <text>
        <r>
          <rPr>
            <b/>
            <sz val="8"/>
            <color indexed="81"/>
            <rFont val="Tahoma"/>
            <family val="2"/>
          </rPr>
          <t>CHECKED ON 11.12.13</t>
        </r>
      </text>
    </comment>
  </commentList>
</comments>
</file>

<file path=xl/comments26.xml><?xml version="1.0" encoding="utf-8"?>
<comments xmlns="http://schemas.openxmlformats.org/spreadsheetml/2006/main">
  <authors>
    <author>accounts</author>
  </authors>
  <commentList>
    <comment ref="J64" authorId="0" shapeId="0">
      <text>
        <r>
          <rPr>
            <b/>
            <sz val="8"/>
            <color indexed="81"/>
            <rFont val="Tahoma"/>
            <family val="2"/>
          </rPr>
          <t>CHECKED ON 11.12.13</t>
        </r>
        <r>
          <rPr>
            <sz val="8"/>
            <color indexed="81"/>
            <rFont val="Tahoma"/>
            <family val="2"/>
          </rPr>
          <t xml:space="preserve">
</t>
        </r>
      </text>
    </comment>
  </commentList>
</comments>
</file>

<file path=xl/comments27.xml><?xml version="1.0" encoding="utf-8"?>
<comments xmlns="http://schemas.openxmlformats.org/spreadsheetml/2006/main">
  <authors>
    <author>accounts</author>
    <author>dahibawkar</author>
  </authors>
  <commentList>
    <comment ref="J64" authorId="0" shapeId="0">
      <text>
        <r>
          <rPr>
            <b/>
            <sz val="8"/>
            <color indexed="81"/>
            <rFont val="Tahoma"/>
            <family val="2"/>
          </rPr>
          <t>RECHECKED ON 10/12/13</t>
        </r>
        <r>
          <rPr>
            <sz val="8"/>
            <color indexed="81"/>
            <rFont val="Tahoma"/>
            <family val="2"/>
          </rPr>
          <t xml:space="preserve">
</t>
        </r>
      </text>
    </comment>
    <comment ref="J78" authorId="1" shapeId="0">
      <text>
        <r>
          <rPr>
            <b/>
            <sz val="8"/>
            <color indexed="81"/>
            <rFont val="Tahoma"/>
            <family val="2"/>
          </rPr>
          <t>CHECKED ON 13.01.14</t>
        </r>
        <r>
          <rPr>
            <sz val="8"/>
            <color indexed="81"/>
            <rFont val="Tahoma"/>
            <family val="2"/>
          </rPr>
          <t xml:space="preserve">
</t>
        </r>
      </text>
    </comment>
  </commentList>
</comments>
</file>

<file path=xl/comments28.xml><?xml version="1.0" encoding="utf-8"?>
<comments xmlns="http://schemas.openxmlformats.org/spreadsheetml/2006/main">
  <authors>
    <author>accounts</author>
  </authors>
  <commentList>
    <comment ref="J69" authorId="0" shapeId="0">
      <text>
        <r>
          <rPr>
            <b/>
            <sz val="8"/>
            <color indexed="81"/>
            <rFont val="Tahoma"/>
            <family val="2"/>
          </rPr>
          <t>CHECKED ON 10.01.14</t>
        </r>
        <r>
          <rPr>
            <sz val="8"/>
            <color indexed="81"/>
            <rFont val="Tahoma"/>
            <family val="2"/>
          </rPr>
          <t xml:space="preserve">
</t>
        </r>
      </text>
    </comment>
  </commentList>
</comments>
</file>

<file path=xl/comments29.xml><?xml version="1.0" encoding="utf-8"?>
<comments xmlns="http://schemas.openxmlformats.org/spreadsheetml/2006/main">
  <authors>
    <author>accounts</author>
    <author>dahibawkar</author>
  </authors>
  <commentList>
    <comment ref="J68" authorId="0" shapeId="0">
      <text>
        <r>
          <rPr>
            <b/>
            <sz val="8"/>
            <color indexed="81"/>
            <rFont val="Tahoma"/>
            <family val="2"/>
          </rPr>
          <t>checked on 10/12/13</t>
        </r>
        <r>
          <rPr>
            <sz val="8"/>
            <color indexed="81"/>
            <rFont val="Tahoma"/>
            <family val="2"/>
          </rPr>
          <t xml:space="preserve">
</t>
        </r>
      </text>
    </comment>
    <comment ref="J69" authorId="1" shapeId="0">
      <text>
        <r>
          <rPr>
            <sz val="8"/>
            <color indexed="81"/>
            <rFont val="Tahoma"/>
            <family val="2"/>
          </rPr>
          <t xml:space="preserve">NO PREMIUM PAID RCPT RECD AS ON 29.01.2013 THEREFORE NOT TAKEN
</t>
        </r>
        <r>
          <rPr>
            <sz val="8"/>
            <color indexed="81"/>
            <rFont val="Tahoma"/>
            <family val="2"/>
          </rPr>
          <t xml:space="preserve">
</t>
        </r>
      </text>
    </comment>
  </commentList>
</comments>
</file>

<file path=xl/comments30.xml><?xml version="1.0" encoding="utf-8"?>
<comments xmlns="http://schemas.openxmlformats.org/spreadsheetml/2006/main">
  <authors>
    <author>dahibawkar</author>
  </authors>
  <commentList>
    <comment ref="J63" authorId="0" shapeId="0">
      <text>
        <r>
          <rPr>
            <b/>
            <sz val="8"/>
            <color indexed="81"/>
            <rFont val="Tahoma"/>
            <family val="2"/>
          </rPr>
          <t>reissue of provisional certificate, same checked as on 05.02.14</t>
        </r>
        <r>
          <rPr>
            <sz val="8"/>
            <color indexed="81"/>
            <rFont val="Tahoma"/>
            <family val="2"/>
          </rPr>
          <t xml:space="preserve">
</t>
        </r>
      </text>
    </comment>
  </commentList>
</comments>
</file>

<file path=xl/comments31.xml><?xml version="1.0" encoding="utf-8"?>
<comments xmlns="http://schemas.openxmlformats.org/spreadsheetml/2006/main">
  <authors>
    <author>accounts</author>
  </authors>
  <commentList>
    <comment ref="J63" authorId="0" shapeId="0">
      <text>
        <r>
          <rPr>
            <b/>
            <sz val="8"/>
            <color indexed="81"/>
            <rFont val="Tahoma"/>
            <family val="2"/>
          </rPr>
          <t>CHECKED ON 11/12/13</t>
        </r>
        <r>
          <rPr>
            <sz val="8"/>
            <color indexed="81"/>
            <rFont val="Tahoma"/>
            <family val="2"/>
          </rPr>
          <t xml:space="preserve">
</t>
        </r>
      </text>
    </comment>
  </commentList>
</comments>
</file>

<file path=xl/comments32.xml><?xml version="1.0" encoding="utf-8"?>
<comments xmlns="http://schemas.openxmlformats.org/spreadsheetml/2006/main">
  <authors>
    <author>accounts</author>
  </authors>
  <commentList>
    <comment ref="O68" authorId="0" shapeId="0">
      <text>
        <r>
          <rPr>
            <b/>
            <sz val="8"/>
            <color indexed="81"/>
            <rFont val="Tahoma"/>
            <family val="2"/>
          </rPr>
          <t>checked on 10.01.14</t>
        </r>
        <r>
          <rPr>
            <sz val="8"/>
            <color indexed="81"/>
            <rFont val="Tahoma"/>
            <family val="2"/>
          </rPr>
          <t xml:space="preserve">
</t>
        </r>
      </text>
    </comment>
    <comment ref="O73" authorId="0" shapeId="0">
      <text>
        <r>
          <rPr>
            <b/>
            <sz val="8"/>
            <color indexed="81"/>
            <rFont val="Tahoma"/>
            <family val="2"/>
          </rPr>
          <t>recd on 05.12.13</t>
        </r>
        <r>
          <rPr>
            <sz val="8"/>
            <color indexed="81"/>
            <rFont val="Tahoma"/>
            <family val="2"/>
          </rPr>
          <t xml:space="preserve">
</t>
        </r>
      </text>
    </comment>
  </commentList>
</comments>
</file>

<file path=xl/comments33.xml><?xml version="1.0" encoding="utf-8"?>
<comments xmlns="http://schemas.openxmlformats.org/spreadsheetml/2006/main">
  <authors>
    <author>accounts</author>
  </authors>
  <commentList>
    <comment ref="J63" authorId="0" shapeId="0">
      <text>
        <r>
          <rPr>
            <b/>
            <sz val="8"/>
            <color indexed="81"/>
            <rFont val="Tahoma"/>
            <family val="2"/>
          </rPr>
          <t>CHECKED ON 11.12.13</t>
        </r>
        <r>
          <rPr>
            <sz val="8"/>
            <color indexed="81"/>
            <rFont val="Tahoma"/>
            <family val="2"/>
          </rPr>
          <t xml:space="preserve">
</t>
        </r>
      </text>
    </comment>
  </commentList>
</comments>
</file>

<file path=xl/comments34.xml><?xml version="1.0" encoding="utf-8"?>
<comments xmlns="http://schemas.openxmlformats.org/spreadsheetml/2006/main">
  <authors>
    <author>accounts</author>
  </authors>
  <commentList>
    <comment ref="O70" authorId="0" shapeId="0">
      <text>
        <r>
          <rPr>
            <b/>
            <sz val="8"/>
            <color indexed="81"/>
            <rFont val="Tahoma"/>
            <family val="2"/>
          </rPr>
          <t>CHECKED ON 10.12.13</t>
        </r>
      </text>
    </comment>
    <comment ref="O71" authorId="0" shapeId="0">
      <text>
        <r>
          <rPr>
            <b/>
            <sz val="8"/>
            <color indexed="81"/>
            <rFont val="Tahoma"/>
            <family val="2"/>
          </rPr>
          <t>CHECKED ON 10.12.13</t>
        </r>
      </text>
    </comment>
    <comment ref="O72" authorId="0" shapeId="0">
      <text>
        <r>
          <rPr>
            <b/>
            <sz val="8"/>
            <color indexed="81"/>
            <rFont val="Tahoma"/>
            <family val="2"/>
          </rPr>
          <t>CHECKED ON 10.12.13</t>
        </r>
      </text>
    </comment>
    <comment ref="J79" authorId="0" shapeId="0">
      <text>
        <r>
          <rPr>
            <b/>
            <sz val="8"/>
            <color indexed="81"/>
            <rFont val="Tahoma"/>
            <family val="2"/>
          </rPr>
          <t>CHECKED ON 10.01.14</t>
        </r>
        <r>
          <rPr>
            <sz val="8"/>
            <color indexed="81"/>
            <rFont val="Tahoma"/>
            <family val="2"/>
          </rPr>
          <t xml:space="preserve">
</t>
        </r>
      </text>
    </comment>
  </commentList>
</comments>
</file>

<file path=xl/comments35.xml><?xml version="1.0" encoding="utf-8"?>
<comments xmlns="http://schemas.openxmlformats.org/spreadsheetml/2006/main">
  <authors>
    <author>accounts</author>
  </authors>
  <commentList>
    <comment ref="O68" authorId="0" shapeId="0">
      <text>
        <r>
          <rPr>
            <b/>
            <sz val="8"/>
            <color indexed="81"/>
            <rFont val="Tahoma"/>
            <family val="2"/>
          </rPr>
          <t>checked on 05.12.13</t>
        </r>
        <r>
          <rPr>
            <sz val="8"/>
            <color indexed="81"/>
            <rFont val="Tahoma"/>
            <family val="2"/>
          </rPr>
          <t xml:space="preserve">
</t>
        </r>
      </text>
    </comment>
    <comment ref="O69" authorId="0" shapeId="0">
      <text>
        <r>
          <rPr>
            <b/>
            <sz val="8"/>
            <color indexed="81"/>
            <rFont val="Tahoma"/>
            <family val="2"/>
          </rPr>
          <t>checked on 05.12.13</t>
        </r>
        <r>
          <rPr>
            <sz val="8"/>
            <color indexed="81"/>
            <rFont val="Tahoma"/>
            <family val="2"/>
          </rPr>
          <t xml:space="preserve">
</t>
        </r>
      </text>
    </comment>
    <comment ref="O73" authorId="0" shapeId="0">
      <text>
        <r>
          <rPr>
            <b/>
            <sz val="8"/>
            <color indexed="81"/>
            <rFont val="Tahoma"/>
            <family val="2"/>
          </rPr>
          <t>checked on 05.12.13</t>
        </r>
        <r>
          <rPr>
            <sz val="8"/>
            <color indexed="81"/>
            <rFont val="Tahoma"/>
            <family val="2"/>
          </rPr>
          <t xml:space="preserve">
</t>
        </r>
      </text>
    </comment>
    <comment ref="O78" authorId="0" shapeId="0">
      <text>
        <r>
          <rPr>
            <b/>
            <sz val="8"/>
            <color indexed="81"/>
            <rFont val="Tahoma"/>
            <family val="2"/>
          </rPr>
          <t>checked on 05.12.13</t>
        </r>
        <r>
          <rPr>
            <sz val="8"/>
            <color indexed="81"/>
            <rFont val="Tahoma"/>
            <family val="2"/>
          </rPr>
          <t xml:space="preserve">
</t>
        </r>
      </text>
    </comment>
  </commentList>
</comments>
</file>

<file path=xl/comments36.xml><?xml version="1.0" encoding="utf-8"?>
<comments xmlns="http://schemas.openxmlformats.org/spreadsheetml/2006/main">
  <authors>
    <author>dahibawkar</author>
  </authors>
  <commentList>
    <comment ref="O68" authorId="0" shapeId="0">
      <text>
        <r>
          <rPr>
            <b/>
            <sz val="8"/>
            <color indexed="81"/>
            <rFont val="Tahoma"/>
            <family val="2"/>
          </rPr>
          <t>PAID ON 19.06.13 CHECKED on 18.02.14</t>
        </r>
        <r>
          <rPr>
            <sz val="8"/>
            <color indexed="81"/>
            <rFont val="Tahoma"/>
            <family val="2"/>
          </rPr>
          <t xml:space="preserve">
</t>
        </r>
      </text>
    </comment>
    <comment ref="O69" authorId="0" shapeId="0">
      <text>
        <r>
          <rPr>
            <b/>
            <sz val="8"/>
            <color indexed="81"/>
            <rFont val="Tahoma"/>
            <family val="2"/>
          </rPr>
          <t>PAID ON 10.09.13 CHKD on 18.02.14</t>
        </r>
        <r>
          <rPr>
            <sz val="8"/>
            <color indexed="81"/>
            <rFont val="Tahoma"/>
            <family val="2"/>
          </rPr>
          <t xml:space="preserve">
</t>
        </r>
      </text>
    </comment>
    <comment ref="O73" authorId="0" shapeId="0">
      <text>
        <r>
          <rPr>
            <b/>
            <sz val="8"/>
            <color indexed="81"/>
            <rFont val="Tahoma"/>
            <family val="2"/>
          </rPr>
          <t>POLICY NO. OG-14-9906-6001-00000687 PERIOD 03.12.13 TO 02.12.2014</t>
        </r>
      </text>
    </comment>
  </commentList>
</comments>
</file>

<file path=xl/comments37.xml><?xml version="1.0" encoding="utf-8"?>
<comments xmlns="http://schemas.openxmlformats.org/spreadsheetml/2006/main">
  <authors>
    <author>accounts</author>
  </authors>
  <commentList>
    <comment ref="J70" authorId="0" shapeId="0">
      <text>
        <r>
          <rPr>
            <b/>
            <sz val="8"/>
            <color indexed="81"/>
            <rFont val="Tahoma"/>
            <family val="2"/>
          </rPr>
          <t>checked on 10/12/13</t>
        </r>
        <r>
          <rPr>
            <sz val="8"/>
            <color indexed="81"/>
            <rFont val="Tahoma"/>
            <family val="2"/>
          </rPr>
          <t xml:space="preserve">
</t>
        </r>
      </text>
    </comment>
    <comment ref="J71" authorId="0" shapeId="0">
      <text>
        <r>
          <rPr>
            <b/>
            <sz val="8"/>
            <color indexed="81"/>
            <rFont val="Tahoma"/>
            <family val="2"/>
          </rPr>
          <t xml:space="preserve">recd 3125/- pd rcpt on 13.08.13 hly SECOND PAID ON 05.03.14
</t>
        </r>
        <r>
          <rPr>
            <sz val="8"/>
            <color indexed="81"/>
            <rFont val="Tahoma"/>
            <family val="2"/>
          </rPr>
          <t xml:space="preserve">
</t>
        </r>
      </text>
    </comment>
    <comment ref="J72" authorId="0" shapeId="0">
      <text>
        <r>
          <rPr>
            <b/>
            <sz val="8"/>
            <color indexed="81"/>
            <rFont val="Tahoma"/>
            <family val="2"/>
          </rPr>
          <t xml:space="preserve">checked on 10/12/13
</t>
        </r>
        <r>
          <rPr>
            <sz val="8"/>
            <color indexed="81"/>
            <rFont val="Tahoma"/>
            <family val="2"/>
          </rPr>
          <t xml:space="preserve">
</t>
        </r>
      </text>
    </comment>
  </commentList>
</comments>
</file>

<file path=xl/comments38.xml><?xml version="1.0" encoding="utf-8"?>
<comments xmlns="http://schemas.openxmlformats.org/spreadsheetml/2006/main">
  <authors>
    <author>accounts</author>
  </authors>
  <commentList>
    <comment ref="J63" authorId="0" shapeId="0">
      <text>
        <r>
          <rPr>
            <b/>
            <sz val="8"/>
            <color indexed="81"/>
            <rFont val="Tahoma"/>
            <family val="2"/>
          </rPr>
          <t>checked on 11.12.13</t>
        </r>
        <r>
          <rPr>
            <sz val="8"/>
            <color indexed="81"/>
            <rFont val="Tahoma"/>
            <family val="2"/>
          </rPr>
          <t xml:space="preserve">
</t>
        </r>
      </text>
    </comment>
  </commentList>
</comments>
</file>

<file path=xl/comments39.xml><?xml version="1.0" encoding="utf-8"?>
<comments xmlns="http://schemas.openxmlformats.org/spreadsheetml/2006/main">
  <authors>
    <author>accounts</author>
  </authors>
  <commentList>
    <comment ref="J64" authorId="0" shapeId="0">
      <text>
        <r>
          <rPr>
            <b/>
            <sz val="8"/>
            <color indexed="81"/>
            <rFont val="Tahoma"/>
            <family val="2"/>
          </rPr>
          <t>checked on 11.12.13</t>
        </r>
        <r>
          <rPr>
            <sz val="8"/>
            <color indexed="81"/>
            <rFont val="Tahoma"/>
            <family val="2"/>
          </rPr>
          <t xml:space="preserve">
</t>
        </r>
      </text>
    </comment>
  </commentList>
</comments>
</file>

<file path=xl/comments40.xml><?xml version="1.0" encoding="utf-8"?>
<comments xmlns="http://schemas.openxmlformats.org/spreadsheetml/2006/main">
  <authors>
    <author>accounts</author>
  </authors>
  <commentList>
    <comment ref="J64" authorId="0" shapeId="0">
      <text>
        <r>
          <rPr>
            <b/>
            <sz val="8"/>
            <color indexed="81"/>
            <rFont val="Tahoma"/>
            <family val="2"/>
          </rPr>
          <t>CHECKED ON 10.01.14</t>
        </r>
      </text>
    </comment>
  </commentList>
</comments>
</file>

<file path=xl/comments41.xml><?xml version="1.0" encoding="utf-8"?>
<comments xmlns="http://schemas.openxmlformats.org/spreadsheetml/2006/main">
  <authors>
    <author>accounts</author>
  </authors>
  <commentList>
    <comment ref="J63" authorId="0" shapeId="0">
      <text>
        <r>
          <rPr>
            <b/>
            <sz val="8"/>
            <color indexed="81"/>
            <rFont val="Tahoma"/>
            <family val="2"/>
          </rPr>
          <t>checked on 11.12.13</t>
        </r>
        <r>
          <rPr>
            <sz val="8"/>
            <color indexed="81"/>
            <rFont val="Tahoma"/>
            <family val="2"/>
          </rPr>
          <t xml:space="preserve">
</t>
        </r>
      </text>
    </comment>
  </commentList>
</comments>
</file>

<file path=xl/comments42.xml><?xml version="1.0" encoding="utf-8"?>
<comments xmlns="http://schemas.openxmlformats.org/spreadsheetml/2006/main">
  <authors>
    <author>accounts</author>
    <author>dahibawkar</author>
  </authors>
  <commentList>
    <comment ref="J68" authorId="0" shapeId="0">
      <text>
        <r>
          <rPr>
            <b/>
            <sz val="8"/>
            <color indexed="81"/>
            <rFont val="Tahoma"/>
            <family val="2"/>
          </rPr>
          <t>checked on 10/12/13</t>
        </r>
        <r>
          <rPr>
            <sz val="8"/>
            <color indexed="81"/>
            <rFont val="Tahoma"/>
            <family val="2"/>
          </rPr>
          <t xml:space="preserve">
</t>
        </r>
      </text>
    </comment>
    <comment ref="J69" authorId="1" shapeId="0">
      <text>
        <r>
          <rPr>
            <sz val="8"/>
            <color indexed="81"/>
            <rFont val="Tahoma"/>
            <family val="2"/>
          </rPr>
          <t xml:space="preserve">NO PREMIUM PAID RCPT RECD AS ON 29.01.2013 THEREFORE NOT TAKEN
</t>
        </r>
        <r>
          <rPr>
            <sz val="8"/>
            <color indexed="81"/>
            <rFont val="Tahoma"/>
            <family val="2"/>
          </rPr>
          <t xml:space="preserve">
</t>
        </r>
      </text>
    </comment>
  </commentList>
</comments>
</file>

<file path=xl/comments43.xml><?xml version="1.0" encoding="utf-8"?>
<comments xmlns="http://schemas.openxmlformats.org/spreadsheetml/2006/main">
  <authors>
    <author>accounts</author>
    <author>dahibawkar</author>
  </authors>
  <commentList>
    <comment ref="J64" authorId="0" shapeId="0">
      <text>
        <r>
          <rPr>
            <b/>
            <sz val="8"/>
            <color indexed="81"/>
            <rFont val="Tahoma"/>
            <family val="2"/>
          </rPr>
          <t>CHECKED ON 11.12.13</t>
        </r>
        <r>
          <rPr>
            <sz val="8"/>
            <color indexed="81"/>
            <rFont val="Tahoma"/>
            <family val="2"/>
          </rPr>
          <t xml:space="preserve">
</t>
        </r>
      </text>
    </comment>
    <comment ref="J69" authorId="0" shapeId="0">
      <text>
        <r>
          <rPr>
            <b/>
            <sz val="8"/>
            <color indexed="81"/>
            <rFont val="Tahoma"/>
            <family val="2"/>
          </rPr>
          <t>CHECKED ON 11.12.13 &amp; 15.01.14</t>
        </r>
      </text>
    </comment>
    <comment ref="J70" authorId="0" shapeId="0">
      <text>
        <r>
          <rPr>
            <b/>
            <sz val="8"/>
            <color indexed="81"/>
            <rFont val="Tahoma"/>
            <family val="2"/>
          </rPr>
          <t>CHECKED ON 11.12.13</t>
        </r>
      </text>
    </comment>
    <comment ref="J71" authorId="0" shapeId="0">
      <text>
        <r>
          <rPr>
            <b/>
            <sz val="8"/>
            <color indexed="81"/>
            <rFont val="Tahoma"/>
            <family val="2"/>
          </rPr>
          <t>CHECKED ON 11.12.13</t>
        </r>
      </text>
    </comment>
    <comment ref="J72" authorId="0" shapeId="0">
      <text>
        <r>
          <rPr>
            <b/>
            <sz val="8"/>
            <color indexed="81"/>
            <rFont val="Tahoma"/>
            <family val="2"/>
          </rPr>
          <t>CHECKED ON 11.12.13</t>
        </r>
      </text>
    </comment>
    <comment ref="J73" authorId="0" shapeId="0">
      <text>
        <r>
          <rPr>
            <b/>
            <sz val="8"/>
            <color indexed="81"/>
            <rFont val="Tahoma"/>
            <family val="2"/>
          </rPr>
          <t>CHECKED ON 11.12.13</t>
        </r>
      </text>
    </comment>
    <comment ref="J74" authorId="0" shapeId="0">
      <text>
        <r>
          <rPr>
            <b/>
            <sz val="8"/>
            <color indexed="81"/>
            <rFont val="Tahoma"/>
            <family val="2"/>
          </rPr>
          <t>CHECKED ON 11.12.13</t>
        </r>
      </text>
    </comment>
    <comment ref="J75" authorId="0" shapeId="0">
      <text>
        <r>
          <rPr>
            <b/>
            <sz val="8"/>
            <color indexed="81"/>
            <rFont val="Tahoma"/>
            <family val="2"/>
          </rPr>
          <t>CHECKED ON 11.12.13</t>
        </r>
      </text>
    </comment>
    <comment ref="J76" authorId="0" shapeId="0">
      <text>
        <r>
          <rPr>
            <b/>
            <sz val="8"/>
            <color indexed="81"/>
            <rFont val="Tahoma"/>
            <family val="2"/>
          </rPr>
          <t>CHECKED ON 11.12.13</t>
        </r>
      </text>
    </comment>
    <comment ref="J77" authorId="1" shapeId="0">
      <text>
        <r>
          <rPr>
            <b/>
            <sz val="8"/>
            <color indexed="81"/>
            <rFont val="Tahoma"/>
            <family val="2"/>
          </rPr>
          <t xml:space="preserve">CHECKED ON 14.02.14
</t>
        </r>
        <r>
          <rPr>
            <sz val="8"/>
            <color indexed="81"/>
            <rFont val="Tahoma"/>
            <family val="2"/>
          </rPr>
          <t xml:space="preserve">
</t>
        </r>
      </text>
    </comment>
  </commentList>
</comments>
</file>

<file path=xl/comments44.xml><?xml version="1.0" encoding="utf-8"?>
<comments xmlns="http://schemas.openxmlformats.org/spreadsheetml/2006/main">
  <authors>
    <author>dahibawkar</author>
  </authors>
  <commentList>
    <comment ref="O74" authorId="0" shapeId="0">
      <text>
        <r>
          <rPr>
            <b/>
            <sz val="8"/>
            <color indexed="81"/>
            <rFont val="Tahoma"/>
            <family val="2"/>
          </rPr>
          <t>CHECKED ON 30.01.2014</t>
        </r>
        <r>
          <rPr>
            <sz val="8"/>
            <color indexed="81"/>
            <rFont val="Tahoma"/>
            <family val="2"/>
          </rPr>
          <t xml:space="preserve">
</t>
        </r>
      </text>
    </comment>
  </commentList>
</comments>
</file>

<file path=xl/comments45.xml><?xml version="1.0" encoding="utf-8"?>
<comments xmlns="http://schemas.openxmlformats.org/spreadsheetml/2006/main">
  <authors>
    <author>accounts</author>
  </authors>
  <commentList>
    <comment ref="J63" authorId="0" shapeId="0">
      <text>
        <r>
          <rPr>
            <b/>
            <sz val="8"/>
            <color indexed="81"/>
            <rFont val="Tahoma"/>
            <family val="2"/>
          </rPr>
          <t>Rechecked on 16.12.13</t>
        </r>
        <r>
          <rPr>
            <sz val="8"/>
            <color indexed="81"/>
            <rFont val="Tahoma"/>
            <family val="2"/>
          </rPr>
          <t xml:space="preserve">
</t>
        </r>
      </text>
    </comment>
  </commentList>
</comments>
</file>

<file path=xl/comments46.xml><?xml version="1.0" encoding="utf-8"?>
<comments xmlns="http://schemas.openxmlformats.org/spreadsheetml/2006/main">
  <authors>
    <author>accounts</author>
  </authors>
  <commentList>
    <comment ref="J63" authorId="0" shapeId="0">
      <text>
        <r>
          <rPr>
            <b/>
            <sz val="8"/>
            <color indexed="81"/>
            <rFont val="Tahoma"/>
            <family val="2"/>
          </rPr>
          <t>RECHECKED ON 10/12/13</t>
        </r>
        <r>
          <rPr>
            <sz val="8"/>
            <color indexed="81"/>
            <rFont val="Tahoma"/>
            <family val="2"/>
          </rPr>
          <t xml:space="preserve">
</t>
        </r>
      </text>
    </comment>
  </commentList>
</comments>
</file>

<file path=xl/comments47.xml><?xml version="1.0" encoding="utf-8"?>
<comments xmlns="http://schemas.openxmlformats.org/spreadsheetml/2006/main">
  <authors>
    <author>accounts</author>
  </authors>
  <commentList>
    <comment ref="J63" authorId="0" shapeId="0">
      <text>
        <r>
          <rPr>
            <b/>
            <sz val="8"/>
            <color indexed="81"/>
            <rFont val="Tahoma"/>
            <family val="2"/>
          </rPr>
          <t>RECHECKED ON 10/12/13</t>
        </r>
        <r>
          <rPr>
            <sz val="8"/>
            <color indexed="81"/>
            <rFont val="Tahoma"/>
            <family val="2"/>
          </rPr>
          <t xml:space="preserve">
</t>
        </r>
      </text>
    </comment>
  </commentList>
</comments>
</file>

<file path=xl/comments48.xml><?xml version="1.0" encoding="utf-8"?>
<comments xmlns="http://schemas.openxmlformats.org/spreadsheetml/2006/main">
  <authors>
    <author>accounts</author>
  </authors>
  <commentList>
    <comment ref="J63" authorId="0" shapeId="0">
      <text>
        <r>
          <rPr>
            <b/>
            <sz val="8"/>
            <color indexed="81"/>
            <rFont val="Tahoma"/>
            <family val="2"/>
          </rPr>
          <t>checked on 11.12.13</t>
        </r>
        <r>
          <rPr>
            <sz val="8"/>
            <color indexed="81"/>
            <rFont val="Tahoma"/>
            <family val="2"/>
          </rPr>
          <t xml:space="preserve">
</t>
        </r>
      </text>
    </comment>
  </commentList>
</comments>
</file>

<file path=xl/comments49.xml><?xml version="1.0" encoding="utf-8"?>
<comments xmlns="http://schemas.openxmlformats.org/spreadsheetml/2006/main">
  <authors>
    <author>dahibawkar</author>
  </authors>
  <commentList>
    <comment ref="O68" authorId="0" shapeId="0">
      <text>
        <r>
          <rPr>
            <b/>
            <sz val="8"/>
            <color indexed="81"/>
            <rFont val="Tahoma"/>
            <family val="2"/>
          </rPr>
          <t>PAID ON 19.06.13 CHECKED on 18.02.14</t>
        </r>
        <r>
          <rPr>
            <sz val="8"/>
            <color indexed="81"/>
            <rFont val="Tahoma"/>
            <family val="2"/>
          </rPr>
          <t xml:space="preserve">
</t>
        </r>
      </text>
    </comment>
    <comment ref="O69" authorId="0" shapeId="0">
      <text>
        <r>
          <rPr>
            <b/>
            <sz val="8"/>
            <color indexed="81"/>
            <rFont val="Tahoma"/>
            <family val="2"/>
          </rPr>
          <t>PAID ON 10.09.13 CHKD on 18.02.14</t>
        </r>
        <r>
          <rPr>
            <sz val="8"/>
            <color indexed="81"/>
            <rFont val="Tahoma"/>
            <family val="2"/>
          </rPr>
          <t xml:space="preserve">
</t>
        </r>
      </text>
    </comment>
    <comment ref="O73" authorId="0" shapeId="0">
      <text>
        <r>
          <rPr>
            <b/>
            <sz val="8"/>
            <color indexed="81"/>
            <rFont val="Tahoma"/>
            <family val="2"/>
          </rPr>
          <t>POLICY NO. OG-14-9906-6001-00000687 PERIOD 03.12.13 TO 02.12.2014</t>
        </r>
      </text>
    </comment>
  </commentList>
</comments>
</file>

<file path=xl/comments50.xml><?xml version="1.0" encoding="utf-8"?>
<comments xmlns="http://schemas.openxmlformats.org/spreadsheetml/2006/main">
  <authors>
    <author>accounts</author>
  </authors>
  <commentList>
    <comment ref="J63" authorId="0" shapeId="0">
      <text>
        <r>
          <rPr>
            <b/>
            <sz val="8"/>
            <color indexed="81"/>
            <rFont val="Tahoma"/>
            <family val="2"/>
          </rPr>
          <t>CHECKED ON 05.12.13</t>
        </r>
        <r>
          <rPr>
            <sz val="8"/>
            <color indexed="81"/>
            <rFont val="Tahoma"/>
            <family val="2"/>
          </rPr>
          <t xml:space="preserve">
</t>
        </r>
      </text>
    </comment>
    <comment ref="O68" authorId="0" shapeId="0">
      <text>
        <r>
          <rPr>
            <b/>
            <sz val="8"/>
            <color indexed="81"/>
            <rFont val="Tahoma"/>
            <family val="2"/>
          </rPr>
          <t>CHECKED ON 05.12.13</t>
        </r>
        <r>
          <rPr>
            <sz val="8"/>
            <color indexed="81"/>
            <rFont val="Tahoma"/>
            <family val="2"/>
          </rPr>
          <t xml:space="preserve">
</t>
        </r>
      </text>
    </comment>
    <comment ref="O69" authorId="0" shapeId="0">
      <text>
        <r>
          <rPr>
            <b/>
            <sz val="8"/>
            <color indexed="81"/>
            <rFont val="Tahoma"/>
            <family val="2"/>
          </rPr>
          <t>CHECKED ON 05.12.13</t>
        </r>
        <r>
          <rPr>
            <sz val="8"/>
            <color indexed="81"/>
            <rFont val="Tahoma"/>
            <family val="2"/>
          </rPr>
          <t xml:space="preserve">
</t>
        </r>
      </text>
    </comment>
  </commentList>
</comments>
</file>

<file path=xl/comments51.xml><?xml version="1.0" encoding="utf-8"?>
<comments xmlns="http://schemas.openxmlformats.org/spreadsheetml/2006/main">
  <authors>
    <author>accounts</author>
  </authors>
  <commentList>
    <comment ref="J66" authorId="0" shapeId="0">
      <text>
        <r>
          <rPr>
            <b/>
            <sz val="8"/>
            <color indexed="81"/>
            <rFont val="Tahoma"/>
            <family val="2"/>
          </rPr>
          <t>CHECKED ON 11.12.13</t>
        </r>
      </text>
    </comment>
    <comment ref="J79" authorId="0" shapeId="0">
      <text>
        <r>
          <rPr>
            <b/>
            <sz val="8"/>
            <color indexed="81"/>
            <rFont val="Tahoma"/>
            <family val="2"/>
          </rPr>
          <t>checked on 11.12.13</t>
        </r>
        <r>
          <rPr>
            <sz val="8"/>
            <color indexed="81"/>
            <rFont val="Tahoma"/>
            <family val="2"/>
          </rPr>
          <t xml:space="preserve">
</t>
        </r>
      </text>
    </comment>
  </commentList>
</comments>
</file>

<file path=xl/comments52.xml><?xml version="1.0" encoding="utf-8"?>
<comments xmlns="http://schemas.openxmlformats.org/spreadsheetml/2006/main">
  <authors>
    <author>accounts</author>
  </authors>
  <commentList>
    <comment ref="J65" authorId="0" shapeId="0">
      <text>
        <r>
          <rPr>
            <b/>
            <sz val="8"/>
            <color indexed="81"/>
            <rFont val="Tahoma"/>
            <family val="2"/>
          </rPr>
          <t>CHECKED ON 11.12.13</t>
        </r>
      </text>
    </comment>
  </commentList>
</comments>
</file>

<file path=xl/comments53.xml><?xml version="1.0" encoding="utf-8"?>
<comments xmlns="http://schemas.openxmlformats.org/spreadsheetml/2006/main">
  <authors>
    <author>dahibawkar</author>
  </authors>
  <commentList>
    <comment ref="J63" authorId="0" shapeId="0">
      <text>
        <r>
          <rPr>
            <b/>
            <sz val="8"/>
            <color indexed="81"/>
            <rFont val="Tahoma"/>
            <family val="2"/>
          </rPr>
          <t>reissue of provisional certificate, same checked as on 05.02.14</t>
        </r>
        <r>
          <rPr>
            <sz val="8"/>
            <color indexed="81"/>
            <rFont val="Tahoma"/>
            <family val="2"/>
          </rPr>
          <t xml:space="preserve">
</t>
        </r>
      </text>
    </comment>
  </commentList>
</comments>
</file>

<file path=xl/comments54.xml><?xml version="1.0" encoding="utf-8"?>
<comments xmlns="http://schemas.openxmlformats.org/spreadsheetml/2006/main">
  <authors>
    <author>accounts</author>
  </authors>
  <commentList>
    <comment ref="J63" authorId="0" shapeId="0">
      <text>
        <r>
          <rPr>
            <b/>
            <sz val="8"/>
            <color indexed="81"/>
            <rFont val="Tahoma"/>
            <family val="2"/>
          </rPr>
          <t>RECHECKED ON 10/12/13</t>
        </r>
        <r>
          <rPr>
            <sz val="8"/>
            <color indexed="81"/>
            <rFont val="Tahoma"/>
            <family val="2"/>
          </rPr>
          <t xml:space="preserve">
</t>
        </r>
      </text>
    </comment>
  </commentList>
</comments>
</file>

<file path=xl/comments55.xml><?xml version="1.0" encoding="utf-8"?>
<comments xmlns="http://schemas.openxmlformats.org/spreadsheetml/2006/main">
  <authors>
    <author>accounts</author>
  </authors>
  <commentList>
    <comment ref="J64" authorId="0" shapeId="0">
      <text>
        <r>
          <rPr>
            <b/>
            <sz val="8"/>
            <color indexed="81"/>
            <rFont val="Tahoma"/>
            <family val="2"/>
          </rPr>
          <t>CHECKED ON 11.12.13</t>
        </r>
        <r>
          <rPr>
            <sz val="8"/>
            <color indexed="81"/>
            <rFont val="Tahoma"/>
            <family val="2"/>
          </rPr>
          <t xml:space="preserve">
</t>
        </r>
      </text>
    </comment>
  </commentList>
</comments>
</file>

<file path=xl/sharedStrings.xml><?xml version="1.0" encoding="utf-8"?>
<sst xmlns="http://schemas.openxmlformats.org/spreadsheetml/2006/main" count="24445" uniqueCount="1711">
  <si>
    <t xml:space="preserve">SR. NO </t>
  </si>
  <si>
    <t xml:space="preserve">NAME </t>
  </si>
  <si>
    <t xml:space="preserve">PAN NO </t>
  </si>
  <si>
    <t xml:space="preserve">TOTAL TAX </t>
  </si>
  <si>
    <t xml:space="preserve">BALANCE TAX </t>
  </si>
  <si>
    <t>Mr. C. K. Borikar</t>
  </si>
  <si>
    <t>ABWPB1871H</t>
  </si>
  <si>
    <t>Mr. M.L. Mane</t>
  </si>
  <si>
    <t>ABCPM5927H</t>
  </si>
  <si>
    <t>Mr. U.C. Pradhan</t>
  </si>
  <si>
    <t>ADHPP1650P</t>
  </si>
  <si>
    <t>Mr. K.S. Lakhane</t>
  </si>
  <si>
    <t>ABRPL4887E</t>
  </si>
  <si>
    <t>Mr. V. M. Kurve</t>
  </si>
  <si>
    <t>AHQPK1439A</t>
  </si>
  <si>
    <t>Mr. P. M. Khapke</t>
  </si>
  <si>
    <t>ACSPK1046N</t>
  </si>
  <si>
    <t>Mr. S. S. Neema</t>
  </si>
  <si>
    <t>AASPN2822M</t>
  </si>
  <si>
    <t xml:space="preserve">Mr. R. S. Mahalpure </t>
  </si>
  <si>
    <t>AFWPM1854M</t>
  </si>
  <si>
    <t>Ms. Parvathi R.</t>
  </si>
  <si>
    <t>AGXPR0340R</t>
  </si>
  <si>
    <t xml:space="preserve">Mr. A. S. Kamble </t>
  </si>
  <si>
    <t>ACQPK4259H</t>
  </si>
  <si>
    <t>Ms. V. K. Vaidya</t>
  </si>
  <si>
    <t>AGDPV4512H</t>
  </si>
  <si>
    <t>Ms. U. S. Sonawane</t>
  </si>
  <si>
    <t>ACRPS9024K</t>
  </si>
  <si>
    <t>Mr. Mukund Shrivastav</t>
  </si>
  <si>
    <t>APSPS6552C</t>
  </si>
  <si>
    <t>Mr B. R. Rumde</t>
  </si>
  <si>
    <t>AASPR2306L</t>
  </si>
  <si>
    <t>Mr R.K. Lembhe</t>
  </si>
  <si>
    <t>ABCPL2959E</t>
  </si>
  <si>
    <t xml:space="preserve">Mr. D. B. Nagpure </t>
  </si>
  <si>
    <t>AAVPN2192F</t>
  </si>
  <si>
    <t>Ms. Varsha V. Tawde</t>
  </si>
  <si>
    <t>ABTPT1092K</t>
  </si>
  <si>
    <t xml:space="preserve">Mr. S. S. Matkar </t>
  </si>
  <si>
    <t>AKCPM9552D</t>
  </si>
  <si>
    <t>Mr. S. V. Rajwadkar</t>
  </si>
  <si>
    <t>ADQPR0929N</t>
  </si>
  <si>
    <t>Mr. M.P. Joshi</t>
  </si>
  <si>
    <t>ABSPJ9047P</t>
  </si>
  <si>
    <t>Mr. D.P. Varghese</t>
  </si>
  <si>
    <t>ABEPV2768D</t>
  </si>
  <si>
    <t>Ms. Sujata R. Patkar</t>
  </si>
  <si>
    <t>ACQPP2485A</t>
  </si>
  <si>
    <t>MRS. R.A. Kachwala</t>
  </si>
  <si>
    <t>AFUPK6993D</t>
  </si>
  <si>
    <t>Mr. V. N. Waghmare</t>
  </si>
  <si>
    <t>AAOPW3992R</t>
  </si>
  <si>
    <t>Mr. S.A. Acharekar</t>
  </si>
  <si>
    <t>AMVPS6644M</t>
  </si>
  <si>
    <t>Mr. Ajjay Y. Kore</t>
  </si>
  <si>
    <t>ADBPK7216J</t>
  </si>
  <si>
    <t>Mr. K. P. Kafle</t>
  </si>
  <si>
    <t>AMRPK1421E</t>
  </si>
  <si>
    <t>Mr. M.K. Panchal</t>
  </si>
  <si>
    <t>ADNPP8730C</t>
  </si>
  <si>
    <t>Ms. Radhika S. Varadkar</t>
  </si>
  <si>
    <t>AJPPP6298R</t>
  </si>
  <si>
    <t>Mr. Anil S. Gowarkar</t>
  </si>
  <si>
    <t>AIMPG7606G</t>
  </si>
  <si>
    <t>Mr. J. M. Salvi</t>
  </si>
  <si>
    <t>BCMPS0953B</t>
  </si>
  <si>
    <t>Mr. C.D. Walawalkar</t>
  </si>
  <si>
    <t>AAIPW6669B</t>
  </si>
  <si>
    <t>Mr. S. J. Sawant</t>
  </si>
  <si>
    <t>ACRPS9158C</t>
  </si>
  <si>
    <t>Mr. P. C. Shukla</t>
  </si>
  <si>
    <t>AJEPS5879E</t>
  </si>
  <si>
    <t>Mr. A.H. Juikar</t>
  </si>
  <si>
    <t>AEIPJ2086B</t>
  </si>
  <si>
    <t>Mr. D.R. More</t>
  </si>
  <si>
    <t>AHYPM5668B</t>
  </si>
  <si>
    <t>Ajit M. Kamble</t>
  </si>
  <si>
    <t>AONPK2064B</t>
  </si>
  <si>
    <t>Mr. V. B. Bhute</t>
  </si>
  <si>
    <t>AKCPB2619J</t>
  </si>
  <si>
    <t>Mr. S.P.Ahire</t>
  </si>
  <si>
    <t>AHRPA9085F</t>
  </si>
  <si>
    <t>Smt. S. A. Shingade</t>
  </si>
  <si>
    <t>Mr. Paresh Ghate</t>
  </si>
  <si>
    <t>AJBPG6549A</t>
  </si>
  <si>
    <t>Mr. Santosh J. Jadhav</t>
  </si>
  <si>
    <t>AFTPJ6889E</t>
  </si>
  <si>
    <t>Mr. V.K.Parab</t>
  </si>
  <si>
    <t>ALBPP2768E</t>
  </si>
  <si>
    <t>Mr. S. T. Ambokar</t>
  </si>
  <si>
    <t>AGMPA3878Q</t>
  </si>
  <si>
    <t>Mr. H. R. Kadam</t>
  </si>
  <si>
    <t>ANWPK1542J</t>
  </si>
  <si>
    <t>Mr. B.J.Karbhari</t>
  </si>
  <si>
    <t>AMZPK9646F</t>
  </si>
  <si>
    <t>Ms. Rashmi R. Dhoke</t>
  </si>
  <si>
    <t>AIHPD4783E</t>
  </si>
  <si>
    <t>Mr. Udaybir M. Chavan</t>
  </si>
  <si>
    <t>AFBPC2896N</t>
  </si>
  <si>
    <t>Employee Code</t>
  </si>
  <si>
    <t>069</t>
  </si>
  <si>
    <r>
      <t>Name</t>
    </r>
    <r>
      <rPr>
        <sz val="10"/>
        <rFont val="Arial"/>
        <family val="2"/>
      </rPr>
      <t xml:space="preserve"> </t>
    </r>
  </si>
  <si>
    <r>
      <t>Acc. No.</t>
    </r>
    <r>
      <rPr>
        <sz val="10"/>
        <rFont val="Arial"/>
        <family val="2"/>
      </rPr>
      <t xml:space="preserve"> </t>
    </r>
  </si>
  <si>
    <r>
      <t>Department</t>
    </r>
    <r>
      <rPr>
        <sz val="10"/>
        <rFont val="Arial"/>
        <family val="2"/>
      </rPr>
      <t xml:space="preserve"> </t>
    </r>
  </si>
  <si>
    <t xml:space="preserve">O/o C.E. (W ZONE), AIR/DD </t>
  </si>
  <si>
    <r>
      <t>Birth Date</t>
    </r>
    <r>
      <rPr>
        <sz val="10"/>
        <rFont val="Arial"/>
        <family val="2"/>
      </rPr>
      <t xml:space="preserve"> </t>
    </r>
  </si>
  <si>
    <r>
      <t>City</t>
    </r>
    <r>
      <rPr>
        <sz val="10"/>
        <rFont val="Arial"/>
        <family val="2"/>
      </rPr>
      <t xml:space="preserve"> </t>
    </r>
  </si>
  <si>
    <t xml:space="preserve">MUMBAI </t>
  </si>
  <si>
    <r>
      <t>Bank Code</t>
    </r>
    <r>
      <rPr>
        <sz val="10"/>
        <rFont val="Arial"/>
        <family val="2"/>
      </rPr>
      <t xml:space="preserve"> </t>
    </r>
  </si>
  <si>
    <r>
      <t>Designation</t>
    </r>
    <r>
      <rPr>
        <sz val="10"/>
        <rFont val="Arial"/>
        <family val="2"/>
      </rPr>
      <t xml:space="preserve"> </t>
    </r>
  </si>
  <si>
    <t>UDC</t>
  </si>
  <si>
    <r>
      <t>Deputation</t>
    </r>
    <r>
      <rPr>
        <sz val="10"/>
        <rFont val="Arial"/>
        <family val="2"/>
      </rPr>
      <t xml:space="preserve"> </t>
    </r>
  </si>
  <si>
    <t xml:space="preserve">Prasar Bharti </t>
  </si>
  <si>
    <t>pan</t>
  </si>
  <si>
    <t>MALE / FEMALE</t>
  </si>
  <si>
    <t>M</t>
  </si>
  <si>
    <t>TOTAL</t>
  </si>
  <si>
    <t>BASIC</t>
  </si>
  <si>
    <t xml:space="preserve"> G_ PAY</t>
  </si>
  <si>
    <t>DA</t>
  </si>
  <si>
    <t xml:space="preserve">SP </t>
  </si>
  <si>
    <t xml:space="preserve">CCA </t>
  </si>
  <si>
    <t>TA</t>
  </si>
  <si>
    <t xml:space="preserve">PP </t>
  </si>
  <si>
    <t>WA</t>
  </si>
  <si>
    <t>diff</t>
  </si>
  <si>
    <t>medical</t>
  </si>
  <si>
    <t xml:space="preserve">HRA </t>
  </si>
  <si>
    <t>CEA</t>
  </si>
  <si>
    <t xml:space="preserve">SPECIAL ALLOWANCES </t>
  </si>
  <si>
    <t xml:space="preserve">BCA </t>
  </si>
  <si>
    <t>BONUS</t>
  </si>
  <si>
    <t xml:space="preserve">HCA </t>
  </si>
  <si>
    <t xml:space="preserve">ISDA </t>
  </si>
  <si>
    <t xml:space="preserve">PA </t>
  </si>
  <si>
    <t xml:space="preserve">RLA </t>
  </si>
  <si>
    <t xml:space="preserve">SDA </t>
  </si>
  <si>
    <t xml:space="preserve">TRAVEL </t>
  </si>
  <si>
    <t xml:space="preserve">TAA </t>
  </si>
  <si>
    <t xml:space="preserve">H. CAP </t>
  </si>
  <si>
    <t>Leave Encash</t>
  </si>
  <si>
    <t>SALARY ARREARS</t>
  </si>
  <si>
    <t>Pay Recovery</t>
  </si>
  <si>
    <t>HONORARIUM</t>
  </si>
  <si>
    <t xml:space="preserve">TA arrears </t>
  </si>
  <si>
    <t xml:space="preserve">DA arrears </t>
  </si>
  <si>
    <t>GROSS PAY</t>
  </si>
  <si>
    <t xml:space="preserve">           DEDUCTIONS</t>
  </si>
  <si>
    <t xml:space="preserve">IT </t>
  </si>
  <si>
    <t xml:space="preserve">HRR </t>
  </si>
  <si>
    <t xml:space="preserve">CGEGIS </t>
  </si>
  <si>
    <t>loan</t>
  </si>
  <si>
    <t xml:space="preserve">CGHS </t>
  </si>
  <si>
    <t xml:space="preserve">GPF </t>
  </si>
  <si>
    <t xml:space="preserve">PROF. TAX </t>
  </si>
  <si>
    <t xml:space="preserve">IIS FEE </t>
  </si>
  <si>
    <t xml:space="preserve">GPF Rec. </t>
  </si>
  <si>
    <t>TA / LTC/ LIC Recovery etc</t>
  </si>
  <si>
    <t>computer/vechicle/oth vechi adv</t>
  </si>
  <si>
    <t>GROSS DED.</t>
  </si>
  <si>
    <t>NET PAY</t>
  </si>
  <si>
    <t>GROSS SALARY</t>
  </si>
  <si>
    <t xml:space="preserve">LESS: EXEMPT </t>
  </si>
  <si>
    <t>U/S 10</t>
  </si>
  <si>
    <t>T.A.</t>
  </si>
  <si>
    <t>PROFESSION TAX</t>
  </si>
  <si>
    <t>MEDICAL ALLOWANCES</t>
  </si>
  <si>
    <t>INCOME CHARGABLE UNDER HEAD SALARIES</t>
  </si>
  <si>
    <t>INVESTMENT PLAN</t>
  </si>
  <si>
    <t>INCOME CHARGABLE UNDER HOUSE PROPERTY</t>
  </si>
  <si>
    <t>LESS : U/S 24(B)</t>
  </si>
  <si>
    <t>INTREST OF HOME LOAN</t>
  </si>
  <si>
    <t>FINAL CERTIFICATE FROM BANK ATTACHED</t>
  </si>
  <si>
    <t>HOME LOAN</t>
  </si>
  <si>
    <t>GROSS TOTAL INCOME</t>
  </si>
  <si>
    <t>DEDDUCTION UNDER CHAPTER VI A</t>
  </si>
  <si>
    <t>GROSS AMOUNT</t>
  </si>
  <si>
    <t>DEDUCTIBLE AMOUNT</t>
  </si>
  <si>
    <t>POLICY NO.</t>
  </si>
  <si>
    <t>LESS</t>
  </si>
  <si>
    <t>U/S 80C</t>
  </si>
  <si>
    <t>GPF</t>
  </si>
  <si>
    <t>NO PREMIUM</t>
  </si>
  <si>
    <t>LIC PREMIUM</t>
  </si>
  <si>
    <t>CGEGIS</t>
  </si>
  <si>
    <t>NSC</t>
  </si>
  <si>
    <t>MEDICLAIM</t>
  </si>
  <si>
    <t>NSC INTEREST</t>
  </si>
  <si>
    <t>CGHS CONTRIBUTION</t>
  </si>
  <si>
    <t>PPF</t>
  </si>
  <si>
    <t>REPAYMENT OF HBA</t>
  </si>
  <si>
    <t>U/S 80CCF</t>
  </si>
  <si>
    <t>INFRASTRUCTURE BONDS</t>
  </si>
  <si>
    <t>U/S 80CCC</t>
  </si>
  <si>
    <t>POLICY PENSION</t>
  </si>
  <si>
    <t>U/S 80 D</t>
  </si>
  <si>
    <t>U/S 80 DDB</t>
  </si>
  <si>
    <t>MEDICAL TREATMENT</t>
  </si>
  <si>
    <t>U/S 80 E</t>
  </si>
  <si>
    <t>EDUCATION LOAN</t>
  </si>
  <si>
    <t>U/S 80 G</t>
  </si>
  <si>
    <t>DONATION</t>
  </si>
  <si>
    <t>U/S 80 U</t>
  </si>
  <si>
    <t>PHYSICALLY HANDICAP</t>
  </si>
  <si>
    <t>TOTAL REBATE</t>
  </si>
  <si>
    <t>NET TAXABLE INCOME</t>
  </si>
  <si>
    <t>Tax Slabs</t>
  </si>
  <si>
    <t>Tax rate</t>
  </si>
  <si>
    <t>Appl Amt</t>
  </si>
  <si>
    <t>Balance</t>
  </si>
  <si>
    <t>Tax</t>
  </si>
  <si>
    <t>500001 - 1000000</t>
  </si>
  <si>
    <t>&gt; 1000000</t>
  </si>
  <si>
    <t xml:space="preserve">TAX </t>
  </si>
  <si>
    <t>REBATE U/S 87</t>
  </si>
  <si>
    <t>TAX DUE</t>
  </si>
  <si>
    <t>EDUCATIONAL CESS @ 3%</t>
  </si>
  <si>
    <t>NET PAYABLE TAX</t>
  </si>
  <si>
    <t>TAX DEDUCTED AT SOURCE</t>
  </si>
  <si>
    <t>24.06.1963</t>
  </si>
  <si>
    <t>Peon</t>
  </si>
  <si>
    <t>F</t>
  </si>
  <si>
    <t>approximate salaries</t>
  </si>
  <si>
    <t>MEDICAL</t>
  </si>
  <si>
    <t xml:space="preserve">TRA. ALL </t>
  </si>
  <si>
    <t xml:space="preserve">DESK_ALL </t>
  </si>
  <si>
    <t>LEAVE ENCAS</t>
  </si>
  <si>
    <t>FESTIVAL ADV</t>
  </si>
  <si>
    <t>S.D</t>
  </si>
  <si>
    <t>SBI Home Laon dtd 3/09/2016</t>
  </si>
  <si>
    <t>FROM SALARY</t>
  </si>
  <si>
    <t>LIC</t>
  </si>
  <si>
    <t>MLY</t>
  </si>
  <si>
    <t>QTY</t>
  </si>
  <si>
    <t>Q1</t>
  </si>
  <si>
    <t>Q2</t>
  </si>
  <si>
    <t>Q3</t>
  </si>
  <si>
    <t>Q4</t>
  </si>
  <si>
    <t>TAX</t>
  </si>
  <si>
    <t>EDUCATIONAL CESS @ 4%</t>
  </si>
  <si>
    <t>01.07.1971</t>
  </si>
  <si>
    <t xml:space="preserve">computer adv </t>
  </si>
  <si>
    <t>MEDICAL REIMBURSEMENT</t>
  </si>
  <si>
    <t>GIC HOUSING FINANCE LTD PANVEL - DTD 05.01.2016</t>
  </si>
  <si>
    <t>01.04.1961</t>
  </si>
  <si>
    <t>LEAVE ENCASHMENT</t>
  </si>
  <si>
    <t>Honorarium</t>
  </si>
  <si>
    <t xml:space="preserve">LIC FEE </t>
  </si>
  <si>
    <t>LICHFL CERTIFICATE DTD. 10.01.2018</t>
  </si>
  <si>
    <t>27.05.1961</t>
  </si>
  <si>
    <t>Daftary</t>
  </si>
  <si>
    <t>Leave Encashment</t>
  </si>
  <si>
    <t>HOUSE RENT ALLOWANCE</t>
  </si>
  <si>
    <t>NO HOME LOAN</t>
  </si>
  <si>
    <t>Yly</t>
  </si>
  <si>
    <t>will be paid in Feb.'2017</t>
  </si>
  <si>
    <r>
      <t>HRA CALCULATION</t>
    </r>
    <r>
      <rPr>
        <b/>
        <sz val="10"/>
        <rFont val="Arial"/>
        <family val="2"/>
      </rPr>
      <t xml:space="preserve"> (least of 3)</t>
    </r>
  </si>
  <si>
    <t>No documents</t>
  </si>
  <si>
    <t>50% of salary</t>
  </si>
  <si>
    <t>HRA received</t>
  </si>
  <si>
    <t>Rent paid in excess of 10% of salary</t>
  </si>
  <si>
    <t>exemption is least of 3 above</t>
  </si>
  <si>
    <t xml:space="preserve">HRA EXEMPTION </t>
  </si>
  <si>
    <t>21.06.1963</t>
  </si>
  <si>
    <t>PM RELEIF FUND/festival</t>
  </si>
  <si>
    <t>OTHER ALLOWANCES</t>
  </si>
  <si>
    <t>AMT</t>
  </si>
  <si>
    <t>MH-622737-CC</t>
  </si>
  <si>
    <t>POST</t>
  </si>
  <si>
    <t>PLI</t>
  </si>
  <si>
    <t>23.06.1971</t>
  </si>
  <si>
    <t>Helper</t>
  </si>
  <si>
    <t>07.08.1996</t>
  </si>
  <si>
    <t>FESTIVAL/ADTEA</t>
  </si>
  <si>
    <t xml:space="preserve">WILL BE PAID </t>
  </si>
  <si>
    <t>QLY</t>
  </si>
  <si>
    <t>04.08.1965</t>
  </si>
  <si>
    <t>JOINING DATE</t>
  </si>
  <si>
    <t>10.10.1990</t>
  </si>
  <si>
    <t>PAY RECOVERY</t>
  </si>
  <si>
    <t xml:space="preserve">Lic FEE </t>
  </si>
  <si>
    <t xml:space="preserve">computer </t>
  </si>
  <si>
    <t>FESTIVAL/ASS</t>
  </si>
  <si>
    <t xml:space="preserve">HOME LOAN GIC Insurance </t>
  </si>
  <si>
    <t>interes</t>
  </si>
  <si>
    <t>dtd 02.01.2016</t>
  </si>
  <si>
    <t>15.06.1965</t>
  </si>
  <si>
    <t>29.08.1990</t>
  </si>
  <si>
    <t>&gt; 1000001</t>
  </si>
  <si>
    <t>20.05.1967</t>
  </si>
  <si>
    <t>26.12.1991</t>
  </si>
  <si>
    <t>Computer Adv.</t>
  </si>
  <si>
    <t xml:space="preserve">LICENCE FEE </t>
  </si>
  <si>
    <t>LIC Recovery etc</t>
  </si>
  <si>
    <t>FESTIAssoc.</t>
  </si>
  <si>
    <t>CHILD EDU ALLOWANCES</t>
  </si>
  <si>
    <t>GIC HOUSING FIN LTD-PANVEL DTD.04.08.2016</t>
  </si>
  <si>
    <t>199</t>
  </si>
  <si>
    <t>01.06.1969</t>
  </si>
  <si>
    <t>SCD</t>
  </si>
  <si>
    <t>17.05.1996</t>
  </si>
  <si>
    <r>
      <t>TEA</t>
    </r>
    <r>
      <rPr>
        <sz val="8"/>
        <rFont val="Copperplate Gothic Light"/>
        <family val="2"/>
      </rPr>
      <t>/computer adv</t>
    </r>
  </si>
  <si>
    <t>HOME LOAN (DHFL) dtd 18.11.17</t>
  </si>
  <si>
    <t xml:space="preserve">DTD 01.04.17 TO 31.03.18 )  </t>
  </si>
  <si>
    <t>Receipts to collected</t>
  </si>
  <si>
    <t>Birla Sun Life Insurance</t>
  </si>
  <si>
    <t>The New India Assurance Co.Ltd.</t>
  </si>
  <si>
    <t>15.09.1965</t>
  </si>
  <si>
    <t>06.02.1996</t>
  </si>
  <si>
    <t xml:space="preserve">LICENCE  FEE </t>
  </si>
  <si>
    <t xml:space="preserve">Computer adv </t>
  </si>
  <si>
    <t xml:space="preserve">GIC HOUSING FIN LTD-PANVEL </t>
  </si>
  <si>
    <t>Interes</t>
  </si>
  <si>
    <t>dtd 11.01.2018</t>
  </si>
  <si>
    <t>Princip</t>
  </si>
  <si>
    <t>TUTION FEES</t>
  </si>
  <si>
    <t>265</t>
  </si>
  <si>
    <t>Asst.Dir. Engg.</t>
  </si>
  <si>
    <t>24/07/2017 Transfer</t>
  </si>
  <si>
    <t>LEAVE ENCASH</t>
  </si>
  <si>
    <t>pay recovery</t>
  </si>
  <si>
    <t xml:space="preserve">TA / LTC/ LIC </t>
  </si>
  <si>
    <t>TEA/festival adv</t>
  </si>
  <si>
    <t>LIC P.NO.927228216 &amp; 15</t>
  </si>
  <si>
    <t xml:space="preserve"> March Receipts expected</t>
  </si>
  <si>
    <t>194</t>
  </si>
  <si>
    <t>20.01.1964</t>
  </si>
  <si>
    <t>27.07.1987</t>
  </si>
  <si>
    <t>FESTIVAL/TEA</t>
  </si>
  <si>
    <t>STANDARD DED.</t>
  </si>
  <si>
    <t>THE NEW INDIA ASS CO.</t>
  </si>
  <si>
    <t>Receipt dated 19.09.2016</t>
  </si>
  <si>
    <t>Mr. Sudhakar S. Matkar</t>
  </si>
  <si>
    <t>17.04.1966</t>
  </si>
  <si>
    <t>SR. TECH</t>
  </si>
  <si>
    <t>09.09.1987</t>
  </si>
  <si>
    <t>FEST./ASSOC.FEE</t>
  </si>
  <si>
    <t>26.12.1966</t>
  </si>
  <si>
    <t>LDC</t>
  </si>
  <si>
    <t>3.08.1985</t>
  </si>
  <si>
    <t xml:space="preserve">Tranferd to TV NP Rejister </t>
  </si>
  <si>
    <t>HOUSE RENT ALLOWANCES</t>
  </si>
  <si>
    <t>01005875</t>
  </si>
  <si>
    <t>FUTURE GENERALI</t>
  </si>
  <si>
    <t>0087642</t>
  </si>
  <si>
    <t>BAJAJ ALLIANZ</t>
  </si>
  <si>
    <t>50% of salary as is staying in Mumbai</t>
  </si>
  <si>
    <t>House Rent Allowance Received</t>
  </si>
  <si>
    <t xml:space="preserve"> 16500 PM</t>
  </si>
  <si>
    <t>DETAILS OF RENT PAID</t>
  </si>
  <si>
    <t>10.09.11-09.08.12</t>
  </si>
  <si>
    <t>10.08.12-09.07.13</t>
  </si>
  <si>
    <t>10.07.13-09.05.14</t>
  </si>
  <si>
    <t>12.08.1972</t>
  </si>
  <si>
    <t>15.09.1994</t>
  </si>
  <si>
    <t xml:space="preserve">encash </t>
  </si>
  <si>
    <t>scooter adv/computer</t>
  </si>
  <si>
    <t>OTHER VEHC/COM ADV</t>
  </si>
  <si>
    <t>MEDICAL ALLOW./CEA</t>
  </si>
  <si>
    <t>NO HOME LOAN TAKEN</t>
  </si>
  <si>
    <t>TUITION FEE</t>
  </si>
  <si>
    <t>Tutopn Fee @ 1500/- p.q. for 2 child = 14400</t>
  </si>
  <si>
    <t>24.09.1975</t>
  </si>
  <si>
    <t>21.05.1996</t>
  </si>
  <si>
    <t>PM RELEIF FUND</t>
  </si>
  <si>
    <t>166</t>
  </si>
  <si>
    <t>01.06.1960</t>
  </si>
  <si>
    <t>Carpenter</t>
  </si>
  <si>
    <t>30.08.1988</t>
  </si>
  <si>
    <t>books</t>
  </si>
  <si>
    <t xml:space="preserve">IIS/ASSOC. FEE </t>
  </si>
  <si>
    <t>THE NEW INDIA ASS. CO. LTD</t>
  </si>
  <si>
    <t>(08/08/15 to 07/08/16)</t>
  </si>
  <si>
    <t>80DDB</t>
  </si>
  <si>
    <t>CERTIFICATE DTD.23/11/16 ISSUED BY Addl.</t>
  </si>
  <si>
    <t>Civil Surgeon, Civil Hospital, Thane</t>
  </si>
  <si>
    <t>index</t>
  </si>
  <si>
    <t>150</t>
  </si>
  <si>
    <t>05.02.1968</t>
  </si>
  <si>
    <t>Draftsman- III</t>
  </si>
  <si>
    <t>14.06.1993</t>
  </si>
  <si>
    <t>encash e.l.</t>
  </si>
  <si>
    <t xml:space="preserve">scooter ADV/other </t>
  </si>
  <si>
    <t>HOME LOAN HDFC dated 01.06.2016</t>
  </si>
  <si>
    <t>50% Self</t>
  </si>
  <si>
    <t>Principa</t>
  </si>
  <si>
    <t>50% wife</t>
  </si>
  <si>
    <t>Interest</t>
  </si>
  <si>
    <t>LIC PAID STATEMENT GIVEN</t>
  </si>
  <si>
    <t>UNITED INDIA INS CO. LTD 10.10.16</t>
  </si>
  <si>
    <t>02.16.1968</t>
  </si>
  <si>
    <t>Sr. Tech.</t>
  </si>
  <si>
    <t>15.11.1989</t>
  </si>
  <si>
    <t>ABRPA1062A</t>
  </si>
  <si>
    <t xml:space="preserve">TEA/festival </t>
  </si>
  <si>
    <t>Principal</t>
  </si>
  <si>
    <t>115</t>
  </si>
  <si>
    <t>20.05.1961</t>
  </si>
  <si>
    <t>Draftman  I</t>
  </si>
  <si>
    <t>16.05.1984</t>
  </si>
  <si>
    <r>
      <t>COMPUTER/</t>
    </r>
    <r>
      <rPr>
        <sz val="12"/>
        <rFont val="Copperplate Gothic Light"/>
        <family val="2"/>
      </rPr>
      <t>festival adv</t>
    </r>
  </si>
  <si>
    <t>145</t>
  </si>
  <si>
    <t>07.03.1968</t>
  </si>
  <si>
    <t>Steno III</t>
  </si>
  <si>
    <t xml:space="preserve">DP </t>
  </si>
  <si>
    <t>TEA</t>
  </si>
  <si>
    <t>Max life Insurance 18.04.18</t>
  </si>
  <si>
    <t>106</t>
  </si>
  <si>
    <t>25.05.1961</t>
  </si>
  <si>
    <t>Steno  II</t>
  </si>
  <si>
    <t>03.11.1983</t>
  </si>
  <si>
    <t xml:space="preserve">ECS LIC </t>
  </si>
  <si>
    <t>Mtly</t>
  </si>
  <si>
    <t>Mediclaim - The New India</t>
  </si>
  <si>
    <t>Assurance Co. Ltd.</t>
  </si>
  <si>
    <t>bal 5 mths</t>
  </si>
  <si>
    <t>090</t>
  </si>
  <si>
    <t>03.09.1965</t>
  </si>
  <si>
    <t>EA</t>
  </si>
  <si>
    <t>27.10.1990</t>
  </si>
  <si>
    <t>089</t>
  </si>
  <si>
    <t>24.02.1966</t>
  </si>
  <si>
    <t>08.10.1989</t>
  </si>
  <si>
    <t xml:space="preserve">IIS/ASSO. FEE </t>
  </si>
  <si>
    <t>STANDERD DED.</t>
  </si>
  <si>
    <t>SBI Home Loan dtd 12.08.2016</t>
  </si>
  <si>
    <t>UNITED INDIA INS CO. LTD</t>
  </si>
  <si>
    <t>12.4.2016</t>
  </si>
  <si>
    <t>STATE BANK OF INDIA-YADNESH</t>
  </si>
  <si>
    <t>087</t>
  </si>
  <si>
    <t>02.11.1964</t>
  </si>
  <si>
    <t>21.10.1985</t>
  </si>
  <si>
    <t xml:space="preserve">GPF SUBC </t>
  </si>
  <si>
    <t>ASSOC. FEE</t>
  </si>
  <si>
    <t>905814888</t>
  </si>
  <si>
    <t>SELF</t>
  </si>
  <si>
    <t>920963332</t>
  </si>
  <si>
    <t>SON</t>
  </si>
  <si>
    <t>HLY</t>
  </si>
  <si>
    <t>080</t>
  </si>
  <si>
    <t>07.11.1966</t>
  </si>
  <si>
    <t>Hindi Officer</t>
  </si>
  <si>
    <t>DATE OF JOINING</t>
  </si>
  <si>
    <t>14.05.1993</t>
  </si>
  <si>
    <t>COMPUTER ADV</t>
  </si>
  <si>
    <t>PREMIUM</t>
  </si>
  <si>
    <t>Kotak Life Insu = 25470</t>
  </si>
  <si>
    <t>DOCUMENT NOT GIVEN</t>
  </si>
  <si>
    <r>
      <t>ID</t>
    </r>
    <r>
      <rPr>
        <sz val="10"/>
        <rFont val="Arial"/>
        <family val="2"/>
      </rPr>
      <t xml:space="preserve"> </t>
    </r>
  </si>
  <si>
    <t>Mr. Deepak B. Nagpure</t>
  </si>
  <si>
    <t>06.12.1989</t>
  </si>
  <si>
    <t>ASS FEES / festival adv</t>
  </si>
  <si>
    <t>STAR HEALTH &amp; ALLIED INS CO. LTD</t>
  </si>
  <si>
    <t>( Not taken this year)</t>
  </si>
  <si>
    <t>18.05.1966</t>
  </si>
  <si>
    <t>U D C</t>
  </si>
  <si>
    <t>29.10.1992</t>
  </si>
  <si>
    <t>Medical</t>
  </si>
  <si>
    <t>Extra Income = 32500</t>
  </si>
  <si>
    <t>Upto July'16 @6500/-</t>
  </si>
  <si>
    <t>computer adv</t>
  </si>
  <si>
    <t>Computer inst</t>
  </si>
  <si>
    <t>LIC HOUSING FINANCE LTD - DTD.2 &amp; 3/08/2016</t>
  </si>
  <si>
    <t>(100% self claimed) Intr</t>
  </si>
  <si>
    <t>991123127</t>
  </si>
  <si>
    <t>991123128</t>
  </si>
  <si>
    <t>qu</t>
  </si>
  <si>
    <t>q</t>
  </si>
  <si>
    <t xml:space="preserve">ORIENTAL INSURANCE CO. </t>
  </si>
  <si>
    <t>(27.10.2016 to 26.10.2017)</t>
  </si>
  <si>
    <t>LIC POLICY</t>
  </si>
  <si>
    <t>QTLY</t>
  </si>
  <si>
    <t>EDUCATIONAL CESS @4%</t>
  </si>
  <si>
    <t>Mr. R.S. Mahalpure</t>
  </si>
  <si>
    <t>AIR/MUM/GPF/1837</t>
  </si>
  <si>
    <t>Date of Joining</t>
  </si>
  <si>
    <t>02.09.1983</t>
  </si>
  <si>
    <t>AE</t>
  </si>
  <si>
    <t>ASS FEES</t>
  </si>
  <si>
    <t>074</t>
  </si>
  <si>
    <t>Mr. Vandana K.Vaidya</t>
  </si>
  <si>
    <t>16-09-1983</t>
  </si>
  <si>
    <t>TA / LTC/ LIC Recovery etc/PLI</t>
  </si>
  <si>
    <t>Education loan dtd 21.12.2016</t>
  </si>
  <si>
    <t xml:space="preserve">Mr. Aravind. S. Kamble </t>
  </si>
  <si>
    <t>ADE</t>
  </si>
  <si>
    <t>057</t>
  </si>
  <si>
    <t>04.07.1967</t>
  </si>
  <si>
    <t>25.05.1987</t>
  </si>
  <si>
    <t>Bharti AXA Life Income Plan</t>
  </si>
  <si>
    <t>ICICI Prudential</t>
  </si>
  <si>
    <t>Mr. Ajay Shrivastava</t>
  </si>
  <si>
    <t>AIR/MUM/2579</t>
  </si>
  <si>
    <t>10.10.1962</t>
  </si>
  <si>
    <t>31.05.2018</t>
  </si>
  <si>
    <t>PAN</t>
  </si>
  <si>
    <t>AERPS4830F</t>
  </si>
  <si>
    <t>MOTOR ADV</t>
  </si>
  <si>
    <t>HOUSE RENT PAID</t>
  </si>
  <si>
    <t xml:space="preserve"> PREMIUM</t>
  </si>
  <si>
    <t>NSC/TUITION FEE</t>
  </si>
  <si>
    <t>SENIOR CITIZEN</t>
  </si>
  <si>
    <t xml:space="preserve">rent paid 17500 pm for 12 months </t>
  </si>
  <si>
    <t>actual HRA received</t>
  </si>
  <si>
    <t>Total  exemption</t>
  </si>
  <si>
    <t>Total Taxable HRA</t>
  </si>
  <si>
    <t>073</t>
  </si>
  <si>
    <t xml:space="preserve">Mr. P. M. Khapke </t>
  </si>
  <si>
    <t>09.12.1988</t>
  </si>
  <si>
    <t xml:space="preserve">LICE. FEE </t>
  </si>
  <si>
    <t>H.B. ADV./int.</t>
  </si>
  <si>
    <t>FESTIVAL ADV/artee</t>
  </si>
  <si>
    <t xml:space="preserve">IIS/LICE FEE </t>
  </si>
  <si>
    <t>festival adv</t>
  </si>
  <si>
    <r>
      <rPr>
        <sz val="10"/>
        <rFont val="Copperplate Gothic Light"/>
        <family val="2"/>
      </rPr>
      <t xml:space="preserve">oth vechicle </t>
    </r>
    <r>
      <rPr>
        <sz val="9"/>
        <rFont val="Copperplate Gothic Light"/>
        <family val="2"/>
      </rPr>
      <t>/computer adv</t>
    </r>
  </si>
  <si>
    <t>Medical Reimbursment</t>
  </si>
  <si>
    <t xml:space="preserve">CEA </t>
  </si>
  <si>
    <t>008</t>
  </si>
  <si>
    <t>AK/GN/27899</t>
  </si>
  <si>
    <t>12.09.1984</t>
  </si>
  <si>
    <t>Transferred</t>
  </si>
  <si>
    <t>pp</t>
  </si>
  <si>
    <t>encashment</t>
  </si>
  <si>
    <t>OK</t>
  </si>
  <si>
    <t>RECORD CHECKED ON 05-02-2016</t>
  </si>
  <si>
    <t>075</t>
  </si>
  <si>
    <t>Mr. K.S. LAKHANE</t>
  </si>
  <si>
    <t>AK/GN/26009</t>
  </si>
  <si>
    <t>19/12/1963</t>
  </si>
  <si>
    <r>
      <t>Date of Joining</t>
    </r>
    <r>
      <rPr>
        <sz val="10"/>
        <rFont val="Arial"/>
        <family val="2"/>
      </rPr>
      <t xml:space="preserve"> </t>
    </r>
  </si>
  <si>
    <t>15/11/1988</t>
  </si>
  <si>
    <t>sp</t>
  </si>
  <si>
    <t>TEA/Asso Fee</t>
  </si>
  <si>
    <t>HOME LOAN dated 03.11.2016</t>
  </si>
  <si>
    <t xml:space="preserve">Interes </t>
  </si>
  <si>
    <t>50% claim</t>
  </si>
  <si>
    <t>ALL POLICY PREMIUM</t>
  </si>
  <si>
    <t>006</t>
  </si>
  <si>
    <t>AIR/MUM/GPF/1838</t>
  </si>
  <si>
    <t>10.08.1984</t>
  </si>
  <si>
    <t>0265</t>
  </si>
  <si>
    <t>AIR/MUM/2546</t>
  </si>
  <si>
    <t>Mr. ANURAG SHRIVASTAVA</t>
  </si>
  <si>
    <t>15.10.1962</t>
  </si>
  <si>
    <t>ANBPS1224J</t>
  </si>
  <si>
    <t>House Rent Allowance</t>
  </si>
  <si>
    <t>U/S 80 CCD(1B)</t>
  </si>
  <si>
    <t>NPS</t>
  </si>
  <si>
    <t>Mr. R.C. DESAI</t>
  </si>
  <si>
    <t>Mr. RONNY PEREIRA</t>
  </si>
  <si>
    <t>SR.TECH</t>
  </si>
  <si>
    <t>Policy No. 970493615</t>
  </si>
  <si>
    <t xml:space="preserve">                                                                                  NON PLAN SBI </t>
  </si>
  <si>
    <t xml:space="preserve">DEDCTION </t>
  </si>
  <si>
    <t>Mr. Syed Rafeeq Syed Jaleel</t>
  </si>
  <si>
    <t>ADCPJ6374R</t>
  </si>
  <si>
    <t>Mr. Sandeep A. Acharekar</t>
  </si>
  <si>
    <t>Mr. K.A. Baikar</t>
  </si>
  <si>
    <t>AIGPB5678P</t>
  </si>
  <si>
    <t>Mr. Devidas R. Sonawane</t>
  </si>
  <si>
    <t>Mr. V.B. Shelar</t>
  </si>
  <si>
    <t>AZUPS4527K</t>
  </si>
  <si>
    <t xml:space="preserve"> NON PLAN SBI </t>
  </si>
  <si>
    <t>Scheme</t>
  </si>
  <si>
    <t>Employee No</t>
  </si>
  <si>
    <t>MR. S. L. TALEKAR</t>
  </si>
  <si>
    <t>AAGPT7779K</t>
  </si>
  <si>
    <t>MR. S. J. KOTHALE</t>
  </si>
  <si>
    <t>ACHPK8113H</t>
  </si>
  <si>
    <t>Mr. S. S. Wadikar</t>
  </si>
  <si>
    <t>AAFPW9155R</t>
  </si>
  <si>
    <t>Mr. V. N. Kamble</t>
  </si>
  <si>
    <t>ABLPK7158D</t>
  </si>
  <si>
    <t>Mr. S. A. Acharekar</t>
  </si>
  <si>
    <t>Mr. P. B. Tuse</t>
  </si>
  <si>
    <t>ABAPT6280C</t>
  </si>
  <si>
    <t>Mr. Harishchandra Jaiswar</t>
  </si>
  <si>
    <t>ADJPJ6257A</t>
  </si>
  <si>
    <t>Mr. P. A. Parab</t>
  </si>
  <si>
    <t>AGFPP8957N</t>
  </si>
  <si>
    <t>Mr. S. P. Thanekar</t>
  </si>
  <si>
    <t>AATPT8733A</t>
  </si>
  <si>
    <t>Mr. P.B.Singhpal</t>
  </si>
  <si>
    <t>AHCPS2565H</t>
  </si>
  <si>
    <t>Mr. S. A. Ansari</t>
  </si>
  <si>
    <t>ADIPA1768J</t>
  </si>
  <si>
    <t>Mr. M. H. Harchirkar</t>
  </si>
  <si>
    <t>AAJPH7415D</t>
  </si>
  <si>
    <t>Mr.  Hemant Mangade</t>
  </si>
  <si>
    <t>AKMPM0400A</t>
  </si>
  <si>
    <t>Mr. Prashant P. Sawant</t>
  </si>
  <si>
    <t>AXLPS5214N</t>
  </si>
  <si>
    <t>Mr. Nilesh A Parab</t>
  </si>
  <si>
    <t>ALCPP7972R</t>
  </si>
  <si>
    <t>Mr. B. S. Surve</t>
  </si>
  <si>
    <t>AVUPS1951P</t>
  </si>
  <si>
    <t xml:space="preserve">Smt. Sheela George </t>
  </si>
  <si>
    <t xml:space="preserve">Mr. S. N. Vanga </t>
  </si>
  <si>
    <t>AAYPV2720L</t>
  </si>
  <si>
    <t>Mr. I. A. Pereira</t>
  </si>
  <si>
    <t>ACWPP7489A</t>
  </si>
  <si>
    <t>Mr. M. B. Rajeshirke</t>
  </si>
  <si>
    <t>ABWPR4988H</t>
  </si>
  <si>
    <t xml:space="preserve"> AIR NON PLAN </t>
  </si>
  <si>
    <t>Ms. Sheela George</t>
  </si>
  <si>
    <t>28.03.1963</t>
  </si>
  <si>
    <t>23.08.1988</t>
  </si>
  <si>
    <t>AAZPG2678P</t>
  </si>
  <si>
    <t>Books</t>
  </si>
  <si>
    <t>ADASA</t>
  </si>
  <si>
    <t>12.08.1962</t>
  </si>
  <si>
    <t>26.06.1989</t>
  </si>
  <si>
    <t>S C D</t>
  </si>
  <si>
    <t xml:space="preserve">IIS/ Lice. FEE </t>
  </si>
  <si>
    <t>FESTIVAL ADV/ASS FEES</t>
  </si>
  <si>
    <t>Fee Receipt dated 18.07.2016</t>
  </si>
  <si>
    <t>APOLLO MUNICH HELTH INSURANCE</t>
  </si>
  <si>
    <t>dobut</t>
  </si>
  <si>
    <t>14.11.14</t>
  </si>
  <si>
    <t>12.12.1960</t>
  </si>
  <si>
    <t>18.04.1988</t>
  </si>
  <si>
    <t>Carpen ter</t>
  </si>
  <si>
    <t xml:space="preserve">Fest. Adv. </t>
  </si>
  <si>
    <t>BASSEIN CATHOLIC CO-OP BANK LTD-PAPDY BRANCH</t>
  </si>
  <si>
    <t>DTD 05.01.2017</t>
  </si>
  <si>
    <t>08/06/1965</t>
  </si>
  <si>
    <t>16.12.1987</t>
  </si>
  <si>
    <t>UDC/SK</t>
  </si>
  <si>
    <t>Fest. ADV/ASS FEES</t>
  </si>
  <si>
    <t>MEDICAL REIM. &amp; CEA</t>
  </si>
  <si>
    <t xml:space="preserve">HOME LOAN - HDFC dtd </t>
  </si>
  <si>
    <t>16.05.2016</t>
  </si>
  <si>
    <t>Mr. Sanjay S. Wadikar</t>
  </si>
  <si>
    <t>14.12.1989</t>
  </si>
  <si>
    <t>SEA</t>
  </si>
  <si>
    <t>Sal. Arreas</t>
  </si>
  <si>
    <t>Bonus</t>
  </si>
  <si>
    <t>ICICI BANK HOME LOAN</t>
  </si>
  <si>
    <t>ICICI PRU</t>
  </si>
  <si>
    <t>PD ON 01.01.2017</t>
  </si>
  <si>
    <t xml:space="preserve">ICICI PRUDENTIAL </t>
  </si>
  <si>
    <t>PD DATE 01.01.2017</t>
  </si>
  <si>
    <t>07.01.1963</t>
  </si>
  <si>
    <t>11.10.2002</t>
  </si>
  <si>
    <t>Tech.</t>
  </si>
  <si>
    <t>Leave encash</t>
  </si>
  <si>
    <t>GRUH FINANCE LTD-PANVEL  (Closed)</t>
  </si>
  <si>
    <t>100% SELF CLAIMED</t>
  </si>
  <si>
    <t>SBI  Home Loan dated 27.06.2016</t>
  </si>
  <si>
    <t>883536776</t>
  </si>
  <si>
    <t>Details</t>
  </si>
  <si>
    <t>p.m. 255</t>
  </si>
  <si>
    <t>p.m. 408</t>
  </si>
  <si>
    <t>p.m 313</t>
  </si>
  <si>
    <t>p.m. 313</t>
  </si>
  <si>
    <t>SBI LIFE INSURANCE DTD 15.06.16</t>
  </si>
  <si>
    <t>18.06.1978</t>
  </si>
  <si>
    <t>Date of joining</t>
  </si>
  <si>
    <t>08.04.2003</t>
  </si>
  <si>
    <t>LEVE ENCASH</t>
  </si>
  <si>
    <t>ass fee/festival adv</t>
  </si>
  <si>
    <t>HDFC BANK LTD - DTD.14.12.2015</t>
  </si>
  <si>
    <t>04.03.1977</t>
  </si>
  <si>
    <t>RECOVERY</t>
  </si>
  <si>
    <t>Leave Enchash</t>
  </si>
  <si>
    <t>Medical Reimbursement</t>
  </si>
  <si>
    <t>STATE BANK OF INDIA-MULUND DTD.30.04.2016</t>
  </si>
  <si>
    <t>50% claimed by spouse</t>
  </si>
  <si>
    <t>DEDUCTION UNDER CHAPTER VI A</t>
  </si>
  <si>
    <t>YLY</t>
  </si>
  <si>
    <t>UNITED ASS CO. LTD</t>
  </si>
  <si>
    <t>09.09.15 to 08.09.16</t>
  </si>
  <si>
    <t>31.07.1981</t>
  </si>
  <si>
    <t>25.11.2002</t>
  </si>
  <si>
    <t>ASS FEES/Fest. Ad</t>
  </si>
  <si>
    <t>23.02.1966</t>
  </si>
  <si>
    <t>01.01.1990</t>
  </si>
  <si>
    <t>STATE BANK OF INDIA-RATNAGIRI</t>
  </si>
  <si>
    <t>dated 27.10.2017</t>
  </si>
  <si>
    <t>18.11.1966</t>
  </si>
  <si>
    <t>29.11.1989</t>
  </si>
  <si>
    <t>08.08.1961</t>
  </si>
  <si>
    <t>27.11.1989</t>
  </si>
  <si>
    <t>Sr. Tech</t>
  </si>
  <si>
    <t>SAL. ARREARS</t>
  </si>
  <si>
    <t xml:space="preserve">IIS/ Assoc FEE </t>
  </si>
  <si>
    <t>Fest. Adv/Assoc.</t>
  </si>
  <si>
    <t>Exeption of HRA</t>
  </si>
  <si>
    <t xml:space="preserve">STAYING ON RENT </t>
  </si>
  <si>
    <t xml:space="preserve">04/16 TO 07/16 @ 7000 RENT IS 28000 </t>
  </si>
  <si>
    <t xml:space="preserve">08/16 TO 03/17 @ 7000 RENT IS 56000 </t>
  </si>
  <si>
    <t>01/04/2016 to 31/07/2016   8000 PM  32,000/-</t>
  </si>
  <si>
    <t>01/08/2016 to 31/03/2017   7000 PM  56,000/-</t>
  </si>
  <si>
    <t xml:space="preserve">TOTAL RENT - 1,18,000/- </t>
  </si>
  <si>
    <t>02.04.1967</t>
  </si>
  <si>
    <t>13.12.1989</t>
  </si>
  <si>
    <t>Sr.Tech.</t>
  </si>
  <si>
    <t>National Inc Co.-Policy No. 8100000599</t>
  </si>
  <si>
    <t>2016-17</t>
  </si>
  <si>
    <t>02.11.1962</t>
  </si>
  <si>
    <t>12.11.1984</t>
  </si>
  <si>
    <t>RFA</t>
  </si>
  <si>
    <t>LOAN FROM SARASWAT CO-OP BANK LTD</t>
  </si>
  <si>
    <t>dtd 13.12.2016</t>
  </si>
  <si>
    <t>STAMP DUTY</t>
  </si>
  <si>
    <t>Apollo Munich dated 26.12.17</t>
  </si>
  <si>
    <t>U/S 80 EE</t>
  </si>
  <si>
    <t>01.06.1958</t>
  </si>
  <si>
    <t>S E A</t>
  </si>
  <si>
    <t>PP</t>
  </si>
  <si>
    <t>No Home Loan</t>
  </si>
  <si>
    <t>01.06.1970</t>
  </si>
  <si>
    <t>07.01.1991</t>
  </si>
  <si>
    <t>Exempt HRA</t>
  </si>
  <si>
    <t xml:space="preserve">Rent for April'16       </t>
  </si>
  <si>
    <t>For 1</t>
  </si>
  <si>
    <t>May'16 to Oct.'16 @</t>
  </si>
  <si>
    <t>14000*6</t>
  </si>
  <si>
    <t>Nov.'16 to Mar.'17 @</t>
  </si>
  <si>
    <t>11000*5</t>
  </si>
  <si>
    <t>Smt. Sumati A. Shingade</t>
  </si>
  <si>
    <t>O/o ADG(E)(WZ), AIR &amp; DD</t>
  </si>
  <si>
    <t>AFOPS1749D</t>
  </si>
  <si>
    <t>NEW APPOINTMENT AS ON 07.08.2013</t>
  </si>
  <si>
    <t xml:space="preserve">PAY RECOVERY </t>
  </si>
  <si>
    <t>Festival ADV</t>
  </si>
  <si>
    <t>HOME Certificate DTD 08/01/2016</t>
  </si>
  <si>
    <t>LIC statement available of Rs.56103 but not claimed</t>
  </si>
  <si>
    <t>Mr.S.S.Katdare</t>
  </si>
  <si>
    <t>S.E.A</t>
  </si>
  <si>
    <t>ABDPK4140R</t>
  </si>
  <si>
    <t>ORIENTAL INSURANCE CO.</t>
  </si>
  <si>
    <t>06.03.1964</t>
  </si>
  <si>
    <t>14.12.1988</t>
  </si>
  <si>
    <t xml:space="preserve">STATE BANK OF INDIA DTD.06.05.2016 </t>
  </si>
  <si>
    <t>interest</t>
  </si>
  <si>
    <t>(100% claim)</t>
  </si>
  <si>
    <t>UNITED INDIA INS CO.-10112020016100885320</t>
  </si>
  <si>
    <t>dated 20.04.2016</t>
  </si>
  <si>
    <t>UPTO 5 LAKHS</t>
  </si>
  <si>
    <t>link</t>
  </si>
  <si>
    <t>Click here</t>
  </si>
  <si>
    <t>Ms.Shobhana S. Menon</t>
  </si>
  <si>
    <t>ABBPM5358D</t>
  </si>
  <si>
    <t>Mr. D. R. Jadhav</t>
  </si>
  <si>
    <t>ADAPJ6566B</t>
  </si>
  <si>
    <t>Mr. Sam Sebastian</t>
  </si>
  <si>
    <t>AHEPS8077R</t>
  </si>
  <si>
    <t>Ms. Aleykutty Samuel</t>
  </si>
  <si>
    <t>ACRPS9398A</t>
  </si>
  <si>
    <t>Mr. B. A. Dhuri</t>
  </si>
  <si>
    <t>ACAPD3071G</t>
  </si>
  <si>
    <t>Ms Chitra Natarajan</t>
  </si>
  <si>
    <t>AEAPN1638P</t>
  </si>
  <si>
    <t>Mr A. L. Mishra</t>
  </si>
  <si>
    <t>ABBPM5355Q</t>
  </si>
  <si>
    <t>Ms. Indira Hari</t>
  </si>
  <si>
    <t>ABSPH7453F</t>
  </si>
  <si>
    <t>Ms. Laxmi B. Bhanuse</t>
  </si>
  <si>
    <t>AHEPB3182B</t>
  </si>
  <si>
    <t>Mr. Anil Netam</t>
  </si>
  <si>
    <t>AEAPN1110L</t>
  </si>
  <si>
    <t>Mr. N. Vinodkumar Vasu</t>
  </si>
  <si>
    <t>ABAPN1177G</t>
  </si>
  <si>
    <t>Ms. R. B. Raut</t>
  </si>
  <si>
    <t>AHXPR9008B</t>
  </si>
  <si>
    <t>ABNPT2554L</t>
  </si>
  <si>
    <t>Mr. V. B.Singh</t>
  </si>
  <si>
    <t>BAXPS7674E</t>
  </si>
  <si>
    <t>Mr. V. B. Shelar</t>
  </si>
  <si>
    <t>Ms. Shanta Rajan</t>
  </si>
  <si>
    <t>ABWPR5162M</t>
  </si>
  <si>
    <t>Mr. K. A. Baikar</t>
  </si>
  <si>
    <t>Ms. Kabita Basu</t>
  </si>
  <si>
    <t>ACFPB2550B</t>
  </si>
  <si>
    <t>Ms. Jyoti P. Sawant</t>
  </si>
  <si>
    <t>ADBPK7214L</t>
  </si>
  <si>
    <t>Ms. Aruna Manche</t>
  </si>
  <si>
    <t>AKJPM1566A</t>
  </si>
  <si>
    <t>Ms. V.S. Deshmukh</t>
  </si>
  <si>
    <t>AASPD1547R</t>
  </si>
  <si>
    <t>Mr. Sudarshan R. Chaurasia</t>
  </si>
  <si>
    <t>ABKPC4196Q</t>
  </si>
  <si>
    <t>Mr. N.H. Chougle</t>
  </si>
  <si>
    <t>ACXPC3427A</t>
  </si>
  <si>
    <t>Ms. Jaya Ajith Unny</t>
  </si>
  <si>
    <t>AACPU4948B</t>
  </si>
  <si>
    <t>NON PLAN (CANARA)</t>
  </si>
  <si>
    <t>AK/GN/27236</t>
  </si>
  <si>
    <t>29.07.1967</t>
  </si>
  <si>
    <t>27.12.1990</t>
  </si>
  <si>
    <t>Ms.  Jolly P. Thomas</t>
  </si>
  <si>
    <t>09.06.1965</t>
  </si>
  <si>
    <t>25.05.1990</t>
  </si>
  <si>
    <t>Steno II</t>
  </si>
  <si>
    <t xml:space="preserve">TAKING TREATMENT FOR CANCER ANY SPL.   </t>
  </si>
  <si>
    <t xml:space="preserve">CONCESSION UNDER INCOMETAX ACT </t>
  </si>
  <si>
    <t>AIR/MUM/GPF/1504</t>
  </si>
  <si>
    <t>17.09.1977</t>
  </si>
  <si>
    <t>10.10.2002</t>
  </si>
  <si>
    <t>Assoc. Fee</t>
  </si>
  <si>
    <t xml:space="preserve">HOME LOAN of SBI </t>
  </si>
  <si>
    <t>LIC- 902219805 &amp; 902219806</t>
  </si>
  <si>
    <t>ICICI Prud</t>
  </si>
  <si>
    <t>01.10.1966</t>
  </si>
  <si>
    <t>24.10.1990</t>
  </si>
  <si>
    <t>loan Recovery</t>
  </si>
  <si>
    <t xml:space="preserve"> LICENCE FEE </t>
  </si>
  <si>
    <t>computer Adv</t>
  </si>
  <si>
    <t>FESTIVAL/ASS0C.</t>
  </si>
  <si>
    <t>S.D.</t>
  </si>
  <si>
    <t>AK/GN/26663</t>
  </si>
  <si>
    <t>21.02.1990</t>
  </si>
  <si>
    <t>AK/GN/26</t>
  </si>
  <si>
    <t>04.02.1961</t>
  </si>
  <si>
    <t>01.11.1988</t>
  </si>
  <si>
    <t>Asstt.Director (O/L)</t>
  </si>
  <si>
    <t>GPF  SUBCR</t>
  </si>
  <si>
    <t xml:space="preserve">IIS/ LICE FEE </t>
  </si>
  <si>
    <t>Mly</t>
  </si>
  <si>
    <t>05.12.1996</t>
  </si>
  <si>
    <t>SAL. Arrears</t>
  </si>
  <si>
    <t>leave encash</t>
  </si>
  <si>
    <t xml:space="preserve">ASS FEES/FESTIVAL </t>
  </si>
  <si>
    <t>883576348</t>
  </si>
  <si>
    <t>32078213489</t>
  </si>
  <si>
    <t>06.05.16</t>
  </si>
  <si>
    <t>PPF-SBI</t>
  </si>
  <si>
    <t>30.07.16</t>
  </si>
  <si>
    <t>19.11.16</t>
  </si>
  <si>
    <t>28.12.1995</t>
  </si>
  <si>
    <t>15.01.1996</t>
  </si>
  <si>
    <t>STATE BANK OF INIDA-MULUND DTD.30.04.2016</t>
  </si>
  <si>
    <t>50% CLAIMED BY SPOUSE</t>
  </si>
  <si>
    <t>Mr. N. Vinodkumar  Vasu</t>
  </si>
  <si>
    <t>AK/GN/26975</t>
  </si>
  <si>
    <t>01.08.1990</t>
  </si>
  <si>
    <t>fees</t>
  </si>
  <si>
    <t>884241542</t>
  </si>
  <si>
    <t>880272569</t>
  </si>
  <si>
    <t>Star Health &amp; Allied Ins. Co. Ltd</t>
  </si>
  <si>
    <t>issued on 05.10.2016</t>
  </si>
  <si>
    <t>AIR/MUM/GPF/858</t>
  </si>
  <si>
    <t>25.02.1969</t>
  </si>
  <si>
    <t>10.05.1990</t>
  </si>
  <si>
    <t>29.11.2012</t>
  </si>
  <si>
    <t>ARTEE</t>
  </si>
  <si>
    <t>DEVELOPMENT CREDIT BANK-DTD.</t>
  </si>
  <si>
    <t>100% self claimed) INTEREST</t>
  </si>
  <si>
    <t>HDFC LIFE</t>
  </si>
  <si>
    <t>ICICI PRUDENTIAL-POLICY NO.12816802</t>
  </si>
  <si>
    <t>Top up</t>
  </si>
  <si>
    <t>L&amp;t INSURANCE (TAKEN FOR MOTHER)</t>
  </si>
  <si>
    <t>upto 30000/- expection</t>
  </si>
  <si>
    <t xml:space="preserve">SENIOR CITIZEN </t>
  </si>
  <si>
    <t>doubt</t>
  </si>
  <si>
    <t>19.08.1959</t>
  </si>
  <si>
    <t>31.12.1984</t>
  </si>
  <si>
    <t>Fest. Advance</t>
  </si>
  <si>
    <t>AIR/MUM/GPF/1407</t>
  </si>
  <si>
    <r>
      <t>Birth Date</t>
    </r>
    <r>
      <rPr>
        <u/>
        <sz val="10"/>
        <color indexed="12"/>
        <rFont val="Arial"/>
        <family val="2"/>
      </rPr>
      <t xml:space="preserve"> </t>
    </r>
  </si>
  <si>
    <t>15.10.1958</t>
  </si>
  <si>
    <t>29.08.1980</t>
  </si>
  <si>
    <t>FESTIVAL ADV/ADASA</t>
  </si>
  <si>
    <t>23.10.1965</t>
  </si>
  <si>
    <t>19.12.1989</t>
  </si>
  <si>
    <t>L D C</t>
  </si>
  <si>
    <t xml:space="preserve">Pay Recovery  </t>
  </si>
  <si>
    <t>Medical reimbursement</t>
  </si>
  <si>
    <t>HOME LOAN TAKEN</t>
  </si>
  <si>
    <t>20% CLAIM SBI Dated 30.04.2016</t>
  </si>
  <si>
    <t>PLI MONTHLY 990</t>
  </si>
  <si>
    <t>NSC/PLI</t>
  </si>
  <si>
    <t>AK/GN/26292</t>
  </si>
  <si>
    <t>14.11.1966</t>
  </si>
  <si>
    <t>31.03.1989</t>
  </si>
  <si>
    <t>ota</t>
  </si>
  <si>
    <t>ADASA/Festival Adv.</t>
  </si>
  <si>
    <t>CANARA BANK -25/10/2016 - 50% CLAIM BY SPOUSE</t>
  </si>
  <si>
    <t>TOTAL INTEREST</t>
  </si>
  <si>
    <t>TOTAL PRINCIPAL</t>
  </si>
  <si>
    <t>923843095</t>
  </si>
  <si>
    <t>ApolloMunich Certi of Insurance</t>
  </si>
  <si>
    <t>AIR/MUM/GPF/1667</t>
  </si>
  <si>
    <t>27.04.1964</t>
  </si>
  <si>
    <t>07.08.1989</t>
  </si>
  <si>
    <t xml:space="preserve">Leave Encashment </t>
  </si>
  <si>
    <t>TA/LTC/LIC Recovery etc</t>
  </si>
  <si>
    <t>TEA/ Festival ADV</t>
  </si>
  <si>
    <t>Mr. B. A. Dhuri,</t>
  </si>
  <si>
    <t>AK/GN/26245</t>
  </si>
  <si>
    <t>31.07.1962</t>
  </si>
  <si>
    <t>Tel. Operator/UDC</t>
  </si>
  <si>
    <t>08.03.1989</t>
  </si>
  <si>
    <t xml:space="preserve">Leave encashment </t>
  </si>
  <si>
    <t>COMPUTER/FESTIVAL/ADASA</t>
  </si>
  <si>
    <t>Sr. Accounts Officer</t>
  </si>
  <si>
    <t>06.11.2017</t>
  </si>
  <si>
    <t>AssociationL/fees</t>
  </si>
  <si>
    <t>Axis Bank certificate dtd 09.01.2018</t>
  </si>
  <si>
    <t>The New India Assurance co.Ltd.</t>
  </si>
  <si>
    <t>15.02.1964</t>
  </si>
  <si>
    <t>Farash</t>
  </si>
  <si>
    <t>05.05.1989</t>
  </si>
  <si>
    <t>GISFL dated 24.11.16</t>
  </si>
  <si>
    <t xml:space="preserve"> </t>
  </si>
  <si>
    <t>Mr. L.S. Mahapadi</t>
  </si>
  <si>
    <t>10.09.1990</t>
  </si>
  <si>
    <t>AKNPM3615N</t>
  </si>
  <si>
    <t>FESTIVAL/ASS FEE.COMP ADV</t>
  </si>
  <si>
    <t>UNION BANK OF INDIA - DTD. 01/12/2016</t>
  </si>
  <si>
    <t>883968428</t>
  </si>
  <si>
    <t>NSC/FIXED DEPOSIT</t>
  </si>
  <si>
    <t>Mr. Amjad Ali Mansoori</t>
  </si>
  <si>
    <t>Sr.Technician</t>
  </si>
  <si>
    <t>AAGPE6252J</t>
  </si>
  <si>
    <t>Mr. J. P. Gupta</t>
  </si>
  <si>
    <t>Mr. Lalahmed Babulal Shaikh</t>
  </si>
  <si>
    <t>AECPS6828J</t>
  </si>
  <si>
    <t>Mr. S. B. Bhujabal</t>
  </si>
  <si>
    <t>AAVPB8851F</t>
  </si>
  <si>
    <t>Mr. N. H. CHOUGLE</t>
  </si>
  <si>
    <t>Mr. P. S. Gawande</t>
  </si>
  <si>
    <t>ABQPG7509R</t>
  </si>
  <si>
    <t>Mr. N. R. Soni</t>
  </si>
  <si>
    <t>AFZPS3526H</t>
  </si>
  <si>
    <t>Ms. Seema A. Shende</t>
  </si>
  <si>
    <t>AFOPS1827E</t>
  </si>
  <si>
    <t>Mr. D. R. SONAWANE</t>
  </si>
  <si>
    <t>Mr. N. G. Chikorde</t>
  </si>
  <si>
    <t>AAUPC2242A</t>
  </si>
  <si>
    <t>Ms. Seema S. Lad</t>
  </si>
  <si>
    <t>AAQPL5243C</t>
  </si>
  <si>
    <t xml:space="preserve">Mr. S. B. Prasad </t>
  </si>
  <si>
    <t>ABAPP4861B</t>
  </si>
  <si>
    <t>Ms. J. D. Makhijani</t>
  </si>
  <si>
    <t>ACPPM8306A</t>
  </si>
  <si>
    <t>Mr. R. N. kulkarni</t>
  </si>
  <si>
    <t>ADYPK1098D</t>
  </si>
  <si>
    <t>Mr. D. N. Dwivwdi</t>
  </si>
  <si>
    <t>AFFPD0564G</t>
  </si>
  <si>
    <t>Mr. R. E. Pereira</t>
  </si>
  <si>
    <t>AGIPP5071C</t>
  </si>
  <si>
    <t>Mr. M. M. Mose</t>
  </si>
  <si>
    <t>ABUPM3119R</t>
  </si>
  <si>
    <t>Ms. Vandana P. Gawali</t>
  </si>
  <si>
    <t>ACEPG7704M</t>
  </si>
  <si>
    <t>Mr. N.H. KAWACHALE</t>
  </si>
  <si>
    <t>ABZPK9470G</t>
  </si>
  <si>
    <t>Mr. S.I. Kamble</t>
  </si>
  <si>
    <t>AHQPK1440H</t>
  </si>
  <si>
    <t>Mr. A.S. Kambli</t>
  </si>
  <si>
    <t>ACWPK6876A</t>
  </si>
  <si>
    <t>Mr. R.D. Bobade</t>
  </si>
  <si>
    <t>ACIPB2842D</t>
  </si>
  <si>
    <t>Mr. B.D.Yadav</t>
  </si>
  <si>
    <t>ABJPY0631P</t>
  </si>
  <si>
    <t>Mr. G. S. Sangle</t>
  </si>
  <si>
    <t>AIEPS8010N</t>
  </si>
  <si>
    <t>Mr. J. G. Vanjare</t>
  </si>
  <si>
    <t>ABZPV9299E</t>
  </si>
  <si>
    <t>Mr. N. P. Wankhede</t>
  </si>
  <si>
    <t>AAFPW8312E</t>
  </si>
  <si>
    <t>MR. J. G. RAJGURU</t>
  </si>
  <si>
    <t>AHKPR4657D</t>
  </si>
  <si>
    <t>Mr. MOHAN P. INGLE</t>
  </si>
  <si>
    <t>AACPI6575J</t>
  </si>
  <si>
    <t xml:space="preserve">Mr. R. B. Gavde </t>
  </si>
  <si>
    <t>ACHPG2424M</t>
  </si>
  <si>
    <t>TV  NON PLAN</t>
  </si>
  <si>
    <t>134</t>
  </si>
  <si>
    <t>15.09.1968</t>
  </si>
  <si>
    <t>27.12.1989</t>
  </si>
  <si>
    <t>FEST./ADTEA</t>
  </si>
  <si>
    <t>HOME LOAN of Bank of Maharashtra</t>
  </si>
  <si>
    <t>dtd 08.11.2016</t>
  </si>
  <si>
    <t>Prinicp</t>
  </si>
  <si>
    <t>06.11.1962</t>
  </si>
  <si>
    <t>30.07.1988</t>
  </si>
  <si>
    <t>BAJAJ ALLIANZ GEN INS CO. LTD</t>
  </si>
  <si>
    <t>PD ON 05.07.16</t>
  </si>
  <si>
    <t>21.12.1963</t>
  </si>
  <si>
    <t>leave  encashment</t>
  </si>
  <si>
    <t>925067244</t>
  </si>
  <si>
    <t>NO P</t>
  </si>
  <si>
    <t>905077067</t>
  </si>
  <si>
    <t>923353228</t>
  </si>
  <si>
    <t>14.09.1961</t>
  </si>
  <si>
    <t>Asstt. Engineer</t>
  </si>
  <si>
    <t>24.08.1984</t>
  </si>
  <si>
    <t>Vehicle Adv.</t>
  </si>
  <si>
    <t>MEDICAL ALLOWNCES</t>
  </si>
  <si>
    <t xml:space="preserve"> HOME LOAN TAKEN</t>
  </si>
  <si>
    <t>Mr.MOHAN P. INGLE</t>
  </si>
  <si>
    <t>26.09.1968</t>
  </si>
  <si>
    <r>
      <t>Date of joining</t>
    </r>
    <r>
      <rPr>
        <sz val="10"/>
        <rFont val="Arial"/>
        <family val="2"/>
      </rPr>
      <t xml:space="preserve"> </t>
    </r>
  </si>
  <si>
    <t>22.12.1988</t>
  </si>
  <si>
    <t>HOME LOAN of HDFC dtd 14.12.17</t>
  </si>
  <si>
    <t>principal</t>
  </si>
  <si>
    <t>DEDDUCTION UNDER CHAPTER VIA</t>
  </si>
  <si>
    <t>Mr. JAGDISH GANGADHAR RAJGURU</t>
  </si>
  <si>
    <t>PEON</t>
  </si>
  <si>
    <t>08.11.1994</t>
  </si>
  <si>
    <t xml:space="preserve">Pay Rec. </t>
  </si>
  <si>
    <t>05.09.1990</t>
  </si>
  <si>
    <t xml:space="preserve"> HOME LOAN</t>
  </si>
  <si>
    <t>30.06.1989</t>
  </si>
  <si>
    <t>FESTIVAL/ASS FEES</t>
  </si>
  <si>
    <t>29.07.1987</t>
  </si>
  <si>
    <t xml:space="preserve"> G_PAY</t>
  </si>
  <si>
    <t>COMPUTER/FESTIVAL/ASS FEES</t>
  </si>
  <si>
    <t>DENA BANK - PANVEL DTD. 16.12.2016</t>
  </si>
  <si>
    <t>20.04.1987</t>
  </si>
  <si>
    <t>Transferred to HPT Malad</t>
  </si>
  <si>
    <t>HOSTEL SUBSIDY</t>
  </si>
  <si>
    <t>s</t>
  </si>
  <si>
    <t>LICS FEE</t>
  </si>
  <si>
    <t>COMPUTER/FESTIVAL/scooter</t>
  </si>
  <si>
    <t>21.08.1990</t>
  </si>
  <si>
    <t>TRANSFERD TO NP CANARA</t>
  </si>
  <si>
    <t>31.10.2013 to 30.10.2014</t>
  </si>
  <si>
    <t>RECORD CHECKED ON 29-12-2015</t>
  </si>
  <si>
    <t>09.11.1961</t>
  </si>
  <si>
    <t>ASSTT. ENGG.</t>
  </si>
  <si>
    <t>PLI premium</t>
  </si>
  <si>
    <t>13.01.1989</t>
  </si>
  <si>
    <t>ASS FEES/festival</t>
  </si>
  <si>
    <t>TRANSFERD TO SBI NP</t>
  </si>
  <si>
    <t>HDFC BANK LTD - DTD. 01.04.15 to 31.03.16</t>
  </si>
  <si>
    <t>926470516</t>
  </si>
  <si>
    <t>904337139</t>
  </si>
  <si>
    <t>904337140</t>
  </si>
  <si>
    <t>904337141</t>
  </si>
  <si>
    <t>904337142</t>
  </si>
  <si>
    <t>904337143</t>
  </si>
  <si>
    <t>904337144</t>
  </si>
  <si>
    <t>904337145</t>
  </si>
  <si>
    <t>900234427</t>
  </si>
  <si>
    <t>08.05.2015</t>
  </si>
  <si>
    <t>RECORD CHECKED ON 28-12-2015</t>
  </si>
  <si>
    <t xml:space="preserve">IIS/ASSOC FEE </t>
  </si>
  <si>
    <t>ASS FEES/computer</t>
  </si>
  <si>
    <t xml:space="preserve"> HOME LOAN of SBI dtd 07.11.2016</t>
  </si>
  <si>
    <t xml:space="preserve">PAID </t>
  </si>
  <si>
    <t>WILL BE PAID</t>
  </si>
  <si>
    <t xml:space="preserve">MAX BUPA </t>
  </si>
  <si>
    <t>DONATION/RENT</t>
  </si>
  <si>
    <t>01.04.2015 TO 30.09.2015</t>
  </si>
  <si>
    <t xml:space="preserve">15,000/- PM </t>
  </si>
  <si>
    <t>90,000/-</t>
  </si>
  <si>
    <t>01.10.2015 TO 31.03.2016</t>
  </si>
  <si>
    <t xml:space="preserve">16500/- PM </t>
  </si>
  <si>
    <t>99,000/-</t>
  </si>
  <si>
    <t>25.10.1989</t>
  </si>
  <si>
    <t>THE NEW INDIA ASSURANCE CO.LTD.</t>
  </si>
  <si>
    <t>(POLICY NO. 14050034152800001890)</t>
  </si>
  <si>
    <t>NEW INDIA INSURACE CO.</t>
  </si>
  <si>
    <t>30.07.1984</t>
  </si>
  <si>
    <t>LIC PRIMIUM</t>
  </si>
  <si>
    <t>HOME LOAN OF SBI (closed)</t>
  </si>
  <si>
    <t>Doubt</t>
  </si>
  <si>
    <t>Mr. R. N. Kulkarni</t>
  </si>
  <si>
    <t>22.07.1960</t>
  </si>
  <si>
    <t>06.09.1985</t>
  </si>
  <si>
    <r>
      <rPr>
        <sz val="10"/>
        <rFont val="Copperplate Gothic Light"/>
        <family val="2"/>
      </rPr>
      <t>ASS FEES</t>
    </r>
    <r>
      <rPr>
        <sz val="12"/>
        <rFont val="Copperplate Gothic Light"/>
        <family val="2"/>
      </rPr>
      <t>/festival</t>
    </r>
  </si>
  <si>
    <t>National Insurance Co. Ltd. Dtd 08/06/16</t>
  </si>
  <si>
    <t>Ms. J.D.Makhijani</t>
  </si>
  <si>
    <t>Steno-II</t>
  </si>
  <si>
    <t>26.03.1990</t>
  </si>
  <si>
    <t xml:space="preserve">HDFC LIFE PRO GROWTH PLUS </t>
  </si>
  <si>
    <t>Policy No.17292523 dtd 19.12.16</t>
  </si>
  <si>
    <t xml:space="preserve">HDFC Life </t>
  </si>
  <si>
    <t>HDFC LIFE YOUNG STAR SUVIDHA PL</t>
  </si>
  <si>
    <t>US 80CCD</t>
  </si>
  <si>
    <t>NPS ( DIRECT)</t>
  </si>
  <si>
    <t>13.12.1991</t>
  </si>
  <si>
    <t>FEES</t>
  </si>
  <si>
    <t xml:space="preserve">HOME LOAN LICHFL </t>
  </si>
  <si>
    <t>Int</t>
  </si>
  <si>
    <t>Princ</t>
  </si>
  <si>
    <t>U.D.C.</t>
  </si>
  <si>
    <t>22.08.1988</t>
  </si>
  <si>
    <t>TA / LTC/ LICetc</t>
  </si>
  <si>
    <t>PPF A/c. No. 3248</t>
  </si>
  <si>
    <t>TRANSFERD TO AIR PLAN</t>
  </si>
  <si>
    <t>ICICI BANK DTD.17/12/2013</t>
  </si>
  <si>
    <t>no doc for 15-16</t>
  </si>
  <si>
    <t>PD ON 17.12.13</t>
  </si>
  <si>
    <t>PD DATE 25.10.15</t>
  </si>
  <si>
    <t>31.12.1986</t>
  </si>
  <si>
    <t>LEAVE</t>
  </si>
  <si>
    <t>ass fees/artee</t>
  </si>
  <si>
    <t>27.02.16 TO 26.02.17</t>
  </si>
  <si>
    <t>SARASWAT BANK- 25.04.2016</t>
  </si>
  <si>
    <t>INTEREST - 2016--17</t>
  </si>
  <si>
    <t>Checked</t>
  </si>
  <si>
    <t>Mr. D.R. Sonawane</t>
  </si>
  <si>
    <t>05.11.1967</t>
  </si>
  <si>
    <t>15.09.1989</t>
  </si>
  <si>
    <t>ASSOC.FEES/Festival Adv.</t>
  </si>
  <si>
    <t>HOME LOAN of SBI dtd 28.10.2016</t>
  </si>
  <si>
    <t>LIC- 988791259</t>
  </si>
  <si>
    <t>09/16</t>
  </si>
  <si>
    <t>03/16</t>
  </si>
  <si>
    <t>receipt not received</t>
  </si>
  <si>
    <t>Star Health &amp; Allied Insurance</t>
  </si>
  <si>
    <t xml:space="preserve">Co.LTD. </t>
  </si>
  <si>
    <t>Ms. SEEMA A. SHENDE</t>
  </si>
  <si>
    <t>15/07/1966</t>
  </si>
  <si>
    <t>AAO</t>
  </si>
  <si>
    <t>pay Recovery</t>
  </si>
  <si>
    <t xml:space="preserve">ASSOCIATION FEE </t>
  </si>
  <si>
    <t>D.A</t>
  </si>
  <si>
    <t>14-07-1962</t>
  </si>
  <si>
    <t>13.10.2017</t>
  </si>
  <si>
    <t>HCA</t>
  </si>
  <si>
    <t>`</t>
  </si>
  <si>
    <t>201</t>
  </si>
  <si>
    <t>medicaL</t>
  </si>
  <si>
    <t xml:space="preserve">pay Rec. </t>
  </si>
  <si>
    <t xml:space="preserve">NO HOME LOAN </t>
  </si>
  <si>
    <t xml:space="preserve">NSC/TUTION FEE </t>
  </si>
  <si>
    <t>.</t>
  </si>
  <si>
    <t>Retiring date</t>
  </si>
  <si>
    <t>Mr. M. K. Gupta</t>
  </si>
  <si>
    <t>ACMPG7721J</t>
  </si>
  <si>
    <t>Retired</t>
  </si>
  <si>
    <t>80U</t>
  </si>
  <si>
    <t>DISABILITY CERTIFICATE OF SON VIBHAS GUPTA</t>
  </si>
  <si>
    <t>(MENTALLY RETARDED WITH IQ &lt; 46 &amp; DISABILITY</t>
  </si>
  <si>
    <t xml:space="preserve"> OF 75%) DTD. 17.09.05 FROM DURG (CG)</t>
  </si>
  <si>
    <t>Mr. S. B. BHUJBAL</t>
  </si>
  <si>
    <t>16.01.1965</t>
  </si>
  <si>
    <t>SR. TECHNICIAN</t>
  </si>
  <si>
    <t>20.02.1990</t>
  </si>
  <si>
    <t>02.04.1983</t>
  </si>
  <si>
    <t>leave encashment</t>
  </si>
  <si>
    <t>RECEIPT NOT RECED</t>
  </si>
  <si>
    <t>POSTAL LIFE INSURANCE</t>
  </si>
  <si>
    <t>Mr. Jagdish P. Gupta</t>
  </si>
  <si>
    <t>PAID FROM SALARY</t>
  </si>
  <si>
    <t>LOAN OF HRISHIKESH S. DESHPANDE FROM</t>
  </si>
  <si>
    <t>STATE BANK OF INDIA DATED 30.12.13</t>
  </si>
  <si>
    <t>Mr. Rajendra B. Gawde</t>
  </si>
  <si>
    <t>O/O THE ADG(E)(WZ)</t>
  </si>
  <si>
    <t>086</t>
  </si>
  <si>
    <t>25.08.1963</t>
  </si>
  <si>
    <t>HOME LOAN of SBI dtd 28.09.2016</t>
  </si>
  <si>
    <t>085</t>
  </si>
  <si>
    <t>21.01.1963</t>
  </si>
  <si>
    <t>13.02.1983</t>
  </si>
  <si>
    <t xml:space="preserve">LICECENCE FEE </t>
  </si>
  <si>
    <t>STAR HEALTH</t>
  </si>
  <si>
    <t>26.08.1969</t>
  </si>
  <si>
    <t>10.05.1995</t>
  </si>
  <si>
    <t>FESTIVAL. / ASS FEES</t>
  </si>
  <si>
    <t>The New India Assurance Co. Ltd.</t>
  </si>
  <si>
    <t>dated 20.10.2016</t>
  </si>
  <si>
    <t>Ms.Kranti Waingankar</t>
  </si>
  <si>
    <t>Head Clerk</t>
  </si>
  <si>
    <t>Mr.S.S.Joshi</t>
  </si>
  <si>
    <t>30.11.1963</t>
  </si>
  <si>
    <t>ABFPJ8346J</t>
  </si>
  <si>
    <t>Mr.U.C.Pradhan</t>
  </si>
  <si>
    <t>Mr.B.D.Rajput</t>
  </si>
  <si>
    <t>ADQPR7573N</t>
  </si>
  <si>
    <t xml:space="preserve">Licence FEE </t>
  </si>
  <si>
    <t>15.04.1967</t>
  </si>
  <si>
    <t>18.11.2002</t>
  </si>
  <si>
    <t>PENSION</t>
  </si>
  <si>
    <t>STATE BANK OF INDIA-20.07.17 TO 31.3.17</t>
  </si>
  <si>
    <t xml:space="preserve">100% SELF CLAIMED </t>
  </si>
  <si>
    <t>Regular pension received to Govt. and non govt employees is fully taxable.</t>
  </si>
  <si>
    <t>Mr. U.C.Pradhan</t>
  </si>
  <si>
    <t>29-05-1960</t>
  </si>
  <si>
    <t>A.E.</t>
  </si>
  <si>
    <t>Mr. D.S.Jadhav</t>
  </si>
  <si>
    <t>Mr.C.S.SWAMI</t>
  </si>
  <si>
    <t>01.06.1963</t>
  </si>
  <si>
    <t>ASSTT.ENGINEER</t>
  </si>
  <si>
    <t>04.12.2018</t>
  </si>
  <si>
    <t>AEBPS3237A</t>
  </si>
  <si>
    <t>MR. S.P. Thanekar</t>
  </si>
  <si>
    <t>Mr. D. M. Bhoir</t>
  </si>
  <si>
    <t>ACPPB1747G</t>
  </si>
  <si>
    <t>Mr. G.S.Korgaonkar</t>
  </si>
  <si>
    <t>ANWPK6783D</t>
  </si>
  <si>
    <t>Mr A. P. Thakur</t>
  </si>
  <si>
    <t>AARPT3239R</t>
  </si>
  <si>
    <t>Mrs. Snehal. R. Deshpande</t>
  </si>
  <si>
    <t>ABAPT6285H</t>
  </si>
  <si>
    <t>Mr.P.R.Pehekar.</t>
  </si>
  <si>
    <t>Ms.Ratna S. Bhambre</t>
  </si>
  <si>
    <t>AEIPB2347F</t>
  </si>
  <si>
    <t>Mr. Ramji C. Waghela</t>
  </si>
  <si>
    <t>ABJPW3484G</t>
  </si>
  <si>
    <t>Ms. Daksha V. Solanki</t>
  </si>
  <si>
    <t>CEIPS6107Q</t>
  </si>
  <si>
    <t>Ms. Minal M. Toraskar</t>
  </si>
  <si>
    <t>AEIPT1113R</t>
  </si>
  <si>
    <t>RWS</t>
  </si>
  <si>
    <t>AK/GN/13806</t>
  </si>
  <si>
    <t>03.06.1964</t>
  </si>
  <si>
    <t>20.02.1988</t>
  </si>
  <si>
    <t>ASSO FEES</t>
  </si>
  <si>
    <t>HDFC BANK LTD-DTD.10.04.2015</t>
  </si>
  <si>
    <t>NSC INTREST</t>
  </si>
  <si>
    <t>INF. BONDS</t>
  </si>
  <si>
    <t>RECORD UPDATED ON 05.02.2016</t>
  </si>
  <si>
    <t>Joining Date</t>
  </si>
  <si>
    <t>FESTIVAL ADV/ASSO FEES</t>
  </si>
  <si>
    <t>LIC PREMIUM/PLI</t>
  </si>
  <si>
    <t>16.09.1967</t>
  </si>
  <si>
    <t>18.11.1991</t>
  </si>
  <si>
    <t xml:space="preserve">GPF  </t>
  </si>
  <si>
    <t>31.08.1988</t>
  </si>
  <si>
    <t xml:space="preserve">ASSO. FEE </t>
  </si>
  <si>
    <t>Mr. P.R.Pehekar.</t>
  </si>
  <si>
    <t>O/O The ADG(E)(WZ)</t>
  </si>
  <si>
    <t>01.06.1966</t>
  </si>
  <si>
    <t>07.09.1989</t>
  </si>
  <si>
    <t>ABXPP7459G</t>
  </si>
  <si>
    <t>Pay recovery</t>
  </si>
  <si>
    <t>VEHICLE Advance</t>
  </si>
  <si>
    <t xml:space="preserve">IIS/Lice. FEE </t>
  </si>
  <si>
    <r>
      <rPr>
        <sz val="10"/>
        <rFont val="Copperplate Gothic Light"/>
        <family val="2"/>
      </rPr>
      <t>ASS FEES</t>
    </r>
  </si>
  <si>
    <t>Home Loan of SBI</t>
  </si>
  <si>
    <t>21.03.1969</t>
  </si>
  <si>
    <t>W/C Security Guard</t>
  </si>
  <si>
    <t>16.08.2017</t>
  </si>
  <si>
    <t>Special Pay</t>
  </si>
  <si>
    <t xml:space="preserve">LIC </t>
  </si>
  <si>
    <t>RECORD CHECKED ON 29.12.2015</t>
  </si>
  <si>
    <t>17500 PM</t>
  </si>
  <si>
    <t>Mr. Ramji C. Waghela,</t>
  </si>
  <si>
    <t>CEW/AIR/44</t>
  </si>
  <si>
    <t>21.01.1964</t>
  </si>
  <si>
    <t>W/C Safaiwala</t>
  </si>
  <si>
    <t xml:space="preserve">Court Attach </t>
  </si>
  <si>
    <t>GPF Recovery etc</t>
  </si>
  <si>
    <t xml:space="preserve"> NO HOME LOAN</t>
  </si>
  <si>
    <t>CEW/AIR/49</t>
  </si>
  <si>
    <t xml:space="preserve">FEST ADV/COMP ADV/OMCA </t>
  </si>
  <si>
    <t>BASSEIN CATHOLIC CO-OP BANK LTD</t>
  </si>
  <si>
    <t>28.11.1965</t>
  </si>
  <si>
    <t>Query</t>
  </si>
  <si>
    <t>HRIS NO.1030324</t>
  </si>
  <si>
    <t>HRIS NO.1090327</t>
  </si>
  <si>
    <t>HRIS NO.1140328</t>
  </si>
  <si>
    <t>HRIS NO.1170491</t>
  </si>
  <si>
    <t>HRIS NO.1180518</t>
  </si>
  <si>
    <t>HRIS NO.1400326</t>
  </si>
  <si>
    <t>HRIS NO.1400462</t>
  </si>
  <si>
    <t>HRIS NO.1580529</t>
  </si>
  <si>
    <t>HRIS NO.1590529</t>
  </si>
  <si>
    <t>HRIS NO.1670157</t>
  </si>
  <si>
    <t>HRIS NO.1730148</t>
  </si>
  <si>
    <t>HRIS NO.1750137</t>
  </si>
  <si>
    <t>HRIS NO.1760137</t>
  </si>
  <si>
    <t>HRIS NO.1770137</t>
  </si>
  <si>
    <t>HRIS NO.1300164</t>
  </si>
  <si>
    <t>HRIS NO.4770336</t>
  </si>
  <si>
    <t>HRIS NO.1490152</t>
  </si>
  <si>
    <t>HRIS NO.4270355</t>
  </si>
  <si>
    <t>HRIS NO.4290470</t>
  </si>
  <si>
    <t>HRIS NO.4770470</t>
  </si>
  <si>
    <t>HRIS NO.4910336</t>
  </si>
  <si>
    <t>HRIS NO.4940336</t>
  </si>
  <si>
    <t>HRIS NO.4130471</t>
  </si>
  <si>
    <t>HRIS NO. 4960598</t>
  </si>
  <si>
    <t>HRIS NO.1310156</t>
  </si>
  <si>
    <t>HRIS NO.1740146</t>
  </si>
  <si>
    <t>HRIS NO.1740155</t>
  </si>
  <si>
    <t>HRIS NO.1760146</t>
  </si>
  <si>
    <t>HRIS NO.1100345</t>
  </si>
  <si>
    <t>HRIS NO.1200470</t>
  </si>
  <si>
    <t>HRIS NO.1100158</t>
  </si>
  <si>
    <t>HRIS NO.1280156</t>
  </si>
  <si>
    <t>HRIS NO.1300156</t>
  </si>
  <si>
    <t>HRIS NO.1780146</t>
  </si>
  <si>
    <t>HRIS NO.4300470</t>
  </si>
  <si>
    <t>HRIS NO.4860336</t>
  </si>
  <si>
    <t>HRIS NO.1160342</t>
  </si>
  <si>
    <t>HRIS NO.1210344</t>
  </si>
  <si>
    <t>HRIS NO.1250156</t>
  </si>
  <si>
    <t>HRIS NO.1290156</t>
  </si>
  <si>
    <t>HRIS NO.1370326</t>
  </si>
  <si>
    <t>HRIS NO.1570329</t>
  </si>
  <si>
    <t>HRIS NO.1740137</t>
  </si>
  <si>
    <t>HRIS NO.1780137</t>
  </si>
  <si>
    <t>HRIS NO.1790137</t>
  </si>
  <si>
    <t>HRIS NO.4260355</t>
  </si>
  <si>
    <t>HRIS NO.4760346</t>
  </si>
  <si>
    <t>HRISNO.4210470</t>
  </si>
  <si>
    <t>HRIS NO.1190470</t>
  </si>
  <si>
    <t>HRIS NO.4220470</t>
  </si>
  <si>
    <t>HRIS NO.4250470</t>
  </si>
  <si>
    <t>HRIS NO.4310470</t>
  </si>
  <si>
    <t>HRIS NO.4760336</t>
  </si>
  <si>
    <t>HRIS NO.4800336</t>
  </si>
  <si>
    <t>HRIS NO.4810336</t>
  </si>
  <si>
    <t>HRIS NO.4880336</t>
  </si>
  <si>
    <t>HRIS NO.4900336</t>
  </si>
  <si>
    <t>HRIS NO.4900470</t>
  </si>
  <si>
    <t>HRIS NO.4960336</t>
  </si>
  <si>
    <t>HRIS NO.4960470</t>
  </si>
  <si>
    <t>HRIS NO. 4010471</t>
  </si>
  <si>
    <t>HRIS NO. 4990470</t>
  </si>
  <si>
    <t>HRIS NO.1690151</t>
  </si>
  <si>
    <t>HRIS NO.1730151</t>
  </si>
  <si>
    <t>HRIS NO.4110471</t>
  </si>
  <si>
    <t>HRIS NO.4310471</t>
  </si>
  <si>
    <t>HRIS NO.4280355</t>
  </si>
  <si>
    <t>HRIS NO.4300355</t>
  </si>
  <si>
    <t>HRIS NO.4790336</t>
  </si>
  <si>
    <t>HRIS NO.4820336</t>
  </si>
  <si>
    <t>HRIS NO.4840336</t>
  </si>
  <si>
    <t>HRIS NO.4850336</t>
  </si>
  <si>
    <t>HRIS NO.4930336</t>
  </si>
  <si>
    <t>HRIS NO.4260470</t>
  </si>
  <si>
    <t>HRIS NO.4750336</t>
  </si>
  <si>
    <t>HRIS NO.4950336</t>
  </si>
  <si>
    <t>HRIS NO. 4020689</t>
  </si>
  <si>
    <t>HRIS NO.4460346</t>
  </si>
  <si>
    <t>HRIS NO.4830336</t>
  </si>
  <si>
    <t>HRIS NO.1700151</t>
  </si>
  <si>
    <t>HRIS NO.1720151</t>
  </si>
  <si>
    <t>HRIS NO.4360471</t>
  </si>
  <si>
    <t>HRIS NO.1170470</t>
  </si>
  <si>
    <t>HRIS NO.1770146</t>
  </si>
  <si>
    <t>HRIS NO.1800137</t>
  </si>
  <si>
    <t>HRIS NO.1830506</t>
  </si>
  <si>
    <t>HRIS NO.1180470</t>
  </si>
  <si>
    <t>HRIS NO.4330471</t>
  </si>
  <si>
    <t>HRIS NO.4350471</t>
  </si>
  <si>
    <t>HRIS NO.1290152</t>
  </si>
  <si>
    <t>HRIS NO.1260164</t>
  </si>
  <si>
    <t>HRIS NO.1280164</t>
  </si>
  <si>
    <t>HRIS NO.1290164</t>
  </si>
  <si>
    <t>HRIS NO.1310164</t>
  </si>
  <si>
    <t>HRIS NO.1270164</t>
  </si>
  <si>
    <t>HRIS NO.1320156</t>
  </si>
  <si>
    <t>HRIS NO.1080345</t>
  </si>
  <si>
    <t>HRIS NO.1710151</t>
  </si>
  <si>
    <t>HRIS NO.4050471</t>
  </si>
  <si>
    <t>ABBPG7812L</t>
  </si>
  <si>
    <t>HRIS NO.1270325</t>
  </si>
  <si>
    <t>AAGPW1208E</t>
  </si>
  <si>
    <t>NON PLAN SBI</t>
  </si>
  <si>
    <t>AIR NON PLAN</t>
  </si>
  <si>
    <t>TV NON PLAN</t>
  </si>
  <si>
    <t>ABVPJ7065Q</t>
  </si>
  <si>
    <t>Previous employer gross details not filled</t>
  </si>
  <si>
    <t>REBATE U/S 89(1)</t>
  </si>
  <si>
    <t>To be filled</t>
  </si>
  <si>
    <t>Sr
No</t>
  </si>
  <si>
    <t>Tax
Liability</t>
  </si>
  <si>
    <t>Diff</t>
  </si>
  <si>
    <t>Conso TDS - Total</t>
  </si>
  <si>
    <t xml:space="preserve">Sr.No. </t>
  </si>
  <si>
    <t xml:space="preserve"> EMPNO </t>
  </si>
  <si>
    <t xml:space="preserve"> NAME </t>
  </si>
  <si>
    <t xml:space="preserve"> PAN NO </t>
  </si>
  <si>
    <t> Gross Amt</t>
  </si>
  <si>
    <t xml:space="preserve"> ITax Amt </t>
  </si>
  <si>
    <t>VARSHA V TAWDE</t>
  </si>
  <si>
    <t>D R SONAWANE</t>
  </si>
  <si>
    <t>MOHAN M. MOSE</t>
  </si>
  <si>
    <t>SAIMON B. PRASAD</t>
  </si>
  <si>
    <t>D.N. DWIVEDI</t>
  </si>
  <si>
    <t>SUNIL B. BHUJBAL</t>
  </si>
  <si>
    <t>R.N. KULKARNI</t>
  </si>
  <si>
    <t>MOHAN P. INGLE</t>
  </si>
  <si>
    <t>N.H. KAWCHALE</t>
  </si>
  <si>
    <t>RAJENDRA B. GAWADE</t>
  </si>
  <si>
    <t>N. P. WANKHEDE</t>
  </si>
  <si>
    <t>PRAMOD S. GAWANDE</t>
  </si>
  <si>
    <t>JAGDISH PRASHAD GUPTA</t>
  </si>
  <si>
    <t>N R SONI</t>
  </si>
  <si>
    <t>SANTOSH S.JOSHI</t>
  </si>
  <si>
    <t>B D RAJPUT</t>
  </si>
  <si>
    <t>B R RUMDE</t>
  </si>
  <si>
    <t>SUDHAKAR S. MATKAR</t>
  </si>
  <si>
    <t>R K LEMBHE</t>
  </si>
  <si>
    <t>KESHAVRAJ P KAFLE</t>
  </si>
  <si>
    <t>SEEMA S LAD</t>
  </si>
  <si>
    <t>KRANTI S. WAINGANKAR</t>
  </si>
  <si>
    <t>R D BOBADE</t>
  </si>
  <si>
    <t>ANAND S KAMBLI</t>
  </si>
  <si>
    <t>NOORNABI H CHOUGLE</t>
  </si>
  <si>
    <t>N G CHIKORDE</t>
  </si>
  <si>
    <t>G S SANGLE</t>
  </si>
  <si>
    <t>VANDANA P GAWALI</t>
  </si>
  <si>
    <t>SEEMA A. SHENDE</t>
  </si>
  <si>
    <t>HARISHCHANDRA SHRIPAT</t>
  </si>
  <si>
    <t>SANJAY S WADIKAR</t>
  </si>
  <si>
    <t>AAFDW9155R</t>
  </si>
  <si>
    <t>M H HARCHIRKAR</t>
  </si>
  <si>
    <t>V.N. KAMBLE</t>
  </si>
  <si>
    <t>SUMATI A. SHINGADE</t>
  </si>
  <si>
    <t>NILESH A PARAB</t>
  </si>
  <si>
    <t>BALAKRISHNA SURVE</t>
  </si>
  <si>
    <t>I. A. PEREIRA</t>
  </si>
  <si>
    <t>S L TALEKAR</t>
  </si>
  <si>
    <t>PRADEEP A PARAB</t>
  </si>
  <si>
    <t>P B S PAL</t>
  </si>
  <si>
    <t>S A ANSARI</t>
  </si>
  <si>
    <t>HEMANT R MANGADE</t>
  </si>
  <si>
    <t>PRASHANT P SAWANT</t>
  </si>
  <si>
    <t>M B RAJESHIRKE</t>
  </si>
  <si>
    <t>SHEELA GEORGE</t>
  </si>
  <si>
    <t>SATYANARAYANA N. VANGA</t>
  </si>
  <si>
    <t>S A ACHAREKAR</t>
  </si>
  <si>
    <t>DEEPAK B NAGPURE</t>
  </si>
  <si>
    <t>V N WAGHMARE</t>
  </si>
  <si>
    <t>MARUTI L MANE</t>
  </si>
  <si>
    <t>MUKUND SHRIVASTAV</t>
  </si>
  <si>
    <t>PRAKASH CHANDRA SHUKLA</t>
  </si>
  <si>
    <t>AJAY SHRIVASTAVA</t>
  </si>
  <si>
    <t>ANURAG SHRIVASTAV</t>
  </si>
  <si>
    <t>DANIEL P VERGHESE</t>
  </si>
  <si>
    <t>R S MAHALPURE</t>
  </si>
  <si>
    <t>MILIND P JOSHI</t>
  </si>
  <si>
    <t>P.M. KHAPKE</t>
  </si>
  <si>
    <t>ARVIND S. KAMBLE</t>
  </si>
  <si>
    <t>S V RAJWADKAR</t>
  </si>
  <si>
    <t>K.S. LAKHANE</t>
  </si>
  <si>
    <t>M K PANCHAL</t>
  </si>
  <si>
    <t>AJAY Y KORE</t>
  </si>
  <si>
    <t>SUJATA R PATKAR</t>
  </si>
  <si>
    <t>PARVATHI R</t>
  </si>
  <si>
    <t>VANDANA K VAIDYA</t>
  </si>
  <si>
    <t>C D WALAWALKAR</t>
  </si>
  <si>
    <t>VIVEK K PARAB</t>
  </si>
  <si>
    <t>CHITRA NATRAJAN</t>
  </si>
  <si>
    <t>JOLLY P THOMAS</t>
  </si>
  <si>
    <t>KAILAS A BAIKAR</t>
  </si>
  <si>
    <t>B A DHURI</t>
  </si>
  <si>
    <t>RAJASHRI B RAUT</t>
  </si>
  <si>
    <t>INDIRA HARI</t>
  </si>
  <si>
    <t>N VINODKUMAR VASU</t>
  </si>
  <si>
    <t>ANIL NETAM</t>
  </si>
  <si>
    <t>JYOTI PRASHANT K S</t>
  </si>
  <si>
    <t>SHANTA RAJAN</t>
  </si>
  <si>
    <t>SHOBHANA MENON</t>
  </si>
  <si>
    <t>SAM SEBASTIAN</t>
  </si>
  <si>
    <t>AHEPS8077Q</t>
  </si>
  <si>
    <t>V.S. DESHMUKH</t>
  </si>
  <si>
    <t>JAYA AJITH UNNY</t>
  </si>
  <si>
    <t>S.P. THANEKAR</t>
  </si>
  <si>
    <t>A P THAKUR</t>
  </si>
  <si>
    <t>D M BHOIR</t>
  </si>
  <si>
    <t>P.R. PEHEKAR</t>
  </si>
  <si>
    <t>RATNA S BHAMRE</t>
  </si>
  <si>
    <t>S.S.KATDARE</t>
  </si>
  <si>
    <t>R E PEREIRA</t>
  </si>
  <si>
    <t>D R MORE</t>
  </si>
  <si>
    <t>Duplicate row/ No Form 16 to give</t>
  </si>
  <si>
    <t>Solution</t>
  </si>
  <si>
    <t>Conso Q1</t>
  </si>
  <si>
    <t>Conso Q2</t>
  </si>
  <si>
    <t>Conso Q3</t>
  </si>
  <si>
    <t>Conso Q4</t>
  </si>
  <si>
    <t>J D MAKHIJANI</t>
  </si>
  <si>
    <t>ARUNA R MANCHE</t>
  </si>
  <si>
    <t>ANURAG SHRIVASTAVA</t>
  </si>
  <si>
    <t xml:space="preserve">D.B. Nagpure </t>
  </si>
  <si>
    <t>D.M. Bhoir</t>
  </si>
  <si>
    <t>D.R. Sonawane</t>
  </si>
  <si>
    <t>M.H. Harchirkar</t>
  </si>
  <si>
    <t>R.B. Gawade</t>
  </si>
  <si>
    <t>S.A Acharekar</t>
  </si>
  <si>
    <t>S.B. Bhujbal</t>
  </si>
  <si>
    <t>P.B.Singhpal</t>
  </si>
  <si>
    <t>P.A. Parab</t>
  </si>
  <si>
    <t>S.V. Rajwadkar</t>
  </si>
  <si>
    <t>S.A. Ansari</t>
  </si>
  <si>
    <t>Vandana P. Gawali</t>
  </si>
  <si>
    <t>N.H. Chougle</t>
  </si>
  <si>
    <t>Hemant Mangade</t>
  </si>
  <si>
    <t>Prashant sawant</t>
  </si>
  <si>
    <t>Nilesh Parab</t>
  </si>
  <si>
    <t>B S Surve</t>
  </si>
  <si>
    <t>C.K. BORIKAR</t>
  </si>
  <si>
    <t>VIJAY M. KURVE</t>
  </si>
  <si>
    <t>ANIL S GOWARKAR</t>
  </si>
  <si>
    <t>RADHIKA S VARADKAR</t>
  </si>
  <si>
    <t>VIJAY B BHUTE</t>
  </si>
  <si>
    <t>SANTOSH J JADHAV</t>
  </si>
  <si>
    <t>RASHMI R DHOKE</t>
  </si>
  <si>
    <t>LAXMI B BHANUSE</t>
  </si>
  <si>
    <t>L S MAHAPADI</t>
  </si>
  <si>
    <t>G S KORGAONKAR</t>
  </si>
  <si>
    <t>U C PRADHAN</t>
  </si>
  <si>
    <t>HRIS NO.1230330</t>
  </si>
  <si>
    <t>HRIS NO.1320323</t>
  </si>
  <si>
    <t>HRIS NO.4660391</t>
  </si>
  <si>
    <t>JAGDISH M SALVI</t>
  </si>
  <si>
    <t>JONNY G VANJARE</t>
  </si>
  <si>
    <t>HRIS NO.1390462</t>
  </si>
  <si>
    <t>HRIS NO.1430148</t>
  </si>
  <si>
    <t>HRIS NO.4780336</t>
  </si>
  <si>
    <t>HRIS NO.1520532</t>
  </si>
  <si>
    <t>HRIS NO.1650322</t>
  </si>
  <si>
    <t>AJAY H JUIKAR</t>
  </si>
  <si>
    <t>SURESH T AMBOKAR</t>
  </si>
  <si>
    <t>HRIS NO.1300152</t>
  </si>
  <si>
    <t>AJIT M KAMBLE</t>
  </si>
  <si>
    <t>AUNPK2064B</t>
  </si>
  <si>
    <t>S P AHIRE</t>
  </si>
  <si>
    <t>H R KADAM</t>
  </si>
  <si>
    <t>B J KARBHARI</t>
  </si>
  <si>
    <t>HRIS NO.1730137</t>
  </si>
  <si>
    <t>HRIS NO.1190156</t>
  </si>
  <si>
    <t>AMJAD ALI MANSOORI</t>
  </si>
  <si>
    <t>HRIS NO.1460155</t>
  </si>
  <si>
    <t>D S JADHAV</t>
  </si>
  <si>
    <t>PARESH V GHATE</t>
  </si>
  <si>
    <t>JAGDISH G RAJGURU</t>
  </si>
  <si>
    <t>HRIS NO.1420328</t>
  </si>
  <si>
    <t>R C DESAI</t>
  </si>
  <si>
    <t>ABCPD5591J</t>
  </si>
  <si>
    <t>UJWALA S SONAWANE</t>
  </si>
  <si>
    <t>V B SHELAR</t>
  </si>
  <si>
    <t>UDAYBIR M CHAVAN</t>
  </si>
  <si>
    <t>RAMJI C WAGHELA</t>
  </si>
  <si>
    <t>DAKSHA V SOLANKI</t>
  </si>
  <si>
    <t>B D YADAV</t>
  </si>
  <si>
    <t>HRIS NO.1360380</t>
  </si>
  <si>
    <t>C S SWAMI</t>
  </si>
  <si>
    <t>HRIS NO. 1190156</t>
  </si>
  <si>
    <t>AMJAD ALI</t>
  </si>
  <si>
    <t>AACPI6575J Total</t>
  </si>
  <si>
    <t>AACPU4948B Total</t>
  </si>
  <si>
    <t>AAFDW9155R Total</t>
  </si>
  <si>
    <t>AAFPW8312E Total</t>
  </si>
  <si>
    <t>AAFPW9155R Total</t>
  </si>
  <si>
    <t>AAGPT7779K Total</t>
  </si>
  <si>
    <t>AAIPW6669B Total</t>
  </si>
  <si>
    <t>AAJPH7415D Total</t>
  </si>
  <si>
    <t>AAOPW3992R Total</t>
  </si>
  <si>
    <t>AAQPL5243C Total</t>
  </si>
  <si>
    <t>AARPT3239R Total</t>
  </si>
  <si>
    <t>AASPD1547R Total</t>
  </si>
  <si>
    <t>AASPR2306L Total</t>
  </si>
  <si>
    <t>AATPT8733A Total</t>
  </si>
  <si>
    <t>AAUPC2242A Total</t>
  </si>
  <si>
    <t>AAVPB8851F Total</t>
  </si>
  <si>
    <t>AAVPN2192F Total</t>
  </si>
  <si>
    <t>AAYPV2720L Total</t>
  </si>
  <si>
    <t>AAZPG2678P Total</t>
  </si>
  <si>
    <t>ABAPN1177G Total</t>
  </si>
  <si>
    <t>ABAPP4861B Total</t>
  </si>
  <si>
    <t>ABBPG7812L Total</t>
  </si>
  <si>
    <t>ABBPM5358D Total</t>
  </si>
  <si>
    <t>ABCPL2959E Total</t>
  </si>
  <si>
    <t>ABCPM5927H Total</t>
  </si>
  <si>
    <t>ABEPV2768D Total</t>
  </si>
  <si>
    <t>ABFPJ8346J Total</t>
  </si>
  <si>
    <t>ABLPK7158D Total</t>
  </si>
  <si>
    <t>ABNPT2554L Total</t>
  </si>
  <si>
    <t>ABQPG7509R Total</t>
  </si>
  <si>
    <t>ABRPA1062A Total</t>
  </si>
  <si>
    <t>ABRPL4887E Total</t>
  </si>
  <si>
    <t>ABSPH7453F Total</t>
  </si>
  <si>
    <t>ABSPJ9047P Total</t>
  </si>
  <si>
    <t>ABTPT1092K Total</t>
  </si>
  <si>
    <t>ABUPM3119R Total</t>
  </si>
  <si>
    <t>ABWPB1871H Total</t>
  </si>
  <si>
    <t>ABWPR4988H Total</t>
  </si>
  <si>
    <t>ABWPR5162M Total</t>
  </si>
  <si>
    <t>ABXPP7459G Total</t>
  </si>
  <si>
    <t>ABZPK9470G Total</t>
  </si>
  <si>
    <t>ACAPD3071G Total</t>
  </si>
  <si>
    <t>ACEPG7704M Total</t>
  </si>
  <si>
    <t>ACHPG2424M Total</t>
  </si>
  <si>
    <t>ACIPB2842D Total</t>
  </si>
  <si>
    <t>ACPPB1747G Total</t>
  </si>
  <si>
    <t>ACPPM8306A Total</t>
  </si>
  <si>
    <t>ACQPK4259H Total</t>
  </si>
  <si>
    <t>ACQPP2485A Total</t>
  </si>
  <si>
    <t>ACSPK1046N Total</t>
  </si>
  <si>
    <t>ACWPK6876A Total</t>
  </si>
  <si>
    <t>ACWPP7489A Total</t>
  </si>
  <si>
    <t>ACXPC3427A Total</t>
  </si>
  <si>
    <t>ADBPK7214L Total</t>
  </si>
  <si>
    <t>ADBPK7216J Total</t>
  </si>
  <si>
    <t>ADIPA1768J Total</t>
  </si>
  <si>
    <t>ADJPJ6257A Total</t>
  </si>
  <si>
    <t>ADNPP8730C Total</t>
  </si>
  <si>
    <t>ADQPR0929N Total</t>
  </si>
  <si>
    <t>ADQPR7573N Total</t>
  </si>
  <si>
    <t>ADYPK1098D Total</t>
  </si>
  <si>
    <t>AEAPN1110L Total</t>
  </si>
  <si>
    <t>AEAPN1638P Total</t>
  </si>
  <si>
    <t>AEIPB2347F Total</t>
  </si>
  <si>
    <t>AERPS4830F Total</t>
  </si>
  <si>
    <t>AFFPD0564G Total</t>
  </si>
  <si>
    <t>AFOPS1749D Total</t>
  </si>
  <si>
    <t>AFOPS1827E Total</t>
  </si>
  <si>
    <t>AFTPJ6889E Total</t>
  </si>
  <si>
    <t>AFWPM1854M Total</t>
  </si>
  <si>
    <t>AFZPS3526H Total</t>
  </si>
  <si>
    <t>AGDPV4512H Total</t>
  </si>
  <si>
    <t>AGFPP8957N Total</t>
  </si>
  <si>
    <t>AGXPR0340R Total</t>
  </si>
  <si>
    <t>AHCPS2565H Total</t>
  </si>
  <si>
    <t>AHEPB3182B Total</t>
  </si>
  <si>
    <t>AHEPS8077Q Total</t>
  </si>
  <si>
    <t>AHQPK1439A Total</t>
  </si>
  <si>
    <t>AHXPR9008B Total</t>
  </si>
  <si>
    <t>AHYPM5668B Total</t>
  </si>
  <si>
    <t>AIEPS8010N Total</t>
  </si>
  <si>
    <t>AIGPB5678P Total</t>
  </si>
  <si>
    <t>AIHPD4783E Total</t>
  </si>
  <si>
    <t>AIMPG7606G Total</t>
  </si>
  <si>
    <t>AJEPS5879E Total</t>
  </si>
  <si>
    <t>AJPPP6298R Total</t>
  </si>
  <si>
    <t>AKCPB2619J Total</t>
  </si>
  <si>
    <t>AKCPM9552D Total</t>
  </si>
  <si>
    <t>AKJPM1566A Total</t>
  </si>
  <si>
    <t>AKMPM0400A Total</t>
  </si>
  <si>
    <t>AKNPM3615N Total</t>
  </si>
  <si>
    <t>ALBPP2768E Total</t>
  </si>
  <si>
    <t>ALCPP7972R Total</t>
  </si>
  <si>
    <t>AMRPK1421E Total</t>
  </si>
  <si>
    <t>AMVPS6644M Total</t>
  </si>
  <si>
    <t>ANBPS1224J Total</t>
  </si>
  <si>
    <t>ANWPK6783D Total</t>
  </si>
  <si>
    <t>APSPS6552C Total</t>
  </si>
  <si>
    <t>AVUPS1951P Total</t>
  </si>
  <si>
    <t>AXLPS5214N Total</t>
  </si>
  <si>
    <t>Grand Total</t>
  </si>
  <si>
    <t>AAGPW1208E Total</t>
  </si>
  <si>
    <t>ABDPK4140R Total</t>
  </si>
  <si>
    <t>AGIPP5071C Total</t>
  </si>
  <si>
    <t>AAGPE6252J Total</t>
  </si>
  <si>
    <t>ABCPD5591J Total</t>
  </si>
  <si>
    <t>ABJPW3484G Total</t>
  </si>
  <si>
    <t>ABJPY0631P Total</t>
  </si>
  <si>
    <t>ABVPJ7065Q Total</t>
  </si>
  <si>
    <t>ABZPV9299E Total</t>
  </si>
  <si>
    <t>ACRPS9024K Total</t>
  </si>
  <si>
    <t>ADHPP1650P Total</t>
  </si>
  <si>
    <t>AEBPS3237A Total</t>
  </si>
  <si>
    <t>AEIPJ2086B Total</t>
  </si>
  <si>
    <t>AFBPC2896N Total</t>
  </si>
  <si>
    <t>AGMPA3878Q Total</t>
  </si>
  <si>
    <t>AHKPR4657D Total</t>
  </si>
  <si>
    <t>AHRPA9085F Total</t>
  </si>
  <si>
    <t>AJBPG6549A Total</t>
  </si>
  <si>
    <t>AMZPK9646F Total</t>
  </si>
  <si>
    <t>ANWPK1542J Total</t>
  </si>
  <si>
    <t>AUNPK2064B Total</t>
  </si>
  <si>
    <t>AZUPS4527K Total</t>
  </si>
  <si>
    <t>BCMPS0953B Total</t>
  </si>
  <si>
    <t>CEIPS6107Q Total</t>
  </si>
  <si>
    <t>To be filled by Vishal</t>
  </si>
  <si>
    <t>HRIS NO. 1650322</t>
  </si>
  <si>
    <t>HRIS NO. 1390462</t>
  </si>
  <si>
    <t>HRIS NO. 1430148</t>
  </si>
  <si>
    <t>HRIS NO. 4780336</t>
  </si>
  <si>
    <t>HRIS NO. 1730137</t>
  </si>
  <si>
    <t>HRIS NO. 4350651</t>
  </si>
  <si>
    <t>HRIS NO. 4660391</t>
  </si>
  <si>
    <t>HRIS NO. 1230330</t>
  </si>
  <si>
    <t>HRIS NO. 1420328</t>
  </si>
  <si>
    <t>HRIS NO. 1300152</t>
  </si>
  <si>
    <t>HRIS NO. 1320146</t>
  </si>
  <si>
    <t>Delete Row</t>
  </si>
  <si>
    <t>Delete Row / Keep Row</t>
  </si>
  <si>
    <t>All Proper</t>
  </si>
  <si>
    <t>SD</t>
  </si>
  <si>
    <t>Cess taken @3 % instead of 4%</t>
  </si>
  <si>
    <t>cess taken @3 % instead of 4% and tax rate 10%</t>
  </si>
  <si>
    <t xml:space="preserve">All Proper </t>
  </si>
  <si>
    <t>Changes- SD/CESS</t>
  </si>
  <si>
    <t>Rebate given</t>
  </si>
  <si>
    <t>Changes- tax rate 10 to 5</t>
  </si>
  <si>
    <t>Changes SD/4%</t>
  </si>
  <si>
    <t>Changes 4%</t>
  </si>
  <si>
    <t>Cess taken @3 % instead of 4% and SD</t>
  </si>
  <si>
    <t>Changes- tax rate 10 to 5 and Cess 3 to 4%</t>
  </si>
  <si>
    <t xml:space="preserve">Rebate given </t>
  </si>
  <si>
    <t>Rebate updated FA 18</t>
  </si>
  <si>
    <t>Changes- tax rate 10 to 5 , Rebate updated FA 18</t>
  </si>
  <si>
    <t>Ms. Jolly p Thomas</t>
  </si>
  <si>
    <t>RAJENDRA SAVE</t>
  </si>
  <si>
    <t>ACRPS8954Q</t>
  </si>
  <si>
    <t>MINAL M TORASKAR</t>
  </si>
  <si>
    <t>V K SONI</t>
  </si>
  <si>
    <t>AVKPS3752Q</t>
  </si>
  <si>
    <t>Grand</t>
  </si>
  <si>
    <t>Previous Employer TDS</t>
  </si>
  <si>
    <t xml:space="preserve">AS per salvi sir employee transfered outside details given </t>
  </si>
  <si>
    <t>Sheet TDS</t>
  </si>
  <si>
    <t>(Refund)
/Demand</t>
  </si>
  <si>
    <t>Negative</t>
  </si>
  <si>
    <t>Zero</t>
  </si>
  <si>
    <t xml:space="preserve">need to ask </t>
  </si>
  <si>
    <t>In sheet Q3 TDS 1000</t>
  </si>
  <si>
    <t>intrest of home loan</t>
  </si>
  <si>
    <t>lic and mediclaim</t>
  </si>
  <si>
    <t>Mr. Anurag Shrivastava</t>
  </si>
  <si>
    <t>Mr. Ajay Y. Kore</t>
  </si>
  <si>
    <t>Mr.V.K.Soni</t>
  </si>
  <si>
    <t>Asstt.Engineer</t>
  </si>
  <si>
    <t xml:space="preserve">              </t>
  </si>
  <si>
    <t>Mr. R.J.Save</t>
  </si>
  <si>
    <t>22.12.1965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</si>
</sst>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43" formatCode="_ * #,##0.00_ ;_ * \-#,##0.00_ ;_ * &quot;-&quot;??_ ;_ @_ "/>
    <numFmt numFmtId="164" formatCode="[$-409]d\-mmm\-yy;@"/>
    <numFmt numFmtId="165" formatCode="0_)"/>
    <numFmt numFmtId="166" formatCode="[$-409]d\-mmm\-yyyy;@"/>
    <numFmt numFmtId="167" formatCode="_ * #,##0_ ;_ * \-#,##0_ ;_ * &quot;-&quot;??_ ;_ @_ "/>
    <numFmt numFmtId="168" formatCode="0.0"/>
    <numFmt numFmtId="169" formatCode="_(* #,##0_);_(* \(#,##0\);_(* &quot;-&quot;??_);_(@_)"/>
  </numFmts>
  <fonts count="52" x14ac:knownFonts="1">
    <font>
      <sz val="11"/>
      <color theme="1"/>
      <name val="Calibri"/>
      <family val="2"/>
      <scheme val="minor"/>
    </font>
    <font>
      <sz val="11"/>
      <color theme="1"/>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b/>
      <sz val="11"/>
      <color theme="1"/>
      <name val="Calibri"/>
      <family val="2"/>
      <scheme val="minor"/>
    </font>
    <font>
      <sz val="11"/>
      <color indexed="8"/>
      <name val="Calibri"/>
      <family val="2"/>
    </font>
    <font>
      <b/>
      <sz val="11"/>
      <color indexed="8"/>
      <name val="Calibri"/>
      <family val="2"/>
    </font>
    <font>
      <sz val="10"/>
      <name val="Arial"/>
    </font>
    <font>
      <b/>
      <sz val="10"/>
      <name val="Arial"/>
      <family val="2"/>
    </font>
    <font>
      <sz val="10"/>
      <name val="Arial"/>
      <family val="2"/>
    </font>
    <font>
      <sz val="12"/>
      <name val="Copperplate Gothic Light"/>
      <family val="2"/>
    </font>
    <font>
      <sz val="7"/>
      <name val="Copperplate Gothic Light"/>
      <family val="2"/>
    </font>
    <font>
      <sz val="9"/>
      <name val="Copperplate Gothic Light"/>
      <family val="2"/>
    </font>
    <font>
      <b/>
      <sz val="12"/>
      <name val="Copperplate Gothic Light"/>
      <family val="2"/>
    </font>
    <font>
      <sz val="10"/>
      <color indexed="10"/>
      <name val="Arial"/>
      <family val="2"/>
    </font>
    <font>
      <sz val="10"/>
      <name val="Copperplate Gothic Light"/>
      <family val="2"/>
    </font>
    <font>
      <sz val="9"/>
      <name val="Arial"/>
      <family val="2"/>
    </font>
    <font>
      <u/>
      <sz val="10"/>
      <name val="Arial"/>
      <family val="2"/>
    </font>
    <font>
      <sz val="8"/>
      <name val="Arial"/>
      <family val="2"/>
    </font>
    <font>
      <b/>
      <sz val="10"/>
      <color indexed="10"/>
      <name val="Arial"/>
      <family val="2"/>
    </font>
    <font>
      <u/>
      <sz val="10"/>
      <color indexed="12"/>
      <name val="Arial"/>
      <family val="2"/>
    </font>
    <font>
      <sz val="9"/>
      <name val="Arial"/>
    </font>
    <font>
      <b/>
      <sz val="8"/>
      <color indexed="81"/>
      <name val="Tahoma"/>
      <family val="2"/>
    </font>
    <font>
      <sz val="8"/>
      <color indexed="81"/>
      <name val="Tahoma"/>
      <family val="2"/>
    </font>
    <font>
      <sz val="8"/>
      <name val="Copperplate Gothic Light"/>
      <family val="2"/>
    </font>
    <font>
      <b/>
      <u/>
      <sz val="10"/>
      <name val="Arial"/>
      <family val="2"/>
    </font>
    <font>
      <b/>
      <sz val="12"/>
      <name val="Arial"/>
      <family val="2"/>
    </font>
    <font>
      <sz val="11"/>
      <name val="Arial"/>
      <family val="2"/>
    </font>
    <font>
      <sz val="11"/>
      <name val="Copperplate Gothic Light"/>
      <family val="2"/>
    </font>
    <font>
      <sz val="12"/>
      <name val="Arial"/>
      <family val="2"/>
    </font>
    <font>
      <u/>
      <sz val="10"/>
      <color indexed="9"/>
      <name val="Arial"/>
      <family val="2"/>
    </font>
    <font>
      <sz val="10"/>
      <color indexed="9"/>
      <name val="Arial"/>
      <family val="2"/>
    </font>
    <font>
      <sz val="10"/>
      <color indexed="53"/>
      <name val="Arial"/>
    </font>
    <font>
      <b/>
      <sz val="11"/>
      <name val="Arial"/>
      <family val="2"/>
    </font>
    <font>
      <sz val="16"/>
      <name val="Copperplate Gothic Light"/>
      <family val="2"/>
    </font>
    <font>
      <sz val="10"/>
      <color indexed="8"/>
      <name val="Arial"/>
      <family val="2"/>
    </font>
    <font>
      <sz val="10"/>
      <color indexed="10"/>
      <name val="Arial"/>
    </font>
    <font>
      <sz val="7.5"/>
      <name val="Copperplate Gothic Light"/>
      <family val="2"/>
    </font>
    <font>
      <u/>
      <sz val="10"/>
      <color theme="10"/>
      <name val="Arial"/>
      <family val="2"/>
    </font>
    <font>
      <sz val="10"/>
      <name val="Copperplate Gothic Light"/>
    </font>
    <font>
      <sz val="12"/>
      <name val="Copperplate Gothic Light"/>
    </font>
    <font>
      <sz val="9"/>
      <name val="Copperplate Gothic Light"/>
    </font>
    <font>
      <b/>
      <sz val="10"/>
      <color indexed="9"/>
      <name val="Arial"/>
      <family val="2"/>
    </font>
    <font>
      <sz val="10"/>
      <color indexed="43"/>
      <name val="Arial"/>
    </font>
    <font>
      <sz val="10"/>
      <color indexed="9"/>
      <name val="Arial"/>
    </font>
    <font>
      <sz val="9"/>
      <color indexed="9"/>
      <name val="Arial"/>
      <family val="2"/>
    </font>
    <font>
      <sz val="10"/>
      <color indexed="43"/>
      <name val="Arial"/>
      <family val="2"/>
    </font>
    <font>
      <sz val="11"/>
      <name val="Calibri"/>
      <family val="2"/>
      <scheme val="minor"/>
    </font>
    <font>
      <b/>
      <sz val="12"/>
      <color theme="1"/>
      <name val="Times New Roman"/>
      <family val="1"/>
    </font>
    <font>
      <sz val="11"/>
      <color rgb="FFFF0000"/>
      <name val="Calibri"/>
      <family val="2"/>
      <scheme val="minor"/>
    </font>
    <font>
      <sz val="11"/>
      <color indexed="20"/>
      <name val="Calibri"/>
      <family val="2"/>
    </font>
  </fonts>
  <fills count="2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indexed="13"/>
        <bgColor indexed="64"/>
      </patternFill>
    </fill>
    <fill>
      <patternFill patternType="solid">
        <fgColor indexed="43"/>
        <bgColor indexed="64"/>
      </patternFill>
    </fill>
    <fill>
      <patternFill patternType="solid">
        <fgColor indexed="15"/>
        <bgColor indexed="64"/>
      </patternFill>
    </fill>
    <fill>
      <patternFill patternType="solid">
        <fgColor indexed="14"/>
        <bgColor indexed="64"/>
      </patternFill>
    </fill>
    <fill>
      <patternFill patternType="solid">
        <fgColor indexed="51"/>
        <bgColor indexed="64"/>
      </patternFill>
    </fill>
    <fill>
      <patternFill patternType="solid">
        <fgColor indexed="41"/>
        <bgColor indexed="64"/>
      </patternFill>
    </fill>
    <fill>
      <patternFill patternType="solid">
        <fgColor indexed="11"/>
        <bgColor indexed="64"/>
      </patternFill>
    </fill>
    <fill>
      <patternFill patternType="solid">
        <fgColor indexed="26"/>
        <bgColor indexed="64"/>
      </patternFill>
    </fill>
    <fill>
      <patternFill patternType="solid">
        <fgColor indexed="42"/>
        <bgColor indexed="64"/>
      </patternFill>
    </fill>
    <fill>
      <patternFill patternType="solid">
        <fgColor indexed="50"/>
        <bgColor indexed="64"/>
      </patternFill>
    </fill>
    <fill>
      <patternFill patternType="solid">
        <fgColor indexed="49"/>
        <bgColor indexed="64"/>
      </patternFill>
    </fill>
    <fill>
      <patternFill patternType="solid">
        <fgColor indexed="47"/>
        <bgColor indexed="64"/>
      </patternFill>
    </fill>
    <fill>
      <patternFill patternType="solid">
        <fgColor indexed="62"/>
        <bgColor indexed="64"/>
      </patternFill>
    </fill>
    <fill>
      <patternFill patternType="solid">
        <fgColor indexed="45"/>
        <bgColor indexed="64"/>
      </patternFill>
    </fill>
    <fill>
      <patternFill patternType="solid">
        <fgColor indexed="9"/>
        <bgColor indexed="64"/>
      </patternFill>
    </fill>
    <fill>
      <patternFill patternType="solid">
        <fgColor indexed="27"/>
        <bgColor indexed="64"/>
      </patternFill>
    </fill>
    <fill>
      <patternFill patternType="solid">
        <fgColor indexed="53"/>
        <bgColor indexed="64"/>
      </patternFill>
    </fill>
    <fill>
      <patternFill patternType="solid">
        <fgColor indexed="10"/>
        <bgColor indexed="64"/>
      </patternFill>
    </fill>
    <fill>
      <patternFill patternType="solid">
        <fgColor rgb="FFFFFF00"/>
        <bgColor indexed="64"/>
      </patternFill>
    </fill>
    <fill>
      <patternFill patternType="solid">
        <fgColor theme="0" tint="-0.249977111117893"/>
        <bgColor indexed="64"/>
      </patternFill>
    </fill>
    <fill>
      <patternFill patternType="solid">
        <fgColor rgb="FFFFFF99"/>
        <bgColor indexed="64"/>
      </patternFill>
    </fill>
    <fill>
      <patternFill patternType="solid">
        <fgColor indexed="45"/>
      </patternFill>
    </fill>
  </fills>
  <borders count="75">
    <border>
      <left/>
      <right/>
      <top/>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bottom/>
      <diagonal/>
    </border>
    <border>
      <left style="medium">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medium">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style="medium">
        <color indexed="64"/>
      </right>
      <top/>
      <bottom/>
      <diagonal/>
    </border>
    <border>
      <left style="thin">
        <color indexed="64"/>
      </left>
      <right style="thin">
        <color indexed="64"/>
      </right>
      <top/>
      <bottom/>
      <diagonal/>
    </border>
    <border>
      <left style="thin">
        <color indexed="64"/>
      </left>
      <right style="medium">
        <color indexed="64"/>
      </right>
      <top/>
      <bottom/>
      <diagonal/>
    </border>
    <border>
      <left/>
      <right style="medium">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medium">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thin">
        <color indexed="64"/>
      </left>
      <right style="medium">
        <color indexed="64"/>
      </right>
      <top/>
      <bottom style="medium">
        <color indexed="64"/>
      </bottom>
      <diagonal/>
    </border>
    <border>
      <left style="medium">
        <color indexed="64"/>
      </left>
      <right/>
      <top/>
      <bottom style="thin">
        <color indexed="64"/>
      </bottom>
      <diagonal/>
    </border>
    <border>
      <left/>
      <right style="thin">
        <color indexed="64"/>
      </right>
      <top/>
      <bottom/>
      <diagonal/>
    </border>
    <border>
      <left style="medium">
        <color indexed="64"/>
      </left>
      <right style="medium">
        <color indexed="64"/>
      </right>
      <top style="medium">
        <color indexed="64"/>
      </top>
      <bottom style="medium">
        <color indexed="64"/>
      </bottom>
      <diagonal/>
    </border>
    <border>
      <left style="thin">
        <color indexed="64"/>
      </left>
      <right/>
      <top/>
      <bottom style="thin">
        <color indexed="64"/>
      </bottom>
      <diagonal/>
    </border>
    <border>
      <left/>
      <right style="medium">
        <color indexed="64"/>
      </right>
      <top style="thin">
        <color indexed="64"/>
      </top>
      <bottom/>
      <diagonal/>
    </border>
    <border>
      <left style="thin">
        <color indexed="64"/>
      </left>
      <right style="medium">
        <color indexed="64"/>
      </right>
      <top style="medium">
        <color indexed="64"/>
      </top>
      <bottom/>
      <diagonal/>
    </border>
    <border>
      <left style="thin">
        <color indexed="64"/>
      </left>
      <right style="medium">
        <color indexed="64"/>
      </right>
      <top/>
      <bottom style="thin">
        <color indexed="64"/>
      </bottom>
      <diagonal/>
    </border>
    <border>
      <left/>
      <right style="medium">
        <color indexed="64"/>
      </right>
      <top style="medium">
        <color indexed="64"/>
      </top>
      <bottom style="thin">
        <color indexed="64"/>
      </bottom>
      <diagonal/>
    </border>
    <border>
      <left style="thin">
        <color indexed="64"/>
      </left>
      <right style="thin">
        <color indexed="64"/>
      </right>
      <top style="medium">
        <color indexed="64"/>
      </top>
      <bottom/>
      <diagonal/>
    </border>
    <border>
      <left/>
      <right style="thin">
        <color indexed="64"/>
      </right>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diagonal/>
    </border>
  </borders>
  <cellStyleXfs count="26">
    <xf numFmtId="0" fontId="0" fillId="0" borderId="0"/>
    <xf numFmtId="43" fontId="1" fillId="0" borderId="0" applyFont="0" applyFill="0" applyBorder="0" applyAlignment="0" applyProtection="0"/>
    <xf numFmtId="0" fontId="2" fillId="2" borderId="0" applyNumberFormat="0" applyBorder="0" applyAlignment="0" applyProtection="0"/>
    <xf numFmtId="0" fontId="3" fillId="3" borderId="0" applyNumberFormat="0" applyBorder="0" applyAlignment="0" applyProtection="0"/>
    <xf numFmtId="0" fontId="4" fillId="4" borderId="0" applyNumberFormat="0" applyBorder="0" applyAlignment="0" applyProtection="0"/>
    <xf numFmtId="0" fontId="6" fillId="0" borderId="0"/>
    <xf numFmtId="0" fontId="8" fillId="0" borderId="0"/>
    <xf numFmtId="0" fontId="21" fillId="0" borderId="0" applyNumberFormat="0" applyFill="0" applyBorder="0" applyAlignment="0" applyProtection="0">
      <alignment vertical="top"/>
      <protection locked="0"/>
    </xf>
    <xf numFmtId="0" fontId="10" fillId="0" borderId="0"/>
    <xf numFmtId="0" fontId="10" fillId="0" borderId="0"/>
    <xf numFmtId="0" fontId="39" fillId="0" borderId="0" applyNumberFormat="0" applyFill="0" applyBorder="0" applyAlignment="0" applyProtection="0">
      <alignment vertical="top"/>
      <protection locked="0"/>
    </xf>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1" fillId="0" borderId="0" applyNumberFormat="0" applyFill="0" applyBorder="0" applyAlignment="0" applyProtection="0">
      <alignment vertical="top"/>
      <protection locked="0"/>
    </xf>
    <xf numFmtId="0" fontId="10" fillId="0" borderId="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51" fillId="26" borderId="0" applyNumberFormat="0" applyBorder="0" applyAlignment="0" applyProtection="0"/>
  </cellStyleXfs>
  <cellXfs count="1230">
    <xf numFmtId="0" fontId="0" fillId="0" borderId="0" xfId="0"/>
    <xf numFmtId="0" fontId="10" fillId="0" borderId="0" xfId="6" applyFont="1"/>
    <xf numFmtId="0" fontId="9" fillId="0" borderId="4" xfId="6" applyFont="1" applyFill="1" applyBorder="1" applyAlignment="1">
      <alignment horizontal="center"/>
    </xf>
    <xf numFmtId="0" fontId="9" fillId="0" borderId="7" xfId="6" applyFont="1" applyFill="1" applyBorder="1" applyAlignment="1"/>
    <xf numFmtId="0" fontId="9" fillId="0" borderId="8" xfId="6" applyFont="1" applyBorder="1" applyAlignment="1"/>
    <xf numFmtId="0" fontId="9" fillId="0" borderId="0" xfId="6" applyFont="1" applyBorder="1" applyAlignment="1"/>
    <xf numFmtId="0" fontId="10" fillId="0" borderId="9" xfId="6" applyFont="1" applyFill="1" applyBorder="1" applyAlignment="1"/>
    <xf numFmtId="0" fontId="10" fillId="0" borderId="10" xfId="6" applyFont="1" applyFill="1" applyBorder="1" applyAlignment="1"/>
    <xf numFmtId="0" fontId="8" fillId="0" borderId="10" xfId="6" applyBorder="1" applyAlignment="1"/>
    <xf numFmtId="17" fontId="9" fillId="0" borderId="13" xfId="6" applyNumberFormat="1" applyFont="1" applyBorder="1"/>
    <xf numFmtId="17" fontId="9" fillId="0" borderId="14" xfId="6" applyNumberFormat="1" applyFont="1" applyBorder="1"/>
    <xf numFmtId="17" fontId="8" fillId="0" borderId="0" xfId="6" applyNumberFormat="1"/>
    <xf numFmtId="0" fontId="8" fillId="5" borderId="15" xfId="6" applyFill="1" applyBorder="1"/>
    <xf numFmtId="0" fontId="11" fillId="5" borderId="3" xfId="6" applyFont="1" applyFill="1" applyBorder="1" applyAlignment="1">
      <alignment horizontal="right" wrapText="1"/>
    </xf>
    <xf numFmtId="0" fontId="10" fillId="5" borderId="3" xfId="6" applyFont="1" applyFill="1" applyBorder="1"/>
    <xf numFmtId="0" fontId="8" fillId="6" borderId="16" xfId="6" applyFill="1" applyBorder="1"/>
    <xf numFmtId="0" fontId="8" fillId="0" borderId="0" xfId="6"/>
    <xf numFmtId="0" fontId="10" fillId="0" borderId="3" xfId="6" applyFont="1" applyFill="1" applyBorder="1"/>
    <xf numFmtId="0" fontId="8" fillId="0" borderId="16" xfId="6" applyBorder="1"/>
    <xf numFmtId="0" fontId="11" fillId="7" borderId="3" xfId="6" applyFont="1" applyFill="1" applyBorder="1" applyAlignment="1">
      <alignment horizontal="right" wrapText="1"/>
    </xf>
    <xf numFmtId="0" fontId="11" fillId="7" borderId="3" xfId="6" applyFont="1" applyFill="1" applyBorder="1" applyAlignment="1">
      <alignment horizontal="left" wrapText="1"/>
    </xf>
    <xf numFmtId="0" fontId="13" fillId="7" borderId="3" xfId="6" applyFont="1" applyFill="1" applyBorder="1" applyAlignment="1">
      <alignment horizontal="right" wrapText="1"/>
    </xf>
    <xf numFmtId="0" fontId="8" fillId="5" borderId="15" xfId="6" applyFill="1" applyBorder="1" applyAlignment="1">
      <alignment textRotation="90"/>
    </xf>
    <xf numFmtId="0" fontId="14" fillId="5" borderId="3" xfId="6" applyFont="1" applyFill="1" applyBorder="1" applyAlignment="1">
      <alignment horizontal="right"/>
    </xf>
    <xf numFmtId="0" fontId="8" fillId="5" borderId="3" xfId="6" applyFill="1" applyBorder="1"/>
    <xf numFmtId="0" fontId="8" fillId="5" borderId="16" xfId="6" applyFill="1" applyBorder="1"/>
    <xf numFmtId="0" fontId="8" fillId="5" borderId="21" xfId="6" applyFill="1" applyBorder="1"/>
    <xf numFmtId="0" fontId="11" fillId="9" borderId="3" xfId="6" applyFont="1" applyFill="1" applyBorder="1" applyAlignment="1">
      <alignment horizontal="right" wrapText="1"/>
    </xf>
    <xf numFmtId="0" fontId="8" fillId="0" borderId="3" xfId="6" applyFill="1" applyBorder="1"/>
    <xf numFmtId="0" fontId="15" fillId="0" borderId="0" xfId="6" applyFont="1"/>
    <xf numFmtId="0" fontId="11" fillId="9" borderId="3" xfId="6" applyFont="1" applyFill="1" applyBorder="1" applyAlignment="1">
      <alignment horizontal="justify" vertical="distributed" wrapText="1"/>
    </xf>
    <xf numFmtId="0" fontId="8" fillId="0" borderId="16" xfId="6" applyBorder="1" applyAlignment="1">
      <alignment vertical="center"/>
    </xf>
    <xf numFmtId="0" fontId="16" fillId="9" borderId="3" xfId="6" applyFont="1" applyFill="1" applyBorder="1" applyAlignment="1">
      <alignment horizontal="justify" vertical="top"/>
    </xf>
    <xf numFmtId="1" fontId="8" fillId="5" borderId="3" xfId="6" applyNumberFormat="1" applyFill="1" applyBorder="1"/>
    <xf numFmtId="1" fontId="8" fillId="5" borderId="16" xfId="6" applyNumberFormat="1" applyFill="1" applyBorder="1"/>
    <xf numFmtId="1" fontId="8" fillId="9" borderId="10" xfId="6" applyNumberFormat="1" applyFill="1" applyBorder="1"/>
    <xf numFmtId="1" fontId="8" fillId="9" borderId="24" xfId="6" applyNumberFormat="1" applyFill="1" applyBorder="1"/>
    <xf numFmtId="0" fontId="8" fillId="0" borderId="0" xfId="6" applyAlignment="1">
      <alignment horizontal="right"/>
    </xf>
    <xf numFmtId="1" fontId="8" fillId="0" borderId="0" xfId="6" applyNumberFormat="1"/>
    <xf numFmtId="0" fontId="8" fillId="0" borderId="0" xfId="6" applyBorder="1"/>
    <xf numFmtId="0" fontId="8" fillId="6" borderId="33" xfId="6" applyFill="1" applyBorder="1" applyAlignment="1"/>
    <xf numFmtId="0" fontId="8" fillId="6" borderId="34" xfId="6" applyFill="1" applyBorder="1" applyAlignment="1"/>
    <xf numFmtId="0" fontId="8" fillId="6" borderId="35" xfId="6" applyFill="1" applyBorder="1" applyAlignment="1"/>
    <xf numFmtId="0" fontId="8" fillId="6" borderId="32" xfId="6" applyFill="1" applyBorder="1" applyAlignment="1"/>
    <xf numFmtId="0" fontId="8" fillId="6" borderId="36" xfId="6" applyFill="1" applyBorder="1" applyAlignment="1"/>
    <xf numFmtId="0" fontId="9" fillId="0" borderId="0" xfId="6" applyFont="1" applyFill="1" applyBorder="1" applyAlignment="1"/>
    <xf numFmtId="0" fontId="9" fillId="0" borderId="0" xfId="6" applyFont="1" applyFill="1" applyBorder="1" applyAlignment="1">
      <alignment horizontal="center"/>
    </xf>
    <xf numFmtId="165" fontId="10" fillId="0" borderId="0" xfId="6" applyNumberFormat="1" applyFont="1" applyFill="1" applyBorder="1" applyAlignment="1" applyProtection="1">
      <alignment vertical="center"/>
      <protection hidden="1"/>
    </xf>
    <xf numFmtId="0" fontId="9" fillId="0" borderId="0" xfId="6" applyFont="1" applyAlignment="1">
      <alignment horizontal="right"/>
    </xf>
    <xf numFmtId="0" fontId="9" fillId="0" borderId="0" xfId="6" applyFont="1" applyFill="1" applyBorder="1" applyAlignment="1">
      <alignment horizontal="left"/>
    </xf>
    <xf numFmtId="0" fontId="8" fillId="0" borderId="0" xfId="6" applyFill="1" applyBorder="1" applyAlignment="1"/>
    <xf numFmtId="0" fontId="9" fillId="0" borderId="25" xfId="6" applyFont="1" applyFill="1" applyBorder="1" applyAlignment="1">
      <alignment horizontal="center"/>
    </xf>
    <xf numFmtId="0" fontId="9" fillId="0" borderId="26" xfId="6" applyFont="1" applyBorder="1" applyAlignment="1">
      <alignment horizontal="center"/>
    </xf>
    <xf numFmtId="0" fontId="9" fillId="0" borderId="27" xfId="6" applyFont="1" applyBorder="1" applyAlignment="1">
      <alignment horizontal="center"/>
    </xf>
    <xf numFmtId="0" fontId="9" fillId="0" borderId="43" xfId="6" applyFont="1" applyFill="1" applyBorder="1" applyAlignment="1">
      <alignment horizontal="center"/>
    </xf>
    <xf numFmtId="0" fontId="9" fillId="0" borderId="0" xfId="6" applyFont="1" applyBorder="1" applyAlignment="1">
      <alignment horizontal="center"/>
    </xf>
    <xf numFmtId="0" fontId="9" fillId="0" borderId="44" xfId="6" applyFont="1" applyBorder="1" applyAlignment="1">
      <alignment horizontal="center"/>
    </xf>
    <xf numFmtId="0" fontId="9" fillId="6" borderId="3" xfId="6" applyFont="1" applyFill="1" applyBorder="1" applyAlignment="1">
      <alignment horizontal="left"/>
    </xf>
    <xf numFmtId="0" fontId="8" fillId="0" borderId="0" xfId="6" applyFill="1" applyBorder="1" applyAlignment="1">
      <alignment vertical="justify"/>
    </xf>
    <xf numFmtId="0" fontId="9" fillId="0" borderId="0" xfId="6" applyFont="1" applyFill="1" applyAlignment="1">
      <alignment vertical="justify"/>
    </xf>
    <xf numFmtId="0" fontId="10" fillId="0" borderId="43" xfId="6" applyFont="1" applyFill="1" applyBorder="1"/>
    <xf numFmtId="0" fontId="10" fillId="0" borderId="0" xfId="6" applyFont="1" applyFill="1" applyBorder="1" applyAlignment="1">
      <alignment vertical="distributed"/>
    </xf>
    <xf numFmtId="0" fontId="10" fillId="0" borderId="44" xfId="6" applyFont="1" applyFill="1" applyBorder="1" applyAlignment="1">
      <alignment vertical="distributed"/>
    </xf>
    <xf numFmtId="0" fontId="8" fillId="0" borderId="0" xfId="6" applyFill="1" applyBorder="1"/>
    <xf numFmtId="0" fontId="9" fillId="0" borderId="43" xfId="6" applyFont="1" applyBorder="1"/>
    <xf numFmtId="0" fontId="8" fillId="0" borderId="44" xfId="6" applyBorder="1"/>
    <xf numFmtId="0" fontId="9" fillId="0" borderId="0" xfId="6" applyFont="1" applyAlignment="1"/>
    <xf numFmtId="0" fontId="9" fillId="0" borderId="43" xfId="6" applyFont="1" applyFill="1" applyBorder="1" applyAlignment="1">
      <alignment vertical="justify"/>
    </xf>
    <xf numFmtId="0" fontId="9" fillId="0" borderId="0" xfId="6" applyFont="1" applyFill="1" applyBorder="1" applyAlignment="1">
      <alignment vertical="justify"/>
    </xf>
    <xf numFmtId="0" fontId="9" fillId="0" borderId="44" xfId="6" applyFont="1" applyFill="1" applyBorder="1" applyAlignment="1">
      <alignment vertical="justify"/>
    </xf>
    <xf numFmtId="0" fontId="19" fillId="0" borderId="32" xfId="6" applyFont="1" applyBorder="1" applyAlignment="1">
      <alignment horizontal="center" wrapText="1"/>
    </xf>
    <xf numFmtId="0" fontId="8" fillId="11" borderId="0" xfId="6" applyFill="1" applyBorder="1" applyAlignment="1">
      <alignment vertical="justify"/>
    </xf>
    <xf numFmtId="0" fontId="8" fillId="11" borderId="44" xfId="6" applyFill="1" applyBorder="1" applyAlignment="1">
      <alignment vertical="justify"/>
    </xf>
    <xf numFmtId="0" fontId="8" fillId="12" borderId="13" xfId="6" applyFill="1" applyBorder="1" applyAlignment="1"/>
    <xf numFmtId="0" fontId="8" fillId="12" borderId="14" xfId="6" applyFill="1" applyBorder="1" applyAlignment="1"/>
    <xf numFmtId="0" fontId="10" fillId="0" borderId="43" xfId="6" applyFont="1" applyBorder="1"/>
    <xf numFmtId="0" fontId="8" fillId="0" borderId="44" xfId="6" applyFill="1" applyBorder="1" applyAlignment="1">
      <alignment vertical="justify"/>
    </xf>
    <xf numFmtId="0" fontId="8" fillId="12" borderId="9" xfId="6" applyFill="1" applyBorder="1" applyAlignment="1"/>
    <xf numFmtId="0" fontId="8" fillId="12" borderId="16" xfId="6" applyFill="1" applyBorder="1" applyAlignment="1"/>
    <xf numFmtId="0" fontId="8" fillId="0" borderId="43" xfId="6" applyBorder="1"/>
    <xf numFmtId="0" fontId="8" fillId="12" borderId="3" xfId="6" applyFill="1" applyBorder="1" applyAlignment="1"/>
    <xf numFmtId="0" fontId="10" fillId="12" borderId="3" xfId="6" applyFont="1" applyFill="1" applyBorder="1" applyAlignment="1"/>
    <xf numFmtId="0" fontId="18" fillId="11" borderId="43" xfId="6" applyFont="1" applyFill="1" applyBorder="1"/>
    <xf numFmtId="0" fontId="8" fillId="0" borderId="44" xfId="6" applyFill="1" applyBorder="1" applyAlignment="1"/>
    <xf numFmtId="0" fontId="10" fillId="12" borderId="32" xfId="6" applyFont="1" applyFill="1" applyBorder="1" applyAlignment="1"/>
    <xf numFmtId="0" fontId="18" fillId="0" borderId="43" xfId="6" applyFont="1" applyFill="1" applyBorder="1"/>
    <xf numFmtId="0" fontId="8" fillId="0" borderId="44" xfId="6" applyFill="1" applyBorder="1"/>
    <xf numFmtId="0" fontId="8" fillId="0" borderId="0" xfId="6" applyFill="1"/>
    <xf numFmtId="0" fontId="10" fillId="12" borderId="6" xfId="6" applyFont="1" applyFill="1" applyBorder="1" applyAlignment="1">
      <alignment horizontal="right"/>
    </xf>
    <xf numFmtId="0" fontId="8" fillId="12" borderId="48" xfId="6" applyFill="1" applyBorder="1" applyAlignment="1"/>
    <xf numFmtId="0" fontId="8" fillId="12" borderId="49" xfId="6" applyFill="1" applyBorder="1" applyAlignment="1"/>
    <xf numFmtId="0" fontId="8" fillId="0" borderId="0" xfId="6" applyBorder="1" applyAlignment="1"/>
    <xf numFmtId="0" fontId="8" fillId="0" borderId="44" xfId="6" applyBorder="1" applyAlignment="1"/>
    <xf numFmtId="0" fontId="8" fillId="0" borderId="0" xfId="6" applyFill="1" applyBorder="1" applyAlignment="1">
      <alignment vertical="center"/>
    </xf>
    <xf numFmtId="0" fontId="8" fillId="0" borderId="0" xfId="6" applyFill="1" applyBorder="1" applyAlignment="1">
      <alignment horizontal="right"/>
    </xf>
    <xf numFmtId="0" fontId="9" fillId="0" borderId="25" xfId="6" applyFont="1" applyFill="1" applyBorder="1" applyAlignment="1"/>
    <xf numFmtId="0" fontId="9" fillId="0" borderId="2" xfId="6" applyNumberFormat="1" applyFont="1" applyBorder="1"/>
    <xf numFmtId="0" fontId="8" fillId="0" borderId="51" xfId="6" applyBorder="1"/>
    <xf numFmtId="0" fontId="8" fillId="0" borderId="52" xfId="6" applyBorder="1"/>
    <xf numFmtId="0" fontId="8" fillId="0" borderId="53" xfId="6" applyBorder="1"/>
    <xf numFmtId="0" fontId="8" fillId="12" borderId="6" xfId="6" applyFill="1" applyBorder="1" applyAlignment="1">
      <alignment vertical="center"/>
    </xf>
    <xf numFmtId="0" fontId="10" fillId="12" borderId="14" xfId="6" applyNumberFormat="1" applyFont="1" applyFill="1" applyBorder="1"/>
    <xf numFmtId="0" fontId="10" fillId="12" borderId="9" xfId="6" applyFont="1" applyFill="1" applyBorder="1" applyAlignment="1"/>
    <xf numFmtId="0" fontId="10" fillId="12" borderId="49" xfId="6" applyNumberFormat="1" applyFont="1" applyFill="1" applyBorder="1"/>
    <xf numFmtId="0" fontId="10" fillId="12" borderId="50" xfId="6" applyFont="1" applyFill="1" applyBorder="1" applyAlignment="1"/>
    <xf numFmtId="0" fontId="9" fillId="0" borderId="0" xfId="6" applyFont="1"/>
    <xf numFmtId="0" fontId="20" fillId="0" borderId="0" xfId="6" applyFont="1"/>
    <xf numFmtId="0" fontId="9" fillId="10" borderId="10" xfId="6" applyFont="1" applyFill="1" applyBorder="1" applyAlignment="1"/>
    <xf numFmtId="0" fontId="9" fillId="10" borderId="55" xfId="6" applyFont="1" applyFill="1" applyBorder="1" applyAlignment="1"/>
    <xf numFmtId="0" fontId="8" fillId="5" borderId="0" xfId="6" applyFill="1"/>
    <xf numFmtId="0" fontId="9" fillId="0" borderId="0" xfId="6" applyFont="1" applyAlignment="1">
      <alignment horizontal="left"/>
    </xf>
    <xf numFmtId="165" fontId="9" fillId="13" borderId="3" xfId="6" applyNumberFormat="1" applyFont="1" applyFill="1" applyBorder="1" applyAlignment="1" applyProtection="1">
      <alignment horizontal="right" vertical="center"/>
      <protection hidden="1"/>
    </xf>
    <xf numFmtId="9" fontId="10" fillId="13" borderId="3" xfId="6" applyNumberFormat="1" applyFont="1" applyFill="1" applyBorder="1" applyAlignment="1" applyProtection="1">
      <alignment vertical="center"/>
      <protection hidden="1"/>
    </xf>
    <xf numFmtId="165" fontId="10" fillId="13" borderId="3" xfId="6" applyNumberFormat="1" applyFont="1" applyFill="1" applyBorder="1" applyAlignment="1" applyProtection="1">
      <alignment vertical="center"/>
      <protection hidden="1"/>
    </xf>
    <xf numFmtId="0" fontId="8" fillId="13" borderId="3" xfId="6" applyFill="1" applyBorder="1"/>
    <xf numFmtId="0" fontId="8" fillId="9" borderId="0" xfId="6" applyFill="1"/>
    <xf numFmtId="165" fontId="10" fillId="0" borderId="0" xfId="6" applyNumberFormat="1" applyFont="1" applyFill="1" applyBorder="1" applyAlignment="1" applyProtection="1">
      <alignment horizontal="left" vertical="center"/>
      <protection hidden="1"/>
    </xf>
    <xf numFmtId="9" fontId="10" fillId="0" borderId="0" xfId="6" applyNumberFormat="1" applyFont="1" applyFill="1" applyBorder="1" applyAlignment="1" applyProtection="1">
      <alignment vertical="center"/>
      <protection hidden="1"/>
    </xf>
    <xf numFmtId="165" fontId="9" fillId="0" borderId="0" xfId="6" applyNumberFormat="1" applyFont="1" applyFill="1" applyBorder="1" applyAlignment="1" applyProtection="1">
      <alignment horizontal="right" vertical="center"/>
      <protection hidden="1"/>
    </xf>
    <xf numFmtId="0" fontId="9" fillId="14" borderId="25" xfId="6" applyFont="1" applyFill="1" applyBorder="1" applyAlignment="1">
      <alignment horizontal="left"/>
    </xf>
    <xf numFmtId="0" fontId="8" fillId="14" borderId="26" xfId="6" applyFill="1" applyBorder="1" applyAlignment="1"/>
    <xf numFmtId="0" fontId="10" fillId="0" borderId="0" xfId="6" applyFont="1" applyAlignment="1">
      <alignment horizontal="right"/>
    </xf>
    <xf numFmtId="0" fontId="9" fillId="6" borderId="25" xfId="6" applyFont="1" applyFill="1" applyBorder="1" applyAlignment="1">
      <alignment horizontal="left"/>
    </xf>
    <xf numFmtId="0" fontId="8" fillId="6" borderId="26" xfId="6" applyFill="1" applyBorder="1" applyAlignment="1"/>
    <xf numFmtId="165" fontId="9" fillId="0" borderId="0" xfId="6" applyNumberFormat="1" applyFont="1" applyFill="1" applyBorder="1" applyAlignment="1" applyProtection="1">
      <alignment vertical="center"/>
      <protection hidden="1"/>
    </xf>
    <xf numFmtId="0" fontId="8" fillId="0" borderId="0" xfId="6" applyFill="1" applyAlignment="1">
      <alignment horizontal="right"/>
    </xf>
    <xf numFmtId="0" fontId="8" fillId="0" borderId="0" xfId="6" applyBorder="1" applyAlignment="1">
      <alignment horizontal="center"/>
    </xf>
    <xf numFmtId="0" fontId="11" fillId="9" borderId="3" xfId="6" applyFont="1" applyFill="1" applyBorder="1" applyAlignment="1">
      <alignment horizontal="justify"/>
    </xf>
    <xf numFmtId="0" fontId="21" fillId="0" borderId="0" xfId="7" applyAlignment="1" applyProtection="1"/>
    <xf numFmtId="0" fontId="9" fillId="0" borderId="40" xfId="6" applyFont="1" applyFill="1" applyBorder="1" applyAlignment="1">
      <alignment horizontal="center"/>
    </xf>
    <xf numFmtId="0" fontId="9" fillId="0" borderId="41" xfId="6" applyFont="1" applyBorder="1" applyAlignment="1">
      <alignment horizontal="center"/>
    </xf>
    <xf numFmtId="0" fontId="9" fillId="0" borderId="42" xfId="6" applyFont="1" applyBorder="1" applyAlignment="1">
      <alignment horizontal="center"/>
    </xf>
    <xf numFmtId="0" fontId="9" fillId="0" borderId="0" xfId="6" applyFont="1" applyFill="1" applyBorder="1" applyAlignment="1">
      <alignment vertical="distributed"/>
    </xf>
    <xf numFmtId="0" fontId="8" fillId="0" borderId="0" xfId="6" applyFill="1" applyBorder="1" applyAlignment="1">
      <alignment vertical="distributed"/>
    </xf>
    <xf numFmtId="0" fontId="8" fillId="0" borderId="44" xfId="6" applyFill="1" applyBorder="1" applyAlignment="1">
      <alignment vertical="distributed"/>
    </xf>
    <xf numFmtId="0" fontId="10" fillId="0" borderId="0" xfId="6" applyFont="1" applyFill="1" applyBorder="1" applyAlignment="1">
      <alignment vertical="justify"/>
    </xf>
    <xf numFmtId="0" fontId="10" fillId="0" borderId="44" xfId="6" applyFont="1" applyFill="1" applyBorder="1" applyAlignment="1">
      <alignment vertical="justify"/>
    </xf>
    <xf numFmtId="0" fontId="10" fillId="0" borderId="43" xfId="6" applyFont="1" applyFill="1" applyBorder="1" applyAlignment="1"/>
    <xf numFmtId="0" fontId="18" fillId="0" borderId="0" xfId="6" applyFont="1" applyFill="1" applyBorder="1"/>
    <xf numFmtId="0" fontId="18" fillId="0" borderId="44" xfId="6" applyFont="1" applyFill="1" applyBorder="1"/>
    <xf numFmtId="0" fontId="9" fillId="0" borderId="51" xfId="6" applyFont="1" applyFill="1" applyBorder="1" applyAlignment="1">
      <alignment vertical="justify"/>
    </xf>
    <xf numFmtId="0" fontId="9" fillId="0" borderId="52" xfId="6" applyFont="1" applyFill="1" applyBorder="1" applyAlignment="1">
      <alignment vertical="justify"/>
    </xf>
    <xf numFmtId="0" fontId="8" fillId="0" borderId="52" xfId="6" applyBorder="1" applyAlignment="1"/>
    <xf numFmtId="0" fontId="8" fillId="0" borderId="53" xfId="6" applyBorder="1" applyAlignment="1"/>
    <xf numFmtId="17" fontId="9" fillId="0" borderId="13" xfId="8" applyNumberFormat="1" applyFont="1" applyBorder="1"/>
    <xf numFmtId="0" fontId="14" fillId="5" borderId="6" xfId="6" applyFont="1" applyFill="1" applyBorder="1" applyAlignment="1">
      <alignment horizontal="right"/>
    </xf>
    <xf numFmtId="0" fontId="11" fillId="9" borderId="6" xfId="6" applyFont="1" applyFill="1" applyBorder="1" applyAlignment="1">
      <alignment horizontal="right" wrapText="1"/>
    </xf>
    <xf numFmtId="0" fontId="8" fillId="0" borderId="3" xfId="6" applyBorder="1"/>
    <xf numFmtId="0" fontId="11" fillId="9" borderId="6" xfId="6" applyFont="1" applyFill="1" applyBorder="1" applyAlignment="1">
      <alignment horizontal="justify" vertical="distributed" wrapText="1"/>
    </xf>
    <xf numFmtId="0" fontId="11" fillId="9" borderId="6" xfId="6" applyFont="1" applyFill="1" applyBorder="1" applyAlignment="1">
      <alignment horizontal="justify"/>
    </xf>
    <xf numFmtId="0" fontId="9" fillId="0" borderId="43" xfId="6" applyFont="1" applyFill="1" applyBorder="1" applyAlignment="1"/>
    <xf numFmtId="0" fontId="25" fillId="5" borderId="3" xfId="6" applyFont="1" applyFill="1" applyBorder="1" applyAlignment="1">
      <alignment horizontal="right" wrapText="1"/>
    </xf>
    <xf numFmtId="1" fontId="9" fillId="0" borderId="0" xfId="6" applyNumberFormat="1" applyFont="1" applyFill="1" applyBorder="1" applyAlignment="1" applyProtection="1">
      <alignment horizontal="right" vertical="center"/>
      <protection hidden="1"/>
    </xf>
    <xf numFmtId="0" fontId="10" fillId="6" borderId="33" xfId="6" applyFont="1" applyFill="1" applyBorder="1" applyAlignment="1"/>
    <xf numFmtId="0" fontId="9" fillId="11" borderId="25" xfId="6" applyFont="1" applyFill="1" applyBorder="1" applyAlignment="1">
      <alignment horizontal="left"/>
    </xf>
    <xf numFmtId="0" fontId="8" fillId="17" borderId="26" xfId="6" applyFill="1" applyBorder="1" applyAlignment="1"/>
    <xf numFmtId="0" fontId="26" fillId="0" borderId="0" xfId="6" applyFont="1"/>
    <xf numFmtId="0" fontId="10" fillId="0" borderId="0" xfId="6" applyFont="1" applyFill="1"/>
    <xf numFmtId="0" fontId="18" fillId="11" borderId="44" xfId="6" applyFont="1" applyFill="1" applyBorder="1" applyAlignment="1">
      <alignment vertical="justify"/>
    </xf>
    <xf numFmtId="0" fontId="10" fillId="0" borderId="0" xfId="6" applyFont="1" applyFill="1" applyAlignment="1">
      <alignment horizontal="right"/>
    </xf>
    <xf numFmtId="0" fontId="13" fillId="9" borderId="3" xfId="6" applyFont="1" applyFill="1" applyBorder="1" applyAlignment="1">
      <alignment horizontal="justify"/>
    </xf>
    <xf numFmtId="0" fontId="27" fillId="18" borderId="0" xfId="6" applyFont="1" applyFill="1"/>
    <xf numFmtId="0" fontId="8" fillId="18" borderId="0" xfId="6" applyFill="1"/>
    <xf numFmtId="14" fontId="8" fillId="0" borderId="0" xfId="6" quotePrefix="1" applyNumberFormat="1"/>
    <xf numFmtId="0" fontId="10" fillId="0" borderId="43" xfId="6" applyFont="1" applyFill="1" applyBorder="1" applyAlignment="1">
      <alignment vertical="justify"/>
    </xf>
    <xf numFmtId="0" fontId="8" fillId="0" borderId="43" xfId="6" quotePrefix="1" applyBorder="1"/>
    <xf numFmtId="0" fontId="16" fillId="5" borderId="3" xfId="6" applyFont="1" applyFill="1" applyBorder="1" applyAlignment="1">
      <alignment horizontal="right" wrapText="1"/>
    </xf>
    <xf numFmtId="0" fontId="25" fillId="7" borderId="3" xfId="6" applyFont="1" applyFill="1" applyBorder="1" applyAlignment="1">
      <alignment horizontal="right" wrapText="1"/>
    </xf>
    <xf numFmtId="0" fontId="16" fillId="9" borderId="3" xfId="6" applyFont="1" applyFill="1" applyBorder="1" applyAlignment="1">
      <alignment horizontal="justify" vertical="top" wrapText="1"/>
    </xf>
    <xf numFmtId="0" fontId="16" fillId="9" borderId="3" xfId="6" applyFont="1" applyFill="1" applyBorder="1" applyAlignment="1">
      <alignment horizontal="justify"/>
    </xf>
    <xf numFmtId="0" fontId="8" fillId="0" borderId="21" xfId="6" applyFill="1" applyBorder="1"/>
    <xf numFmtId="0" fontId="9" fillId="17" borderId="25" xfId="6" applyFont="1" applyFill="1" applyBorder="1" applyAlignment="1">
      <alignment horizontal="left"/>
    </xf>
    <xf numFmtId="0" fontId="9" fillId="18" borderId="0" xfId="6" applyFont="1" applyFill="1"/>
    <xf numFmtId="0" fontId="28" fillId="0" borderId="0" xfId="6" applyFont="1"/>
    <xf numFmtId="0" fontId="8" fillId="11" borderId="26" xfId="6" applyFill="1" applyBorder="1" applyAlignment="1"/>
    <xf numFmtId="0" fontId="8" fillId="0" borderId="38" xfId="6" applyBorder="1" applyAlignment="1"/>
    <xf numFmtId="0" fontId="8" fillId="0" borderId="39" xfId="6" applyBorder="1" applyAlignment="1"/>
    <xf numFmtId="0" fontId="8" fillId="0" borderId="23" xfId="6" applyBorder="1" applyAlignment="1"/>
    <xf numFmtId="0" fontId="8" fillId="12" borderId="4" xfId="6" applyFill="1" applyBorder="1" applyAlignment="1"/>
    <xf numFmtId="0" fontId="8" fillId="12" borderId="5" xfId="6" applyFill="1" applyBorder="1" applyAlignment="1"/>
    <xf numFmtId="0" fontId="29" fillId="5" borderId="3" xfId="6" applyFont="1" applyFill="1" applyBorder="1" applyAlignment="1">
      <alignment horizontal="right" wrapText="1"/>
    </xf>
    <xf numFmtId="0" fontId="10" fillId="0" borderId="43" xfId="6" quotePrefix="1" applyFont="1" applyBorder="1"/>
    <xf numFmtId="0" fontId="10" fillId="0" borderId="0" xfId="6" quotePrefix="1" applyFont="1" applyFill="1" applyBorder="1" applyAlignment="1">
      <alignment horizontal="center" vertical="justify"/>
    </xf>
    <xf numFmtId="0" fontId="10" fillId="0" borderId="0" xfId="6" applyFont="1" applyBorder="1"/>
    <xf numFmtId="0" fontId="10" fillId="0" borderId="44" xfId="6" applyFont="1" applyBorder="1"/>
    <xf numFmtId="0" fontId="10" fillId="0" borderId="51" xfId="6" applyFont="1" applyBorder="1"/>
    <xf numFmtId="14" fontId="10" fillId="0" borderId="0" xfId="6" applyNumberFormat="1" applyFont="1"/>
    <xf numFmtId="0" fontId="10" fillId="19" borderId="3" xfId="6" applyFont="1" applyFill="1" applyBorder="1"/>
    <xf numFmtId="165" fontId="10" fillId="19" borderId="3" xfId="6" applyNumberFormat="1" applyFont="1" applyFill="1" applyBorder="1" applyAlignment="1" applyProtection="1">
      <alignment vertical="center"/>
      <protection hidden="1"/>
    </xf>
    <xf numFmtId="0" fontId="10" fillId="5" borderId="43" xfId="6" quotePrefix="1" applyFont="1" applyFill="1" applyBorder="1"/>
    <xf numFmtId="0" fontId="8" fillId="5" borderId="0" xfId="6" applyFill="1" applyBorder="1" applyAlignment="1">
      <alignment vertical="justify"/>
    </xf>
    <xf numFmtId="0" fontId="8" fillId="5" borderId="0" xfId="6" applyFill="1" applyBorder="1"/>
    <xf numFmtId="0" fontId="8" fillId="5" borderId="44" xfId="6" applyFill="1" applyBorder="1" applyAlignment="1">
      <alignment vertical="justify"/>
    </xf>
    <xf numFmtId="0" fontId="8" fillId="5" borderId="43" xfId="6" quotePrefix="1" applyFill="1" applyBorder="1"/>
    <xf numFmtId="0" fontId="8" fillId="5" borderId="44" xfId="6" applyFill="1" applyBorder="1"/>
    <xf numFmtId="0" fontId="8" fillId="11" borderId="0" xfId="6" applyFill="1" applyBorder="1"/>
    <xf numFmtId="0" fontId="8" fillId="11" borderId="44" xfId="6" applyFill="1" applyBorder="1"/>
    <xf numFmtId="0" fontId="8" fillId="0" borderId="52" xfId="6" applyFill="1" applyBorder="1" applyAlignment="1"/>
    <xf numFmtId="0" fontId="8" fillId="0" borderId="53" xfId="6" applyFill="1" applyBorder="1" applyAlignment="1"/>
    <xf numFmtId="0" fontId="18" fillId="0" borderId="0" xfId="6" applyFont="1"/>
    <xf numFmtId="0" fontId="3" fillId="3" borderId="0" xfId="3"/>
    <xf numFmtId="0" fontId="12" fillId="7" borderId="61" xfId="6" applyFont="1" applyFill="1" applyBorder="1" applyAlignment="1">
      <alignment horizontal="center" vertical="center" textRotation="90"/>
    </xf>
    <xf numFmtId="0" fontId="11" fillId="7" borderId="6" xfId="6" applyFont="1" applyFill="1" applyBorder="1" applyAlignment="1">
      <alignment horizontal="right" wrapText="1"/>
    </xf>
    <xf numFmtId="0" fontId="29" fillId="9" borderId="3" xfId="6" applyFont="1" applyFill="1" applyBorder="1" applyAlignment="1">
      <alignment horizontal="left" wrapText="1"/>
    </xf>
    <xf numFmtId="0" fontId="13" fillId="9" borderId="3" xfId="6" applyFont="1" applyFill="1" applyBorder="1" applyAlignment="1">
      <alignment horizontal="left"/>
    </xf>
    <xf numFmtId="14" fontId="8" fillId="0" borderId="0" xfId="6" applyNumberFormat="1"/>
    <xf numFmtId="0" fontId="8" fillId="5" borderId="0" xfId="6" quotePrefix="1" applyFill="1"/>
    <xf numFmtId="0" fontId="8" fillId="0" borderId="0" xfId="6" quotePrefix="1"/>
    <xf numFmtId="0" fontId="8" fillId="0" borderId="0" xfId="6" quotePrefix="1" applyFill="1"/>
    <xf numFmtId="0" fontId="11" fillId="9" borderId="3" xfId="6" applyFont="1" applyFill="1" applyBorder="1" applyAlignment="1">
      <alignment horizontal="justify" vertical="top"/>
    </xf>
    <xf numFmtId="0" fontId="18" fillId="11" borderId="0" xfId="6" applyFont="1" applyFill="1" applyBorder="1"/>
    <xf numFmtId="0" fontId="18" fillId="11" borderId="44" xfId="6" applyFont="1" applyFill="1" applyBorder="1"/>
    <xf numFmtId="0" fontId="10" fillId="0" borderId="51" xfId="6" applyFont="1" applyFill="1" applyBorder="1"/>
    <xf numFmtId="0" fontId="9" fillId="0" borderId="0" xfId="6" quotePrefix="1" applyFont="1"/>
    <xf numFmtId="0" fontId="21" fillId="0" borderId="0" xfId="7" applyAlignment="1" applyProtection="1">
      <alignment horizontal="right"/>
    </xf>
    <xf numFmtId="0" fontId="11" fillId="8" borderId="20" xfId="6" applyFont="1" applyFill="1" applyBorder="1" applyAlignment="1">
      <alignment horizontal="right"/>
    </xf>
    <xf numFmtId="0" fontId="11" fillId="8" borderId="6" xfId="6" applyFont="1" applyFill="1" applyBorder="1" applyAlignment="1">
      <alignment horizontal="right"/>
    </xf>
    <xf numFmtId="0" fontId="13" fillId="5" borderId="3" xfId="6" applyFont="1" applyFill="1" applyBorder="1" applyAlignment="1">
      <alignment horizontal="right" wrapText="1"/>
    </xf>
    <xf numFmtId="0" fontId="29" fillId="9" borderId="3" xfId="6" applyFont="1" applyFill="1" applyBorder="1" applyAlignment="1">
      <alignment horizontal="right" wrapText="1"/>
    </xf>
    <xf numFmtId="0" fontId="30" fillId="8" borderId="15" xfId="6" applyFont="1" applyFill="1" applyBorder="1" applyAlignment="1">
      <alignment textRotation="90"/>
    </xf>
    <xf numFmtId="0" fontId="11" fillId="8" borderId="3" xfId="6" applyFont="1" applyFill="1" applyBorder="1" applyAlignment="1">
      <alignment horizontal="right"/>
    </xf>
    <xf numFmtId="0" fontId="9" fillId="12" borderId="14" xfId="6" applyNumberFormat="1" applyFont="1" applyFill="1" applyBorder="1"/>
    <xf numFmtId="0" fontId="9" fillId="12" borderId="49" xfId="6" applyNumberFormat="1" applyFont="1" applyFill="1" applyBorder="1"/>
    <xf numFmtId="165" fontId="9" fillId="13" borderId="0" xfId="6" applyNumberFormat="1" applyFont="1" applyFill="1" applyBorder="1" applyAlignment="1" applyProtection="1">
      <alignment horizontal="right" vertical="center"/>
      <protection hidden="1"/>
    </xf>
    <xf numFmtId="49" fontId="10" fillId="0" borderId="43" xfId="6" applyNumberFormat="1" applyFont="1" applyFill="1" applyBorder="1" applyAlignment="1"/>
    <xf numFmtId="0" fontId="8" fillId="0" borderId="0" xfId="6" applyAlignment="1"/>
    <xf numFmtId="0" fontId="9" fillId="19" borderId="0" xfId="6" applyFont="1" applyFill="1"/>
    <xf numFmtId="0" fontId="22" fillId="6" borderId="33" xfId="6" applyFont="1" applyFill="1" applyBorder="1" applyAlignment="1"/>
    <xf numFmtId="0" fontId="22" fillId="6" borderId="34" xfId="6" applyFont="1" applyFill="1" applyBorder="1" applyAlignment="1"/>
    <xf numFmtId="0" fontId="21" fillId="0" borderId="0" xfId="7" applyFont="1" applyAlignment="1" applyProtection="1"/>
    <xf numFmtId="0" fontId="10" fillId="0" borderId="43" xfId="6" quotePrefix="1" applyFont="1" applyFill="1" applyBorder="1"/>
    <xf numFmtId="0" fontId="10" fillId="0" borderId="0" xfId="6" applyFont="1" applyFill="1" applyBorder="1"/>
    <xf numFmtId="0" fontId="10" fillId="0" borderId="44" xfId="6" applyFont="1" applyFill="1" applyBorder="1"/>
    <xf numFmtId="0" fontId="8" fillId="0" borderId="43" xfId="6" quotePrefix="1" applyFill="1" applyBorder="1"/>
    <xf numFmtId="0" fontId="10" fillId="11" borderId="0" xfId="6" applyFont="1" applyFill="1" applyBorder="1" applyAlignment="1">
      <alignment vertical="justify"/>
    </xf>
    <xf numFmtId="0" fontId="10" fillId="0" borderId="0" xfId="6" applyFont="1" applyFill="1" applyBorder="1" applyAlignment="1"/>
    <xf numFmtId="0" fontId="9" fillId="11" borderId="0" xfId="6" applyFont="1" applyFill="1" applyBorder="1" applyAlignment="1">
      <alignment vertical="justify"/>
    </xf>
    <xf numFmtId="0" fontId="8" fillId="11" borderId="0" xfId="6" applyFill="1" applyBorder="1" applyAlignment="1"/>
    <xf numFmtId="0" fontId="8" fillId="11" borderId="44" xfId="6" applyFill="1" applyBorder="1" applyAlignment="1"/>
    <xf numFmtId="0" fontId="10" fillId="0" borderId="52" xfId="6" applyFont="1" applyBorder="1"/>
    <xf numFmtId="0" fontId="12" fillId="7" borderId="3" xfId="6" applyFont="1" applyFill="1" applyBorder="1" applyAlignment="1">
      <alignment horizontal="right" wrapText="1"/>
    </xf>
    <xf numFmtId="0" fontId="29" fillId="9" borderId="3" xfId="6" applyFont="1" applyFill="1" applyBorder="1" applyAlignment="1">
      <alignment horizontal="justify" vertical="distributed" wrapText="1"/>
    </xf>
    <xf numFmtId="1" fontId="8" fillId="0" borderId="16" xfId="6" applyNumberFormat="1" applyBorder="1" applyAlignment="1">
      <alignment vertical="center"/>
    </xf>
    <xf numFmtId="0" fontId="10" fillId="0" borderId="43" xfId="6" quotePrefix="1" applyFont="1" applyFill="1" applyBorder="1" applyAlignment="1"/>
    <xf numFmtId="0" fontId="31" fillId="19" borderId="3" xfId="6" applyFont="1" applyFill="1" applyBorder="1"/>
    <xf numFmtId="0" fontId="32" fillId="19" borderId="3" xfId="6" applyFont="1" applyFill="1" applyBorder="1" applyAlignment="1">
      <alignment vertical="justify"/>
    </xf>
    <xf numFmtId="0" fontId="10" fillId="0" borderId="52" xfId="6" applyFont="1" applyBorder="1" applyAlignment="1"/>
    <xf numFmtId="0" fontId="11" fillId="5" borderId="3" xfId="6" applyFont="1" applyFill="1" applyBorder="1" applyAlignment="1">
      <alignment horizontal="center" wrapText="1"/>
    </xf>
    <xf numFmtId="0" fontId="33" fillId="0" borderId="0" xfId="6" applyFont="1"/>
    <xf numFmtId="0" fontId="10" fillId="0" borderId="43" xfId="6" quotePrefix="1" applyFont="1" applyBorder="1" applyAlignment="1"/>
    <xf numFmtId="0" fontId="10" fillId="0" borderId="0" xfId="6" quotePrefix="1" applyFont="1" applyFill="1" applyBorder="1" applyAlignment="1"/>
    <xf numFmtId="0" fontId="10" fillId="5" borderId="0" xfId="6" applyFont="1" applyFill="1"/>
    <xf numFmtId="17" fontId="9" fillId="0" borderId="13" xfId="6" applyNumberFormat="1" applyFont="1" applyBorder="1" applyAlignment="1">
      <alignment horizontal="center"/>
    </xf>
    <xf numFmtId="0" fontId="16" fillId="7" borderId="3" xfId="6" applyFont="1" applyFill="1" applyBorder="1" applyAlignment="1">
      <alignment horizontal="right" wrapText="1"/>
    </xf>
    <xf numFmtId="0" fontId="9" fillId="0" borderId="3" xfId="6" applyFont="1" applyFill="1" applyBorder="1" applyAlignment="1">
      <alignment horizontal="center"/>
    </xf>
    <xf numFmtId="22" fontId="8" fillId="0" borderId="0" xfId="6" applyNumberFormat="1"/>
    <xf numFmtId="1" fontId="8" fillId="0" borderId="3" xfId="6" applyNumberFormat="1" applyFill="1" applyBorder="1" applyAlignment="1">
      <alignment vertical="center"/>
    </xf>
    <xf numFmtId="164" fontId="8" fillId="0" borderId="0" xfId="6" applyNumberFormat="1"/>
    <xf numFmtId="0" fontId="9" fillId="5" borderId="0" xfId="6" applyFont="1" applyFill="1"/>
    <xf numFmtId="164" fontId="10" fillId="0" borderId="0" xfId="6" applyNumberFormat="1" applyFont="1"/>
    <xf numFmtId="164" fontId="10" fillId="0" borderId="0" xfId="6" applyNumberFormat="1" applyFont="1" applyFill="1" applyBorder="1" applyAlignment="1">
      <alignment wrapText="1"/>
    </xf>
    <xf numFmtId="164" fontId="10" fillId="0" borderId="0" xfId="6" applyNumberFormat="1" applyFont="1" applyFill="1" applyBorder="1" applyAlignment="1"/>
    <xf numFmtId="0" fontId="13" fillId="9" borderId="3" xfId="6" applyFont="1" applyFill="1" applyBorder="1" applyAlignment="1">
      <alignment horizontal="justify" vertical="top"/>
    </xf>
    <xf numFmtId="0" fontId="35" fillId="5" borderId="3" xfId="6" applyFont="1" applyFill="1" applyBorder="1" applyAlignment="1">
      <alignment horizontal="right" wrapText="1"/>
    </xf>
    <xf numFmtId="0" fontId="34" fillId="18" borderId="0" xfId="6" applyFont="1" applyFill="1"/>
    <xf numFmtId="0" fontId="11" fillId="5" borderId="3" xfId="6" applyFont="1" applyFill="1" applyBorder="1" applyAlignment="1">
      <alignment horizontal="left" wrapText="1"/>
    </xf>
    <xf numFmtId="0" fontId="8" fillId="0" borderId="40" xfId="6" applyBorder="1"/>
    <xf numFmtId="0" fontId="8" fillId="0" borderId="41" xfId="6" applyBorder="1"/>
    <xf numFmtId="0" fontId="8" fillId="0" borderId="42" xfId="6" applyBorder="1"/>
    <xf numFmtId="0" fontId="8" fillId="0" borderId="29" xfId="6" applyBorder="1" applyAlignment="1">
      <alignment horizontal="center"/>
    </xf>
    <xf numFmtId="0" fontId="8" fillId="0" borderId="13" xfId="6" applyBorder="1"/>
    <xf numFmtId="0" fontId="8" fillId="0" borderId="13" xfId="6" applyBorder="1" applyAlignment="1">
      <alignment horizontal="center"/>
    </xf>
    <xf numFmtId="0" fontId="8" fillId="0" borderId="14" xfId="6" applyBorder="1" applyAlignment="1">
      <alignment horizontal="center"/>
    </xf>
    <xf numFmtId="0" fontId="8" fillId="0" borderId="15" xfId="6" applyBorder="1" applyAlignment="1">
      <alignment horizontal="center"/>
    </xf>
    <xf numFmtId="0" fontId="8" fillId="0" borderId="3" xfId="6" applyBorder="1" applyAlignment="1">
      <alignment horizontal="center"/>
    </xf>
    <xf numFmtId="0" fontId="8" fillId="0" borderId="16" xfId="6" applyBorder="1" applyAlignment="1">
      <alignment horizontal="center"/>
    </xf>
    <xf numFmtId="0" fontId="8" fillId="0" borderId="37" xfId="6" applyBorder="1" applyAlignment="1">
      <alignment horizontal="center"/>
    </xf>
    <xf numFmtId="0" fontId="8" fillId="0" borderId="10" xfId="6" applyBorder="1"/>
    <xf numFmtId="0" fontId="8" fillId="0" borderId="10" xfId="6" applyBorder="1" applyAlignment="1">
      <alignment horizontal="center"/>
    </xf>
    <xf numFmtId="0" fontId="8" fillId="0" borderId="24" xfId="6" applyBorder="1" applyAlignment="1">
      <alignment horizontal="center"/>
    </xf>
    <xf numFmtId="17" fontId="9" fillId="0" borderId="13" xfId="9" applyNumberFormat="1" applyFont="1" applyBorder="1"/>
    <xf numFmtId="0" fontId="11" fillId="9" borderId="3" xfId="6" applyFont="1" applyFill="1" applyBorder="1" applyAlignment="1">
      <alignment horizontal="right" vertical="center"/>
    </xf>
    <xf numFmtId="1" fontId="10" fillId="0" borderId="43" xfId="6" quotePrefix="1" applyNumberFormat="1" applyFont="1" applyBorder="1"/>
    <xf numFmtId="0" fontId="10" fillId="0" borderId="0" xfId="6" quotePrefix="1" applyFont="1" applyFill="1" applyBorder="1" applyAlignment="1">
      <alignment vertical="justify"/>
    </xf>
    <xf numFmtId="0" fontId="37" fillId="0" borderId="0" xfId="6" applyFont="1"/>
    <xf numFmtId="3" fontId="8" fillId="0" borderId="0" xfId="6" applyNumberFormat="1"/>
    <xf numFmtId="0" fontId="18" fillId="0" borderId="43" xfId="6" applyFont="1" applyBorder="1"/>
    <xf numFmtId="0" fontId="8" fillId="0" borderId="0" xfId="6" applyBorder="1" applyAlignment="1">
      <alignment vertical="justify"/>
    </xf>
    <xf numFmtId="0" fontId="10" fillId="0" borderId="51" xfId="6" applyFont="1" applyFill="1" applyBorder="1" applyAlignment="1"/>
    <xf numFmtId="0" fontId="10" fillId="12" borderId="6" xfId="6" applyFont="1" applyFill="1" applyBorder="1" applyAlignment="1">
      <alignment vertical="center"/>
    </xf>
    <xf numFmtId="0" fontId="38" fillId="7" borderId="3" xfId="6" applyFont="1" applyFill="1" applyBorder="1" applyAlignment="1">
      <alignment horizontal="right" wrapText="1"/>
    </xf>
    <xf numFmtId="167" fontId="0" fillId="0" borderId="0" xfId="1" applyNumberFormat="1" applyFont="1"/>
    <xf numFmtId="165" fontId="9" fillId="13" borderId="0" xfId="6" applyNumberFormat="1" applyFont="1" applyFill="1" applyBorder="1" applyAlignment="1" applyProtection="1">
      <alignment horizontal="left" vertical="center"/>
      <protection hidden="1"/>
    </xf>
    <xf numFmtId="0" fontId="8" fillId="0" borderId="3" xfId="6" applyFill="1" applyBorder="1" applyAlignment="1">
      <alignment vertical="center"/>
    </xf>
    <xf numFmtId="0" fontId="9" fillId="9" borderId="0" xfId="6" applyFont="1" applyFill="1"/>
    <xf numFmtId="0" fontId="39" fillId="0" borderId="0" xfId="10" applyAlignment="1" applyProtection="1"/>
    <xf numFmtId="17" fontId="2" fillId="2" borderId="0" xfId="2" applyNumberFormat="1"/>
    <xf numFmtId="0" fontId="2" fillId="2" borderId="0" xfId="2"/>
    <xf numFmtId="0" fontId="4" fillId="4" borderId="0" xfId="4"/>
    <xf numFmtId="17" fontId="9" fillId="0" borderId="14" xfId="6" applyNumberFormat="1" applyFont="1" applyBorder="1" applyAlignment="1">
      <alignment horizontal="center"/>
    </xf>
    <xf numFmtId="0" fontId="21" fillId="0" borderId="0" xfId="10" applyFont="1" applyAlignment="1" applyProtection="1"/>
    <xf numFmtId="17" fontId="9" fillId="0" borderId="13" xfId="11" applyNumberFormat="1" applyFont="1" applyBorder="1"/>
    <xf numFmtId="0" fontId="29" fillId="9" borderId="3" xfId="6" applyFont="1" applyFill="1" applyBorder="1" applyAlignment="1">
      <alignment horizontal="left" vertical="center" wrapText="1"/>
    </xf>
    <xf numFmtId="0" fontId="11" fillId="9" borderId="3" xfId="6" applyFont="1" applyFill="1" applyBorder="1" applyAlignment="1">
      <alignment horizontal="center" vertical="center"/>
    </xf>
    <xf numFmtId="2" fontId="8" fillId="0" borderId="0" xfId="6" applyNumberFormat="1"/>
    <xf numFmtId="17" fontId="9" fillId="0" borderId="13" xfId="12" applyNumberFormat="1" applyFont="1" applyBorder="1"/>
    <xf numFmtId="0" fontId="25" fillId="9" borderId="3" xfId="6" applyFont="1" applyFill="1" applyBorder="1" applyAlignment="1">
      <alignment horizontal="justify"/>
    </xf>
    <xf numFmtId="0" fontId="10" fillId="0" borderId="0" xfId="6" applyFont="1" applyBorder="1" applyAlignment="1"/>
    <xf numFmtId="0" fontId="10" fillId="0" borderId="0" xfId="6" quotePrefix="1" applyFont="1" applyBorder="1" applyAlignment="1"/>
    <xf numFmtId="0" fontId="8" fillId="19" borderId="0" xfId="6" applyFill="1" applyBorder="1" applyAlignment="1">
      <alignment vertical="justify"/>
    </xf>
    <xf numFmtId="0" fontId="10" fillId="0" borderId="57" xfId="6" applyFont="1" applyBorder="1"/>
    <xf numFmtId="0" fontId="8" fillId="0" borderId="58" xfId="6" applyFill="1" applyBorder="1" applyAlignment="1"/>
    <xf numFmtId="0" fontId="8" fillId="0" borderId="60" xfId="6" applyFill="1" applyBorder="1" applyAlignment="1"/>
    <xf numFmtId="0" fontId="9" fillId="0" borderId="0" xfId="6" applyFont="1" applyFill="1"/>
    <xf numFmtId="17" fontId="9" fillId="0" borderId="13" xfId="13" applyNumberFormat="1" applyFont="1" applyBorder="1"/>
    <xf numFmtId="0" fontId="8" fillId="0" borderId="3" xfId="6" applyBorder="1" applyAlignment="1">
      <alignment vertical="center"/>
    </xf>
    <xf numFmtId="0" fontId="9" fillId="0" borderId="33" xfId="6" applyFont="1" applyFill="1" applyBorder="1" applyAlignment="1">
      <alignment horizontal="center"/>
    </xf>
    <xf numFmtId="0" fontId="9" fillId="0" borderId="32" xfId="6" applyFont="1" applyBorder="1" applyAlignment="1"/>
    <xf numFmtId="0" fontId="10" fillId="0" borderId="32" xfId="6" applyFont="1" applyFill="1" applyBorder="1" applyAlignment="1"/>
    <xf numFmtId="0" fontId="20" fillId="0" borderId="32" xfId="6" applyFont="1" applyFill="1" applyBorder="1" applyAlignment="1"/>
    <xf numFmtId="0" fontId="10" fillId="0" borderId="32" xfId="6" applyFont="1" applyBorder="1"/>
    <xf numFmtId="0" fontId="8" fillId="0" borderId="32" xfId="6" applyBorder="1" applyAlignment="1"/>
    <xf numFmtId="0" fontId="11" fillId="5" borderId="4" xfId="6" applyFont="1" applyFill="1" applyBorder="1" applyAlignment="1">
      <alignment horizontal="right" wrapText="1"/>
    </xf>
    <xf numFmtId="0" fontId="11" fillId="7" borderId="4" xfId="6" applyFont="1" applyFill="1" applyBorder="1" applyAlignment="1">
      <alignment horizontal="right" wrapText="1"/>
    </xf>
    <xf numFmtId="0" fontId="13" fillId="7" borderId="4" xfId="6" applyFont="1" applyFill="1" applyBorder="1" applyAlignment="1">
      <alignment horizontal="right" wrapText="1"/>
    </xf>
    <xf numFmtId="0" fontId="8" fillId="0" borderId="9" xfId="6" applyFill="1" applyBorder="1"/>
    <xf numFmtId="0" fontId="8" fillId="5" borderId="4" xfId="6" applyFill="1" applyBorder="1"/>
    <xf numFmtId="1" fontId="8" fillId="9" borderId="38" xfId="6" applyNumberFormat="1" applyFill="1" applyBorder="1"/>
    <xf numFmtId="1" fontId="8" fillId="9" borderId="37" xfId="6" applyNumberFormat="1" applyFill="1" applyBorder="1"/>
    <xf numFmtId="0" fontId="10" fillId="11" borderId="44" xfId="6" applyFont="1" applyFill="1" applyBorder="1" applyAlignment="1">
      <alignment vertical="justify"/>
    </xf>
    <xf numFmtId="0" fontId="8" fillId="22" borderId="0" xfId="6" applyFill="1"/>
    <xf numFmtId="17" fontId="9" fillId="0" borderId="13" xfId="14" applyNumberFormat="1" applyFont="1" applyBorder="1"/>
    <xf numFmtId="17" fontId="9" fillId="0" borderId="13" xfId="15" applyNumberFormat="1" applyFont="1" applyBorder="1"/>
    <xf numFmtId="17" fontId="9" fillId="0" borderId="13" xfId="16" applyNumberFormat="1" applyFont="1" applyBorder="1"/>
    <xf numFmtId="17" fontId="9" fillId="0" borderId="13" xfId="17" applyNumberFormat="1" applyFont="1" applyBorder="1"/>
    <xf numFmtId="0" fontId="8" fillId="12" borderId="3" xfId="6" applyFill="1" applyBorder="1"/>
    <xf numFmtId="17" fontId="9" fillId="0" borderId="13" xfId="18" applyNumberFormat="1" applyFont="1" applyBorder="1"/>
    <xf numFmtId="17" fontId="9" fillId="0" borderId="13" xfId="19" applyNumberFormat="1" applyFont="1" applyBorder="1"/>
    <xf numFmtId="17" fontId="9" fillId="0" borderId="13" xfId="20" applyNumberFormat="1" applyFont="1" applyBorder="1"/>
    <xf numFmtId="0" fontId="8" fillId="19" borderId="16" xfId="6" applyFill="1" applyBorder="1"/>
    <xf numFmtId="0" fontId="40" fillId="5" borderId="3" xfId="6" applyFont="1" applyFill="1" applyBorder="1" applyAlignment="1">
      <alignment horizontal="right" wrapText="1"/>
    </xf>
    <xf numFmtId="0" fontId="9" fillId="10" borderId="25" xfId="6" applyFont="1" applyFill="1" applyBorder="1" applyAlignment="1"/>
    <xf numFmtId="0" fontId="8" fillId="10" borderId="27" xfId="6" applyFill="1" applyBorder="1" applyAlignment="1"/>
    <xf numFmtId="168" fontId="8" fillId="0" borderId="0" xfId="6" applyNumberFormat="1" applyBorder="1"/>
    <xf numFmtId="0" fontId="29" fillId="7" borderId="3" xfId="6" applyFont="1" applyFill="1" applyBorder="1" applyAlignment="1">
      <alignment horizontal="right" wrapText="1"/>
    </xf>
    <xf numFmtId="0" fontId="21" fillId="0" borderId="0" xfId="21" applyFont="1" applyAlignment="1" applyProtection="1"/>
    <xf numFmtId="17" fontId="9" fillId="0" borderId="13" xfId="22" applyNumberFormat="1" applyFont="1" applyBorder="1"/>
    <xf numFmtId="0" fontId="8" fillId="0" borderId="43" xfId="6" quotePrefix="1" applyBorder="1" applyAlignment="1">
      <alignment horizontal="left"/>
    </xf>
    <xf numFmtId="1" fontId="8" fillId="0" borderId="43" xfId="6" quotePrefix="1" applyNumberFormat="1" applyBorder="1" applyAlignment="1">
      <alignment horizontal="left"/>
    </xf>
    <xf numFmtId="166" fontId="10" fillId="0" borderId="0" xfId="6" applyNumberFormat="1" applyFont="1"/>
    <xf numFmtId="0" fontId="21" fillId="0" borderId="0" xfId="23" applyFont="1" applyAlignment="1" applyProtection="1"/>
    <xf numFmtId="0" fontId="26" fillId="11" borderId="43" xfId="6" applyFont="1" applyFill="1" applyBorder="1"/>
    <xf numFmtId="0" fontId="10" fillId="12" borderId="6" xfId="6" applyFont="1" applyFill="1" applyBorder="1" applyAlignment="1"/>
    <xf numFmtId="0" fontId="9" fillId="0" borderId="63" xfId="6" applyNumberFormat="1" applyFont="1" applyBorder="1"/>
    <xf numFmtId="0" fontId="10" fillId="12" borderId="3" xfId="6" applyFont="1" applyFill="1" applyBorder="1" applyAlignment="1">
      <alignment vertical="center"/>
    </xf>
    <xf numFmtId="0" fontId="10" fillId="12" borderId="50" xfId="6" applyFont="1" applyFill="1" applyBorder="1" applyAlignment="1">
      <alignment vertical="center"/>
    </xf>
    <xf numFmtId="0" fontId="8" fillId="0" borderId="0" xfId="6" applyAlignment="1">
      <alignment wrapText="1"/>
    </xf>
    <xf numFmtId="0" fontId="28" fillId="9" borderId="3" xfId="6" applyFont="1" applyFill="1" applyBorder="1" applyAlignment="1">
      <alignment horizontal="justify" vertical="distributed" wrapText="1"/>
    </xf>
    <xf numFmtId="0" fontId="10" fillId="0" borderId="51" xfId="6" applyFont="1" applyFill="1" applyBorder="1" applyAlignment="1">
      <alignment vertical="justify"/>
    </xf>
    <xf numFmtId="1" fontId="10" fillId="0" borderId="43" xfId="6" applyNumberFormat="1" applyFont="1" applyBorder="1"/>
    <xf numFmtId="0" fontId="29" fillId="9" borderId="3" xfId="6" applyFont="1" applyFill="1" applyBorder="1" applyAlignment="1">
      <alignment horizontal="right" vertical="distributed" wrapText="1"/>
    </xf>
    <xf numFmtId="0" fontId="29" fillId="9" borderId="3" xfId="6" applyFont="1" applyFill="1" applyBorder="1" applyAlignment="1">
      <alignment horizontal="right"/>
    </xf>
    <xf numFmtId="0" fontId="9" fillId="6" borderId="9" xfId="6" applyFont="1" applyFill="1" applyBorder="1" applyAlignment="1">
      <alignment horizontal="left"/>
    </xf>
    <xf numFmtId="0" fontId="8" fillId="0" borderId="21" xfId="6" applyBorder="1"/>
    <xf numFmtId="0" fontId="8" fillId="0" borderId="62" xfId="6" applyBorder="1"/>
    <xf numFmtId="17" fontId="8" fillId="0" borderId="43" xfId="6" applyNumberFormat="1" applyBorder="1"/>
    <xf numFmtId="0" fontId="9" fillId="0" borderId="40" xfId="6" applyFont="1" applyFill="1" applyBorder="1" applyAlignment="1"/>
    <xf numFmtId="0" fontId="9" fillId="0" borderId="66" xfId="6" applyNumberFormat="1" applyFont="1" applyBorder="1"/>
    <xf numFmtId="0" fontId="8" fillId="6" borderId="3" xfId="6" applyFill="1" applyBorder="1" applyAlignment="1">
      <alignment vertical="center"/>
    </xf>
    <xf numFmtId="0" fontId="9" fillId="6" borderId="3" xfId="6" applyFont="1" applyFill="1" applyBorder="1" applyAlignment="1"/>
    <xf numFmtId="0" fontId="9" fillId="6" borderId="3" xfId="6" applyNumberFormat="1" applyFont="1" applyFill="1" applyBorder="1"/>
    <xf numFmtId="0" fontId="8" fillId="12" borderId="8" xfId="6" applyFill="1" applyBorder="1" applyAlignment="1">
      <alignment vertical="center"/>
    </xf>
    <xf numFmtId="0" fontId="10" fillId="12" borderId="67" xfId="6" applyNumberFormat="1" applyFont="1" applyFill="1" applyBorder="1"/>
    <xf numFmtId="0" fontId="34" fillId="0" borderId="0" xfId="6" applyFont="1" applyFill="1"/>
    <xf numFmtId="0" fontId="28" fillId="0" borderId="0" xfId="6" applyFont="1" applyFill="1"/>
    <xf numFmtId="0" fontId="10" fillId="5" borderId="0" xfId="6" quotePrefix="1" applyFont="1" applyFill="1"/>
    <xf numFmtId="0" fontId="10" fillId="0" borderId="43" xfId="6" applyFont="1" applyFill="1" applyBorder="1" applyAlignment="1">
      <alignment vertical="top"/>
    </xf>
    <xf numFmtId="0" fontId="8" fillId="0" borderId="51" xfId="6" applyFill="1" applyBorder="1"/>
    <xf numFmtId="3" fontId="8" fillId="0" borderId="53" xfId="6" applyNumberFormat="1" applyBorder="1"/>
    <xf numFmtId="3" fontId="10" fillId="12" borderId="3" xfId="6" applyNumberFormat="1" applyFont="1" applyFill="1" applyBorder="1" applyAlignment="1"/>
    <xf numFmtId="0" fontId="28" fillId="18" borderId="0" xfId="6" applyFont="1" applyFill="1"/>
    <xf numFmtId="0" fontId="10" fillId="9" borderId="0" xfId="6" applyFont="1" applyFill="1"/>
    <xf numFmtId="16" fontId="8" fillId="0" borderId="0" xfId="6" quotePrefix="1" applyNumberFormat="1" applyFill="1" applyBorder="1" applyAlignment="1">
      <alignment vertical="justify"/>
    </xf>
    <xf numFmtId="16" fontId="10" fillId="0" borderId="0" xfId="6" quotePrefix="1" applyNumberFormat="1" applyFont="1" applyFill="1" applyBorder="1" applyAlignment="1">
      <alignment vertical="justify"/>
    </xf>
    <xf numFmtId="0" fontId="9" fillId="0" borderId="32" xfId="6" applyFont="1" applyFill="1" applyBorder="1" applyAlignment="1"/>
    <xf numFmtId="0" fontId="16" fillId="9" borderId="3" xfId="6" applyFont="1" applyFill="1" applyBorder="1" applyAlignment="1">
      <alignment horizontal="right" wrapText="1"/>
    </xf>
    <xf numFmtId="0" fontId="11" fillId="9" borderId="10" xfId="6" applyFont="1" applyFill="1" applyBorder="1" applyAlignment="1">
      <alignment horizontal="justify"/>
    </xf>
    <xf numFmtId="0" fontId="9" fillId="0" borderId="43" xfId="6" applyFont="1" applyFill="1" applyBorder="1"/>
    <xf numFmtId="0" fontId="10" fillId="0" borderId="43" xfId="6" quotePrefix="1" applyFont="1" applyBorder="1" applyAlignment="1">
      <alignment vertical="center"/>
    </xf>
    <xf numFmtId="0" fontId="8" fillId="0" borderId="0" xfId="6" applyBorder="1" applyAlignment="1">
      <alignment vertical="center"/>
    </xf>
    <xf numFmtId="0" fontId="8" fillId="0" borderId="0" xfId="6" quotePrefix="1" applyBorder="1"/>
    <xf numFmtId="0" fontId="8" fillId="0" borderId="43" xfId="6" applyBorder="1" applyAlignment="1">
      <alignment vertical="center"/>
    </xf>
    <xf numFmtId="0" fontId="41" fillId="7" borderId="3" xfId="6" applyFont="1" applyFill="1" applyBorder="1" applyAlignment="1">
      <alignment horizontal="right" wrapText="1"/>
    </xf>
    <xf numFmtId="1" fontId="8" fillId="0" borderId="43" xfId="6" applyNumberFormat="1" applyBorder="1"/>
    <xf numFmtId="0" fontId="8" fillId="19" borderId="0" xfId="6" applyFill="1"/>
    <xf numFmtId="0" fontId="29" fillId="9" borderId="3" xfId="6" applyFont="1" applyFill="1" applyBorder="1" applyAlignment="1">
      <alignment horizontal="center" vertical="center" wrapText="1"/>
    </xf>
    <xf numFmtId="0" fontId="19" fillId="0" borderId="63" xfId="6" applyFont="1" applyBorder="1" applyAlignment="1">
      <alignment horizontal="center" wrapText="1"/>
    </xf>
    <xf numFmtId="0" fontId="19" fillId="0" borderId="27" xfId="6" applyFont="1" applyBorder="1" applyAlignment="1">
      <alignment horizontal="center" wrapText="1"/>
    </xf>
    <xf numFmtId="0" fontId="10" fillId="0" borderId="44" xfId="6" applyFont="1" applyFill="1" applyBorder="1" applyAlignment="1"/>
    <xf numFmtId="0" fontId="9" fillId="0" borderId="45" xfId="6" applyFont="1" applyFill="1" applyBorder="1" applyAlignment="1"/>
    <xf numFmtId="0" fontId="9" fillId="0" borderId="27" xfId="6" applyNumberFormat="1" applyFont="1" applyBorder="1"/>
    <xf numFmtId="0" fontId="26" fillId="0" borderId="43" xfId="6" applyFont="1" applyFill="1" applyBorder="1" applyAlignment="1"/>
    <xf numFmtId="0" fontId="10" fillId="12" borderId="68" xfId="6" applyNumberFormat="1" applyFont="1" applyFill="1" applyBorder="1"/>
    <xf numFmtId="0" fontId="10" fillId="12" borderId="44" xfId="6" applyNumberFormat="1" applyFont="1" applyFill="1" applyBorder="1"/>
    <xf numFmtId="0" fontId="8" fillId="12" borderId="35" xfId="6" applyFill="1" applyBorder="1" applyAlignment="1">
      <alignment vertical="center"/>
    </xf>
    <xf numFmtId="0" fontId="8" fillId="12" borderId="32" xfId="6" applyFill="1" applyBorder="1" applyAlignment="1"/>
    <xf numFmtId="0" fontId="9" fillId="10" borderId="1" xfId="6" applyFont="1" applyFill="1" applyBorder="1" applyAlignment="1"/>
    <xf numFmtId="0" fontId="9" fillId="10" borderId="27" xfId="6" applyFont="1" applyFill="1" applyBorder="1" applyAlignment="1"/>
    <xf numFmtId="0" fontId="29" fillId="9" borderId="3" xfId="6" applyFont="1" applyFill="1" applyBorder="1" applyAlignment="1">
      <alignment horizontal="justify"/>
    </xf>
    <xf numFmtId="0" fontId="21" fillId="0" borderId="0" xfId="24" applyAlignment="1" applyProtection="1"/>
    <xf numFmtId="0" fontId="8" fillId="15" borderId="3" xfId="6" applyFill="1" applyBorder="1"/>
    <xf numFmtId="0" fontId="8" fillId="15" borderId="16" xfId="6" applyFill="1" applyBorder="1"/>
    <xf numFmtId="0" fontId="9" fillId="0" borderId="62" xfId="6" applyFont="1" applyBorder="1" applyAlignment="1"/>
    <xf numFmtId="0" fontId="10" fillId="0" borderId="48" xfId="6" applyFont="1" applyFill="1" applyBorder="1" applyAlignment="1"/>
    <xf numFmtId="0" fontId="42" fillId="7" borderId="3" xfId="6" applyFont="1" applyFill="1" applyBorder="1" applyAlignment="1">
      <alignment horizontal="right" wrapText="1"/>
    </xf>
    <xf numFmtId="0" fontId="13" fillId="9" borderId="3" xfId="6" applyFont="1" applyFill="1" applyBorder="1" applyAlignment="1">
      <alignment horizontal="justify" vertical="distributed" wrapText="1"/>
    </xf>
    <xf numFmtId="0" fontId="8" fillId="21" borderId="0" xfId="6" applyFill="1"/>
    <xf numFmtId="0" fontId="8" fillId="0" borderId="0" xfId="6" applyFill="1" applyBorder="1" applyAlignment="1">
      <alignment horizontal="center"/>
    </xf>
    <xf numFmtId="0" fontId="10" fillId="0" borderId="21" xfId="6" applyFont="1" applyFill="1" applyBorder="1" applyAlignment="1"/>
    <xf numFmtId="0" fontId="29" fillId="9" borderId="3" xfId="6" applyFont="1" applyFill="1" applyBorder="1" applyAlignment="1">
      <alignment horizontal="justify" vertical="top"/>
    </xf>
    <xf numFmtId="1" fontId="8" fillId="5" borderId="4" xfId="6" applyNumberFormat="1" applyFill="1" applyBorder="1"/>
    <xf numFmtId="0" fontId="10" fillId="12" borderId="35" xfId="6" applyFont="1" applyFill="1" applyBorder="1" applyAlignment="1">
      <alignment horizontal="right"/>
    </xf>
    <xf numFmtId="0" fontId="8" fillId="0" borderId="25" xfId="6" applyFill="1" applyBorder="1" applyAlignment="1">
      <alignment vertical="center"/>
    </xf>
    <xf numFmtId="0" fontId="8" fillId="0" borderId="26" xfId="6" applyFill="1" applyBorder="1" applyAlignment="1">
      <alignment horizontal="right"/>
    </xf>
    <xf numFmtId="0" fontId="10" fillId="12" borderId="16" xfId="6" applyNumberFormat="1" applyFont="1" applyFill="1" applyBorder="1"/>
    <xf numFmtId="0" fontId="8" fillId="12" borderId="23" xfId="6" applyFill="1" applyBorder="1" applyAlignment="1">
      <alignment vertical="center"/>
    </xf>
    <xf numFmtId="0" fontId="8" fillId="12" borderId="10" xfId="6" applyFill="1" applyBorder="1" applyAlignment="1"/>
    <xf numFmtId="0" fontId="10" fillId="12" borderId="60" xfId="6" applyNumberFormat="1" applyFont="1" applyFill="1" applyBorder="1"/>
    <xf numFmtId="0" fontId="9" fillId="10" borderId="58" xfId="6" applyFont="1" applyFill="1" applyBorder="1" applyAlignment="1"/>
    <xf numFmtId="0" fontId="9" fillId="10" borderId="53" xfId="6" applyFont="1" applyFill="1" applyBorder="1" applyAlignment="1"/>
    <xf numFmtId="0" fontId="9" fillId="6" borderId="0" xfId="6" applyFont="1" applyFill="1" applyAlignment="1">
      <alignment horizontal="right"/>
    </xf>
    <xf numFmtId="0" fontId="8" fillId="6" borderId="0" xfId="6" applyFill="1"/>
    <xf numFmtId="0" fontId="8" fillId="6" borderId="23" xfId="6" applyFill="1" applyBorder="1"/>
    <xf numFmtId="0" fontId="9" fillId="10" borderId="25" xfId="6" applyFont="1" applyFill="1" applyBorder="1" applyAlignment="1">
      <alignment horizontal="left"/>
    </xf>
    <xf numFmtId="0" fontId="8" fillId="10" borderId="26" xfId="6" applyFill="1" applyBorder="1" applyAlignment="1"/>
    <xf numFmtId="0" fontId="8" fillId="10" borderId="26" xfId="6" applyFill="1" applyBorder="1"/>
    <xf numFmtId="0" fontId="8" fillId="10" borderId="27" xfId="6" applyFill="1" applyBorder="1"/>
    <xf numFmtId="0" fontId="43" fillId="0" borderId="0" xfId="6" applyFont="1" applyFill="1" applyBorder="1" applyAlignment="1">
      <alignment horizontal="left"/>
    </xf>
    <xf numFmtId="0" fontId="43" fillId="0" borderId="26" xfId="6" applyFont="1" applyFill="1" applyBorder="1" applyAlignment="1">
      <alignment horizontal="left"/>
    </xf>
    <xf numFmtId="0" fontId="8" fillId="10" borderId="0" xfId="6" applyFill="1" applyBorder="1" applyAlignment="1"/>
    <xf numFmtId="0" fontId="17" fillId="6" borderId="4" xfId="6" applyFont="1" applyFill="1" applyBorder="1" applyAlignment="1">
      <alignment horizontal="left"/>
    </xf>
    <xf numFmtId="0" fontId="44" fillId="6" borderId="26" xfId="6" applyFont="1" applyFill="1" applyBorder="1" applyAlignment="1"/>
    <xf numFmtId="0" fontId="45" fillId="6" borderId="26" xfId="6" applyFont="1" applyFill="1" applyBorder="1" applyAlignment="1"/>
    <xf numFmtId="0" fontId="46" fillId="19" borderId="5" xfId="6" applyFont="1" applyFill="1" applyBorder="1" applyAlignment="1">
      <alignment horizontal="left"/>
    </xf>
    <xf numFmtId="0" fontId="8" fillId="10" borderId="5" xfId="6" applyFill="1" applyBorder="1" applyAlignment="1">
      <alignment horizontal="right"/>
    </xf>
    <xf numFmtId="0" fontId="8" fillId="10" borderId="5" xfId="6" applyFill="1" applyBorder="1"/>
    <xf numFmtId="0" fontId="8" fillId="10" borderId="50" xfId="6" applyFill="1" applyBorder="1"/>
    <xf numFmtId="0" fontId="8" fillId="19" borderId="52" xfId="6" applyFill="1" applyBorder="1" applyAlignment="1"/>
    <xf numFmtId="0" fontId="8" fillId="19" borderId="53" xfId="6" applyFill="1" applyBorder="1" applyAlignment="1"/>
    <xf numFmtId="0" fontId="8" fillId="12" borderId="30" xfId="6" applyFill="1" applyBorder="1" applyAlignment="1"/>
    <xf numFmtId="0" fontId="8" fillId="12" borderId="31" xfId="6" applyFill="1" applyBorder="1" applyAlignment="1"/>
    <xf numFmtId="0" fontId="8" fillId="12" borderId="21" xfId="6" applyFill="1" applyBorder="1" applyAlignment="1"/>
    <xf numFmtId="0" fontId="8" fillId="12" borderId="0" xfId="6" applyFill="1" applyBorder="1" applyAlignment="1"/>
    <xf numFmtId="0" fontId="10" fillId="12" borderId="4" xfId="6" applyFont="1" applyFill="1" applyBorder="1" applyAlignment="1"/>
    <xf numFmtId="0" fontId="10" fillId="12" borderId="33" xfId="6" applyFont="1" applyFill="1" applyBorder="1" applyAlignment="1"/>
    <xf numFmtId="0" fontId="8" fillId="12" borderId="34" xfId="6" applyFill="1" applyBorder="1" applyAlignment="1"/>
    <xf numFmtId="0" fontId="9" fillId="0" borderId="5" xfId="6" applyFont="1" applyFill="1" applyBorder="1" applyAlignment="1">
      <alignment horizontal="right"/>
    </xf>
    <xf numFmtId="0" fontId="9" fillId="0" borderId="50" xfId="6" applyFont="1" applyFill="1" applyBorder="1" applyAlignment="1">
      <alignment horizontal="right"/>
    </xf>
    <xf numFmtId="0" fontId="8" fillId="12" borderId="6" xfId="6" applyFill="1" applyBorder="1" applyAlignment="1"/>
    <xf numFmtId="0" fontId="10" fillId="12" borderId="5" xfId="6" applyFont="1" applyFill="1" applyBorder="1" applyAlignment="1"/>
    <xf numFmtId="0" fontId="9" fillId="10" borderId="51" xfId="6" applyFont="1" applyFill="1" applyBorder="1" applyAlignment="1"/>
    <xf numFmtId="0" fontId="8" fillId="10" borderId="52" xfId="6" applyFill="1" applyBorder="1" applyAlignment="1"/>
    <xf numFmtId="0" fontId="8" fillId="10" borderId="39" xfId="6" applyFill="1" applyBorder="1"/>
    <xf numFmtId="0" fontId="8" fillId="10" borderId="23" xfId="6" applyFill="1" applyBorder="1"/>
    <xf numFmtId="165" fontId="9" fillId="13" borderId="3" xfId="6" applyNumberFormat="1" applyFont="1" applyFill="1" applyBorder="1" applyAlignment="1" applyProtection="1">
      <alignment horizontal="left" vertical="center"/>
      <protection hidden="1"/>
    </xf>
    <xf numFmtId="165" fontId="10" fillId="13" borderId="3" xfId="6" applyNumberFormat="1" applyFont="1" applyFill="1" applyBorder="1" applyAlignment="1" applyProtection="1">
      <alignment horizontal="left" vertical="center"/>
      <protection hidden="1"/>
    </xf>
    <xf numFmtId="0" fontId="9" fillId="13" borderId="3" xfId="6" applyFont="1" applyFill="1" applyBorder="1" applyAlignment="1"/>
    <xf numFmtId="0" fontId="8" fillId="13" borderId="3" xfId="6" applyFill="1" applyBorder="1" applyAlignment="1"/>
    <xf numFmtId="165" fontId="10" fillId="13" borderId="4" xfId="6" applyNumberFormat="1" applyFont="1" applyFill="1" applyBorder="1" applyAlignment="1" applyProtection="1">
      <alignment horizontal="left" vertical="center"/>
      <protection hidden="1"/>
    </xf>
    <xf numFmtId="165" fontId="10" fillId="13" borderId="6" xfId="6" applyNumberFormat="1" applyFont="1" applyFill="1" applyBorder="1" applyAlignment="1" applyProtection="1">
      <alignment horizontal="left" vertical="center"/>
      <protection hidden="1"/>
    </xf>
    <xf numFmtId="165" fontId="47" fillId="0" borderId="0" xfId="6" applyNumberFormat="1" applyFont="1" applyFill="1" applyBorder="1" applyAlignment="1" applyProtection="1">
      <alignment vertical="center"/>
      <protection hidden="1"/>
    </xf>
    <xf numFmtId="0" fontId="9" fillId="6" borderId="28" xfId="6" applyFont="1" applyFill="1" applyBorder="1" applyAlignment="1">
      <alignment horizontal="left"/>
    </xf>
    <xf numFmtId="0" fontId="8" fillId="6" borderId="1" xfId="6" applyFill="1" applyBorder="1" applyAlignment="1"/>
    <xf numFmtId="0" fontId="8" fillId="6" borderId="56" xfId="6" applyFill="1" applyBorder="1" applyAlignment="1"/>
    <xf numFmtId="0" fontId="9" fillId="6" borderId="57" xfId="6" applyFont="1" applyFill="1" applyBorder="1" applyAlignment="1">
      <alignment horizontal="left"/>
    </xf>
    <xf numFmtId="0" fontId="8" fillId="6" borderId="58" xfId="6" applyFill="1" applyBorder="1" applyAlignment="1"/>
    <xf numFmtId="0" fontId="8" fillId="6" borderId="59" xfId="6" applyFill="1" applyBorder="1" applyAlignment="1"/>
    <xf numFmtId="0" fontId="9" fillId="15" borderId="25" xfId="6" applyFont="1" applyFill="1" applyBorder="1" applyAlignment="1">
      <alignment horizontal="left"/>
    </xf>
    <xf numFmtId="0" fontId="8" fillId="15" borderId="26" xfId="6" applyFill="1" applyBorder="1" applyAlignment="1"/>
    <xf numFmtId="0" fontId="9" fillId="16" borderId="25" xfId="6" applyFont="1" applyFill="1" applyBorder="1" applyAlignment="1">
      <alignment horizontal="left"/>
    </xf>
    <xf numFmtId="0" fontId="8" fillId="16" borderId="26" xfId="6" applyFill="1" applyBorder="1" applyAlignment="1"/>
    <xf numFmtId="0" fontId="8" fillId="21" borderId="26" xfId="6" applyFill="1" applyBorder="1" applyAlignment="1"/>
    <xf numFmtId="0" fontId="8" fillId="21" borderId="26" xfId="6" applyFill="1" applyBorder="1"/>
    <xf numFmtId="0" fontId="8" fillId="21" borderId="27" xfId="6" applyFill="1" applyBorder="1"/>
    <xf numFmtId="17" fontId="3" fillId="3" borderId="0" xfId="3" applyNumberFormat="1"/>
    <xf numFmtId="0" fontId="25" fillId="9" borderId="3" xfId="6" applyFont="1" applyFill="1" applyBorder="1" applyAlignment="1">
      <alignment horizontal="justify" vertical="distributed" wrapText="1"/>
    </xf>
    <xf numFmtId="49" fontId="9" fillId="0" borderId="0" xfId="6" applyNumberFormat="1" applyFont="1" applyFill="1" applyBorder="1" applyAlignment="1">
      <alignment vertical="justify"/>
    </xf>
    <xf numFmtId="0" fontId="9" fillId="20" borderId="25" xfId="6" applyFont="1" applyFill="1" applyBorder="1" applyAlignment="1"/>
    <xf numFmtId="0" fontId="8" fillId="20" borderId="27" xfId="6" applyFill="1" applyBorder="1"/>
    <xf numFmtId="0" fontId="0" fillId="0" borderId="0" xfId="0" applyFill="1"/>
    <xf numFmtId="0" fontId="10" fillId="0" borderId="0" xfId="17" applyFont="1"/>
    <xf numFmtId="0" fontId="9" fillId="0" borderId="4" xfId="17" applyFont="1" applyFill="1" applyBorder="1" applyAlignment="1">
      <alignment horizontal="center"/>
    </xf>
    <xf numFmtId="0" fontId="9" fillId="0" borderId="7" xfId="17" applyFont="1" applyFill="1" applyBorder="1" applyAlignment="1"/>
    <xf numFmtId="0" fontId="9" fillId="0" borderId="8" xfId="17" applyFont="1" applyBorder="1" applyAlignment="1"/>
    <xf numFmtId="0" fontId="9" fillId="0" borderId="0" xfId="17" applyFont="1" applyBorder="1" applyAlignment="1"/>
    <xf numFmtId="0" fontId="10" fillId="0" borderId="9" xfId="17" applyFont="1" applyFill="1" applyBorder="1" applyAlignment="1"/>
    <xf numFmtId="0" fontId="10" fillId="0" borderId="10" xfId="17" applyFont="1" applyFill="1" applyBorder="1" applyAlignment="1"/>
    <xf numFmtId="0" fontId="10" fillId="0" borderId="10" xfId="17" applyBorder="1" applyAlignment="1"/>
    <xf numFmtId="17" fontId="9" fillId="0" borderId="14" xfId="17" applyNumberFormat="1" applyFont="1" applyBorder="1"/>
    <xf numFmtId="17" fontId="10" fillId="0" borderId="0" xfId="17" applyNumberFormat="1"/>
    <xf numFmtId="0" fontId="10" fillId="5" borderId="15" xfId="17" applyFill="1" applyBorder="1"/>
    <xf numFmtId="0" fontId="11" fillId="5" borderId="3" xfId="17" applyFont="1" applyFill="1" applyBorder="1" applyAlignment="1">
      <alignment horizontal="right" wrapText="1"/>
    </xf>
    <xf numFmtId="0" fontId="10" fillId="5" borderId="3" xfId="17" applyFont="1" applyFill="1" applyBorder="1"/>
    <xf numFmtId="0" fontId="10" fillId="6" borderId="16" xfId="17" applyFill="1" applyBorder="1"/>
    <xf numFmtId="0" fontId="10" fillId="0" borderId="0" xfId="17"/>
    <xf numFmtId="0" fontId="10" fillId="0" borderId="3" xfId="17" applyFont="1" applyFill="1" applyBorder="1"/>
    <xf numFmtId="0" fontId="10" fillId="0" borderId="16" xfId="17" applyBorder="1"/>
    <xf numFmtId="0" fontId="11" fillId="7" borderId="3" xfId="17" applyFont="1" applyFill="1" applyBorder="1" applyAlignment="1">
      <alignment horizontal="right" wrapText="1"/>
    </xf>
    <xf numFmtId="0" fontId="10" fillId="0" borderId="3" xfId="17" applyBorder="1"/>
    <xf numFmtId="0" fontId="10" fillId="15" borderId="3" xfId="17" applyFill="1" applyBorder="1"/>
    <xf numFmtId="0" fontId="10" fillId="15" borderId="16" xfId="17" applyFill="1" applyBorder="1"/>
    <xf numFmtId="0" fontId="13" fillId="7" borderId="3" xfId="17" applyFont="1" applyFill="1" applyBorder="1" applyAlignment="1">
      <alignment horizontal="right" wrapText="1"/>
    </xf>
    <xf numFmtId="0" fontId="10" fillId="0" borderId="3" xfId="17" applyFill="1" applyBorder="1"/>
    <xf numFmtId="0" fontId="10" fillId="5" borderId="15" xfId="17" applyFill="1" applyBorder="1" applyAlignment="1">
      <alignment textRotation="90"/>
    </xf>
    <xf numFmtId="0" fontId="14" fillId="5" borderId="3" xfId="17" applyFont="1" applyFill="1" applyBorder="1" applyAlignment="1">
      <alignment horizontal="right"/>
    </xf>
    <xf numFmtId="0" fontId="10" fillId="5" borderId="3" xfId="17" applyFill="1" applyBorder="1"/>
    <xf numFmtId="0" fontId="10" fillId="5" borderId="16" xfId="17" applyFill="1" applyBorder="1"/>
    <xf numFmtId="0" fontId="11" fillId="9" borderId="3" xfId="17" applyFont="1" applyFill="1" applyBorder="1" applyAlignment="1">
      <alignment horizontal="right" wrapText="1"/>
    </xf>
    <xf numFmtId="0" fontId="15" fillId="0" borderId="0" xfId="17" applyFont="1"/>
    <xf numFmtId="0" fontId="10" fillId="0" borderId="21" xfId="17" applyFill="1" applyBorder="1"/>
    <xf numFmtId="0" fontId="11" fillId="9" borderId="3" xfId="17" applyFont="1" applyFill="1" applyBorder="1" applyAlignment="1">
      <alignment horizontal="justify" vertical="distributed" wrapText="1"/>
    </xf>
    <xf numFmtId="0" fontId="10" fillId="0" borderId="16" xfId="17" applyBorder="1" applyAlignment="1">
      <alignment vertical="center"/>
    </xf>
    <xf numFmtId="0" fontId="11" fillId="9" borderId="3" xfId="17" applyFont="1" applyFill="1" applyBorder="1" applyAlignment="1">
      <alignment horizontal="justify"/>
    </xf>
    <xf numFmtId="1" fontId="10" fillId="5" borderId="3" xfId="17" applyNumberFormat="1" applyFill="1" applyBorder="1"/>
    <xf numFmtId="1" fontId="10" fillId="5" borderId="16" xfId="17" applyNumberFormat="1" applyFill="1" applyBorder="1"/>
    <xf numFmtId="1" fontId="10" fillId="9" borderId="10" xfId="17" applyNumberFormat="1" applyFill="1" applyBorder="1"/>
    <xf numFmtId="1" fontId="10" fillId="9" borderId="24" xfId="17" applyNumberFormat="1" applyFill="1" applyBorder="1"/>
    <xf numFmtId="0" fontId="10" fillId="0" borderId="0" xfId="17" applyAlignment="1">
      <alignment horizontal="right"/>
    </xf>
    <xf numFmtId="1" fontId="10" fillId="0" borderId="0" xfId="17" applyNumberFormat="1"/>
    <xf numFmtId="0" fontId="10" fillId="0" borderId="0" xfId="17" applyBorder="1"/>
    <xf numFmtId="0" fontId="9" fillId="0" borderId="0" xfId="17" applyFont="1" applyFill="1" applyBorder="1" applyAlignment="1"/>
    <xf numFmtId="165" fontId="10" fillId="0" borderId="0" xfId="17" applyNumberFormat="1" applyFont="1" applyFill="1" applyBorder="1" applyAlignment="1" applyProtection="1">
      <alignment vertical="center"/>
      <protection hidden="1"/>
    </xf>
    <xf numFmtId="0" fontId="9" fillId="0" borderId="0" xfId="17" applyFont="1" applyAlignment="1">
      <alignment horizontal="right"/>
    </xf>
    <xf numFmtId="0" fontId="9" fillId="0" borderId="0" xfId="17" applyFont="1" applyFill="1" applyBorder="1" applyAlignment="1">
      <alignment horizontal="left"/>
    </xf>
    <xf numFmtId="0" fontId="10" fillId="0" borderId="0" xfId="17" applyFill="1" applyBorder="1" applyAlignment="1"/>
    <xf numFmtId="0" fontId="9" fillId="0" borderId="40" xfId="17" applyFont="1" applyFill="1" applyBorder="1" applyAlignment="1">
      <alignment horizontal="center"/>
    </xf>
    <xf numFmtId="0" fontId="9" fillId="0" borderId="41" xfId="17" applyFont="1" applyBorder="1" applyAlignment="1">
      <alignment horizontal="center"/>
    </xf>
    <xf numFmtId="0" fontId="9" fillId="0" borderId="42" xfId="17" applyFont="1" applyBorder="1" applyAlignment="1">
      <alignment horizontal="center"/>
    </xf>
    <xf numFmtId="0" fontId="9" fillId="6" borderId="3" xfId="17" applyFont="1" applyFill="1" applyBorder="1" applyAlignment="1">
      <alignment horizontal="left"/>
    </xf>
    <xf numFmtId="0" fontId="10" fillId="0" borderId="0" xfId="17" applyFill="1" applyBorder="1" applyAlignment="1">
      <alignment vertical="justify"/>
    </xf>
    <xf numFmtId="0" fontId="9" fillId="0" borderId="0" xfId="17" applyFont="1" applyFill="1" applyAlignment="1">
      <alignment vertical="justify"/>
    </xf>
    <xf numFmtId="0" fontId="10" fillId="0" borderId="43" xfId="17" applyFont="1" applyFill="1" applyBorder="1"/>
    <xf numFmtId="0" fontId="10" fillId="0" borderId="0" xfId="17" applyFont="1" applyFill="1" applyBorder="1" applyAlignment="1">
      <alignment vertical="distributed"/>
    </xf>
    <xf numFmtId="0" fontId="10" fillId="0" borderId="44" xfId="17" applyFont="1" applyFill="1" applyBorder="1" applyAlignment="1">
      <alignment vertical="distributed"/>
    </xf>
    <xf numFmtId="0" fontId="10" fillId="0" borderId="0" xfId="17" applyFill="1" applyBorder="1"/>
    <xf numFmtId="0" fontId="10" fillId="0" borderId="43" xfId="17" applyFont="1" applyBorder="1"/>
    <xf numFmtId="0" fontId="10" fillId="0" borderId="44" xfId="17" applyBorder="1"/>
    <xf numFmtId="0" fontId="9" fillId="0" borderId="43" xfId="17" applyFont="1" applyBorder="1"/>
    <xf numFmtId="0" fontId="9" fillId="0" borderId="0" xfId="17" applyFont="1" applyAlignment="1"/>
    <xf numFmtId="0" fontId="9" fillId="0" borderId="43" xfId="17" applyFont="1" applyFill="1" applyBorder="1" applyAlignment="1">
      <alignment vertical="justify"/>
    </xf>
    <xf numFmtId="0" fontId="9" fillId="0" borderId="0" xfId="17" applyFont="1" applyFill="1" applyBorder="1" applyAlignment="1">
      <alignment vertical="justify"/>
    </xf>
    <xf numFmtId="0" fontId="9" fillId="0" borderId="44" xfId="17" applyFont="1" applyFill="1" applyBorder="1" applyAlignment="1">
      <alignment vertical="justify"/>
    </xf>
    <xf numFmtId="0" fontId="19" fillId="0" borderId="32" xfId="17" applyFont="1" applyBorder="1" applyAlignment="1">
      <alignment horizontal="center" wrapText="1"/>
    </xf>
    <xf numFmtId="0" fontId="10" fillId="11" borderId="0" xfId="17" applyFill="1" applyBorder="1" applyAlignment="1">
      <alignment vertical="justify"/>
    </xf>
    <xf numFmtId="0" fontId="10" fillId="11" borderId="44" xfId="17" applyFill="1" applyBorder="1" applyAlignment="1">
      <alignment vertical="justify"/>
    </xf>
    <xf numFmtId="0" fontId="10" fillId="12" borderId="13" xfId="17" applyFill="1" applyBorder="1" applyAlignment="1"/>
    <xf numFmtId="0" fontId="10" fillId="12" borderId="14" xfId="17" applyFill="1" applyBorder="1" applyAlignment="1"/>
    <xf numFmtId="0" fontId="10" fillId="0" borderId="0" xfId="17" applyFont="1" applyFill="1" applyBorder="1" applyAlignment="1">
      <alignment vertical="justify"/>
    </xf>
    <xf numFmtId="0" fontId="10" fillId="0" borderId="44" xfId="17" applyFill="1" applyBorder="1" applyAlignment="1">
      <alignment vertical="justify"/>
    </xf>
    <xf numFmtId="0" fontId="10" fillId="12" borderId="9" xfId="17" applyFill="1" applyBorder="1" applyAlignment="1"/>
    <xf numFmtId="0" fontId="10" fillId="12" borderId="16" xfId="17" applyFill="1" applyBorder="1" applyAlignment="1"/>
    <xf numFmtId="0" fontId="10" fillId="0" borderId="43" xfId="17" quotePrefix="1" applyFont="1" applyBorder="1"/>
    <xf numFmtId="0" fontId="10" fillId="0" borderId="44" xfId="17" applyFont="1" applyFill="1" applyBorder="1" applyAlignment="1">
      <alignment vertical="justify"/>
    </xf>
    <xf numFmtId="0" fontId="10" fillId="12" borderId="3" xfId="17" applyFill="1" applyBorder="1" applyAlignment="1"/>
    <xf numFmtId="0" fontId="10" fillId="0" borderId="0" xfId="17" quotePrefix="1" applyFont="1" applyFill="1" applyBorder="1" applyAlignment="1">
      <alignment horizontal="center" vertical="justify"/>
    </xf>
    <xf numFmtId="0" fontId="10" fillId="12" borderId="3" xfId="17" applyFont="1" applyFill="1" applyBorder="1" applyAlignment="1"/>
    <xf numFmtId="0" fontId="10" fillId="0" borderId="0" xfId="17" applyFont="1" applyBorder="1"/>
    <xf numFmtId="0" fontId="10" fillId="0" borderId="44" xfId="17" applyFont="1" applyBorder="1"/>
    <xf numFmtId="0" fontId="10" fillId="12" borderId="32" xfId="17" applyFont="1" applyFill="1" applyBorder="1" applyAlignment="1"/>
    <xf numFmtId="0" fontId="9" fillId="0" borderId="43" xfId="17" applyFont="1" applyFill="1" applyBorder="1" applyAlignment="1"/>
    <xf numFmtId="0" fontId="10" fillId="0" borderId="44" xfId="17" applyFill="1" applyBorder="1" applyAlignment="1"/>
    <xf numFmtId="0" fontId="10" fillId="12" borderId="6" xfId="17" applyFont="1" applyFill="1" applyBorder="1" applyAlignment="1">
      <alignment horizontal="right"/>
    </xf>
    <xf numFmtId="0" fontId="18" fillId="11" borderId="43" xfId="17" applyFont="1" applyFill="1" applyBorder="1"/>
    <xf numFmtId="0" fontId="10" fillId="12" borderId="48" xfId="17" applyFill="1" applyBorder="1" applyAlignment="1"/>
    <xf numFmtId="0" fontId="10" fillId="12" borderId="49" xfId="17" applyFill="1" applyBorder="1" applyAlignment="1"/>
    <xf numFmtId="0" fontId="10" fillId="0" borderId="0" xfId="17" applyFill="1" applyBorder="1" applyAlignment="1">
      <alignment vertical="center"/>
    </xf>
    <xf numFmtId="0" fontId="10" fillId="0" borderId="0" xfId="17" applyFill="1" applyBorder="1" applyAlignment="1">
      <alignment horizontal="right"/>
    </xf>
    <xf numFmtId="0" fontId="9" fillId="0" borderId="25" xfId="17" applyFont="1" applyFill="1" applyBorder="1" applyAlignment="1"/>
    <xf numFmtId="0" fontId="9" fillId="0" borderId="2" xfId="17" applyNumberFormat="1" applyFont="1" applyBorder="1"/>
    <xf numFmtId="0" fontId="9" fillId="0" borderId="51" xfId="17" applyFont="1" applyFill="1" applyBorder="1" applyAlignment="1">
      <alignment vertical="justify"/>
    </xf>
    <xf numFmtId="0" fontId="9" fillId="0" borderId="52" xfId="17" applyFont="1" applyFill="1" applyBorder="1" applyAlignment="1">
      <alignment vertical="justify"/>
    </xf>
    <xf numFmtId="0" fontId="10" fillId="0" borderId="52" xfId="17" applyBorder="1" applyAlignment="1"/>
    <xf numFmtId="0" fontId="10" fillId="0" borderId="53" xfId="17" applyBorder="1" applyAlignment="1"/>
    <xf numFmtId="0" fontId="10" fillId="12" borderId="6" xfId="17" applyFill="1" applyBorder="1" applyAlignment="1">
      <alignment vertical="center"/>
    </xf>
    <xf numFmtId="0" fontId="10" fillId="12" borderId="14" xfId="17" applyNumberFormat="1" applyFont="1" applyFill="1" applyBorder="1"/>
    <xf numFmtId="0" fontId="10" fillId="0" borderId="0" xfId="17" applyFill="1"/>
    <xf numFmtId="0" fontId="10" fillId="12" borderId="9" xfId="17" applyFont="1" applyFill="1" applyBorder="1" applyAlignment="1"/>
    <xf numFmtId="0" fontId="10" fillId="12" borderId="49" xfId="17" applyNumberFormat="1" applyFont="1" applyFill="1" applyBorder="1"/>
    <xf numFmtId="0" fontId="10" fillId="12" borderId="50" xfId="17" applyFont="1" applyFill="1" applyBorder="1" applyAlignment="1"/>
    <xf numFmtId="0" fontId="34" fillId="18" borderId="0" xfId="17" applyFont="1" applyFill="1"/>
    <xf numFmtId="0" fontId="20" fillId="0" borderId="0" xfId="17" applyFont="1"/>
    <xf numFmtId="0" fontId="9" fillId="10" borderId="10" xfId="17" applyFont="1" applyFill="1" applyBorder="1" applyAlignment="1"/>
    <xf numFmtId="0" fontId="9" fillId="10" borderId="55" xfId="17" applyFont="1" applyFill="1" applyBorder="1" applyAlignment="1"/>
    <xf numFmtId="0" fontId="9" fillId="0" borderId="0" xfId="17" applyFont="1"/>
    <xf numFmtId="0" fontId="9" fillId="0" borderId="0" xfId="17" applyFont="1" applyAlignment="1">
      <alignment horizontal="left"/>
    </xf>
    <xf numFmtId="165" fontId="9" fillId="13" borderId="3" xfId="17" applyNumberFormat="1" applyFont="1" applyFill="1" applyBorder="1" applyAlignment="1" applyProtection="1">
      <alignment horizontal="right" vertical="center"/>
      <protection hidden="1"/>
    </xf>
    <xf numFmtId="0" fontId="9" fillId="0" borderId="0" xfId="17" quotePrefix="1" applyFont="1"/>
    <xf numFmtId="9" fontId="10" fillId="13" borderId="3" xfId="17" applyNumberFormat="1" applyFont="1" applyFill="1" applyBorder="1" applyAlignment="1" applyProtection="1">
      <alignment vertical="center"/>
      <protection hidden="1"/>
    </xf>
    <xf numFmtId="165" fontId="10" fillId="13" borderId="3" xfId="17" applyNumberFormat="1" applyFont="1" applyFill="1" applyBorder="1" applyAlignment="1" applyProtection="1">
      <alignment vertical="center"/>
      <protection hidden="1"/>
    </xf>
    <xf numFmtId="0" fontId="10" fillId="0" borderId="0" xfId="17" quotePrefix="1"/>
    <xf numFmtId="0" fontId="10" fillId="13" borderId="3" xfId="17" applyFill="1" applyBorder="1"/>
    <xf numFmtId="0" fontId="10" fillId="9" borderId="0" xfId="17" applyFill="1"/>
    <xf numFmtId="165" fontId="10" fillId="0" borderId="0" xfId="17" applyNumberFormat="1" applyFont="1" applyFill="1" applyBorder="1" applyAlignment="1" applyProtection="1">
      <alignment horizontal="left" vertical="center"/>
      <protection hidden="1"/>
    </xf>
    <xf numFmtId="9" fontId="10" fillId="0" borderId="0" xfId="17" applyNumberFormat="1" applyFont="1" applyFill="1" applyBorder="1" applyAlignment="1" applyProtection="1">
      <alignment vertical="center"/>
      <protection hidden="1"/>
    </xf>
    <xf numFmtId="165" fontId="9" fillId="0" borderId="0" xfId="17" applyNumberFormat="1" applyFont="1" applyFill="1" applyBorder="1" applyAlignment="1" applyProtection="1">
      <alignment horizontal="right" vertical="center"/>
      <protection hidden="1"/>
    </xf>
    <xf numFmtId="0" fontId="10" fillId="5" borderId="0" xfId="17" applyFill="1"/>
    <xf numFmtId="0" fontId="9" fillId="14" borderId="25" xfId="17" applyFont="1" applyFill="1" applyBorder="1" applyAlignment="1">
      <alignment horizontal="left"/>
    </xf>
    <xf numFmtId="0" fontId="10" fillId="14" borderId="26" xfId="17" applyFill="1" applyBorder="1" applyAlignment="1"/>
    <xf numFmtId="1" fontId="10" fillId="6" borderId="25" xfId="17" applyNumberFormat="1" applyFont="1" applyFill="1" applyBorder="1" applyAlignment="1"/>
    <xf numFmtId="1" fontId="10" fillId="6" borderId="27" xfId="17" applyNumberFormat="1" applyFont="1" applyFill="1" applyBorder="1" applyAlignment="1"/>
    <xf numFmtId="0" fontId="10" fillId="0" borderId="0" xfId="17" applyFont="1" applyAlignment="1">
      <alignment horizontal="right"/>
    </xf>
    <xf numFmtId="0" fontId="9" fillId="6" borderId="25" xfId="17" applyFont="1" applyFill="1" applyBorder="1" applyAlignment="1">
      <alignment horizontal="left"/>
    </xf>
    <xf numFmtId="0" fontId="10" fillId="6" borderId="26" xfId="17" applyFill="1" applyBorder="1" applyAlignment="1"/>
    <xf numFmtId="165" fontId="9" fillId="0" borderId="0" xfId="17" applyNumberFormat="1" applyFont="1" applyFill="1" applyBorder="1" applyAlignment="1" applyProtection="1">
      <alignment vertical="center"/>
      <protection hidden="1"/>
    </xf>
    <xf numFmtId="0" fontId="10" fillId="0" borderId="0" xfId="17" applyFill="1" applyAlignment="1">
      <alignment horizontal="right"/>
    </xf>
    <xf numFmtId="0" fontId="10" fillId="0" borderId="0" xfId="17" applyBorder="1" applyAlignment="1">
      <alignment horizontal="center"/>
    </xf>
    <xf numFmtId="0" fontId="30" fillId="8" borderId="15" xfId="17" applyFont="1" applyFill="1" applyBorder="1" applyAlignment="1">
      <alignment textRotation="90"/>
    </xf>
    <xf numFmtId="0" fontId="11" fillId="8" borderId="3" xfId="17" applyFont="1" applyFill="1" applyBorder="1" applyAlignment="1">
      <alignment horizontal="right"/>
    </xf>
    <xf numFmtId="0" fontId="29" fillId="9" borderId="3" xfId="17" applyFont="1" applyFill="1" applyBorder="1" applyAlignment="1">
      <alignment horizontal="justify" vertical="center"/>
    </xf>
    <xf numFmtId="0" fontId="10" fillId="0" borderId="43" xfId="17" applyBorder="1"/>
    <xf numFmtId="0" fontId="10" fillId="0" borderId="0" xfId="17" applyBorder="1" applyAlignment="1"/>
    <xf numFmtId="0" fontId="10" fillId="0" borderId="44" xfId="17" applyBorder="1" applyAlignment="1"/>
    <xf numFmtId="0" fontId="9" fillId="18" borderId="0" xfId="17" applyFont="1" applyFill="1"/>
    <xf numFmtId="165" fontId="9" fillId="13" borderId="0" xfId="17" applyNumberFormat="1" applyFont="1" applyFill="1" applyBorder="1" applyAlignment="1" applyProtection="1">
      <alignment horizontal="right" vertical="center"/>
      <protection hidden="1"/>
    </xf>
    <xf numFmtId="0" fontId="12" fillId="7" borderId="61" xfId="17" applyFont="1" applyFill="1" applyBorder="1" applyAlignment="1">
      <alignment horizontal="center" vertical="center" textRotation="90"/>
    </xf>
    <xf numFmtId="0" fontId="11" fillId="7" borderId="6" xfId="17" applyFont="1" applyFill="1" applyBorder="1" applyAlignment="1">
      <alignment horizontal="right" wrapText="1"/>
    </xf>
    <xf numFmtId="0" fontId="10" fillId="5" borderId="21" xfId="17" applyFill="1" applyBorder="1"/>
    <xf numFmtId="0" fontId="10" fillId="6" borderId="33" xfId="17" applyFill="1" applyBorder="1" applyAlignment="1"/>
    <xf numFmtId="0" fontId="10" fillId="6" borderId="34" xfId="17" applyFill="1" applyBorder="1" applyAlignment="1"/>
    <xf numFmtId="0" fontId="10" fillId="6" borderId="35" xfId="17" applyFill="1" applyBorder="1" applyAlignment="1"/>
    <xf numFmtId="0" fontId="9" fillId="0" borderId="0" xfId="17" applyFont="1" applyFill="1" applyBorder="1" applyAlignment="1">
      <alignment horizontal="center"/>
    </xf>
    <xf numFmtId="0" fontId="9" fillId="0" borderId="0" xfId="17" applyFont="1" applyFill="1" applyBorder="1" applyAlignment="1">
      <alignment vertical="distributed"/>
    </xf>
    <xf numFmtId="0" fontId="10" fillId="0" borderId="0" xfId="17" applyFill="1" applyBorder="1" applyAlignment="1">
      <alignment vertical="distributed"/>
    </xf>
    <xf numFmtId="0" fontId="10" fillId="0" borderId="44" xfId="17" applyFill="1" applyBorder="1" applyAlignment="1">
      <alignment vertical="distributed"/>
    </xf>
    <xf numFmtId="0" fontId="18" fillId="11" borderId="44" xfId="17" applyFont="1" applyFill="1" applyBorder="1" applyAlignment="1">
      <alignment vertical="justify"/>
    </xf>
    <xf numFmtId="0" fontId="18" fillId="0" borderId="43" xfId="17" applyFont="1" applyFill="1" applyBorder="1"/>
    <xf numFmtId="0" fontId="10" fillId="0" borderId="51" xfId="17" applyFont="1" applyBorder="1"/>
    <xf numFmtId="0" fontId="10" fillId="0" borderId="0" xfId="17" applyFont="1" applyFill="1" applyAlignment="1">
      <alignment vertical="justify"/>
    </xf>
    <xf numFmtId="0" fontId="10" fillId="0" borderId="43" xfId="17" quotePrefix="1" applyBorder="1"/>
    <xf numFmtId="0" fontId="10" fillId="0" borderId="43" xfId="17" quotePrefix="1" applyFill="1" applyBorder="1"/>
    <xf numFmtId="0" fontId="10" fillId="0" borderId="44" xfId="17" quotePrefix="1" applyFill="1" applyBorder="1"/>
    <xf numFmtId="0" fontId="10" fillId="0" borderId="51" xfId="17" applyBorder="1"/>
    <xf numFmtId="0" fontId="10" fillId="0" borderId="52" xfId="17" applyBorder="1"/>
    <xf numFmtId="0" fontId="10" fillId="0" borderId="53" xfId="17" applyBorder="1"/>
    <xf numFmtId="14" fontId="9" fillId="0" borderId="43" xfId="17" applyNumberFormat="1" applyFont="1" applyFill="1" applyBorder="1" applyAlignment="1">
      <alignment vertical="justify" wrapText="1"/>
    </xf>
    <xf numFmtId="0" fontId="9" fillId="0" borderId="0" xfId="17" applyFont="1" applyFill="1" applyBorder="1" applyAlignment="1">
      <alignment vertical="justify" wrapText="1"/>
    </xf>
    <xf numFmtId="0" fontId="13" fillId="5" borderId="3" xfId="17" applyFont="1" applyFill="1" applyBorder="1" applyAlignment="1">
      <alignment horizontal="right" wrapText="1"/>
    </xf>
    <xf numFmtId="1" fontId="10" fillId="0" borderId="3" xfId="17" applyNumberFormat="1" applyFill="1" applyBorder="1" applyAlignment="1">
      <alignment vertical="center"/>
    </xf>
    <xf numFmtId="0" fontId="10" fillId="0" borderId="3" xfId="17" applyFill="1" applyBorder="1" applyAlignment="1">
      <alignment vertical="center"/>
    </xf>
    <xf numFmtId="0" fontId="10" fillId="0" borderId="43" xfId="17" applyFont="1" applyFill="1" applyBorder="1" applyAlignment="1"/>
    <xf numFmtId="0" fontId="18" fillId="0" borderId="0" xfId="17" applyFont="1" applyFill="1" applyBorder="1"/>
    <xf numFmtId="0" fontId="18" fillId="0" borderId="44" xfId="17" applyFont="1" applyFill="1" applyBorder="1"/>
    <xf numFmtId="1" fontId="10" fillId="6" borderId="25" xfId="17" applyNumberFormat="1" applyFont="1" applyFill="1" applyBorder="1" applyAlignment="1"/>
    <xf numFmtId="1" fontId="10" fillId="6" borderId="27" xfId="17" applyNumberFormat="1" applyFont="1" applyFill="1" applyBorder="1" applyAlignment="1"/>
    <xf numFmtId="0" fontId="10" fillId="12" borderId="3" xfId="17" applyFill="1" applyBorder="1" applyAlignment="1"/>
    <xf numFmtId="0" fontId="18" fillId="11" borderId="44" xfId="17" applyFont="1" applyFill="1" applyBorder="1" applyAlignment="1">
      <alignment vertical="justify"/>
    </xf>
    <xf numFmtId="0" fontId="9" fillId="0" borderId="0" xfId="17" applyFont="1" applyFill="1" applyBorder="1" applyAlignment="1"/>
    <xf numFmtId="0" fontId="9" fillId="0" borderId="0" xfId="17" applyFont="1" applyFill="1" applyBorder="1" applyAlignment="1">
      <alignment horizontal="center"/>
    </xf>
    <xf numFmtId="0" fontId="9" fillId="0" borderId="40" xfId="17" applyFont="1" applyFill="1" applyBorder="1" applyAlignment="1">
      <alignment horizontal="center"/>
    </xf>
    <xf numFmtId="0" fontId="9" fillId="0" borderId="41" xfId="17" applyFont="1" applyBorder="1" applyAlignment="1">
      <alignment horizontal="center"/>
    </xf>
    <xf numFmtId="0" fontId="9" fillId="0" borderId="42" xfId="17" applyFont="1" applyBorder="1" applyAlignment="1">
      <alignment horizontal="center"/>
    </xf>
    <xf numFmtId="0" fontId="10" fillId="0" borderId="10" xfId="17" applyBorder="1" applyAlignment="1"/>
    <xf numFmtId="0" fontId="7" fillId="0" borderId="27" xfId="5" applyFont="1" applyFill="1" applyBorder="1" applyAlignment="1">
      <alignment horizontal="center" vertical="top" wrapText="1"/>
    </xf>
    <xf numFmtId="167" fontId="0" fillId="0" borderId="0" xfId="1" applyNumberFormat="1" applyFont="1" applyFill="1"/>
    <xf numFmtId="0" fontId="0" fillId="0" borderId="71" xfId="0" applyBorder="1" applyAlignment="1">
      <alignment horizontal="left" wrapText="1"/>
    </xf>
    <xf numFmtId="0" fontId="49" fillId="0" borderId="72" xfId="0" applyFont="1" applyBorder="1" applyAlignment="1">
      <alignment horizontal="center" wrapText="1"/>
    </xf>
    <xf numFmtId="167" fontId="49" fillId="0" borderId="72" xfId="1" applyNumberFormat="1" applyFont="1" applyBorder="1" applyAlignment="1">
      <alignment horizontal="center" wrapText="1"/>
    </xf>
    <xf numFmtId="167" fontId="0" fillId="0" borderId="71" xfId="1" applyNumberFormat="1" applyFont="1" applyBorder="1" applyAlignment="1">
      <alignment horizontal="right" wrapText="1"/>
    </xf>
    <xf numFmtId="0" fontId="0" fillId="0" borderId="0" xfId="0" applyBorder="1" applyAlignment="1">
      <alignment horizontal="left" wrapText="1"/>
    </xf>
    <xf numFmtId="0" fontId="0" fillId="0" borderId="3" xfId="0" applyBorder="1"/>
    <xf numFmtId="0" fontId="0" fillId="0" borderId="3" xfId="0" applyBorder="1" applyAlignment="1">
      <alignment horizontal="left" wrapText="1"/>
    </xf>
    <xf numFmtId="167" fontId="0" fillId="0" borderId="3" xfId="1" applyNumberFormat="1" applyFont="1" applyBorder="1"/>
    <xf numFmtId="0" fontId="9" fillId="0" borderId="0" xfId="0" applyFont="1"/>
    <xf numFmtId="169" fontId="9" fillId="0" borderId="0" xfId="1" applyNumberFormat="1" applyFont="1"/>
    <xf numFmtId="169" fontId="0" fillId="0" borderId="0" xfId="1" applyNumberFormat="1" applyFont="1"/>
    <xf numFmtId="0" fontId="0" fillId="0" borderId="73" xfId="0" applyBorder="1" applyAlignment="1">
      <alignment horizontal="left" wrapText="1"/>
    </xf>
    <xf numFmtId="169" fontId="0" fillId="0" borderId="73" xfId="1" applyNumberFormat="1" applyFont="1" applyBorder="1" applyAlignment="1">
      <alignment horizontal="right" wrapText="1"/>
    </xf>
    <xf numFmtId="169" fontId="0" fillId="0" borderId="74" xfId="1" applyNumberFormat="1" applyFont="1" applyBorder="1" applyAlignment="1">
      <alignment horizontal="right" wrapText="1"/>
    </xf>
    <xf numFmtId="0" fontId="10" fillId="0" borderId="0" xfId="0" applyFont="1"/>
    <xf numFmtId="0" fontId="0" fillId="0" borderId="71" xfId="0" applyBorder="1"/>
    <xf numFmtId="0" fontId="0" fillId="0" borderId="71" xfId="0" applyFill="1" applyBorder="1"/>
    <xf numFmtId="0" fontId="0" fillId="0" borderId="0" xfId="0" applyBorder="1"/>
    <xf numFmtId="0" fontId="0" fillId="0" borderId="0" xfId="0" applyFill="1" applyBorder="1"/>
    <xf numFmtId="0" fontId="0" fillId="0" borderId="0" xfId="0" applyBorder="1" applyAlignment="1"/>
    <xf numFmtId="0" fontId="0" fillId="0" borderId="0" xfId="0" applyBorder="1" applyAlignment="1">
      <alignment wrapText="1"/>
    </xf>
    <xf numFmtId="0" fontId="10" fillId="0" borderId="71" xfId="0" applyFont="1" applyBorder="1" applyAlignment="1">
      <alignment vertical="center" wrapText="1"/>
    </xf>
    <xf numFmtId="167" fontId="0" fillId="0" borderId="71" xfId="1" applyNumberFormat="1" applyFont="1" applyBorder="1"/>
    <xf numFmtId="167" fontId="0" fillId="0" borderId="0" xfId="1" applyNumberFormat="1" applyFont="1" applyBorder="1" applyAlignment="1">
      <alignment horizontal="right" wrapText="1"/>
    </xf>
    <xf numFmtId="167" fontId="0" fillId="0" borderId="3" xfId="1" applyNumberFormat="1" applyFont="1" applyBorder="1" applyAlignment="1">
      <alignment horizontal="right" wrapText="1"/>
    </xf>
    <xf numFmtId="167" fontId="0" fillId="0" borderId="0" xfId="1" applyNumberFormat="1" applyFont="1" applyBorder="1"/>
    <xf numFmtId="167" fontId="0" fillId="0" borderId="71" xfId="1" applyNumberFormat="1" applyFont="1" applyFill="1" applyBorder="1" applyAlignment="1">
      <alignment horizontal="left" wrapText="1"/>
    </xf>
    <xf numFmtId="0" fontId="5" fillId="0" borderId="71" xfId="0" applyFont="1" applyBorder="1"/>
    <xf numFmtId="0" fontId="5" fillId="0" borderId="71" xfId="0" applyFont="1" applyBorder="1" applyAlignment="1">
      <alignment horizontal="left" wrapText="1"/>
    </xf>
    <xf numFmtId="0" fontId="5" fillId="0" borderId="0" xfId="0" applyFont="1" applyBorder="1"/>
    <xf numFmtId="0" fontId="5" fillId="0" borderId="3" xfId="0" applyFont="1" applyBorder="1"/>
    <xf numFmtId="0" fontId="5" fillId="0" borderId="0" xfId="0" applyFont="1"/>
    <xf numFmtId="0" fontId="0" fillId="0" borderId="71" xfId="0" applyFill="1" applyBorder="1" applyAlignment="1">
      <alignment horizontal="center"/>
    </xf>
    <xf numFmtId="0" fontId="0" fillId="0" borderId="71" xfId="0" applyFill="1" applyBorder="1" applyAlignment="1">
      <alignment horizontal="center" wrapText="1"/>
    </xf>
    <xf numFmtId="167" fontId="0" fillId="0" borderId="71" xfId="1" applyNumberFormat="1" applyFont="1" applyFill="1" applyBorder="1" applyAlignment="1">
      <alignment horizontal="center"/>
    </xf>
    <xf numFmtId="167" fontId="0" fillId="0" borderId="71" xfId="1" applyNumberFormat="1" applyFont="1" applyFill="1" applyBorder="1" applyAlignment="1">
      <alignment horizontal="center" wrapText="1"/>
    </xf>
    <xf numFmtId="0" fontId="5" fillId="0" borderId="0" xfId="0" applyFont="1" applyBorder="1" applyAlignment="1">
      <alignment horizontal="left" wrapText="1"/>
    </xf>
    <xf numFmtId="0" fontId="49" fillId="0" borderId="72" xfId="0" applyFont="1" applyBorder="1" applyAlignment="1">
      <alignment horizontal="left" wrapText="1"/>
    </xf>
    <xf numFmtId="0" fontId="0" fillId="0" borderId="71" xfId="0" applyFill="1" applyBorder="1" applyAlignment="1">
      <alignment horizontal="left" wrapText="1"/>
    </xf>
    <xf numFmtId="0" fontId="5" fillId="0" borderId="71" xfId="0" applyFont="1" applyFill="1" applyBorder="1" applyAlignment="1">
      <alignment horizontal="left" wrapText="1"/>
    </xf>
    <xf numFmtId="0" fontId="0" fillId="0" borderId="0" xfId="0" applyAlignment="1">
      <alignment horizontal="left"/>
    </xf>
    <xf numFmtId="0" fontId="0" fillId="0" borderId="73" xfId="0" applyBorder="1"/>
    <xf numFmtId="169" fontId="0" fillId="0" borderId="0" xfId="1" applyNumberFormat="1" applyFont="1" applyBorder="1" applyAlignment="1">
      <alignment horizontal="right" wrapText="1"/>
    </xf>
    <xf numFmtId="169" fontId="0" fillId="0" borderId="73" xfId="1" applyNumberFormat="1" applyFont="1" applyBorder="1"/>
    <xf numFmtId="0" fontId="5" fillId="0" borderId="73" xfId="0" applyFont="1" applyBorder="1" applyAlignment="1">
      <alignment horizontal="left" wrapText="1"/>
    </xf>
    <xf numFmtId="0" fontId="5" fillId="0" borderId="73" xfId="0" applyFont="1" applyBorder="1"/>
    <xf numFmtId="0" fontId="50" fillId="0" borderId="0" xfId="0" applyFont="1" applyFill="1"/>
    <xf numFmtId="0" fontId="50" fillId="0" borderId="0" xfId="0" applyFont="1" applyFill="1" applyAlignment="1">
      <alignment vertical="top" wrapText="1"/>
    </xf>
    <xf numFmtId="167" fontId="0" fillId="23" borderId="0" xfId="1" applyNumberFormat="1" applyFont="1" applyFill="1"/>
    <xf numFmtId="167" fontId="0" fillId="0" borderId="0" xfId="0" applyNumberFormat="1" applyFill="1"/>
    <xf numFmtId="167" fontId="5" fillId="0" borderId="39" xfId="0" applyNumberFormat="1" applyFont="1" applyFill="1" applyBorder="1"/>
    <xf numFmtId="169" fontId="0" fillId="0" borderId="0" xfId="1" applyNumberFormat="1" applyFont="1" applyAlignment="1">
      <alignment horizontal="right"/>
    </xf>
    <xf numFmtId="0" fontId="9" fillId="24" borderId="25" xfId="6" applyFont="1" applyFill="1" applyBorder="1" applyAlignment="1">
      <alignment horizontal="left"/>
    </xf>
    <xf numFmtId="0" fontId="8" fillId="24" borderId="26" xfId="6" applyFill="1" applyBorder="1" applyAlignment="1"/>
    <xf numFmtId="0" fontId="9" fillId="25" borderId="25" xfId="6" applyFont="1" applyFill="1" applyBorder="1" applyAlignment="1">
      <alignment horizontal="left"/>
    </xf>
    <xf numFmtId="0" fontId="8" fillId="25" borderId="26" xfId="6" applyFill="1" applyBorder="1" applyAlignment="1"/>
    <xf numFmtId="167" fontId="5" fillId="0" borderId="52" xfId="0" applyNumberFormat="1" applyFont="1" applyFill="1" applyBorder="1"/>
    <xf numFmtId="0" fontId="5" fillId="0" borderId="3" xfId="0" applyFont="1" applyFill="1" applyBorder="1" applyAlignment="1">
      <alignment horizontal="center" vertical="top" wrapText="1"/>
    </xf>
    <xf numFmtId="0" fontId="0" fillId="0" borderId="3" xfId="0" applyFill="1" applyBorder="1"/>
    <xf numFmtId="167" fontId="0" fillId="0" borderId="3" xfId="1" applyNumberFormat="1" applyFont="1" applyFill="1" applyBorder="1"/>
    <xf numFmtId="0" fontId="21" fillId="0" borderId="3" xfId="7" applyFill="1" applyBorder="1" applyAlignment="1" applyProtection="1"/>
    <xf numFmtId="167" fontId="0" fillId="0" borderId="3" xfId="1" applyNumberFormat="1" applyFont="1" applyFill="1" applyBorder="1" applyAlignment="1">
      <alignment horizontal="right"/>
    </xf>
    <xf numFmtId="0" fontId="21" fillId="0" borderId="3" xfId="7" quotePrefix="1" applyFill="1" applyBorder="1" applyAlignment="1" applyProtection="1"/>
    <xf numFmtId="0" fontId="0" fillId="0" borderId="3" xfId="0" applyFill="1" applyBorder="1" applyAlignment="1">
      <alignment horizontal="left" wrapText="1"/>
    </xf>
    <xf numFmtId="0" fontId="0" fillId="23" borderId="3" xfId="0" applyFill="1" applyBorder="1"/>
    <xf numFmtId="167" fontId="0" fillId="23" borderId="3" xfId="1" applyNumberFormat="1" applyFont="1" applyFill="1" applyBorder="1"/>
    <xf numFmtId="0" fontId="48" fillId="23" borderId="3" xfId="0" applyFont="1" applyFill="1" applyBorder="1"/>
    <xf numFmtId="0" fontId="21" fillId="23" borderId="3" xfId="7" applyFill="1" applyBorder="1" applyAlignment="1" applyProtection="1"/>
    <xf numFmtId="0" fontId="9" fillId="0" borderId="0" xfId="0" applyFont="1" applyAlignment="1">
      <alignment horizontal="center"/>
    </xf>
    <xf numFmtId="169" fontId="9" fillId="0" borderId="0" xfId="1" applyNumberFormat="1" applyFont="1" applyAlignment="1">
      <alignment horizontal="center"/>
    </xf>
    <xf numFmtId="0" fontId="7" fillId="24" borderId="3" xfId="5" applyFont="1" applyFill="1" applyBorder="1" applyAlignment="1">
      <alignment horizontal="center" vertical="top" wrapText="1"/>
    </xf>
    <xf numFmtId="167" fontId="7" fillId="24" borderId="3" xfId="1" applyNumberFormat="1" applyFont="1" applyFill="1" applyBorder="1" applyAlignment="1">
      <alignment horizontal="center" vertical="top" wrapText="1"/>
    </xf>
    <xf numFmtId="167" fontId="0" fillId="23" borderId="3" xfId="1" applyNumberFormat="1" applyFont="1" applyFill="1" applyBorder="1" applyAlignment="1">
      <alignment horizontal="right"/>
    </xf>
    <xf numFmtId="0" fontId="0" fillId="23" borderId="0" xfId="0" applyFill="1"/>
    <xf numFmtId="0" fontId="50" fillId="23" borderId="0" xfId="0" applyFont="1" applyFill="1"/>
    <xf numFmtId="14" fontId="0" fillId="0" borderId="0" xfId="0" applyNumberFormat="1" applyFill="1" applyBorder="1"/>
    <xf numFmtId="0" fontId="0" fillId="0" borderId="32" xfId="0" applyFill="1" applyBorder="1"/>
    <xf numFmtId="0" fontId="0" fillId="0" borderId="9" xfId="0" applyFill="1" applyBorder="1"/>
    <xf numFmtId="0" fontId="0" fillId="23" borderId="9" xfId="0" applyFill="1" applyBorder="1"/>
    <xf numFmtId="167" fontId="0" fillId="23" borderId="9" xfId="1" applyNumberFormat="1" applyFont="1" applyFill="1" applyBorder="1"/>
    <xf numFmtId="167" fontId="0" fillId="0" borderId="9" xfId="1" applyNumberFormat="1" applyFont="1" applyFill="1" applyBorder="1" applyAlignment="1">
      <alignment horizontal="right"/>
    </xf>
    <xf numFmtId="167" fontId="0" fillId="0" borderId="9" xfId="1" applyNumberFormat="1" applyFont="1" applyFill="1" applyBorder="1"/>
    <xf numFmtId="167" fontId="0" fillId="0" borderId="0" xfId="1" applyNumberFormat="1" applyFont="1" applyFill="1" applyBorder="1"/>
    <xf numFmtId="0" fontId="21" fillId="0" borderId="0" xfId="7" applyFill="1" applyBorder="1" applyAlignment="1" applyProtection="1"/>
    <xf numFmtId="167" fontId="0" fillId="0" borderId="0" xfId="1" applyNumberFormat="1" applyFont="1" applyFill="1" applyBorder="1" applyAlignment="1">
      <alignment horizontal="right"/>
    </xf>
    <xf numFmtId="1" fontId="0" fillId="0" borderId="3" xfId="1" applyNumberFormat="1" applyFont="1" applyFill="1" applyBorder="1"/>
    <xf numFmtId="0" fontId="8" fillId="12" borderId="3" xfId="6" applyFill="1" applyBorder="1" applyAlignment="1"/>
    <xf numFmtId="0" fontId="9" fillId="0" borderId="40" xfId="6" applyFont="1" applyFill="1" applyBorder="1" applyAlignment="1">
      <alignment horizontal="center"/>
    </xf>
    <xf numFmtId="0" fontId="9" fillId="0" borderId="41" xfId="6" applyFont="1" applyBorder="1" applyAlignment="1">
      <alignment horizontal="center"/>
    </xf>
    <xf numFmtId="0" fontId="9" fillId="0" borderId="42" xfId="6" applyFont="1" applyBorder="1" applyAlignment="1">
      <alignment horizontal="center"/>
    </xf>
    <xf numFmtId="0" fontId="9" fillId="0" borderId="0" xfId="6" applyFont="1" applyFill="1" applyBorder="1" applyAlignment="1"/>
    <xf numFmtId="0" fontId="9" fillId="0" borderId="0" xfId="6" applyFont="1" applyFill="1" applyBorder="1" applyAlignment="1">
      <alignment horizontal="center"/>
    </xf>
    <xf numFmtId="0" fontId="8" fillId="0" borderId="10" xfId="6" applyBorder="1" applyAlignment="1"/>
    <xf numFmtId="0" fontId="9" fillId="0" borderId="52" xfId="6" applyFont="1" applyFill="1" applyBorder="1" applyAlignment="1">
      <alignment vertical="justify"/>
    </xf>
    <xf numFmtId="0" fontId="9" fillId="0" borderId="43" xfId="6" applyFont="1" applyFill="1" applyBorder="1" applyAlignment="1">
      <alignment vertical="justify"/>
    </xf>
    <xf numFmtId="0" fontId="9" fillId="0" borderId="0" xfId="6" applyFont="1" applyFill="1" applyBorder="1" applyAlignment="1">
      <alignment vertical="justify"/>
    </xf>
    <xf numFmtId="0" fontId="8" fillId="0" borderId="0" xfId="6" applyBorder="1" applyAlignment="1">
      <alignment horizontal="center"/>
    </xf>
    <xf numFmtId="0" fontId="10" fillId="12" borderId="3" xfId="6" applyFont="1" applyFill="1" applyBorder="1" applyAlignment="1"/>
    <xf numFmtId="0" fontId="9" fillId="6" borderId="25" xfId="6" applyFont="1" applyFill="1" applyBorder="1" applyAlignment="1">
      <alignment horizontal="left"/>
    </xf>
    <xf numFmtId="17" fontId="51" fillId="26" borderId="0" xfId="25" applyNumberFormat="1"/>
    <xf numFmtId="0" fontId="51" fillId="26" borderId="0" xfId="25"/>
    <xf numFmtId="0" fontId="9" fillId="16" borderId="25" xfId="6" applyFont="1" applyFill="1" applyBorder="1" applyAlignment="1">
      <alignment horizontal="left"/>
    </xf>
    <xf numFmtId="0" fontId="8" fillId="16" borderId="26" xfId="6" applyFill="1" applyBorder="1" applyAlignment="1"/>
    <xf numFmtId="0" fontId="9" fillId="16" borderId="25" xfId="6" applyNumberFormat="1" applyFont="1" applyFill="1" applyBorder="1" applyAlignment="1">
      <alignment horizontal="right"/>
    </xf>
    <xf numFmtId="0" fontId="10" fillId="16" borderId="27" xfId="6" applyNumberFormat="1" applyFont="1" applyFill="1" applyBorder="1" applyAlignment="1">
      <alignment horizontal="right"/>
    </xf>
    <xf numFmtId="0" fontId="10" fillId="17" borderId="25" xfId="6" applyNumberFormat="1" applyFont="1" applyFill="1" applyBorder="1" applyAlignment="1"/>
    <xf numFmtId="0" fontId="10" fillId="17" borderId="27" xfId="6" applyNumberFormat="1" applyFont="1" applyFill="1" applyBorder="1" applyAlignment="1"/>
    <xf numFmtId="0" fontId="10" fillId="6" borderId="25" xfId="6" applyNumberFormat="1" applyFont="1" applyFill="1" applyBorder="1" applyAlignment="1"/>
    <xf numFmtId="0" fontId="10" fillId="6" borderId="27" xfId="6" applyNumberFormat="1" applyFont="1" applyFill="1" applyBorder="1" applyAlignment="1"/>
    <xf numFmtId="0" fontId="9" fillId="6" borderId="57" xfId="6" applyFont="1" applyFill="1" applyBorder="1" applyAlignment="1">
      <alignment horizontal="left"/>
    </xf>
    <xf numFmtId="0" fontId="8" fillId="6" borderId="58" xfId="6" applyFill="1" applyBorder="1" applyAlignment="1"/>
    <xf numFmtId="0" fontId="8" fillId="6" borderId="59" xfId="6" applyFill="1" applyBorder="1" applyAlignment="1"/>
    <xf numFmtId="0" fontId="10" fillId="6" borderId="57" xfId="6" applyNumberFormat="1" applyFont="1" applyFill="1" applyBorder="1" applyAlignment="1">
      <alignment horizontal="right"/>
    </xf>
    <xf numFmtId="0" fontId="10" fillId="6" borderId="60" xfId="6" applyNumberFormat="1" applyFont="1" applyFill="1" applyBorder="1" applyAlignment="1">
      <alignment horizontal="right"/>
    </xf>
    <xf numFmtId="0" fontId="9" fillId="15" borderId="25" xfId="6" applyFont="1" applyFill="1" applyBorder="1" applyAlignment="1">
      <alignment horizontal="left"/>
    </xf>
    <xf numFmtId="0" fontId="8" fillId="15" borderId="26" xfId="6" applyFill="1" applyBorder="1" applyAlignment="1"/>
    <xf numFmtId="0" fontId="9" fillId="15" borderId="25" xfId="6" applyNumberFormat="1" applyFont="1" applyFill="1" applyBorder="1" applyAlignment="1">
      <alignment horizontal="right"/>
    </xf>
    <xf numFmtId="0" fontId="9" fillId="15" borderId="27" xfId="6" applyNumberFormat="1" applyFont="1" applyFill="1" applyBorder="1" applyAlignment="1">
      <alignment horizontal="right"/>
    </xf>
    <xf numFmtId="0" fontId="8" fillId="12" borderId="4" xfId="6" applyFill="1" applyBorder="1" applyAlignment="1"/>
    <xf numFmtId="0" fontId="8" fillId="12" borderId="5" xfId="6" applyFill="1" applyBorder="1" applyAlignment="1"/>
    <xf numFmtId="0" fontId="10" fillId="12" borderId="4" xfId="6" applyFont="1" applyFill="1" applyBorder="1" applyAlignment="1"/>
    <xf numFmtId="0" fontId="10" fillId="12" borderId="5" xfId="6" applyFont="1" applyFill="1" applyBorder="1" applyAlignment="1"/>
    <xf numFmtId="0" fontId="10" fillId="12" borderId="6" xfId="6" applyFont="1" applyFill="1" applyBorder="1" applyAlignment="1"/>
    <xf numFmtId="0" fontId="9" fillId="10" borderId="51" xfId="6" applyFont="1" applyFill="1" applyBorder="1" applyAlignment="1"/>
    <xf numFmtId="0" fontId="8" fillId="10" borderId="52" xfId="6" applyFill="1" applyBorder="1" applyAlignment="1"/>
    <xf numFmtId="0" fontId="9" fillId="10" borderId="25" xfId="6" applyFont="1" applyFill="1" applyBorder="1" applyAlignment="1">
      <alignment horizontal="left"/>
    </xf>
    <xf numFmtId="0" fontId="8" fillId="10" borderId="26" xfId="6" applyFill="1" applyBorder="1" applyAlignment="1"/>
    <xf numFmtId="0" fontId="8" fillId="10" borderId="27" xfId="6" applyFill="1" applyBorder="1" applyAlignment="1"/>
    <xf numFmtId="0" fontId="8" fillId="10" borderId="25" xfId="6" applyFill="1" applyBorder="1" applyAlignment="1"/>
    <xf numFmtId="165" fontId="9" fillId="13" borderId="3" xfId="6" applyNumberFormat="1" applyFont="1" applyFill="1" applyBorder="1" applyAlignment="1" applyProtection="1">
      <alignment horizontal="left" vertical="center"/>
      <protection hidden="1"/>
    </xf>
    <xf numFmtId="0" fontId="9" fillId="13" borderId="3" xfId="6" applyFont="1" applyFill="1" applyBorder="1" applyAlignment="1"/>
    <xf numFmtId="165" fontId="10" fillId="13" borderId="3" xfId="6" applyNumberFormat="1" applyFont="1" applyFill="1" applyBorder="1" applyAlignment="1" applyProtection="1">
      <alignment horizontal="left" vertical="center"/>
      <protection hidden="1"/>
    </xf>
    <xf numFmtId="0" fontId="8" fillId="13" borderId="3" xfId="6" applyFill="1" applyBorder="1" applyAlignment="1"/>
    <xf numFmtId="165" fontId="10" fillId="13" borderId="4" xfId="6" applyNumberFormat="1" applyFont="1" applyFill="1" applyBorder="1" applyAlignment="1" applyProtection="1">
      <alignment horizontal="left" vertical="center"/>
      <protection hidden="1"/>
    </xf>
    <xf numFmtId="165" fontId="10" fillId="13" borderId="6" xfId="6" applyNumberFormat="1" applyFont="1" applyFill="1" applyBorder="1" applyAlignment="1" applyProtection="1">
      <alignment horizontal="left" vertical="center"/>
      <protection hidden="1"/>
    </xf>
    <xf numFmtId="0" fontId="9" fillId="6" borderId="28" xfId="6" applyFont="1" applyFill="1" applyBorder="1" applyAlignment="1">
      <alignment horizontal="left"/>
    </xf>
    <xf numFmtId="0" fontId="8" fillId="6" borderId="1" xfId="6" applyFill="1" applyBorder="1" applyAlignment="1"/>
    <xf numFmtId="0" fontId="8" fillId="6" borderId="56" xfId="6" applyFill="1" applyBorder="1" applyAlignment="1"/>
    <xf numFmtId="0" fontId="9" fillId="12" borderId="45" xfId="6" applyFont="1" applyFill="1" applyBorder="1" applyAlignment="1">
      <alignment horizontal="center" vertical="center"/>
    </xf>
    <xf numFmtId="0" fontId="9" fillId="12" borderId="47" xfId="6" applyFont="1" applyFill="1" applyBorder="1" applyAlignment="1">
      <alignment horizontal="center" vertical="center"/>
    </xf>
    <xf numFmtId="0" fontId="9" fillId="12" borderId="54" xfId="6" applyFont="1" applyFill="1" applyBorder="1" applyAlignment="1">
      <alignment horizontal="center" vertical="center"/>
    </xf>
    <xf numFmtId="0" fontId="9" fillId="10" borderId="25" xfId="6" applyFont="1" applyFill="1" applyBorder="1" applyAlignment="1"/>
    <xf numFmtId="0" fontId="17" fillId="6" borderId="4" xfId="6" applyFont="1" applyFill="1" applyBorder="1" applyAlignment="1">
      <alignment horizontal="left"/>
    </xf>
    <xf numFmtId="0" fontId="17" fillId="6" borderId="5" xfId="6" applyFont="1" applyFill="1" applyBorder="1" applyAlignment="1">
      <alignment horizontal="left"/>
    </xf>
    <xf numFmtId="0" fontId="17" fillId="6" borderId="6" xfId="6" applyFont="1" applyFill="1" applyBorder="1" applyAlignment="1">
      <alignment horizontal="left"/>
    </xf>
    <xf numFmtId="0" fontId="9" fillId="6" borderId="3" xfId="6" applyFont="1" applyFill="1" applyBorder="1" applyAlignment="1"/>
    <xf numFmtId="0" fontId="18" fillId="11" borderId="43" xfId="6" applyFont="1" applyFill="1" applyBorder="1" applyAlignment="1">
      <alignment vertical="justify"/>
    </xf>
    <xf numFmtId="0" fontId="18" fillId="11" borderId="0" xfId="6" applyFont="1" applyFill="1" applyBorder="1" applyAlignment="1">
      <alignment vertical="justify"/>
    </xf>
    <xf numFmtId="0" fontId="18" fillId="11" borderId="44" xfId="6" applyFont="1" applyFill="1" applyBorder="1" applyAlignment="1">
      <alignment vertical="justify"/>
    </xf>
    <xf numFmtId="0" fontId="10" fillId="12" borderId="33" xfId="6" applyFont="1" applyFill="1" applyBorder="1" applyAlignment="1"/>
    <xf numFmtId="0" fontId="8" fillId="12" borderId="34" xfId="6" applyFill="1" applyBorder="1" applyAlignment="1"/>
    <xf numFmtId="0" fontId="8" fillId="12" borderId="3" xfId="6" applyFill="1" applyBorder="1" applyAlignment="1"/>
    <xf numFmtId="0" fontId="9" fillId="0" borderId="5" xfId="6" applyFont="1" applyFill="1" applyBorder="1" applyAlignment="1">
      <alignment horizontal="right"/>
    </xf>
    <xf numFmtId="0" fontId="9" fillId="0" borderId="50" xfId="6" applyFont="1" applyFill="1" applyBorder="1" applyAlignment="1">
      <alignment horizontal="right"/>
    </xf>
    <xf numFmtId="0" fontId="8" fillId="12" borderId="6" xfId="6" applyFill="1" applyBorder="1" applyAlignment="1"/>
    <xf numFmtId="0" fontId="8" fillId="12" borderId="21" xfId="6" applyFill="1" applyBorder="1" applyAlignment="1"/>
    <xf numFmtId="0" fontId="8" fillId="12" borderId="0" xfId="6" applyFill="1" applyBorder="1" applyAlignment="1"/>
    <xf numFmtId="0" fontId="8" fillId="12" borderId="46" xfId="6" applyFill="1" applyBorder="1" applyAlignment="1">
      <alignment horizontal="center" vertical="center"/>
    </xf>
    <xf numFmtId="0" fontId="8" fillId="12" borderId="18" xfId="6" applyFill="1" applyBorder="1" applyAlignment="1">
      <alignment horizontal="center" vertical="center"/>
    </xf>
    <xf numFmtId="0" fontId="8" fillId="12" borderId="30" xfId="6" applyFill="1" applyBorder="1" applyAlignment="1"/>
    <xf numFmtId="0" fontId="8" fillId="12" borderId="31" xfId="6" applyFill="1" applyBorder="1" applyAlignment="1"/>
    <xf numFmtId="0" fontId="9" fillId="10" borderId="25" xfId="6" applyFont="1" applyFill="1" applyBorder="1"/>
    <xf numFmtId="0" fontId="9" fillId="10" borderId="27" xfId="6" applyFont="1" applyFill="1" applyBorder="1"/>
    <xf numFmtId="0" fontId="9" fillId="0" borderId="40" xfId="6" applyFont="1" applyFill="1" applyBorder="1" applyAlignment="1">
      <alignment horizontal="center"/>
    </xf>
    <xf numFmtId="0" fontId="9" fillId="0" borderId="41" xfId="6" applyFont="1" applyBorder="1" applyAlignment="1">
      <alignment horizontal="center"/>
    </xf>
    <xf numFmtId="0" fontId="9" fillId="0" borderId="42" xfId="6" applyFont="1" applyBorder="1" applyAlignment="1">
      <alignment horizontal="center"/>
    </xf>
    <xf numFmtId="0" fontId="9" fillId="6" borderId="29" xfId="6" applyFont="1" applyFill="1" applyBorder="1" applyAlignment="1">
      <alignment horizontal="center" vertical="center"/>
    </xf>
    <xf numFmtId="0" fontId="9" fillId="6" borderId="15" xfId="6" applyFont="1" applyFill="1" applyBorder="1" applyAlignment="1">
      <alignment horizontal="center" vertical="center"/>
    </xf>
    <xf numFmtId="0" fontId="9" fillId="6" borderId="37" xfId="6" applyFont="1" applyFill="1" applyBorder="1" applyAlignment="1">
      <alignment horizontal="center" vertical="center"/>
    </xf>
    <xf numFmtId="0" fontId="10" fillId="6" borderId="13" xfId="6" applyFont="1" applyFill="1" applyBorder="1" applyAlignment="1">
      <alignment horizontal="center" vertical="center"/>
    </xf>
    <xf numFmtId="0" fontId="10" fillId="6" borderId="3" xfId="6" applyFont="1" applyFill="1" applyBorder="1" applyAlignment="1">
      <alignment horizontal="center" vertical="center"/>
    </xf>
    <xf numFmtId="0" fontId="10" fillId="6" borderId="10" xfId="6" applyFont="1" applyFill="1" applyBorder="1" applyAlignment="1">
      <alignment horizontal="center" vertical="center"/>
    </xf>
    <xf numFmtId="0" fontId="8" fillId="6" borderId="30" xfId="6" applyFill="1" applyBorder="1" applyAlignment="1"/>
    <xf numFmtId="0" fontId="8" fillId="6" borderId="31" xfId="6" applyFill="1" applyBorder="1" applyAlignment="1"/>
    <xf numFmtId="0" fontId="8" fillId="6" borderId="12" xfId="6" applyFill="1" applyBorder="1" applyAlignment="1"/>
    <xf numFmtId="0" fontId="8" fillId="6" borderId="13" xfId="6" applyFill="1" applyBorder="1" applyAlignment="1"/>
    <xf numFmtId="0" fontId="8" fillId="6" borderId="14" xfId="6" applyFill="1" applyBorder="1" applyAlignment="1"/>
    <xf numFmtId="0" fontId="8" fillId="6" borderId="4" xfId="6" applyFill="1" applyBorder="1" applyAlignment="1"/>
    <xf numFmtId="0" fontId="8" fillId="6" borderId="5" xfId="6" applyFill="1" applyBorder="1" applyAlignment="1"/>
    <xf numFmtId="0" fontId="8" fillId="6" borderId="6" xfId="6" applyFill="1" applyBorder="1" applyAlignment="1"/>
    <xf numFmtId="0" fontId="8" fillId="6" borderId="3" xfId="6" applyFill="1" applyBorder="1" applyAlignment="1"/>
    <xf numFmtId="0" fontId="8" fillId="6" borderId="16" xfId="6" applyFill="1" applyBorder="1" applyAlignment="1"/>
    <xf numFmtId="0" fontId="9" fillId="0" borderId="0" xfId="6" applyFont="1" applyFill="1" applyBorder="1" applyAlignment="1"/>
    <xf numFmtId="0" fontId="9" fillId="0" borderId="0" xfId="6" applyFont="1" applyFill="1" applyBorder="1" applyAlignment="1">
      <alignment horizontal="center"/>
    </xf>
    <xf numFmtId="0" fontId="8" fillId="6" borderId="38" xfId="6" applyFill="1" applyBorder="1" applyAlignment="1"/>
    <xf numFmtId="0" fontId="8" fillId="6" borderId="39" xfId="6" applyFill="1" applyBorder="1" applyAlignment="1"/>
    <xf numFmtId="0" fontId="8" fillId="6" borderId="23" xfId="6" applyFill="1" applyBorder="1" applyAlignment="1"/>
    <xf numFmtId="0" fontId="8" fillId="6" borderId="10" xfId="6" applyFill="1" applyBorder="1" applyAlignment="1"/>
    <xf numFmtId="0" fontId="8" fillId="6" borderId="24" xfId="6" applyFill="1" applyBorder="1" applyAlignment="1"/>
    <xf numFmtId="0" fontId="11" fillId="9" borderId="17" xfId="6" applyFont="1" applyFill="1" applyBorder="1" applyAlignment="1">
      <alignment horizontal="center" vertical="center" textRotation="90"/>
    </xf>
    <xf numFmtId="0" fontId="11" fillId="9" borderId="18" xfId="6" applyFont="1" applyFill="1" applyBorder="1" applyAlignment="1">
      <alignment horizontal="center" vertical="center" textRotation="90"/>
    </xf>
    <xf numFmtId="0" fontId="11" fillId="0" borderId="18" xfId="6" applyFont="1" applyBorder="1" applyAlignment="1">
      <alignment horizontal="center" vertical="center" textRotation="90"/>
    </xf>
    <xf numFmtId="0" fontId="8" fillId="0" borderId="19" xfId="6" applyBorder="1" applyAlignment="1">
      <alignment horizontal="center" vertical="center" textRotation="90"/>
    </xf>
    <xf numFmtId="0" fontId="14" fillId="5" borderId="20" xfId="6" applyFont="1" applyFill="1" applyBorder="1" applyAlignment="1">
      <alignment horizontal="right"/>
    </xf>
    <xf numFmtId="0" fontId="8" fillId="0" borderId="6" xfId="6" applyBorder="1" applyAlignment="1"/>
    <xf numFmtId="0" fontId="14" fillId="9" borderId="22" xfId="6" applyFont="1" applyFill="1" applyBorder="1" applyAlignment="1">
      <alignment horizontal="right"/>
    </xf>
    <xf numFmtId="0" fontId="8" fillId="9" borderId="23" xfId="6" applyFill="1" applyBorder="1" applyAlignment="1"/>
    <xf numFmtId="0" fontId="8" fillId="10" borderId="26" xfId="6" applyFill="1" applyBorder="1" applyAlignment="1">
      <alignment horizontal="left"/>
    </xf>
    <xf numFmtId="0" fontId="8" fillId="10" borderId="27" xfId="6" applyFill="1" applyBorder="1" applyAlignment="1">
      <alignment horizontal="left"/>
    </xf>
    <xf numFmtId="0" fontId="9" fillId="10" borderId="28" xfId="6" applyFont="1" applyFill="1" applyBorder="1" applyAlignment="1"/>
    <xf numFmtId="0" fontId="8" fillId="10" borderId="2" xfId="6" applyFill="1" applyBorder="1" applyAlignment="1"/>
    <xf numFmtId="0" fontId="11" fillId="8" borderId="20" xfId="6" applyFont="1" applyFill="1" applyBorder="1" applyAlignment="1">
      <alignment horizontal="right"/>
    </xf>
    <xf numFmtId="0" fontId="11" fillId="8" borderId="6" xfId="6" applyFont="1" applyFill="1" applyBorder="1" applyAlignment="1">
      <alignment horizontal="right"/>
    </xf>
    <xf numFmtId="0" fontId="9" fillId="0" borderId="3" xfId="6" applyFont="1" applyFill="1" applyBorder="1" applyAlignment="1">
      <alignment horizontal="left" wrapText="1"/>
    </xf>
    <xf numFmtId="0" fontId="10" fillId="0" borderId="3" xfId="6" applyFont="1" applyFill="1" applyBorder="1" applyAlignment="1"/>
    <xf numFmtId="0" fontId="10" fillId="0" borderId="3" xfId="6" applyFont="1" applyFill="1" applyBorder="1" applyAlignment="1">
      <alignment horizontal="left" wrapText="1"/>
    </xf>
    <xf numFmtId="0" fontId="10" fillId="0" borderId="3" xfId="6" applyFont="1" applyBorder="1" applyAlignment="1"/>
    <xf numFmtId="0" fontId="9" fillId="0" borderId="3" xfId="6" applyFont="1" applyFill="1" applyBorder="1" applyAlignment="1"/>
    <xf numFmtId="0" fontId="9" fillId="0" borderId="3" xfId="6" applyFont="1" applyBorder="1" applyAlignment="1"/>
    <xf numFmtId="0" fontId="15" fillId="0" borderId="5" xfId="6" applyFont="1" applyFill="1" applyBorder="1" applyAlignment="1">
      <alignment horizontal="center"/>
    </xf>
    <xf numFmtId="0" fontId="15" fillId="0" borderId="6" xfId="6" applyFont="1" applyFill="1" applyBorder="1" applyAlignment="1">
      <alignment horizontal="center"/>
    </xf>
    <xf numFmtId="0" fontId="8" fillId="0" borderId="10" xfId="6" applyBorder="1" applyAlignment="1"/>
    <xf numFmtId="0" fontId="9" fillId="0" borderId="11" xfId="6" applyNumberFormat="1" applyFont="1" applyBorder="1" applyAlignment="1">
      <alignment horizontal="center"/>
    </xf>
    <xf numFmtId="0" fontId="9" fillId="0" borderId="12" xfId="6" applyNumberFormat="1" applyFont="1" applyBorder="1" applyAlignment="1">
      <alignment horizontal="center"/>
    </xf>
    <xf numFmtId="0" fontId="12" fillId="7" borderId="17" xfId="6" applyFont="1" applyFill="1" applyBorder="1" applyAlignment="1">
      <alignment horizontal="center" vertical="center" textRotation="90"/>
    </xf>
    <xf numFmtId="0" fontId="12" fillId="7" borderId="18" xfId="6" applyFont="1" applyFill="1" applyBorder="1" applyAlignment="1">
      <alignment horizontal="center" vertical="center" textRotation="90"/>
    </xf>
    <xf numFmtId="0" fontId="12" fillId="7" borderId="19" xfId="6" applyFont="1" applyFill="1" applyBorder="1" applyAlignment="1">
      <alignment horizontal="center" vertical="center" textRotation="90"/>
    </xf>
    <xf numFmtId="166" fontId="10" fillId="0" borderId="3" xfId="6" applyNumberFormat="1" applyFont="1" applyFill="1" applyBorder="1" applyAlignment="1">
      <alignment horizontal="left" wrapText="1"/>
    </xf>
    <xf numFmtId="166" fontId="10" fillId="0" borderId="3" xfId="6" applyNumberFormat="1" applyFont="1" applyFill="1" applyBorder="1" applyAlignment="1"/>
    <xf numFmtId="14" fontId="10" fillId="0" borderId="3" xfId="6" applyNumberFormat="1" applyFont="1" applyFill="1" applyBorder="1" applyAlignment="1">
      <alignment horizontal="left" wrapText="1"/>
    </xf>
    <xf numFmtId="0" fontId="10" fillId="14" borderId="25" xfId="6" applyNumberFormat="1" applyFont="1" applyFill="1" applyBorder="1" applyAlignment="1"/>
    <xf numFmtId="0" fontId="10" fillId="14" borderId="27" xfId="6" applyNumberFormat="1" applyFont="1" applyFill="1" applyBorder="1" applyAlignment="1"/>
    <xf numFmtId="0" fontId="9" fillId="6" borderId="17" xfId="6" applyFont="1" applyFill="1" applyBorder="1" applyAlignment="1">
      <alignment horizontal="center" vertical="center"/>
    </xf>
    <xf numFmtId="0" fontId="10" fillId="6" borderId="32" xfId="6" applyFont="1" applyFill="1" applyBorder="1" applyAlignment="1">
      <alignment horizontal="center" vertical="center"/>
    </xf>
    <xf numFmtId="0" fontId="10" fillId="0" borderId="5" xfId="6" applyFont="1" applyFill="1" applyBorder="1" applyAlignment="1">
      <alignment horizontal="center"/>
    </xf>
    <xf numFmtId="0" fontId="10" fillId="0" borderId="6" xfId="6" applyFont="1" applyFill="1" applyBorder="1" applyAlignment="1">
      <alignment horizontal="center"/>
    </xf>
    <xf numFmtId="164" fontId="10" fillId="0" borderId="3" xfId="6" applyNumberFormat="1" applyFont="1" applyFill="1" applyBorder="1" applyAlignment="1">
      <alignment horizontal="left" wrapText="1"/>
    </xf>
    <xf numFmtId="164" fontId="10" fillId="0" borderId="3" xfId="6" applyNumberFormat="1" applyFont="1" applyFill="1" applyBorder="1" applyAlignment="1"/>
    <xf numFmtId="164" fontId="10" fillId="0" borderId="3" xfId="6" quotePrefix="1" applyNumberFormat="1" applyFont="1" applyFill="1" applyBorder="1" applyAlignment="1">
      <alignment horizontal="left" wrapText="1"/>
    </xf>
    <xf numFmtId="1" fontId="9" fillId="16" borderId="25" xfId="6" applyNumberFormat="1" applyFont="1" applyFill="1" applyBorder="1" applyAlignment="1">
      <alignment horizontal="right"/>
    </xf>
    <xf numFmtId="1" fontId="10" fillId="16" borderId="27" xfId="6" applyNumberFormat="1" applyFont="1" applyFill="1" applyBorder="1" applyAlignment="1">
      <alignment horizontal="right"/>
    </xf>
    <xf numFmtId="1" fontId="10" fillId="14" borderId="25" xfId="6" applyNumberFormat="1" applyFont="1" applyFill="1" applyBorder="1" applyAlignment="1"/>
    <xf numFmtId="1" fontId="10" fillId="14" borderId="27" xfId="6" applyNumberFormat="1" applyFont="1" applyFill="1" applyBorder="1" applyAlignment="1"/>
    <xf numFmtId="1" fontId="10" fillId="6" borderId="25" xfId="6" applyNumberFormat="1" applyFont="1" applyFill="1" applyBorder="1" applyAlignment="1"/>
    <xf numFmtId="1" fontId="10" fillId="6" borderId="27" xfId="6" applyNumberFormat="1" applyFont="1" applyFill="1" applyBorder="1" applyAlignment="1"/>
    <xf numFmtId="1" fontId="10" fillId="6" borderId="57" xfId="6" applyNumberFormat="1" applyFont="1" applyFill="1" applyBorder="1" applyAlignment="1">
      <alignment horizontal="right"/>
    </xf>
    <xf numFmtId="1" fontId="10" fillId="6" borderId="60" xfId="6" applyNumberFormat="1" applyFont="1" applyFill="1" applyBorder="1" applyAlignment="1">
      <alignment horizontal="right"/>
    </xf>
    <xf numFmtId="1" fontId="9" fillId="15" borderId="25" xfId="6" applyNumberFormat="1" applyFont="1" applyFill="1" applyBorder="1" applyAlignment="1">
      <alignment horizontal="right"/>
    </xf>
    <xf numFmtId="1" fontId="9" fillId="15" borderId="27" xfId="6" applyNumberFormat="1" applyFont="1" applyFill="1" applyBorder="1" applyAlignment="1">
      <alignment horizontal="right"/>
    </xf>
    <xf numFmtId="0" fontId="9" fillId="19" borderId="5" xfId="6" applyFont="1" applyFill="1" applyBorder="1" applyAlignment="1">
      <alignment horizontal="center"/>
    </xf>
    <xf numFmtId="0" fontId="9" fillId="19" borderId="6" xfId="6" applyFont="1" applyFill="1" applyBorder="1" applyAlignment="1">
      <alignment horizontal="center"/>
    </xf>
    <xf numFmtId="166" fontId="10" fillId="0" borderId="4" xfId="6" applyNumberFormat="1" applyFont="1" applyFill="1" applyBorder="1" applyAlignment="1">
      <alignment horizontal="left" wrapText="1"/>
    </xf>
    <xf numFmtId="166" fontId="10" fillId="0" borderId="5" xfId="6" applyNumberFormat="1" applyFont="1" applyFill="1" applyBorder="1" applyAlignment="1">
      <alignment horizontal="left" wrapText="1"/>
    </xf>
    <xf numFmtId="166" fontId="10" fillId="0" borderId="6" xfId="6" applyNumberFormat="1" applyFont="1" applyFill="1" applyBorder="1" applyAlignment="1">
      <alignment horizontal="left" wrapText="1"/>
    </xf>
    <xf numFmtId="0" fontId="10" fillId="0" borderId="4" xfId="6" applyFont="1" applyFill="1" applyBorder="1" applyAlignment="1">
      <alignment horizontal="left" wrapText="1"/>
    </xf>
    <xf numFmtId="0" fontId="10" fillId="0" borderId="5" xfId="6" applyFont="1" applyFill="1" applyBorder="1" applyAlignment="1">
      <alignment horizontal="left" wrapText="1"/>
    </xf>
    <xf numFmtId="0" fontId="10" fillId="0" borderId="6" xfId="6" applyFont="1" applyFill="1" applyBorder="1" applyAlignment="1">
      <alignment horizontal="left" wrapText="1"/>
    </xf>
    <xf numFmtId="0" fontId="10" fillId="0" borderId="3" xfId="6" quotePrefix="1" applyFont="1" applyFill="1" applyBorder="1" applyAlignment="1">
      <alignment horizontal="left" wrapText="1"/>
    </xf>
    <xf numFmtId="0" fontId="10" fillId="0" borderId="51" xfId="6" applyFont="1" applyFill="1" applyBorder="1" applyAlignment="1">
      <alignment horizontal="center" vertical="justify"/>
    </xf>
    <xf numFmtId="0" fontId="10" fillId="0" borderId="52" xfId="6" applyFont="1" applyFill="1" applyBorder="1" applyAlignment="1">
      <alignment horizontal="center" vertical="justify"/>
    </xf>
    <xf numFmtId="0" fontId="34" fillId="18" borderId="0" xfId="6" applyFont="1" applyFill="1" applyBorder="1" applyAlignment="1"/>
    <xf numFmtId="0" fontId="10" fillId="0" borderId="43" xfId="6" applyFont="1" applyBorder="1" applyAlignment="1">
      <alignment horizontal="center"/>
    </xf>
    <xf numFmtId="0" fontId="10" fillId="0" borderId="0" xfId="6" applyFont="1" applyBorder="1" applyAlignment="1">
      <alignment horizontal="center"/>
    </xf>
    <xf numFmtId="0" fontId="9" fillId="0" borderId="52" xfId="6" applyFont="1" applyFill="1" applyBorder="1" applyAlignment="1">
      <alignment vertical="justify"/>
    </xf>
    <xf numFmtId="0" fontId="9" fillId="18" borderId="0" xfId="6" applyFont="1" applyFill="1" applyBorder="1" applyAlignment="1"/>
    <xf numFmtId="0" fontId="10" fillId="0" borderId="43" xfId="6" applyFont="1" applyBorder="1" applyAlignment="1">
      <alignment horizontal="left" vertical="top"/>
    </xf>
    <xf numFmtId="0" fontId="10" fillId="0" borderId="0" xfId="6" applyFont="1" applyBorder="1" applyAlignment="1">
      <alignment horizontal="left" vertical="top"/>
    </xf>
    <xf numFmtId="0" fontId="10" fillId="6" borderId="38" xfId="6" applyFont="1" applyFill="1" applyBorder="1" applyAlignment="1"/>
    <xf numFmtId="0" fontId="9" fillId="0" borderId="3" xfId="6" applyFont="1" applyFill="1" applyBorder="1" applyAlignment="1">
      <alignment horizontal="center"/>
    </xf>
    <xf numFmtId="0" fontId="20" fillId="0" borderId="38" xfId="6" applyFont="1" applyBorder="1" applyAlignment="1">
      <alignment horizontal="center"/>
    </xf>
    <xf numFmtId="0" fontId="20" fillId="0" borderId="39" xfId="6" applyFont="1" applyBorder="1" applyAlignment="1">
      <alignment horizontal="center"/>
    </xf>
    <xf numFmtId="0" fontId="20" fillId="0" borderId="23" xfId="6" applyFont="1" applyBorder="1" applyAlignment="1">
      <alignment horizontal="center"/>
    </xf>
    <xf numFmtId="0" fontId="22" fillId="6" borderId="38" xfId="6" applyFont="1" applyFill="1" applyBorder="1" applyAlignment="1"/>
    <xf numFmtId="0" fontId="22" fillId="6" borderId="39" xfId="6" applyFont="1" applyFill="1" applyBorder="1" applyAlignment="1"/>
    <xf numFmtId="0" fontId="22" fillId="6" borderId="23" xfId="6" applyFont="1" applyFill="1" applyBorder="1" applyAlignment="1"/>
    <xf numFmtId="0" fontId="16" fillId="8" borderId="20" xfId="6" applyFont="1" applyFill="1" applyBorder="1" applyAlignment="1">
      <alignment horizontal="right"/>
    </xf>
    <xf numFmtId="0" fontId="16" fillId="8" borderId="6" xfId="6" applyFont="1" applyFill="1" applyBorder="1" applyAlignment="1">
      <alignment horizontal="right"/>
    </xf>
    <xf numFmtId="0" fontId="9" fillId="0" borderId="43" xfId="6" applyFont="1" applyFill="1" applyBorder="1" applyAlignment="1">
      <alignment vertical="justify"/>
    </xf>
    <xf numFmtId="0" fontId="9" fillId="0" borderId="0" xfId="6" applyFont="1" applyFill="1" applyBorder="1" applyAlignment="1">
      <alignment vertical="justify"/>
    </xf>
    <xf numFmtId="0" fontId="9" fillId="15" borderId="25" xfId="17" applyFont="1" applyFill="1" applyBorder="1" applyAlignment="1">
      <alignment horizontal="left"/>
    </xf>
    <xf numFmtId="0" fontId="10" fillId="15" borderId="26" xfId="17" applyFill="1" applyBorder="1" applyAlignment="1"/>
    <xf numFmtId="1" fontId="9" fillId="15" borderId="25" xfId="17" applyNumberFormat="1" applyFont="1" applyFill="1" applyBorder="1" applyAlignment="1">
      <alignment horizontal="right"/>
    </xf>
    <xf numFmtId="1" fontId="9" fillId="15" borderId="27" xfId="17" applyNumberFormat="1" applyFont="1" applyFill="1" applyBorder="1" applyAlignment="1">
      <alignment horizontal="right"/>
    </xf>
    <xf numFmtId="0" fontId="9" fillId="16" borderId="25" xfId="17" applyFont="1" applyFill="1" applyBorder="1" applyAlignment="1">
      <alignment horizontal="left"/>
    </xf>
    <xf numFmtId="0" fontId="10" fillId="16" borderId="26" xfId="17" applyFill="1" applyBorder="1" applyAlignment="1"/>
    <xf numFmtId="1" fontId="9" fillId="16" borderId="25" xfId="17" applyNumberFormat="1" applyFont="1" applyFill="1" applyBorder="1" applyAlignment="1">
      <alignment horizontal="right"/>
    </xf>
    <xf numFmtId="1" fontId="10" fillId="16" borderId="27" xfId="17" applyNumberFormat="1" applyFont="1" applyFill="1" applyBorder="1" applyAlignment="1">
      <alignment horizontal="right"/>
    </xf>
    <xf numFmtId="0" fontId="36" fillId="14" borderId="25" xfId="17" applyFont="1" applyFill="1" applyBorder="1"/>
    <xf numFmtId="0" fontId="36" fillId="14" borderId="27" xfId="17" applyFont="1" applyFill="1" applyBorder="1"/>
    <xf numFmtId="1" fontId="10" fillId="6" borderId="25" xfId="17" applyNumberFormat="1" applyFont="1" applyFill="1" applyBorder="1" applyAlignment="1"/>
    <xf numFmtId="1" fontId="10" fillId="6" borderId="27" xfId="17" applyNumberFormat="1" applyFont="1" applyFill="1" applyBorder="1" applyAlignment="1"/>
    <xf numFmtId="0" fontId="9" fillId="6" borderId="57" xfId="17" applyFont="1" applyFill="1" applyBorder="1" applyAlignment="1">
      <alignment horizontal="left"/>
    </xf>
    <xf numFmtId="0" fontId="10" fillId="6" borderId="58" xfId="17" applyFill="1" applyBorder="1" applyAlignment="1"/>
    <xf numFmtId="0" fontId="10" fillId="6" borderId="59" xfId="17" applyFill="1" applyBorder="1" applyAlignment="1"/>
    <xf numFmtId="1" fontId="10" fillId="6" borderId="57" xfId="17" applyNumberFormat="1" applyFont="1" applyFill="1" applyBorder="1" applyAlignment="1">
      <alignment horizontal="right"/>
    </xf>
    <xf numFmtId="1" fontId="10" fillId="6" borderId="60" xfId="17" applyNumberFormat="1" applyFont="1" applyFill="1" applyBorder="1" applyAlignment="1">
      <alignment horizontal="right"/>
    </xf>
    <xf numFmtId="0" fontId="10" fillId="12" borderId="4" xfId="17" applyFont="1" applyFill="1" applyBorder="1" applyAlignment="1"/>
    <xf numFmtId="0" fontId="10" fillId="12" borderId="5" xfId="17" applyFont="1" applyFill="1" applyBorder="1" applyAlignment="1"/>
    <xf numFmtId="0" fontId="10" fillId="12" borderId="6" xfId="17" applyFont="1" applyFill="1" applyBorder="1" applyAlignment="1"/>
    <xf numFmtId="0" fontId="9" fillId="10" borderId="51" xfId="17" applyFont="1" applyFill="1" applyBorder="1" applyAlignment="1"/>
    <xf numFmtId="0" fontId="10" fillId="10" borderId="52" xfId="17" applyFill="1" applyBorder="1" applyAlignment="1"/>
    <xf numFmtId="0" fontId="9" fillId="10" borderId="25" xfId="17" applyFont="1" applyFill="1" applyBorder="1" applyAlignment="1">
      <alignment horizontal="left"/>
    </xf>
    <xf numFmtId="0" fontId="10" fillId="10" borderId="26" xfId="17" applyFill="1" applyBorder="1" applyAlignment="1"/>
    <xf numFmtId="0" fontId="10" fillId="10" borderId="27" xfId="17" applyFill="1" applyBorder="1" applyAlignment="1"/>
    <xf numFmtId="0" fontId="10" fillId="10" borderId="25" xfId="17" applyFill="1" applyBorder="1" applyAlignment="1"/>
    <xf numFmtId="165" fontId="9" fillId="13" borderId="3" xfId="17" applyNumberFormat="1" applyFont="1" applyFill="1" applyBorder="1" applyAlignment="1" applyProtection="1">
      <alignment horizontal="left" vertical="center"/>
      <protection hidden="1"/>
    </xf>
    <xf numFmtId="0" fontId="9" fillId="13" borderId="3" xfId="17" applyFont="1" applyFill="1" applyBorder="1" applyAlignment="1"/>
    <xf numFmtId="165" fontId="10" fillId="13" borderId="3" xfId="17" applyNumberFormat="1" applyFont="1" applyFill="1" applyBorder="1" applyAlignment="1" applyProtection="1">
      <alignment horizontal="left" vertical="center"/>
      <protection hidden="1"/>
    </xf>
    <xf numFmtId="0" fontId="10" fillId="13" borderId="3" xfId="17" applyFill="1" applyBorder="1" applyAlignment="1"/>
    <xf numFmtId="165" fontId="10" fillId="13" borderId="4" xfId="17" applyNumberFormat="1" applyFont="1" applyFill="1" applyBorder="1" applyAlignment="1" applyProtection="1">
      <alignment horizontal="left" vertical="center"/>
      <protection hidden="1"/>
    </xf>
    <xf numFmtId="165" fontId="10" fillId="13" borderId="6" xfId="17" applyNumberFormat="1" applyFont="1" applyFill="1" applyBorder="1" applyAlignment="1" applyProtection="1">
      <alignment horizontal="left" vertical="center"/>
      <protection hidden="1"/>
    </xf>
    <xf numFmtId="0" fontId="9" fillId="6" borderId="28" xfId="17" applyFont="1" applyFill="1" applyBorder="1" applyAlignment="1">
      <alignment horizontal="left"/>
    </xf>
    <xf numFmtId="0" fontId="10" fillId="6" borderId="1" xfId="17" applyFill="1" applyBorder="1" applyAlignment="1"/>
    <xf numFmtId="0" fontId="10" fillId="6" borderId="56" xfId="17" applyFill="1" applyBorder="1" applyAlignment="1"/>
    <xf numFmtId="0" fontId="9" fillId="12" borderId="45" xfId="17" applyFont="1" applyFill="1" applyBorder="1" applyAlignment="1">
      <alignment horizontal="center" vertical="center"/>
    </xf>
    <xf numFmtId="0" fontId="9" fillId="12" borderId="47" xfId="17" applyFont="1" applyFill="1" applyBorder="1" applyAlignment="1">
      <alignment horizontal="center" vertical="center"/>
    </xf>
    <xf numFmtId="0" fontId="9" fillId="12" borderId="54" xfId="17" applyFont="1" applyFill="1" applyBorder="1" applyAlignment="1">
      <alignment horizontal="center" vertical="center"/>
    </xf>
    <xf numFmtId="0" fontId="10" fillId="12" borderId="46" xfId="17" applyFill="1" applyBorder="1" applyAlignment="1">
      <alignment horizontal="center" vertical="center"/>
    </xf>
    <xf numFmtId="0" fontId="10" fillId="12" borderId="18" xfId="17" applyFill="1" applyBorder="1" applyAlignment="1">
      <alignment horizontal="center" vertical="center"/>
    </xf>
    <xf numFmtId="0" fontId="10" fillId="12" borderId="30" xfId="17" applyFill="1" applyBorder="1" applyAlignment="1"/>
    <xf numFmtId="0" fontId="10" fillId="12" borderId="31" xfId="17" applyFill="1" applyBorder="1" applyAlignment="1"/>
    <xf numFmtId="0" fontId="10" fillId="12" borderId="4" xfId="17" applyFill="1" applyBorder="1" applyAlignment="1"/>
    <xf numFmtId="0" fontId="10" fillId="12" borderId="5" xfId="17" applyFill="1" applyBorder="1" applyAlignment="1"/>
    <xf numFmtId="0" fontId="17" fillId="6" borderId="4" xfId="17" applyFont="1" applyFill="1" applyBorder="1" applyAlignment="1">
      <alignment horizontal="left"/>
    </xf>
    <xf numFmtId="0" fontId="17" fillId="6" borderId="5" xfId="17" applyFont="1" applyFill="1" applyBorder="1" applyAlignment="1">
      <alignment horizontal="left"/>
    </xf>
    <xf numFmtId="0" fontId="17" fillId="6" borderId="6" xfId="17" applyFont="1" applyFill="1" applyBorder="1" applyAlignment="1">
      <alignment horizontal="left"/>
    </xf>
    <xf numFmtId="0" fontId="9" fillId="6" borderId="3" xfId="17" applyFont="1" applyFill="1" applyBorder="1" applyAlignment="1"/>
    <xf numFmtId="0" fontId="18" fillId="11" borderId="43" xfId="17" applyFont="1" applyFill="1" applyBorder="1" applyAlignment="1">
      <alignment vertical="justify"/>
    </xf>
    <xf numFmtId="0" fontId="18" fillId="11" borderId="0" xfId="17" applyFont="1" applyFill="1" applyBorder="1" applyAlignment="1">
      <alignment vertical="justify"/>
    </xf>
    <xf numFmtId="0" fontId="18" fillId="11" borderId="44" xfId="17" applyFont="1" applyFill="1" applyBorder="1" applyAlignment="1">
      <alignment vertical="justify"/>
    </xf>
    <xf numFmtId="0" fontId="10" fillId="12" borderId="33" xfId="17" applyFont="1" applyFill="1" applyBorder="1" applyAlignment="1"/>
    <xf numFmtId="0" fontId="10" fillId="12" borderId="34" xfId="17" applyFill="1" applyBorder="1" applyAlignment="1"/>
    <xf numFmtId="0" fontId="10" fillId="12" borderId="3" xfId="17" applyFill="1" applyBorder="1" applyAlignment="1"/>
    <xf numFmtId="0" fontId="9" fillId="0" borderId="5" xfId="17" applyFont="1" applyFill="1" applyBorder="1" applyAlignment="1">
      <alignment horizontal="right"/>
    </xf>
    <xf numFmtId="0" fontId="9" fillId="0" borderId="50" xfId="17" applyFont="1" applyFill="1" applyBorder="1" applyAlignment="1">
      <alignment horizontal="right"/>
    </xf>
    <xf numFmtId="0" fontId="10" fillId="12" borderId="6" xfId="17" applyFill="1" applyBorder="1" applyAlignment="1"/>
    <xf numFmtId="0" fontId="10" fillId="12" borderId="21" xfId="17" applyFill="1" applyBorder="1" applyAlignment="1"/>
    <xf numFmtId="0" fontId="10" fillId="12" borderId="0" xfId="17" applyFill="1" applyBorder="1" applyAlignment="1"/>
    <xf numFmtId="0" fontId="9" fillId="0" borderId="40" xfId="17" applyFont="1" applyFill="1" applyBorder="1" applyAlignment="1">
      <alignment horizontal="center"/>
    </xf>
    <xf numFmtId="0" fontId="9" fillId="0" borderId="41" xfId="17" applyFont="1" applyBorder="1" applyAlignment="1">
      <alignment horizontal="center"/>
    </xf>
    <xf numFmtId="0" fontId="9" fillId="0" borderId="42" xfId="17" applyFont="1" applyBorder="1" applyAlignment="1">
      <alignment horizontal="center"/>
    </xf>
    <xf numFmtId="0" fontId="11" fillId="9" borderId="17" xfId="17" applyFont="1" applyFill="1" applyBorder="1" applyAlignment="1">
      <alignment horizontal="center" vertical="center" textRotation="90"/>
    </xf>
    <xf numFmtId="0" fontId="11" fillId="9" borderId="18" xfId="17" applyFont="1" applyFill="1" applyBorder="1" applyAlignment="1">
      <alignment horizontal="center" vertical="center" textRotation="90"/>
    </xf>
    <xf numFmtId="0" fontId="11" fillId="0" borderId="18" xfId="17" applyFont="1" applyBorder="1" applyAlignment="1">
      <alignment horizontal="center" vertical="center" textRotation="90"/>
    </xf>
    <xf numFmtId="0" fontId="10" fillId="0" borderId="19" xfId="17" applyBorder="1" applyAlignment="1">
      <alignment horizontal="center" vertical="center" textRotation="90"/>
    </xf>
    <xf numFmtId="0" fontId="14" fillId="5" borderId="20" xfId="17" applyFont="1" applyFill="1" applyBorder="1" applyAlignment="1">
      <alignment horizontal="right"/>
    </xf>
    <xf numFmtId="0" fontId="10" fillId="0" borderId="6" xfId="17" applyBorder="1" applyAlignment="1"/>
    <xf numFmtId="0" fontId="14" fillId="9" borderId="22" xfId="17" applyFont="1" applyFill="1" applyBorder="1" applyAlignment="1">
      <alignment horizontal="right"/>
    </xf>
    <xf numFmtId="0" fontId="10" fillId="9" borderId="23" xfId="17" applyFill="1" applyBorder="1" applyAlignment="1"/>
    <xf numFmtId="0" fontId="10" fillId="10" borderId="26" xfId="17" applyFill="1" applyBorder="1" applyAlignment="1">
      <alignment horizontal="left"/>
    </xf>
    <xf numFmtId="0" fontId="10" fillId="10" borderId="27" xfId="17" applyFill="1" applyBorder="1" applyAlignment="1">
      <alignment horizontal="left"/>
    </xf>
    <xf numFmtId="0" fontId="9" fillId="10" borderId="28" xfId="17" applyFont="1" applyFill="1" applyBorder="1" applyAlignment="1"/>
    <xf numFmtId="0" fontId="10" fillId="10" borderId="2" xfId="17" applyFill="1" applyBorder="1" applyAlignment="1"/>
    <xf numFmtId="0" fontId="9" fillId="6" borderId="29" xfId="17" applyFont="1" applyFill="1" applyBorder="1" applyAlignment="1">
      <alignment horizontal="center" vertical="center"/>
    </xf>
    <xf numFmtId="0" fontId="9" fillId="6" borderId="15" xfId="17" applyFont="1" applyFill="1" applyBorder="1" applyAlignment="1">
      <alignment horizontal="center" vertical="center"/>
    </xf>
    <xf numFmtId="0" fontId="9" fillId="6" borderId="37" xfId="17" applyFont="1" applyFill="1" applyBorder="1" applyAlignment="1">
      <alignment horizontal="center" vertical="center"/>
    </xf>
    <xf numFmtId="0" fontId="10" fillId="6" borderId="13" xfId="17" applyFont="1" applyFill="1" applyBorder="1" applyAlignment="1">
      <alignment horizontal="center" vertical="center"/>
    </xf>
    <xf numFmtId="0" fontId="10" fillId="6" borderId="3" xfId="17" applyFont="1" applyFill="1" applyBorder="1" applyAlignment="1">
      <alignment horizontal="center" vertical="center"/>
    </xf>
    <xf numFmtId="0" fontId="10" fillId="6" borderId="10" xfId="17" applyFont="1" applyFill="1" applyBorder="1" applyAlignment="1">
      <alignment horizontal="center" vertical="center"/>
    </xf>
    <xf numFmtId="0" fontId="10" fillId="6" borderId="30" xfId="17" applyFill="1" applyBorder="1" applyAlignment="1"/>
    <xf numFmtId="0" fontId="10" fillId="6" borderId="31" xfId="17" applyFill="1" applyBorder="1" applyAlignment="1"/>
    <xf numFmtId="0" fontId="10" fillId="6" borderId="12" xfId="17" applyFill="1" applyBorder="1" applyAlignment="1"/>
    <xf numFmtId="0" fontId="10" fillId="6" borderId="13" xfId="17" applyFill="1" applyBorder="1" applyAlignment="1"/>
    <xf numFmtId="0" fontId="10" fillId="6" borderId="14" xfId="17" applyFill="1" applyBorder="1" applyAlignment="1"/>
    <xf numFmtId="0" fontId="10" fillId="6" borderId="4" xfId="17" applyFill="1" applyBorder="1" applyAlignment="1"/>
    <xf numFmtId="0" fontId="10" fillId="6" borderId="5" xfId="17" applyFill="1" applyBorder="1" applyAlignment="1"/>
    <xf numFmtId="0" fontId="10" fillId="6" borderId="6" xfId="17" applyFill="1" applyBorder="1" applyAlignment="1"/>
    <xf numFmtId="0" fontId="10" fillId="6" borderId="3" xfId="17" applyFill="1" applyBorder="1" applyAlignment="1"/>
    <xf numFmtId="0" fontId="10" fillId="6" borderId="16" xfId="17" applyFill="1" applyBorder="1" applyAlignment="1"/>
    <xf numFmtId="0" fontId="10" fillId="6" borderId="38" xfId="17" applyFill="1" applyBorder="1" applyAlignment="1"/>
    <xf numFmtId="0" fontId="10" fillId="6" borderId="39" xfId="17" applyFill="1" applyBorder="1" applyAlignment="1"/>
    <xf numFmtId="0" fontId="10" fillId="6" borderId="23" xfId="17" applyFill="1" applyBorder="1" applyAlignment="1"/>
    <xf numFmtId="0" fontId="10" fillId="6" borderId="10" xfId="17" applyFill="1" applyBorder="1" applyAlignment="1"/>
    <xf numFmtId="0" fontId="10" fillId="6" borderId="24" xfId="17" applyFill="1" applyBorder="1" applyAlignment="1"/>
    <xf numFmtId="0" fontId="9" fillId="10" borderId="25" xfId="17" applyFont="1" applyFill="1" applyBorder="1"/>
    <xf numFmtId="0" fontId="9" fillId="10" borderId="27" xfId="17" applyFont="1" applyFill="1" applyBorder="1"/>
    <xf numFmtId="0" fontId="10" fillId="0" borderId="10" xfId="17" applyBorder="1" applyAlignment="1"/>
    <xf numFmtId="0" fontId="9" fillId="0" borderId="11" xfId="17" applyNumberFormat="1" applyFont="1" applyBorder="1" applyAlignment="1">
      <alignment horizontal="center"/>
    </xf>
    <xf numFmtId="0" fontId="9" fillId="0" borderId="12" xfId="17" applyNumberFormat="1" applyFont="1" applyBorder="1" applyAlignment="1">
      <alignment horizontal="center"/>
    </xf>
    <xf numFmtId="0" fontId="12" fillId="7" borderId="17" xfId="17" applyFont="1" applyFill="1" applyBorder="1" applyAlignment="1">
      <alignment horizontal="center" vertical="center" textRotation="90"/>
    </xf>
    <xf numFmtId="0" fontId="12" fillId="7" borderId="18" xfId="17" applyFont="1" applyFill="1" applyBorder="1" applyAlignment="1">
      <alignment horizontal="center" vertical="center" textRotation="90"/>
    </xf>
    <xf numFmtId="0" fontId="12" fillId="7" borderId="19" xfId="17" applyFont="1" applyFill="1" applyBorder="1" applyAlignment="1">
      <alignment horizontal="center" vertical="center" textRotation="90"/>
    </xf>
    <xf numFmtId="0" fontId="11" fillId="8" borderId="20" xfId="17" applyFont="1" applyFill="1" applyBorder="1" applyAlignment="1">
      <alignment horizontal="right"/>
    </xf>
    <xf numFmtId="0" fontId="11" fillId="8" borderId="6" xfId="17" applyFont="1" applyFill="1" applyBorder="1" applyAlignment="1">
      <alignment horizontal="right"/>
    </xf>
    <xf numFmtId="0" fontId="10" fillId="0" borderId="3" xfId="17" applyFont="1" applyFill="1" applyBorder="1" applyAlignment="1">
      <alignment horizontal="left" wrapText="1"/>
    </xf>
    <xf numFmtId="0" fontId="10" fillId="0" borderId="3" xfId="17" applyFont="1" applyFill="1" applyBorder="1" applyAlignment="1"/>
    <xf numFmtId="0" fontId="10" fillId="0" borderId="3" xfId="17" applyFont="1" applyBorder="1" applyAlignment="1"/>
    <xf numFmtId="0" fontId="9" fillId="0" borderId="3" xfId="17" applyFont="1" applyFill="1" applyBorder="1" applyAlignment="1"/>
    <xf numFmtId="0" fontId="9" fillId="0" borderId="3" xfId="17" applyFont="1" applyBorder="1" applyAlignment="1"/>
    <xf numFmtId="0" fontId="10" fillId="0" borderId="5" xfId="17" applyFont="1" applyFill="1" applyBorder="1" applyAlignment="1">
      <alignment horizontal="center"/>
    </xf>
    <xf numFmtId="0" fontId="10" fillId="0" borderId="6" xfId="17" applyFont="1" applyFill="1" applyBorder="1" applyAlignment="1">
      <alignment horizontal="center"/>
    </xf>
    <xf numFmtId="0" fontId="9" fillId="0" borderId="3" xfId="17" applyFont="1" applyFill="1" applyBorder="1" applyAlignment="1">
      <alignment horizontal="left" wrapText="1"/>
    </xf>
    <xf numFmtId="14" fontId="10" fillId="0" borderId="3" xfId="17" applyNumberFormat="1" applyFont="1" applyFill="1" applyBorder="1" applyAlignment="1">
      <alignment horizontal="left" wrapText="1"/>
    </xf>
    <xf numFmtId="0" fontId="9" fillId="10" borderId="25" xfId="17" applyFont="1" applyFill="1" applyBorder="1" applyAlignment="1"/>
    <xf numFmtId="1" fontId="10" fillId="11" borderId="25" xfId="6" applyNumberFormat="1" applyFont="1" applyFill="1" applyBorder="1" applyAlignment="1"/>
    <xf numFmtId="1" fontId="10" fillId="11" borderId="27" xfId="6" applyNumberFormat="1" applyFont="1" applyFill="1" applyBorder="1" applyAlignment="1"/>
    <xf numFmtId="0" fontId="8" fillId="14" borderId="25" xfId="6" applyFill="1" applyBorder="1"/>
    <xf numFmtId="0" fontId="8" fillId="14" borderId="27" xfId="6" applyFill="1" applyBorder="1"/>
    <xf numFmtId="1" fontId="10" fillId="24" borderId="25" xfId="6" applyNumberFormat="1" applyFont="1" applyFill="1" applyBorder="1" applyAlignment="1">
      <alignment horizontal="right"/>
    </xf>
    <xf numFmtId="1" fontId="10" fillId="24" borderId="27" xfId="6" applyNumberFormat="1" applyFont="1" applyFill="1" applyBorder="1" applyAlignment="1">
      <alignment horizontal="right"/>
    </xf>
    <xf numFmtId="1" fontId="9" fillId="0" borderId="0" xfId="6" applyNumberFormat="1" applyFont="1" applyFill="1" applyBorder="1" applyAlignment="1"/>
    <xf numFmtId="0" fontId="8" fillId="20" borderId="25" xfId="6" applyFill="1" applyBorder="1" applyAlignment="1"/>
    <xf numFmtId="0" fontId="8" fillId="20" borderId="27" xfId="6" applyFill="1" applyBorder="1" applyAlignment="1"/>
    <xf numFmtId="0" fontId="8" fillId="0" borderId="43" xfId="6" applyBorder="1" applyAlignment="1">
      <alignment horizontal="center"/>
    </xf>
    <xf numFmtId="0" fontId="8" fillId="0" borderId="0" xfId="6" applyBorder="1" applyAlignment="1">
      <alignment horizontal="center"/>
    </xf>
    <xf numFmtId="0" fontId="10" fillId="0" borderId="43" xfId="6" applyFont="1" applyFill="1" applyBorder="1" applyAlignment="1">
      <alignment horizontal="center" vertical="justify"/>
    </xf>
    <xf numFmtId="0" fontId="10" fillId="0" borderId="0" xfId="6" applyFont="1" applyFill="1" applyBorder="1" applyAlignment="1">
      <alignment horizontal="center" vertical="justify"/>
    </xf>
    <xf numFmtId="0" fontId="9" fillId="0" borderId="38" xfId="6" applyFont="1" applyBorder="1" applyAlignment="1"/>
    <xf numFmtId="0" fontId="9" fillId="0" borderId="39" xfId="6" applyFont="1" applyBorder="1" applyAlignment="1"/>
    <xf numFmtId="0" fontId="9" fillId="0" borderId="23" xfId="6" applyFont="1" applyBorder="1" applyAlignment="1"/>
    <xf numFmtId="0" fontId="8" fillId="6" borderId="50" xfId="6" applyFill="1" applyBorder="1" applyAlignment="1"/>
    <xf numFmtId="0" fontId="11" fillId="9" borderId="19" xfId="6" applyFont="1" applyFill="1" applyBorder="1" applyAlignment="1">
      <alignment horizontal="center" vertical="center" textRotation="90"/>
    </xf>
    <xf numFmtId="0" fontId="9" fillId="0" borderId="43" xfId="6" applyFont="1" applyFill="1" applyBorder="1" applyAlignment="1">
      <alignment horizontal="center" vertical="justify"/>
    </xf>
    <xf numFmtId="0" fontId="9" fillId="0" borderId="0" xfId="6" applyFont="1" applyFill="1" applyBorder="1" applyAlignment="1">
      <alignment horizontal="center" vertical="justify"/>
    </xf>
    <xf numFmtId="0" fontId="10" fillId="0" borderId="43" xfId="6" applyFont="1" applyFill="1" applyBorder="1" applyAlignment="1">
      <alignment horizontal="center"/>
    </xf>
    <xf numFmtId="0" fontId="10" fillId="0" borderId="0" xfId="6" applyFont="1" applyFill="1" applyBorder="1" applyAlignment="1">
      <alignment horizontal="center"/>
    </xf>
    <xf numFmtId="0" fontId="9" fillId="0" borderId="51" xfId="6" applyFont="1" applyFill="1" applyBorder="1" applyAlignment="1">
      <alignment horizontal="center" vertical="justify"/>
    </xf>
    <xf numFmtId="0" fontId="9" fillId="0" borderId="52" xfId="6" applyFont="1" applyFill="1" applyBorder="1" applyAlignment="1">
      <alignment horizontal="center" vertical="justify"/>
    </xf>
    <xf numFmtId="0" fontId="10" fillId="11" borderId="25" xfId="6" applyNumberFormat="1" applyFont="1" applyFill="1" applyBorder="1" applyAlignment="1"/>
    <xf numFmtId="0" fontId="10" fillId="11" borderId="27" xfId="6" applyNumberFormat="1" applyFont="1" applyFill="1" applyBorder="1" applyAlignment="1"/>
    <xf numFmtId="0" fontId="8" fillId="12" borderId="33" xfId="6" applyFill="1" applyBorder="1" applyAlignment="1"/>
    <xf numFmtId="0" fontId="8" fillId="0" borderId="38" xfId="6" applyBorder="1" applyAlignment="1">
      <alignment horizontal="center"/>
    </xf>
    <xf numFmtId="0" fontId="8" fillId="0" borderId="39" xfId="6" applyBorder="1" applyAlignment="1">
      <alignment horizontal="center"/>
    </xf>
    <xf numFmtId="0" fontId="8" fillId="0" borderId="23" xfId="6" applyBorder="1" applyAlignment="1">
      <alignment horizontal="center"/>
    </xf>
    <xf numFmtId="0" fontId="9" fillId="16" borderId="25" xfId="17" applyNumberFormat="1" applyFont="1" applyFill="1" applyBorder="1" applyAlignment="1">
      <alignment horizontal="right"/>
    </xf>
    <xf numFmtId="0" fontId="10" fillId="16" borderId="27" xfId="17" applyNumberFormat="1" applyFont="1" applyFill="1" applyBorder="1" applyAlignment="1">
      <alignment horizontal="right"/>
    </xf>
    <xf numFmtId="0" fontId="10" fillId="14" borderId="25" xfId="17" applyNumberFormat="1" applyFont="1" applyFill="1" applyBorder="1" applyAlignment="1">
      <alignment horizontal="right"/>
    </xf>
    <xf numFmtId="0" fontId="10" fillId="14" borderId="27" xfId="17" applyNumberFormat="1" applyFont="1" applyFill="1" applyBorder="1" applyAlignment="1">
      <alignment horizontal="right"/>
    </xf>
    <xf numFmtId="0" fontId="10" fillId="14" borderId="25" xfId="17" applyNumberFormat="1" applyFont="1" applyFill="1" applyBorder="1" applyAlignment="1"/>
    <xf numFmtId="0" fontId="10" fillId="14" borderId="27" xfId="17" applyNumberFormat="1" applyFont="1" applyFill="1" applyBorder="1" applyAlignment="1"/>
    <xf numFmtId="0" fontId="10" fillId="6" borderId="57" xfId="17" applyNumberFormat="1" applyFont="1" applyFill="1" applyBorder="1" applyAlignment="1">
      <alignment horizontal="right"/>
    </xf>
    <xf numFmtId="0" fontId="10" fillId="6" borderId="60" xfId="17" applyNumberFormat="1" applyFont="1" applyFill="1" applyBorder="1" applyAlignment="1">
      <alignment horizontal="right"/>
    </xf>
    <xf numFmtId="0" fontId="9" fillId="15" borderId="25" xfId="17" applyNumberFormat="1" applyFont="1" applyFill="1" applyBorder="1" applyAlignment="1">
      <alignment horizontal="right"/>
    </xf>
    <xf numFmtId="0" fontId="9" fillId="15" borderId="27" xfId="17" applyNumberFormat="1" applyFont="1" applyFill="1" applyBorder="1" applyAlignment="1">
      <alignment horizontal="right"/>
    </xf>
    <xf numFmtId="0" fontId="10" fillId="6" borderId="25" xfId="17" applyNumberFormat="1" applyFont="1" applyFill="1" applyBorder="1" applyAlignment="1"/>
    <xf numFmtId="0" fontId="10" fillId="6" borderId="27" xfId="17" applyNumberFormat="1" applyFont="1" applyFill="1" applyBorder="1" applyAlignment="1"/>
    <xf numFmtId="0" fontId="9" fillId="0" borderId="0" xfId="17" applyFont="1" applyFill="1" applyBorder="1" applyAlignment="1"/>
    <xf numFmtId="0" fontId="9" fillId="0" borderId="0" xfId="17" applyFont="1" applyFill="1" applyBorder="1" applyAlignment="1">
      <alignment horizontal="center"/>
    </xf>
    <xf numFmtId="0" fontId="10" fillId="6" borderId="32" xfId="17" applyFont="1" applyFill="1" applyBorder="1" applyAlignment="1">
      <alignment horizontal="center" vertical="center"/>
    </xf>
    <xf numFmtId="0" fontId="10" fillId="6" borderId="38" xfId="17" applyFont="1" applyFill="1" applyBorder="1" applyAlignment="1"/>
    <xf numFmtId="0" fontId="9" fillId="6" borderId="17" xfId="17" applyFont="1" applyFill="1" applyBorder="1" applyAlignment="1">
      <alignment horizontal="center" vertical="center"/>
    </xf>
    <xf numFmtId="14" fontId="10" fillId="0" borderId="3" xfId="6" quotePrefix="1" applyNumberFormat="1" applyFont="1" applyFill="1" applyBorder="1" applyAlignment="1">
      <alignment horizontal="left" wrapText="1"/>
    </xf>
    <xf numFmtId="0" fontId="8" fillId="0" borderId="0" xfId="6" applyAlignment="1"/>
    <xf numFmtId="0" fontId="9" fillId="0" borderId="32" xfId="6" applyFont="1" applyBorder="1" applyAlignment="1"/>
    <xf numFmtId="0" fontId="10" fillId="0" borderId="32" xfId="6" applyFont="1" applyFill="1" applyBorder="1" applyAlignment="1"/>
    <xf numFmtId="0" fontId="9" fillId="0" borderId="32" xfId="6" applyFont="1" applyFill="1" applyBorder="1" applyAlignment="1"/>
    <xf numFmtId="0" fontId="10" fillId="0" borderId="34" xfId="6" applyFont="1" applyFill="1" applyBorder="1" applyAlignment="1">
      <alignment horizontal="center"/>
    </xf>
    <xf numFmtId="0" fontId="10" fillId="0" borderId="35" xfId="6" applyFont="1" applyFill="1" applyBorder="1" applyAlignment="1">
      <alignment horizontal="center"/>
    </xf>
    <xf numFmtId="0" fontId="9" fillId="0" borderId="31" xfId="6" applyNumberFormat="1" applyFont="1" applyBorder="1" applyAlignment="1">
      <alignment horizontal="center"/>
    </xf>
    <xf numFmtId="0" fontId="11" fillId="8" borderId="5" xfId="6" applyFont="1" applyFill="1" applyBorder="1" applyAlignment="1">
      <alignment horizontal="right"/>
    </xf>
    <xf numFmtId="0" fontId="29" fillId="8" borderId="20" xfId="6" applyFont="1" applyFill="1" applyBorder="1" applyAlignment="1">
      <alignment horizontal="right"/>
    </xf>
    <xf numFmtId="0" fontId="29" fillId="8" borderId="6" xfId="6" applyFont="1" applyFill="1" applyBorder="1" applyAlignment="1">
      <alignment horizontal="right"/>
    </xf>
    <xf numFmtId="0" fontId="8" fillId="6" borderId="30" xfId="6" applyFill="1" applyBorder="1"/>
    <xf numFmtId="0" fontId="8" fillId="6" borderId="12" xfId="6" applyFill="1" applyBorder="1"/>
    <xf numFmtId="0" fontId="10" fillId="0" borderId="0" xfId="6" applyFont="1" applyFill="1" applyBorder="1" applyAlignment="1"/>
    <xf numFmtId="0" fontId="39" fillId="0" borderId="3" xfId="10" applyFill="1" applyBorder="1" applyAlignment="1" applyProtection="1">
      <alignment horizontal="left" wrapText="1"/>
    </xf>
    <xf numFmtId="0" fontId="39" fillId="0" borderId="3" xfId="10" applyFill="1" applyBorder="1" applyAlignment="1" applyProtection="1"/>
    <xf numFmtId="0" fontId="15" fillId="0" borderId="38" xfId="6" applyFont="1" applyBorder="1" applyAlignment="1">
      <alignment horizontal="center"/>
    </xf>
    <xf numFmtId="0" fontId="15" fillId="0" borderId="39" xfId="6" applyFont="1" applyBorder="1" applyAlignment="1">
      <alignment horizontal="center"/>
    </xf>
    <xf numFmtId="0" fontId="15" fillId="0" borderId="23" xfId="6" applyFont="1" applyBorder="1" applyAlignment="1">
      <alignment horizontal="center"/>
    </xf>
    <xf numFmtId="0" fontId="36" fillId="11" borderId="25" xfId="6" applyNumberFormat="1" applyFont="1" applyFill="1" applyBorder="1" applyAlignment="1"/>
    <xf numFmtId="0" fontId="36" fillId="11" borderId="27" xfId="6" applyNumberFormat="1" applyFont="1" applyFill="1" applyBorder="1" applyAlignment="1"/>
    <xf numFmtId="0" fontId="10" fillId="12" borderId="34" xfId="6" applyFont="1" applyFill="1" applyBorder="1" applyAlignment="1"/>
    <xf numFmtId="0" fontId="8" fillId="12" borderId="46" xfId="6" applyFill="1" applyBorder="1" applyAlignment="1">
      <alignment vertical="center"/>
    </xf>
    <xf numFmtId="0" fontId="8" fillId="12" borderId="18" xfId="6" applyFill="1" applyBorder="1" applyAlignment="1">
      <alignment vertical="center"/>
    </xf>
    <xf numFmtId="0" fontId="8" fillId="12" borderId="19" xfId="6" applyFill="1" applyBorder="1" applyAlignment="1">
      <alignment vertical="center"/>
    </xf>
    <xf numFmtId="0" fontId="9" fillId="6" borderId="9" xfId="6" applyFont="1" applyFill="1" applyBorder="1" applyAlignment="1"/>
    <xf numFmtId="0" fontId="11" fillId="9" borderId="15" xfId="6" applyFont="1" applyFill="1" applyBorder="1" applyAlignment="1">
      <alignment horizontal="center" vertical="center" textRotation="90"/>
    </xf>
    <xf numFmtId="0" fontId="11" fillId="0" borderId="15" xfId="6" applyFont="1" applyBorder="1" applyAlignment="1">
      <alignment horizontal="center" vertical="center" textRotation="90"/>
    </xf>
    <xf numFmtId="0" fontId="8" fillId="0" borderId="37" xfId="6" applyBorder="1" applyAlignment="1">
      <alignment horizontal="center" vertical="center" textRotation="90"/>
    </xf>
    <xf numFmtId="0" fontId="14" fillId="5" borderId="61" xfId="6" applyFont="1" applyFill="1" applyBorder="1" applyAlignment="1">
      <alignment horizontal="right"/>
    </xf>
    <xf numFmtId="0" fontId="8" fillId="0" borderId="8" xfId="6" applyBorder="1" applyAlignment="1"/>
    <xf numFmtId="0" fontId="11" fillId="8" borderId="15" xfId="6" applyFont="1" applyFill="1" applyBorder="1" applyAlignment="1">
      <alignment horizontal="right"/>
    </xf>
    <xf numFmtId="0" fontId="11" fillId="8" borderId="3" xfId="6" applyFont="1" applyFill="1" applyBorder="1" applyAlignment="1">
      <alignment horizontal="right"/>
    </xf>
    <xf numFmtId="0" fontId="15" fillId="0" borderId="34" xfId="6" applyFont="1" applyFill="1" applyBorder="1" applyAlignment="1">
      <alignment horizontal="center"/>
    </xf>
    <xf numFmtId="0" fontId="15" fillId="0" borderId="35" xfId="6" applyFont="1" applyFill="1" applyBorder="1" applyAlignment="1">
      <alignment horizontal="center"/>
    </xf>
    <xf numFmtId="0" fontId="20" fillId="0" borderId="32" xfId="6" applyFont="1" applyFill="1" applyBorder="1" applyAlignment="1"/>
    <xf numFmtId="0" fontId="9" fillId="0" borderId="29" xfId="6" applyNumberFormat="1" applyFont="1" applyBorder="1" applyAlignment="1">
      <alignment horizontal="center"/>
    </xf>
    <xf numFmtId="0" fontId="9" fillId="0" borderId="13" xfId="6" applyNumberFormat="1" applyFont="1" applyBorder="1" applyAlignment="1">
      <alignment horizontal="center"/>
    </xf>
    <xf numFmtId="0" fontId="12" fillId="7" borderId="15" xfId="6" applyFont="1" applyFill="1" applyBorder="1" applyAlignment="1">
      <alignment horizontal="center" vertical="center" textRotation="90"/>
    </xf>
    <xf numFmtId="0" fontId="9" fillId="0" borderId="41" xfId="6" applyFont="1" applyFill="1" applyBorder="1" applyAlignment="1">
      <alignment horizontal="center"/>
    </xf>
    <xf numFmtId="0" fontId="9" fillId="0" borderId="42" xfId="6" applyFont="1" applyFill="1" applyBorder="1" applyAlignment="1">
      <alignment horizontal="center"/>
    </xf>
    <xf numFmtId="1" fontId="10" fillId="25" borderId="25" xfId="6" applyNumberFormat="1" applyFont="1" applyFill="1" applyBorder="1" applyAlignment="1"/>
    <xf numFmtId="1" fontId="10" fillId="25" borderId="27" xfId="6" applyNumberFormat="1" applyFont="1" applyFill="1" applyBorder="1" applyAlignment="1"/>
    <xf numFmtId="1" fontId="8" fillId="10" borderId="25" xfId="6" applyNumberFormat="1" applyFill="1" applyBorder="1" applyAlignment="1"/>
    <xf numFmtId="1" fontId="8" fillId="10" borderId="27" xfId="6" applyNumberFormat="1" applyFill="1" applyBorder="1" applyAlignment="1"/>
    <xf numFmtId="1" fontId="9" fillId="10" borderId="25" xfId="6" applyNumberFormat="1" applyFont="1" applyFill="1" applyBorder="1" applyAlignment="1"/>
    <xf numFmtId="1" fontId="9" fillId="10" borderId="25" xfId="6" applyNumberFormat="1" applyFont="1" applyFill="1" applyBorder="1"/>
    <xf numFmtId="1" fontId="9" fillId="10" borderId="27" xfId="6" applyNumberFormat="1" applyFont="1" applyFill="1" applyBorder="1"/>
    <xf numFmtId="1" fontId="9" fillId="10" borderId="28" xfId="6" applyNumberFormat="1" applyFont="1" applyFill="1" applyBorder="1" applyAlignment="1"/>
    <xf numFmtId="1" fontId="8" fillId="10" borderId="2" xfId="6" applyNumberFormat="1" applyFill="1" applyBorder="1" applyAlignment="1"/>
    <xf numFmtId="0" fontId="10" fillId="12" borderId="3" xfId="6" applyFont="1" applyFill="1" applyBorder="1" applyAlignment="1"/>
    <xf numFmtId="0" fontId="9" fillId="0" borderId="34" xfId="6" applyFont="1" applyFill="1" applyBorder="1" applyAlignment="1">
      <alignment horizontal="right"/>
    </xf>
    <xf numFmtId="0" fontId="9" fillId="0" borderId="65" xfId="6" applyFont="1" applyFill="1" applyBorder="1" applyAlignment="1">
      <alignment horizontal="right"/>
    </xf>
    <xf numFmtId="0" fontId="8" fillId="6" borderId="3" xfId="6" applyFill="1" applyBorder="1" applyAlignment="1">
      <alignment horizontal="left"/>
    </xf>
    <xf numFmtId="0" fontId="8" fillId="12" borderId="64" xfId="6" applyFill="1" applyBorder="1" applyAlignment="1"/>
    <xf numFmtId="0" fontId="8" fillId="12" borderId="7" xfId="6" applyFill="1" applyBorder="1" applyAlignment="1"/>
    <xf numFmtId="0" fontId="8" fillId="12" borderId="8" xfId="6" applyFill="1" applyBorder="1" applyAlignment="1"/>
    <xf numFmtId="0" fontId="9" fillId="12" borderId="43" xfId="6" applyFont="1" applyFill="1" applyBorder="1" applyAlignment="1">
      <alignment horizontal="center" vertical="center"/>
    </xf>
    <xf numFmtId="0" fontId="17" fillId="6" borderId="64" xfId="6" applyFont="1" applyFill="1" applyBorder="1" applyAlignment="1">
      <alignment horizontal="left"/>
    </xf>
    <xf numFmtId="0" fontId="17" fillId="6" borderId="7" xfId="6" applyFont="1" applyFill="1" applyBorder="1" applyAlignment="1">
      <alignment horizontal="left"/>
    </xf>
    <xf numFmtId="0" fontId="17" fillId="6" borderId="8" xfId="6" applyFont="1" applyFill="1" applyBorder="1" applyAlignment="1">
      <alignment horizontal="left"/>
    </xf>
    <xf numFmtId="0" fontId="9" fillId="6" borderId="64" xfId="6" applyFont="1" applyFill="1" applyBorder="1"/>
    <xf numFmtId="0" fontId="9" fillId="6" borderId="8" xfId="6" applyFont="1" applyFill="1" applyBorder="1"/>
    <xf numFmtId="0" fontId="36" fillId="14" borderId="25" xfId="6" applyNumberFormat="1" applyFont="1" applyFill="1" applyBorder="1" applyAlignment="1"/>
    <xf numFmtId="0" fontId="36" fillId="14" borderId="27" xfId="6" applyNumberFormat="1" applyFont="1" applyFill="1" applyBorder="1" applyAlignment="1"/>
    <xf numFmtId="0" fontId="10" fillId="12" borderId="38" xfId="6" applyFont="1" applyFill="1" applyBorder="1" applyAlignment="1"/>
    <xf numFmtId="0" fontId="10" fillId="12" borderId="39" xfId="6" applyFont="1" applyFill="1" applyBorder="1" applyAlignment="1"/>
    <xf numFmtId="0" fontId="10" fillId="12" borderId="23" xfId="6" applyFont="1" applyFill="1" applyBorder="1" applyAlignment="1"/>
    <xf numFmtId="0" fontId="9" fillId="20" borderId="25" xfId="6" applyFont="1" applyFill="1" applyBorder="1" applyAlignment="1">
      <alignment horizontal="left"/>
    </xf>
    <xf numFmtId="0" fontId="8" fillId="20" borderId="26" xfId="6" applyFill="1" applyBorder="1" applyAlignment="1"/>
    <xf numFmtId="0" fontId="8" fillId="12" borderId="32" xfId="6" applyFill="1" applyBorder="1" applyAlignment="1"/>
    <xf numFmtId="0" fontId="9" fillId="0" borderId="26" xfId="6" applyFont="1" applyFill="1" applyBorder="1" applyAlignment="1">
      <alignment horizontal="right"/>
    </xf>
    <xf numFmtId="0" fontId="9" fillId="0" borderId="27" xfId="6" applyFont="1" applyFill="1" applyBorder="1" applyAlignment="1">
      <alignment horizontal="right"/>
    </xf>
    <xf numFmtId="0" fontId="20" fillId="0" borderId="32" xfId="6" applyFont="1" applyBorder="1" applyAlignment="1"/>
    <xf numFmtId="0" fontId="8" fillId="0" borderId="5" xfId="6" applyBorder="1"/>
    <xf numFmtId="0" fontId="8" fillId="0" borderId="6" xfId="6" applyBorder="1"/>
    <xf numFmtId="0" fontId="10" fillId="0" borderId="4" xfId="6" applyFont="1" applyFill="1" applyBorder="1" applyAlignment="1"/>
    <xf numFmtId="0" fontId="10" fillId="0" borderId="5" xfId="6" applyFont="1" applyFill="1" applyBorder="1" applyAlignment="1"/>
    <xf numFmtId="0" fontId="10" fillId="0" borderId="6" xfId="6" applyFont="1" applyFill="1" applyBorder="1" applyAlignment="1"/>
    <xf numFmtId="0" fontId="9" fillId="16" borderId="26" xfId="6" applyFont="1" applyFill="1" applyBorder="1" applyAlignment="1">
      <alignment horizontal="left"/>
    </xf>
    <xf numFmtId="0" fontId="9" fillId="16" borderId="27" xfId="6" applyFont="1" applyFill="1" applyBorder="1" applyAlignment="1">
      <alignment horizontal="left"/>
    </xf>
    <xf numFmtId="1" fontId="9" fillId="16" borderId="27" xfId="6" applyNumberFormat="1" applyFont="1" applyFill="1" applyBorder="1" applyAlignment="1">
      <alignment horizontal="right"/>
    </xf>
    <xf numFmtId="0" fontId="9" fillId="6" borderId="25" xfId="6" applyFont="1" applyFill="1" applyBorder="1" applyAlignment="1">
      <alignment horizontal="left"/>
    </xf>
    <xf numFmtId="0" fontId="9" fillId="6" borderId="26" xfId="6" applyFont="1" applyFill="1" applyBorder="1" applyAlignment="1">
      <alignment horizontal="left"/>
    </xf>
    <xf numFmtId="0" fontId="9" fillId="6" borderId="27" xfId="6" applyFont="1" applyFill="1" applyBorder="1" applyAlignment="1">
      <alignment horizontal="left"/>
    </xf>
    <xf numFmtId="1" fontId="10" fillId="6" borderId="25" xfId="6" applyNumberFormat="1" applyFont="1" applyFill="1" applyBorder="1" applyAlignment="1">
      <alignment horizontal="right"/>
    </xf>
    <xf numFmtId="1" fontId="10" fillId="6" borderId="27" xfId="6" applyNumberFormat="1" applyFont="1" applyFill="1" applyBorder="1" applyAlignment="1">
      <alignment horizontal="right"/>
    </xf>
    <xf numFmtId="0" fontId="9" fillId="15" borderId="26" xfId="6" applyFont="1" applyFill="1" applyBorder="1" applyAlignment="1">
      <alignment horizontal="left"/>
    </xf>
    <xf numFmtId="0" fontId="9" fillId="15" borderId="27" xfId="6" applyFont="1" applyFill="1" applyBorder="1" applyAlignment="1">
      <alignment horizontal="left"/>
    </xf>
    <xf numFmtId="0" fontId="9" fillId="10" borderId="52" xfId="6" applyFont="1" applyFill="1" applyBorder="1" applyAlignment="1"/>
    <xf numFmtId="0" fontId="9" fillId="10" borderId="70" xfId="6" applyFont="1" applyFill="1" applyBorder="1" applyAlignment="1"/>
    <xf numFmtId="0" fontId="9" fillId="10" borderId="26" xfId="6" applyFont="1" applyFill="1" applyBorder="1" applyAlignment="1">
      <alignment horizontal="left"/>
    </xf>
    <xf numFmtId="0" fontId="9" fillId="10" borderId="27" xfId="6" applyFont="1" applyFill="1" applyBorder="1" applyAlignment="1">
      <alignment horizontal="left"/>
    </xf>
    <xf numFmtId="165" fontId="9" fillId="13" borderId="4" xfId="6" applyNumberFormat="1" applyFont="1" applyFill="1" applyBorder="1" applyAlignment="1" applyProtection="1">
      <alignment horizontal="left" vertical="center"/>
      <protection hidden="1"/>
    </xf>
    <xf numFmtId="165" fontId="9" fillId="13" borderId="6" xfId="6" applyNumberFormat="1" applyFont="1" applyFill="1" applyBorder="1" applyAlignment="1" applyProtection="1">
      <alignment horizontal="left" vertical="center"/>
      <protection hidden="1"/>
    </xf>
    <xf numFmtId="0" fontId="8" fillId="12" borderId="19" xfId="6" applyFill="1" applyBorder="1" applyAlignment="1">
      <alignment horizontal="center" vertical="center"/>
    </xf>
    <xf numFmtId="0" fontId="8" fillId="12" borderId="12" xfId="6" applyFill="1" applyBorder="1" applyAlignment="1"/>
    <xf numFmtId="0" fontId="9" fillId="10" borderId="27" xfId="6" applyFont="1" applyFill="1" applyBorder="1" applyAlignment="1"/>
    <xf numFmtId="0" fontId="8" fillId="6" borderId="55" xfId="6" applyFill="1" applyBorder="1" applyAlignment="1"/>
    <xf numFmtId="0" fontId="17" fillId="6" borderId="30" xfId="6" applyFont="1" applyFill="1" applyBorder="1" applyAlignment="1">
      <alignment horizontal="left"/>
    </xf>
    <xf numFmtId="0" fontId="17" fillId="6" borderId="31" xfId="6" applyFont="1" applyFill="1" applyBorder="1" applyAlignment="1">
      <alignment horizontal="left"/>
    </xf>
    <xf numFmtId="0" fontId="17" fillId="6" borderId="12" xfId="6" applyFont="1" applyFill="1" applyBorder="1" applyAlignment="1">
      <alignment horizontal="left"/>
    </xf>
    <xf numFmtId="0" fontId="9" fillId="6" borderId="30" xfId="6" applyFont="1" applyFill="1" applyBorder="1" applyAlignment="1"/>
    <xf numFmtId="0" fontId="9" fillId="6" borderId="12" xfId="6" applyFont="1" applyFill="1" applyBorder="1" applyAlignment="1"/>
    <xf numFmtId="0" fontId="9" fillId="0" borderId="25" xfId="6" applyFont="1" applyFill="1" applyBorder="1" applyAlignment="1">
      <alignment horizontal="center"/>
    </xf>
    <xf numFmtId="0" fontId="9" fillId="0" borderId="26" xfId="6" applyFont="1" applyFill="1" applyBorder="1" applyAlignment="1">
      <alignment horizontal="center"/>
    </xf>
    <xf numFmtId="0" fontId="9" fillId="0" borderId="27" xfId="6" applyFont="1" applyFill="1" applyBorder="1" applyAlignment="1">
      <alignment horizontal="center"/>
    </xf>
    <xf numFmtId="0" fontId="14" fillId="5" borderId="6" xfId="6" applyFont="1" applyFill="1" applyBorder="1" applyAlignment="1">
      <alignment horizontal="right"/>
    </xf>
    <xf numFmtId="0" fontId="14" fillId="9" borderId="23" xfId="6" applyFont="1" applyFill="1" applyBorder="1" applyAlignment="1">
      <alignment horizontal="right"/>
    </xf>
    <xf numFmtId="0" fontId="9" fillId="6" borderId="46" xfId="6" applyFont="1" applyFill="1" applyBorder="1" applyAlignment="1">
      <alignment horizontal="center" vertical="center"/>
    </xf>
    <xf numFmtId="0" fontId="9" fillId="6" borderId="18" xfId="6" applyFont="1" applyFill="1" applyBorder="1" applyAlignment="1">
      <alignment horizontal="center" vertical="center"/>
    </xf>
    <xf numFmtId="0" fontId="9" fillId="6" borderId="57" xfId="6" applyFont="1" applyFill="1" applyBorder="1" applyAlignment="1">
      <alignment horizontal="center" vertical="center"/>
    </xf>
    <xf numFmtId="0" fontId="10" fillId="6" borderId="69" xfId="6" applyFont="1" applyFill="1" applyBorder="1" applyAlignment="1">
      <alignment horizontal="center" vertical="center"/>
    </xf>
    <xf numFmtId="0" fontId="10" fillId="6" borderId="48" xfId="6" applyFont="1" applyFill="1" applyBorder="1" applyAlignment="1">
      <alignment horizontal="center" vertical="center"/>
    </xf>
    <xf numFmtId="0" fontId="10" fillId="6" borderId="58" xfId="6" applyFont="1" applyFill="1" applyBorder="1" applyAlignment="1">
      <alignment horizontal="center" vertical="center"/>
    </xf>
    <xf numFmtId="0" fontId="8" fillId="6" borderId="68" xfId="6" applyFill="1" applyBorder="1" applyAlignment="1"/>
    <xf numFmtId="0" fontId="9" fillId="0" borderId="4" xfId="6" applyFont="1" applyFill="1" applyBorder="1" applyAlignment="1">
      <alignment horizontal="left" wrapText="1"/>
    </xf>
    <xf numFmtId="0" fontId="9" fillId="0" borderId="5" xfId="6" applyFont="1" applyFill="1" applyBorder="1" applyAlignment="1">
      <alignment horizontal="left" wrapText="1"/>
    </xf>
    <xf numFmtId="0" fontId="9" fillId="0" borderId="6" xfId="6" applyFont="1" applyFill="1" applyBorder="1" applyAlignment="1">
      <alignment horizontal="left" wrapText="1"/>
    </xf>
    <xf numFmtId="0" fontId="9" fillId="0" borderId="4" xfId="6" applyFont="1" applyFill="1" applyBorder="1" applyAlignment="1"/>
    <xf numFmtId="0" fontId="9" fillId="0" borderId="5" xfId="6" applyFont="1" applyFill="1" applyBorder="1" applyAlignment="1"/>
    <xf numFmtId="0" fontId="9" fillId="0" borderId="6" xfId="6" applyFont="1" applyFill="1" applyBorder="1" applyAlignment="1"/>
    <xf numFmtId="0" fontId="8" fillId="0" borderId="38" xfId="6" applyBorder="1" applyAlignment="1"/>
    <xf numFmtId="0" fontId="8" fillId="0" borderId="39" xfId="6" applyBorder="1" applyAlignment="1"/>
    <xf numFmtId="0" fontId="8" fillId="0" borderId="23" xfId="6" applyBorder="1" applyAlignment="1"/>
    <xf numFmtId="14" fontId="10" fillId="0" borderId="4" xfId="6" applyNumberFormat="1" applyFont="1" applyFill="1" applyBorder="1" applyAlignment="1">
      <alignment horizontal="left" wrapText="1"/>
    </xf>
    <xf numFmtId="14" fontId="10" fillId="0" borderId="5" xfId="6" applyNumberFormat="1" applyFont="1" applyFill="1" applyBorder="1" applyAlignment="1">
      <alignment horizontal="left" wrapText="1"/>
    </xf>
    <xf numFmtId="14" fontId="10" fillId="0" borderId="6" xfId="6" applyNumberFormat="1" applyFont="1" applyFill="1" applyBorder="1" applyAlignment="1">
      <alignment horizontal="left" wrapText="1"/>
    </xf>
    <xf numFmtId="1" fontId="10" fillId="17" borderId="25" xfId="6" applyNumberFormat="1" applyFont="1" applyFill="1" applyBorder="1" applyAlignment="1"/>
    <xf numFmtId="1" fontId="10" fillId="17" borderId="27" xfId="6" applyNumberFormat="1" applyFont="1" applyFill="1" applyBorder="1" applyAlignment="1"/>
    <xf numFmtId="166" fontId="10" fillId="0" borderId="3" xfId="6" quotePrefix="1" applyNumberFormat="1" applyFont="1" applyFill="1" applyBorder="1" applyAlignment="1">
      <alignment horizontal="left" wrapText="1"/>
    </xf>
    <xf numFmtId="0" fontId="7" fillId="0" borderId="25" xfId="6" applyFont="1" applyBorder="1" applyAlignment="1"/>
    <xf numFmtId="0" fontId="7" fillId="0" borderId="26" xfId="6" applyFont="1" applyBorder="1" applyAlignment="1"/>
    <xf numFmtId="0" fontId="7" fillId="0" borderId="27" xfId="6" applyFont="1" applyBorder="1" applyAlignment="1"/>
    <xf numFmtId="167" fontId="0" fillId="0" borderId="0" xfId="0" applyNumberFormat="1" applyFill="1" applyBorder="1"/>
  </cellXfs>
  <cellStyles count="26">
    <cellStyle name="Bad" xfId="3" builtinId="27"/>
    <cellStyle name="Bad 2" xfId="25"/>
    <cellStyle name="Comma" xfId="1" builtinId="3"/>
    <cellStyle name="Good" xfId="2" builtinId="26"/>
    <cellStyle name="Hyperlink" xfId="7" builtinId="8"/>
    <cellStyle name="Hyperlink 2" xfId="10"/>
    <cellStyle name="Hyperlink_IT  2018-2019 NP(Canara)" xfId="21"/>
    <cellStyle name="Hyperlink_IT  2018-2019 TV(NP)" xfId="24"/>
    <cellStyle name="Hyperlink_IT 2013-2014 TV(NP)" xfId="23"/>
    <cellStyle name="Neutral" xfId="4" builtinId="28"/>
    <cellStyle name="Normal" xfId="0" builtinId="0"/>
    <cellStyle name="Normal 10" xfId="17"/>
    <cellStyle name="Normal 11" xfId="16"/>
    <cellStyle name="Normal 12" xfId="15"/>
    <cellStyle name="Normal 14" xfId="22"/>
    <cellStyle name="Normal 16" xfId="14"/>
    <cellStyle name="Normal 17" xfId="9"/>
    <cellStyle name="Normal 2" xfId="6"/>
    <cellStyle name="Normal 2 2" xfId="20"/>
    <cellStyle name="Normal 20" xfId="13"/>
    <cellStyle name="Normal 21" xfId="12"/>
    <cellStyle name="Normal 22" xfId="11"/>
    <cellStyle name="Normal 25" xfId="8"/>
    <cellStyle name="Normal 5" xfId="19"/>
    <cellStyle name="Normal 8" xfId="18"/>
    <cellStyle name="Normal_Xl0000038" xfId="5"/>
  </cellStyles>
  <dxfs count="2189">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patternType="none">
          <fgColor indexed="64"/>
          <bgColor indexed="65"/>
        </patternFill>
      </fill>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sharedStrings" Target="sharedStrings.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calcChain" Target="calcChain.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worksheet" Target="worksheets/sheet150.xml"/><Relationship Id="rId155" Type="http://schemas.openxmlformats.org/officeDocument/2006/relationships/externalLink" Target="externalLinks/externalLink1.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worksheet" Target="worksheets/sheet151.xml"/><Relationship Id="rId156" Type="http://schemas.openxmlformats.org/officeDocument/2006/relationships/externalLink" Target="externalLinks/externalLink2.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theme" Target="theme/theme1.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Normat%20Template%2013-14%20onward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E:\Data0\TDS\FY%202018-19\All%20India%20Radio\Q4\24Q%20Working%20P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 24Q Challan"/>
      <sheetName val="Form 24Q Deductee"/>
      <sheetName val="Form 24Q Salary Details"/>
      <sheetName val="Form 26Q Challan"/>
      <sheetName val="Form 26Q Deductee"/>
      <sheetName val="Form 27Q Challan"/>
      <sheetName val="Form 27Q Deductee"/>
      <sheetName val="Form 27EQ Challan"/>
      <sheetName val="Form 27EQ Deductee"/>
      <sheetName val="General Information"/>
    </sheetNames>
    <sheetDataSet>
      <sheetData sheetId="0"/>
      <sheetData sheetId="1"/>
      <sheetData sheetId="2"/>
      <sheetData sheetId="3"/>
      <sheetData sheetId="4"/>
      <sheetData sheetId="5"/>
      <sheetData sheetId="6"/>
      <sheetData sheetId="7"/>
      <sheetData sheetId="8"/>
      <sheetData sheetId="9">
        <row r="1">
          <cell r="M1" t="str">
            <v>Agriculture</v>
          </cell>
          <cell r="O1" t="str">
            <v>92A</v>
          </cell>
          <cell r="P1" t="str">
            <v>192A</v>
          </cell>
          <cell r="Q1" t="str">
            <v>192A</v>
          </cell>
          <cell r="R1" t="str">
            <v>A</v>
          </cell>
        </row>
        <row r="2">
          <cell r="M2" t="str">
            <v>Atomic Energy</v>
          </cell>
          <cell r="O2" t="str">
            <v>92B</v>
          </cell>
          <cell r="P2">
            <v>193</v>
          </cell>
          <cell r="Q2" t="str">
            <v>194E</v>
          </cell>
          <cell r="R2" t="str">
            <v>B</v>
          </cell>
        </row>
        <row r="3">
          <cell r="M3" t="str">
            <v>Fertilizers</v>
          </cell>
          <cell r="O3" t="str">
            <v>92C</v>
          </cell>
          <cell r="P3">
            <v>194</v>
          </cell>
          <cell r="Q3" t="str">
            <v>194LB</v>
          </cell>
          <cell r="R3" t="str">
            <v>C</v>
          </cell>
        </row>
        <row r="4">
          <cell r="M4" t="str">
            <v>Chemicals and Petrochemicals</v>
          </cell>
          <cell r="P4" t="str">
            <v>194A</v>
          </cell>
          <cell r="Q4" t="str">
            <v>194LBA</v>
          </cell>
          <cell r="R4" t="str">
            <v>D</v>
          </cell>
        </row>
        <row r="5">
          <cell r="M5" t="str">
            <v>Civil Aviation and Tourism</v>
          </cell>
          <cell r="P5" t="str">
            <v>194B</v>
          </cell>
          <cell r="Q5" t="str">
            <v>194LBB</v>
          </cell>
          <cell r="R5" t="str">
            <v>E</v>
          </cell>
        </row>
        <row r="6">
          <cell r="M6" t="str">
            <v>Coal</v>
          </cell>
          <cell r="P6" t="str">
            <v>194BB</v>
          </cell>
          <cell r="Q6" t="str">
            <v>194LBC</v>
          </cell>
          <cell r="R6" t="str">
            <v>F</v>
          </cell>
        </row>
        <row r="7">
          <cell r="M7" t="str">
            <v>Consumer Affairs, Food and Public Distribution</v>
          </cell>
          <cell r="P7" t="str">
            <v>194LBB</v>
          </cell>
          <cell r="Q7" t="str">
            <v>194LC</v>
          </cell>
          <cell r="R7" t="str">
            <v>G</v>
          </cell>
        </row>
        <row r="8">
          <cell r="M8" t="str">
            <v>Commerce and Textiles</v>
          </cell>
          <cell r="P8" t="str">
            <v>194C</v>
          </cell>
          <cell r="Q8">
            <v>195</v>
          </cell>
          <cell r="R8" t="str">
            <v>H</v>
          </cell>
        </row>
        <row r="9">
          <cell r="M9" t="str">
            <v>Environment and Forests and Ministry of Earth Science</v>
          </cell>
          <cell r="P9" t="str">
            <v>194D</v>
          </cell>
          <cell r="Q9" t="str">
            <v>194LD</v>
          </cell>
          <cell r="R9" t="str">
            <v>I</v>
          </cell>
        </row>
        <row r="10">
          <cell r="M10" t="str">
            <v>External Affairs and Overseas Indian Affairs</v>
          </cell>
          <cell r="P10" t="str">
            <v>194EE</v>
          </cell>
          <cell r="Q10" t="str">
            <v>196A</v>
          </cell>
          <cell r="R10" t="str">
            <v>J</v>
          </cell>
        </row>
        <row r="11">
          <cell r="M11" t="str">
            <v>Finance</v>
          </cell>
          <cell r="P11" t="str">
            <v>194F</v>
          </cell>
          <cell r="Q11" t="str">
            <v>196B</v>
          </cell>
          <cell r="R11" t="str">
            <v>K</v>
          </cell>
        </row>
        <row r="12">
          <cell r="M12" t="str">
            <v>Central Board of Direct Taxes</v>
          </cell>
          <cell r="P12" t="str">
            <v>194G</v>
          </cell>
          <cell r="Q12" t="str">
            <v>196C</v>
          </cell>
          <cell r="R12" t="str">
            <v>L</v>
          </cell>
        </row>
        <row r="13">
          <cell r="M13" t="str">
            <v>Central Board of Excise and Customs</v>
          </cell>
          <cell r="P13" t="str">
            <v>194H</v>
          </cell>
          <cell r="Q13" t="str">
            <v>196D</v>
          </cell>
          <cell r="R13" t="str">
            <v>M</v>
          </cell>
        </row>
        <row r="14">
          <cell r="M14" t="str">
            <v>Contoller of Aid Accounts and Audit</v>
          </cell>
          <cell r="P14" t="str">
            <v>194IA</v>
          </cell>
          <cell r="R14" t="str">
            <v>N</v>
          </cell>
        </row>
        <row r="15">
          <cell r="M15" t="str">
            <v>Central Pension Accounting Office</v>
          </cell>
          <cell r="P15" t="str">
            <v xml:space="preserve"> 194IB</v>
          </cell>
        </row>
        <row r="16">
          <cell r="M16" t="str">
            <v>Food Processing Industries</v>
          </cell>
          <cell r="P16" t="str">
            <v>194J</v>
          </cell>
        </row>
        <row r="17">
          <cell r="M17" t="str">
            <v>Health and Family Welfare</v>
          </cell>
          <cell r="P17" t="str">
            <v>194LA</v>
          </cell>
        </row>
        <row r="18">
          <cell r="M18" t="str">
            <v>Home Affairs and Development of North Eastern Region</v>
          </cell>
          <cell r="P18" t="str">
            <v>194LBA</v>
          </cell>
        </row>
        <row r="19">
          <cell r="M19" t="str">
            <v>Human Resource Development</v>
          </cell>
          <cell r="P19" t="str">
            <v>194DA</v>
          </cell>
        </row>
        <row r="20">
          <cell r="M20" t="str">
            <v>Industry</v>
          </cell>
          <cell r="N20" t="str">
            <v>COMMISSION-11</v>
          </cell>
        </row>
        <row r="21">
          <cell r="M21" t="str">
            <v>Information and Broadcasting</v>
          </cell>
          <cell r="N21" t="str">
            <v>DIVIDEND-16</v>
          </cell>
        </row>
        <row r="22">
          <cell r="M22" t="str">
            <v>Telecommunication and Information Technology</v>
          </cell>
          <cell r="N22" t="str">
            <v>FEES FOR TECHNICAL SERVICES/ FEES FOR INCLUDED SERVICES-21</v>
          </cell>
        </row>
        <row r="23">
          <cell r="M23" t="str">
            <v>Labour</v>
          </cell>
          <cell r="N23" t="str">
            <v>INTEREST PAYMENT-27</v>
          </cell>
        </row>
        <row r="24">
          <cell r="M24" t="str">
            <v>Law and Justice and Company Affairs</v>
          </cell>
          <cell r="N24" t="str">
            <v>INVESTMENT INCOME-28</v>
          </cell>
        </row>
        <row r="25">
          <cell r="M25" t="str">
            <v>Personnel, Public Grievances and Pesions</v>
          </cell>
          <cell r="N25" t="str">
            <v>LONG TERM CAPITAL GAINS-31</v>
          </cell>
        </row>
        <row r="26">
          <cell r="M26" t="str">
            <v>Petroleum and Natural Gas</v>
          </cell>
          <cell r="N26" t="str">
            <v>PAYMENTS TO SPORTS PERSON &amp; ARTISTS-37</v>
          </cell>
        </row>
        <row r="27">
          <cell r="M27" t="str">
            <v>Plannning, Statistics and Programme Implementation</v>
          </cell>
          <cell r="N27" t="str">
            <v>ROYALTY-49</v>
          </cell>
        </row>
        <row r="28">
          <cell r="M28" t="str">
            <v>Power</v>
          </cell>
          <cell r="N28" t="str">
            <v>SHORT TERM CAPITAL GAINS-52</v>
          </cell>
        </row>
        <row r="29">
          <cell r="M29" t="str">
            <v>New and Renewable Energy</v>
          </cell>
          <cell r="N29" t="str">
            <v>WINNING FROM HORSE RACES-63</v>
          </cell>
        </row>
        <row r="30">
          <cell r="M30" t="str">
            <v>Rural Development and Panchayati Raj</v>
          </cell>
          <cell r="N30" t="str">
            <v>WINNING FROM LOTTERIES, CROSSWORD PUZZLES, CARD GAMES AND OTHER GAMES OF ANY SORT-64</v>
          </cell>
        </row>
        <row r="31">
          <cell r="M31" t="str">
            <v>Science And Technology</v>
          </cell>
          <cell r="N31" t="str">
            <v>OTHER INCOME / OTHER (NOT IN THE NATURE OF INCOME)-99</v>
          </cell>
        </row>
        <row r="32">
          <cell r="M32" t="str">
            <v>Space</v>
          </cell>
        </row>
        <row r="33">
          <cell r="M33" t="str">
            <v>Steel</v>
          </cell>
        </row>
        <row r="34">
          <cell r="M34" t="str">
            <v>Mines</v>
          </cell>
        </row>
        <row r="35">
          <cell r="M35" t="str">
            <v>Social Justice and Empowerment</v>
          </cell>
        </row>
        <row r="36">
          <cell r="M36" t="str">
            <v>Tribal Affairs</v>
          </cell>
        </row>
        <row r="37">
          <cell r="M37" t="str">
            <v>D/o Commerce (Supply Division)</v>
          </cell>
        </row>
        <row r="38">
          <cell r="M38" t="str">
            <v>Shipping and Road Transport and Highways</v>
          </cell>
        </row>
        <row r="39">
          <cell r="L39" t="str">
            <v>AFGHANISTAN-01</v>
          </cell>
          <cell r="M39" t="str">
            <v>Urban Development, Urban Employment and Poverty Alleviation</v>
          </cell>
        </row>
        <row r="40">
          <cell r="L40" t="str">
            <v>AKROTIRI-02</v>
          </cell>
          <cell r="M40" t="str">
            <v>Water Resources</v>
          </cell>
        </row>
        <row r="41">
          <cell r="L41" t="str">
            <v>ALBANIA-03</v>
          </cell>
          <cell r="M41" t="str">
            <v>President's Secretariat</v>
          </cell>
        </row>
        <row r="42">
          <cell r="L42" t="str">
            <v>ALGERIA-04</v>
          </cell>
          <cell r="M42" t="str">
            <v>Lok Sabha Secretariat</v>
          </cell>
        </row>
        <row r="43">
          <cell r="L43" t="str">
            <v>AMERICAN SAMOA-05</v>
          </cell>
          <cell r="M43" t="str">
            <v>Rajya Sabha secretariat</v>
          </cell>
        </row>
        <row r="44">
          <cell r="L44" t="str">
            <v>ANDORRA-06</v>
          </cell>
          <cell r="M44" t="str">
            <v>Election Commission</v>
          </cell>
        </row>
        <row r="45">
          <cell r="L45" t="str">
            <v>ANGOLA-07</v>
          </cell>
          <cell r="M45" t="str">
            <v>Ministry of Defence (Controller General of Defence Accounts)</v>
          </cell>
        </row>
        <row r="46">
          <cell r="L46" t="str">
            <v>ANGUILLA-08</v>
          </cell>
          <cell r="M46" t="str">
            <v>Ministry of Railways</v>
          </cell>
        </row>
        <row r="47">
          <cell r="L47" t="str">
            <v>ANTARCTICA-09</v>
          </cell>
          <cell r="M47" t="str">
            <v>Department of Posts</v>
          </cell>
        </row>
        <row r="48">
          <cell r="L48" t="str">
            <v>ANTIGUA AND BARBUDA-10</v>
          </cell>
          <cell r="M48" t="str">
            <v>Department of Telecommunications</v>
          </cell>
        </row>
        <row r="49">
          <cell r="L49" t="str">
            <v>ARGENTINA-11</v>
          </cell>
          <cell r="M49" t="str">
            <v xml:space="preserve">Andaman and Nicobar Islands Administration   </v>
          </cell>
        </row>
        <row r="50">
          <cell r="L50" t="str">
            <v>ARMENIA-12</v>
          </cell>
          <cell r="M50" t="str">
            <v>Chandigarh Administration</v>
          </cell>
        </row>
        <row r="51">
          <cell r="L51" t="str">
            <v>ARUBA-13</v>
          </cell>
          <cell r="M51" t="str">
            <v>Dadra and Nagar Haveli</v>
          </cell>
        </row>
        <row r="52">
          <cell r="L52" t="str">
            <v>ASHMORE AND CARTIER ISLANDS-14</v>
          </cell>
          <cell r="M52" t="str">
            <v>Goa, Daman and Diu</v>
          </cell>
        </row>
        <row r="53">
          <cell r="L53" t="str">
            <v>AUSTRALIA-15</v>
          </cell>
          <cell r="M53" t="str">
            <v>Lakshadweep</v>
          </cell>
        </row>
        <row r="54">
          <cell r="L54" t="str">
            <v>AUSTRIA-16</v>
          </cell>
          <cell r="M54" t="str">
            <v>Pondicherry Administration</v>
          </cell>
        </row>
        <row r="55">
          <cell r="L55" t="str">
            <v>AZERBAIJAN-17</v>
          </cell>
          <cell r="M55" t="str">
            <v>Pay and Accounts Officers (Audit)</v>
          </cell>
        </row>
        <row r="56">
          <cell r="L56" t="str">
            <v>BAHRAIN-18</v>
          </cell>
          <cell r="M56" t="str">
            <v xml:space="preserve">Ministry of Non-conventional energy sources </v>
          </cell>
        </row>
        <row r="57">
          <cell r="L57" t="str">
            <v>BAILIWICK OF GUERNSEY-19</v>
          </cell>
          <cell r="M57" t="str">
            <v xml:space="preserve">Government Of NCT of Delhi </v>
          </cell>
        </row>
        <row r="58">
          <cell r="L58" t="str">
            <v>BAILIWICK OF JERSEY-20</v>
          </cell>
          <cell r="M58" t="str">
            <v>Others</v>
          </cell>
        </row>
        <row r="59">
          <cell r="L59" t="str">
            <v>BAKER ISLAND-21</v>
          </cell>
        </row>
        <row r="60">
          <cell r="L60" t="str">
            <v>BANGLADESH-22</v>
          </cell>
        </row>
        <row r="61">
          <cell r="L61" t="str">
            <v>BARBADOS-23</v>
          </cell>
        </row>
        <row r="62">
          <cell r="L62" t="str">
            <v>BELARUS-24</v>
          </cell>
        </row>
        <row r="63">
          <cell r="L63" t="str">
            <v>BELGIUM-25</v>
          </cell>
        </row>
        <row r="64">
          <cell r="L64" t="str">
            <v>BELIZE-26</v>
          </cell>
        </row>
        <row r="65">
          <cell r="L65" t="str">
            <v>BENIN PORTO-27</v>
          </cell>
        </row>
        <row r="66">
          <cell r="L66" t="str">
            <v>BERMUDA-28</v>
          </cell>
        </row>
        <row r="67">
          <cell r="L67" t="str">
            <v>BHUTAN-29</v>
          </cell>
        </row>
        <row r="68">
          <cell r="L68" t="str">
            <v>BOLIVIA-30</v>
          </cell>
        </row>
        <row r="69">
          <cell r="L69" t="str">
            <v>BOSNIAAND HERZEGOVINA-31</v>
          </cell>
        </row>
        <row r="70">
          <cell r="L70" t="str">
            <v>BOTSWANA-32</v>
          </cell>
        </row>
        <row r="71">
          <cell r="L71" t="str">
            <v>BOUVET ISLAND-33</v>
          </cell>
        </row>
        <row r="72">
          <cell r="L72" t="str">
            <v>BRAZIL-34</v>
          </cell>
        </row>
        <row r="73">
          <cell r="L73" t="str">
            <v>BRITISH INDIAN OCEAN TERRITORY-35</v>
          </cell>
        </row>
        <row r="74">
          <cell r="L74" t="str">
            <v>BRUNEI-36</v>
          </cell>
        </row>
        <row r="75">
          <cell r="L75" t="str">
            <v>BULGARIA-37</v>
          </cell>
        </row>
        <row r="76">
          <cell r="L76" t="str">
            <v>BURKINA FASO-38</v>
          </cell>
        </row>
        <row r="77">
          <cell r="L77" t="str">
            <v>BURUNDI-39</v>
          </cell>
        </row>
        <row r="78">
          <cell r="L78" t="str">
            <v>CAMBODIA-40</v>
          </cell>
        </row>
        <row r="79">
          <cell r="L79" t="str">
            <v>CAMEROON-41</v>
          </cell>
        </row>
        <row r="80">
          <cell r="L80" t="str">
            <v>CANADA-42</v>
          </cell>
        </row>
        <row r="81">
          <cell r="L81" t="str">
            <v>CAPE VERDE-43</v>
          </cell>
        </row>
        <row r="82">
          <cell r="L82" t="str">
            <v>CAYMAN ISLANDS-44</v>
          </cell>
        </row>
        <row r="83">
          <cell r="L83" t="str">
            <v>CENTRAL AFRICAN REPUBLIC-45</v>
          </cell>
        </row>
        <row r="84">
          <cell r="L84" t="str">
            <v>CHAD-46</v>
          </cell>
        </row>
        <row r="85">
          <cell r="L85" t="str">
            <v>CHILE-47</v>
          </cell>
        </row>
        <row r="86">
          <cell r="L86" t="str">
            <v>CHINA-48</v>
          </cell>
        </row>
        <row r="87">
          <cell r="L87" t="str">
            <v>CHRISTMAS ISLAND-49</v>
          </cell>
        </row>
        <row r="88">
          <cell r="L88" t="str">
            <v>CLIPPERTON ISLAND-50</v>
          </cell>
        </row>
        <row r="89">
          <cell r="L89" t="str">
            <v>COCOS (KEELING) ISLANDS-51</v>
          </cell>
        </row>
        <row r="90">
          <cell r="L90" t="str">
            <v>COLOMBIA-52</v>
          </cell>
        </row>
        <row r="91">
          <cell r="L91" t="str">
            <v>COMMONWEALTH OF PUERTO RICO-53</v>
          </cell>
        </row>
        <row r="92">
          <cell r="L92" t="str">
            <v>COMMONWEALTH OF THE NORTHERN MARIANA ISLANDS-54</v>
          </cell>
        </row>
        <row r="93">
          <cell r="L93" t="str">
            <v>COMOROS-55</v>
          </cell>
        </row>
        <row r="94">
          <cell r="L94" t="str">
            <v>CONGO,DEMOCRATIC REPUBLIC OF THE-56</v>
          </cell>
        </row>
        <row r="95">
          <cell r="L95" t="str">
            <v>CONGO,REPUBLIC OF THE-57</v>
          </cell>
        </row>
        <row r="96">
          <cell r="L96" t="str">
            <v>COOK ISLANDS-58</v>
          </cell>
        </row>
        <row r="97">
          <cell r="L97" t="str">
            <v>CORAL SEA ISLANDS-59</v>
          </cell>
        </row>
        <row r="98">
          <cell r="L98" t="str">
            <v>CORAL SEA ISLANDS TERRITORY-60</v>
          </cell>
        </row>
        <row r="99">
          <cell r="L99" t="str">
            <v>COSTA RICA-61</v>
          </cell>
        </row>
        <row r="100">
          <cell r="L100" t="str">
            <v>COTE D'IVOIRE-62</v>
          </cell>
        </row>
        <row r="101">
          <cell r="L101" t="str">
            <v>CROATIA-63</v>
          </cell>
        </row>
        <row r="102">
          <cell r="L102" t="str">
            <v>CUBA-64</v>
          </cell>
        </row>
        <row r="103">
          <cell r="L103" t="str">
            <v>CYPRUS-65</v>
          </cell>
        </row>
        <row r="104">
          <cell r="L104" t="str">
            <v>CZECH REPUBLIC-66</v>
          </cell>
        </row>
        <row r="105">
          <cell r="L105" t="str">
            <v>DENMARK-67</v>
          </cell>
        </row>
        <row r="106">
          <cell r="L106" t="str">
            <v>DEPARTMENTAL COLLECTIVITY OF MAYOTTE-68</v>
          </cell>
        </row>
        <row r="107">
          <cell r="L107" t="str">
            <v>DHEKELIA-69</v>
          </cell>
        </row>
        <row r="108">
          <cell r="L108" t="str">
            <v>DJIBOUTI-70</v>
          </cell>
        </row>
        <row r="109">
          <cell r="L109" t="str">
            <v>DOMINICA-71</v>
          </cell>
        </row>
        <row r="110">
          <cell r="L110" t="str">
            <v>DOMINICAN REPUBLIC-72</v>
          </cell>
        </row>
        <row r="111">
          <cell r="L111" t="str">
            <v>EAST TIMOR (TIMORLASTE)-73</v>
          </cell>
        </row>
        <row r="112">
          <cell r="L112" t="str">
            <v>ECUADOR-74</v>
          </cell>
        </row>
        <row r="113">
          <cell r="L113" t="str">
            <v>EGYPT-75</v>
          </cell>
        </row>
        <row r="114">
          <cell r="L114" t="str">
            <v>ELSALVADOR-76</v>
          </cell>
        </row>
        <row r="115">
          <cell r="L115" t="str">
            <v>EQUATORIAL GUINEA-77</v>
          </cell>
        </row>
        <row r="116">
          <cell r="L116" t="str">
            <v>ERITREA-78</v>
          </cell>
        </row>
        <row r="117">
          <cell r="L117" t="str">
            <v>ESTONIA-79</v>
          </cell>
        </row>
        <row r="118">
          <cell r="L118" t="str">
            <v>ETHIOPIA-80</v>
          </cell>
        </row>
        <row r="119">
          <cell r="L119" t="str">
            <v>FALKLAND ISLANDS (ISLAS MALVINAS)-81</v>
          </cell>
        </row>
        <row r="120">
          <cell r="L120" t="str">
            <v>FAROE ISLANDS-82</v>
          </cell>
        </row>
        <row r="121">
          <cell r="L121" t="str">
            <v>FIJI-83</v>
          </cell>
        </row>
        <row r="122">
          <cell r="L122" t="str">
            <v>FINLAND-84</v>
          </cell>
        </row>
        <row r="123">
          <cell r="L123" t="str">
            <v>FRANCE-85</v>
          </cell>
        </row>
        <row r="124">
          <cell r="L124" t="str">
            <v>FRENCH GUIANA-86</v>
          </cell>
        </row>
        <row r="125">
          <cell r="L125" t="str">
            <v>FRENCH POLYNESIA-87</v>
          </cell>
        </row>
        <row r="126">
          <cell r="L126" t="str">
            <v>FRENCH SOUTHERN ISLANDS-88</v>
          </cell>
        </row>
        <row r="127">
          <cell r="L127" t="str">
            <v>GABON-89</v>
          </cell>
        </row>
        <row r="128">
          <cell r="L128" t="str">
            <v>GEORGIA-90</v>
          </cell>
        </row>
        <row r="129">
          <cell r="L129" t="str">
            <v>GERMANY-91</v>
          </cell>
        </row>
        <row r="130">
          <cell r="L130" t="str">
            <v>GEURNSEY-92</v>
          </cell>
        </row>
        <row r="131">
          <cell r="L131" t="str">
            <v>GHANA-93</v>
          </cell>
        </row>
        <row r="132">
          <cell r="L132" t="str">
            <v>GIBRALTAR-94</v>
          </cell>
        </row>
        <row r="133">
          <cell r="L133" t="str">
            <v>GREECE-95</v>
          </cell>
        </row>
        <row r="134">
          <cell r="L134" t="str">
            <v>GREENLAND-96</v>
          </cell>
        </row>
        <row r="135">
          <cell r="L135" t="str">
            <v>GRENADA-97</v>
          </cell>
        </row>
        <row r="136">
          <cell r="L136" t="str">
            <v>GUADELOUPE-98</v>
          </cell>
        </row>
        <row r="137">
          <cell r="L137" t="str">
            <v>GUAM-100</v>
          </cell>
        </row>
        <row r="138">
          <cell r="L138" t="str">
            <v>GUATEMALA-101</v>
          </cell>
        </row>
        <row r="139">
          <cell r="L139" t="str">
            <v>GUERNSEY-102</v>
          </cell>
        </row>
        <row r="140">
          <cell r="L140" t="str">
            <v>GUINEA-103</v>
          </cell>
        </row>
        <row r="141">
          <cell r="L141" t="str">
            <v>GUINEABISSAU-104</v>
          </cell>
        </row>
        <row r="142">
          <cell r="L142" t="str">
            <v>GUYANA-105</v>
          </cell>
        </row>
        <row r="143">
          <cell r="L143" t="str">
            <v>HAITI-106</v>
          </cell>
        </row>
        <row r="144">
          <cell r="L144" t="str">
            <v>HEARD ISLAND AND MCDONALD ISLANDS-107</v>
          </cell>
        </row>
        <row r="145">
          <cell r="L145" t="str">
            <v>HONDURAS-108</v>
          </cell>
        </row>
        <row r="146">
          <cell r="L146" t="str">
            <v>HONG KONG-109</v>
          </cell>
        </row>
        <row r="147">
          <cell r="L147" t="str">
            <v>HOWLAND ISLAND-110</v>
          </cell>
        </row>
        <row r="148">
          <cell r="L148" t="str">
            <v>HUNGARY-111</v>
          </cell>
        </row>
        <row r="149">
          <cell r="L149" t="str">
            <v>ICELAND-112</v>
          </cell>
        </row>
        <row r="150">
          <cell r="L150" t="str">
            <v>INDIA-113</v>
          </cell>
        </row>
        <row r="151">
          <cell r="L151" t="str">
            <v>INDONESIA-114</v>
          </cell>
        </row>
        <row r="152">
          <cell r="L152" t="str">
            <v>IRAN-115</v>
          </cell>
        </row>
        <row r="153">
          <cell r="L153" t="str">
            <v>IRAQ-116</v>
          </cell>
        </row>
        <row r="154">
          <cell r="L154" t="str">
            <v>IRELAND-117</v>
          </cell>
        </row>
        <row r="155">
          <cell r="L155" t="str">
            <v>ISLE OF MAN-118</v>
          </cell>
        </row>
        <row r="156">
          <cell r="L156" t="str">
            <v>ISRAEL-119</v>
          </cell>
        </row>
        <row r="157">
          <cell r="L157" t="str">
            <v>ITALY-120</v>
          </cell>
        </row>
        <row r="158">
          <cell r="L158" t="str">
            <v>JAMAICA-121</v>
          </cell>
        </row>
        <row r="159">
          <cell r="L159" t="str">
            <v>JAN MAYEN-122</v>
          </cell>
        </row>
        <row r="160">
          <cell r="L160" t="str">
            <v>JAPAN-123</v>
          </cell>
        </row>
        <row r="161">
          <cell r="L161" t="str">
            <v>JARVIS ISLAND-124</v>
          </cell>
        </row>
        <row r="162">
          <cell r="L162" t="str">
            <v>JERSEY-125</v>
          </cell>
        </row>
        <row r="163">
          <cell r="L163" t="str">
            <v>JOHNSTON ATOLL-126</v>
          </cell>
        </row>
        <row r="164">
          <cell r="L164" t="str">
            <v>JORDAN-127</v>
          </cell>
        </row>
        <row r="165">
          <cell r="L165" t="str">
            <v>KAZAKHSTAN-128</v>
          </cell>
        </row>
        <row r="166">
          <cell r="L166" t="str">
            <v>KENYA-129</v>
          </cell>
        </row>
        <row r="167">
          <cell r="L167" t="str">
            <v>KINGMAN REEF-130</v>
          </cell>
        </row>
        <row r="168">
          <cell r="L168" t="str">
            <v>KIRIBATI-131</v>
          </cell>
        </row>
        <row r="169">
          <cell r="L169" t="str">
            <v>KOREA, NORTH-132</v>
          </cell>
        </row>
        <row r="170">
          <cell r="L170" t="str">
            <v>KOREA, SOUTH-133</v>
          </cell>
        </row>
        <row r="171">
          <cell r="L171" t="str">
            <v>KOSOVO-134</v>
          </cell>
        </row>
        <row r="172">
          <cell r="L172" t="str">
            <v>KUWAIT-135</v>
          </cell>
        </row>
        <row r="173">
          <cell r="L173" t="str">
            <v>KYRGYZSTAN-136</v>
          </cell>
        </row>
        <row r="174">
          <cell r="L174" t="str">
            <v>LAOS-137</v>
          </cell>
        </row>
        <row r="175">
          <cell r="L175" t="str">
            <v>LATVIA-138</v>
          </cell>
        </row>
        <row r="176">
          <cell r="L176" t="str">
            <v>LEBANON-139</v>
          </cell>
        </row>
        <row r="177">
          <cell r="L177" t="str">
            <v>LESOTHO-140</v>
          </cell>
        </row>
        <row r="178">
          <cell r="L178" t="str">
            <v>LIBERIA-141</v>
          </cell>
        </row>
        <row r="179">
          <cell r="L179" t="str">
            <v>LIBYA-142</v>
          </cell>
        </row>
        <row r="180">
          <cell r="L180" t="str">
            <v>LIECHTENSTEIN-143</v>
          </cell>
        </row>
        <row r="181">
          <cell r="L181" t="str">
            <v>LITHUANIA-144</v>
          </cell>
        </row>
        <row r="182">
          <cell r="L182" t="str">
            <v>LUXEMBOURG-145</v>
          </cell>
        </row>
        <row r="183">
          <cell r="L183" t="str">
            <v>MACAU-146</v>
          </cell>
        </row>
        <row r="184">
          <cell r="L184" t="str">
            <v>MACEDONIA-147</v>
          </cell>
        </row>
        <row r="185">
          <cell r="L185" t="str">
            <v>MADAGASCAR-148</v>
          </cell>
        </row>
        <row r="186">
          <cell r="L186" t="str">
            <v>MALAWI-149</v>
          </cell>
        </row>
        <row r="187">
          <cell r="L187" t="str">
            <v>MALAYSIA-150</v>
          </cell>
        </row>
        <row r="188">
          <cell r="L188" t="str">
            <v>MALAYSIA (LABUAN)-151</v>
          </cell>
        </row>
        <row r="189">
          <cell r="L189" t="str">
            <v>MALDIVES-152</v>
          </cell>
        </row>
        <row r="190">
          <cell r="L190" t="str">
            <v>MALI-153</v>
          </cell>
        </row>
        <row r="191">
          <cell r="L191" t="str">
            <v>MALTA-154</v>
          </cell>
        </row>
        <row r="192">
          <cell r="L192" t="str">
            <v>MARSHALLISLANDS-155</v>
          </cell>
        </row>
        <row r="193">
          <cell r="L193" t="str">
            <v>MARTINIQUE-156</v>
          </cell>
        </row>
        <row r="194">
          <cell r="L194" t="str">
            <v>MAURITANIA-157</v>
          </cell>
        </row>
        <row r="195">
          <cell r="L195" t="str">
            <v>MAURITIUS-158</v>
          </cell>
        </row>
        <row r="196">
          <cell r="L196" t="str">
            <v>MAYOTTE-159</v>
          </cell>
        </row>
        <row r="197">
          <cell r="L197" t="str">
            <v>UNITED MEXICAN STATES-160</v>
          </cell>
        </row>
        <row r="198">
          <cell r="L198" t="str">
            <v>MICRONESIA, FEDERATED STATES OF-161</v>
          </cell>
        </row>
        <row r="199">
          <cell r="L199" t="str">
            <v>MIDWAY ISLANDS-162</v>
          </cell>
        </row>
        <row r="200">
          <cell r="L200" t="str">
            <v>MOLDOVA-163</v>
          </cell>
        </row>
        <row r="201">
          <cell r="L201" t="str">
            <v>MONACO-164</v>
          </cell>
        </row>
        <row r="202">
          <cell r="L202" t="str">
            <v>MONGOLIA-165</v>
          </cell>
        </row>
        <row r="203">
          <cell r="L203" t="str">
            <v>MONTENEGRO-166</v>
          </cell>
        </row>
        <row r="204">
          <cell r="L204" t="str">
            <v>MONTSERRAT-167</v>
          </cell>
        </row>
        <row r="205">
          <cell r="L205" t="str">
            <v>MOROCCO-168</v>
          </cell>
        </row>
        <row r="206">
          <cell r="L206" t="str">
            <v>MOZAMBIQUE-169</v>
          </cell>
        </row>
        <row r="207">
          <cell r="L207" t="str">
            <v>MYANMAR (BURMA)-170</v>
          </cell>
        </row>
        <row r="208">
          <cell r="L208" t="str">
            <v>NAMIBIA-171</v>
          </cell>
        </row>
        <row r="209">
          <cell r="L209" t="str">
            <v>NAURU-172</v>
          </cell>
        </row>
        <row r="210">
          <cell r="L210" t="str">
            <v>NAVASSA ISLAND-173</v>
          </cell>
        </row>
        <row r="211">
          <cell r="L211" t="str">
            <v>NEPAL-174</v>
          </cell>
        </row>
        <row r="212">
          <cell r="L212" t="str">
            <v>NETHERLANDS-175</v>
          </cell>
        </row>
        <row r="213">
          <cell r="L213" t="str">
            <v>NETHERLANDS ANTILLES-176</v>
          </cell>
        </row>
        <row r="214">
          <cell r="L214" t="str">
            <v>NEW CALEDONIA-177</v>
          </cell>
        </row>
        <row r="215">
          <cell r="L215" t="str">
            <v>NEWZEALAND-178</v>
          </cell>
        </row>
        <row r="216">
          <cell r="L216" t="str">
            <v>NICARAGUA-179</v>
          </cell>
        </row>
        <row r="217">
          <cell r="L217" t="str">
            <v>NIGER-180</v>
          </cell>
        </row>
        <row r="218">
          <cell r="L218" t="str">
            <v>NIGERIA-181</v>
          </cell>
        </row>
        <row r="219">
          <cell r="L219" t="str">
            <v>NIUE-182</v>
          </cell>
        </row>
        <row r="220">
          <cell r="L220" t="str">
            <v>NORFOLK ISLAND-183</v>
          </cell>
        </row>
        <row r="221">
          <cell r="L221" t="str">
            <v>NORTHERN MARIANA ISLANDS-184</v>
          </cell>
        </row>
        <row r="222">
          <cell r="L222" t="str">
            <v>NORWAY-185</v>
          </cell>
        </row>
        <row r="223">
          <cell r="L223" t="str">
            <v>OMAN-186</v>
          </cell>
        </row>
        <row r="224">
          <cell r="L224" t="str">
            <v>PAKISTAN-187</v>
          </cell>
        </row>
        <row r="225">
          <cell r="L225" t="str">
            <v>PALAU-188</v>
          </cell>
        </row>
        <row r="226">
          <cell r="L226" t="str">
            <v>PALMYRA ATOLL-189</v>
          </cell>
        </row>
        <row r="227">
          <cell r="L227" t="str">
            <v>PANAMA-190</v>
          </cell>
        </row>
        <row r="228">
          <cell r="L228" t="str">
            <v>PAPUA NEW GUINEA-191</v>
          </cell>
        </row>
        <row r="229">
          <cell r="L229" t="str">
            <v>PARACEL ISLANDS-192</v>
          </cell>
        </row>
        <row r="230">
          <cell r="L230" t="str">
            <v>PARAGUAY-193</v>
          </cell>
        </row>
        <row r="231">
          <cell r="L231" t="str">
            <v>PERU-194</v>
          </cell>
        </row>
        <row r="232">
          <cell r="L232" t="str">
            <v>PHILIPPINES-195</v>
          </cell>
        </row>
        <row r="233">
          <cell r="L233" t="str">
            <v>PITCAIRN ISLANDS-196</v>
          </cell>
        </row>
        <row r="234">
          <cell r="L234" t="str">
            <v>PITCAIRN, HENDERSON, DUCIE, AND OENO ISLANDS-197</v>
          </cell>
        </row>
        <row r="235">
          <cell r="L235" t="str">
            <v>POLAND-198</v>
          </cell>
        </row>
        <row r="236">
          <cell r="L236" t="str">
            <v>PORTUGAL-199</v>
          </cell>
        </row>
        <row r="237">
          <cell r="L237" t="str">
            <v>PUERTO RICO-200</v>
          </cell>
        </row>
        <row r="238">
          <cell r="L238" t="str">
            <v>QATAR-201</v>
          </cell>
        </row>
        <row r="239">
          <cell r="L239" t="str">
            <v>REUNION-202</v>
          </cell>
        </row>
        <row r="240">
          <cell r="L240" t="str">
            <v>ROMANIA-203</v>
          </cell>
        </row>
        <row r="241">
          <cell r="L241" t="str">
            <v>RUSSIA-204</v>
          </cell>
        </row>
        <row r="242">
          <cell r="L242" t="str">
            <v>RWANDA-205</v>
          </cell>
        </row>
        <row r="243">
          <cell r="L243" t="str">
            <v>SAINT BARTHELEMY-206</v>
          </cell>
        </row>
        <row r="244">
          <cell r="L244" t="str">
            <v>SAINT HELENA-207</v>
          </cell>
        </row>
        <row r="245">
          <cell r="L245" t="str">
            <v>SAINT KITTS AND NEVIS-208</v>
          </cell>
        </row>
        <row r="246">
          <cell r="L246" t="str">
            <v>SAINT LUCIA-209</v>
          </cell>
        </row>
        <row r="247">
          <cell r="L247" t="str">
            <v>SAINT MARTIN-210</v>
          </cell>
        </row>
        <row r="248">
          <cell r="L248" t="str">
            <v>SAINT PIERRE AND MIQUELON-211</v>
          </cell>
        </row>
        <row r="249">
          <cell r="L249" t="str">
            <v>SAINT VINCENT AND THE GRENADINES-212</v>
          </cell>
        </row>
        <row r="250">
          <cell r="L250" t="str">
            <v>SAMOA-213</v>
          </cell>
        </row>
        <row r="251">
          <cell r="L251" t="str">
            <v>SANMARINO-214</v>
          </cell>
        </row>
        <row r="252">
          <cell r="L252" t="str">
            <v>SAO TOME AND PRINCIPE-215</v>
          </cell>
        </row>
        <row r="253">
          <cell r="L253" t="str">
            <v>SAUDI ARABIA-216</v>
          </cell>
        </row>
        <row r="254">
          <cell r="L254" t="str">
            <v>SENEGAL-217</v>
          </cell>
        </row>
        <row r="255">
          <cell r="L255" t="str">
            <v>SERBIA-218</v>
          </cell>
        </row>
        <row r="256">
          <cell r="L256" t="str">
            <v>SEYCHELLES-219</v>
          </cell>
        </row>
        <row r="257">
          <cell r="L257" t="str">
            <v>SIERRA LEONE-220</v>
          </cell>
        </row>
        <row r="258">
          <cell r="L258" t="str">
            <v>SINGAPORE-221</v>
          </cell>
        </row>
        <row r="259">
          <cell r="L259" t="str">
            <v>SLOVAKIA-222</v>
          </cell>
        </row>
        <row r="260">
          <cell r="L260" t="str">
            <v>SLOVENIA-223</v>
          </cell>
        </row>
        <row r="261">
          <cell r="L261" t="str">
            <v>SOLOMON ISLANDS-224</v>
          </cell>
        </row>
        <row r="262">
          <cell r="L262" t="str">
            <v>SOMALIA-225</v>
          </cell>
        </row>
        <row r="263">
          <cell r="L263" t="str">
            <v>SOUTH AFRICA-226</v>
          </cell>
        </row>
        <row r="264">
          <cell r="L264" t="str">
            <v>SOUTH GEORGIA AND SOUTH SANDWICH ISLANDS-227</v>
          </cell>
        </row>
        <row r="265">
          <cell r="L265" t="str">
            <v>SPRATLY ISLANDS-228</v>
          </cell>
        </row>
        <row r="266">
          <cell r="L266" t="str">
            <v>SPAIN-229</v>
          </cell>
        </row>
        <row r="267">
          <cell r="L267" t="str">
            <v>SRI LANKA-230</v>
          </cell>
        </row>
        <row r="268">
          <cell r="L268" t="str">
            <v>ST. VINCENT &amp; GRENADINES-231</v>
          </cell>
        </row>
        <row r="269">
          <cell r="L269" t="str">
            <v>SUDAN-232</v>
          </cell>
        </row>
        <row r="270">
          <cell r="L270" t="str">
            <v>SURINAME-233</v>
          </cell>
        </row>
        <row r="271">
          <cell r="L271" t="str">
            <v>SVALBARD-234</v>
          </cell>
        </row>
        <row r="272">
          <cell r="L272" t="str">
            <v>SWAZILAND-235</v>
          </cell>
        </row>
        <row r="273">
          <cell r="L273" t="str">
            <v>SWEDEN-236</v>
          </cell>
        </row>
        <row r="274">
          <cell r="L274" t="str">
            <v>SWITZERLAND-237</v>
          </cell>
        </row>
        <row r="275">
          <cell r="L275" t="str">
            <v>SYRIA-238</v>
          </cell>
        </row>
        <row r="276">
          <cell r="L276" t="str">
            <v>TAIWAN-239</v>
          </cell>
        </row>
        <row r="277">
          <cell r="L277" t="str">
            <v>TAJIKISTAN-240</v>
          </cell>
        </row>
        <row r="278">
          <cell r="L278" t="str">
            <v>TANZANIA-241</v>
          </cell>
        </row>
        <row r="279">
          <cell r="L279" t="str">
            <v>TERRITORIAL COLLECTIVITY OF ST. PIERRE &amp; MIQUELON-242</v>
          </cell>
        </row>
        <row r="280">
          <cell r="L280" t="str">
            <v>TERRITORY OF AMERICAN SAMOA-243</v>
          </cell>
        </row>
        <row r="281">
          <cell r="L281" t="str">
            <v>TERRITORY OF ASHMORE AND CARTIER ISLANDS-244</v>
          </cell>
        </row>
        <row r="282">
          <cell r="L282" t="str">
            <v>TERRITORY OF CHRISTMAS ISLAND-245</v>
          </cell>
        </row>
        <row r="283">
          <cell r="L283" t="str">
            <v>TERRITORY OF COCOS (KEELING) ISLANDS-246</v>
          </cell>
        </row>
        <row r="284">
          <cell r="L284" t="str">
            <v>TERRITORY OF GUAM-247</v>
          </cell>
        </row>
        <row r="285">
          <cell r="L285" t="str">
            <v>TERRITORY OF HEARD ISLAND &amp; MCDONALD ISLANDS-248</v>
          </cell>
        </row>
        <row r="286">
          <cell r="L286" t="str">
            <v>TERRITORY OF NORFOLK ISLAND-249</v>
          </cell>
        </row>
        <row r="287">
          <cell r="L287" t="str">
            <v>THAILAND-250</v>
          </cell>
        </row>
        <row r="288">
          <cell r="L288" t="str">
            <v>THE BAHAMAS-251</v>
          </cell>
        </row>
        <row r="289">
          <cell r="L289" t="str">
            <v>THE GAMBIA-252</v>
          </cell>
        </row>
        <row r="290">
          <cell r="L290" t="str">
            <v>TOGO-253</v>
          </cell>
        </row>
        <row r="291">
          <cell r="L291" t="str">
            <v>TOKELAU-254</v>
          </cell>
        </row>
        <row r="292">
          <cell r="L292" t="str">
            <v>TONGA-255</v>
          </cell>
        </row>
        <row r="293">
          <cell r="L293" t="str">
            <v>TRINIDAD AND TOBAGO-256</v>
          </cell>
        </row>
        <row r="294">
          <cell r="L294" t="str">
            <v>TUNISIA-257</v>
          </cell>
        </row>
        <row r="295">
          <cell r="L295" t="str">
            <v>TURKEY-258</v>
          </cell>
        </row>
        <row r="296">
          <cell r="L296" t="str">
            <v>TURKMENISTAN-259</v>
          </cell>
        </row>
        <row r="297">
          <cell r="L297" t="str">
            <v>TURKS AND CAICOS ISLANDS-260</v>
          </cell>
        </row>
        <row r="298">
          <cell r="L298" t="str">
            <v>TUVALU-261</v>
          </cell>
        </row>
        <row r="299">
          <cell r="L299" t="str">
            <v>UGANDA-262</v>
          </cell>
        </row>
        <row r="300">
          <cell r="L300" t="str">
            <v>UKRAINE-263</v>
          </cell>
        </row>
        <row r="301">
          <cell r="L301" t="str">
            <v>UNITED ARAB EMIRATES-264</v>
          </cell>
        </row>
        <row r="302">
          <cell r="L302" t="str">
            <v>UNITED KINGDOM-265</v>
          </cell>
        </row>
        <row r="303">
          <cell r="L303" t="str">
            <v>UNITED STATES VIRGIN ISLANDS-266</v>
          </cell>
        </row>
        <row r="304">
          <cell r="L304" t="str">
            <v>UNITED STATES OF AMERICA-267</v>
          </cell>
        </row>
        <row r="305">
          <cell r="L305" t="str">
            <v>URUGUAY-268</v>
          </cell>
        </row>
        <row r="306">
          <cell r="L306" t="str">
            <v>UZBEKISTAN-269</v>
          </cell>
        </row>
        <row r="307">
          <cell r="L307" t="str">
            <v>VANUATU-270</v>
          </cell>
        </row>
        <row r="308">
          <cell r="L308" t="str">
            <v>VATICAN CITY (HOLYSEE)-271</v>
          </cell>
        </row>
        <row r="309">
          <cell r="L309" t="str">
            <v>VENEZUELA-272</v>
          </cell>
        </row>
        <row r="310">
          <cell r="L310" t="str">
            <v>VIETNAM-273</v>
          </cell>
        </row>
        <row r="311">
          <cell r="L311" t="str">
            <v>VIRGIN ISLANDS, BRITISH-274</v>
          </cell>
        </row>
        <row r="312">
          <cell r="L312" t="str">
            <v>VIRGIN ISLANDS, U.S.-275</v>
          </cell>
        </row>
        <row r="313">
          <cell r="L313" t="str">
            <v>WAKE ISLAND-276</v>
          </cell>
        </row>
        <row r="314">
          <cell r="L314" t="str">
            <v>WALLIS AND FUTUNA-277</v>
          </cell>
        </row>
        <row r="315">
          <cell r="L315" t="str">
            <v>WESTERN SAHARA-278</v>
          </cell>
        </row>
        <row r="316">
          <cell r="L316" t="str">
            <v>YEMEN-279</v>
          </cell>
        </row>
        <row r="317">
          <cell r="L317" t="str">
            <v>ZAMBIA-280</v>
          </cell>
        </row>
        <row r="318">
          <cell r="L318" t="str">
            <v>ZIMBABWE-281</v>
          </cell>
        </row>
        <row r="319">
          <cell r="L319" t="str">
            <v>COMBODIA-282</v>
          </cell>
        </row>
        <row r="320">
          <cell r="L320" t="str">
            <v>CONGO-283</v>
          </cell>
        </row>
        <row r="321">
          <cell r="L321" t="str">
            <v>IVORY COAST-284</v>
          </cell>
        </row>
        <row r="322">
          <cell r="L322" t="str">
            <v>WEST INDIES-285</v>
          </cell>
        </row>
        <row r="323">
          <cell r="L323" t="str">
            <v>BRITISH VIRGIN ISLANDS-286</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1"/>
      <sheetName val="Q2"/>
      <sheetName val="Q3"/>
      <sheetName val="Q4"/>
      <sheetName val="Main Working"/>
      <sheetName val="18-19 (SSW-11)"/>
      <sheetName val="(CKB-1)"/>
      <sheetName val="(MLM-2)"/>
      <sheetName val="(UCP-3)"/>
      <sheetName val="(UCP-3) half"/>
      <sheetName val="(KSL-4)"/>
      <sheetName val="(VMK-5)"/>
      <sheetName val="(PMK-6)"/>
      <sheetName val="(RSM-8)"/>
      <sheetName val="(PR-9)"/>
      <sheetName val="(ASK-10)"/>
      <sheetName val="(VKV) 11 "/>
      <sheetName val="(USS-12)"/>
      <sheetName val="(MS-13)"/>
      <sheetName val="(BRR-14)"/>
      <sheetName val="(RKL-15)"/>
      <sheetName val="(DBN-16)"/>
      <sheetName val="(VVT-17)"/>
      <sheetName val="(SSM-18)"/>
      <sheetName val="(SVR-19)"/>
      <sheetName val="(MPJ-20)"/>
      <sheetName val="(DPV-21)"/>
      <sheetName val="(SRP-22)"/>
      <sheetName val="(VNW-24)"/>
      <sheetName val="(SAA-25)"/>
      <sheetName val="(AYK-26)"/>
      <sheetName val="(KPK-27)"/>
      <sheetName val="(MKP-28)"/>
      <sheetName val="(RSV-29)"/>
      <sheetName val="(ASG-30)"/>
      <sheetName val="(CDW-32)"/>
      <sheetName val="(PCS-34)"/>
      <sheetName val="(AHJ-35)"/>
      <sheetName val="(DRM-36)"/>
      <sheetName val="(AMK-37)"/>
      <sheetName val="(VBB-38)"/>
      <sheetName val="(SPA-39)"/>
      <sheetName val="(SAS-40)"/>
      <sheetName val="(PVG-41)"/>
      <sheetName val="(SJJ-42)"/>
      <sheetName val="(VKP-43)"/>
      <sheetName val="(STA-44)"/>
      <sheetName val="(HRK-45)"/>
      <sheetName val="(BJK-46)"/>
      <sheetName val="(RRD-47)"/>
      <sheetName val="(UMC-48) "/>
      <sheetName val="(SLT-49)"/>
      <sheetName val="(SSW-51)"/>
      <sheetName val="(VNK-52)"/>
      <sheetName val="(PBT-54)"/>
      <sheetName val=" (HS-55)"/>
      <sheetName val="(PAP-56)"/>
      <sheetName val="(SPT-57)"/>
      <sheetName val="(PBSP-58)"/>
      <sheetName val="(SAA-59)"/>
      <sheetName val="(MHH-60)"/>
      <sheetName val="(HRM-61)"/>
      <sheetName val="(PPS-62)"/>
      <sheetName val="(NAP-63)"/>
      <sheetName val="(BSS-64)"/>
      <sheetName val="(SG-65)"/>
      <sheetName val="(SNV-66)"/>
      <sheetName val="(IAP-67)"/>
      <sheetName val="(MBR-68)"/>
      <sheetName val="(SSM-69)"/>
      <sheetName val="(SS-71)"/>
      <sheetName val="(BAD-73)"/>
      <sheetName val="(CN-74)"/>
      <sheetName val="(IH-76)"/>
      <sheetName val="(LBB-77)"/>
      <sheetName val="(AN-78)"/>
      <sheetName val="(NVV-79)"/>
      <sheetName val="(RBR 80)"/>
      <sheetName val="(JPT 81)"/>
      <sheetName val="(VBS 83) "/>
      <sheetName val="(SR-84)"/>
      <sheetName val="(KAB-85)"/>
      <sheetName val="(JPS-87)"/>
      <sheetName val="(AM-88)"/>
      <sheetName val="(VSD-89)"/>
      <sheetName val="(JAU-92)"/>
      <sheetName val="(SBB-95)"/>
      <sheetName val="(JPG-93)"/>
      <sheetName val="(NHC-91)"/>
      <sheetName val="(LBS-94)"/>
      <sheetName val="(PSG-97)"/>
      <sheetName val="(NRS-98)"/>
      <sheetName val="(SAS-99)"/>
      <sheetName val="(DRS-100)"/>
      <sheetName val="(NGC-101)"/>
      <sheetName val="(JMS-102)"/>
      <sheetName val="(SSL-103)"/>
      <sheetName val="(SBP-104)"/>
      <sheetName val="(JDM-105)"/>
      <sheetName val="(RNK-106)"/>
      <sheetName val="(DND-107)"/>
      <sheetName val="(RP-108)"/>
      <sheetName val="(MMM-109)"/>
      <sheetName val="(VPG-110)"/>
      <sheetName val="(NHK-111)"/>
      <sheetName val="(ASK-113)"/>
      <sheetName val="(RDB-114)"/>
      <sheetName val="(BDY-115)"/>
      <sheetName val="(GSS-116)"/>
      <sheetName val="(JGV-117)"/>
      <sheetName val="(NPW-118)"/>
      <sheetName val="(LSM-119)"/>
      <sheetName val="(JGR-120)"/>
      <sheetName val="(MPI-121)"/>
      <sheetName val="(RBG-122)"/>
      <sheetName val="(DMB-124)"/>
      <sheetName val="(GSK-125)"/>
      <sheetName val="(APT-126)"/>
      <sheetName val="(PRP-128)"/>
      <sheetName val="(RSB-129)"/>
      <sheetName val="(RCW-130) "/>
      <sheetName val="(DVS-131)"/>
      <sheetName val="(MMT-132)"/>
      <sheetName val="18-19 (LSM-27)"/>
      <sheetName val="(KSW-133)"/>
      <sheetName val="18-19 (SIK-23)"/>
      <sheetName val="18-19 (NVV-22)"/>
      <sheetName val="18-19 (DBN-19)"/>
      <sheetName val="18-19 (REP-16)"/>
      <sheetName val="18-19 (MKG-5)"/>
      <sheetName val="18-19 (UMC-46)"/>
      <sheetName val="(SSJ-134)"/>
      <sheetName val="(BDR-135)"/>
      <sheetName val="(DSJ-136)"/>
      <sheetName val="(CSS-137)"/>
      <sheetName val="(AAM-138)"/>
      <sheetName val="(SSK-139)"/>
      <sheetName val="18-19 (PCS-33)"/>
      <sheetName val="18-19 (SSM-17)"/>
      <sheetName val="18-19 (JMS-33)"/>
      <sheetName val="18-19 (VVT-16)"/>
      <sheetName val="(AS-140)"/>
      <sheetName val="18-19 (UCP-3)"/>
      <sheetName val="(ANRG-141)"/>
      <sheetName val="(RCD-142)"/>
      <sheetName val="HEMANT"/>
      <sheetName val="PRASHANT"/>
      <sheetName val="PARAB"/>
      <sheetName val="KAILAS"/>
      <sheetName val="KAFLE"/>
      <sheetName val="SURVE"/>
      <sheetName val="0 (2)"/>
    </sheetNames>
    <sheetDataSet>
      <sheetData sheetId="0"/>
      <sheetData sheetId="1"/>
      <sheetData sheetId="2"/>
      <sheetData sheetId="3"/>
      <sheetData sheetId="4">
        <row r="3">
          <cell r="D3" t="str">
            <v>ABWPB1871H</v>
          </cell>
        </row>
        <row r="4">
          <cell r="D4" t="str">
            <v>ABCPM5927H</v>
          </cell>
        </row>
        <row r="5">
          <cell r="D5" t="str">
            <v>ADHPP1650P</v>
          </cell>
        </row>
        <row r="6">
          <cell r="D6" t="str">
            <v>ABRPL4887E</v>
          </cell>
        </row>
        <row r="7">
          <cell r="D7" t="str">
            <v>AHQPK1439A</v>
          </cell>
        </row>
        <row r="8">
          <cell r="D8" t="str">
            <v>ACSPK1046N</v>
          </cell>
        </row>
        <row r="9">
          <cell r="D9" t="str">
            <v>AFWPM1854M</v>
          </cell>
        </row>
        <row r="10">
          <cell r="D10" t="str">
            <v>AGXPR0340R</v>
          </cell>
        </row>
        <row r="11">
          <cell r="D11" t="str">
            <v>ACQPK4259H</v>
          </cell>
        </row>
        <row r="12">
          <cell r="D12" t="str">
            <v>AGDPV4512H</v>
          </cell>
        </row>
        <row r="13">
          <cell r="D13" t="str">
            <v>ACRPS9024K</v>
          </cell>
        </row>
        <row r="14">
          <cell r="D14" t="str">
            <v>APSPS6552C</v>
          </cell>
        </row>
        <row r="15">
          <cell r="D15" t="str">
            <v>AASPR2306L</v>
          </cell>
        </row>
        <row r="16">
          <cell r="D16" t="str">
            <v>ABCPL2959E</v>
          </cell>
        </row>
        <row r="17">
          <cell r="D17" t="str">
            <v>AAVPN2192F</v>
          </cell>
        </row>
        <row r="18">
          <cell r="D18" t="str">
            <v>ABTPT1092K</v>
          </cell>
        </row>
        <row r="19">
          <cell r="D19" t="str">
            <v>AKCPM9552D</v>
          </cell>
        </row>
        <row r="20">
          <cell r="D20" t="str">
            <v>ADQPR0929N</v>
          </cell>
        </row>
        <row r="21">
          <cell r="D21" t="str">
            <v>ABSPJ9047P</v>
          </cell>
        </row>
        <row r="22">
          <cell r="D22" t="str">
            <v>ABEPV2768D</v>
          </cell>
        </row>
        <row r="23">
          <cell r="D23" t="str">
            <v>ACQPP2485A</v>
          </cell>
        </row>
        <row r="24">
          <cell r="D24" t="str">
            <v>AAOPW3992R</v>
          </cell>
        </row>
        <row r="25">
          <cell r="D25" t="str">
            <v>ABRPA1062A</v>
          </cell>
        </row>
        <row r="26">
          <cell r="D26" t="str">
            <v>ADBPK7216J</v>
          </cell>
        </row>
        <row r="27">
          <cell r="D27" t="str">
            <v>AMRPK1421E</v>
          </cell>
        </row>
        <row r="28">
          <cell r="D28" t="str">
            <v>ADNPP8730C</v>
          </cell>
        </row>
        <row r="29">
          <cell r="D29" t="str">
            <v>AJPPP6298R</v>
          </cell>
        </row>
        <row r="30">
          <cell r="D30" t="str">
            <v>AIMPG7606G</v>
          </cell>
        </row>
        <row r="31">
          <cell r="D31" t="str">
            <v>AAIPW6669B</v>
          </cell>
        </row>
        <row r="32">
          <cell r="D32" t="str">
            <v>AJEPS5879E</v>
          </cell>
        </row>
        <row r="33">
          <cell r="D33" t="str">
            <v>AEIPJ2086B</v>
          </cell>
        </row>
        <row r="34">
          <cell r="D34" t="str">
            <v>AHYPM5668B</v>
          </cell>
        </row>
        <row r="35">
          <cell r="D35" t="str">
            <v>AONPK2064B</v>
          </cell>
        </row>
        <row r="36">
          <cell r="D36" t="str">
            <v>AKCPB2619J</v>
          </cell>
        </row>
        <row r="37">
          <cell r="D37" t="str">
            <v>AHRPA9085F</v>
          </cell>
        </row>
        <row r="38">
          <cell r="D38" t="str">
            <v>AFOPS1749D</v>
          </cell>
        </row>
        <row r="39">
          <cell r="D39" t="str">
            <v>AJBPG6549A</v>
          </cell>
        </row>
        <row r="40">
          <cell r="D40" t="str">
            <v>AFTPJ6889E</v>
          </cell>
        </row>
        <row r="41">
          <cell r="D41" t="str">
            <v>ALBPP2768E</v>
          </cell>
        </row>
        <row r="42">
          <cell r="D42" t="str">
            <v>AGMPA3878Q</v>
          </cell>
        </row>
        <row r="43">
          <cell r="D43" t="str">
            <v>ANWPK1542J</v>
          </cell>
        </row>
        <row r="44">
          <cell r="D44" t="str">
            <v>AMZPK9646F</v>
          </cell>
        </row>
        <row r="45">
          <cell r="D45" t="str">
            <v>AIHPD4783E</v>
          </cell>
        </row>
        <row r="46">
          <cell r="D46" t="str">
            <v>AFBPC2896N</v>
          </cell>
        </row>
        <row r="47">
          <cell r="D47" t="str">
            <v>AAGPT7779K</v>
          </cell>
        </row>
        <row r="48">
          <cell r="D48" t="str">
            <v>AAFPW9155R</v>
          </cell>
        </row>
        <row r="49">
          <cell r="D49" t="str">
            <v>ABLPK7158D</v>
          </cell>
        </row>
        <row r="50">
          <cell r="D50" t="str">
            <v>ADJPJ6257A</v>
          </cell>
        </row>
        <row r="51">
          <cell r="D51" t="str">
            <v>AGFPP8957N</v>
          </cell>
        </row>
        <row r="52">
          <cell r="D52" t="str">
            <v>AHCPS2565H</v>
          </cell>
        </row>
        <row r="53">
          <cell r="D53" t="str">
            <v>ADIPA1768J</v>
          </cell>
        </row>
        <row r="54">
          <cell r="D54" t="str">
            <v>AAJPH7415D</v>
          </cell>
        </row>
        <row r="55">
          <cell r="D55" t="str">
            <v>AKMPM0400A</v>
          </cell>
        </row>
        <row r="56">
          <cell r="D56" t="str">
            <v>AXLPS5214N</v>
          </cell>
        </row>
        <row r="57">
          <cell r="D57" t="str">
            <v>ALCPP7972R</v>
          </cell>
        </row>
        <row r="58">
          <cell r="D58" t="str">
            <v>AVUPS1951P</v>
          </cell>
        </row>
        <row r="59">
          <cell r="D59" t="str">
            <v>AAZPG2678P</v>
          </cell>
        </row>
        <row r="60">
          <cell r="D60" t="str">
            <v>AAYPV2720L</v>
          </cell>
        </row>
        <row r="61">
          <cell r="D61" t="str">
            <v>ACWPP7489A</v>
          </cell>
        </row>
        <row r="62">
          <cell r="D62" t="str">
            <v>ABWPR4988H</v>
          </cell>
        </row>
        <row r="63">
          <cell r="D63" t="str">
            <v>ABBPM5358D</v>
          </cell>
        </row>
        <row r="64">
          <cell r="D64" t="str">
            <v>AHEPS8077Q</v>
          </cell>
        </row>
        <row r="65">
          <cell r="D65" t="str">
            <v>ACAPD3071G</v>
          </cell>
        </row>
        <row r="66">
          <cell r="D66" t="str">
            <v>AEAPN1638P</v>
          </cell>
        </row>
        <row r="67">
          <cell r="D67" t="str">
            <v>ABSPH7453F</v>
          </cell>
        </row>
        <row r="68">
          <cell r="D68" t="str">
            <v>AHEPB3182B</v>
          </cell>
        </row>
        <row r="69">
          <cell r="D69" t="str">
            <v>AEAPN1110L</v>
          </cell>
        </row>
        <row r="70">
          <cell r="D70" t="str">
            <v>ABAPN1177G</v>
          </cell>
        </row>
        <row r="71">
          <cell r="D71" t="str">
            <v>AHXPR9008B</v>
          </cell>
        </row>
        <row r="72">
          <cell r="D72" t="str">
            <v>ABNPT2554L</v>
          </cell>
        </row>
        <row r="73">
          <cell r="D73" t="str">
            <v>AZUPS4527K</v>
          </cell>
        </row>
        <row r="74">
          <cell r="D74" t="str">
            <v>ABWPR5162M</v>
          </cell>
        </row>
        <row r="75">
          <cell r="D75" t="str">
            <v>AIGPB5678P</v>
          </cell>
        </row>
        <row r="76">
          <cell r="D76" t="str">
            <v>ADBPK7214L</v>
          </cell>
        </row>
        <row r="77">
          <cell r="D77" t="str">
            <v>AKJPM1566A</v>
          </cell>
        </row>
        <row r="78">
          <cell r="D78" t="str">
            <v>AASPD1547R</v>
          </cell>
        </row>
        <row r="79">
          <cell r="D79" t="str">
            <v>AACPU4948B</v>
          </cell>
        </row>
        <row r="80">
          <cell r="D80" t="str">
            <v>ABBPG7812L</v>
          </cell>
        </row>
        <row r="81">
          <cell r="D81" t="str">
            <v>AAVPB8851F</v>
          </cell>
        </row>
        <row r="82">
          <cell r="D82" t="str">
            <v>ACXPC3427A</v>
          </cell>
        </row>
        <row r="83">
          <cell r="D83" t="str">
            <v>ABQPG7509R</v>
          </cell>
        </row>
        <row r="84">
          <cell r="D84" t="str">
            <v>AFZPS3526H</v>
          </cell>
        </row>
        <row r="85">
          <cell r="D85" t="str">
            <v>AFOPS1827E</v>
          </cell>
        </row>
        <row r="86">
          <cell r="D86" t="str">
            <v>AMVPS6644M</v>
          </cell>
        </row>
        <row r="87">
          <cell r="D87" t="str">
            <v>AAUPC2242A</v>
          </cell>
        </row>
        <row r="88">
          <cell r="D88" t="str">
            <v>BCMPS0953B</v>
          </cell>
        </row>
        <row r="89">
          <cell r="D89" t="str">
            <v>AAQPL5243C</v>
          </cell>
        </row>
        <row r="90">
          <cell r="D90" t="str">
            <v>ABAPP4861B</v>
          </cell>
        </row>
        <row r="91">
          <cell r="D91" t="str">
            <v>ACPPM8306A</v>
          </cell>
        </row>
        <row r="92">
          <cell r="D92" t="str">
            <v>ADYPK1098D</v>
          </cell>
        </row>
        <row r="93">
          <cell r="D93" t="str">
            <v>AFFPD0564G</v>
          </cell>
        </row>
        <row r="94">
          <cell r="D94" t="str">
            <v>AGIPP5071C</v>
          </cell>
        </row>
        <row r="95">
          <cell r="D95" t="str">
            <v>ABUPM3119R</v>
          </cell>
        </row>
        <row r="96">
          <cell r="D96" t="str">
            <v>ACEPG7704M</v>
          </cell>
        </row>
        <row r="97">
          <cell r="D97" t="str">
            <v>ABZPK9470G</v>
          </cell>
        </row>
        <row r="98">
          <cell r="D98" t="str">
            <v>ACWPK6876A</v>
          </cell>
        </row>
        <row r="99">
          <cell r="D99" t="str">
            <v>ACIPB2842D</v>
          </cell>
        </row>
        <row r="100">
          <cell r="D100" t="str">
            <v>ABJPY0631P</v>
          </cell>
        </row>
        <row r="101">
          <cell r="D101" t="str">
            <v>AIEPS8010N</v>
          </cell>
        </row>
        <row r="102">
          <cell r="D102" t="str">
            <v>ABZPV9299E</v>
          </cell>
        </row>
        <row r="103">
          <cell r="D103" t="str">
            <v>AAFPW8312E</v>
          </cell>
        </row>
        <row r="104">
          <cell r="D104" t="str">
            <v>AKNPM3615N</v>
          </cell>
        </row>
        <row r="105">
          <cell r="D105" t="str">
            <v>AHKPR4657D</v>
          </cell>
        </row>
        <row r="106">
          <cell r="D106" t="str">
            <v>AACPI6575J</v>
          </cell>
        </row>
        <row r="107">
          <cell r="D107" t="str">
            <v>ACHPG2424M</v>
          </cell>
        </row>
        <row r="108">
          <cell r="D108" t="str">
            <v>AATPT8733A</v>
          </cell>
        </row>
        <row r="109">
          <cell r="D109" t="str">
            <v>ACPPB1747G</v>
          </cell>
        </row>
        <row r="110">
          <cell r="D110" t="str">
            <v>ANWPK6783D</v>
          </cell>
        </row>
        <row r="111">
          <cell r="D111" t="str">
            <v>AARPT3239R</v>
          </cell>
        </row>
        <row r="112">
          <cell r="D112" t="str">
            <v>ABXPP7459G</v>
          </cell>
        </row>
        <row r="113">
          <cell r="D113" t="str">
            <v>AEIPB2347F</v>
          </cell>
        </row>
        <row r="114">
          <cell r="D114" t="str">
            <v>ABJPW3484G</v>
          </cell>
        </row>
        <row r="115">
          <cell r="D115" t="str">
            <v>CEIPS6107Q</v>
          </cell>
        </row>
        <row r="116">
          <cell r="D116" t="str">
            <v>AEIPT1113R</v>
          </cell>
        </row>
        <row r="117">
          <cell r="D117" t="str">
            <v>AAGPW1208E</v>
          </cell>
        </row>
        <row r="118">
          <cell r="D118" t="str">
            <v>ABFPJ8346J</v>
          </cell>
        </row>
        <row r="119">
          <cell r="D119" t="str">
            <v>ADQPR7573N</v>
          </cell>
        </row>
        <row r="120">
          <cell r="D120" t="str">
            <v>ABVPJ7065Q</v>
          </cell>
        </row>
        <row r="121">
          <cell r="D121" t="str">
            <v>AEBPS3237A</v>
          </cell>
        </row>
        <row r="122">
          <cell r="D122" t="str">
            <v>AAGPE6252J</v>
          </cell>
        </row>
        <row r="123">
          <cell r="D123" t="str">
            <v>AERPS4830F</v>
          </cell>
        </row>
        <row r="124">
          <cell r="D124" t="str">
            <v>ANBPS1224J</v>
          </cell>
        </row>
        <row r="125">
          <cell r="D125" t="str">
            <v>ABCPD5591J</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J37-@sum(J22:J36)"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1.xml.rels><?xml version="1.0" encoding="UTF-8" standalone="yes"?>
<Relationships xmlns="http://schemas.openxmlformats.org/package/2006/relationships"><Relationship Id="rId1" Type="http://schemas.openxmlformats.org/officeDocument/2006/relationships/hyperlink" Target="mailto:+J37-@sum(J22:J36)" TargetMode="Externa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J37-@sum(J22:J36)" TargetMode="Externa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J37-@sum(J22:J36)" TargetMode="Externa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8.bin"/><Relationship Id="rId1" Type="http://schemas.openxmlformats.org/officeDocument/2006/relationships/hyperlink" Target="mailto:+J37-@sum(J22:J36)" TargetMode="External"/><Relationship Id="rId4" Type="http://schemas.openxmlformats.org/officeDocument/2006/relationships/comments" Target="../comments2.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9.bin"/><Relationship Id="rId1" Type="http://schemas.openxmlformats.org/officeDocument/2006/relationships/hyperlink" Target="mailto:+J37-@sum(J22:J36)" TargetMode="External"/><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10.bin"/><Relationship Id="rId1" Type="http://schemas.openxmlformats.org/officeDocument/2006/relationships/hyperlink" Target="mailto:+J37-@sum(J22:J36)" TargetMode="External"/><Relationship Id="rId4" Type="http://schemas.openxmlformats.org/officeDocument/2006/relationships/comments" Target="../comments4.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hyperlink" Target="mailto:+J37-@sum(J22:J36)" TargetMode="Externa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printerSettings" Target="../printerSettings/printerSettings11.bin"/><Relationship Id="rId1" Type="http://schemas.openxmlformats.org/officeDocument/2006/relationships/hyperlink" Target="mailto:+J37-@sum(J22:J36)" TargetMode="External"/><Relationship Id="rId4" Type="http://schemas.openxmlformats.org/officeDocument/2006/relationships/comments" Target="../comments6.xml"/></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hyperlink" Target="mailto:+J37-@sum(J22:J36)"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mailto:+J37-@sum(J22:J36)" TargetMode="External"/></Relationships>
</file>

<file path=xl/worksheets/_rels/sheet2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hyperlink" Target="mailto:+J37-@sum(J22:J36)" TargetMode="External"/></Relationships>
</file>

<file path=xl/worksheets/_rels/sheet2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hyperlink" Target="mailto:+J37-@sum(J22:J36)" TargetMode="External"/></Relationships>
</file>

<file path=xl/worksheets/_rels/sheet2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hyperlink" Target="mailto:+J37-@sum(J22:J36)" TargetMode="External"/></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13.bin"/><Relationship Id="rId1" Type="http://schemas.openxmlformats.org/officeDocument/2006/relationships/hyperlink" Target="mailto:+J37-@sum(J22:J36)" TargetMode="External"/><Relationship Id="rId4" Type="http://schemas.openxmlformats.org/officeDocument/2006/relationships/comments" Target="../comments10.xml"/></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printerSettings" Target="../printerSettings/printerSettings14.bin"/><Relationship Id="rId1" Type="http://schemas.openxmlformats.org/officeDocument/2006/relationships/hyperlink" Target="mailto:+J37-@sum(J22:J36)" TargetMode="External"/><Relationship Id="rId4" Type="http://schemas.openxmlformats.org/officeDocument/2006/relationships/comments" Target="../comments11.xm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1.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9.bin"/></Relationships>
</file>

<file path=xl/worksheets/_rels/sheet32.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hyperlink" Target="mailto:=@round(IF(G85%3c200000,0,IF(G85%3c220000,((G85-200000)*10%25),IF(G85%3c=500000,2000,IF(G85%3e=500000,0)))),.1)" TargetMode="Externa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22.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26.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45.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31.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47.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33.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49.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35.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51.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37.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56.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42.bin"/></Relationships>
</file>

<file path=xl/worksheets/_rels/sheet57.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printerSettings" Target="../printerSettings/printerSettings43.bin"/></Relationships>
</file>

<file path=xl/worksheets/_rels/sheet58.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printerSettings" Target="../printerSettings/printerSettings44.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61.xml.rels><?xml version="1.0" encoding="UTF-8" standalone="yes"?>
<Relationships xmlns="http://schemas.openxmlformats.org/package/2006/relationships"><Relationship Id="rId3" Type="http://schemas.openxmlformats.org/officeDocument/2006/relationships/comments" Target="../comments23.xml"/><Relationship Id="rId2" Type="http://schemas.openxmlformats.org/officeDocument/2006/relationships/vmlDrawing" Target="../drawings/vmlDrawing23.vml"/><Relationship Id="rId1" Type="http://schemas.openxmlformats.org/officeDocument/2006/relationships/printerSettings" Target="../printerSettings/printerSettings47.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63.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4.vml"/><Relationship Id="rId1" Type="http://schemas.openxmlformats.org/officeDocument/2006/relationships/printerSettings" Target="../printerSettings/printerSettings49.bin"/></Relationships>
</file>

<file path=xl/worksheets/_rels/sheet64.xml.rels><?xml version="1.0" encoding="UTF-8" standalone="yes"?>
<Relationships xmlns="http://schemas.openxmlformats.org/package/2006/relationships"><Relationship Id="rId3" Type="http://schemas.openxmlformats.org/officeDocument/2006/relationships/comments" Target="../comments25.xml"/><Relationship Id="rId2" Type="http://schemas.openxmlformats.org/officeDocument/2006/relationships/vmlDrawing" Target="../drawings/vmlDrawing25.vml"/><Relationship Id="rId1" Type="http://schemas.openxmlformats.org/officeDocument/2006/relationships/printerSettings" Target="../printerSettings/printerSettings50.bin"/></Relationships>
</file>

<file path=xl/worksheets/_rels/sheet65.xml.rels><?xml version="1.0" encoding="UTF-8" standalone="yes"?>
<Relationships xmlns="http://schemas.openxmlformats.org/package/2006/relationships"><Relationship Id="rId3" Type="http://schemas.openxmlformats.org/officeDocument/2006/relationships/comments" Target="../comments26.xml"/><Relationship Id="rId2" Type="http://schemas.openxmlformats.org/officeDocument/2006/relationships/vmlDrawing" Target="../drawings/vmlDrawing26.vml"/><Relationship Id="rId1" Type="http://schemas.openxmlformats.org/officeDocument/2006/relationships/printerSettings" Target="../printerSettings/printerSettings51.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71.xml.rels><?xml version="1.0" encoding="UTF-8" standalone="yes"?>
<Relationships xmlns="http://schemas.openxmlformats.org/package/2006/relationships"><Relationship Id="rId3" Type="http://schemas.openxmlformats.org/officeDocument/2006/relationships/comments" Target="../comments27.xml"/><Relationship Id="rId2" Type="http://schemas.openxmlformats.org/officeDocument/2006/relationships/vmlDrawing" Target="../drawings/vmlDrawing27.vml"/><Relationship Id="rId1" Type="http://schemas.openxmlformats.org/officeDocument/2006/relationships/printerSettings" Target="../printerSettings/printerSettings56.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74.xml.rels><?xml version="1.0" encoding="UTF-8" standalone="yes"?>
<Relationships xmlns="http://schemas.openxmlformats.org/package/2006/relationships"><Relationship Id="rId3" Type="http://schemas.openxmlformats.org/officeDocument/2006/relationships/comments" Target="../comments28.xml"/><Relationship Id="rId2" Type="http://schemas.openxmlformats.org/officeDocument/2006/relationships/vmlDrawing" Target="../drawings/vmlDrawing28.vml"/><Relationship Id="rId1" Type="http://schemas.openxmlformats.org/officeDocument/2006/relationships/printerSettings" Target="../printerSettings/printerSettings59.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76.xml.rels><?xml version="1.0" encoding="UTF-8" standalone="yes"?>
<Relationships xmlns="http://schemas.openxmlformats.org/package/2006/relationships"><Relationship Id="rId2" Type="http://schemas.openxmlformats.org/officeDocument/2006/relationships/printerSettings" Target="../printerSettings/printerSettings61.bin"/><Relationship Id="rId1" Type="http://schemas.openxmlformats.org/officeDocument/2006/relationships/hyperlink" Target="IT%202016-2017NP(Canara).xls" TargetMode="External"/></Relationships>
</file>

<file path=xl/worksheets/_rels/sheet77.xml.rels><?xml version="1.0" encoding="UTF-8" standalone="yes"?>
<Relationships xmlns="http://schemas.openxmlformats.org/package/2006/relationships"><Relationship Id="rId3" Type="http://schemas.openxmlformats.org/officeDocument/2006/relationships/comments" Target="../comments29.xml"/><Relationship Id="rId2" Type="http://schemas.openxmlformats.org/officeDocument/2006/relationships/vmlDrawing" Target="../drawings/vmlDrawing29.vml"/><Relationship Id="rId1" Type="http://schemas.openxmlformats.org/officeDocument/2006/relationships/printerSettings" Target="../printerSettings/printerSettings62.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82.xml.rels><?xml version="1.0" encoding="UTF-8" standalone="yes"?>
<Relationships xmlns="http://schemas.openxmlformats.org/package/2006/relationships"><Relationship Id="rId3" Type="http://schemas.openxmlformats.org/officeDocument/2006/relationships/comments" Target="../comments30.xml"/><Relationship Id="rId2" Type="http://schemas.openxmlformats.org/officeDocument/2006/relationships/vmlDrawing" Target="../drawings/vmlDrawing30.vml"/><Relationship Id="rId1" Type="http://schemas.openxmlformats.org/officeDocument/2006/relationships/hyperlink" Target="mailto:=@round(IF(G85%3c200000,0,IF(G85%3c220000,((G85-200000)*10%25),IF(G85%3c=500000,2000,IF(G85%3e=500000,0)))),.1)" TargetMode="External"/></Relationships>
</file>

<file path=xl/worksheets/_rels/sheet83.xml.rels><?xml version="1.0" encoding="UTF-8" standalone="yes"?>
<Relationships xmlns="http://schemas.openxmlformats.org/package/2006/relationships"><Relationship Id="rId3" Type="http://schemas.openxmlformats.org/officeDocument/2006/relationships/comments" Target="../comments31.xml"/><Relationship Id="rId2" Type="http://schemas.openxmlformats.org/officeDocument/2006/relationships/vmlDrawing" Target="../drawings/vmlDrawing31.vml"/><Relationship Id="rId1" Type="http://schemas.openxmlformats.org/officeDocument/2006/relationships/printerSettings" Target="../printerSettings/printerSettings64.bin"/></Relationships>
</file>

<file path=xl/worksheets/_rels/sheet84.xml.rels><?xml version="1.0" encoding="UTF-8" standalone="yes"?>
<Relationships xmlns="http://schemas.openxmlformats.org/package/2006/relationships"><Relationship Id="rId3" Type="http://schemas.openxmlformats.org/officeDocument/2006/relationships/comments" Target="../comments32.xml"/><Relationship Id="rId2" Type="http://schemas.openxmlformats.org/officeDocument/2006/relationships/vmlDrawing" Target="../drawings/vmlDrawing32.vml"/><Relationship Id="rId1" Type="http://schemas.openxmlformats.org/officeDocument/2006/relationships/printerSettings" Target="../printerSettings/printerSettings65.bin"/></Relationships>
</file>

<file path=xl/worksheets/_rels/sheet85.xml.rels><?xml version="1.0" encoding="UTF-8" standalone="yes"?>
<Relationships xmlns="http://schemas.openxmlformats.org/package/2006/relationships"><Relationship Id="rId3" Type="http://schemas.openxmlformats.org/officeDocument/2006/relationships/comments" Target="../comments33.xml"/><Relationship Id="rId2" Type="http://schemas.openxmlformats.org/officeDocument/2006/relationships/vmlDrawing" Target="../drawings/vmlDrawing33.vml"/><Relationship Id="rId1" Type="http://schemas.openxmlformats.org/officeDocument/2006/relationships/printerSettings" Target="../printerSettings/printerSettings66.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88.xml.rels><?xml version="1.0" encoding="UTF-8" standalone="yes"?>
<Relationships xmlns="http://schemas.openxmlformats.org/package/2006/relationships"><Relationship Id="rId3" Type="http://schemas.openxmlformats.org/officeDocument/2006/relationships/comments" Target="../comments34.xml"/><Relationship Id="rId2" Type="http://schemas.openxmlformats.org/officeDocument/2006/relationships/vmlDrawing" Target="../drawings/vmlDrawing34.vml"/><Relationship Id="rId1" Type="http://schemas.openxmlformats.org/officeDocument/2006/relationships/printerSettings" Target="../printerSettings/printerSettings69.bin"/></Relationships>
</file>

<file path=xl/worksheets/_rels/sheet89.xml.rels><?xml version="1.0" encoding="UTF-8" standalone="yes"?>
<Relationships xmlns="http://schemas.openxmlformats.org/package/2006/relationships"><Relationship Id="rId1" Type="http://schemas.openxmlformats.org/officeDocument/2006/relationships/hyperlink" Target="mailto:+J37-@sum(J22:J36)" TargetMode="External"/></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95.xml.rels><?xml version="1.0" encoding="UTF-8" standalone="yes"?>
<Relationships xmlns="http://schemas.openxmlformats.org/package/2006/relationships"><Relationship Id="rId3" Type="http://schemas.openxmlformats.org/officeDocument/2006/relationships/comments" Target="../comments35.xml"/><Relationship Id="rId2" Type="http://schemas.openxmlformats.org/officeDocument/2006/relationships/vmlDrawing" Target="../drawings/vmlDrawing35.vml"/><Relationship Id="rId1" Type="http://schemas.openxmlformats.org/officeDocument/2006/relationships/printerSettings" Target="../printerSettings/printerSettings75.bin"/></Relationships>
</file>

<file path=xl/worksheets/_rels/sheet96.xml.rels><?xml version="1.0" encoding="UTF-8" standalone="yes"?>
<Relationships xmlns="http://schemas.openxmlformats.org/package/2006/relationships"><Relationship Id="rId3" Type="http://schemas.openxmlformats.org/officeDocument/2006/relationships/comments" Target="../comments36.xml"/><Relationship Id="rId2" Type="http://schemas.openxmlformats.org/officeDocument/2006/relationships/vmlDrawing" Target="../drawings/vmlDrawing36.vml"/><Relationship Id="rId1" Type="http://schemas.openxmlformats.org/officeDocument/2006/relationships/printerSettings" Target="../printerSettings/printerSettings76.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110.xml.rels><?xml version="1.0" encoding="UTF-8" standalone="yes"?>
<Relationships xmlns="http://schemas.openxmlformats.org/package/2006/relationships"><Relationship Id="rId3" Type="http://schemas.openxmlformats.org/officeDocument/2006/relationships/comments" Target="../comments37.xml"/><Relationship Id="rId2" Type="http://schemas.openxmlformats.org/officeDocument/2006/relationships/vmlDrawing" Target="../drawings/vmlDrawing37.vml"/><Relationship Id="rId1" Type="http://schemas.openxmlformats.org/officeDocument/2006/relationships/printerSettings" Target="../printerSettings/printerSettings88.bin"/></Relationships>
</file>

<file path=xl/worksheets/_rels/sheet112.xml.rels><?xml version="1.0" encoding="UTF-8" standalone="yes"?>
<Relationships xmlns="http://schemas.openxmlformats.org/package/2006/relationships"><Relationship Id="rId3" Type="http://schemas.openxmlformats.org/officeDocument/2006/relationships/comments" Target="../comments38.xml"/><Relationship Id="rId2" Type="http://schemas.openxmlformats.org/officeDocument/2006/relationships/vmlDrawing" Target="../drawings/vmlDrawing38.vml"/><Relationship Id="rId1" Type="http://schemas.openxmlformats.org/officeDocument/2006/relationships/printerSettings" Target="../printerSettings/printerSettings89.bin"/></Relationships>
</file>

<file path=xl/worksheets/_rels/sheet113.xml.rels><?xml version="1.0" encoding="UTF-8" standalone="yes"?>
<Relationships xmlns="http://schemas.openxmlformats.org/package/2006/relationships"><Relationship Id="rId2" Type="http://schemas.openxmlformats.org/officeDocument/2006/relationships/comments" Target="../comments39.xml"/><Relationship Id="rId1" Type="http://schemas.openxmlformats.org/officeDocument/2006/relationships/vmlDrawing" Target="../drawings/vmlDrawing39.vml"/></Relationships>
</file>

<file path=xl/worksheets/_rels/sheet114.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116.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118.xml.rels><?xml version="1.0" encoding="UTF-8" standalone="yes"?>
<Relationships xmlns="http://schemas.openxmlformats.org/package/2006/relationships"><Relationship Id="rId3" Type="http://schemas.openxmlformats.org/officeDocument/2006/relationships/comments" Target="../comments40.xml"/><Relationship Id="rId2" Type="http://schemas.openxmlformats.org/officeDocument/2006/relationships/vmlDrawing" Target="../drawings/vmlDrawing40.vml"/><Relationship Id="rId1" Type="http://schemas.openxmlformats.org/officeDocument/2006/relationships/printerSettings" Target="../printerSettings/printerSettings93.bin"/></Relationships>
</file>

<file path=xl/worksheets/_rels/sheet119.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120.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121.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124.xml.rels><?xml version="1.0" encoding="UTF-8" standalone="yes"?>
<Relationships xmlns="http://schemas.openxmlformats.org/package/2006/relationships"><Relationship Id="rId3" Type="http://schemas.openxmlformats.org/officeDocument/2006/relationships/comments" Target="../comments41.xml"/><Relationship Id="rId2" Type="http://schemas.openxmlformats.org/officeDocument/2006/relationships/vmlDrawing" Target="../drawings/vmlDrawing41.vml"/><Relationship Id="rId1" Type="http://schemas.openxmlformats.org/officeDocument/2006/relationships/printerSettings" Target="../printerSettings/printerSettings99.bin"/></Relationships>
</file>

<file path=xl/worksheets/_rels/sheet125.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26.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27.xml.rels><?xml version="1.0" encoding="UTF-8" standalone="yes"?>
<Relationships xmlns="http://schemas.openxmlformats.org/package/2006/relationships"><Relationship Id="rId3" Type="http://schemas.openxmlformats.org/officeDocument/2006/relationships/comments" Target="../comments42.xml"/><Relationship Id="rId2" Type="http://schemas.openxmlformats.org/officeDocument/2006/relationships/vmlDrawing" Target="../drawings/vmlDrawing42.vml"/><Relationship Id="rId1" Type="http://schemas.openxmlformats.org/officeDocument/2006/relationships/printerSettings" Target="../printerSettings/printerSettings102.bin"/></Relationships>
</file>

<file path=xl/worksheets/_rels/sheet128.xml.rels><?xml version="1.0" encoding="UTF-8" standalone="yes"?>
<Relationships xmlns="http://schemas.openxmlformats.org/package/2006/relationships"><Relationship Id="rId3" Type="http://schemas.openxmlformats.org/officeDocument/2006/relationships/comments" Target="../comments43.xml"/><Relationship Id="rId2" Type="http://schemas.openxmlformats.org/officeDocument/2006/relationships/vmlDrawing" Target="../drawings/vmlDrawing43.vml"/><Relationship Id="rId1" Type="http://schemas.openxmlformats.org/officeDocument/2006/relationships/printerSettings" Target="../printerSettings/printerSettings103.bin"/></Relationships>
</file>

<file path=xl/worksheets/_rels/sheet129.xml.rels><?xml version="1.0" encoding="UTF-8" standalone="yes"?>
<Relationships xmlns="http://schemas.openxmlformats.org/package/2006/relationships"><Relationship Id="rId3" Type="http://schemas.openxmlformats.org/officeDocument/2006/relationships/comments" Target="../comments44.xml"/><Relationship Id="rId2" Type="http://schemas.openxmlformats.org/officeDocument/2006/relationships/vmlDrawing" Target="../drawings/vmlDrawing44.vml"/><Relationship Id="rId1" Type="http://schemas.openxmlformats.org/officeDocument/2006/relationships/printerSettings" Target="../printerSettings/printerSettings104.bin"/></Relationships>
</file>

<file path=xl/worksheets/_rels/sheet130.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31.xml.rels><?xml version="1.0" encoding="UTF-8" standalone="yes"?>
<Relationships xmlns="http://schemas.openxmlformats.org/package/2006/relationships"><Relationship Id="rId2" Type="http://schemas.openxmlformats.org/officeDocument/2006/relationships/comments" Target="../comments45.xml"/><Relationship Id="rId1" Type="http://schemas.openxmlformats.org/officeDocument/2006/relationships/vmlDrawing" Target="../drawings/vmlDrawing45.vml"/></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134.xml.rels><?xml version="1.0" encoding="UTF-8" standalone="yes"?>
<Relationships xmlns="http://schemas.openxmlformats.org/package/2006/relationships"><Relationship Id="rId2" Type="http://schemas.openxmlformats.org/officeDocument/2006/relationships/comments" Target="../comments46.xml"/><Relationship Id="rId1" Type="http://schemas.openxmlformats.org/officeDocument/2006/relationships/vmlDrawing" Target="../drawings/vmlDrawing46.vml"/></Relationships>
</file>

<file path=xl/worksheets/_rels/sheet135.xml.rels><?xml version="1.0" encoding="UTF-8" standalone="yes"?>
<Relationships xmlns="http://schemas.openxmlformats.org/package/2006/relationships"><Relationship Id="rId3" Type="http://schemas.openxmlformats.org/officeDocument/2006/relationships/comments" Target="../comments47.xml"/><Relationship Id="rId2" Type="http://schemas.openxmlformats.org/officeDocument/2006/relationships/vmlDrawing" Target="../drawings/vmlDrawing47.vml"/><Relationship Id="rId1" Type="http://schemas.openxmlformats.org/officeDocument/2006/relationships/printerSettings" Target="../printerSettings/printerSettings107.bin"/></Relationships>
</file>

<file path=xl/worksheets/_rels/sheet136.xml.rels><?xml version="1.0" encoding="UTF-8" standalone="yes"?>
<Relationships xmlns="http://schemas.openxmlformats.org/package/2006/relationships"><Relationship Id="rId3" Type="http://schemas.openxmlformats.org/officeDocument/2006/relationships/comments" Target="../comments48.xml"/><Relationship Id="rId2" Type="http://schemas.openxmlformats.org/officeDocument/2006/relationships/vmlDrawing" Target="../drawings/vmlDrawing48.vml"/><Relationship Id="rId1" Type="http://schemas.openxmlformats.org/officeDocument/2006/relationships/printerSettings" Target="../printerSettings/printerSettings108.bin"/></Relationships>
</file>

<file path=xl/worksheets/_rels/sheet137.xml.rels><?xml version="1.0" encoding="UTF-8" standalone="yes"?>
<Relationships xmlns="http://schemas.openxmlformats.org/package/2006/relationships"><Relationship Id="rId1" Type="http://schemas.openxmlformats.org/officeDocument/2006/relationships/printerSettings" Target="../printerSettings/printerSettings109.bin"/></Relationships>
</file>

<file path=xl/worksheets/_rels/sheet139.xml.rels><?xml version="1.0" encoding="UTF-8" standalone="yes"?>
<Relationships xmlns="http://schemas.openxmlformats.org/package/2006/relationships"><Relationship Id="rId1" Type="http://schemas.openxmlformats.org/officeDocument/2006/relationships/printerSettings" Target="../printerSettings/printerSettings110.bin"/></Relationships>
</file>

<file path=xl/worksheets/_rels/sheet140.xml.rels><?xml version="1.0" encoding="UTF-8" standalone="yes"?>
<Relationships xmlns="http://schemas.openxmlformats.org/package/2006/relationships"><Relationship Id="rId3" Type="http://schemas.openxmlformats.org/officeDocument/2006/relationships/comments" Target="../comments49.xml"/><Relationship Id="rId2" Type="http://schemas.openxmlformats.org/officeDocument/2006/relationships/vmlDrawing" Target="../drawings/vmlDrawing49.vml"/><Relationship Id="rId1" Type="http://schemas.openxmlformats.org/officeDocument/2006/relationships/printerSettings" Target="../printerSettings/printerSettings111.bin"/></Relationships>
</file>

<file path=xl/worksheets/_rels/sheet141.xml.rels><?xml version="1.0" encoding="UTF-8" standalone="yes"?>
<Relationships xmlns="http://schemas.openxmlformats.org/package/2006/relationships"><Relationship Id="rId3" Type="http://schemas.openxmlformats.org/officeDocument/2006/relationships/vmlDrawing" Target="../drawings/vmlDrawing50.vml"/><Relationship Id="rId2" Type="http://schemas.openxmlformats.org/officeDocument/2006/relationships/printerSettings" Target="../printerSettings/printerSettings112.bin"/><Relationship Id="rId1" Type="http://schemas.openxmlformats.org/officeDocument/2006/relationships/hyperlink" Target="mailto:+J37-@sum(J22:J36)" TargetMode="External"/><Relationship Id="rId4" Type="http://schemas.openxmlformats.org/officeDocument/2006/relationships/comments" Target="../comments50.xml"/></Relationships>
</file>

<file path=xl/worksheets/_rels/sheet142.xml.rels><?xml version="1.0" encoding="UTF-8" standalone="yes"?>
<Relationships xmlns="http://schemas.openxmlformats.org/package/2006/relationships"><Relationship Id="rId2" Type="http://schemas.openxmlformats.org/officeDocument/2006/relationships/printerSettings" Target="../printerSettings/printerSettings113.bin"/><Relationship Id="rId1" Type="http://schemas.openxmlformats.org/officeDocument/2006/relationships/hyperlink" Target="mailto:+J37-@sum(J22:J36)" TargetMode="External"/></Relationships>
</file>

<file path=xl/worksheets/_rels/sheet143.xml.rels><?xml version="1.0" encoding="UTF-8" standalone="yes"?>
<Relationships xmlns="http://schemas.openxmlformats.org/package/2006/relationships"><Relationship Id="rId2" Type="http://schemas.openxmlformats.org/officeDocument/2006/relationships/printerSettings" Target="../printerSettings/printerSettings114.bin"/><Relationship Id="rId1" Type="http://schemas.openxmlformats.org/officeDocument/2006/relationships/hyperlink" Target="mailto:+J37-@sum(J22:J36)" TargetMode="External"/></Relationships>
</file>

<file path=xl/worksheets/_rels/sheet144.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_rels/sheet148.xml.rels><?xml version="1.0" encoding="UTF-8" standalone="yes"?>
<Relationships xmlns="http://schemas.openxmlformats.org/package/2006/relationships"><Relationship Id="rId1" Type="http://schemas.openxmlformats.org/officeDocument/2006/relationships/printerSettings" Target="../printerSettings/printerSettings116.bin"/></Relationships>
</file>

<file path=xl/worksheets/_rels/sheet149.xml.rels><?xml version="1.0" encoding="UTF-8" standalone="yes"?>
<Relationships xmlns="http://schemas.openxmlformats.org/package/2006/relationships"><Relationship Id="rId2" Type="http://schemas.openxmlformats.org/officeDocument/2006/relationships/comments" Target="../comments51.xml"/><Relationship Id="rId1" Type="http://schemas.openxmlformats.org/officeDocument/2006/relationships/vmlDrawing" Target="../drawings/vmlDrawing51.vml"/></Relationships>
</file>

<file path=xl/worksheets/_rels/sheet150.xml.rels><?xml version="1.0" encoding="UTF-8" standalone="yes"?>
<Relationships xmlns="http://schemas.openxmlformats.org/package/2006/relationships"><Relationship Id="rId3" Type="http://schemas.openxmlformats.org/officeDocument/2006/relationships/comments" Target="../comments52.xml"/><Relationship Id="rId2" Type="http://schemas.openxmlformats.org/officeDocument/2006/relationships/vmlDrawing" Target="../drawings/vmlDrawing52.vml"/><Relationship Id="rId1" Type="http://schemas.openxmlformats.org/officeDocument/2006/relationships/printerSettings" Target="../printerSettings/printerSettings117.bin"/></Relationships>
</file>

<file path=xl/worksheets/_rels/sheet151.xml.rels><?xml version="1.0" encoding="UTF-8" standalone="yes"?>
<Relationships xmlns="http://schemas.openxmlformats.org/package/2006/relationships"><Relationship Id="rId3" Type="http://schemas.openxmlformats.org/officeDocument/2006/relationships/comments" Target="../comments53.xml"/><Relationship Id="rId2" Type="http://schemas.openxmlformats.org/officeDocument/2006/relationships/vmlDrawing" Target="../drawings/vmlDrawing53.vml"/><Relationship Id="rId1" Type="http://schemas.openxmlformats.org/officeDocument/2006/relationships/hyperlink" Target="mailto:=@round(IF(G85%3c200000,0,IF(G85%3c220000,((G85-200000)*10%25),IF(G85%3c=500000,2000,IF(G85%3e=500000,0)))),.1)" TargetMode="External"/></Relationships>
</file>

<file path=xl/worksheets/_rels/sheet152.xml.rels><?xml version="1.0" encoding="UTF-8" standalone="yes"?>
<Relationships xmlns="http://schemas.openxmlformats.org/package/2006/relationships"><Relationship Id="rId3" Type="http://schemas.openxmlformats.org/officeDocument/2006/relationships/comments" Target="../comments54.xml"/><Relationship Id="rId2" Type="http://schemas.openxmlformats.org/officeDocument/2006/relationships/vmlDrawing" Target="../drawings/vmlDrawing54.vml"/><Relationship Id="rId1" Type="http://schemas.openxmlformats.org/officeDocument/2006/relationships/hyperlink" Target="mailto:=@round(IF(G85%3c200000,0,IF(G85%3c220000,((G85-200000)*10%25),IF(G85%3c=500000,2000,IF(G85%3e=500000,0)))),.1)" TargetMode="External"/></Relationships>
</file>

<file path=xl/worksheets/_rels/sheet153.xml.rels><?xml version="1.0" encoding="UTF-8" standalone="yes"?>
<Relationships xmlns="http://schemas.openxmlformats.org/package/2006/relationships"><Relationship Id="rId3" Type="http://schemas.openxmlformats.org/officeDocument/2006/relationships/comments" Target="../comments55.xml"/><Relationship Id="rId2" Type="http://schemas.openxmlformats.org/officeDocument/2006/relationships/vmlDrawing" Target="../drawings/vmlDrawing55.vml"/><Relationship Id="rId1" Type="http://schemas.openxmlformats.org/officeDocument/2006/relationships/printerSettings" Target="../printerSettings/printerSettings1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73"/>
  <sheetViews>
    <sheetView topLeftCell="A53" workbookViewId="0">
      <selection activeCell="D69" sqref="D69"/>
    </sheetView>
  </sheetViews>
  <sheetFormatPr defaultRowHeight="15" outlineLevelRow="2" x14ac:dyDescent="0.25"/>
  <cols>
    <col min="1" max="1" width="7.140625" bestFit="1" customWidth="1"/>
    <col min="2" max="2" width="10" bestFit="1" customWidth="1"/>
    <col min="3" max="3" width="26.7109375" bestFit="1" customWidth="1"/>
    <col min="4" max="4" width="22.5703125" customWidth="1"/>
    <col min="5" max="5" width="11.85546875" style="291" bestFit="1" customWidth="1"/>
    <col min="6" max="6" width="10.7109375" style="291" bestFit="1" customWidth="1"/>
    <col min="8" max="8" width="13.85546875" bestFit="1" customWidth="1"/>
    <col min="9" max="9" width="10.7109375" bestFit="1" customWidth="1"/>
    <col min="10" max="11" width="8" bestFit="1" customWidth="1"/>
  </cols>
  <sheetData>
    <row r="1" spans="1:11" ht="15" customHeight="1" x14ac:dyDescent="0.25">
      <c r="A1" s="665" t="s">
        <v>1360</v>
      </c>
      <c r="B1" s="665" t="s">
        <v>1361</v>
      </c>
      <c r="C1" s="665" t="s">
        <v>1362</v>
      </c>
      <c r="D1" s="665" t="s">
        <v>1363</v>
      </c>
      <c r="E1" s="666" t="s">
        <v>1364</v>
      </c>
      <c r="F1" s="666" t="s">
        <v>1365</v>
      </c>
      <c r="I1">
        <v>2188653</v>
      </c>
      <c r="J1">
        <v>1127040</v>
      </c>
      <c r="K1">
        <f>SUM(I1:J1)</f>
        <v>3315693</v>
      </c>
    </row>
    <row r="2" spans="1:11" outlineLevel="2" x14ac:dyDescent="0.25">
      <c r="A2" s="664">
        <v>8</v>
      </c>
      <c r="B2" s="664">
        <v>204</v>
      </c>
      <c r="C2" s="664" t="s">
        <v>1373</v>
      </c>
      <c r="D2" s="664" t="s">
        <v>967</v>
      </c>
      <c r="E2" s="667">
        <v>110210</v>
      </c>
      <c r="F2" s="667">
        <v>14000</v>
      </c>
    </row>
    <row r="3" spans="1:11" outlineLevel="2" x14ac:dyDescent="0.25">
      <c r="A3" s="664">
        <v>8</v>
      </c>
      <c r="B3" s="664">
        <v>204</v>
      </c>
      <c r="C3" s="664" t="s">
        <v>1373</v>
      </c>
      <c r="D3" s="664" t="s">
        <v>967</v>
      </c>
      <c r="E3" s="667">
        <v>110210</v>
      </c>
      <c r="F3" s="667">
        <v>14000</v>
      </c>
    </row>
    <row r="4" spans="1:11" outlineLevel="2" x14ac:dyDescent="0.25">
      <c r="A4" s="664">
        <v>8</v>
      </c>
      <c r="B4" s="664">
        <v>204</v>
      </c>
      <c r="C4" s="664" t="s">
        <v>1373</v>
      </c>
      <c r="D4" s="664" t="s">
        <v>967</v>
      </c>
      <c r="E4" s="667">
        <v>110210</v>
      </c>
      <c r="F4" s="667">
        <v>14000</v>
      </c>
    </row>
    <row r="5" spans="1:11" outlineLevel="2" x14ac:dyDescent="0.25">
      <c r="A5" s="679">
        <v>12</v>
      </c>
      <c r="B5" s="679">
        <v>1580529</v>
      </c>
      <c r="C5" s="679" t="s">
        <v>1373</v>
      </c>
      <c r="D5" s="679" t="s">
        <v>967</v>
      </c>
      <c r="E5" s="686">
        <v>108150</v>
      </c>
      <c r="F5" s="686">
        <v>13800</v>
      </c>
    </row>
    <row r="6" spans="1:11" outlineLevel="1" x14ac:dyDescent="0.25">
      <c r="A6" s="679"/>
      <c r="B6" s="679"/>
      <c r="C6" s="679"/>
      <c r="D6" s="691" t="s">
        <v>1533</v>
      </c>
      <c r="E6" s="686">
        <f>SUBTOTAL(9,E2:E5)</f>
        <v>438780</v>
      </c>
      <c r="F6" s="686">
        <f>SUBTOTAL(9,F2:F5)</f>
        <v>55800</v>
      </c>
    </row>
    <row r="7" spans="1:11" outlineLevel="2" x14ac:dyDescent="0.25">
      <c r="A7" s="664">
        <v>1</v>
      </c>
      <c r="B7" s="664">
        <v>45</v>
      </c>
      <c r="C7" s="664" t="s">
        <v>1449</v>
      </c>
      <c r="D7" s="664" t="s">
        <v>787</v>
      </c>
      <c r="E7" s="667">
        <v>58348</v>
      </c>
      <c r="F7" s="667">
        <v>1500</v>
      </c>
    </row>
    <row r="8" spans="1:11" outlineLevel="2" x14ac:dyDescent="0.25">
      <c r="A8" s="664">
        <v>1</v>
      </c>
      <c r="B8" s="664">
        <v>45</v>
      </c>
      <c r="C8" s="664" t="s">
        <v>1449</v>
      </c>
      <c r="D8" s="664" t="s">
        <v>787</v>
      </c>
      <c r="E8" s="667">
        <v>58348</v>
      </c>
      <c r="F8" s="667">
        <v>1000</v>
      </c>
    </row>
    <row r="9" spans="1:11" outlineLevel="2" x14ac:dyDescent="0.25">
      <c r="A9" s="664">
        <v>1</v>
      </c>
      <c r="B9" s="664">
        <v>45</v>
      </c>
      <c r="C9" s="664" t="s">
        <v>1449</v>
      </c>
      <c r="D9" s="664" t="s">
        <v>787</v>
      </c>
      <c r="E9" s="667">
        <v>58348</v>
      </c>
      <c r="F9" s="667">
        <v>1000</v>
      </c>
    </row>
    <row r="10" spans="1:11" outlineLevel="2" x14ac:dyDescent="0.25">
      <c r="A10" s="679">
        <v>1</v>
      </c>
      <c r="B10" s="679">
        <v>4830336</v>
      </c>
      <c r="C10" s="679" t="s">
        <v>1449</v>
      </c>
      <c r="D10" s="679" t="s">
        <v>787</v>
      </c>
      <c r="E10" s="686">
        <v>57444</v>
      </c>
      <c r="F10" s="686">
        <v>1200</v>
      </c>
    </row>
    <row r="11" spans="1:11" outlineLevel="1" x14ac:dyDescent="0.25">
      <c r="A11" s="679"/>
      <c r="B11" s="679"/>
      <c r="C11" s="679"/>
      <c r="D11" s="691" t="s">
        <v>1534</v>
      </c>
      <c r="E11" s="686">
        <f>SUBTOTAL(9,E7:E10)</f>
        <v>232488</v>
      </c>
      <c r="F11" s="686">
        <f>SUBTOTAL(9,F7:F10)</f>
        <v>4700</v>
      </c>
    </row>
    <row r="12" spans="1:11" outlineLevel="2" x14ac:dyDescent="0.25">
      <c r="A12" s="664">
        <v>2</v>
      </c>
      <c r="B12" s="664">
        <v>105</v>
      </c>
      <c r="C12" s="664" t="s">
        <v>1396</v>
      </c>
      <c r="D12" s="679" t="s">
        <v>571</v>
      </c>
      <c r="E12" s="667">
        <v>129534</v>
      </c>
      <c r="F12" s="667">
        <v>16500</v>
      </c>
    </row>
    <row r="13" spans="1:11" outlineLevel="2" x14ac:dyDescent="0.25">
      <c r="A13" s="664">
        <v>2</v>
      </c>
      <c r="B13" s="664">
        <v>105</v>
      </c>
      <c r="C13" s="664" t="s">
        <v>1396</v>
      </c>
      <c r="D13" s="679" t="s">
        <v>571</v>
      </c>
      <c r="E13" s="667">
        <v>129534</v>
      </c>
      <c r="F13" s="667">
        <v>16500</v>
      </c>
    </row>
    <row r="14" spans="1:11" outlineLevel="2" x14ac:dyDescent="0.25">
      <c r="A14" s="664">
        <v>2</v>
      </c>
      <c r="B14" s="664">
        <v>105</v>
      </c>
      <c r="C14" s="664" t="s">
        <v>1396</v>
      </c>
      <c r="D14" s="679" t="s">
        <v>571</v>
      </c>
      <c r="E14" s="667">
        <v>129534</v>
      </c>
      <c r="F14" s="667">
        <v>16500</v>
      </c>
    </row>
    <row r="15" spans="1:11" outlineLevel="1" x14ac:dyDescent="0.25">
      <c r="A15" s="664"/>
      <c r="B15" s="664"/>
      <c r="C15" s="664"/>
      <c r="D15" s="692" t="s">
        <v>1535</v>
      </c>
      <c r="E15" s="667">
        <f>SUBTOTAL(9,E12:E14)</f>
        <v>388602</v>
      </c>
      <c r="F15" s="667">
        <f>SUBTOTAL(9,F12:F14)</f>
        <v>49500</v>
      </c>
    </row>
    <row r="16" spans="1:11" outlineLevel="2" x14ac:dyDescent="0.25">
      <c r="A16" s="664">
        <v>11</v>
      </c>
      <c r="B16" s="664">
        <v>263</v>
      </c>
      <c r="C16" s="664" t="s">
        <v>1376</v>
      </c>
      <c r="D16" s="664" t="s">
        <v>963</v>
      </c>
      <c r="E16" s="667">
        <v>137001</v>
      </c>
      <c r="F16" s="667">
        <v>10000</v>
      </c>
    </row>
    <row r="17" spans="1:6" outlineLevel="2" x14ac:dyDescent="0.25">
      <c r="A17" s="664">
        <v>11</v>
      </c>
      <c r="B17" s="664">
        <v>263</v>
      </c>
      <c r="C17" s="664" t="s">
        <v>1376</v>
      </c>
      <c r="D17" s="664" t="s">
        <v>963</v>
      </c>
      <c r="E17" s="667">
        <v>137001</v>
      </c>
      <c r="F17" s="667">
        <v>10000</v>
      </c>
    </row>
    <row r="18" spans="1:6" outlineLevel="2" x14ac:dyDescent="0.25">
      <c r="A18" s="664">
        <v>11</v>
      </c>
      <c r="B18" s="664">
        <v>263</v>
      </c>
      <c r="C18" s="664" t="s">
        <v>1376</v>
      </c>
      <c r="D18" s="664" t="s">
        <v>963</v>
      </c>
      <c r="E18" s="667">
        <v>137001</v>
      </c>
      <c r="F18" s="667">
        <v>10000</v>
      </c>
    </row>
    <row r="19" spans="1:6" outlineLevel="2" x14ac:dyDescent="0.25">
      <c r="A19" s="679">
        <v>5</v>
      </c>
      <c r="B19" s="679">
        <v>1090327</v>
      </c>
      <c r="C19" s="679" t="s">
        <v>1376</v>
      </c>
      <c r="D19" s="679" t="s">
        <v>963</v>
      </c>
      <c r="E19" s="686">
        <v>134883</v>
      </c>
      <c r="F19" s="686">
        <v>17600</v>
      </c>
    </row>
    <row r="20" spans="1:6" outlineLevel="1" x14ac:dyDescent="0.25">
      <c r="A20" s="679"/>
      <c r="B20" s="679"/>
      <c r="C20" s="679"/>
      <c r="D20" s="691" t="s">
        <v>1536</v>
      </c>
      <c r="E20" s="686">
        <f>SUBTOTAL(9,E16:E19)</f>
        <v>545886</v>
      </c>
      <c r="F20" s="686">
        <f>SUBTOTAL(9,F16:F19)</f>
        <v>47600</v>
      </c>
    </row>
    <row r="21" spans="1:6" outlineLevel="2" x14ac:dyDescent="0.25">
      <c r="A21" s="679">
        <v>5</v>
      </c>
      <c r="B21" s="679">
        <v>1430148</v>
      </c>
      <c r="C21" s="679" t="s">
        <v>1396</v>
      </c>
      <c r="D21" s="679" t="s">
        <v>571</v>
      </c>
      <c r="E21" s="686">
        <v>127530</v>
      </c>
      <c r="F21" s="686">
        <v>16511</v>
      </c>
    </row>
    <row r="22" spans="1:6" outlineLevel="1" x14ac:dyDescent="0.25">
      <c r="A22" s="679"/>
      <c r="B22" s="679"/>
      <c r="C22" s="679"/>
      <c r="D22" s="691" t="s">
        <v>1537</v>
      </c>
      <c r="E22" s="686">
        <f>SUBTOTAL(9,E21:E21)</f>
        <v>127530</v>
      </c>
      <c r="F22" s="686">
        <f>SUBTOTAL(9,F21:F21)</f>
        <v>16511</v>
      </c>
    </row>
    <row r="23" spans="1:6" outlineLevel="2" x14ac:dyDescent="0.25">
      <c r="A23" s="664">
        <v>1</v>
      </c>
      <c r="B23" s="664">
        <v>103</v>
      </c>
      <c r="C23" s="664" t="s">
        <v>1404</v>
      </c>
      <c r="D23" s="664" t="s">
        <v>567</v>
      </c>
      <c r="E23" s="667">
        <v>129534</v>
      </c>
      <c r="F23" s="667">
        <v>15000</v>
      </c>
    </row>
    <row r="24" spans="1:6" outlineLevel="2" x14ac:dyDescent="0.25">
      <c r="A24" s="664">
        <v>1</v>
      </c>
      <c r="B24" s="664">
        <v>103</v>
      </c>
      <c r="C24" s="664" t="s">
        <v>1404</v>
      </c>
      <c r="D24" s="664" t="s">
        <v>567</v>
      </c>
      <c r="E24" s="667">
        <v>129534</v>
      </c>
      <c r="F24" s="667">
        <v>15000</v>
      </c>
    </row>
    <row r="25" spans="1:6" outlineLevel="2" x14ac:dyDescent="0.25">
      <c r="A25" s="664">
        <v>1</v>
      </c>
      <c r="B25" s="664">
        <v>103</v>
      </c>
      <c r="C25" s="664" t="s">
        <v>1404</v>
      </c>
      <c r="D25" s="664" t="s">
        <v>567</v>
      </c>
      <c r="E25" s="667">
        <v>129534</v>
      </c>
      <c r="F25" s="667">
        <v>15000</v>
      </c>
    </row>
    <row r="26" spans="1:6" outlineLevel="2" x14ac:dyDescent="0.25">
      <c r="A26" s="679">
        <v>4</v>
      </c>
      <c r="B26" s="679">
        <v>1780146</v>
      </c>
      <c r="C26" s="679" t="s">
        <v>1404</v>
      </c>
      <c r="D26" s="679" t="s">
        <v>567</v>
      </c>
      <c r="E26" s="686">
        <v>127530</v>
      </c>
      <c r="F26" s="686">
        <v>14900</v>
      </c>
    </row>
    <row r="27" spans="1:6" outlineLevel="1" x14ac:dyDescent="0.25">
      <c r="A27" s="679"/>
      <c r="B27" s="679"/>
      <c r="C27" s="679"/>
      <c r="D27" s="691" t="s">
        <v>1538</v>
      </c>
      <c r="E27" s="686">
        <f>SUBTOTAL(9,E23:E26)</f>
        <v>516132</v>
      </c>
      <c r="F27" s="686">
        <f>SUBTOTAL(9,F23:F26)</f>
        <v>59900</v>
      </c>
    </row>
    <row r="28" spans="1:6" outlineLevel="2" x14ac:dyDescent="0.25">
      <c r="A28" s="664">
        <v>6</v>
      </c>
      <c r="B28" s="664">
        <v>52</v>
      </c>
      <c r="C28" s="664" t="s">
        <v>1433</v>
      </c>
      <c r="D28" s="664" t="s">
        <v>68</v>
      </c>
      <c r="E28" s="667">
        <v>63326</v>
      </c>
      <c r="F28" s="667">
        <v>3000</v>
      </c>
    </row>
    <row r="29" spans="1:6" outlineLevel="2" x14ac:dyDescent="0.25">
      <c r="A29" s="664">
        <v>6</v>
      </c>
      <c r="B29" s="664">
        <v>52</v>
      </c>
      <c r="C29" s="664" t="s">
        <v>1433</v>
      </c>
      <c r="D29" s="664" t="s">
        <v>68</v>
      </c>
      <c r="E29" s="667">
        <v>66208</v>
      </c>
      <c r="F29" s="667">
        <v>3000</v>
      </c>
    </row>
    <row r="30" spans="1:6" outlineLevel="2" x14ac:dyDescent="0.25">
      <c r="A30" s="664">
        <v>6</v>
      </c>
      <c r="B30" s="664">
        <v>52</v>
      </c>
      <c r="C30" s="664" t="s">
        <v>1433</v>
      </c>
      <c r="D30" s="664" t="s">
        <v>68</v>
      </c>
      <c r="E30" s="667">
        <v>66208</v>
      </c>
      <c r="F30" s="667">
        <v>3000</v>
      </c>
    </row>
    <row r="31" spans="1:6" outlineLevel="2" x14ac:dyDescent="0.25">
      <c r="A31" s="679">
        <v>2</v>
      </c>
      <c r="B31" s="664">
        <v>52</v>
      </c>
      <c r="C31" s="664" t="s">
        <v>1433</v>
      </c>
      <c r="D31" s="664" t="s">
        <v>68</v>
      </c>
      <c r="E31" s="686">
        <v>61552</v>
      </c>
      <c r="F31" s="690">
        <v>6155</v>
      </c>
    </row>
    <row r="32" spans="1:6" outlineLevel="2" x14ac:dyDescent="0.25">
      <c r="A32" s="679">
        <v>11</v>
      </c>
      <c r="B32" s="679">
        <v>4960470</v>
      </c>
      <c r="C32" s="679" t="s">
        <v>1433</v>
      </c>
      <c r="D32" s="679" t="s">
        <v>68</v>
      </c>
      <c r="E32" s="686">
        <v>62346</v>
      </c>
      <c r="F32" s="686">
        <v>2400</v>
      </c>
    </row>
    <row r="33" spans="1:6" outlineLevel="1" x14ac:dyDescent="0.25">
      <c r="A33" s="679"/>
      <c r="B33" s="679"/>
      <c r="C33" s="679"/>
      <c r="D33" s="691" t="s">
        <v>1539</v>
      </c>
      <c r="E33" s="686">
        <f>SUBTOTAL(9,E28:E32)</f>
        <v>319640</v>
      </c>
      <c r="F33" s="686">
        <f>SUBTOTAL(9,F28:F32)</f>
        <v>17555</v>
      </c>
    </row>
    <row r="34" spans="1:6" outlineLevel="2" x14ac:dyDescent="0.25">
      <c r="A34" s="664">
        <v>3</v>
      </c>
      <c r="B34" s="664">
        <v>112</v>
      </c>
      <c r="C34" s="664" t="s">
        <v>1398</v>
      </c>
      <c r="D34" s="664" t="s">
        <v>588</v>
      </c>
      <c r="E34" s="667">
        <v>92932</v>
      </c>
      <c r="F34" s="667">
        <v>7700</v>
      </c>
    </row>
    <row r="35" spans="1:6" outlineLevel="2" x14ac:dyDescent="0.25">
      <c r="A35" s="664">
        <v>3</v>
      </c>
      <c r="B35" s="664">
        <v>112</v>
      </c>
      <c r="C35" s="664" t="s">
        <v>1398</v>
      </c>
      <c r="D35" s="664" t="s">
        <v>588</v>
      </c>
      <c r="E35" s="667">
        <v>92932</v>
      </c>
      <c r="F35" s="667">
        <v>7700</v>
      </c>
    </row>
    <row r="36" spans="1:6" outlineLevel="2" x14ac:dyDescent="0.25">
      <c r="A36" s="664">
        <v>3</v>
      </c>
      <c r="B36" s="664">
        <v>112</v>
      </c>
      <c r="C36" s="664" t="s">
        <v>1398</v>
      </c>
      <c r="D36" s="664" t="s">
        <v>588</v>
      </c>
      <c r="E36" s="667">
        <v>92932</v>
      </c>
      <c r="F36" s="667">
        <v>7700</v>
      </c>
    </row>
    <row r="37" spans="1:6" outlineLevel="2" x14ac:dyDescent="0.25">
      <c r="A37" s="680">
        <v>4</v>
      </c>
      <c r="B37" s="679"/>
      <c r="C37" s="679" t="s">
        <v>1470</v>
      </c>
      <c r="D37" s="679" t="s">
        <v>588</v>
      </c>
      <c r="E37" s="686">
        <v>66828</v>
      </c>
      <c r="F37" s="686">
        <v>6682</v>
      </c>
    </row>
    <row r="38" spans="1:6" outlineLevel="2" x14ac:dyDescent="0.25">
      <c r="A38" s="679">
        <v>3</v>
      </c>
      <c r="B38" s="679">
        <v>1320156</v>
      </c>
      <c r="C38" s="679" t="s">
        <v>1398</v>
      </c>
      <c r="D38" s="679" t="s">
        <v>588</v>
      </c>
      <c r="E38" s="686">
        <v>91500</v>
      </c>
      <c r="F38" s="686">
        <v>7700</v>
      </c>
    </row>
    <row r="39" spans="1:6" outlineLevel="1" x14ac:dyDescent="0.25">
      <c r="A39" s="679"/>
      <c r="B39" s="679"/>
      <c r="C39" s="679"/>
      <c r="D39" s="691" t="s">
        <v>1540</v>
      </c>
      <c r="E39" s="686">
        <f>SUBTOTAL(9,E34:E38)</f>
        <v>437124</v>
      </c>
      <c r="F39" s="686">
        <f>SUBTOTAL(9,F34:F38)</f>
        <v>37482</v>
      </c>
    </row>
    <row r="40" spans="1:6" outlineLevel="2" x14ac:dyDescent="0.25">
      <c r="A40" s="664">
        <v>3</v>
      </c>
      <c r="B40" s="664">
        <v>19</v>
      </c>
      <c r="C40" s="664" t="s">
        <v>1415</v>
      </c>
      <c r="D40" s="664" t="s">
        <v>52</v>
      </c>
      <c r="E40" s="667">
        <v>104067</v>
      </c>
      <c r="F40" s="667">
        <v>10500</v>
      </c>
    </row>
    <row r="41" spans="1:6" outlineLevel="2" x14ac:dyDescent="0.25">
      <c r="A41" s="664">
        <v>3</v>
      </c>
      <c r="B41" s="664">
        <v>19</v>
      </c>
      <c r="C41" s="664" t="s">
        <v>1415</v>
      </c>
      <c r="D41" s="664" t="s">
        <v>52</v>
      </c>
      <c r="E41" s="667">
        <v>104067</v>
      </c>
      <c r="F41" s="667">
        <v>10000</v>
      </c>
    </row>
    <row r="42" spans="1:6" outlineLevel="2" x14ac:dyDescent="0.25">
      <c r="A42" s="664">
        <v>3</v>
      </c>
      <c r="B42" s="664">
        <v>19</v>
      </c>
      <c r="C42" s="664" t="s">
        <v>1415</v>
      </c>
      <c r="D42" s="664" t="s">
        <v>52</v>
      </c>
      <c r="E42" s="667">
        <v>104067</v>
      </c>
      <c r="F42" s="667">
        <v>10000</v>
      </c>
    </row>
    <row r="43" spans="1:6" outlineLevel="2" x14ac:dyDescent="0.25">
      <c r="A43" s="679">
        <v>13</v>
      </c>
      <c r="B43" s="679">
        <v>4210470</v>
      </c>
      <c r="C43" s="679" t="s">
        <v>1415</v>
      </c>
      <c r="D43" s="679" t="s">
        <v>52</v>
      </c>
      <c r="E43" s="686">
        <v>102465</v>
      </c>
      <c r="F43" s="686">
        <v>10900</v>
      </c>
    </row>
    <row r="44" spans="1:6" outlineLevel="1" x14ac:dyDescent="0.25">
      <c r="A44" s="679"/>
      <c r="B44" s="679"/>
      <c r="C44" s="679"/>
      <c r="D44" s="691" t="s">
        <v>1541</v>
      </c>
      <c r="E44" s="686">
        <f>SUBTOTAL(9,E40:E43)</f>
        <v>414666</v>
      </c>
      <c r="F44" s="686">
        <f>SUBTOTAL(9,F40:F43)</f>
        <v>41400</v>
      </c>
    </row>
    <row r="45" spans="1:6" outlineLevel="2" x14ac:dyDescent="0.25">
      <c r="A45" s="664">
        <v>2</v>
      </c>
      <c r="B45" s="664">
        <v>189</v>
      </c>
      <c r="C45" s="664" t="s">
        <v>1386</v>
      </c>
      <c r="D45" s="664" t="s">
        <v>933</v>
      </c>
      <c r="E45" s="667">
        <v>59920</v>
      </c>
      <c r="F45" s="667">
        <v>1500</v>
      </c>
    </row>
    <row r="46" spans="1:6" outlineLevel="2" x14ac:dyDescent="0.25">
      <c r="A46" s="664">
        <v>2</v>
      </c>
      <c r="B46" s="664">
        <v>189</v>
      </c>
      <c r="C46" s="664" t="s">
        <v>1386</v>
      </c>
      <c r="D46" s="664" t="s">
        <v>933</v>
      </c>
      <c r="E46" s="667">
        <v>59920</v>
      </c>
      <c r="F46" s="667">
        <v>1500</v>
      </c>
    </row>
    <row r="47" spans="1:6" outlineLevel="2" x14ac:dyDescent="0.25">
      <c r="A47" s="664">
        <v>2</v>
      </c>
      <c r="B47" s="664">
        <v>189</v>
      </c>
      <c r="C47" s="664" t="s">
        <v>1386</v>
      </c>
      <c r="D47" s="664" t="s">
        <v>933</v>
      </c>
      <c r="E47" s="667">
        <v>59920</v>
      </c>
      <c r="F47" s="667">
        <v>1500</v>
      </c>
    </row>
    <row r="48" spans="1:6" outlineLevel="2" x14ac:dyDescent="0.25">
      <c r="A48" s="679">
        <v>2</v>
      </c>
      <c r="B48" s="679">
        <v>4770336</v>
      </c>
      <c r="C48" s="679" t="s">
        <v>1386</v>
      </c>
      <c r="D48" s="679" t="s">
        <v>933</v>
      </c>
      <c r="E48" s="686">
        <v>58992</v>
      </c>
      <c r="F48" s="686">
        <v>1400</v>
      </c>
    </row>
    <row r="49" spans="1:6" outlineLevel="1" x14ac:dyDescent="0.25">
      <c r="A49" s="679"/>
      <c r="B49" s="679"/>
      <c r="C49" s="679"/>
      <c r="D49" s="691" t="s">
        <v>1542</v>
      </c>
      <c r="E49" s="686">
        <f>SUBTOTAL(9,E45:E48)</f>
        <v>238752</v>
      </c>
      <c r="F49" s="686">
        <f>SUBTOTAL(9,F45:F48)</f>
        <v>5900</v>
      </c>
    </row>
    <row r="50" spans="1:6" outlineLevel="2" x14ac:dyDescent="0.25">
      <c r="A50" s="664">
        <v>2</v>
      </c>
      <c r="B50" s="664">
        <v>251</v>
      </c>
      <c r="C50" s="664" t="s">
        <v>1451</v>
      </c>
      <c r="D50" s="664" t="s">
        <v>1189</v>
      </c>
      <c r="E50" s="667">
        <v>129534</v>
      </c>
      <c r="F50" s="667">
        <v>17000</v>
      </c>
    </row>
    <row r="51" spans="1:6" outlineLevel="2" x14ac:dyDescent="0.25">
      <c r="A51" s="664">
        <v>2</v>
      </c>
      <c r="B51" s="664">
        <v>251</v>
      </c>
      <c r="C51" s="664" t="s">
        <v>1451</v>
      </c>
      <c r="D51" s="664" t="s">
        <v>1189</v>
      </c>
      <c r="E51" s="667">
        <v>129534</v>
      </c>
      <c r="F51" s="667">
        <v>17000</v>
      </c>
    </row>
    <row r="52" spans="1:6" outlineLevel="2" x14ac:dyDescent="0.25">
      <c r="A52" s="664">
        <v>2</v>
      </c>
      <c r="B52" s="664">
        <v>251</v>
      </c>
      <c r="C52" s="664" t="s">
        <v>1451</v>
      </c>
      <c r="D52" s="664" t="s">
        <v>1189</v>
      </c>
      <c r="E52" s="667">
        <v>129534</v>
      </c>
      <c r="F52" s="667">
        <v>17000</v>
      </c>
    </row>
    <row r="53" spans="1:6" outlineLevel="2" x14ac:dyDescent="0.25">
      <c r="A53" s="679">
        <v>3</v>
      </c>
      <c r="B53" s="679">
        <v>1770146</v>
      </c>
      <c r="C53" s="679" t="s">
        <v>1451</v>
      </c>
      <c r="D53" s="679" t="s">
        <v>1189</v>
      </c>
      <c r="E53" s="686">
        <v>127530</v>
      </c>
      <c r="F53" s="686">
        <v>16900</v>
      </c>
    </row>
    <row r="54" spans="1:6" outlineLevel="1" x14ac:dyDescent="0.25">
      <c r="A54" s="679"/>
      <c r="B54" s="679"/>
      <c r="C54" s="679"/>
      <c r="D54" s="691" t="s">
        <v>1543</v>
      </c>
      <c r="E54" s="686">
        <f>SUBTOTAL(9,E50:E53)</f>
        <v>516132</v>
      </c>
      <c r="F54" s="686">
        <f>SUBTOTAL(9,F50:F53)</f>
        <v>67900</v>
      </c>
    </row>
    <row r="55" spans="1:6" outlineLevel="2" x14ac:dyDescent="0.25">
      <c r="A55" s="664">
        <v>3</v>
      </c>
      <c r="B55" s="664">
        <v>80</v>
      </c>
      <c r="C55" s="664" t="s">
        <v>1448</v>
      </c>
      <c r="D55" s="664" t="s">
        <v>781</v>
      </c>
      <c r="E55" s="667">
        <v>102292</v>
      </c>
      <c r="F55" s="667">
        <v>10000</v>
      </c>
    </row>
    <row r="56" spans="1:6" outlineLevel="2" x14ac:dyDescent="0.25">
      <c r="A56" s="664">
        <v>3</v>
      </c>
      <c r="B56" s="664">
        <v>80</v>
      </c>
      <c r="C56" s="664" t="s">
        <v>1448</v>
      </c>
      <c r="D56" s="664" t="s">
        <v>781</v>
      </c>
      <c r="E56" s="667">
        <v>102292</v>
      </c>
      <c r="F56" s="667">
        <v>10000</v>
      </c>
    </row>
    <row r="57" spans="1:6" outlineLevel="2" x14ac:dyDescent="0.25">
      <c r="A57" s="664">
        <v>3</v>
      </c>
      <c r="B57" s="664">
        <v>80</v>
      </c>
      <c r="C57" s="664" t="s">
        <v>1448</v>
      </c>
      <c r="D57" s="664" t="s">
        <v>781</v>
      </c>
      <c r="E57" s="667">
        <v>102292</v>
      </c>
      <c r="F57" s="667">
        <v>10000</v>
      </c>
    </row>
    <row r="58" spans="1:6" outlineLevel="2" x14ac:dyDescent="0.25">
      <c r="A58" s="679">
        <v>3</v>
      </c>
      <c r="B58" s="679">
        <v>4460346</v>
      </c>
      <c r="C58" s="679" t="s">
        <v>1448</v>
      </c>
      <c r="D58" s="679" t="s">
        <v>781</v>
      </c>
      <c r="E58" s="686">
        <v>100380</v>
      </c>
      <c r="F58" s="686">
        <v>10400</v>
      </c>
    </row>
    <row r="59" spans="1:6" outlineLevel="1" x14ac:dyDescent="0.25">
      <c r="A59" s="679"/>
      <c r="B59" s="679"/>
      <c r="C59" s="679"/>
      <c r="D59" s="691" t="s">
        <v>1544</v>
      </c>
      <c r="E59" s="686">
        <f>SUBTOTAL(9,E55:E58)</f>
        <v>407256</v>
      </c>
      <c r="F59" s="686">
        <f>SUBTOTAL(9,F55:F58)</f>
        <v>40400</v>
      </c>
    </row>
    <row r="60" spans="1:6" outlineLevel="2" x14ac:dyDescent="0.25">
      <c r="A60" s="664">
        <v>16</v>
      </c>
      <c r="B60" s="664">
        <v>5</v>
      </c>
      <c r="C60" s="664" t="s">
        <v>1382</v>
      </c>
      <c r="D60" s="664" t="s">
        <v>32</v>
      </c>
      <c r="E60" s="667">
        <v>110224</v>
      </c>
      <c r="F60" s="667">
        <v>13000</v>
      </c>
    </row>
    <row r="61" spans="1:6" outlineLevel="2" x14ac:dyDescent="0.25">
      <c r="A61" s="664">
        <v>16</v>
      </c>
      <c r="B61" s="664">
        <v>5</v>
      </c>
      <c r="C61" s="664" t="s">
        <v>1382</v>
      </c>
      <c r="D61" s="664" t="s">
        <v>32</v>
      </c>
      <c r="E61" s="667">
        <v>110224</v>
      </c>
      <c r="F61" s="667">
        <v>13000</v>
      </c>
    </row>
    <row r="62" spans="1:6" outlineLevel="2" x14ac:dyDescent="0.25">
      <c r="A62" s="664">
        <v>17</v>
      </c>
      <c r="B62" s="664">
        <v>5</v>
      </c>
      <c r="C62" s="664" t="s">
        <v>1382</v>
      </c>
      <c r="D62" s="664" t="s">
        <v>32</v>
      </c>
      <c r="E62" s="667">
        <v>110224</v>
      </c>
      <c r="F62" s="667">
        <v>13000</v>
      </c>
    </row>
    <row r="63" spans="1:6" outlineLevel="2" x14ac:dyDescent="0.25">
      <c r="A63" s="679">
        <v>16</v>
      </c>
      <c r="B63" s="679">
        <v>1750137</v>
      </c>
      <c r="C63" s="679" t="s">
        <v>1382</v>
      </c>
      <c r="D63" s="679" t="s">
        <v>32</v>
      </c>
      <c r="E63" s="686">
        <v>108528</v>
      </c>
      <c r="F63" s="686">
        <v>13000</v>
      </c>
    </row>
    <row r="64" spans="1:6" outlineLevel="1" x14ac:dyDescent="0.25">
      <c r="A64" s="679"/>
      <c r="B64" s="679"/>
      <c r="C64" s="679"/>
      <c r="D64" s="691" t="s">
        <v>1545</v>
      </c>
      <c r="E64" s="686">
        <f>SUBTOTAL(9,E60:E63)</f>
        <v>439200</v>
      </c>
      <c r="F64" s="686">
        <f>SUBTOTAL(9,F60:F63)</f>
        <v>52000</v>
      </c>
    </row>
    <row r="65" spans="1:6" outlineLevel="2" x14ac:dyDescent="0.25">
      <c r="A65" s="664">
        <v>1</v>
      </c>
      <c r="B65" s="664">
        <v>122</v>
      </c>
      <c r="C65" s="664" t="s">
        <v>1450</v>
      </c>
      <c r="D65" s="664" t="s">
        <v>582</v>
      </c>
      <c r="E65" s="667">
        <v>95552</v>
      </c>
      <c r="F65" s="667">
        <v>10000</v>
      </c>
    </row>
    <row r="66" spans="1:6" outlineLevel="2" x14ac:dyDescent="0.25">
      <c r="A66" s="664">
        <v>1</v>
      </c>
      <c r="B66" s="664">
        <v>122</v>
      </c>
      <c r="C66" s="664" t="s">
        <v>1450</v>
      </c>
      <c r="D66" s="664" t="s">
        <v>582</v>
      </c>
      <c r="E66" s="667">
        <v>95552</v>
      </c>
      <c r="F66" s="667">
        <v>10000</v>
      </c>
    </row>
    <row r="67" spans="1:6" outlineLevel="2" x14ac:dyDescent="0.25">
      <c r="A67" s="664">
        <v>1</v>
      </c>
      <c r="B67" s="664">
        <v>122</v>
      </c>
      <c r="C67" s="664" t="s">
        <v>1450</v>
      </c>
      <c r="D67" s="664" t="s">
        <v>582</v>
      </c>
      <c r="E67" s="667">
        <v>95552</v>
      </c>
      <c r="F67" s="667">
        <v>10000</v>
      </c>
    </row>
    <row r="68" spans="1:6" outlineLevel="2" x14ac:dyDescent="0.25">
      <c r="A68" s="679">
        <v>2</v>
      </c>
      <c r="B68" s="679">
        <v>1170470</v>
      </c>
      <c r="C68" s="679" t="s">
        <v>1450</v>
      </c>
      <c r="D68" s="679" t="s">
        <v>582</v>
      </c>
      <c r="E68" s="686">
        <v>94080</v>
      </c>
      <c r="F68" s="686">
        <v>10000</v>
      </c>
    </row>
    <row r="69" spans="1:6" outlineLevel="1" x14ac:dyDescent="0.25">
      <c r="A69" s="679"/>
      <c r="B69" s="679"/>
      <c r="C69" s="679"/>
      <c r="D69" s="691" t="s">
        <v>1546</v>
      </c>
      <c r="E69" s="686">
        <f>SUBTOTAL(9,E65:E68)</f>
        <v>380736</v>
      </c>
      <c r="F69" s="686">
        <f>SUBTOTAL(9,F65:F68)</f>
        <v>40000</v>
      </c>
    </row>
    <row r="70" spans="1:6" outlineLevel="2" x14ac:dyDescent="0.25">
      <c r="A70" s="664">
        <v>2</v>
      </c>
      <c r="B70" s="664">
        <v>176</v>
      </c>
      <c r="C70" s="664" t="s">
        <v>1391</v>
      </c>
      <c r="D70" s="664" t="s">
        <v>931</v>
      </c>
      <c r="E70" s="667">
        <v>137001</v>
      </c>
      <c r="F70" s="667">
        <v>19000</v>
      </c>
    </row>
    <row r="71" spans="1:6" outlineLevel="2" x14ac:dyDescent="0.25">
      <c r="A71" s="664">
        <v>2</v>
      </c>
      <c r="B71" s="664">
        <v>176</v>
      </c>
      <c r="C71" s="664" t="s">
        <v>1391</v>
      </c>
      <c r="D71" s="664" t="s">
        <v>931</v>
      </c>
      <c r="E71" s="667">
        <v>137001</v>
      </c>
      <c r="F71" s="667">
        <v>19000</v>
      </c>
    </row>
    <row r="72" spans="1:6" outlineLevel="2" x14ac:dyDescent="0.25">
      <c r="A72" s="664">
        <v>2</v>
      </c>
      <c r="B72" s="664">
        <v>176</v>
      </c>
      <c r="C72" s="664" t="s">
        <v>1391</v>
      </c>
      <c r="D72" s="664" t="s">
        <v>931</v>
      </c>
      <c r="E72" s="667">
        <v>137001</v>
      </c>
      <c r="F72" s="667">
        <v>19000</v>
      </c>
    </row>
    <row r="73" spans="1:6" outlineLevel="2" x14ac:dyDescent="0.25">
      <c r="A73" s="679">
        <v>3</v>
      </c>
      <c r="B73" s="679">
        <v>1740146</v>
      </c>
      <c r="C73" s="679" t="s">
        <v>1391</v>
      </c>
      <c r="D73" s="679" t="s">
        <v>931</v>
      </c>
      <c r="E73" s="686">
        <v>134883</v>
      </c>
      <c r="F73" s="686">
        <v>18900</v>
      </c>
    </row>
    <row r="74" spans="1:6" outlineLevel="1" x14ac:dyDescent="0.25">
      <c r="A74" s="679"/>
      <c r="B74" s="679"/>
      <c r="C74" s="679"/>
      <c r="D74" s="691" t="s">
        <v>1547</v>
      </c>
      <c r="E74" s="686">
        <f>SUBTOTAL(9,E70:E73)</f>
        <v>545886</v>
      </c>
      <c r="F74" s="686">
        <f>SUBTOTAL(9,F70:F73)</f>
        <v>75900</v>
      </c>
    </row>
    <row r="75" spans="1:6" outlineLevel="2" x14ac:dyDescent="0.25">
      <c r="A75" s="664">
        <v>6</v>
      </c>
      <c r="B75" s="664">
        <v>202</v>
      </c>
      <c r="C75" s="664" t="s">
        <v>1371</v>
      </c>
      <c r="D75" s="664" t="s">
        <v>921</v>
      </c>
      <c r="E75" s="667">
        <v>92932</v>
      </c>
      <c r="F75" s="667">
        <v>8000</v>
      </c>
    </row>
    <row r="76" spans="1:6" outlineLevel="2" x14ac:dyDescent="0.25">
      <c r="A76" s="664">
        <v>6</v>
      </c>
      <c r="B76" s="664">
        <v>202</v>
      </c>
      <c r="C76" s="664" t="s">
        <v>1371</v>
      </c>
      <c r="D76" s="664" t="s">
        <v>921</v>
      </c>
      <c r="E76" s="667">
        <v>92932</v>
      </c>
      <c r="F76" s="667">
        <v>8000</v>
      </c>
    </row>
    <row r="77" spans="1:6" outlineLevel="2" x14ac:dyDescent="0.25">
      <c r="A77" s="664">
        <v>6</v>
      </c>
      <c r="B77" s="664">
        <v>202</v>
      </c>
      <c r="C77" s="664" t="s">
        <v>1371</v>
      </c>
      <c r="D77" s="664" t="s">
        <v>921</v>
      </c>
      <c r="E77" s="667">
        <v>92932</v>
      </c>
      <c r="F77" s="667">
        <v>8000</v>
      </c>
    </row>
    <row r="78" spans="1:6" outlineLevel="2" x14ac:dyDescent="0.25">
      <c r="A78" s="680">
        <v>7</v>
      </c>
      <c r="B78" s="679"/>
      <c r="C78" s="679" t="s">
        <v>1473</v>
      </c>
      <c r="D78" s="679" t="s">
        <v>921</v>
      </c>
      <c r="E78" s="686">
        <v>61257</v>
      </c>
      <c r="F78" s="686">
        <v>6126</v>
      </c>
    </row>
    <row r="79" spans="1:6" outlineLevel="2" x14ac:dyDescent="0.25">
      <c r="A79" s="679">
        <v>11</v>
      </c>
      <c r="B79" s="679">
        <v>1400462</v>
      </c>
      <c r="C79" s="679" t="s">
        <v>1371</v>
      </c>
      <c r="D79" s="679" t="s">
        <v>921</v>
      </c>
      <c r="E79" s="686">
        <v>91500</v>
      </c>
      <c r="F79" s="686">
        <v>8000</v>
      </c>
    </row>
    <row r="80" spans="1:6" outlineLevel="1" x14ac:dyDescent="0.25">
      <c r="A80" s="679"/>
      <c r="B80" s="679"/>
      <c r="C80" s="679"/>
      <c r="D80" s="691" t="s">
        <v>1548</v>
      </c>
      <c r="E80" s="686">
        <f>SUBTOTAL(9,E75:E79)</f>
        <v>431553</v>
      </c>
      <c r="F80" s="686">
        <f>SUBTOTAL(9,F75:F79)</f>
        <v>38126</v>
      </c>
    </row>
    <row r="81" spans="1:6" outlineLevel="2" x14ac:dyDescent="0.25">
      <c r="A81" s="664">
        <v>2</v>
      </c>
      <c r="B81" s="664">
        <v>14</v>
      </c>
      <c r="C81" s="664" t="s">
        <v>1414</v>
      </c>
      <c r="D81" s="664" t="s">
        <v>36</v>
      </c>
      <c r="E81" s="667">
        <v>90312</v>
      </c>
      <c r="F81" s="667">
        <v>7000</v>
      </c>
    </row>
    <row r="82" spans="1:6" outlineLevel="2" x14ac:dyDescent="0.25">
      <c r="A82" s="664">
        <v>2</v>
      </c>
      <c r="B82" s="664">
        <v>14</v>
      </c>
      <c r="C82" s="664" t="s">
        <v>1414</v>
      </c>
      <c r="D82" s="664" t="s">
        <v>36</v>
      </c>
      <c r="E82" s="667">
        <v>90312</v>
      </c>
      <c r="F82" s="667">
        <v>7000</v>
      </c>
    </row>
    <row r="83" spans="1:6" outlineLevel="2" x14ac:dyDescent="0.25">
      <c r="A83" s="664">
        <v>2</v>
      </c>
      <c r="B83" s="664">
        <v>14</v>
      </c>
      <c r="C83" s="664" t="s">
        <v>1414</v>
      </c>
      <c r="D83" s="664" t="s">
        <v>36</v>
      </c>
      <c r="E83" s="667">
        <v>90312</v>
      </c>
      <c r="F83" s="667">
        <v>7000</v>
      </c>
    </row>
    <row r="84" spans="1:6" outlineLevel="2" x14ac:dyDescent="0.25">
      <c r="A84" s="679">
        <v>1</v>
      </c>
      <c r="B84" s="679"/>
      <c r="C84" s="679" t="s">
        <v>1467</v>
      </c>
      <c r="D84" s="679" t="s">
        <v>36</v>
      </c>
      <c r="E84" s="686">
        <v>55761</v>
      </c>
      <c r="F84" s="686">
        <v>5576</v>
      </c>
    </row>
    <row r="85" spans="1:6" outlineLevel="2" x14ac:dyDescent="0.25">
      <c r="A85" s="679">
        <v>5</v>
      </c>
      <c r="B85" s="679">
        <v>1290156</v>
      </c>
      <c r="C85" s="679" t="s">
        <v>1414</v>
      </c>
      <c r="D85" s="679" t="s">
        <v>36</v>
      </c>
      <c r="E85" s="686">
        <v>88920</v>
      </c>
      <c r="F85" s="686">
        <v>6900</v>
      </c>
    </row>
    <row r="86" spans="1:6" outlineLevel="1" x14ac:dyDescent="0.25">
      <c r="A86" s="679"/>
      <c r="B86" s="679"/>
      <c r="C86" s="679"/>
      <c r="D86" s="691" t="s">
        <v>1549</v>
      </c>
      <c r="E86" s="686">
        <f>SUBTOTAL(9,E81:E85)</f>
        <v>415617</v>
      </c>
      <c r="F86" s="686">
        <f>SUBTOTAL(9,F81:F85)</f>
        <v>33476</v>
      </c>
    </row>
    <row r="87" spans="1:6" outlineLevel="2" x14ac:dyDescent="0.25">
      <c r="A87" s="664">
        <v>2</v>
      </c>
      <c r="B87" s="664">
        <v>121</v>
      </c>
      <c r="C87" s="664" t="s">
        <v>1412</v>
      </c>
      <c r="D87" s="664" t="s">
        <v>599</v>
      </c>
      <c r="E87" s="667">
        <v>61623</v>
      </c>
      <c r="F87" s="667">
        <v>1000</v>
      </c>
    </row>
    <row r="88" spans="1:6" outlineLevel="2" x14ac:dyDescent="0.25">
      <c r="A88" s="664">
        <v>2</v>
      </c>
      <c r="B88" s="664">
        <v>121</v>
      </c>
      <c r="C88" s="664" t="s">
        <v>1412</v>
      </c>
      <c r="D88" s="664" t="s">
        <v>599</v>
      </c>
      <c r="E88" s="667">
        <v>61623</v>
      </c>
      <c r="F88" s="667">
        <v>1000</v>
      </c>
    </row>
    <row r="89" spans="1:6" outlineLevel="2" x14ac:dyDescent="0.25">
      <c r="A89" s="679">
        <v>2</v>
      </c>
      <c r="B89" s="679">
        <v>4860336</v>
      </c>
      <c r="C89" s="679" t="s">
        <v>1412</v>
      </c>
      <c r="D89" s="679" t="s">
        <v>599</v>
      </c>
      <c r="E89" s="686">
        <v>60669</v>
      </c>
      <c r="F89" s="686">
        <v>770</v>
      </c>
    </row>
    <row r="90" spans="1:6" outlineLevel="1" x14ac:dyDescent="0.25">
      <c r="A90" s="679"/>
      <c r="B90" s="679"/>
      <c r="C90" s="679"/>
      <c r="D90" s="691" t="s">
        <v>1550</v>
      </c>
      <c r="E90" s="686">
        <f>SUBTOTAL(9,E87:E89)</f>
        <v>183915</v>
      </c>
      <c r="F90" s="686">
        <f>SUBTOTAL(9,F87:F89)</f>
        <v>2770</v>
      </c>
    </row>
    <row r="91" spans="1:6" outlineLevel="2" x14ac:dyDescent="0.25">
      <c r="A91" s="664">
        <v>1</v>
      </c>
      <c r="B91" s="664">
        <v>119</v>
      </c>
      <c r="C91" s="664" t="s">
        <v>1411</v>
      </c>
      <c r="D91" s="664" t="s">
        <v>608</v>
      </c>
      <c r="E91" s="667">
        <v>59920</v>
      </c>
      <c r="F91" s="667">
        <v>1000</v>
      </c>
    </row>
    <row r="92" spans="1:6" outlineLevel="2" x14ac:dyDescent="0.25">
      <c r="A92" s="664">
        <v>1</v>
      </c>
      <c r="B92" s="664">
        <v>119</v>
      </c>
      <c r="C92" s="664" t="s">
        <v>1411</v>
      </c>
      <c r="D92" s="664" t="s">
        <v>608</v>
      </c>
      <c r="E92" s="667">
        <v>59920</v>
      </c>
      <c r="F92" s="667">
        <v>1000</v>
      </c>
    </row>
    <row r="93" spans="1:6" outlineLevel="2" x14ac:dyDescent="0.25">
      <c r="A93" s="664">
        <v>1</v>
      </c>
      <c r="B93" s="664">
        <v>119</v>
      </c>
      <c r="C93" s="664" t="s">
        <v>1411</v>
      </c>
      <c r="D93" s="664" t="s">
        <v>608</v>
      </c>
      <c r="E93" s="667">
        <v>59920</v>
      </c>
      <c r="F93" s="667">
        <v>1000</v>
      </c>
    </row>
    <row r="94" spans="1:6" outlineLevel="2" x14ac:dyDescent="0.25">
      <c r="A94" s="679">
        <v>1</v>
      </c>
      <c r="B94" s="679">
        <v>4780336</v>
      </c>
      <c r="C94" s="679" t="s">
        <v>1411</v>
      </c>
      <c r="D94" s="679" t="s">
        <v>608</v>
      </c>
      <c r="E94" s="686">
        <v>58992</v>
      </c>
      <c r="F94" s="686">
        <v>1400</v>
      </c>
    </row>
    <row r="95" spans="1:6" outlineLevel="1" x14ac:dyDescent="0.25">
      <c r="A95" s="679"/>
      <c r="B95" s="679"/>
      <c r="C95" s="679"/>
      <c r="D95" s="691" t="s">
        <v>1551</v>
      </c>
      <c r="E95" s="686">
        <f>SUBTOTAL(9,E91:E94)</f>
        <v>238752</v>
      </c>
      <c r="F95" s="686">
        <f>SUBTOTAL(9,F91:F94)</f>
        <v>4400</v>
      </c>
    </row>
    <row r="96" spans="1:6" outlineLevel="2" x14ac:dyDescent="0.25">
      <c r="A96" s="664">
        <v>5</v>
      </c>
      <c r="B96" s="664">
        <v>44</v>
      </c>
      <c r="C96" s="664" t="s">
        <v>1441</v>
      </c>
      <c r="D96" s="664" t="s">
        <v>764</v>
      </c>
      <c r="E96" s="667">
        <v>58348</v>
      </c>
      <c r="F96" s="667">
        <v>1500</v>
      </c>
    </row>
    <row r="97" spans="1:6" outlineLevel="2" x14ac:dyDescent="0.25">
      <c r="A97" s="664">
        <v>5</v>
      </c>
      <c r="B97" s="664">
        <v>44</v>
      </c>
      <c r="C97" s="664" t="s">
        <v>1441</v>
      </c>
      <c r="D97" s="664" t="s">
        <v>764</v>
      </c>
      <c r="E97" s="667">
        <v>58348</v>
      </c>
      <c r="F97" s="667">
        <v>1500</v>
      </c>
    </row>
    <row r="98" spans="1:6" outlineLevel="2" x14ac:dyDescent="0.25">
      <c r="A98" s="664">
        <v>5</v>
      </c>
      <c r="B98" s="664">
        <v>44</v>
      </c>
      <c r="C98" s="664" t="s">
        <v>1441</v>
      </c>
      <c r="D98" s="664" t="s">
        <v>764</v>
      </c>
      <c r="E98" s="667">
        <v>58348</v>
      </c>
      <c r="F98" s="667">
        <v>1500</v>
      </c>
    </row>
    <row r="99" spans="1:6" outlineLevel="2" x14ac:dyDescent="0.25">
      <c r="A99" s="679">
        <v>5</v>
      </c>
      <c r="B99" s="679">
        <v>4840336</v>
      </c>
      <c r="C99" s="679" t="s">
        <v>1441</v>
      </c>
      <c r="D99" s="679" t="s">
        <v>764</v>
      </c>
      <c r="E99" s="686">
        <v>57444</v>
      </c>
      <c r="F99" s="686">
        <v>1200</v>
      </c>
    </row>
    <row r="100" spans="1:6" outlineLevel="1" x14ac:dyDescent="0.25">
      <c r="A100" s="679"/>
      <c r="B100" s="679"/>
      <c r="C100" s="679"/>
      <c r="D100" s="691" t="s">
        <v>1552</v>
      </c>
      <c r="E100" s="686">
        <f>SUBTOTAL(9,E96:E99)</f>
        <v>232488</v>
      </c>
      <c r="F100" s="686">
        <f>SUBTOTAL(9,F96:F99)</f>
        <v>5700</v>
      </c>
    </row>
    <row r="101" spans="1:6" outlineLevel="2" x14ac:dyDescent="0.25">
      <c r="A101" s="664">
        <v>4</v>
      </c>
      <c r="B101" s="664">
        <v>199</v>
      </c>
      <c r="C101" s="664" t="s">
        <v>1369</v>
      </c>
      <c r="D101" s="664" t="s">
        <v>935</v>
      </c>
      <c r="E101" s="667">
        <v>119185</v>
      </c>
      <c r="F101" s="667">
        <v>9000</v>
      </c>
    </row>
    <row r="102" spans="1:6" outlineLevel="2" x14ac:dyDescent="0.25">
      <c r="A102" s="664">
        <v>4</v>
      </c>
      <c r="B102" s="664">
        <v>199</v>
      </c>
      <c r="C102" s="664" t="s">
        <v>1369</v>
      </c>
      <c r="D102" s="664" t="s">
        <v>935</v>
      </c>
      <c r="E102" s="667">
        <v>119185</v>
      </c>
      <c r="F102" s="667">
        <v>9000</v>
      </c>
    </row>
    <row r="103" spans="1:6" outlineLevel="2" x14ac:dyDescent="0.25">
      <c r="A103" s="664">
        <v>4</v>
      </c>
      <c r="B103" s="664">
        <v>199</v>
      </c>
      <c r="C103" s="664" t="s">
        <v>1369</v>
      </c>
      <c r="D103" s="664" t="s">
        <v>935</v>
      </c>
      <c r="E103" s="667">
        <v>119185</v>
      </c>
      <c r="F103" s="667">
        <v>9000</v>
      </c>
    </row>
    <row r="104" spans="1:6" outlineLevel="2" x14ac:dyDescent="0.25">
      <c r="A104" s="679">
        <v>15</v>
      </c>
      <c r="B104" s="679">
        <v>1730148</v>
      </c>
      <c r="C104" s="679" t="s">
        <v>1369</v>
      </c>
      <c r="D104" s="679" t="s">
        <v>935</v>
      </c>
      <c r="E104" s="686">
        <v>117339</v>
      </c>
      <c r="F104" s="686">
        <v>8900</v>
      </c>
    </row>
    <row r="105" spans="1:6" outlineLevel="1" x14ac:dyDescent="0.25">
      <c r="A105" s="679"/>
      <c r="B105" s="679"/>
      <c r="C105" s="679"/>
      <c r="D105" s="691" t="s">
        <v>1553</v>
      </c>
      <c r="E105" s="686">
        <f>SUBTOTAL(9,E101:E104)</f>
        <v>474894</v>
      </c>
      <c r="F105" s="686">
        <f>SUBTOTAL(9,F101:F104)</f>
        <v>35900</v>
      </c>
    </row>
    <row r="106" spans="1:6" outlineLevel="2" x14ac:dyDescent="0.25">
      <c r="A106" s="664">
        <v>13</v>
      </c>
      <c r="B106" s="664">
        <v>267</v>
      </c>
      <c r="C106" s="664" t="s">
        <v>1378</v>
      </c>
      <c r="D106" s="664" t="s">
        <v>1346</v>
      </c>
      <c r="E106" s="667">
        <v>113313</v>
      </c>
      <c r="F106" s="667">
        <v>18000</v>
      </c>
    </row>
    <row r="107" spans="1:6" outlineLevel="2" x14ac:dyDescent="0.25">
      <c r="A107" s="664">
        <v>13</v>
      </c>
      <c r="B107" s="664">
        <v>267</v>
      </c>
      <c r="C107" s="664" t="s">
        <v>1378</v>
      </c>
      <c r="D107" s="664" t="s">
        <v>1346</v>
      </c>
      <c r="E107" s="667">
        <v>113313</v>
      </c>
      <c r="F107" s="667">
        <v>18000</v>
      </c>
    </row>
    <row r="108" spans="1:6" outlineLevel="2" x14ac:dyDescent="0.25">
      <c r="A108" s="664">
        <v>13</v>
      </c>
      <c r="B108" s="664">
        <v>267</v>
      </c>
      <c r="C108" s="664" t="s">
        <v>1378</v>
      </c>
      <c r="D108" s="664" t="s">
        <v>1346</v>
      </c>
      <c r="E108" s="667">
        <v>113313</v>
      </c>
      <c r="F108" s="667">
        <v>18000</v>
      </c>
    </row>
    <row r="109" spans="1:6" outlineLevel="2" x14ac:dyDescent="0.25">
      <c r="A109" s="679">
        <v>8</v>
      </c>
      <c r="B109" s="679">
        <v>1270325</v>
      </c>
      <c r="C109" s="679" t="s">
        <v>1378</v>
      </c>
      <c r="D109" s="679" t="s">
        <v>1346</v>
      </c>
      <c r="E109" s="686">
        <v>111195</v>
      </c>
      <c r="F109" s="686">
        <v>17800</v>
      </c>
    </row>
    <row r="110" spans="1:6" outlineLevel="1" x14ac:dyDescent="0.25">
      <c r="A110" s="679"/>
      <c r="B110" s="679"/>
      <c r="C110" s="679"/>
      <c r="D110" s="691" t="s">
        <v>1554</v>
      </c>
      <c r="E110" s="686">
        <f>SUBTOTAL(9,E106:E109)</f>
        <v>451134</v>
      </c>
      <c r="F110" s="686">
        <f>SUBTOTAL(9,F106:F109)</f>
        <v>71800</v>
      </c>
    </row>
    <row r="111" spans="1:6" outlineLevel="2" x14ac:dyDescent="0.25">
      <c r="A111" s="664">
        <v>1</v>
      </c>
      <c r="B111" s="664">
        <v>269</v>
      </c>
      <c r="C111" s="664" t="s">
        <v>1445</v>
      </c>
      <c r="D111" s="664" t="s">
        <v>744</v>
      </c>
      <c r="E111" s="667">
        <v>118923</v>
      </c>
      <c r="F111" s="667">
        <v>12000</v>
      </c>
    </row>
    <row r="112" spans="1:6" outlineLevel="2" x14ac:dyDescent="0.25">
      <c r="A112" s="664">
        <v>1</v>
      </c>
      <c r="B112" s="664">
        <v>269</v>
      </c>
      <c r="C112" s="664" t="s">
        <v>1445</v>
      </c>
      <c r="D112" s="664" t="s">
        <v>744</v>
      </c>
      <c r="E112" s="667">
        <v>118923</v>
      </c>
      <c r="F112" s="667">
        <v>12000</v>
      </c>
    </row>
    <row r="113" spans="1:6" outlineLevel="2" x14ac:dyDescent="0.25">
      <c r="A113" s="664">
        <v>1</v>
      </c>
      <c r="B113" s="664">
        <v>269</v>
      </c>
      <c r="C113" s="664" t="s">
        <v>1445</v>
      </c>
      <c r="D113" s="664" t="s">
        <v>744</v>
      </c>
      <c r="E113" s="667">
        <v>118923</v>
      </c>
      <c r="F113" s="667">
        <v>12000</v>
      </c>
    </row>
    <row r="114" spans="1:6" outlineLevel="2" x14ac:dyDescent="0.25">
      <c r="A114" s="679">
        <v>1</v>
      </c>
      <c r="B114" s="679">
        <v>4020689</v>
      </c>
      <c r="C114" s="679" t="s">
        <v>1445</v>
      </c>
      <c r="D114" s="679" t="s">
        <v>744</v>
      </c>
      <c r="E114" s="686">
        <v>117081</v>
      </c>
      <c r="F114" s="686">
        <v>12300</v>
      </c>
    </row>
    <row r="115" spans="1:6" outlineLevel="1" x14ac:dyDescent="0.25">
      <c r="A115" s="679"/>
      <c r="B115" s="679"/>
      <c r="C115" s="679"/>
      <c r="D115" s="691" t="s">
        <v>1555</v>
      </c>
      <c r="E115" s="686">
        <f>SUBTOTAL(9,E111:E114)</f>
        <v>473850</v>
      </c>
      <c r="F115" s="686">
        <f>SUBTOTAL(9,F111:F114)</f>
        <v>48300</v>
      </c>
    </row>
    <row r="116" spans="1:6" outlineLevel="2" x14ac:dyDescent="0.25">
      <c r="A116" s="664">
        <v>18</v>
      </c>
      <c r="B116" s="664">
        <v>9</v>
      </c>
      <c r="C116" s="664" t="s">
        <v>1384</v>
      </c>
      <c r="D116" s="664" t="s">
        <v>34</v>
      </c>
      <c r="E116" s="667">
        <v>98303</v>
      </c>
      <c r="F116" s="667">
        <v>9000</v>
      </c>
    </row>
    <row r="117" spans="1:6" outlineLevel="2" x14ac:dyDescent="0.25">
      <c r="A117" s="664">
        <v>18</v>
      </c>
      <c r="B117" s="664">
        <v>9</v>
      </c>
      <c r="C117" s="664" t="s">
        <v>1384</v>
      </c>
      <c r="D117" s="664" t="s">
        <v>34</v>
      </c>
      <c r="E117" s="667">
        <v>98303</v>
      </c>
      <c r="F117" s="667">
        <v>9000</v>
      </c>
    </row>
    <row r="118" spans="1:6" outlineLevel="2" x14ac:dyDescent="0.25">
      <c r="A118" s="664">
        <v>19</v>
      </c>
      <c r="B118" s="664">
        <v>9</v>
      </c>
      <c r="C118" s="664" t="s">
        <v>1384</v>
      </c>
      <c r="D118" s="664" t="s">
        <v>34</v>
      </c>
      <c r="E118" s="667">
        <v>98303</v>
      </c>
      <c r="F118" s="667">
        <v>9000</v>
      </c>
    </row>
    <row r="119" spans="1:6" outlineLevel="2" x14ac:dyDescent="0.25">
      <c r="A119" s="679">
        <v>18</v>
      </c>
      <c r="B119" s="679">
        <v>1770137</v>
      </c>
      <c r="C119" s="679" t="s">
        <v>1384</v>
      </c>
      <c r="D119" s="679" t="s">
        <v>34</v>
      </c>
      <c r="E119" s="686">
        <v>96789</v>
      </c>
      <c r="F119" s="686">
        <v>8900</v>
      </c>
    </row>
    <row r="120" spans="1:6" outlineLevel="1" x14ac:dyDescent="0.25">
      <c r="A120" s="679"/>
      <c r="B120" s="679"/>
      <c r="C120" s="679"/>
      <c r="D120" s="691" t="s">
        <v>1556</v>
      </c>
      <c r="E120" s="686">
        <f>SUBTOTAL(9,E116:E119)</f>
        <v>391698</v>
      </c>
      <c r="F120" s="686">
        <f>SUBTOTAL(9,F116:F119)</f>
        <v>35900</v>
      </c>
    </row>
    <row r="121" spans="1:6" outlineLevel="2" x14ac:dyDescent="0.25">
      <c r="A121" s="664">
        <v>4</v>
      </c>
      <c r="B121" s="664">
        <v>2</v>
      </c>
      <c r="C121" s="664" t="s">
        <v>1416</v>
      </c>
      <c r="D121" s="664" t="s">
        <v>8</v>
      </c>
      <c r="E121" s="667">
        <v>119412</v>
      </c>
      <c r="F121" s="667">
        <v>12000</v>
      </c>
    </row>
    <row r="122" spans="1:6" outlineLevel="2" x14ac:dyDescent="0.25">
      <c r="A122" s="664">
        <v>4</v>
      </c>
      <c r="B122" s="664">
        <v>2</v>
      </c>
      <c r="C122" s="664" t="s">
        <v>1416</v>
      </c>
      <c r="D122" s="664" t="s">
        <v>8</v>
      </c>
      <c r="E122" s="667">
        <v>119412</v>
      </c>
      <c r="F122" s="667">
        <v>12000</v>
      </c>
    </row>
    <row r="123" spans="1:6" outlineLevel="2" x14ac:dyDescent="0.25">
      <c r="A123" s="664">
        <v>4</v>
      </c>
      <c r="B123" s="664">
        <v>2</v>
      </c>
      <c r="C123" s="664" t="s">
        <v>1416</v>
      </c>
      <c r="D123" s="664" t="s">
        <v>8</v>
      </c>
      <c r="E123" s="667">
        <v>119412</v>
      </c>
      <c r="F123" s="667">
        <v>12000</v>
      </c>
    </row>
    <row r="124" spans="1:6" outlineLevel="2" x14ac:dyDescent="0.25">
      <c r="A124" s="679">
        <v>6</v>
      </c>
      <c r="B124" s="679">
        <v>1370326</v>
      </c>
      <c r="C124" s="679" t="s">
        <v>1416</v>
      </c>
      <c r="D124" s="679" t="s">
        <v>8</v>
      </c>
      <c r="E124" s="686">
        <v>117180</v>
      </c>
      <c r="F124" s="686">
        <v>11800</v>
      </c>
    </row>
    <row r="125" spans="1:6" outlineLevel="1" x14ac:dyDescent="0.25">
      <c r="A125" s="679"/>
      <c r="B125" s="679"/>
      <c r="C125" s="679"/>
      <c r="D125" s="691" t="s">
        <v>1557</v>
      </c>
      <c r="E125" s="686">
        <f>SUBTOTAL(9,E121:E124)</f>
        <v>475416</v>
      </c>
      <c r="F125" s="686">
        <f>SUBTOTAL(9,F121:F124)</f>
        <v>47800</v>
      </c>
    </row>
    <row r="126" spans="1:6" outlineLevel="2" x14ac:dyDescent="0.25">
      <c r="A126" s="664">
        <v>7</v>
      </c>
      <c r="B126" s="664">
        <v>29</v>
      </c>
      <c r="C126" s="664" t="s">
        <v>1421</v>
      </c>
      <c r="D126" s="664" t="s">
        <v>46</v>
      </c>
      <c r="E126" s="667">
        <v>90312</v>
      </c>
      <c r="F126" s="667">
        <v>8000</v>
      </c>
    </row>
    <row r="127" spans="1:6" outlineLevel="2" x14ac:dyDescent="0.25">
      <c r="A127" s="664">
        <v>7</v>
      </c>
      <c r="B127" s="664">
        <v>29</v>
      </c>
      <c r="C127" s="664" t="s">
        <v>1421</v>
      </c>
      <c r="D127" s="664" t="s">
        <v>46</v>
      </c>
      <c r="E127" s="667">
        <v>90312</v>
      </c>
      <c r="F127" s="667">
        <v>8000</v>
      </c>
    </row>
    <row r="128" spans="1:6" outlineLevel="2" x14ac:dyDescent="0.25">
      <c r="A128" s="664">
        <v>7</v>
      </c>
      <c r="B128" s="664">
        <v>29</v>
      </c>
      <c r="C128" s="664" t="s">
        <v>1421</v>
      </c>
      <c r="D128" s="664" t="s">
        <v>46</v>
      </c>
      <c r="E128" s="667">
        <v>90312</v>
      </c>
      <c r="F128" s="667">
        <v>8000</v>
      </c>
    </row>
    <row r="129" spans="1:6" outlineLevel="2" x14ac:dyDescent="0.25">
      <c r="A129" s="679">
        <v>11</v>
      </c>
      <c r="B129" s="679">
        <v>4260355</v>
      </c>
      <c r="C129" s="679" t="s">
        <v>1421</v>
      </c>
      <c r="D129" s="679" t="s">
        <v>46</v>
      </c>
      <c r="E129" s="686">
        <v>88920</v>
      </c>
      <c r="F129" s="686">
        <v>7900</v>
      </c>
    </row>
    <row r="130" spans="1:6" outlineLevel="1" x14ac:dyDescent="0.25">
      <c r="A130" s="679"/>
      <c r="B130" s="679"/>
      <c r="C130" s="679"/>
      <c r="D130" s="691" t="s">
        <v>1558</v>
      </c>
      <c r="E130" s="686">
        <f>SUBTOTAL(9,E126:E129)</f>
        <v>359856</v>
      </c>
      <c r="F130" s="686">
        <f>SUBTOTAL(9,F126:F129)</f>
        <v>31900</v>
      </c>
    </row>
    <row r="131" spans="1:6" outlineLevel="2" x14ac:dyDescent="0.25">
      <c r="A131" s="664">
        <v>15</v>
      </c>
      <c r="B131" s="664">
        <v>270</v>
      </c>
      <c r="C131" s="664" t="s">
        <v>1380</v>
      </c>
      <c r="D131" s="664" t="s">
        <v>1163</v>
      </c>
      <c r="E131" s="667">
        <v>140931</v>
      </c>
      <c r="F131" s="667">
        <v>15000</v>
      </c>
    </row>
    <row r="132" spans="1:6" outlineLevel="1" x14ac:dyDescent="0.25">
      <c r="A132" s="664"/>
      <c r="B132" s="664"/>
      <c r="C132" s="664"/>
      <c r="D132" s="692" t="s">
        <v>1559</v>
      </c>
      <c r="E132" s="667">
        <f>SUBTOTAL(9,E131:E131)</f>
        <v>140931</v>
      </c>
      <c r="F132" s="667">
        <f>SUBTOTAL(9,F131:F131)</f>
        <v>15000</v>
      </c>
    </row>
    <row r="133" spans="1:6" outlineLevel="2" x14ac:dyDescent="0.25">
      <c r="A133" s="664">
        <v>4</v>
      </c>
      <c r="B133" s="664">
        <v>120</v>
      </c>
      <c r="C133" s="664" t="s">
        <v>1399</v>
      </c>
      <c r="D133" s="664" t="s">
        <v>573</v>
      </c>
      <c r="E133" s="667">
        <v>122591</v>
      </c>
      <c r="F133" s="667">
        <v>15000</v>
      </c>
    </row>
    <row r="134" spans="1:6" outlineLevel="2" x14ac:dyDescent="0.25">
      <c r="A134" s="664">
        <v>4</v>
      </c>
      <c r="B134" s="664">
        <v>120</v>
      </c>
      <c r="C134" s="664" t="s">
        <v>1399</v>
      </c>
      <c r="D134" s="664" t="s">
        <v>573</v>
      </c>
      <c r="E134" s="667">
        <v>122591</v>
      </c>
      <c r="F134" s="667">
        <v>15000</v>
      </c>
    </row>
    <row r="135" spans="1:6" outlineLevel="2" x14ac:dyDescent="0.25">
      <c r="A135" s="664">
        <v>4</v>
      </c>
      <c r="B135" s="664">
        <v>120</v>
      </c>
      <c r="C135" s="664" t="s">
        <v>1399</v>
      </c>
      <c r="D135" s="664" t="s">
        <v>573</v>
      </c>
      <c r="E135" s="667">
        <v>122591</v>
      </c>
      <c r="F135" s="667">
        <v>15000</v>
      </c>
    </row>
    <row r="136" spans="1:6" outlineLevel="2" x14ac:dyDescent="0.25">
      <c r="A136" s="679">
        <v>1</v>
      </c>
      <c r="B136" s="679">
        <v>120</v>
      </c>
      <c r="C136" s="679" t="s">
        <v>1399</v>
      </c>
      <c r="D136" s="679" t="s">
        <v>573</v>
      </c>
      <c r="E136" s="686">
        <v>120693</v>
      </c>
      <c r="F136" s="686">
        <v>15000</v>
      </c>
    </row>
    <row r="137" spans="1:6" outlineLevel="1" x14ac:dyDescent="0.25">
      <c r="A137" s="679"/>
      <c r="B137" s="679"/>
      <c r="C137" s="679"/>
      <c r="D137" s="691" t="s">
        <v>1560</v>
      </c>
      <c r="E137" s="686">
        <f>SUBTOTAL(9,E133:E136)</f>
        <v>488466</v>
      </c>
      <c r="F137" s="686">
        <f>SUBTOTAL(9,F133:F136)</f>
        <v>60000</v>
      </c>
    </row>
    <row r="138" spans="1:6" outlineLevel="2" x14ac:dyDescent="0.25">
      <c r="A138" s="664">
        <v>2</v>
      </c>
      <c r="B138" s="664">
        <v>30</v>
      </c>
      <c r="C138" s="664" t="s">
        <v>1436</v>
      </c>
      <c r="D138" s="664" t="s">
        <v>767</v>
      </c>
      <c r="E138" s="667">
        <v>66554</v>
      </c>
      <c r="F138" s="667">
        <v>3000</v>
      </c>
    </row>
    <row r="139" spans="1:6" outlineLevel="2" x14ac:dyDescent="0.25">
      <c r="A139" s="664">
        <v>2</v>
      </c>
      <c r="B139" s="664">
        <v>30</v>
      </c>
      <c r="C139" s="664" t="s">
        <v>1436</v>
      </c>
      <c r="D139" s="664" t="s">
        <v>767</v>
      </c>
      <c r="E139" s="667">
        <v>66554</v>
      </c>
      <c r="F139" s="667">
        <v>3000</v>
      </c>
    </row>
    <row r="140" spans="1:6" outlineLevel="2" x14ac:dyDescent="0.25">
      <c r="A140" s="664">
        <v>2</v>
      </c>
      <c r="B140" s="664">
        <v>30</v>
      </c>
      <c r="C140" s="664" t="s">
        <v>1436</v>
      </c>
      <c r="D140" s="664" t="s">
        <v>767</v>
      </c>
      <c r="E140" s="667">
        <v>66554</v>
      </c>
      <c r="F140" s="667">
        <v>3000</v>
      </c>
    </row>
    <row r="141" spans="1:6" outlineLevel="2" x14ac:dyDescent="0.25">
      <c r="A141" s="679">
        <v>1</v>
      </c>
      <c r="B141" s="679">
        <v>4280355</v>
      </c>
      <c r="C141" s="679" t="s">
        <v>1436</v>
      </c>
      <c r="D141" s="679" t="s">
        <v>767</v>
      </c>
      <c r="E141" s="686">
        <v>65310</v>
      </c>
      <c r="F141" s="686">
        <v>3000</v>
      </c>
    </row>
    <row r="142" spans="1:6" outlineLevel="1" x14ac:dyDescent="0.25">
      <c r="A142" s="679"/>
      <c r="B142" s="679"/>
      <c r="C142" s="679"/>
      <c r="D142" s="691" t="s">
        <v>1561</v>
      </c>
      <c r="E142" s="686">
        <f>SUBTOTAL(9,E138:E141)</f>
        <v>264972</v>
      </c>
      <c r="F142" s="686">
        <f>SUBTOTAL(9,F138:F141)</f>
        <v>12000</v>
      </c>
    </row>
    <row r="143" spans="1:6" outlineLevel="2" x14ac:dyDescent="0.25">
      <c r="A143" s="664">
        <v>12</v>
      </c>
      <c r="B143" s="664">
        <v>264</v>
      </c>
      <c r="C143" s="664" t="s">
        <v>1377</v>
      </c>
      <c r="D143" s="664" t="s">
        <v>924</v>
      </c>
      <c r="E143" s="667">
        <v>133202</v>
      </c>
      <c r="F143" s="667">
        <v>19000</v>
      </c>
    </row>
    <row r="144" spans="1:6" outlineLevel="2" x14ac:dyDescent="0.25">
      <c r="A144" s="664">
        <v>12</v>
      </c>
      <c r="B144" s="664">
        <v>264</v>
      </c>
      <c r="C144" s="664" t="s">
        <v>1377</v>
      </c>
      <c r="D144" s="664" t="s">
        <v>924</v>
      </c>
      <c r="E144" s="667">
        <v>133202</v>
      </c>
      <c r="F144" s="667">
        <v>19000</v>
      </c>
    </row>
    <row r="145" spans="1:6" outlineLevel="2" x14ac:dyDescent="0.25">
      <c r="A145" s="664">
        <v>12</v>
      </c>
      <c r="B145" s="664">
        <v>264</v>
      </c>
      <c r="C145" s="664" t="s">
        <v>1377</v>
      </c>
      <c r="D145" s="664" t="s">
        <v>924</v>
      </c>
      <c r="E145" s="667">
        <v>133202</v>
      </c>
      <c r="F145" s="667">
        <v>19000</v>
      </c>
    </row>
    <row r="146" spans="1:6" outlineLevel="2" x14ac:dyDescent="0.25">
      <c r="A146" s="679">
        <v>6</v>
      </c>
      <c r="B146" s="679">
        <v>1140328</v>
      </c>
      <c r="C146" s="679" t="s">
        <v>1377</v>
      </c>
      <c r="D146" s="679" t="s">
        <v>924</v>
      </c>
      <c r="E146" s="686">
        <v>131142</v>
      </c>
      <c r="F146" s="686">
        <v>18800</v>
      </c>
    </row>
    <row r="147" spans="1:6" outlineLevel="1" x14ac:dyDescent="0.25">
      <c r="A147" s="679"/>
      <c r="B147" s="679"/>
      <c r="C147" s="679"/>
      <c r="D147" s="691" t="s">
        <v>1562</v>
      </c>
      <c r="E147" s="686">
        <f>SUBTOTAL(9,E143:E146)</f>
        <v>530748</v>
      </c>
      <c r="F147" s="686">
        <f>SUBTOTAL(9,F143:F146)</f>
        <v>75800</v>
      </c>
    </row>
    <row r="148" spans="1:6" outlineLevel="2" x14ac:dyDescent="0.25">
      <c r="A148" s="664">
        <v>1</v>
      </c>
      <c r="B148" s="664">
        <v>107</v>
      </c>
      <c r="C148" s="664" t="s">
        <v>1413</v>
      </c>
      <c r="D148" s="664" t="s">
        <v>394</v>
      </c>
      <c r="E148" s="667">
        <v>95552</v>
      </c>
      <c r="F148" s="667">
        <v>7000</v>
      </c>
    </row>
    <row r="149" spans="1:6" outlineLevel="2" x14ac:dyDescent="0.25">
      <c r="A149" s="664">
        <v>1</v>
      </c>
      <c r="B149" s="664">
        <v>107</v>
      </c>
      <c r="C149" s="664" t="s">
        <v>1413</v>
      </c>
      <c r="D149" s="664" t="s">
        <v>394</v>
      </c>
      <c r="E149" s="667">
        <v>95552</v>
      </c>
      <c r="F149" s="667">
        <v>7000</v>
      </c>
    </row>
    <row r="150" spans="1:6" outlineLevel="2" x14ac:dyDescent="0.25">
      <c r="A150" s="664">
        <v>1</v>
      </c>
      <c r="B150" s="664">
        <v>107</v>
      </c>
      <c r="C150" s="664" t="s">
        <v>1413</v>
      </c>
      <c r="D150" s="664" t="s">
        <v>394</v>
      </c>
      <c r="E150" s="667">
        <v>95552</v>
      </c>
      <c r="F150" s="667">
        <v>7000</v>
      </c>
    </row>
    <row r="151" spans="1:6" outlineLevel="2" x14ac:dyDescent="0.25">
      <c r="A151" s="680">
        <v>6</v>
      </c>
      <c r="B151" s="679"/>
      <c r="C151" s="679" t="s">
        <v>1472</v>
      </c>
      <c r="D151" s="685" t="s">
        <v>394</v>
      </c>
      <c r="E151" s="686">
        <v>51246</v>
      </c>
      <c r="F151" s="686">
        <v>5124</v>
      </c>
    </row>
    <row r="152" spans="1:6" outlineLevel="2" x14ac:dyDescent="0.25">
      <c r="A152" s="679">
        <v>9</v>
      </c>
      <c r="B152" s="679">
        <v>1780137</v>
      </c>
      <c r="C152" s="679" t="s">
        <v>1413</v>
      </c>
      <c r="D152" s="679" t="s">
        <v>394</v>
      </c>
      <c r="E152" s="686">
        <v>94080</v>
      </c>
      <c r="F152" s="686">
        <v>7600</v>
      </c>
    </row>
    <row r="153" spans="1:6" outlineLevel="1" x14ac:dyDescent="0.25">
      <c r="A153" s="679"/>
      <c r="B153" s="679"/>
      <c r="C153" s="679"/>
      <c r="D153" s="691" t="s">
        <v>1563</v>
      </c>
      <c r="E153" s="686">
        <f>SUBTOTAL(9,E148:E152)</f>
        <v>431982</v>
      </c>
      <c r="F153" s="686">
        <f>SUBTOTAL(9,F148:F152)</f>
        <v>33724</v>
      </c>
    </row>
    <row r="154" spans="1:6" outlineLevel="2" x14ac:dyDescent="0.25">
      <c r="A154" s="664">
        <v>13</v>
      </c>
      <c r="B154" s="664">
        <v>81</v>
      </c>
      <c r="C154" s="664" t="s">
        <v>1427</v>
      </c>
      <c r="D154" s="664" t="s">
        <v>12</v>
      </c>
      <c r="E154" s="667">
        <v>107214</v>
      </c>
      <c r="F154" s="667">
        <v>9500</v>
      </c>
    </row>
    <row r="155" spans="1:6" outlineLevel="2" x14ac:dyDescent="0.25">
      <c r="A155" s="664">
        <v>13</v>
      </c>
      <c r="B155" s="664">
        <v>81</v>
      </c>
      <c r="C155" s="664" t="s">
        <v>1427</v>
      </c>
      <c r="D155" s="664" t="s">
        <v>12</v>
      </c>
      <c r="E155" s="667">
        <v>107214</v>
      </c>
      <c r="F155" s="667">
        <v>10000</v>
      </c>
    </row>
    <row r="156" spans="1:6" outlineLevel="2" x14ac:dyDescent="0.25">
      <c r="A156" s="664">
        <v>13</v>
      </c>
      <c r="B156" s="664">
        <v>81</v>
      </c>
      <c r="C156" s="664" t="s">
        <v>1427</v>
      </c>
      <c r="D156" s="664" t="s">
        <v>12</v>
      </c>
      <c r="E156" s="667">
        <v>107214</v>
      </c>
      <c r="F156" s="667">
        <v>10000</v>
      </c>
    </row>
    <row r="157" spans="1:6" outlineLevel="2" x14ac:dyDescent="0.25">
      <c r="A157" s="679">
        <v>4</v>
      </c>
      <c r="B157" s="679">
        <v>1210344</v>
      </c>
      <c r="C157" s="679" t="s">
        <v>1427</v>
      </c>
      <c r="D157" s="679" t="s">
        <v>12</v>
      </c>
      <c r="E157" s="686">
        <v>105210</v>
      </c>
      <c r="F157" s="686">
        <v>9400</v>
      </c>
    </row>
    <row r="158" spans="1:6" outlineLevel="1" x14ac:dyDescent="0.25">
      <c r="A158" s="679"/>
      <c r="B158" s="679"/>
      <c r="C158" s="679"/>
      <c r="D158" s="691" t="s">
        <v>1564</v>
      </c>
      <c r="E158" s="686">
        <f>SUBTOTAL(9,E154:E157)</f>
        <v>426852</v>
      </c>
      <c r="F158" s="686">
        <f>SUBTOTAL(9,F154:F157)</f>
        <v>38900</v>
      </c>
    </row>
    <row r="159" spans="1:6" outlineLevel="2" x14ac:dyDescent="0.25">
      <c r="A159" s="664">
        <v>4</v>
      </c>
      <c r="B159" s="664">
        <v>42</v>
      </c>
      <c r="C159" s="664" t="s">
        <v>1440</v>
      </c>
      <c r="D159" s="664" t="s">
        <v>758</v>
      </c>
      <c r="E159" s="667">
        <v>59920</v>
      </c>
      <c r="F159" s="667">
        <v>1000</v>
      </c>
    </row>
    <row r="160" spans="1:6" outlineLevel="2" x14ac:dyDescent="0.25">
      <c r="A160" s="664">
        <v>4</v>
      </c>
      <c r="B160" s="664">
        <v>42</v>
      </c>
      <c r="C160" s="664" t="s">
        <v>1440</v>
      </c>
      <c r="D160" s="664" t="s">
        <v>758</v>
      </c>
      <c r="E160" s="667">
        <v>59920</v>
      </c>
      <c r="F160" s="667">
        <v>1000</v>
      </c>
    </row>
    <row r="161" spans="1:6" outlineLevel="2" x14ac:dyDescent="0.25">
      <c r="A161" s="664">
        <v>4</v>
      </c>
      <c r="B161" s="664">
        <v>42</v>
      </c>
      <c r="C161" s="664" t="s">
        <v>1440</v>
      </c>
      <c r="D161" s="664" t="s">
        <v>758</v>
      </c>
      <c r="E161" s="667">
        <v>59920</v>
      </c>
      <c r="F161" s="667">
        <v>1000</v>
      </c>
    </row>
    <row r="162" spans="1:6" outlineLevel="2" x14ac:dyDescent="0.25">
      <c r="A162" s="679">
        <v>4</v>
      </c>
      <c r="B162" s="679">
        <v>4820336</v>
      </c>
      <c r="C162" s="679" t="s">
        <v>1440</v>
      </c>
      <c r="D162" s="679" t="s">
        <v>758</v>
      </c>
      <c r="E162" s="686">
        <v>58992</v>
      </c>
      <c r="F162" s="686">
        <v>600</v>
      </c>
    </row>
    <row r="163" spans="1:6" outlineLevel="1" x14ac:dyDescent="0.25">
      <c r="A163" s="679"/>
      <c r="B163" s="679"/>
      <c r="C163" s="679"/>
      <c r="D163" s="691" t="s">
        <v>1565</v>
      </c>
      <c r="E163" s="686">
        <f>SUBTOTAL(9,E159:E162)</f>
        <v>238752</v>
      </c>
      <c r="F163" s="686">
        <f>SUBTOTAL(9,F159:F162)</f>
        <v>3600</v>
      </c>
    </row>
    <row r="164" spans="1:6" outlineLevel="2" x14ac:dyDescent="0.25">
      <c r="A164" s="664">
        <v>9</v>
      </c>
      <c r="B164" s="664">
        <v>6</v>
      </c>
      <c r="C164" s="664" t="s">
        <v>1423</v>
      </c>
      <c r="D164" s="664" t="s">
        <v>44</v>
      </c>
      <c r="E164" s="667">
        <v>122591</v>
      </c>
      <c r="F164" s="667">
        <v>16000</v>
      </c>
    </row>
    <row r="165" spans="1:6" outlineLevel="2" x14ac:dyDescent="0.25">
      <c r="A165" s="664">
        <v>9</v>
      </c>
      <c r="B165" s="664">
        <v>6</v>
      </c>
      <c r="C165" s="664" t="s">
        <v>1423</v>
      </c>
      <c r="D165" s="664" t="s">
        <v>44</v>
      </c>
      <c r="E165" s="667">
        <v>122591</v>
      </c>
      <c r="F165" s="667">
        <v>16000</v>
      </c>
    </row>
    <row r="166" spans="1:6" outlineLevel="2" x14ac:dyDescent="0.25">
      <c r="A166" s="664">
        <v>9</v>
      </c>
      <c r="B166" s="664">
        <v>6</v>
      </c>
      <c r="C166" s="664" t="s">
        <v>1423</v>
      </c>
      <c r="D166" s="664" t="s">
        <v>44</v>
      </c>
      <c r="E166" s="667">
        <v>122591</v>
      </c>
      <c r="F166" s="667">
        <v>16000</v>
      </c>
    </row>
    <row r="167" spans="1:6" outlineLevel="2" x14ac:dyDescent="0.25">
      <c r="A167" s="679">
        <v>8</v>
      </c>
      <c r="B167" s="679">
        <v>1740137</v>
      </c>
      <c r="C167" s="679" t="s">
        <v>1423</v>
      </c>
      <c r="D167" s="679" t="s">
        <v>44</v>
      </c>
      <c r="E167" s="686">
        <v>120693</v>
      </c>
      <c r="F167" s="686">
        <v>16300</v>
      </c>
    </row>
    <row r="168" spans="1:6" outlineLevel="1" x14ac:dyDescent="0.25">
      <c r="A168" s="679"/>
      <c r="B168" s="679"/>
      <c r="C168" s="679"/>
      <c r="D168" s="691" t="s">
        <v>1566</v>
      </c>
      <c r="E168" s="686">
        <f>SUBTOTAL(9,E164:E167)</f>
        <v>488466</v>
      </c>
      <c r="F168" s="686">
        <f>SUBTOTAL(9,F164:F167)</f>
        <v>64300</v>
      </c>
    </row>
    <row r="169" spans="1:6" outlineLevel="2" x14ac:dyDescent="0.25">
      <c r="A169" s="664">
        <v>1</v>
      </c>
      <c r="B169" s="664">
        <v>11</v>
      </c>
      <c r="C169" s="664" t="s">
        <v>1366</v>
      </c>
      <c r="D169" s="664" t="s">
        <v>38</v>
      </c>
      <c r="E169" s="667">
        <v>98303</v>
      </c>
      <c r="F169" s="667">
        <v>10000</v>
      </c>
    </row>
    <row r="170" spans="1:6" outlineLevel="2" x14ac:dyDescent="0.25">
      <c r="A170" s="664">
        <v>1</v>
      </c>
      <c r="B170" s="664">
        <v>11</v>
      </c>
      <c r="C170" s="664" t="s">
        <v>1366</v>
      </c>
      <c r="D170" s="664" t="s">
        <v>38</v>
      </c>
      <c r="E170" s="667">
        <v>98303</v>
      </c>
      <c r="F170" s="667">
        <v>10000</v>
      </c>
    </row>
    <row r="171" spans="1:6" outlineLevel="2" x14ac:dyDescent="0.25">
      <c r="A171" s="664">
        <v>1</v>
      </c>
      <c r="B171" s="664">
        <v>11</v>
      </c>
      <c r="C171" s="664" t="s">
        <v>1366</v>
      </c>
      <c r="D171" s="664" t="s">
        <v>38</v>
      </c>
      <c r="E171" s="667">
        <v>98303</v>
      </c>
      <c r="F171" s="667">
        <v>10000</v>
      </c>
    </row>
    <row r="172" spans="1:6" outlineLevel="2" x14ac:dyDescent="0.25">
      <c r="A172" s="679">
        <v>17</v>
      </c>
      <c r="B172" s="679">
        <v>1760137</v>
      </c>
      <c r="C172" s="679" t="s">
        <v>1366</v>
      </c>
      <c r="D172" s="679" t="s">
        <v>38</v>
      </c>
      <c r="E172" s="686">
        <v>96789</v>
      </c>
      <c r="F172" s="686">
        <v>9700</v>
      </c>
    </row>
    <row r="173" spans="1:6" outlineLevel="1" x14ac:dyDescent="0.25">
      <c r="A173" s="679"/>
      <c r="B173" s="679"/>
      <c r="C173" s="679"/>
      <c r="D173" s="691" t="s">
        <v>1567</v>
      </c>
      <c r="E173" s="686">
        <f>SUBTOTAL(9,E169:E172)</f>
        <v>391698</v>
      </c>
      <c r="F173" s="686">
        <f>SUBTOTAL(9,F169:F172)</f>
        <v>39700</v>
      </c>
    </row>
    <row r="174" spans="1:6" outlineLevel="2" x14ac:dyDescent="0.25">
      <c r="A174" s="664">
        <v>3</v>
      </c>
      <c r="B174" s="664">
        <v>198</v>
      </c>
      <c r="C174" s="664" t="s">
        <v>1368</v>
      </c>
      <c r="D174" s="664" t="s">
        <v>945</v>
      </c>
      <c r="E174" s="667">
        <v>133202</v>
      </c>
      <c r="F174" s="667">
        <v>17500</v>
      </c>
    </row>
    <row r="175" spans="1:6" outlineLevel="2" x14ac:dyDescent="0.25">
      <c r="A175" s="664">
        <v>3</v>
      </c>
      <c r="B175" s="664">
        <v>198</v>
      </c>
      <c r="C175" s="664" t="s">
        <v>1368</v>
      </c>
      <c r="D175" s="664" t="s">
        <v>945</v>
      </c>
      <c r="E175" s="667">
        <v>133202</v>
      </c>
      <c r="F175" s="667">
        <v>17500</v>
      </c>
    </row>
    <row r="176" spans="1:6" outlineLevel="2" x14ac:dyDescent="0.25">
      <c r="A176" s="664">
        <v>3</v>
      </c>
      <c r="B176" s="664">
        <v>198</v>
      </c>
      <c r="C176" s="664" t="s">
        <v>1368</v>
      </c>
      <c r="D176" s="664" t="s">
        <v>945</v>
      </c>
      <c r="E176" s="667">
        <v>133202</v>
      </c>
      <c r="F176" s="667">
        <v>17500</v>
      </c>
    </row>
    <row r="177" spans="1:6" outlineLevel="2" x14ac:dyDescent="0.25">
      <c r="A177" s="679">
        <v>10</v>
      </c>
      <c r="B177" s="679">
        <v>1400326</v>
      </c>
      <c r="C177" s="679" t="s">
        <v>1368</v>
      </c>
      <c r="D177" s="679" t="s">
        <v>945</v>
      </c>
      <c r="E177" s="686">
        <v>131142</v>
      </c>
      <c r="F177" s="686">
        <v>17460</v>
      </c>
    </row>
    <row r="178" spans="1:6" outlineLevel="1" x14ac:dyDescent="0.25">
      <c r="A178" s="679"/>
      <c r="B178" s="679"/>
      <c r="C178" s="679"/>
      <c r="D178" s="691" t="s">
        <v>1568</v>
      </c>
      <c r="E178" s="686">
        <f>SUBTOTAL(9,E174:E177)</f>
        <v>530748</v>
      </c>
      <c r="F178" s="686">
        <f>SUBTOTAL(9,F174:F177)</f>
        <v>69960</v>
      </c>
    </row>
    <row r="179" spans="1:6" outlineLevel="2" x14ac:dyDescent="0.25">
      <c r="A179" s="679">
        <v>1</v>
      </c>
      <c r="B179" s="679">
        <v>69</v>
      </c>
      <c r="C179" s="679" t="s">
        <v>1484</v>
      </c>
      <c r="D179" s="679" t="s">
        <v>6</v>
      </c>
      <c r="E179" s="686">
        <v>58992</v>
      </c>
      <c r="F179" s="686">
        <v>900</v>
      </c>
    </row>
    <row r="180" spans="1:6" outlineLevel="1" x14ac:dyDescent="0.25">
      <c r="A180" s="679"/>
      <c r="B180" s="679"/>
      <c r="C180" s="679"/>
      <c r="D180" s="691" t="s">
        <v>1569</v>
      </c>
      <c r="E180" s="686">
        <f>SUBTOTAL(9,E179:E179)</f>
        <v>58992</v>
      </c>
      <c r="F180" s="686">
        <f>SUBTOTAL(9,F179:F179)</f>
        <v>900</v>
      </c>
    </row>
    <row r="181" spans="1:6" outlineLevel="2" x14ac:dyDescent="0.25">
      <c r="A181" s="664">
        <v>3</v>
      </c>
      <c r="B181" s="664">
        <v>118</v>
      </c>
      <c r="C181" s="664" t="s">
        <v>1410</v>
      </c>
      <c r="D181" s="664" t="s">
        <v>603</v>
      </c>
      <c r="E181" s="667">
        <v>61623</v>
      </c>
      <c r="F181" s="667">
        <v>2000</v>
      </c>
    </row>
    <row r="182" spans="1:6" outlineLevel="2" x14ac:dyDescent="0.25">
      <c r="A182" s="664">
        <v>3</v>
      </c>
      <c r="B182" s="664">
        <v>118</v>
      </c>
      <c r="C182" s="664" t="s">
        <v>1410</v>
      </c>
      <c r="D182" s="664" t="s">
        <v>603</v>
      </c>
      <c r="E182" s="667">
        <v>61623</v>
      </c>
      <c r="F182" s="667">
        <v>2000</v>
      </c>
    </row>
    <row r="183" spans="1:6" outlineLevel="2" x14ac:dyDescent="0.25">
      <c r="A183" s="664">
        <v>3</v>
      </c>
      <c r="B183" s="664">
        <v>118</v>
      </c>
      <c r="C183" s="664" t="s">
        <v>1410</v>
      </c>
      <c r="D183" s="664" t="s">
        <v>603</v>
      </c>
      <c r="E183" s="667">
        <v>61623</v>
      </c>
      <c r="F183" s="667">
        <v>2000</v>
      </c>
    </row>
    <row r="184" spans="1:6" outlineLevel="2" x14ac:dyDescent="0.25">
      <c r="A184" s="679">
        <v>3</v>
      </c>
      <c r="B184" s="679">
        <v>4300470</v>
      </c>
      <c r="C184" s="679" t="s">
        <v>1410</v>
      </c>
      <c r="D184" s="679" t="s">
        <v>603</v>
      </c>
      <c r="E184" s="686">
        <v>60669</v>
      </c>
      <c r="F184" s="686">
        <v>1900</v>
      </c>
    </row>
    <row r="185" spans="1:6" outlineLevel="1" x14ac:dyDescent="0.25">
      <c r="A185" s="679"/>
      <c r="B185" s="679"/>
      <c r="C185" s="679"/>
      <c r="D185" s="691" t="s">
        <v>1570</v>
      </c>
      <c r="E185" s="686">
        <f>SUBTOTAL(9,E181:E184)</f>
        <v>245538</v>
      </c>
      <c r="F185" s="686">
        <f>SUBTOTAL(9,F181:F184)</f>
        <v>7900</v>
      </c>
    </row>
    <row r="186" spans="1:6" outlineLevel="2" x14ac:dyDescent="0.25">
      <c r="A186" s="664">
        <v>2</v>
      </c>
      <c r="B186" s="664">
        <v>36</v>
      </c>
      <c r="C186" s="664" t="s">
        <v>1444</v>
      </c>
      <c r="D186" s="664" t="s">
        <v>772</v>
      </c>
      <c r="E186" s="667">
        <v>71972</v>
      </c>
      <c r="F186" s="667">
        <v>5000</v>
      </c>
    </row>
    <row r="187" spans="1:6" outlineLevel="2" x14ac:dyDescent="0.25">
      <c r="A187" s="664">
        <v>2</v>
      </c>
      <c r="B187" s="664">
        <v>36</v>
      </c>
      <c r="C187" s="664" t="s">
        <v>1444</v>
      </c>
      <c r="D187" s="664" t="s">
        <v>772</v>
      </c>
      <c r="E187" s="667">
        <v>71972</v>
      </c>
      <c r="F187" s="667">
        <v>4000</v>
      </c>
    </row>
    <row r="188" spans="1:6" outlineLevel="2" x14ac:dyDescent="0.25">
      <c r="A188" s="664">
        <v>2</v>
      </c>
      <c r="B188" s="664">
        <v>36</v>
      </c>
      <c r="C188" s="664" t="s">
        <v>1444</v>
      </c>
      <c r="D188" s="664" t="s">
        <v>772</v>
      </c>
      <c r="E188" s="667">
        <v>71972</v>
      </c>
      <c r="F188" s="667">
        <v>4000</v>
      </c>
    </row>
    <row r="189" spans="1:6" outlineLevel="2" x14ac:dyDescent="0.25">
      <c r="A189" s="679">
        <v>2</v>
      </c>
      <c r="B189" s="679">
        <v>4750336</v>
      </c>
      <c r="C189" s="679" t="s">
        <v>1444</v>
      </c>
      <c r="D189" s="679" t="s">
        <v>772</v>
      </c>
      <c r="E189" s="686">
        <v>70860</v>
      </c>
      <c r="F189" s="686">
        <v>4000</v>
      </c>
    </row>
    <row r="190" spans="1:6" outlineLevel="1" x14ac:dyDescent="0.25">
      <c r="A190" s="679"/>
      <c r="B190" s="679"/>
      <c r="C190" s="679"/>
      <c r="D190" s="691" t="s">
        <v>1571</v>
      </c>
      <c r="E190" s="686">
        <f>SUBTOTAL(9,E186:E189)</f>
        <v>286776</v>
      </c>
      <c r="F190" s="686">
        <f>SUBTOTAL(9,F186:F189)</f>
        <v>17000</v>
      </c>
    </row>
    <row r="191" spans="1:6" outlineLevel="2" x14ac:dyDescent="0.25">
      <c r="A191" s="664">
        <v>4</v>
      </c>
      <c r="B191" s="664">
        <v>262</v>
      </c>
      <c r="C191" s="664" t="s">
        <v>1453</v>
      </c>
      <c r="D191" s="664" t="s">
        <v>1222</v>
      </c>
      <c r="E191" s="667">
        <v>104325</v>
      </c>
      <c r="F191" s="667">
        <v>9000</v>
      </c>
    </row>
    <row r="192" spans="1:6" outlineLevel="2" x14ac:dyDescent="0.25">
      <c r="A192" s="664">
        <v>4</v>
      </c>
      <c r="B192" s="664">
        <v>262</v>
      </c>
      <c r="C192" s="664" t="s">
        <v>1453</v>
      </c>
      <c r="D192" s="664" t="s">
        <v>1222</v>
      </c>
      <c r="E192" s="667">
        <v>104325</v>
      </c>
      <c r="F192" s="667">
        <v>9000</v>
      </c>
    </row>
    <row r="193" spans="1:6" outlineLevel="2" x14ac:dyDescent="0.25">
      <c r="A193" s="664">
        <v>4</v>
      </c>
      <c r="B193" s="664">
        <v>262</v>
      </c>
      <c r="C193" s="664" t="s">
        <v>1453</v>
      </c>
      <c r="D193" s="664" t="s">
        <v>1222</v>
      </c>
      <c r="E193" s="667">
        <v>104325</v>
      </c>
      <c r="F193" s="667">
        <v>9000</v>
      </c>
    </row>
    <row r="194" spans="1:6" outlineLevel="2" x14ac:dyDescent="0.25">
      <c r="A194" s="679">
        <v>1</v>
      </c>
      <c r="B194" s="679">
        <v>262</v>
      </c>
      <c r="C194" s="679" t="s">
        <v>1453</v>
      </c>
      <c r="D194" s="679" t="s">
        <v>1222</v>
      </c>
      <c r="E194" s="686">
        <v>102375</v>
      </c>
      <c r="F194" s="686">
        <v>8900</v>
      </c>
    </row>
    <row r="195" spans="1:6" outlineLevel="1" x14ac:dyDescent="0.25">
      <c r="A195" s="679"/>
      <c r="B195" s="679"/>
      <c r="C195" s="679"/>
      <c r="D195" s="691" t="s">
        <v>1572</v>
      </c>
      <c r="E195" s="686">
        <f>SUBTOTAL(9,E191:E194)</f>
        <v>415350</v>
      </c>
      <c r="F195" s="686">
        <f>SUBTOTAL(9,F191:F194)</f>
        <v>35900</v>
      </c>
    </row>
    <row r="196" spans="1:6" outlineLevel="2" x14ac:dyDescent="0.25">
      <c r="A196" s="664">
        <v>9</v>
      </c>
      <c r="B196" s="664">
        <v>205</v>
      </c>
      <c r="C196" s="664" t="s">
        <v>1374</v>
      </c>
      <c r="D196" s="664" t="s">
        <v>949</v>
      </c>
      <c r="E196" s="667">
        <v>137001</v>
      </c>
      <c r="F196" s="667">
        <v>21000</v>
      </c>
    </row>
    <row r="197" spans="1:6" outlineLevel="2" x14ac:dyDescent="0.25">
      <c r="A197" s="664">
        <v>9</v>
      </c>
      <c r="B197" s="664">
        <v>205</v>
      </c>
      <c r="C197" s="664" t="s">
        <v>1374</v>
      </c>
      <c r="D197" s="664" t="s">
        <v>949</v>
      </c>
      <c r="E197" s="667">
        <v>137001</v>
      </c>
      <c r="F197" s="667">
        <v>21000</v>
      </c>
    </row>
    <row r="198" spans="1:6" outlineLevel="2" x14ac:dyDescent="0.25">
      <c r="A198" s="664">
        <v>9</v>
      </c>
      <c r="B198" s="664">
        <v>205</v>
      </c>
      <c r="C198" s="664" t="s">
        <v>1374</v>
      </c>
      <c r="D198" s="664" t="s">
        <v>949</v>
      </c>
      <c r="E198" s="667">
        <v>137001</v>
      </c>
      <c r="F198" s="667">
        <v>21000</v>
      </c>
    </row>
    <row r="199" spans="1:6" outlineLevel="2" x14ac:dyDescent="0.25">
      <c r="A199" s="679">
        <v>13</v>
      </c>
      <c r="B199" s="679">
        <v>1590529</v>
      </c>
      <c r="C199" s="679" t="s">
        <v>1374</v>
      </c>
      <c r="D199" s="679" t="s">
        <v>949</v>
      </c>
      <c r="E199" s="686">
        <v>134883</v>
      </c>
      <c r="F199" s="686">
        <v>21000</v>
      </c>
    </row>
    <row r="200" spans="1:6" outlineLevel="1" x14ac:dyDescent="0.25">
      <c r="A200" s="679"/>
      <c r="B200" s="679"/>
      <c r="C200" s="679"/>
      <c r="D200" s="691" t="s">
        <v>1573</v>
      </c>
      <c r="E200" s="686">
        <f>SUBTOTAL(9,E196:E199)</f>
        <v>545886</v>
      </c>
      <c r="F200" s="686">
        <f>SUBTOTAL(9,F196:F199)</f>
        <v>84000</v>
      </c>
    </row>
    <row r="201" spans="1:6" outlineLevel="2" x14ac:dyDescent="0.25">
      <c r="A201" s="664">
        <v>2</v>
      </c>
      <c r="B201" s="664">
        <v>39</v>
      </c>
      <c r="C201" s="664" t="s">
        <v>1438</v>
      </c>
      <c r="D201" s="664" t="s">
        <v>752</v>
      </c>
      <c r="E201" s="667">
        <v>59920</v>
      </c>
      <c r="F201" s="667">
        <v>1500</v>
      </c>
    </row>
    <row r="202" spans="1:6" outlineLevel="2" x14ac:dyDescent="0.25">
      <c r="A202" s="664">
        <v>2</v>
      </c>
      <c r="B202" s="664">
        <v>39</v>
      </c>
      <c r="C202" s="664" t="s">
        <v>1438</v>
      </c>
      <c r="D202" s="664" t="s">
        <v>752</v>
      </c>
      <c r="E202" s="667">
        <v>59920</v>
      </c>
      <c r="F202" s="667">
        <v>1500</v>
      </c>
    </row>
    <row r="203" spans="1:6" outlineLevel="2" x14ac:dyDescent="0.25">
      <c r="A203" s="664">
        <v>2</v>
      </c>
      <c r="B203" s="664">
        <v>39</v>
      </c>
      <c r="C203" s="664" t="s">
        <v>1438</v>
      </c>
      <c r="D203" s="664" t="s">
        <v>752</v>
      </c>
      <c r="E203" s="667">
        <v>59920</v>
      </c>
      <c r="F203" s="667">
        <v>1500</v>
      </c>
    </row>
    <row r="204" spans="1:6" outlineLevel="2" x14ac:dyDescent="0.25">
      <c r="A204" s="679">
        <v>3</v>
      </c>
      <c r="B204" s="679">
        <v>4790336</v>
      </c>
      <c r="C204" s="679" t="s">
        <v>1438</v>
      </c>
      <c r="D204" s="679" t="s">
        <v>752</v>
      </c>
      <c r="E204" s="686">
        <v>58992</v>
      </c>
      <c r="F204" s="686">
        <v>1694</v>
      </c>
    </row>
    <row r="205" spans="1:6" outlineLevel="1" x14ac:dyDescent="0.25">
      <c r="A205" s="679"/>
      <c r="B205" s="679"/>
      <c r="C205" s="679"/>
      <c r="D205" s="691" t="s">
        <v>1574</v>
      </c>
      <c r="E205" s="686">
        <f>SUBTOTAL(9,E201:E204)</f>
        <v>238752</v>
      </c>
      <c r="F205" s="686">
        <f>SUBTOTAL(9,F201:F204)</f>
        <v>6194</v>
      </c>
    </row>
    <row r="206" spans="1:6" outlineLevel="2" x14ac:dyDescent="0.25">
      <c r="A206" s="664">
        <v>4</v>
      </c>
      <c r="B206" s="664">
        <v>179</v>
      </c>
      <c r="C206" s="664" t="s">
        <v>1393</v>
      </c>
      <c r="D206" s="664" t="s">
        <v>947</v>
      </c>
      <c r="E206" s="667">
        <v>92932</v>
      </c>
      <c r="F206" s="667">
        <v>9000</v>
      </c>
    </row>
    <row r="207" spans="1:6" outlineLevel="2" x14ac:dyDescent="0.25">
      <c r="A207" s="664">
        <v>4</v>
      </c>
      <c r="B207" s="664">
        <v>179</v>
      </c>
      <c r="C207" s="664" t="s">
        <v>1393</v>
      </c>
      <c r="D207" s="664" t="s">
        <v>947</v>
      </c>
      <c r="E207" s="667">
        <v>92932</v>
      </c>
      <c r="F207" s="667">
        <v>9000</v>
      </c>
    </row>
    <row r="208" spans="1:6" outlineLevel="2" x14ac:dyDescent="0.25">
      <c r="A208" s="664">
        <v>4</v>
      </c>
      <c r="B208" s="664">
        <v>179</v>
      </c>
      <c r="C208" s="664" t="s">
        <v>1393</v>
      </c>
      <c r="D208" s="664" t="s">
        <v>947</v>
      </c>
      <c r="E208" s="667">
        <v>92932</v>
      </c>
      <c r="F208" s="667">
        <v>9000</v>
      </c>
    </row>
    <row r="209" spans="1:6" outlineLevel="2" x14ac:dyDescent="0.25">
      <c r="A209" s="680">
        <v>12</v>
      </c>
      <c r="B209" s="679"/>
      <c r="C209" s="679" t="s">
        <v>1478</v>
      </c>
      <c r="D209" s="679" t="s">
        <v>947</v>
      </c>
      <c r="E209" s="686">
        <v>56085</v>
      </c>
      <c r="F209" s="686">
        <v>5608</v>
      </c>
    </row>
    <row r="210" spans="1:6" outlineLevel="2" x14ac:dyDescent="0.25">
      <c r="A210" s="679">
        <v>4</v>
      </c>
      <c r="B210" s="679">
        <v>1740155</v>
      </c>
      <c r="C210" s="679" t="s">
        <v>1393</v>
      </c>
      <c r="D210" s="679" t="s">
        <v>947</v>
      </c>
      <c r="E210" s="686">
        <v>91500</v>
      </c>
      <c r="F210" s="686">
        <v>8200</v>
      </c>
    </row>
    <row r="211" spans="1:6" outlineLevel="1" x14ac:dyDescent="0.25">
      <c r="A211" s="679"/>
      <c r="B211" s="679"/>
      <c r="C211" s="679"/>
      <c r="D211" s="691" t="s">
        <v>1575</v>
      </c>
      <c r="E211" s="686">
        <f>SUBTOTAL(9,E206:E210)</f>
        <v>426381</v>
      </c>
      <c r="F211" s="686">
        <f>SUBTOTAL(9,F206:F210)</f>
        <v>40808</v>
      </c>
    </row>
    <row r="212" spans="1:6" outlineLevel="2" x14ac:dyDescent="0.25">
      <c r="A212" s="664">
        <v>10</v>
      </c>
      <c r="B212" s="664">
        <v>261</v>
      </c>
      <c r="C212" s="664" t="s">
        <v>1375</v>
      </c>
      <c r="D212" s="664" t="s">
        <v>969</v>
      </c>
      <c r="E212" s="667">
        <v>92932</v>
      </c>
      <c r="F212" s="667">
        <v>9000</v>
      </c>
    </row>
    <row r="213" spans="1:6" outlineLevel="2" x14ac:dyDescent="0.25">
      <c r="A213" s="664">
        <v>10</v>
      </c>
      <c r="B213" s="664">
        <v>261</v>
      </c>
      <c r="C213" s="664" t="s">
        <v>1375</v>
      </c>
      <c r="D213" s="664" t="s">
        <v>969</v>
      </c>
      <c r="E213" s="667">
        <v>92932</v>
      </c>
      <c r="F213" s="667">
        <v>9000</v>
      </c>
    </row>
    <row r="214" spans="1:6" outlineLevel="2" x14ac:dyDescent="0.25">
      <c r="A214" s="664">
        <v>10</v>
      </c>
      <c r="B214" s="664">
        <v>261</v>
      </c>
      <c r="C214" s="664" t="s">
        <v>1375</v>
      </c>
      <c r="D214" s="664" t="s">
        <v>969</v>
      </c>
      <c r="E214" s="667">
        <v>92932</v>
      </c>
      <c r="F214" s="667">
        <v>9000</v>
      </c>
    </row>
    <row r="215" spans="1:6" outlineLevel="2" x14ac:dyDescent="0.25">
      <c r="A215" s="680">
        <v>5</v>
      </c>
      <c r="B215" s="679"/>
      <c r="C215" s="679" t="s">
        <v>1471</v>
      </c>
      <c r="D215" s="679" t="s">
        <v>969</v>
      </c>
      <c r="E215" s="686">
        <v>46170</v>
      </c>
      <c r="F215" s="686">
        <v>4617</v>
      </c>
    </row>
    <row r="216" spans="1:6" outlineLevel="2" x14ac:dyDescent="0.25">
      <c r="A216" s="679">
        <v>7</v>
      </c>
      <c r="B216" s="679">
        <v>1170491</v>
      </c>
      <c r="C216" s="679" t="s">
        <v>1375</v>
      </c>
      <c r="D216" s="679" t="s">
        <v>969</v>
      </c>
      <c r="E216" s="686">
        <v>91500</v>
      </c>
      <c r="F216" s="686">
        <v>8300</v>
      </c>
    </row>
    <row r="217" spans="1:6" outlineLevel="1" x14ac:dyDescent="0.25">
      <c r="A217" s="679"/>
      <c r="B217" s="679"/>
      <c r="C217" s="679"/>
      <c r="D217" s="691" t="s">
        <v>1576</v>
      </c>
      <c r="E217" s="686">
        <f>SUBTOTAL(9,E212:E216)</f>
        <v>416466</v>
      </c>
      <c r="F217" s="686">
        <f>SUBTOTAL(9,F212:F216)</f>
        <v>39917</v>
      </c>
    </row>
    <row r="218" spans="1:6" outlineLevel="2" x14ac:dyDescent="0.25">
      <c r="A218" s="664">
        <v>1</v>
      </c>
      <c r="B218" s="664">
        <v>192</v>
      </c>
      <c r="C218" s="664" t="s">
        <v>1388</v>
      </c>
      <c r="D218" s="664" t="s">
        <v>955</v>
      </c>
      <c r="E218" s="667">
        <v>61623</v>
      </c>
      <c r="F218" s="667">
        <v>3000</v>
      </c>
    </row>
    <row r="219" spans="1:6" outlineLevel="2" x14ac:dyDescent="0.25">
      <c r="A219" s="664">
        <v>1</v>
      </c>
      <c r="B219" s="664">
        <v>192</v>
      </c>
      <c r="C219" s="664" t="s">
        <v>1388</v>
      </c>
      <c r="D219" s="664" t="s">
        <v>955</v>
      </c>
      <c r="E219" s="667">
        <v>61623</v>
      </c>
      <c r="F219" s="667">
        <v>3000</v>
      </c>
    </row>
    <row r="220" spans="1:6" outlineLevel="2" x14ac:dyDescent="0.25">
      <c r="A220" s="664">
        <v>1</v>
      </c>
      <c r="B220" s="664">
        <v>192</v>
      </c>
      <c r="C220" s="664" t="s">
        <v>1388</v>
      </c>
      <c r="D220" s="664" t="s">
        <v>955</v>
      </c>
      <c r="E220" s="667">
        <v>61623</v>
      </c>
      <c r="F220" s="667">
        <v>3000</v>
      </c>
    </row>
    <row r="221" spans="1:6" outlineLevel="2" x14ac:dyDescent="0.25">
      <c r="A221" s="679">
        <v>1</v>
      </c>
      <c r="B221" s="679">
        <v>4290470</v>
      </c>
      <c r="C221" s="679" t="s">
        <v>1388</v>
      </c>
      <c r="D221" s="679" t="s">
        <v>955</v>
      </c>
      <c r="E221" s="686">
        <v>60669</v>
      </c>
      <c r="F221" s="686">
        <v>2400</v>
      </c>
    </row>
    <row r="222" spans="1:6" outlineLevel="1" x14ac:dyDescent="0.25">
      <c r="A222" s="679"/>
      <c r="B222" s="679"/>
      <c r="C222" s="679"/>
      <c r="D222" s="691" t="s">
        <v>1577</v>
      </c>
      <c r="E222" s="686">
        <f>SUBTOTAL(9,E218:E221)</f>
        <v>245538</v>
      </c>
      <c r="F222" s="686">
        <f>SUBTOTAL(9,F218:F221)</f>
        <v>11400</v>
      </c>
    </row>
    <row r="223" spans="1:6" outlineLevel="2" x14ac:dyDescent="0.25">
      <c r="A223" s="664">
        <v>3</v>
      </c>
      <c r="B223" s="664">
        <v>253</v>
      </c>
      <c r="C223" s="664" t="s">
        <v>1452</v>
      </c>
      <c r="D223" s="664" t="s">
        <v>1185</v>
      </c>
      <c r="E223" s="667">
        <v>90312</v>
      </c>
      <c r="F223" s="667">
        <v>8500</v>
      </c>
    </row>
    <row r="224" spans="1:6" outlineLevel="2" x14ac:dyDescent="0.25">
      <c r="A224" s="664">
        <v>3</v>
      </c>
      <c r="B224" s="664">
        <v>253</v>
      </c>
      <c r="C224" s="664" t="s">
        <v>1452</v>
      </c>
      <c r="D224" s="664" t="s">
        <v>1185</v>
      </c>
      <c r="E224" s="667">
        <v>90312</v>
      </c>
      <c r="F224" s="667">
        <v>8000</v>
      </c>
    </row>
    <row r="225" spans="1:6" outlineLevel="2" x14ac:dyDescent="0.25">
      <c r="A225" s="664">
        <v>3</v>
      </c>
      <c r="B225" s="664">
        <v>253</v>
      </c>
      <c r="C225" s="664" t="s">
        <v>1452</v>
      </c>
      <c r="D225" s="664" t="s">
        <v>1185</v>
      </c>
      <c r="E225" s="667">
        <v>90312</v>
      </c>
      <c r="F225" s="667">
        <v>8000</v>
      </c>
    </row>
    <row r="226" spans="1:6" outlineLevel="2" x14ac:dyDescent="0.25">
      <c r="A226" s="679">
        <v>2</v>
      </c>
      <c r="B226" s="679"/>
      <c r="C226" s="679" t="s">
        <v>1468</v>
      </c>
      <c r="D226" s="679" t="s">
        <v>1185</v>
      </c>
      <c r="E226" s="686">
        <v>55491</v>
      </c>
      <c r="F226" s="686">
        <v>5549</v>
      </c>
    </row>
    <row r="227" spans="1:6" outlineLevel="2" x14ac:dyDescent="0.25">
      <c r="A227" s="679">
        <v>4</v>
      </c>
      <c r="B227" s="679">
        <v>1800137</v>
      </c>
      <c r="C227" s="679" t="s">
        <v>1452</v>
      </c>
      <c r="D227" s="679" t="s">
        <v>1185</v>
      </c>
      <c r="E227" s="686">
        <v>88920</v>
      </c>
      <c r="F227" s="686">
        <v>8100</v>
      </c>
    </row>
    <row r="228" spans="1:6" outlineLevel="1" x14ac:dyDescent="0.25">
      <c r="A228" s="679"/>
      <c r="B228" s="679"/>
      <c r="C228" s="679"/>
      <c r="D228" s="691" t="s">
        <v>1578</v>
      </c>
      <c r="E228" s="686">
        <f>SUBTOTAL(9,E223:E227)</f>
        <v>415347</v>
      </c>
      <c r="F228" s="686">
        <f>SUBTOTAL(9,F223:F227)</f>
        <v>38149</v>
      </c>
    </row>
    <row r="229" spans="1:6" outlineLevel="2" x14ac:dyDescent="0.25">
      <c r="A229" s="664">
        <v>1</v>
      </c>
      <c r="B229" s="664">
        <v>187</v>
      </c>
      <c r="C229" s="664" t="s">
        <v>1464</v>
      </c>
      <c r="D229" s="664" t="s">
        <v>937</v>
      </c>
      <c r="E229" s="667">
        <v>80618</v>
      </c>
      <c r="F229" s="667">
        <v>5000</v>
      </c>
    </row>
    <row r="230" spans="1:6" outlineLevel="2" x14ac:dyDescent="0.25">
      <c r="A230" s="664">
        <v>1</v>
      </c>
      <c r="B230" s="664">
        <v>187</v>
      </c>
      <c r="C230" s="664" t="s">
        <v>1464</v>
      </c>
      <c r="D230" s="664" t="s">
        <v>937</v>
      </c>
      <c r="E230" s="667">
        <v>80618</v>
      </c>
      <c r="F230" s="667">
        <v>5000</v>
      </c>
    </row>
    <row r="231" spans="1:6" outlineLevel="2" x14ac:dyDescent="0.25">
      <c r="A231" s="679">
        <v>1</v>
      </c>
      <c r="B231" s="679">
        <v>4270355</v>
      </c>
      <c r="C231" s="679" t="s">
        <v>1464</v>
      </c>
      <c r="D231" s="679" t="s">
        <v>937</v>
      </c>
      <c r="E231" s="686">
        <v>79374</v>
      </c>
      <c r="F231" s="686">
        <v>4800</v>
      </c>
    </row>
    <row r="232" spans="1:6" outlineLevel="1" x14ac:dyDescent="0.25">
      <c r="A232" s="679"/>
      <c r="B232" s="679"/>
      <c r="C232" s="679"/>
      <c r="D232" s="691" t="s">
        <v>1579</v>
      </c>
      <c r="E232" s="686">
        <f>SUBTOTAL(9,E229:E231)</f>
        <v>240610</v>
      </c>
      <c r="F232" s="686">
        <f>SUBTOTAL(9,F229:F231)</f>
        <v>14800</v>
      </c>
    </row>
    <row r="233" spans="1:6" outlineLevel="2" x14ac:dyDescent="0.25">
      <c r="A233" s="664">
        <v>11</v>
      </c>
      <c r="B233" s="664">
        <v>74</v>
      </c>
      <c r="C233" s="664" t="s">
        <v>1425</v>
      </c>
      <c r="D233" s="664" t="s">
        <v>24</v>
      </c>
      <c r="E233" s="667">
        <v>127651</v>
      </c>
      <c r="F233" s="667">
        <v>4400</v>
      </c>
    </row>
    <row r="234" spans="1:6" outlineLevel="2" x14ac:dyDescent="0.25">
      <c r="A234" s="664">
        <v>11</v>
      </c>
      <c r="B234" s="664">
        <v>74</v>
      </c>
      <c r="C234" s="664" t="s">
        <v>1425</v>
      </c>
      <c r="D234" s="664" t="s">
        <v>24</v>
      </c>
      <c r="E234" s="667">
        <v>127651</v>
      </c>
      <c r="F234" s="667">
        <v>4000</v>
      </c>
    </row>
    <row r="235" spans="1:6" outlineLevel="2" x14ac:dyDescent="0.25">
      <c r="A235" s="664">
        <v>11</v>
      </c>
      <c r="B235" s="664">
        <v>74</v>
      </c>
      <c r="C235" s="664" t="s">
        <v>1425</v>
      </c>
      <c r="D235" s="664" t="s">
        <v>24</v>
      </c>
      <c r="E235" s="667">
        <v>127651</v>
      </c>
      <c r="F235" s="667">
        <v>4000</v>
      </c>
    </row>
    <row r="236" spans="1:6" outlineLevel="2" x14ac:dyDescent="0.25">
      <c r="A236" s="679">
        <v>1</v>
      </c>
      <c r="B236" s="679">
        <v>74</v>
      </c>
      <c r="C236" s="679" t="s">
        <v>1425</v>
      </c>
      <c r="D236" s="679" t="s">
        <v>24</v>
      </c>
      <c r="E236" s="686">
        <v>125265</v>
      </c>
      <c r="F236" s="686">
        <v>16600</v>
      </c>
    </row>
    <row r="237" spans="1:6" outlineLevel="1" x14ac:dyDescent="0.25">
      <c r="A237" s="679"/>
      <c r="B237" s="679"/>
      <c r="C237" s="679"/>
      <c r="D237" s="691" t="s">
        <v>1580</v>
      </c>
      <c r="E237" s="686">
        <f>SUBTOTAL(9,E233:E236)</f>
        <v>508218</v>
      </c>
      <c r="F237" s="686">
        <f>SUBTOTAL(9,F233:F236)</f>
        <v>29000</v>
      </c>
    </row>
    <row r="238" spans="1:6" outlineLevel="2" x14ac:dyDescent="0.25">
      <c r="A238" s="664">
        <v>3</v>
      </c>
      <c r="B238" s="664">
        <v>32</v>
      </c>
      <c r="C238" s="664" t="s">
        <v>1430</v>
      </c>
      <c r="D238" s="664" t="s">
        <v>48</v>
      </c>
      <c r="E238" s="667">
        <v>76164</v>
      </c>
      <c r="F238" s="667">
        <v>5000</v>
      </c>
    </row>
    <row r="239" spans="1:6" outlineLevel="2" x14ac:dyDescent="0.25">
      <c r="A239" s="664">
        <v>3</v>
      </c>
      <c r="B239" s="664">
        <v>32</v>
      </c>
      <c r="C239" s="664" t="s">
        <v>1430</v>
      </c>
      <c r="D239" s="664" t="s">
        <v>48</v>
      </c>
      <c r="E239" s="667">
        <v>76164</v>
      </c>
      <c r="F239" s="667">
        <v>4500</v>
      </c>
    </row>
    <row r="240" spans="1:6" outlineLevel="2" x14ac:dyDescent="0.25">
      <c r="A240" s="664">
        <v>3</v>
      </c>
      <c r="B240" s="664">
        <v>32</v>
      </c>
      <c r="C240" s="664" t="s">
        <v>1430</v>
      </c>
      <c r="D240" s="664" t="s">
        <v>48</v>
      </c>
      <c r="E240" s="667">
        <v>76164</v>
      </c>
      <c r="F240" s="667">
        <v>4500</v>
      </c>
    </row>
    <row r="241" spans="1:6" outlineLevel="2" x14ac:dyDescent="0.25">
      <c r="A241" s="679">
        <v>4</v>
      </c>
      <c r="B241" s="679">
        <v>4250470</v>
      </c>
      <c r="C241" s="679" t="s">
        <v>1430</v>
      </c>
      <c r="D241" s="679" t="s">
        <v>48</v>
      </c>
      <c r="E241" s="686">
        <v>74988</v>
      </c>
      <c r="F241" s="686">
        <v>4600</v>
      </c>
    </row>
    <row r="242" spans="1:6" outlineLevel="1" x14ac:dyDescent="0.25">
      <c r="A242" s="679"/>
      <c r="B242" s="679"/>
      <c r="C242" s="679"/>
      <c r="D242" s="691" t="s">
        <v>1581</v>
      </c>
      <c r="E242" s="686">
        <f>SUBTOTAL(9,E238:E241)</f>
        <v>303480</v>
      </c>
      <c r="F242" s="686">
        <f>SUBTOTAL(9,F238:F241)</f>
        <v>18600</v>
      </c>
    </row>
    <row r="243" spans="1:6" outlineLevel="2" x14ac:dyDescent="0.25">
      <c r="A243" s="664">
        <v>10</v>
      </c>
      <c r="B243" s="664">
        <v>73</v>
      </c>
      <c r="C243" s="664" t="s">
        <v>1424</v>
      </c>
      <c r="D243" s="664" t="s">
        <v>16</v>
      </c>
      <c r="E243" s="667">
        <v>107214</v>
      </c>
      <c r="F243" s="667">
        <v>13000</v>
      </c>
    </row>
    <row r="244" spans="1:6" outlineLevel="2" x14ac:dyDescent="0.25">
      <c r="A244" s="664">
        <v>10</v>
      </c>
      <c r="B244" s="664">
        <v>73</v>
      </c>
      <c r="C244" s="664" t="s">
        <v>1424</v>
      </c>
      <c r="D244" s="664" t="s">
        <v>16</v>
      </c>
      <c r="E244" s="667">
        <v>107214</v>
      </c>
      <c r="F244" s="667">
        <v>13000</v>
      </c>
    </row>
    <row r="245" spans="1:6" outlineLevel="2" x14ac:dyDescent="0.25">
      <c r="A245" s="664">
        <v>10</v>
      </c>
      <c r="B245" s="664">
        <v>73</v>
      </c>
      <c r="C245" s="664" t="s">
        <v>1424</v>
      </c>
      <c r="D245" s="664" t="s">
        <v>16</v>
      </c>
      <c r="E245" s="667">
        <v>107214</v>
      </c>
      <c r="F245" s="667">
        <v>13000</v>
      </c>
    </row>
    <row r="246" spans="1:6" outlineLevel="2" x14ac:dyDescent="0.25">
      <c r="A246" s="679">
        <v>2</v>
      </c>
      <c r="B246" s="679">
        <v>1080345</v>
      </c>
      <c r="C246" s="679" t="s">
        <v>1424</v>
      </c>
      <c r="D246" s="679" t="s">
        <v>16</v>
      </c>
      <c r="E246" s="686">
        <v>105210</v>
      </c>
      <c r="F246" s="686">
        <v>13500</v>
      </c>
    </row>
    <row r="247" spans="1:6" outlineLevel="1" x14ac:dyDescent="0.25">
      <c r="A247" s="679"/>
      <c r="B247" s="679"/>
      <c r="C247" s="679"/>
      <c r="D247" s="691" t="s">
        <v>1582</v>
      </c>
      <c r="E247" s="686">
        <f>SUBTOTAL(9,E243:E246)</f>
        <v>426852</v>
      </c>
      <c r="F247" s="686">
        <f>SUBTOTAL(9,F243:F246)</f>
        <v>52500</v>
      </c>
    </row>
    <row r="248" spans="1:6" outlineLevel="2" x14ac:dyDescent="0.25">
      <c r="A248" s="664">
        <v>2</v>
      </c>
      <c r="B248" s="664">
        <v>194</v>
      </c>
      <c r="C248" s="664" t="s">
        <v>1389</v>
      </c>
      <c r="D248" s="664" t="s">
        <v>953</v>
      </c>
      <c r="E248" s="667">
        <v>63326</v>
      </c>
      <c r="F248" s="667">
        <v>2000</v>
      </c>
    </row>
    <row r="249" spans="1:6" outlineLevel="2" x14ac:dyDescent="0.25">
      <c r="A249" s="664">
        <v>2</v>
      </c>
      <c r="B249" s="664">
        <v>194</v>
      </c>
      <c r="C249" s="664" t="s">
        <v>1389</v>
      </c>
      <c r="D249" s="664" t="s">
        <v>953</v>
      </c>
      <c r="E249" s="667">
        <v>66208</v>
      </c>
      <c r="F249" s="667">
        <v>2000</v>
      </c>
    </row>
    <row r="250" spans="1:6" outlineLevel="2" x14ac:dyDescent="0.25">
      <c r="A250" s="664">
        <v>2</v>
      </c>
      <c r="B250" s="664">
        <v>194</v>
      </c>
      <c r="C250" s="664" t="s">
        <v>1389</v>
      </c>
      <c r="D250" s="664" t="s">
        <v>953</v>
      </c>
      <c r="E250" s="667">
        <v>66208</v>
      </c>
      <c r="F250" s="667">
        <v>2000</v>
      </c>
    </row>
    <row r="251" spans="1:6" outlineLevel="2" x14ac:dyDescent="0.25">
      <c r="A251" s="679">
        <v>1</v>
      </c>
      <c r="B251" s="664">
        <v>194</v>
      </c>
      <c r="C251" s="664" t="s">
        <v>1389</v>
      </c>
      <c r="D251" s="664" t="s">
        <v>953</v>
      </c>
      <c r="E251" s="686">
        <v>61552</v>
      </c>
      <c r="F251" s="690">
        <v>6155</v>
      </c>
    </row>
    <row r="252" spans="1:6" outlineLevel="2" x14ac:dyDescent="0.25">
      <c r="A252" s="679">
        <v>2</v>
      </c>
      <c r="B252" s="679">
        <v>4770470</v>
      </c>
      <c r="C252" s="679" t="s">
        <v>1389</v>
      </c>
      <c r="D252" s="679" t="s">
        <v>953</v>
      </c>
      <c r="E252" s="686">
        <v>62346</v>
      </c>
      <c r="F252" s="686">
        <v>1900</v>
      </c>
    </row>
    <row r="253" spans="1:6" outlineLevel="1" x14ac:dyDescent="0.25">
      <c r="A253" s="679"/>
      <c r="B253" s="679"/>
      <c r="C253" s="679"/>
      <c r="D253" s="691" t="s">
        <v>1583</v>
      </c>
      <c r="E253" s="686">
        <f>SUBTOTAL(9,E248:E252)</f>
        <v>319640</v>
      </c>
      <c r="F253" s="686">
        <f>SUBTOTAL(9,F248:F252)</f>
        <v>14055</v>
      </c>
    </row>
    <row r="254" spans="1:6" outlineLevel="2" x14ac:dyDescent="0.25">
      <c r="A254" s="664">
        <v>2</v>
      </c>
      <c r="B254" s="664">
        <v>117</v>
      </c>
      <c r="C254" s="664" t="s">
        <v>1403</v>
      </c>
      <c r="D254" s="664" t="s">
        <v>601</v>
      </c>
      <c r="E254" s="667">
        <v>78391</v>
      </c>
      <c r="F254" s="667">
        <v>4500</v>
      </c>
    </row>
    <row r="255" spans="1:6" outlineLevel="2" x14ac:dyDescent="0.25">
      <c r="A255" s="664">
        <v>3</v>
      </c>
      <c r="B255" s="664">
        <v>117</v>
      </c>
      <c r="C255" s="664" t="s">
        <v>1403</v>
      </c>
      <c r="D255" s="664" t="s">
        <v>601</v>
      </c>
      <c r="E255" s="667">
        <v>78391</v>
      </c>
      <c r="F255" s="667">
        <v>4500</v>
      </c>
    </row>
    <row r="256" spans="1:6" outlineLevel="2" x14ac:dyDescent="0.25">
      <c r="A256" s="664">
        <v>3</v>
      </c>
      <c r="B256" s="664">
        <v>117</v>
      </c>
      <c r="C256" s="664" t="s">
        <v>1403</v>
      </c>
      <c r="D256" s="664" t="s">
        <v>601</v>
      </c>
      <c r="E256" s="667">
        <v>78391</v>
      </c>
      <c r="F256" s="667">
        <v>4500</v>
      </c>
    </row>
    <row r="257" spans="1:6" outlineLevel="2" x14ac:dyDescent="0.25">
      <c r="A257" s="679">
        <v>1</v>
      </c>
      <c r="B257" s="679">
        <v>1200470</v>
      </c>
      <c r="C257" s="679" t="s">
        <v>1403</v>
      </c>
      <c r="D257" s="679" t="s">
        <v>601</v>
      </c>
      <c r="E257" s="686">
        <v>77181</v>
      </c>
      <c r="F257" s="686">
        <v>4700</v>
      </c>
    </row>
    <row r="258" spans="1:6" outlineLevel="1" x14ac:dyDescent="0.25">
      <c r="A258" s="679"/>
      <c r="B258" s="679"/>
      <c r="C258" s="679"/>
      <c r="D258" s="691" t="s">
        <v>1584</v>
      </c>
      <c r="E258" s="686">
        <f>SUBTOTAL(9,E254:E257)</f>
        <v>312354</v>
      </c>
      <c r="F258" s="686">
        <f>SUBTOTAL(9,F254:F257)</f>
        <v>18200</v>
      </c>
    </row>
    <row r="259" spans="1:6" outlineLevel="2" x14ac:dyDescent="0.25">
      <c r="A259" s="664">
        <v>1</v>
      </c>
      <c r="B259" s="664">
        <v>13</v>
      </c>
      <c r="C259" s="664" t="s">
        <v>1390</v>
      </c>
      <c r="D259" s="664" t="s">
        <v>785</v>
      </c>
      <c r="E259" s="667">
        <v>92932</v>
      </c>
      <c r="F259" s="667">
        <v>5000</v>
      </c>
    </row>
    <row r="260" spans="1:6" outlineLevel="2" x14ac:dyDescent="0.25">
      <c r="A260" s="664">
        <v>1</v>
      </c>
      <c r="B260" s="664">
        <v>13</v>
      </c>
      <c r="C260" s="664" t="s">
        <v>1390</v>
      </c>
      <c r="D260" s="664" t="s">
        <v>785</v>
      </c>
      <c r="E260" s="667">
        <v>92932</v>
      </c>
      <c r="F260" s="667">
        <v>5000</v>
      </c>
    </row>
    <row r="261" spans="1:6" outlineLevel="2" x14ac:dyDescent="0.25">
      <c r="A261" s="664">
        <v>1</v>
      </c>
      <c r="B261" s="664">
        <v>13</v>
      </c>
      <c r="C261" s="664" t="s">
        <v>1390</v>
      </c>
      <c r="D261" s="664" t="s">
        <v>785</v>
      </c>
      <c r="E261" s="667">
        <v>92932</v>
      </c>
      <c r="F261" s="667">
        <v>5000</v>
      </c>
    </row>
    <row r="262" spans="1:6" outlineLevel="2" x14ac:dyDescent="0.25">
      <c r="A262" s="680">
        <v>13</v>
      </c>
      <c r="B262" s="679"/>
      <c r="C262" s="679" t="s">
        <v>1479</v>
      </c>
      <c r="D262" s="680" t="s">
        <v>785</v>
      </c>
      <c r="E262" s="686">
        <v>66828</v>
      </c>
      <c r="F262" s="686">
        <v>6683</v>
      </c>
    </row>
    <row r="263" spans="1:6" outlineLevel="2" x14ac:dyDescent="0.25">
      <c r="A263" s="679">
        <v>2</v>
      </c>
      <c r="B263" s="679">
        <v>1310156</v>
      </c>
      <c r="C263" s="679" t="s">
        <v>1390</v>
      </c>
      <c r="D263" s="679" t="s">
        <v>785</v>
      </c>
      <c r="E263" s="686">
        <v>91500</v>
      </c>
      <c r="F263" s="686">
        <v>4400</v>
      </c>
    </row>
    <row r="264" spans="1:6" outlineLevel="1" x14ac:dyDescent="0.25">
      <c r="A264" s="679"/>
      <c r="B264" s="679"/>
      <c r="C264" s="679"/>
      <c r="D264" s="691" t="s">
        <v>1585</v>
      </c>
      <c r="E264" s="686">
        <f>SUBTOTAL(9,E259:E263)</f>
        <v>437124</v>
      </c>
      <c r="F264" s="686">
        <f>SUBTOTAL(9,F259:F263)</f>
        <v>26083</v>
      </c>
    </row>
    <row r="265" spans="1:6" outlineLevel="2" x14ac:dyDescent="0.25">
      <c r="A265" s="664">
        <v>1</v>
      </c>
      <c r="B265" s="664">
        <v>31</v>
      </c>
      <c r="C265" s="664" t="s">
        <v>1443</v>
      </c>
      <c r="D265" s="664" t="s">
        <v>777</v>
      </c>
      <c r="E265" s="667">
        <v>71972</v>
      </c>
      <c r="F265" s="667">
        <v>3000</v>
      </c>
    </row>
    <row r="266" spans="1:6" outlineLevel="2" x14ac:dyDescent="0.25">
      <c r="A266" s="664">
        <v>1</v>
      </c>
      <c r="B266" s="664">
        <v>31</v>
      </c>
      <c r="C266" s="664" t="s">
        <v>1443</v>
      </c>
      <c r="D266" s="664" t="s">
        <v>777</v>
      </c>
      <c r="E266" s="667">
        <v>71972</v>
      </c>
      <c r="F266" s="667">
        <v>3000</v>
      </c>
    </row>
    <row r="267" spans="1:6" outlineLevel="2" x14ac:dyDescent="0.25">
      <c r="A267" s="664">
        <v>1</v>
      </c>
      <c r="B267" s="664">
        <v>31</v>
      </c>
      <c r="C267" s="664" t="s">
        <v>1443</v>
      </c>
      <c r="D267" s="664" t="s">
        <v>777</v>
      </c>
      <c r="E267" s="667">
        <v>71972</v>
      </c>
      <c r="F267" s="667">
        <v>3000</v>
      </c>
    </row>
    <row r="268" spans="1:6" outlineLevel="2" x14ac:dyDescent="0.25">
      <c r="A268" s="679">
        <v>1</v>
      </c>
      <c r="B268" s="679">
        <v>4260470</v>
      </c>
      <c r="C268" s="679" t="s">
        <v>1443</v>
      </c>
      <c r="D268" s="679" t="s">
        <v>777</v>
      </c>
      <c r="E268" s="686">
        <v>70860</v>
      </c>
      <c r="F268" s="686">
        <v>3300</v>
      </c>
    </row>
    <row r="269" spans="1:6" outlineLevel="1" x14ac:dyDescent="0.25">
      <c r="A269" s="679"/>
      <c r="B269" s="679"/>
      <c r="C269" s="679"/>
      <c r="D269" s="691" t="s">
        <v>1586</v>
      </c>
      <c r="E269" s="686">
        <f>SUBTOTAL(9,E265:E268)</f>
        <v>286776</v>
      </c>
      <c r="F269" s="686">
        <f>SUBTOTAL(9,F265:F268)</f>
        <v>12300</v>
      </c>
    </row>
    <row r="270" spans="1:6" outlineLevel="2" x14ac:dyDescent="0.25">
      <c r="A270" s="664">
        <v>2</v>
      </c>
      <c r="B270" s="664">
        <v>20</v>
      </c>
      <c r="C270" s="664" t="s">
        <v>1429</v>
      </c>
      <c r="D270" s="664" t="s">
        <v>56</v>
      </c>
      <c r="E270" s="667">
        <v>76164</v>
      </c>
      <c r="F270" s="667">
        <v>1500</v>
      </c>
    </row>
    <row r="271" spans="1:6" outlineLevel="2" x14ac:dyDescent="0.25">
      <c r="A271" s="664">
        <v>2</v>
      </c>
      <c r="B271" s="664">
        <v>20</v>
      </c>
      <c r="C271" s="664" t="s">
        <v>1429</v>
      </c>
      <c r="D271" s="664" t="s">
        <v>56</v>
      </c>
      <c r="E271" s="667">
        <v>76164</v>
      </c>
      <c r="F271" s="667">
        <v>1500</v>
      </c>
    </row>
    <row r="272" spans="1:6" outlineLevel="2" x14ac:dyDescent="0.25">
      <c r="A272" s="664">
        <v>2</v>
      </c>
      <c r="B272" s="664">
        <v>20</v>
      </c>
      <c r="C272" s="664" t="s">
        <v>1429</v>
      </c>
      <c r="D272" s="664" t="s">
        <v>56</v>
      </c>
      <c r="E272" s="667">
        <v>76164</v>
      </c>
      <c r="F272" s="667">
        <v>1500</v>
      </c>
    </row>
    <row r="273" spans="1:6" outlineLevel="2" x14ac:dyDescent="0.25">
      <c r="A273" s="679">
        <v>3</v>
      </c>
      <c r="B273" s="679">
        <v>4220470</v>
      </c>
      <c r="C273" s="679" t="s">
        <v>1429</v>
      </c>
      <c r="D273" s="679" t="s">
        <v>56</v>
      </c>
      <c r="E273" s="686">
        <v>74988</v>
      </c>
      <c r="F273" s="686">
        <v>1800</v>
      </c>
    </row>
    <row r="274" spans="1:6" outlineLevel="1" x14ac:dyDescent="0.25">
      <c r="A274" s="679"/>
      <c r="B274" s="679"/>
      <c r="C274" s="679"/>
      <c r="D274" s="691" t="s">
        <v>1587</v>
      </c>
      <c r="E274" s="686">
        <f>SUBTOTAL(9,E270:E273)</f>
        <v>303480</v>
      </c>
      <c r="F274" s="686">
        <f>SUBTOTAL(9,F270:F273)</f>
        <v>6300</v>
      </c>
    </row>
    <row r="275" spans="1:6" outlineLevel="2" x14ac:dyDescent="0.25">
      <c r="A275" s="664">
        <v>4</v>
      </c>
      <c r="B275" s="664">
        <v>111</v>
      </c>
      <c r="C275" s="664" t="s">
        <v>1407</v>
      </c>
      <c r="D275" s="664" t="s">
        <v>586</v>
      </c>
      <c r="E275" s="667">
        <v>90312</v>
      </c>
      <c r="F275" s="667">
        <v>7900</v>
      </c>
    </row>
    <row r="276" spans="1:6" outlineLevel="2" x14ac:dyDescent="0.25">
      <c r="A276" s="664">
        <v>4</v>
      </c>
      <c r="B276" s="664">
        <v>111</v>
      </c>
      <c r="C276" s="664" t="s">
        <v>1407</v>
      </c>
      <c r="D276" s="664" t="s">
        <v>586</v>
      </c>
      <c r="E276" s="667">
        <v>90312</v>
      </c>
      <c r="F276" s="667">
        <v>7900</v>
      </c>
    </row>
    <row r="277" spans="1:6" outlineLevel="2" x14ac:dyDescent="0.25">
      <c r="A277" s="664">
        <v>4</v>
      </c>
      <c r="B277" s="664">
        <v>111</v>
      </c>
      <c r="C277" s="664" t="s">
        <v>1407</v>
      </c>
      <c r="D277" s="664" t="s">
        <v>586</v>
      </c>
      <c r="E277" s="667">
        <v>90312</v>
      </c>
      <c r="F277" s="667">
        <v>7900</v>
      </c>
    </row>
    <row r="278" spans="1:6" outlineLevel="2" x14ac:dyDescent="0.25">
      <c r="A278" s="680">
        <v>11</v>
      </c>
      <c r="B278" s="679"/>
      <c r="C278" s="679" t="s">
        <v>1477</v>
      </c>
      <c r="D278" s="679" t="s">
        <v>586</v>
      </c>
      <c r="E278" s="686">
        <v>55761</v>
      </c>
      <c r="F278" s="686">
        <v>5576</v>
      </c>
    </row>
    <row r="279" spans="1:6" outlineLevel="2" x14ac:dyDescent="0.25">
      <c r="A279" s="679">
        <v>2</v>
      </c>
      <c r="B279" s="679">
        <v>1280156</v>
      </c>
      <c r="C279" s="679" t="s">
        <v>1407</v>
      </c>
      <c r="D279" s="679" t="s">
        <v>586</v>
      </c>
      <c r="E279" s="686">
        <v>88920</v>
      </c>
      <c r="F279" s="686">
        <v>7900</v>
      </c>
    </row>
    <row r="280" spans="1:6" outlineLevel="1" x14ac:dyDescent="0.25">
      <c r="A280" s="679"/>
      <c r="B280" s="679"/>
      <c r="C280" s="679"/>
      <c r="D280" s="691" t="s">
        <v>1588</v>
      </c>
      <c r="E280" s="686">
        <f>SUBTOTAL(9,E275:E279)</f>
        <v>415617</v>
      </c>
      <c r="F280" s="686">
        <f>SUBTOTAL(9,F275:F279)</f>
        <v>37176</v>
      </c>
    </row>
    <row r="281" spans="1:6" outlineLevel="2" x14ac:dyDescent="0.25">
      <c r="A281" s="664">
        <v>1</v>
      </c>
      <c r="B281" s="664">
        <v>101</v>
      </c>
      <c r="C281" s="664" t="s">
        <v>1395</v>
      </c>
      <c r="D281" s="664" t="s">
        <v>578</v>
      </c>
      <c r="E281" s="667">
        <v>119412</v>
      </c>
      <c r="F281" s="667">
        <v>13500</v>
      </c>
    </row>
    <row r="282" spans="1:6" outlineLevel="2" x14ac:dyDescent="0.25">
      <c r="A282" s="664">
        <v>1</v>
      </c>
      <c r="B282" s="664">
        <v>101</v>
      </c>
      <c r="C282" s="664" t="s">
        <v>1395</v>
      </c>
      <c r="D282" s="664" t="s">
        <v>578</v>
      </c>
      <c r="E282" s="667">
        <v>119412</v>
      </c>
      <c r="F282" s="667">
        <v>13500</v>
      </c>
    </row>
    <row r="283" spans="1:6" outlineLevel="2" x14ac:dyDescent="0.25">
      <c r="A283" s="664">
        <v>1</v>
      </c>
      <c r="B283" s="664">
        <v>101</v>
      </c>
      <c r="C283" s="664" t="s">
        <v>1395</v>
      </c>
      <c r="D283" s="664" t="s">
        <v>578</v>
      </c>
      <c r="E283" s="667">
        <v>119412</v>
      </c>
      <c r="F283" s="667">
        <v>13500</v>
      </c>
    </row>
    <row r="284" spans="1:6" outlineLevel="2" x14ac:dyDescent="0.25">
      <c r="A284" s="679">
        <v>2</v>
      </c>
      <c r="B284" s="679">
        <v>1100345</v>
      </c>
      <c r="C284" s="679" t="s">
        <v>1395</v>
      </c>
      <c r="D284" s="679" t="s">
        <v>578</v>
      </c>
      <c r="E284" s="686">
        <v>117180</v>
      </c>
      <c r="F284" s="686">
        <v>13300</v>
      </c>
    </row>
    <row r="285" spans="1:6" outlineLevel="1" x14ac:dyDescent="0.25">
      <c r="A285" s="679"/>
      <c r="B285" s="679"/>
      <c r="C285" s="679"/>
      <c r="D285" s="691" t="s">
        <v>1589</v>
      </c>
      <c r="E285" s="686">
        <f>SUBTOTAL(9,E281:E284)</f>
        <v>475416</v>
      </c>
      <c r="F285" s="686">
        <f>SUBTOTAL(9,F281:F284)</f>
        <v>53800</v>
      </c>
    </row>
    <row r="286" spans="1:6" outlineLevel="2" x14ac:dyDescent="0.25">
      <c r="A286" s="664">
        <v>1</v>
      </c>
      <c r="B286" s="664">
        <v>18</v>
      </c>
      <c r="C286" s="664" t="s">
        <v>1428</v>
      </c>
      <c r="D286" s="664" t="s">
        <v>60</v>
      </c>
      <c r="E286" s="667">
        <v>78391</v>
      </c>
      <c r="F286" s="667">
        <v>5000</v>
      </c>
    </row>
    <row r="287" spans="1:6" outlineLevel="2" x14ac:dyDescent="0.25">
      <c r="A287" s="664">
        <v>1</v>
      </c>
      <c r="B287" s="664">
        <v>18</v>
      </c>
      <c r="C287" s="664" t="s">
        <v>1428</v>
      </c>
      <c r="D287" s="664" t="s">
        <v>60</v>
      </c>
      <c r="E287" s="667">
        <v>78391</v>
      </c>
      <c r="F287" s="667">
        <v>5000</v>
      </c>
    </row>
    <row r="288" spans="1:6" outlineLevel="2" x14ac:dyDescent="0.25">
      <c r="A288" s="664">
        <v>1</v>
      </c>
      <c r="B288" s="664">
        <v>18</v>
      </c>
      <c r="C288" s="664" t="s">
        <v>1428</v>
      </c>
      <c r="D288" s="664" t="s">
        <v>60</v>
      </c>
      <c r="E288" s="667">
        <v>78391</v>
      </c>
      <c r="F288" s="667">
        <v>5000</v>
      </c>
    </row>
    <row r="289" spans="1:6" outlineLevel="2" x14ac:dyDescent="0.25">
      <c r="A289" s="679">
        <v>2</v>
      </c>
      <c r="B289" s="679">
        <v>1190470</v>
      </c>
      <c r="C289" s="679" t="s">
        <v>1428</v>
      </c>
      <c r="D289" s="679" t="s">
        <v>60</v>
      </c>
      <c r="E289" s="686">
        <v>77181</v>
      </c>
      <c r="F289" s="686">
        <v>4900</v>
      </c>
    </row>
    <row r="290" spans="1:6" outlineLevel="1" x14ac:dyDescent="0.25">
      <c r="A290" s="679"/>
      <c r="B290" s="679"/>
      <c r="C290" s="679"/>
      <c r="D290" s="691" t="s">
        <v>1590</v>
      </c>
      <c r="E290" s="686">
        <f>SUBTOTAL(9,E286:E289)</f>
        <v>312354</v>
      </c>
      <c r="F290" s="686">
        <f>SUBTOTAL(9,F286:F289)</f>
        <v>19900</v>
      </c>
    </row>
    <row r="291" spans="1:6" outlineLevel="2" x14ac:dyDescent="0.25">
      <c r="A291" s="664">
        <v>12</v>
      </c>
      <c r="B291" s="664">
        <v>8</v>
      </c>
      <c r="C291" s="664" t="s">
        <v>1426</v>
      </c>
      <c r="D291" s="664" t="s">
        <v>42</v>
      </c>
      <c r="E291" s="667">
        <v>92932</v>
      </c>
      <c r="F291" s="667">
        <v>6000</v>
      </c>
    </row>
    <row r="292" spans="1:6" outlineLevel="2" x14ac:dyDescent="0.25">
      <c r="A292" s="664">
        <v>12</v>
      </c>
      <c r="B292" s="664">
        <v>8</v>
      </c>
      <c r="C292" s="664" t="s">
        <v>1426</v>
      </c>
      <c r="D292" s="664" t="s">
        <v>42</v>
      </c>
      <c r="E292" s="667">
        <v>92932</v>
      </c>
      <c r="F292" s="667">
        <v>6000</v>
      </c>
    </row>
    <row r="293" spans="1:6" outlineLevel="2" x14ac:dyDescent="0.25">
      <c r="A293" s="664">
        <v>12</v>
      </c>
      <c r="B293" s="664">
        <v>8</v>
      </c>
      <c r="C293" s="664" t="s">
        <v>1426</v>
      </c>
      <c r="D293" s="664" t="s">
        <v>42</v>
      </c>
      <c r="E293" s="667">
        <v>92932</v>
      </c>
      <c r="F293" s="667">
        <v>6000</v>
      </c>
    </row>
    <row r="294" spans="1:6" outlineLevel="2" x14ac:dyDescent="0.25">
      <c r="A294" s="680">
        <v>10</v>
      </c>
      <c r="B294" s="679"/>
      <c r="C294" s="679" t="s">
        <v>1476</v>
      </c>
      <c r="D294" s="680" t="s">
        <v>42</v>
      </c>
      <c r="E294" s="686">
        <v>56082</v>
      </c>
      <c r="F294" s="686">
        <v>5608</v>
      </c>
    </row>
    <row r="295" spans="1:6" outlineLevel="2" x14ac:dyDescent="0.25">
      <c r="A295" s="679">
        <v>10</v>
      </c>
      <c r="B295" s="679">
        <v>1790137</v>
      </c>
      <c r="C295" s="679" t="s">
        <v>1426</v>
      </c>
      <c r="D295" s="679" t="s">
        <v>42</v>
      </c>
      <c r="E295" s="686">
        <v>91500</v>
      </c>
      <c r="F295" s="686">
        <v>5900</v>
      </c>
    </row>
    <row r="296" spans="1:6" outlineLevel="1" x14ac:dyDescent="0.25">
      <c r="A296" s="679"/>
      <c r="B296" s="679"/>
      <c r="C296" s="679"/>
      <c r="D296" s="691" t="s">
        <v>1591</v>
      </c>
      <c r="E296" s="686">
        <f>SUBTOTAL(9,E291:E295)</f>
        <v>426378</v>
      </c>
      <c r="F296" s="686">
        <f>SUBTOTAL(9,F291:F295)</f>
        <v>29508</v>
      </c>
    </row>
    <row r="297" spans="1:6" outlineLevel="2" x14ac:dyDescent="0.25">
      <c r="A297" s="664">
        <v>15</v>
      </c>
      <c r="B297" s="664">
        <v>271</v>
      </c>
      <c r="C297" s="664" t="s">
        <v>1381</v>
      </c>
      <c r="D297" s="664" t="s">
        <v>1166</v>
      </c>
      <c r="E297" s="667">
        <v>140931</v>
      </c>
      <c r="F297" s="667">
        <v>17000</v>
      </c>
    </row>
    <row r="298" spans="1:6" outlineLevel="2" x14ac:dyDescent="0.25">
      <c r="A298" s="664">
        <v>15</v>
      </c>
      <c r="B298" s="664">
        <v>271</v>
      </c>
      <c r="C298" s="664" t="s">
        <v>1381</v>
      </c>
      <c r="D298" s="664" t="s">
        <v>1166</v>
      </c>
      <c r="E298" s="667">
        <v>140931</v>
      </c>
      <c r="F298" s="667">
        <v>17000</v>
      </c>
    </row>
    <row r="299" spans="1:6" outlineLevel="2" x14ac:dyDescent="0.25">
      <c r="A299" s="664">
        <v>16</v>
      </c>
      <c r="B299" s="664">
        <v>271</v>
      </c>
      <c r="C299" s="664" t="s">
        <v>1381</v>
      </c>
      <c r="D299" s="664" t="s">
        <v>1166</v>
      </c>
      <c r="E299" s="667">
        <v>140931</v>
      </c>
      <c r="F299" s="667">
        <v>17000</v>
      </c>
    </row>
    <row r="300" spans="1:6" outlineLevel="2" x14ac:dyDescent="0.25">
      <c r="A300" s="679">
        <v>9</v>
      </c>
      <c r="B300" s="679">
        <v>1320323</v>
      </c>
      <c r="C300" s="679" t="s">
        <v>1381</v>
      </c>
      <c r="D300" s="679" t="s">
        <v>1166</v>
      </c>
      <c r="E300" s="686">
        <v>138753</v>
      </c>
      <c r="F300" s="686">
        <v>17000</v>
      </c>
    </row>
    <row r="301" spans="1:6" outlineLevel="1" x14ac:dyDescent="0.25">
      <c r="A301" s="679"/>
      <c r="B301" s="679"/>
      <c r="C301" s="679"/>
      <c r="D301" s="691" t="s">
        <v>1592</v>
      </c>
      <c r="E301" s="686">
        <f>SUBTOTAL(9,E297:E300)</f>
        <v>561546</v>
      </c>
      <c r="F301" s="686">
        <f>SUBTOTAL(9,F297:F300)</f>
        <v>68000</v>
      </c>
    </row>
    <row r="302" spans="1:6" outlineLevel="2" x14ac:dyDescent="0.25">
      <c r="A302" s="664">
        <v>7</v>
      </c>
      <c r="B302" s="664">
        <v>203</v>
      </c>
      <c r="C302" s="664" t="s">
        <v>1372</v>
      </c>
      <c r="D302" s="664" t="s">
        <v>939</v>
      </c>
      <c r="E302" s="667">
        <v>140931</v>
      </c>
      <c r="F302" s="667">
        <v>20000</v>
      </c>
    </row>
    <row r="303" spans="1:6" outlineLevel="2" x14ac:dyDescent="0.25">
      <c r="A303" s="664">
        <v>7</v>
      </c>
      <c r="B303" s="664">
        <v>203</v>
      </c>
      <c r="C303" s="664" t="s">
        <v>1372</v>
      </c>
      <c r="D303" s="664" t="s">
        <v>939</v>
      </c>
      <c r="E303" s="667">
        <v>140931</v>
      </c>
      <c r="F303" s="667">
        <v>20000</v>
      </c>
    </row>
    <row r="304" spans="1:6" outlineLevel="2" x14ac:dyDescent="0.25">
      <c r="A304" s="664">
        <v>7</v>
      </c>
      <c r="B304" s="664">
        <v>203</v>
      </c>
      <c r="C304" s="664" t="s">
        <v>1372</v>
      </c>
      <c r="D304" s="664" t="s">
        <v>939</v>
      </c>
      <c r="E304" s="667">
        <v>140931</v>
      </c>
      <c r="F304" s="667">
        <v>20000</v>
      </c>
    </row>
    <row r="305" spans="1:6" outlineLevel="2" x14ac:dyDescent="0.25">
      <c r="A305" s="679">
        <v>1</v>
      </c>
      <c r="B305" s="679">
        <v>203</v>
      </c>
      <c r="C305" s="679" t="s">
        <v>1372</v>
      </c>
      <c r="D305" s="679" t="s">
        <v>939</v>
      </c>
      <c r="E305" s="686">
        <v>138753</v>
      </c>
      <c r="F305" s="686">
        <v>19800</v>
      </c>
    </row>
    <row r="306" spans="1:6" outlineLevel="1" x14ac:dyDescent="0.25">
      <c r="A306" s="679"/>
      <c r="B306" s="679"/>
      <c r="C306" s="679"/>
      <c r="D306" s="691" t="s">
        <v>1593</v>
      </c>
      <c r="E306" s="686">
        <f>SUBTOTAL(9,E302:E305)</f>
        <v>561546</v>
      </c>
      <c r="F306" s="686">
        <f>SUBTOTAL(9,F302:F305)</f>
        <v>79800</v>
      </c>
    </row>
    <row r="307" spans="1:6" outlineLevel="2" x14ac:dyDescent="0.25">
      <c r="A307" s="664">
        <v>6</v>
      </c>
      <c r="B307" s="664">
        <v>46</v>
      </c>
      <c r="C307" s="664" t="s">
        <v>1442</v>
      </c>
      <c r="D307" s="664" t="s">
        <v>762</v>
      </c>
      <c r="E307" s="667">
        <v>63326</v>
      </c>
      <c r="F307" s="667">
        <v>3000</v>
      </c>
    </row>
    <row r="308" spans="1:6" outlineLevel="2" x14ac:dyDescent="0.25">
      <c r="A308" s="664">
        <v>6</v>
      </c>
      <c r="B308" s="664">
        <v>46</v>
      </c>
      <c r="C308" s="664" t="s">
        <v>1442</v>
      </c>
      <c r="D308" s="664" t="s">
        <v>762</v>
      </c>
      <c r="E308" s="667">
        <v>63326</v>
      </c>
      <c r="F308" s="667">
        <v>2000</v>
      </c>
    </row>
    <row r="309" spans="1:6" outlineLevel="2" x14ac:dyDescent="0.25">
      <c r="A309" s="664">
        <v>6</v>
      </c>
      <c r="B309" s="664">
        <v>46</v>
      </c>
      <c r="C309" s="664" t="s">
        <v>1442</v>
      </c>
      <c r="D309" s="664" t="s">
        <v>762</v>
      </c>
      <c r="E309" s="667">
        <v>63326</v>
      </c>
      <c r="F309" s="667">
        <v>2000</v>
      </c>
    </row>
    <row r="310" spans="1:6" outlineLevel="2" x14ac:dyDescent="0.25">
      <c r="A310" s="679">
        <v>1</v>
      </c>
      <c r="B310" s="679">
        <v>46</v>
      </c>
      <c r="C310" s="679" t="s">
        <v>1442</v>
      </c>
      <c r="D310" s="679" t="s">
        <v>762</v>
      </c>
      <c r="E310" s="686">
        <v>62346</v>
      </c>
      <c r="F310" s="686">
        <v>2200</v>
      </c>
    </row>
    <row r="311" spans="1:6" outlineLevel="1" x14ac:dyDescent="0.25">
      <c r="A311" s="681"/>
      <c r="B311" s="681"/>
      <c r="C311" s="681"/>
      <c r="D311" s="693" t="s">
        <v>1594</v>
      </c>
      <c r="E311" s="689">
        <f>SUBTOTAL(9,E307:E310)</f>
        <v>252324</v>
      </c>
      <c r="F311" s="689">
        <f>SUBTOTAL(9,F307:F310)</f>
        <v>9200</v>
      </c>
    </row>
    <row r="312" spans="1:6" outlineLevel="2" x14ac:dyDescent="0.25">
      <c r="A312" s="668">
        <v>1</v>
      </c>
      <c r="B312" s="668">
        <v>28</v>
      </c>
      <c r="C312" s="668" t="s">
        <v>1435</v>
      </c>
      <c r="D312" s="668" t="s">
        <v>754</v>
      </c>
      <c r="E312" s="687">
        <v>80618</v>
      </c>
      <c r="F312" s="687">
        <v>6000</v>
      </c>
    </row>
    <row r="313" spans="1:6" outlineLevel="2" x14ac:dyDescent="0.25">
      <c r="A313" s="668">
        <v>1</v>
      </c>
      <c r="B313" s="668">
        <v>28</v>
      </c>
      <c r="C313" s="668" t="s">
        <v>1435</v>
      </c>
      <c r="D313" s="668" t="s">
        <v>754</v>
      </c>
      <c r="E313" s="687">
        <v>80618</v>
      </c>
      <c r="F313" s="687">
        <v>6000</v>
      </c>
    </row>
    <row r="314" spans="1:6" outlineLevel="2" x14ac:dyDescent="0.25">
      <c r="A314" s="670">
        <v>1</v>
      </c>
      <c r="B314" s="670">
        <v>28</v>
      </c>
      <c r="C314" s="670" t="s">
        <v>1435</v>
      </c>
      <c r="D314" s="670" t="s">
        <v>754</v>
      </c>
      <c r="E314" s="688">
        <v>80618</v>
      </c>
      <c r="F314" s="688">
        <v>6000</v>
      </c>
    </row>
    <row r="315" spans="1:6" outlineLevel="2" x14ac:dyDescent="0.25">
      <c r="A315" s="669">
        <v>2</v>
      </c>
      <c r="B315" s="669">
        <v>4300355</v>
      </c>
      <c r="C315" s="669" t="s">
        <v>1435</v>
      </c>
      <c r="D315" s="669" t="s">
        <v>754</v>
      </c>
      <c r="E315" s="671">
        <v>79374</v>
      </c>
      <c r="F315" s="671">
        <v>6230</v>
      </c>
    </row>
    <row r="316" spans="1:6" outlineLevel="1" x14ac:dyDescent="0.25">
      <c r="A316" s="669"/>
      <c r="B316" s="669"/>
      <c r="C316" s="669"/>
      <c r="D316" s="694" t="s">
        <v>1595</v>
      </c>
      <c r="E316" s="671">
        <f>SUBTOTAL(9,E312:E315)</f>
        <v>321228</v>
      </c>
      <c r="F316" s="671">
        <f>SUBTOTAL(9,F312:F315)</f>
        <v>24230</v>
      </c>
    </row>
    <row r="317" spans="1:6" outlineLevel="2" x14ac:dyDescent="0.25">
      <c r="A317" s="670">
        <v>5</v>
      </c>
      <c r="B317" s="670">
        <v>266</v>
      </c>
      <c r="C317" s="670" t="s">
        <v>1454</v>
      </c>
      <c r="D317" s="670" t="s">
        <v>1194</v>
      </c>
      <c r="E317" s="688">
        <v>133202</v>
      </c>
      <c r="F317" s="688">
        <v>11000</v>
      </c>
    </row>
    <row r="318" spans="1:6" outlineLevel="2" x14ac:dyDescent="0.25">
      <c r="A318" s="670">
        <v>5</v>
      </c>
      <c r="B318" s="670">
        <v>266</v>
      </c>
      <c r="C318" s="670" t="s">
        <v>1454</v>
      </c>
      <c r="D318" s="670" t="s">
        <v>1194</v>
      </c>
      <c r="E318" s="688">
        <v>133202</v>
      </c>
      <c r="F318" s="688">
        <v>11000</v>
      </c>
    </row>
    <row r="319" spans="1:6" outlineLevel="2" x14ac:dyDescent="0.25">
      <c r="A319" s="670">
        <v>5</v>
      </c>
      <c r="B319" s="670">
        <v>266</v>
      </c>
      <c r="C319" s="670" t="s">
        <v>1454</v>
      </c>
      <c r="D319" s="670" t="s">
        <v>1194</v>
      </c>
      <c r="E319" s="688">
        <v>133202</v>
      </c>
      <c r="F319" s="688">
        <v>11000</v>
      </c>
    </row>
    <row r="320" spans="1:6" outlineLevel="2" x14ac:dyDescent="0.25">
      <c r="A320" s="669">
        <v>5</v>
      </c>
      <c r="B320" s="669">
        <v>1830506</v>
      </c>
      <c r="C320" s="669" t="s">
        <v>1454</v>
      </c>
      <c r="D320" s="669" t="s">
        <v>1194</v>
      </c>
      <c r="E320" s="671">
        <v>131142</v>
      </c>
      <c r="F320" s="671">
        <v>10000</v>
      </c>
    </row>
    <row r="321" spans="1:6" outlineLevel="1" x14ac:dyDescent="0.25">
      <c r="A321" s="669"/>
      <c r="B321" s="669"/>
      <c r="C321" s="669"/>
      <c r="D321" s="694" t="s">
        <v>1596</v>
      </c>
      <c r="E321" s="671">
        <f>SUBTOTAL(9,E317:E320)</f>
        <v>530748</v>
      </c>
      <c r="F321" s="671">
        <f>SUBTOTAL(9,F317:F320)</f>
        <v>43000</v>
      </c>
    </row>
    <row r="322" spans="1:6" outlineLevel="2" x14ac:dyDescent="0.25">
      <c r="A322" s="669">
        <v>1</v>
      </c>
      <c r="B322" s="669"/>
      <c r="C322" s="669" t="s">
        <v>1419</v>
      </c>
      <c r="D322" s="669" t="s">
        <v>497</v>
      </c>
      <c r="E322" s="671">
        <v>116523</v>
      </c>
      <c r="F322" s="671">
        <v>17000</v>
      </c>
    </row>
    <row r="323" spans="1:6" outlineLevel="1" x14ac:dyDescent="0.25">
      <c r="A323" s="669"/>
      <c r="B323" s="669"/>
      <c r="C323" s="669"/>
      <c r="D323" s="694" t="s">
        <v>1597</v>
      </c>
      <c r="E323" s="671">
        <f>SUBTOTAL(9,E322:E322)</f>
        <v>116523</v>
      </c>
      <c r="F323" s="671">
        <f>SUBTOTAL(9,F322:F322)</f>
        <v>17000</v>
      </c>
    </row>
    <row r="324" spans="1:6" outlineLevel="2" x14ac:dyDescent="0.25">
      <c r="A324" s="670">
        <v>5</v>
      </c>
      <c r="B324" s="670">
        <v>200</v>
      </c>
      <c r="C324" s="670" t="s">
        <v>1370</v>
      </c>
      <c r="D324" s="670" t="s">
        <v>941</v>
      </c>
      <c r="E324" s="688">
        <v>119840</v>
      </c>
      <c r="F324" s="688">
        <v>16000</v>
      </c>
    </row>
    <row r="325" spans="1:6" outlineLevel="2" x14ac:dyDescent="0.25">
      <c r="A325" s="670">
        <v>5</v>
      </c>
      <c r="B325" s="670">
        <v>200</v>
      </c>
      <c r="C325" s="670" t="s">
        <v>1370</v>
      </c>
      <c r="D325" s="670" t="s">
        <v>941</v>
      </c>
      <c r="E325" s="688">
        <v>119840</v>
      </c>
      <c r="F325" s="688">
        <v>16000</v>
      </c>
    </row>
    <row r="326" spans="1:6" outlineLevel="2" x14ac:dyDescent="0.25">
      <c r="A326" s="670">
        <v>5</v>
      </c>
      <c r="B326" s="670">
        <v>200</v>
      </c>
      <c r="C326" s="670" t="s">
        <v>1370</v>
      </c>
      <c r="D326" s="670" t="s">
        <v>941</v>
      </c>
      <c r="E326" s="688">
        <v>119840</v>
      </c>
      <c r="F326" s="688">
        <v>16000</v>
      </c>
    </row>
    <row r="327" spans="1:6" outlineLevel="2" x14ac:dyDescent="0.25">
      <c r="A327" s="669">
        <v>4</v>
      </c>
      <c r="B327" s="669">
        <v>1030324</v>
      </c>
      <c r="C327" s="669" t="s">
        <v>1370</v>
      </c>
      <c r="D327" s="669" t="s">
        <v>941</v>
      </c>
      <c r="E327" s="671">
        <v>117600</v>
      </c>
      <c r="F327" s="671">
        <v>15600</v>
      </c>
    </row>
    <row r="328" spans="1:6" outlineLevel="1" x14ac:dyDescent="0.25">
      <c r="A328" s="669"/>
      <c r="B328" s="669"/>
      <c r="C328" s="669"/>
      <c r="D328" s="694" t="s">
        <v>1598</v>
      </c>
      <c r="E328" s="671">
        <f>SUBTOTAL(9,E324:E327)</f>
        <v>477120</v>
      </c>
      <c r="F328" s="671">
        <f>SUBTOTAL(9,F324:F327)</f>
        <v>63600</v>
      </c>
    </row>
    <row r="329" spans="1:6" outlineLevel="2" x14ac:dyDescent="0.25">
      <c r="A329" s="670">
        <v>5</v>
      </c>
      <c r="B329" s="670">
        <v>77</v>
      </c>
      <c r="C329" s="670" t="s">
        <v>1400</v>
      </c>
      <c r="D329" s="670" t="s">
        <v>723</v>
      </c>
      <c r="E329" s="688">
        <v>95552</v>
      </c>
      <c r="F329" s="688">
        <v>6700</v>
      </c>
    </row>
    <row r="330" spans="1:6" outlineLevel="2" x14ac:dyDescent="0.25">
      <c r="A330" s="670">
        <v>5</v>
      </c>
      <c r="B330" s="670">
        <v>77</v>
      </c>
      <c r="C330" s="670" t="s">
        <v>1400</v>
      </c>
      <c r="D330" s="670" t="s">
        <v>723</v>
      </c>
      <c r="E330" s="688">
        <v>95552</v>
      </c>
      <c r="F330" s="688">
        <v>6700</v>
      </c>
    </row>
    <row r="331" spans="1:6" outlineLevel="2" x14ac:dyDescent="0.25">
      <c r="A331" s="670">
        <v>5</v>
      </c>
      <c r="B331" s="670">
        <v>77</v>
      </c>
      <c r="C331" s="670" t="s">
        <v>1400</v>
      </c>
      <c r="D331" s="670" t="s">
        <v>723</v>
      </c>
      <c r="E331" s="688">
        <v>95552</v>
      </c>
      <c r="F331" s="688">
        <v>6700</v>
      </c>
    </row>
    <row r="332" spans="1:6" outlineLevel="2" x14ac:dyDescent="0.25">
      <c r="A332" s="669">
        <v>4</v>
      </c>
      <c r="B332" s="669">
        <v>1390462</v>
      </c>
      <c r="C332" s="669" t="s">
        <v>1400</v>
      </c>
      <c r="D332" s="669" t="s">
        <v>723</v>
      </c>
      <c r="E332" s="671">
        <v>94080</v>
      </c>
      <c r="F332" s="671">
        <v>6700</v>
      </c>
    </row>
    <row r="333" spans="1:6" outlineLevel="1" x14ac:dyDescent="0.25">
      <c r="A333" s="669"/>
      <c r="B333" s="669"/>
      <c r="C333" s="669"/>
      <c r="D333" s="694" t="s">
        <v>1599</v>
      </c>
      <c r="E333" s="671">
        <f>SUBTOTAL(9,E329:E332)</f>
        <v>380736</v>
      </c>
      <c r="F333" s="671">
        <f>SUBTOTAL(9,F329:F332)</f>
        <v>26800</v>
      </c>
    </row>
    <row r="334" spans="1:6" outlineLevel="2" x14ac:dyDescent="0.25">
      <c r="A334" s="670">
        <v>5</v>
      </c>
      <c r="B334" s="670">
        <v>206</v>
      </c>
      <c r="C334" s="670" t="s">
        <v>1394</v>
      </c>
      <c r="D334" s="670" t="s">
        <v>928</v>
      </c>
      <c r="E334" s="688">
        <v>98303</v>
      </c>
      <c r="F334" s="688">
        <v>7000</v>
      </c>
    </row>
    <row r="335" spans="1:6" outlineLevel="2" x14ac:dyDescent="0.25">
      <c r="A335" s="670">
        <v>5</v>
      </c>
      <c r="B335" s="670">
        <v>206</v>
      </c>
      <c r="C335" s="670" t="s">
        <v>1394</v>
      </c>
      <c r="D335" s="670" t="s">
        <v>928</v>
      </c>
      <c r="E335" s="688">
        <v>98303</v>
      </c>
      <c r="F335" s="688">
        <v>7000</v>
      </c>
    </row>
    <row r="336" spans="1:6" outlineLevel="2" x14ac:dyDescent="0.25">
      <c r="A336" s="670">
        <v>5</v>
      </c>
      <c r="B336" s="670">
        <v>206</v>
      </c>
      <c r="C336" s="670" t="s">
        <v>1394</v>
      </c>
      <c r="D336" s="670" t="s">
        <v>928</v>
      </c>
      <c r="E336" s="688">
        <v>98303</v>
      </c>
      <c r="F336" s="688">
        <v>7000</v>
      </c>
    </row>
    <row r="337" spans="1:6" outlineLevel="2" x14ac:dyDescent="0.25">
      <c r="A337" s="669">
        <v>1</v>
      </c>
      <c r="B337" s="669">
        <v>4960598</v>
      </c>
      <c r="C337" s="669" t="s">
        <v>1394</v>
      </c>
      <c r="D337" s="669" t="s">
        <v>928</v>
      </c>
      <c r="E337" s="671">
        <v>96789</v>
      </c>
      <c r="F337" s="671">
        <v>6800</v>
      </c>
    </row>
    <row r="338" spans="1:6" outlineLevel="1" x14ac:dyDescent="0.25">
      <c r="A338" s="669"/>
      <c r="B338" s="669"/>
      <c r="C338" s="669"/>
      <c r="D338" s="694" t="s">
        <v>1600</v>
      </c>
      <c r="E338" s="671">
        <f>SUBTOTAL(9,E334:E337)</f>
        <v>391698</v>
      </c>
      <c r="F338" s="671">
        <f>SUBTOTAL(9,F334:F337)</f>
        <v>27800</v>
      </c>
    </row>
    <row r="339" spans="1:6" outlineLevel="2" x14ac:dyDescent="0.25">
      <c r="A339" s="669">
        <v>3</v>
      </c>
      <c r="B339" s="669">
        <v>1730151</v>
      </c>
      <c r="C339" s="669" t="s">
        <v>1489</v>
      </c>
      <c r="D339" s="669" t="s">
        <v>87</v>
      </c>
      <c r="E339" s="671">
        <v>43899</v>
      </c>
      <c r="F339" s="671">
        <v>750</v>
      </c>
    </row>
    <row r="340" spans="1:6" outlineLevel="1" x14ac:dyDescent="0.25">
      <c r="A340" s="669"/>
      <c r="B340" s="669"/>
      <c r="C340" s="669"/>
      <c r="D340" s="694" t="s">
        <v>1601</v>
      </c>
      <c r="E340" s="671">
        <f>SUBTOTAL(9,E339:E339)</f>
        <v>43899</v>
      </c>
      <c r="F340" s="671">
        <f>SUBTOTAL(9,F339:F339)</f>
        <v>750</v>
      </c>
    </row>
    <row r="341" spans="1:6" outlineLevel="2" x14ac:dyDescent="0.25">
      <c r="A341" s="670">
        <v>8</v>
      </c>
      <c r="B341" s="670">
        <v>4</v>
      </c>
      <c r="C341" s="670" t="s">
        <v>1422</v>
      </c>
      <c r="D341" s="670" t="s">
        <v>20</v>
      </c>
      <c r="E341" s="688">
        <v>122729</v>
      </c>
      <c r="F341" s="688">
        <v>14000</v>
      </c>
    </row>
    <row r="342" spans="1:6" outlineLevel="2" x14ac:dyDescent="0.25">
      <c r="A342" s="668">
        <v>8</v>
      </c>
      <c r="B342" s="668">
        <v>4</v>
      </c>
      <c r="C342" s="668" t="s">
        <v>1422</v>
      </c>
      <c r="D342" s="668" t="s">
        <v>20</v>
      </c>
      <c r="E342" s="687">
        <v>122729</v>
      </c>
      <c r="F342" s="687">
        <v>14000</v>
      </c>
    </row>
    <row r="343" spans="1:6" outlineLevel="2" x14ac:dyDescent="0.25">
      <c r="A343" s="668">
        <v>8</v>
      </c>
      <c r="B343" s="668">
        <v>4</v>
      </c>
      <c r="C343" s="668" t="s">
        <v>1422</v>
      </c>
      <c r="D343" s="668" t="s">
        <v>20</v>
      </c>
      <c r="E343" s="687">
        <v>122729</v>
      </c>
      <c r="F343" s="687">
        <v>14000</v>
      </c>
    </row>
    <row r="344" spans="1:6" outlineLevel="2" x14ac:dyDescent="0.25">
      <c r="A344">
        <v>7</v>
      </c>
      <c r="B344">
        <v>1570329</v>
      </c>
      <c r="C344" t="s">
        <v>1422</v>
      </c>
      <c r="D344" t="s">
        <v>20</v>
      </c>
      <c r="E344" s="291">
        <v>120435</v>
      </c>
      <c r="F344" s="291">
        <v>13400</v>
      </c>
    </row>
    <row r="345" spans="1:6" outlineLevel="1" x14ac:dyDescent="0.25">
      <c r="D345" s="695" t="s">
        <v>1602</v>
      </c>
      <c r="E345" s="291">
        <f>SUBTOTAL(9,E341:E344)</f>
        <v>488622</v>
      </c>
      <c r="F345" s="291">
        <f>SUBTOTAL(9,F341:F344)</f>
        <v>55400</v>
      </c>
    </row>
    <row r="346" spans="1:6" outlineLevel="2" x14ac:dyDescent="0.25">
      <c r="A346" s="668">
        <v>14</v>
      </c>
      <c r="B346" s="668">
        <v>268</v>
      </c>
      <c r="C346" s="668" t="s">
        <v>1379</v>
      </c>
      <c r="D346" s="668" t="s">
        <v>926</v>
      </c>
      <c r="E346" s="687">
        <v>137001</v>
      </c>
      <c r="F346" s="687">
        <v>22000</v>
      </c>
    </row>
    <row r="347" spans="1:6" outlineLevel="2" x14ac:dyDescent="0.25">
      <c r="A347" s="668">
        <v>14</v>
      </c>
      <c r="B347" s="668">
        <v>268</v>
      </c>
      <c r="C347" s="668" t="s">
        <v>1379</v>
      </c>
      <c r="D347" s="668" t="s">
        <v>926</v>
      </c>
      <c r="E347" s="687">
        <v>137001</v>
      </c>
      <c r="F347" s="687">
        <v>20000</v>
      </c>
    </row>
    <row r="348" spans="1:6" outlineLevel="2" x14ac:dyDescent="0.25">
      <c r="A348" s="668">
        <v>14</v>
      </c>
      <c r="B348" s="668">
        <v>268</v>
      </c>
      <c r="C348" s="668" t="s">
        <v>1379</v>
      </c>
      <c r="D348" s="668" t="s">
        <v>926</v>
      </c>
      <c r="E348" s="687">
        <v>137001</v>
      </c>
      <c r="F348" s="687">
        <v>20000</v>
      </c>
    </row>
    <row r="349" spans="1:6" outlineLevel="2" x14ac:dyDescent="0.25">
      <c r="A349">
        <v>2</v>
      </c>
      <c r="B349">
        <v>268</v>
      </c>
      <c r="C349" t="s">
        <v>1379</v>
      </c>
      <c r="D349" t="s">
        <v>926</v>
      </c>
      <c r="E349" s="291">
        <v>134883</v>
      </c>
      <c r="F349" s="291">
        <v>21800</v>
      </c>
    </row>
    <row r="350" spans="1:6" outlineLevel="1" x14ac:dyDescent="0.25">
      <c r="D350" s="695" t="s">
        <v>1603</v>
      </c>
      <c r="E350" s="291">
        <f>SUBTOTAL(9,E346:E349)</f>
        <v>545886</v>
      </c>
      <c r="F350" s="291">
        <f>SUBTOTAL(9,F346:F349)</f>
        <v>83800</v>
      </c>
    </row>
    <row r="351" spans="1:6" outlineLevel="2" x14ac:dyDescent="0.25">
      <c r="A351" s="668">
        <v>5</v>
      </c>
      <c r="B351" s="668">
        <v>38</v>
      </c>
      <c r="C351" s="668" t="s">
        <v>1432</v>
      </c>
      <c r="D351" s="668" t="s">
        <v>26</v>
      </c>
      <c r="E351" s="687">
        <v>59920</v>
      </c>
      <c r="F351" s="687">
        <v>2000</v>
      </c>
    </row>
    <row r="352" spans="1:6" outlineLevel="2" x14ac:dyDescent="0.25">
      <c r="A352" s="668">
        <v>5</v>
      </c>
      <c r="B352" s="668">
        <v>38</v>
      </c>
      <c r="C352" s="668" t="s">
        <v>1432</v>
      </c>
      <c r="D352" s="668" t="s">
        <v>26</v>
      </c>
      <c r="E352" s="687">
        <v>59920</v>
      </c>
      <c r="F352" s="687">
        <v>1500</v>
      </c>
    </row>
    <row r="353" spans="1:6" outlineLevel="2" x14ac:dyDescent="0.25">
      <c r="A353" s="668">
        <v>5</v>
      </c>
      <c r="B353" s="668">
        <v>38</v>
      </c>
      <c r="C353" s="668" t="s">
        <v>1432</v>
      </c>
      <c r="D353" s="668" t="s">
        <v>26</v>
      </c>
      <c r="E353" s="687">
        <v>59920</v>
      </c>
      <c r="F353" s="687">
        <v>1500</v>
      </c>
    </row>
    <row r="354" spans="1:6" outlineLevel="2" x14ac:dyDescent="0.25">
      <c r="A354">
        <v>6</v>
      </c>
      <c r="B354">
        <v>4810336</v>
      </c>
      <c r="C354" t="s">
        <v>1432</v>
      </c>
      <c r="D354" t="s">
        <v>26</v>
      </c>
      <c r="E354" s="291">
        <v>58992</v>
      </c>
      <c r="F354" s="291">
        <v>1800</v>
      </c>
    </row>
    <row r="355" spans="1:6" outlineLevel="1" x14ac:dyDescent="0.25">
      <c r="D355" s="695" t="s">
        <v>1604</v>
      </c>
      <c r="E355" s="291">
        <f>SUBTOTAL(9,E351:E354)</f>
        <v>238752</v>
      </c>
      <c r="F355" s="291">
        <f>SUBTOTAL(9,F351:F354)</f>
        <v>6800</v>
      </c>
    </row>
    <row r="356" spans="1:6" outlineLevel="2" x14ac:dyDescent="0.25">
      <c r="A356" s="668">
        <v>2</v>
      </c>
      <c r="B356" s="668">
        <v>108</v>
      </c>
      <c r="C356" s="668" t="s">
        <v>1405</v>
      </c>
      <c r="D356" s="668" t="s">
        <v>580</v>
      </c>
      <c r="E356" s="687">
        <v>90312</v>
      </c>
      <c r="F356" s="687">
        <v>7900</v>
      </c>
    </row>
    <row r="357" spans="1:6" outlineLevel="2" x14ac:dyDescent="0.25">
      <c r="A357" s="668">
        <v>2</v>
      </c>
      <c r="B357" s="668">
        <v>108</v>
      </c>
      <c r="C357" s="668" t="s">
        <v>1405</v>
      </c>
      <c r="D357" s="668" t="s">
        <v>580</v>
      </c>
      <c r="E357" s="687">
        <v>90312</v>
      </c>
      <c r="F357" s="687">
        <v>7900</v>
      </c>
    </row>
    <row r="358" spans="1:6" outlineLevel="2" x14ac:dyDescent="0.25">
      <c r="A358" s="668">
        <v>2</v>
      </c>
      <c r="B358" s="668">
        <v>108</v>
      </c>
      <c r="C358" s="668" t="s">
        <v>1405</v>
      </c>
      <c r="D358" s="668" t="s">
        <v>580</v>
      </c>
      <c r="E358" s="687">
        <v>90312</v>
      </c>
      <c r="F358" s="687">
        <v>7900</v>
      </c>
    </row>
    <row r="359" spans="1:6" outlineLevel="2" x14ac:dyDescent="0.25">
      <c r="A359" s="682">
        <v>9</v>
      </c>
      <c r="B359" s="681"/>
      <c r="C359" s="681" t="s">
        <v>1475</v>
      </c>
      <c r="D359" s="681" t="s">
        <v>580</v>
      </c>
      <c r="E359" s="689">
        <v>55761</v>
      </c>
      <c r="F359" s="689">
        <v>5576</v>
      </c>
    </row>
    <row r="360" spans="1:6" outlineLevel="2" x14ac:dyDescent="0.25">
      <c r="A360">
        <v>3</v>
      </c>
      <c r="B360">
        <v>1300156</v>
      </c>
      <c r="C360" t="s">
        <v>1405</v>
      </c>
      <c r="D360" t="s">
        <v>580</v>
      </c>
      <c r="E360" s="291">
        <v>88920</v>
      </c>
      <c r="F360" s="291">
        <v>7900</v>
      </c>
    </row>
    <row r="361" spans="1:6" outlineLevel="1" x14ac:dyDescent="0.25">
      <c r="D361" s="695" t="s">
        <v>1605</v>
      </c>
      <c r="E361" s="291">
        <f>SUBTOTAL(9,E356:E360)</f>
        <v>415617</v>
      </c>
      <c r="F361" s="291">
        <f>SUBTOTAL(9,F356:F360)</f>
        <v>37176</v>
      </c>
    </row>
    <row r="362" spans="1:6" outlineLevel="2" x14ac:dyDescent="0.25">
      <c r="A362" s="668">
        <v>4</v>
      </c>
      <c r="B362" s="668">
        <v>35</v>
      </c>
      <c r="C362" s="668" t="s">
        <v>1431</v>
      </c>
      <c r="D362" s="668" t="s">
        <v>22</v>
      </c>
      <c r="E362" s="687">
        <v>62671</v>
      </c>
      <c r="F362" s="687">
        <v>2000</v>
      </c>
    </row>
    <row r="363" spans="1:6" outlineLevel="2" x14ac:dyDescent="0.25">
      <c r="A363" s="668">
        <v>4</v>
      </c>
      <c r="B363" s="668">
        <v>35</v>
      </c>
      <c r="C363" s="668" t="s">
        <v>1431</v>
      </c>
      <c r="D363" s="668" t="s">
        <v>22</v>
      </c>
      <c r="E363" s="687">
        <v>62671</v>
      </c>
      <c r="F363" s="687">
        <v>1500</v>
      </c>
    </row>
    <row r="364" spans="1:6" outlineLevel="2" x14ac:dyDescent="0.25">
      <c r="A364" s="668">
        <v>4</v>
      </c>
      <c r="B364" s="668">
        <v>35</v>
      </c>
      <c r="C364" s="668" t="s">
        <v>1431</v>
      </c>
      <c r="D364" s="668" t="s">
        <v>22</v>
      </c>
      <c r="E364" s="687">
        <v>62671</v>
      </c>
      <c r="F364" s="687">
        <v>1500</v>
      </c>
    </row>
    <row r="365" spans="1:6" outlineLevel="2" x14ac:dyDescent="0.25">
      <c r="A365">
        <v>5</v>
      </c>
      <c r="B365">
        <v>4760336</v>
      </c>
      <c r="C365" t="s">
        <v>1431</v>
      </c>
      <c r="D365" t="s">
        <v>22</v>
      </c>
      <c r="E365" s="291">
        <v>61701</v>
      </c>
      <c r="F365" s="291">
        <v>1400</v>
      </c>
    </row>
    <row r="366" spans="1:6" outlineLevel="1" x14ac:dyDescent="0.25">
      <c r="D366" s="695" t="s">
        <v>1606</v>
      </c>
      <c r="E366" s="291">
        <f>SUBTOTAL(9,E362:E365)</f>
        <v>249714</v>
      </c>
      <c r="F366" s="291">
        <f>SUBTOTAL(9,F362:F365)</f>
        <v>6400</v>
      </c>
    </row>
    <row r="367" spans="1:6" outlineLevel="2" x14ac:dyDescent="0.25">
      <c r="A367" s="668">
        <v>3</v>
      </c>
      <c r="B367" s="668">
        <v>110</v>
      </c>
      <c r="C367" s="668" t="s">
        <v>1406</v>
      </c>
      <c r="D367" s="668" t="s">
        <v>584</v>
      </c>
      <c r="E367" s="687">
        <v>92932</v>
      </c>
      <c r="F367" s="687">
        <v>7200</v>
      </c>
    </row>
    <row r="368" spans="1:6" outlineLevel="2" x14ac:dyDescent="0.25">
      <c r="A368" s="668">
        <v>3</v>
      </c>
      <c r="B368" s="668">
        <v>110</v>
      </c>
      <c r="C368" s="668" t="s">
        <v>1406</v>
      </c>
      <c r="D368" s="668" t="s">
        <v>584</v>
      </c>
      <c r="E368" s="687">
        <v>92932</v>
      </c>
      <c r="F368" s="687">
        <v>7200</v>
      </c>
    </row>
    <row r="369" spans="1:6" outlineLevel="2" x14ac:dyDescent="0.25">
      <c r="A369" s="668">
        <v>3</v>
      </c>
      <c r="B369" s="668">
        <v>110</v>
      </c>
      <c r="C369" s="668" t="s">
        <v>1406</v>
      </c>
      <c r="D369" s="668" t="s">
        <v>584</v>
      </c>
      <c r="E369" s="687">
        <v>92932</v>
      </c>
      <c r="F369" s="687">
        <v>7200</v>
      </c>
    </row>
    <row r="370" spans="1:6" outlineLevel="2" x14ac:dyDescent="0.25">
      <c r="A370" s="682">
        <v>8</v>
      </c>
      <c r="B370" s="681"/>
      <c r="C370" s="681" t="s">
        <v>1474</v>
      </c>
      <c r="D370" s="681" t="s">
        <v>584</v>
      </c>
      <c r="E370" s="689">
        <v>56091</v>
      </c>
      <c r="F370" s="689">
        <v>5609</v>
      </c>
    </row>
    <row r="371" spans="1:6" outlineLevel="2" x14ac:dyDescent="0.25">
      <c r="A371">
        <v>1</v>
      </c>
      <c r="B371">
        <v>1100158</v>
      </c>
      <c r="C371" t="s">
        <v>1406</v>
      </c>
      <c r="D371" t="s">
        <v>584</v>
      </c>
      <c r="E371" s="291">
        <v>91500</v>
      </c>
      <c r="F371" s="291">
        <v>7200</v>
      </c>
    </row>
    <row r="372" spans="1:6" outlineLevel="1" x14ac:dyDescent="0.25">
      <c r="D372" s="695" t="s">
        <v>1607</v>
      </c>
      <c r="E372" s="291">
        <f>SUBTOTAL(9,E367:E371)</f>
        <v>426387</v>
      </c>
      <c r="F372" s="291">
        <f>SUBTOTAL(9,F367:F371)</f>
        <v>34409</v>
      </c>
    </row>
    <row r="373" spans="1:6" outlineLevel="2" x14ac:dyDescent="0.25">
      <c r="A373">
        <v>7</v>
      </c>
      <c r="B373">
        <v>4930336</v>
      </c>
      <c r="C373" t="s">
        <v>1491</v>
      </c>
      <c r="D373" t="s">
        <v>760</v>
      </c>
      <c r="E373" s="291">
        <v>57444</v>
      </c>
      <c r="F373" s="291">
        <v>970</v>
      </c>
    </row>
    <row r="374" spans="1:6" outlineLevel="1" x14ac:dyDescent="0.25">
      <c r="D374" s="695" t="s">
        <v>1608</v>
      </c>
      <c r="E374" s="291">
        <f>SUBTOTAL(9,E373:E373)</f>
        <v>57444</v>
      </c>
      <c r="F374" s="291">
        <f>SUBTOTAL(9,F373:F373)</f>
        <v>970</v>
      </c>
    </row>
    <row r="375" spans="1:6" outlineLevel="2" x14ac:dyDescent="0.25">
      <c r="A375" s="668">
        <v>2</v>
      </c>
      <c r="B375" s="668">
        <v>7</v>
      </c>
      <c r="C375" s="668" t="s">
        <v>1446</v>
      </c>
      <c r="D375" s="668" t="s">
        <v>1447</v>
      </c>
      <c r="E375" s="687">
        <v>104325</v>
      </c>
      <c r="F375" s="687">
        <v>8000</v>
      </c>
    </row>
    <row r="376" spans="1:6" outlineLevel="2" x14ac:dyDescent="0.25">
      <c r="A376" s="668">
        <v>2</v>
      </c>
      <c r="B376" s="668">
        <v>7</v>
      </c>
      <c r="C376" s="668" t="s">
        <v>1446</v>
      </c>
      <c r="D376" s="668" t="s">
        <v>1447</v>
      </c>
      <c r="E376" s="687">
        <v>104325</v>
      </c>
      <c r="F376" s="687">
        <v>2000</v>
      </c>
    </row>
    <row r="377" spans="1:6" outlineLevel="2" x14ac:dyDescent="0.25">
      <c r="A377" s="668">
        <v>2</v>
      </c>
      <c r="B377" s="668">
        <v>7</v>
      </c>
      <c r="C377" s="668" t="s">
        <v>1446</v>
      </c>
      <c r="D377" s="668" t="s">
        <v>1447</v>
      </c>
      <c r="E377" s="687">
        <v>104325</v>
      </c>
      <c r="F377" s="687">
        <v>2000</v>
      </c>
    </row>
    <row r="378" spans="1:6" outlineLevel="2" x14ac:dyDescent="0.25">
      <c r="A378">
        <v>2</v>
      </c>
      <c r="B378">
        <v>1730137</v>
      </c>
      <c r="C378" t="s">
        <v>1446</v>
      </c>
      <c r="D378" t="s">
        <v>1447</v>
      </c>
      <c r="E378" s="291">
        <v>102375</v>
      </c>
      <c r="F378" s="291">
        <v>7000</v>
      </c>
    </row>
    <row r="379" spans="1:6" outlineLevel="1" x14ac:dyDescent="0.25">
      <c r="D379" s="695" t="s">
        <v>1609</v>
      </c>
      <c r="E379" s="291">
        <f>SUBTOTAL(9,E375:E378)</f>
        <v>415350</v>
      </c>
      <c r="F379" s="291">
        <f>SUBTOTAL(9,F375:F378)</f>
        <v>19000</v>
      </c>
    </row>
    <row r="380" spans="1:6" outlineLevel="2" x14ac:dyDescent="0.25">
      <c r="A380">
        <v>7</v>
      </c>
      <c r="B380">
        <v>4880336</v>
      </c>
      <c r="C380" t="s">
        <v>1485</v>
      </c>
      <c r="D380" t="s">
        <v>14</v>
      </c>
      <c r="E380" s="291">
        <v>44940</v>
      </c>
      <c r="F380" s="291">
        <v>700</v>
      </c>
    </row>
    <row r="381" spans="1:6" outlineLevel="1" x14ac:dyDescent="0.25">
      <c r="D381" s="695" t="s">
        <v>1610</v>
      </c>
      <c r="E381" s="291">
        <f>SUBTOTAL(9,E380:E380)</f>
        <v>44940</v>
      </c>
      <c r="F381" s="291">
        <f>SUBTOTAL(9,F380:F380)</f>
        <v>700</v>
      </c>
    </row>
    <row r="382" spans="1:6" outlineLevel="2" x14ac:dyDescent="0.25">
      <c r="A382" s="668">
        <v>3</v>
      </c>
      <c r="B382" s="668">
        <v>40</v>
      </c>
      <c r="C382" s="668" t="s">
        <v>1439</v>
      </c>
      <c r="D382" s="668" t="s">
        <v>766</v>
      </c>
      <c r="E382" s="687">
        <v>58348</v>
      </c>
      <c r="F382" s="687">
        <v>1000</v>
      </c>
    </row>
    <row r="383" spans="1:6" outlineLevel="2" x14ac:dyDescent="0.25">
      <c r="A383" s="668">
        <v>3</v>
      </c>
      <c r="B383" s="668">
        <v>40</v>
      </c>
      <c r="C383" s="668" t="s">
        <v>1439</v>
      </c>
      <c r="D383" s="668" t="s">
        <v>766</v>
      </c>
      <c r="E383" s="687">
        <v>58348</v>
      </c>
      <c r="F383" s="687">
        <v>1000</v>
      </c>
    </row>
    <row r="384" spans="1:6" outlineLevel="2" x14ac:dyDescent="0.25">
      <c r="A384" s="668">
        <v>3</v>
      </c>
      <c r="B384" s="668">
        <v>40</v>
      </c>
      <c r="C384" s="668" t="s">
        <v>1439</v>
      </c>
      <c r="D384" s="668" t="s">
        <v>766</v>
      </c>
      <c r="E384" s="687">
        <v>58348</v>
      </c>
      <c r="F384" s="687">
        <v>1000</v>
      </c>
    </row>
    <row r="385" spans="1:6" outlineLevel="2" x14ac:dyDescent="0.25">
      <c r="A385">
        <v>6</v>
      </c>
      <c r="B385">
        <v>4850336</v>
      </c>
      <c r="C385" t="s">
        <v>1439</v>
      </c>
      <c r="D385" t="s">
        <v>766</v>
      </c>
      <c r="E385" s="291">
        <v>57444</v>
      </c>
      <c r="F385" s="291">
        <v>890</v>
      </c>
    </row>
    <row r="386" spans="1:6" outlineLevel="1" x14ac:dyDescent="0.25">
      <c r="D386" s="695" t="s">
        <v>1611</v>
      </c>
      <c r="E386" s="291">
        <f>SUBTOTAL(9,E382:E385)</f>
        <v>232488</v>
      </c>
      <c r="F386" s="291">
        <f>SUBTOTAL(9,F382:F385)</f>
        <v>3890</v>
      </c>
    </row>
    <row r="387" spans="1:6" outlineLevel="2" x14ac:dyDescent="0.25">
      <c r="A387">
        <v>9</v>
      </c>
      <c r="B387">
        <v>4900470</v>
      </c>
      <c r="C387" t="s">
        <v>1457</v>
      </c>
      <c r="D387" t="s">
        <v>76</v>
      </c>
      <c r="E387" s="291">
        <v>50736</v>
      </c>
      <c r="F387" s="291">
        <v>700</v>
      </c>
    </row>
    <row r="388" spans="1:6" outlineLevel="1" x14ac:dyDescent="0.25">
      <c r="D388" s="695" t="s">
        <v>1612</v>
      </c>
      <c r="E388" s="291">
        <f>SUBTOTAL(9,E387:E387)</f>
        <v>50736</v>
      </c>
      <c r="F388" s="291">
        <f>SUBTOTAL(9,F387:F387)</f>
        <v>700</v>
      </c>
    </row>
    <row r="389" spans="1:6" outlineLevel="2" x14ac:dyDescent="0.25">
      <c r="A389" s="668">
        <v>3</v>
      </c>
      <c r="B389" s="668">
        <v>177</v>
      </c>
      <c r="C389" s="668" t="s">
        <v>1392</v>
      </c>
      <c r="D389" s="668" t="s">
        <v>959</v>
      </c>
      <c r="E389" s="687">
        <v>129534</v>
      </c>
      <c r="F389" s="687">
        <v>20000</v>
      </c>
    </row>
    <row r="390" spans="1:6" outlineLevel="2" x14ac:dyDescent="0.25">
      <c r="A390" s="668">
        <v>3</v>
      </c>
      <c r="B390" s="668">
        <v>177</v>
      </c>
      <c r="C390" s="668" t="s">
        <v>1392</v>
      </c>
      <c r="D390" s="668" t="s">
        <v>959</v>
      </c>
      <c r="E390" s="687">
        <v>129534</v>
      </c>
      <c r="F390" s="687">
        <v>19500</v>
      </c>
    </row>
    <row r="391" spans="1:6" outlineLevel="2" x14ac:dyDescent="0.25">
      <c r="A391" s="668">
        <v>3</v>
      </c>
      <c r="B391" s="668">
        <v>177</v>
      </c>
      <c r="C391" s="668" t="s">
        <v>1392</v>
      </c>
      <c r="D391" s="668" t="s">
        <v>959</v>
      </c>
      <c r="E391" s="687">
        <v>129534</v>
      </c>
      <c r="F391" s="687">
        <v>19500</v>
      </c>
    </row>
    <row r="392" spans="1:6" outlineLevel="2" x14ac:dyDescent="0.25">
      <c r="A392">
        <v>5</v>
      </c>
      <c r="B392">
        <v>1760146</v>
      </c>
      <c r="C392" t="s">
        <v>1392</v>
      </c>
      <c r="D392" t="s">
        <v>959</v>
      </c>
      <c r="E392" s="291">
        <v>127530</v>
      </c>
      <c r="F392" s="291">
        <v>19400</v>
      </c>
    </row>
    <row r="393" spans="1:6" outlineLevel="1" x14ac:dyDescent="0.25">
      <c r="D393" s="695" t="s">
        <v>1613</v>
      </c>
      <c r="E393" s="291">
        <f>SUBTOTAL(9,E389:E392)</f>
        <v>516132</v>
      </c>
      <c r="F393" s="291">
        <f>SUBTOTAL(9,F389:F392)</f>
        <v>78400</v>
      </c>
    </row>
    <row r="394" spans="1:6" outlineLevel="2" x14ac:dyDescent="0.25">
      <c r="A394" s="668">
        <v>1</v>
      </c>
      <c r="B394" s="668">
        <v>16</v>
      </c>
      <c r="C394" s="668" t="s">
        <v>1437</v>
      </c>
      <c r="D394" s="668" t="s">
        <v>559</v>
      </c>
      <c r="E394" s="687">
        <v>70007</v>
      </c>
      <c r="F394" s="687">
        <v>3000</v>
      </c>
    </row>
    <row r="395" spans="1:6" outlineLevel="2" x14ac:dyDescent="0.25">
      <c r="A395" s="668">
        <v>1</v>
      </c>
      <c r="B395" s="668">
        <v>16</v>
      </c>
      <c r="C395" s="668" t="s">
        <v>1437</v>
      </c>
      <c r="D395" s="668" t="s">
        <v>559</v>
      </c>
      <c r="E395" s="687">
        <v>70007</v>
      </c>
      <c r="F395" s="687">
        <v>2500</v>
      </c>
    </row>
    <row r="396" spans="1:6" outlineLevel="2" x14ac:dyDescent="0.25">
      <c r="A396" s="668">
        <v>1</v>
      </c>
      <c r="B396" s="668">
        <v>16</v>
      </c>
      <c r="C396" s="668" t="s">
        <v>1437</v>
      </c>
      <c r="D396" s="668" t="s">
        <v>559</v>
      </c>
      <c r="E396" s="687">
        <v>70007</v>
      </c>
      <c r="F396" s="687">
        <v>2500</v>
      </c>
    </row>
    <row r="397" spans="1:6" outlineLevel="2" x14ac:dyDescent="0.25">
      <c r="A397" s="681">
        <v>2</v>
      </c>
      <c r="B397" s="684">
        <v>1270164</v>
      </c>
      <c r="C397" s="668" t="s">
        <v>1437</v>
      </c>
      <c r="D397" s="668" t="s">
        <v>559</v>
      </c>
      <c r="E397" s="689">
        <v>689434</v>
      </c>
      <c r="F397" s="689">
        <v>68943</v>
      </c>
    </row>
    <row r="398" spans="1:6" outlineLevel="2" x14ac:dyDescent="0.25">
      <c r="A398">
        <v>2</v>
      </c>
      <c r="B398">
        <v>1270164</v>
      </c>
      <c r="C398" t="s">
        <v>1437</v>
      </c>
      <c r="D398" t="s">
        <v>559</v>
      </c>
      <c r="E398" s="291">
        <v>68925</v>
      </c>
      <c r="F398" s="291">
        <v>2400</v>
      </c>
    </row>
    <row r="399" spans="1:6" outlineLevel="1" x14ac:dyDescent="0.25">
      <c r="D399" s="695" t="s">
        <v>1614</v>
      </c>
      <c r="E399" s="291">
        <f>SUBTOTAL(9,E394:E398)</f>
        <v>968380</v>
      </c>
      <c r="F399" s="291">
        <f>SUBTOTAL(9,F394:F398)</f>
        <v>79343</v>
      </c>
    </row>
    <row r="400" spans="1:6" outlineLevel="2" x14ac:dyDescent="0.25">
      <c r="A400">
        <v>4</v>
      </c>
      <c r="B400">
        <v>4310471</v>
      </c>
      <c r="C400" t="s">
        <v>1490</v>
      </c>
      <c r="D400" t="s">
        <v>97</v>
      </c>
      <c r="E400" s="291">
        <v>45060</v>
      </c>
      <c r="F400" s="291">
        <v>500</v>
      </c>
    </row>
    <row r="401" spans="1:6" outlineLevel="1" x14ac:dyDescent="0.25">
      <c r="D401" s="695" t="s">
        <v>1615</v>
      </c>
      <c r="E401" s="291">
        <f>SUBTOTAL(9,E400:E400)</f>
        <v>45060</v>
      </c>
      <c r="F401" s="291">
        <f>SUBTOTAL(9,F400:F400)</f>
        <v>500</v>
      </c>
    </row>
    <row r="402" spans="1:6" outlineLevel="2" x14ac:dyDescent="0.25">
      <c r="A402">
        <v>8</v>
      </c>
      <c r="B402">
        <v>4900336</v>
      </c>
      <c r="C402" t="s">
        <v>1486</v>
      </c>
      <c r="D402" t="s">
        <v>64</v>
      </c>
      <c r="E402" s="291">
        <v>44940</v>
      </c>
      <c r="F402" s="291">
        <v>500</v>
      </c>
    </row>
    <row r="403" spans="1:6" outlineLevel="1" x14ac:dyDescent="0.25">
      <c r="D403" s="695" t="s">
        <v>1616</v>
      </c>
      <c r="E403" s="291">
        <f>SUBTOTAL(9,E402:E402)</f>
        <v>44940</v>
      </c>
      <c r="F403" s="291">
        <f>SUBTOTAL(9,F402:F402)</f>
        <v>500</v>
      </c>
    </row>
    <row r="404" spans="1:6" outlineLevel="2" x14ac:dyDescent="0.25">
      <c r="A404" s="668">
        <v>6</v>
      </c>
      <c r="B404" s="668">
        <v>265</v>
      </c>
      <c r="C404" s="668" t="s">
        <v>1418</v>
      </c>
      <c r="D404" s="668" t="s">
        <v>72</v>
      </c>
      <c r="E404" s="687">
        <v>106893</v>
      </c>
      <c r="F404" s="687">
        <v>12000</v>
      </c>
    </row>
    <row r="405" spans="1:6" outlineLevel="2" x14ac:dyDescent="0.25">
      <c r="A405" s="668">
        <v>6</v>
      </c>
      <c r="B405" s="668">
        <v>265</v>
      </c>
      <c r="C405" s="668" t="s">
        <v>1418</v>
      </c>
      <c r="D405" s="668" t="s">
        <v>72</v>
      </c>
      <c r="E405" s="687">
        <v>106893</v>
      </c>
      <c r="F405" s="687">
        <v>12000</v>
      </c>
    </row>
    <row r="406" spans="1:6" outlineLevel="2" x14ac:dyDescent="0.25">
      <c r="A406" s="668">
        <v>6</v>
      </c>
      <c r="B406" s="668">
        <v>265</v>
      </c>
      <c r="C406" s="668" t="s">
        <v>1418</v>
      </c>
      <c r="D406" s="668" t="s">
        <v>72</v>
      </c>
      <c r="E406" s="687">
        <v>106893</v>
      </c>
      <c r="F406" s="687">
        <v>12000</v>
      </c>
    </row>
    <row r="407" spans="1:6" outlineLevel="2" x14ac:dyDescent="0.25">
      <c r="A407">
        <v>3</v>
      </c>
      <c r="B407">
        <v>1160342</v>
      </c>
      <c r="C407" t="s">
        <v>1418</v>
      </c>
      <c r="D407" t="s">
        <v>72</v>
      </c>
      <c r="E407" s="291">
        <v>104895</v>
      </c>
      <c r="F407" s="291">
        <v>15200</v>
      </c>
    </row>
    <row r="408" spans="1:6" outlineLevel="1" x14ac:dyDescent="0.25">
      <c r="D408" s="695" t="s">
        <v>1617</v>
      </c>
      <c r="E408" s="291">
        <f>SUBTOTAL(9,E404:E407)</f>
        <v>425574</v>
      </c>
      <c r="F408" s="291">
        <f>SUBTOTAL(9,F404:F407)</f>
        <v>51200</v>
      </c>
    </row>
    <row r="409" spans="1:6" outlineLevel="2" x14ac:dyDescent="0.25">
      <c r="A409">
        <v>10</v>
      </c>
      <c r="B409">
        <v>4960336</v>
      </c>
      <c r="C409" t="s">
        <v>1487</v>
      </c>
      <c r="D409" t="s">
        <v>62</v>
      </c>
      <c r="E409" s="291">
        <v>52929</v>
      </c>
      <c r="F409" s="291">
        <v>900</v>
      </c>
    </row>
    <row r="410" spans="1:6" outlineLevel="1" x14ac:dyDescent="0.25">
      <c r="D410" s="695" t="s">
        <v>1618</v>
      </c>
      <c r="E410" s="291">
        <f>SUBTOTAL(9,E409:E409)</f>
        <v>52929</v>
      </c>
      <c r="F410" s="291">
        <f>SUBTOTAL(9,F409:F409)</f>
        <v>900</v>
      </c>
    </row>
    <row r="411" spans="1:6" outlineLevel="2" x14ac:dyDescent="0.25">
      <c r="A411">
        <v>2</v>
      </c>
      <c r="B411">
        <v>1690151</v>
      </c>
      <c r="C411" t="s">
        <v>1488</v>
      </c>
      <c r="D411" t="s">
        <v>80</v>
      </c>
      <c r="E411" s="291">
        <v>39480</v>
      </c>
      <c r="F411" s="291">
        <v>270</v>
      </c>
    </row>
    <row r="412" spans="1:6" outlineLevel="1" x14ac:dyDescent="0.25">
      <c r="D412" s="695" t="s">
        <v>1619</v>
      </c>
      <c r="E412" s="291">
        <f>SUBTOTAL(9,E411:E411)</f>
        <v>39480</v>
      </c>
      <c r="F412" s="291">
        <f>SUBTOTAL(9,F411:F411)</f>
        <v>270</v>
      </c>
    </row>
    <row r="413" spans="1:6" outlineLevel="2" x14ac:dyDescent="0.25">
      <c r="A413" s="668">
        <v>17</v>
      </c>
      <c r="B413" s="668">
        <v>76</v>
      </c>
      <c r="C413" s="668" t="s">
        <v>1383</v>
      </c>
      <c r="D413" s="668" t="s">
        <v>40</v>
      </c>
      <c r="E413" s="687">
        <v>78752</v>
      </c>
      <c r="F413" s="687">
        <v>6000</v>
      </c>
    </row>
    <row r="414" spans="1:6" outlineLevel="2" x14ac:dyDescent="0.25">
      <c r="A414" s="668">
        <v>17</v>
      </c>
      <c r="B414" s="668">
        <v>76</v>
      </c>
      <c r="C414" s="668" t="s">
        <v>1383</v>
      </c>
      <c r="D414" s="668" t="s">
        <v>40</v>
      </c>
      <c r="E414" s="687">
        <v>78752</v>
      </c>
      <c r="F414" s="687">
        <v>6000</v>
      </c>
    </row>
    <row r="415" spans="1:6" outlineLevel="2" x14ac:dyDescent="0.25">
      <c r="A415" s="668">
        <v>18</v>
      </c>
      <c r="B415" s="668">
        <v>76</v>
      </c>
      <c r="C415" s="668" t="s">
        <v>1383</v>
      </c>
      <c r="D415" s="668" t="s">
        <v>40</v>
      </c>
      <c r="E415" s="687">
        <v>78752</v>
      </c>
      <c r="F415" s="687">
        <v>6000</v>
      </c>
    </row>
    <row r="416" spans="1:6" outlineLevel="2" x14ac:dyDescent="0.25">
      <c r="A416">
        <v>3</v>
      </c>
      <c r="B416">
        <v>76</v>
      </c>
      <c r="C416" t="s">
        <v>1383</v>
      </c>
      <c r="D416" t="s">
        <v>40</v>
      </c>
      <c r="E416" s="291">
        <v>77280</v>
      </c>
      <c r="F416" s="291">
        <v>5800</v>
      </c>
    </row>
    <row r="417" spans="1:6" outlineLevel="1" x14ac:dyDescent="0.25">
      <c r="D417" s="695" t="s">
        <v>1620</v>
      </c>
      <c r="E417" s="291">
        <f>SUBTOTAL(9,E413:E416)</f>
        <v>313536</v>
      </c>
      <c r="F417" s="291">
        <f>SUBTOTAL(9,F413:F416)</f>
        <v>23800</v>
      </c>
    </row>
    <row r="418" spans="1:6" outlineLevel="2" x14ac:dyDescent="0.25">
      <c r="A418" s="668">
        <v>3</v>
      </c>
      <c r="B418" s="668">
        <v>50</v>
      </c>
      <c r="C418" s="668" t="s">
        <v>1465</v>
      </c>
      <c r="D418" s="668" t="s">
        <v>779</v>
      </c>
      <c r="E418" s="687">
        <v>50095</v>
      </c>
      <c r="F418" s="687">
        <v>1000</v>
      </c>
    </row>
    <row r="419" spans="1:6" outlineLevel="2" x14ac:dyDescent="0.25">
      <c r="A419">
        <v>3</v>
      </c>
      <c r="B419">
        <v>4950336</v>
      </c>
      <c r="C419" t="s">
        <v>1465</v>
      </c>
      <c r="D419" t="s">
        <v>779</v>
      </c>
      <c r="E419" s="291">
        <v>49317</v>
      </c>
      <c r="F419" s="291">
        <v>600</v>
      </c>
    </row>
    <row r="420" spans="1:6" outlineLevel="1" x14ac:dyDescent="0.25">
      <c r="D420" s="695" t="s">
        <v>1621</v>
      </c>
      <c r="E420" s="291">
        <f>SUBTOTAL(9,E418:E419)</f>
        <v>99412</v>
      </c>
      <c r="F420" s="291">
        <f>SUBTOTAL(9,F418:F419)</f>
        <v>1600</v>
      </c>
    </row>
    <row r="421" spans="1:6" outlineLevel="2" x14ac:dyDescent="0.25">
      <c r="A421" s="668">
        <v>1</v>
      </c>
      <c r="B421" s="668">
        <v>113</v>
      </c>
      <c r="C421" s="668" t="s">
        <v>1408</v>
      </c>
      <c r="D421" s="668" t="s">
        <v>590</v>
      </c>
      <c r="E421" s="687">
        <v>70007</v>
      </c>
      <c r="F421" s="687">
        <v>500</v>
      </c>
    </row>
    <row r="422" spans="1:6" outlineLevel="2" x14ac:dyDescent="0.25">
      <c r="A422" s="668">
        <v>1</v>
      </c>
      <c r="B422" s="668">
        <v>113</v>
      </c>
      <c r="C422" s="668" t="s">
        <v>1408</v>
      </c>
      <c r="D422" s="668" t="s">
        <v>590</v>
      </c>
      <c r="E422" s="687">
        <v>70007</v>
      </c>
      <c r="F422" s="687">
        <v>500</v>
      </c>
    </row>
    <row r="423" spans="1:6" outlineLevel="2" x14ac:dyDescent="0.25">
      <c r="A423" s="668">
        <v>1</v>
      </c>
      <c r="B423" s="668">
        <v>113</v>
      </c>
      <c r="C423" s="668" t="s">
        <v>1408</v>
      </c>
      <c r="D423" s="668" t="s">
        <v>590</v>
      </c>
      <c r="E423" s="687">
        <v>70007</v>
      </c>
      <c r="F423" s="687">
        <v>500</v>
      </c>
    </row>
    <row r="424" spans="1:6" outlineLevel="2" x14ac:dyDescent="0.25">
      <c r="A424" s="681">
        <v>3</v>
      </c>
      <c r="B424" s="683">
        <v>1310164</v>
      </c>
      <c r="C424" s="681" t="s">
        <v>1480</v>
      </c>
      <c r="D424" s="681" t="s">
        <v>590</v>
      </c>
      <c r="E424" s="689">
        <v>687687</v>
      </c>
      <c r="F424" s="689">
        <v>68769</v>
      </c>
    </row>
    <row r="425" spans="1:6" outlineLevel="2" x14ac:dyDescent="0.25">
      <c r="A425">
        <v>2</v>
      </c>
      <c r="B425">
        <v>1310164</v>
      </c>
      <c r="C425" t="s">
        <v>1408</v>
      </c>
      <c r="D425" t="s">
        <v>590</v>
      </c>
      <c r="E425" s="291">
        <v>68925</v>
      </c>
      <c r="F425" s="291">
        <v>300</v>
      </c>
    </row>
    <row r="426" spans="1:6" outlineLevel="1" x14ac:dyDescent="0.25">
      <c r="D426" s="695" t="s">
        <v>1622</v>
      </c>
      <c r="E426" s="291">
        <f>SUBTOTAL(9,E421:E425)</f>
        <v>966633</v>
      </c>
      <c r="F426" s="291">
        <f>SUBTOTAL(9,F421:F425)</f>
        <v>70569</v>
      </c>
    </row>
    <row r="427" spans="1:6" outlineLevel="2" x14ac:dyDescent="0.25">
      <c r="A427">
        <v>1</v>
      </c>
      <c r="B427">
        <v>1700151</v>
      </c>
      <c r="C427" t="s">
        <v>1492</v>
      </c>
      <c r="D427" t="s">
        <v>909</v>
      </c>
      <c r="E427" s="291">
        <v>47640</v>
      </c>
      <c r="F427" s="291">
        <v>500</v>
      </c>
    </row>
    <row r="428" spans="1:6" outlineLevel="1" x14ac:dyDescent="0.25">
      <c r="D428" s="695" t="s">
        <v>1623</v>
      </c>
      <c r="E428" s="291">
        <f>SUBTOTAL(9,E427:E427)</f>
        <v>47640</v>
      </c>
      <c r="F428" s="291">
        <f>SUBTOTAL(9,F427:F427)</f>
        <v>500</v>
      </c>
    </row>
    <row r="429" spans="1:6" outlineLevel="2" x14ac:dyDescent="0.25">
      <c r="A429">
        <v>1</v>
      </c>
      <c r="B429">
        <v>4010471</v>
      </c>
      <c r="C429" t="s">
        <v>1434</v>
      </c>
      <c r="D429" t="s">
        <v>89</v>
      </c>
      <c r="E429" s="291">
        <v>52155</v>
      </c>
      <c r="F429" s="291">
        <v>900</v>
      </c>
    </row>
    <row r="430" spans="1:6" outlineLevel="1" x14ac:dyDescent="0.25">
      <c r="D430" s="695" t="s">
        <v>1624</v>
      </c>
      <c r="E430" s="291">
        <f>SUBTOTAL(9,E429:E429)</f>
        <v>52155</v>
      </c>
      <c r="F430" s="291">
        <f>SUBTOTAL(9,F429:F429)</f>
        <v>900</v>
      </c>
    </row>
    <row r="431" spans="1:6" outlineLevel="2" x14ac:dyDescent="0.25">
      <c r="A431" s="668">
        <v>1</v>
      </c>
      <c r="B431" s="668">
        <v>115</v>
      </c>
      <c r="C431" s="668" t="s">
        <v>1401</v>
      </c>
      <c r="D431" s="668" t="s">
        <v>594</v>
      </c>
      <c r="E431" s="687">
        <v>70007</v>
      </c>
      <c r="F431" s="687">
        <v>2000</v>
      </c>
    </row>
    <row r="432" spans="1:6" outlineLevel="2" x14ac:dyDescent="0.25">
      <c r="A432" s="668">
        <v>1</v>
      </c>
      <c r="B432" s="668">
        <v>115</v>
      </c>
      <c r="C432" s="668" t="s">
        <v>1401</v>
      </c>
      <c r="D432" s="668" t="s">
        <v>594</v>
      </c>
      <c r="E432" s="687">
        <v>70007</v>
      </c>
      <c r="F432" s="687">
        <v>2000</v>
      </c>
    </row>
    <row r="433" spans="1:6" outlineLevel="2" x14ac:dyDescent="0.25">
      <c r="A433" s="668">
        <v>1</v>
      </c>
      <c r="B433" s="668">
        <v>115</v>
      </c>
      <c r="C433" s="668" t="s">
        <v>1401</v>
      </c>
      <c r="D433" s="668" t="s">
        <v>594</v>
      </c>
      <c r="E433" s="687">
        <v>70007</v>
      </c>
      <c r="F433" s="687">
        <v>2000</v>
      </c>
    </row>
    <row r="434" spans="1:6" outlineLevel="2" x14ac:dyDescent="0.25">
      <c r="A434" s="681">
        <v>5</v>
      </c>
      <c r="B434" s="683">
        <v>1260164</v>
      </c>
      <c r="C434" s="681" t="s">
        <v>1482</v>
      </c>
      <c r="D434" s="681" t="s">
        <v>594</v>
      </c>
      <c r="E434" s="689">
        <v>731518</v>
      </c>
      <c r="F434" s="689">
        <v>73152</v>
      </c>
    </row>
    <row r="435" spans="1:6" outlineLevel="2" x14ac:dyDescent="0.25">
      <c r="A435">
        <v>2</v>
      </c>
      <c r="B435">
        <v>1260164</v>
      </c>
      <c r="C435" t="s">
        <v>1401</v>
      </c>
      <c r="D435" t="s">
        <v>594</v>
      </c>
      <c r="E435" s="291">
        <v>68925</v>
      </c>
      <c r="F435" s="291">
        <v>2200</v>
      </c>
    </row>
    <row r="436" spans="1:6" outlineLevel="1" x14ac:dyDescent="0.25">
      <c r="D436" s="695" t="s">
        <v>1625</v>
      </c>
      <c r="E436" s="291">
        <f>SUBTOTAL(9,E431:E435)</f>
        <v>1010464</v>
      </c>
      <c r="F436" s="291">
        <f>SUBTOTAL(9,F431:F435)</f>
        <v>81352</v>
      </c>
    </row>
    <row r="437" spans="1:6" outlineLevel="2" x14ac:dyDescent="0.25">
      <c r="A437" s="668">
        <v>1</v>
      </c>
      <c r="B437" s="668">
        <v>17</v>
      </c>
      <c r="C437" s="668" t="s">
        <v>1385</v>
      </c>
      <c r="D437" s="668" t="s">
        <v>58</v>
      </c>
      <c r="E437" s="687">
        <v>70007</v>
      </c>
      <c r="F437" s="687">
        <v>9000</v>
      </c>
    </row>
    <row r="438" spans="1:6" outlineLevel="2" x14ac:dyDescent="0.25">
      <c r="A438" s="668">
        <v>1</v>
      </c>
      <c r="B438" s="668">
        <v>17</v>
      </c>
      <c r="C438" s="668" t="s">
        <v>1385</v>
      </c>
      <c r="D438" s="668" t="s">
        <v>58</v>
      </c>
      <c r="E438" s="687">
        <v>70007</v>
      </c>
      <c r="F438" s="687">
        <v>8000</v>
      </c>
    </row>
    <row r="439" spans="1:6" outlineLevel="2" x14ac:dyDescent="0.25">
      <c r="A439" s="668">
        <v>1</v>
      </c>
      <c r="B439" s="668">
        <v>17</v>
      </c>
      <c r="C439" s="668" t="s">
        <v>1385</v>
      </c>
      <c r="D439" s="668" t="s">
        <v>58</v>
      </c>
      <c r="E439" s="687">
        <v>70007</v>
      </c>
      <c r="F439" s="687">
        <v>8000</v>
      </c>
    </row>
    <row r="440" spans="1:6" outlineLevel="2" x14ac:dyDescent="0.25">
      <c r="A440" s="681">
        <v>1</v>
      </c>
      <c r="B440" s="684">
        <v>1300164</v>
      </c>
      <c r="C440" s="668" t="s">
        <v>1385</v>
      </c>
      <c r="D440" s="668" t="s">
        <v>58</v>
      </c>
      <c r="E440" s="689">
        <v>688026</v>
      </c>
      <c r="F440" s="689">
        <v>68803</v>
      </c>
    </row>
    <row r="441" spans="1:6" outlineLevel="2" x14ac:dyDescent="0.25">
      <c r="A441">
        <v>1</v>
      </c>
      <c r="B441">
        <v>1300164</v>
      </c>
      <c r="C441" t="s">
        <v>1385</v>
      </c>
      <c r="D441" t="s">
        <v>58</v>
      </c>
      <c r="E441" s="291">
        <v>68925</v>
      </c>
      <c r="F441" s="291">
        <v>8500</v>
      </c>
    </row>
    <row r="442" spans="1:6" outlineLevel="1" x14ac:dyDescent="0.25">
      <c r="D442" s="695" t="s">
        <v>1626</v>
      </c>
      <c r="E442" s="291">
        <f>SUBTOTAL(9,E437:E441)</f>
        <v>966972</v>
      </c>
      <c r="F442" s="291">
        <f>SUBTOTAL(9,F437:F441)</f>
        <v>102303</v>
      </c>
    </row>
    <row r="443" spans="1:6" outlineLevel="2" x14ac:dyDescent="0.25">
      <c r="A443" s="668">
        <v>2</v>
      </c>
      <c r="B443" s="668">
        <v>12</v>
      </c>
      <c r="C443" s="668" t="s">
        <v>1367</v>
      </c>
      <c r="D443" s="668" t="s">
        <v>54</v>
      </c>
      <c r="E443" s="687">
        <v>92932</v>
      </c>
      <c r="F443" s="687">
        <v>3000</v>
      </c>
    </row>
    <row r="444" spans="1:6" outlineLevel="2" x14ac:dyDescent="0.25">
      <c r="A444" s="668">
        <v>2</v>
      </c>
      <c r="B444" s="668">
        <v>12</v>
      </c>
      <c r="C444" s="668" t="s">
        <v>1367</v>
      </c>
      <c r="D444" s="668" t="s">
        <v>54</v>
      </c>
      <c r="E444" s="687">
        <v>92932</v>
      </c>
      <c r="F444" s="687">
        <v>3000</v>
      </c>
    </row>
    <row r="445" spans="1:6" outlineLevel="2" x14ac:dyDescent="0.25">
      <c r="A445" s="668">
        <v>2</v>
      </c>
      <c r="B445" s="668">
        <v>12</v>
      </c>
      <c r="C445" s="668" t="s">
        <v>1367</v>
      </c>
      <c r="D445" s="668" t="s">
        <v>54</v>
      </c>
      <c r="E445" s="687">
        <v>92932</v>
      </c>
      <c r="F445" s="687">
        <v>3000</v>
      </c>
    </row>
    <row r="446" spans="1:6" outlineLevel="2" x14ac:dyDescent="0.25">
      <c r="A446" s="681">
        <v>3</v>
      </c>
      <c r="B446" s="681"/>
      <c r="C446" s="681" t="s">
        <v>1469</v>
      </c>
      <c r="D446" s="681" t="s">
        <v>54</v>
      </c>
      <c r="E446" s="689">
        <v>56091</v>
      </c>
      <c r="F446" s="689">
        <v>5609</v>
      </c>
    </row>
    <row r="447" spans="1:6" outlineLevel="2" x14ac:dyDescent="0.25">
      <c r="A447">
        <v>14</v>
      </c>
      <c r="B447">
        <v>1670157</v>
      </c>
      <c r="C447" t="s">
        <v>1367</v>
      </c>
      <c r="D447" t="s">
        <v>54</v>
      </c>
      <c r="E447" s="291">
        <v>91500</v>
      </c>
      <c r="F447" s="291">
        <v>2800</v>
      </c>
    </row>
    <row r="448" spans="1:6" outlineLevel="1" x14ac:dyDescent="0.25">
      <c r="D448" s="695" t="s">
        <v>1627</v>
      </c>
      <c r="E448" s="291">
        <f>SUBTOTAL(9,E443:E447)</f>
        <v>426387</v>
      </c>
      <c r="F448" s="291">
        <f>SUBTOTAL(9,F443:F447)</f>
        <v>17409</v>
      </c>
    </row>
    <row r="449" spans="1:6" outlineLevel="2" x14ac:dyDescent="0.25">
      <c r="A449">
        <v>2</v>
      </c>
      <c r="C449" t="s">
        <v>1466</v>
      </c>
      <c r="D449" t="s">
        <v>545</v>
      </c>
      <c r="E449" s="291">
        <v>140931</v>
      </c>
      <c r="F449" s="291">
        <v>17000</v>
      </c>
    </row>
    <row r="450" spans="1:6" outlineLevel="1" x14ac:dyDescent="0.25">
      <c r="D450" s="695" t="s">
        <v>1628</v>
      </c>
      <c r="E450" s="291">
        <f>SUBTOTAL(9,E449:E449)</f>
        <v>140931</v>
      </c>
      <c r="F450" s="291">
        <f>SUBTOTAL(9,F449:F449)</f>
        <v>17000</v>
      </c>
    </row>
    <row r="451" spans="1:6" outlineLevel="2" x14ac:dyDescent="0.25">
      <c r="A451">
        <v>1</v>
      </c>
      <c r="B451">
        <v>1180470</v>
      </c>
      <c r="C451" t="s">
        <v>1493</v>
      </c>
      <c r="D451" t="s">
        <v>1187</v>
      </c>
      <c r="E451" s="291">
        <v>51510</v>
      </c>
      <c r="F451" s="291">
        <v>1000</v>
      </c>
    </row>
    <row r="452" spans="1:6" outlineLevel="1" x14ac:dyDescent="0.25">
      <c r="D452" s="695" t="s">
        <v>1629</v>
      </c>
      <c r="E452" s="291">
        <f>SUBTOTAL(9,E451:E451)</f>
        <v>51510</v>
      </c>
      <c r="F452" s="291">
        <f>SUBTOTAL(9,F451:F451)</f>
        <v>1000</v>
      </c>
    </row>
    <row r="453" spans="1:6" outlineLevel="2" x14ac:dyDescent="0.25">
      <c r="A453" s="668">
        <v>5</v>
      </c>
      <c r="B453" s="668">
        <v>23</v>
      </c>
      <c r="C453" s="668" t="s">
        <v>1417</v>
      </c>
      <c r="D453" s="668" t="s">
        <v>30</v>
      </c>
      <c r="E453" s="687">
        <v>96835</v>
      </c>
      <c r="F453" s="687">
        <v>9800</v>
      </c>
    </row>
    <row r="454" spans="1:6" outlineLevel="2" x14ac:dyDescent="0.25">
      <c r="A454" s="668">
        <v>5</v>
      </c>
      <c r="B454" s="668">
        <v>23</v>
      </c>
      <c r="C454" s="668" t="s">
        <v>1417</v>
      </c>
      <c r="D454" s="668" t="s">
        <v>30</v>
      </c>
      <c r="E454" s="687">
        <v>96835</v>
      </c>
      <c r="F454" s="687">
        <v>10000</v>
      </c>
    </row>
    <row r="455" spans="1:6" outlineLevel="2" x14ac:dyDescent="0.25">
      <c r="A455" s="668">
        <v>5</v>
      </c>
      <c r="B455" s="668">
        <v>23</v>
      </c>
      <c r="C455" s="668" t="s">
        <v>1417</v>
      </c>
      <c r="D455" s="668" t="s">
        <v>30</v>
      </c>
      <c r="E455" s="687">
        <v>96835</v>
      </c>
      <c r="F455" s="687">
        <v>10000</v>
      </c>
    </row>
    <row r="456" spans="1:6" outlineLevel="2" x14ac:dyDescent="0.25">
      <c r="A456">
        <v>12</v>
      </c>
      <c r="B456">
        <v>4760346</v>
      </c>
      <c r="C456" t="s">
        <v>1417</v>
      </c>
      <c r="D456" t="s">
        <v>30</v>
      </c>
      <c r="E456" s="291">
        <v>95025</v>
      </c>
      <c r="F456" s="291">
        <v>9800</v>
      </c>
    </row>
    <row r="457" spans="1:6" outlineLevel="1" x14ac:dyDescent="0.25">
      <c r="D457" s="695" t="s">
        <v>1630</v>
      </c>
      <c r="E457" s="291">
        <f>SUBTOTAL(9,E453:E456)</f>
        <v>385530</v>
      </c>
      <c r="F457" s="291">
        <f>SUBTOTAL(9,F453:F456)</f>
        <v>39600</v>
      </c>
    </row>
    <row r="458" spans="1:6" outlineLevel="2" x14ac:dyDescent="0.25">
      <c r="A458" s="668">
        <v>2</v>
      </c>
      <c r="B458" s="668">
        <v>116</v>
      </c>
      <c r="C458" s="668" t="s">
        <v>1402</v>
      </c>
      <c r="D458" s="668" t="s">
        <v>596</v>
      </c>
      <c r="E458" s="687">
        <v>57887</v>
      </c>
      <c r="F458" s="687">
        <v>500</v>
      </c>
    </row>
    <row r="459" spans="1:6" outlineLevel="2" x14ac:dyDescent="0.25">
      <c r="A459" s="668">
        <v>2</v>
      </c>
      <c r="B459" s="668">
        <v>116</v>
      </c>
      <c r="C459" s="668" t="s">
        <v>1402</v>
      </c>
      <c r="D459" s="668" t="s">
        <v>596</v>
      </c>
      <c r="E459" s="687">
        <v>57887</v>
      </c>
      <c r="F459" s="687">
        <v>500</v>
      </c>
    </row>
    <row r="460" spans="1:6" outlineLevel="2" x14ac:dyDescent="0.25">
      <c r="A460" s="681">
        <v>6</v>
      </c>
      <c r="B460" s="683">
        <v>1280164</v>
      </c>
      <c r="C460" s="681" t="s">
        <v>1483</v>
      </c>
      <c r="D460" s="681" t="s">
        <v>596</v>
      </c>
      <c r="E460" s="689">
        <v>623880</v>
      </c>
      <c r="F460" s="689">
        <v>62388</v>
      </c>
    </row>
    <row r="461" spans="1:6" outlineLevel="2" x14ac:dyDescent="0.25">
      <c r="A461">
        <v>3</v>
      </c>
      <c r="B461">
        <v>1280164</v>
      </c>
      <c r="C461" t="s">
        <v>1402</v>
      </c>
      <c r="D461" t="s">
        <v>596</v>
      </c>
      <c r="E461" s="291">
        <v>56805</v>
      </c>
      <c r="F461" s="291">
        <v>500</v>
      </c>
    </row>
    <row r="462" spans="1:6" outlineLevel="1" x14ac:dyDescent="0.25">
      <c r="D462" s="695" t="s">
        <v>1631</v>
      </c>
      <c r="E462" s="291">
        <f>SUBTOTAL(9,E458:E461)</f>
        <v>796459</v>
      </c>
      <c r="F462" s="291">
        <f>SUBTOTAL(9,F458:F461)</f>
        <v>63888</v>
      </c>
    </row>
    <row r="463" spans="1:6" outlineLevel="2" x14ac:dyDescent="0.25">
      <c r="A463" s="668">
        <v>2</v>
      </c>
      <c r="B463" s="668">
        <v>114</v>
      </c>
      <c r="C463" s="668" t="s">
        <v>1409</v>
      </c>
      <c r="D463" s="668" t="s">
        <v>592</v>
      </c>
      <c r="E463" s="687">
        <v>70007</v>
      </c>
      <c r="F463" s="687">
        <v>2500</v>
      </c>
    </row>
    <row r="464" spans="1:6" outlineLevel="2" x14ac:dyDescent="0.25">
      <c r="A464" s="668">
        <v>2</v>
      </c>
      <c r="B464" s="668">
        <v>114</v>
      </c>
      <c r="C464" s="668" t="s">
        <v>1409</v>
      </c>
      <c r="D464" s="668" t="s">
        <v>592</v>
      </c>
      <c r="E464" s="687">
        <v>70007</v>
      </c>
      <c r="F464" s="687">
        <v>2500</v>
      </c>
    </row>
    <row r="465" spans="1:9" outlineLevel="2" x14ac:dyDescent="0.25">
      <c r="A465" s="668">
        <v>2</v>
      </c>
      <c r="B465" s="668">
        <v>114</v>
      </c>
      <c r="C465" s="668" t="s">
        <v>1409</v>
      </c>
      <c r="D465" s="668" t="s">
        <v>592</v>
      </c>
      <c r="E465" s="687">
        <v>70007</v>
      </c>
      <c r="F465" s="687">
        <v>2500</v>
      </c>
    </row>
    <row r="466" spans="1:9" outlineLevel="2" x14ac:dyDescent="0.25">
      <c r="A466" s="681">
        <v>4</v>
      </c>
      <c r="B466" s="683">
        <v>1290164</v>
      </c>
      <c r="C466" s="681" t="s">
        <v>1481</v>
      </c>
      <c r="D466" s="681" t="s">
        <v>592</v>
      </c>
      <c r="E466" s="689">
        <v>689400</v>
      </c>
      <c r="F466" s="689">
        <v>68940</v>
      </c>
    </row>
    <row r="467" spans="1:9" outlineLevel="2" x14ac:dyDescent="0.25">
      <c r="A467">
        <v>1</v>
      </c>
      <c r="B467">
        <v>1290164</v>
      </c>
      <c r="C467" t="s">
        <v>1409</v>
      </c>
      <c r="D467" t="s">
        <v>592</v>
      </c>
      <c r="E467" s="291">
        <v>68925</v>
      </c>
      <c r="F467" s="291">
        <v>2800</v>
      </c>
    </row>
    <row r="468" spans="1:9" outlineLevel="1" x14ac:dyDescent="0.25">
      <c r="D468" s="695" t="s">
        <v>1632</v>
      </c>
      <c r="E468" s="291">
        <f>SUBTOTAL(9,E463:E467)</f>
        <v>968346</v>
      </c>
      <c r="F468" s="291">
        <f>SUBTOTAL(9,F463:F467)</f>
        <v>79240</v>
      </c>
    </row>
    <row r="469" spans="1:9" x14ac:dyDescent="0.25">
      <c r="D469" s="695" t="s">
        <v>1633</v>
      </c>
      <c r="E469" s="291">
        <f>SUBTOTAL(9,E2:E467)</f>
        <v>37196697</v>
      </c>
      <c r="F469" s="291">
        <f>SUBTOTAL(9,F2:F467)</f>
        <v>3315693</v>
      </c>
    </row>
    <row r="471" spans="1:9" x14ac:dyDescent="0.25">
      <c r="C471" t="str">
        <f>VLOOKUP(D471,$H$471:$H$569,1,FALSE)</f>
        <v>AACPI6575J</v>
      </c>
      <c r="D471" t="s">
        <v>967</v>
      </c>
      <c r="E471" s="291">
        <v>438780</v>
      </c>
      <c r="F471" s="291">
        <v>55800</v>
      </c>
      <c r="H471" t="s">
        <v>6</v>
      </c>
      <c r="I471" s="739"/>
    </row>
    <row r="472" spans="1:9" x14ac:dyDescent="0.25">
      <c r="C472" t="str">
        <f t="shared" ref="C472:C535" si="0">VLOOKUP(D472,$H$471:$H$569,1,FALSE)</f>
        <v>AACPU4948B</v>
      </c>
      <c r="D472" t="s">
        <v>787</v>
      </c>
      <c r="E472" s="291">
        <v>232488</v>
      </c>
      <c r="F472" s="291">
        <v>4700</v>
      </c>
      <c r="H472" t="s">
        <v>8</v>
      </c>
      <c r="I472" s="739"/>
    </row>
    <row r="473" spans="1:9" x14ac:dyDescent="0.25">
      <c r="C473" t="str">
        <f t="shared" si="0"/>
        <v>AAFPW9155R</v>
      </c>
      <c r="D473" t="s">
        <v>571</v>
      </c>
      <c r="E473" s="291">
        <v>388602</v>
      </c>
      <c r="F473" s="291">
        <v>49500</v>
      </c>
      <c r="H473" t="s">
        <v>12</v>
      </c>
      <c r="I473" s="739"/>
    </row>
    <row r="474" spans="1:9" x14ac:dyDescent="0.25">
      <c r="C474" t="str">
        <f t="shared" si="0"/>
        <v>AAFPW8312E</v>
      </c>
      <c r="D474" t="s">
        <v>963</v>
      </c>
      <c r="E474" s="291">
        <v>545886</v>
      </c>
      <c r="F474" s="291">
        <v>47600</v>
      </c>
      <c r="H474" t="s">
        <v>14</v>
      </c>
      <c r="I474" s="739"/>
    </row>
    <row r="475" spans="1:9" x14ac:dyDescent="0.25">
      <c r="C475" t="str">
        <f t="shared" si="0"/>
        <v>AAFPW9155R</v>
      </c>
      <c r="D475" t="s">
        <v>571</v>
      </c>
      <c r="E475" s="291">
        <v>127530</v>
      </c>
      <c r="F475" s="291">
        <v>16511</v>
      </c>
      <c r="H475" t="s">
        <v>16</v>
      </c>
      <c r="I475" s="739"/>
    </row>
    <row r="476" spans="1:9" x14ac:dyDescent="0.25">
      <c r="C476" t="str">
        <f t="shared" si="0"/>
        <v>AAGPT7779K</v>
      </c>
      <c r="D476" t="s">
        <v>567</v>
      </c>
      <c r="E476" s="291">
        <v>516132</v>
      </c>
      <c r="F476" s="291">
        <v>59900</v>
      </c>
      <c r="H476" t="s">
        <v>20</v>
      </c>
      <c r="I476" s="739"/>
    </row>
    <row r="477" spans="1:9" x14ac:dyDescent="0.25">
      <c r="C477" t="str">
        <f t="shared" si="0"/>
        <v>AAIPW6669B</v>
      </c>
      <c r="D477" t="s">
        <v>68</v>
      </c>
      <c r="E477" s="291">
        <v>319640</v>
      </c>
      <c r="F477" s="291">
        <v>17555</v>
      </c>
      <c r="H477" t="s">
        <v>22</v>
      </c>
      <c r="I477" s="739"/>
    </row>
    <row r="478" spans="1:9" x14ac:dyDescent="0.25">
      <c r="C478" t="str">
        <f t="shared" si="0"/>
        <v>AAJPH7415D</v>
      </c>
      <c r="D478" t="s">
        <v>588</v>
      </c>
      <c r="E478" s="291">
        <v>437124</v>
      </c>
      <c r="F478" s="291">
        <v>37482</v>
      </c>
      <c r="H478" t="s">
        <v>24</v>
      </c>
      <c r="I478" s="739"/>
    </row>
    <row r="479" spans="1:9" x14ac:dyDescent="0.25">
      <c r="C479" t="str">
        <f t="shared" si="0"/>
        <v>AAOPW3992R</v>
      </c>
      <c r="D479" t="s">
        <v>52</v>
      </c>
      <c r="E479" s="291">
        <v>414666</v>
      </c>
      <c r="F479" s="291">
        <v>41400</v>
      </c>
      <c r="H479" t="s">
        <v>26</v>
      </c>
      <c r="I479" s="739"/>
    </row>
    <row r="480" spans="1:9" x14ac:dyDescent="0.25">
      <c r="C480" t="str">
        <f t="shared" si="0"/>
        <v>AAQPL5243C</v>
      </c>
      <c r="D480" t="s">
        <v>933</v>
      </c>
      <c r="E480" s="291">
        <v>238752</v>
      </c>
      <c r="F480" s="291">
        <v>5900</v>
      </c>
      <c r="H480" t="s">
        <v>30</v>
      </c>
      <c r="I480" s="739"/>
    </row>
    <row r="481" spans="3:9" x14ac:dyDescent="0.25">
      <c r="C481" t="str">
        <f t="shared" si="0"/>
        <v>AARPT3239R</v>
      </c>
      <c r="D481" t="s">
        <v>1189</v>
      </c>
      <c r="E481" s="291">
        <v>516132</v>
      </c>
      <c r="F481" s="291">
        <v>67900</v>
      </c>
      <c r="H481" t="s">
        <v>32</v>
      </c>
      <c r="I481" s="739"/>
    </row>
    <row r="482" spans="3:9" x14ac:dyDescent="0.25">
      <c r="C482" t="str">
        <f t="shared" si="0"/>
        <v>AASPD1547R</v>
      </c>
      <c r="D482" t="s">
        <v>781</v>
      </c>
      <c r="E482" s="291">
        <v>407256</v>
      </c>
      <c r="F482" s="291">
        <v>40400</v>
      </c>
      <c r="H482" t="s">
        <v>34</v>
      </c>
      <c r="I482" s="739"/>
    </row>
    <row r="483" spans="3:9" x14ac:dyDescent="0.25">
      <c r="C483" t="str">
        <f t="shared" si="0"/>
        <v>AASPR2306L</v>
      </c>
      <c r="D483" t="s">
        <v>32</v>
      </c>
      <c r="E483" s="291">
        <v>439200</v>
      </c>
      <c r="F483" s="291">
        <v>52000</v>
      </c>
      <c r="H483" t="s">
        <v>36</v>
      </c>
      <c r="I483" s="739"/>
    </row>
    <row r="484" spans="3:9" x14ac:dyDescent="0.25">
      <c r="C484" t="str">
        <f t="shared" si="0"/>
        <v>AATPT8733A</v>
      </c>
      <c r="D484" t="s">
        <v>582</v>
      </c>
      <c r="E484" s="291">
        <v>380736</v>
      </c>
      <c r="F484" s="291">
        <v>40000</v>
      </c>
      <c r="H484" t="s">
        <v>38</v>
      </c>
      <c r="I484" s="739"/>
    </row>
    <row r="485" spans="3:9" x14ac:dyDescent="0.25">
      <c r="C485" t="str">
        <f t="shared" si="0"/>
        <v>AAUPC2242A</v>
      </c>
      <c r="D485" t="s">
        <v>931</v>
      </c>
      <c r="E485" s="291">
        <v>545886</v>
      </c>
      <c r="F485" s="291">
        <v>75900</v>
      </c>
      <c r="H485" t="s">
        <v>40</v>
      </c>
      <c r="I485" s="739"/>
    </row>
    <row r="486" spans="3:9" x14ac:dyDescent="0.25">
      <c r="C486" t="str">
        <f t="shared" si="0"/>
        <v>AAVPB8851F</v>
      </c>
      <c r="D486" t="s">
        <v>921</v>
      </c>
      <c r="E486" s="291">
        <v>431553</v>
      </c>
      <c r="F486" s="291">
        <v>38126</v>
      </c>
      <c r="H486" t="s">
        <v>42</v>
      </c>
      <c r="I486" s="739"/>
    </row>
    <row r="487" spans="3:9" x14ac:dyDescent="0.25">
      <c r="C487" t="str">
        <f t="shared" si="0"/>
        <v>AAVPN2192F</v>
      </c>
      <c r="D487" t="s">
        <v>36</v>
      </c>
      <c r="E487" s="291">
        <v>415617</v>
      </c>
      <c r="F487" s="291">
        <v>33476</v>
      </c>
      <c r="H487" t="s">
        <v>44</v>
      </c>
      <c r="I487" s="739"/>
    </row>
    <row r="488" spans="3:9" x14ac:dyDescent="0.25">
      <c r="C488" t="str">
        <f t="shared" si="0"/>
        <v>AAYPV2720L</v>
      </c>
      <c r="D488" t="s">
        <v>599</v>
      </c>
      <c r="E488" s="291">
        <v>183915</v>
      </c>
      <c r="F488" s="291">
        <v>2770</v>
      </c>
      <c r="H488" t="s">
        <v>46</v>
      </c>
      <c r="I488" s="739"/>
    </row>
    <row r="489" spans="3:9" x14ac:dyDescent="0.25">
      <c r="C489" t="str">
        <f t="shared" si="0"/>
        <v>AAZPG2678P</v>
      </c>
      <c r="D489" t="s">
        <v>608</v>
      </c>
      <c r="E489" s="291">
        <v>238752</v>
      </c>
      <c r="F489" s="291">
        <v>4400</v>
      </c>
      <c r="H489" t="s">
        <v>48</v>
      </c>
      <c r="I489" s="739"/>
    </row>
    <row r="490" spans="3:9" x14ac:dyDescent="0.25">
      <c r="C490" t="str">
        <f t="shared" si="0"/>
        <v>ABAPN1177G</v>
      </c>
      <c r="D490" t="s">
        <v>764</v>
      </c>
      <c r="E490" s="291">
        <v>232488</v>
      </c>
      <c r="F490" s="291">
        <v>5700</v>
      </c>
      <c r="H490" t="s">
        <v>52</v>
      </c>
      <c r="I490" s="739"/>
    </row>
    <row r="491" spans="3:9" x14ac:dyDescent="0.25">
      <c r="C491" t="str">
        <f t="shared" si="0"/>
        <v>ABAPP4861B</v>
      </c>
      <c r="D491" t="s">
        <v>935</v>
      </c>
      <c r="E491" s="291">
        <v>474894</v>
      </c>
      <c r="F491" s="291">
        <v>35900</v>
      </c>
      <c r="H491" t="s">
        <v>394</v>
      </c>
      <c r="I491" s="739"/>
    </row>
    <row r="492" spans="3:9" x14ac:dyDescent="0.25">
      <c r="C492" t="str">
        <f t="shared" si="0"/>
        <v>ABBPG7812L</v>
      </c>
      <c r="D492" t="s">
        <v>1346</v>
      </c>
      <c r="E492" s="291">
        <v>451134</v>
      </c>
      <c r="F492" s="291">
        <v>71800</v>
      </c>
      <c r="H492" t="s">
        <v>56</v>
      </c>
      <c r="I492" s="739"/>
    </row>
    <row r="493" spans="3:9" x14ac:dyDescent="0.25">
      <c r="C493" t="str">
        <f t="shared" si="0"/>
        <v>ABBPM5358D</v>
      </c>
      <c r="D493" t="s">
        <v>744</v>
      </c>
      <c r="E493" s="291">
        <v>473850</v>
      </c>
      <c r="F493" s="291">
        <v>48300</v>
      </c>
      <c r="H493" t="s">
        <v>58</v>
      </c>
      <c r="I493" s="739"/>
    </row>
    <row r="494" spans="3:9" x14ac:dyDescent="0.25">
      <c r="C494" t="str">
        <f t="shared" si="0"/>
        <v>ABCPL2959E</v>
      </c>
      <c r="D494" t="s">
        <v>34</v>
      </c>
      <c r="E494" s="291">
        <v>391698</v>
      </c>
      <c r="F494" s="291">
        <v>35900</v>
      </c>
      <c r="H494" t="s">
        <v>60</v>
      </c>
      <c r="I494" s="739"/>
    </row>
    <row r="495" spans="3:9" x14ac:dyDescent="0.25">
      <c r="C495" t="str">
        <f t="shared" si="0"/>
        <v>ABCPM5927H</v>
      </c>
      <c r="D495" t="s">
        <v>8</v>
      </c>
      <c r="E495" s="291">
        <v>475416</v>
      </c>
      <c r="F495" s="291">
        <v>47800</v>
      </c>
      <c r="H495" t="s">
        <v>62</v>
      </c>
      <c r="I495" s="739"/>
    </row>
    <row r="496" spans="3:9" x14ac:dyDescent="0.25">
      <c r="C496" t="str">
        <f t="shared" si="0"/>
        <v>ABEPV2768D</v>
      </c>
      <c r="D496" t="s">
        <v>46</v>
      </c>
      <c r="E496" s="291">
        <v>359856</v>
      </c>
      <c r="F496" s="291">
        <v>31900</v>
      </c>
      <c r="H496" t="s">
        <v>64</v>
      </c>
      <c r="I496" s="739"/>
    </row>
    <row r="497" spans="3:9" x14ac:dyDescent="0.25">
      <c r="C497" t="str">
        <f t="shared" si="0"/>
        <v>ABFPJ8346J</v>
      </c>
      <c r="D497" t="s">
        <v>1163</v>
      </c>
      <c r="E497" s="291">
        <v>140931</v>
      </c>
      <c r="F497" s="291">
        <v>15000</v>
      </c>
      <c r="H497" t="s">
        <v>68</v>
      </c>
      <c r="I497" s="739"/>
    </row>
    <row r="498" spans="3:9" x14ac:dyDescent="0.25">
      <c r="C498" t="str">
        <f t="shared" si="0"/>
        <v>ABLPK7158D</v>
      </c>
      <c r="D498" t="s">
        <v>573</v>
      </c>
      <c r="E498" s="291">
        <v>488466</v>
      </c>
      <c r="F498" s="291">
        <v>60000</v>
      </c>
      <c r="H498" t="s">
        <v>72</v>
      </c>
      <c r="I498" s="739"/>
    </row>
    <row r="499" spans="3:9" x14ac:dyDescent="0.25">
      <c r="C499" t="str">
        <f t="shared" si="0"/>
        <v>ABNPT2554L</v>
      </c>
      <c r="D499" t="s">
        <v>767</v>
      </c>
      <c r="E499" s="291">
        <v>264972</v>
      </c>
      <c r="F499" s="291">
        <v>12000</v>
      </c>
      <c r="H499" t="s">
        <v>76</v>
      </c>
      <c r="I499" s="739"/>
    </row>
    <row r="500" spans="3:9" x14ac:dyDescent="0.25">
      <c r="C500" t="str">
        <f t="shared" si="0"/>
        <v>ABQPG7509R</v>
      </c>
      <c r="D500" t="s">
        <v>924</v>
      </c>
      <c r="E500" s="291">
        <v>530748</v>
      </c>
      <c r="F500" s="291">
        <v>75800</v>
      </c>
      <c r="H500" t="s">
        <v>80</v>
      </c>
      <c r="I500" s="739"/>
    </row>
    <row r="501" spans="3:9" x14ac:dyDescent="0.25">
      <c r="C501" t="str">
        <f t="shared" si="0"/>
        <v>ABRPA1062A</v>
      </c>
      <c r="D501" t="s">
        <v>394</v>
      </c>
      <c r="E501" s="291">
        <v>431982</v>
      </c>
      <c r="F501" s="291">
        <v>33724</v>
      </c>
      <c r="H501" t="s">
        <v>723</v>
      </c>
      <c r="I501" s="739"/>
    </row>
    <row r="502" spans="3:9" x14ac:dyDescent="0.25">
      <c r="C502" t="str">
        <f t="shared" si="0"/>
        <v>ABRPL4887E</v>
      </c>
      <c r="D502" t="s">
        <v>12</v>
      </c>
      <c r="E502" s="291">
        <v>426852</v>
      </c>
      <c r="F502" s="291">
        <v>38900</v>
      </c>
      <c r="H502" t="s">
        <v>87</v>
      </c>
      <c r="I502" s="739"/>
    </row>
    <row r="503" spans="3:9" x14ac:dyDescent="0.25">
      <c r="C503" t="str">
        <f t="shared" si="0"/>
        <v>ABSPH7453F</v>
      </c>
      <c r="D503" t="s">
        <v>758</v>
      </c>
      <c r="E503" s="291">
        <v>238752</v>
      </c>
      <c r="F503" s="291">
        <v>3600</v>
      </c>
      <c r="H503" t="s">
        <v>89</v>
      </c>
      <c r="I503" s="739"/>
    </row>
    <row r="504" spans="3:9" x14ac:dyDescent="0.25">
      <c r="C504" t="str">
        <f t="shared" si="0"/>
        <v>ABSPJ9047P</v>
      </c>
      <c r="D504" t="s">
        <v>44</v>
      </c>
      <c r="E504" s="291">
        <v>488466</v>
      </c>
      <c r="F504" s="291">
        <v>64300</v>
      </c>
      <c r="H504" t="s">
        <v>97</v>
      </c>
      <c r="I504" s="739"/>
    </row>
    <row r="505" spans="3:9" x14ac:dyDescent="0.25">
      <c r="C505" t="str">
        <f t="shared" si="0"/>
        <v>ABTPT1092K</v>
      </c>
      <c r="D505" t="s">
        <v>38</v>
      </c>
      <c r="E505" s="291">
        <v>391698</v>
      </c>
      <c r="F505" s="291">
        <v>39700</v>
      </c>
      <c r="H505" t="s">
        <v>567</v>
      </c>
      <c r="I505" s="739"/>
    </row>
    <row r="506" spans="3:9" x14ac:dyDescent="0.25">
      <c r="C506" t="str">
        <f t="shared" si="0"/>
        <v>ABUPM3119R</v>
      </c>
      <c r="D506" t="s">
        <v>945</v>
      </c>
      <c r="E506" s="291">
        <v>530748</v>
      </c>
      <c r="F506" s="291">
        <v>69960</v>
      </c>
      <c r="H506" t="s">
        <v>571</v>
      </c>
      <c r="I506" s="739"/>
    </row>
    <row r="507" spans="3:9" x14ac:dyDescent="0.25">
      <c r="C507" t="str">
        <f t="shared" si="0"/>
        <v>ABWPB1871H</v>
      </c>
      <c r="D507" t="s">
        <v>6</v>
      </c>
      <c r="E507" s="291">
        <v>58992</v>
      </c>
      <c r="F507" s="291">
        <v>900</v>
      </c>
      <c r="H507" t="s">
        <v>573</v>
      </c>
      <c r="I507" s="739"/>
    </row>
    <row r="508" spans="3:9" x14ac:dyDescent="0.25">
      <c r="C508" t="str">
        <f t="shared" si="0"/>
        <v>ABWPR4988H</v>
      </c>
      <c r="D508" t="s">
        <v>603</v>
      </c>
      <c r="E508" s="291">
        <v>245538</v>
      </c>
      <c r="F508" s="291">
        <v>7900</v>
      </c>
      <c r="H508" t="s">
        <v>578</v>
      </c>
      <c r="I508" s="739"/>
    </row>
    <row r="509" spans="3:9" x14ac:dyDescent="0.25">
      <c r="C509" t="str">
        <f t="shared" si="0"/>
        <v>ABWPR5162M</v>
      </c>
      <c r="D509" t="s">
        <v>772</v>
      </c>
      <c r="E509" s="291">
        <v>286776</v>
      </c>
      <c r="F509" s="291">
        <v>17000</v>
      </c>
      <c r="H509" t="s">
        <v>580</v>
      </c>
      <c r="I509" s="739"/>
    </row>
    <row r="510" spans="3:9" x14ac:dyDescent="0.25">
      <c r="C510" t="str">
        <f t="shared" si="0"/>
        <v>ABXPP7459G</v>
      </c>
      <c r="D510" t="s">
        <v>1222</v>
      </c>
      <c r="E510" s="291">
        <v>415350</v>
      </c>
      <c r="F510" s="291">
        <v>35900</v>
      </c>
      <c r="H510" t="s">
        <v>584</v>
      </c>
      <c r="I510" s="739"/>
    </row>
    <row r="511" spans="3:9" x14ac:dyDescent="0.25">
      <c r="C511" t="str">
        <f t="shared" si="0"/>
        <v>ABZPK9470G</v>
      </c>
      <c r="D511" t="s">
        <v>949</v>
      </c>
      <c r="E511" s="291">
        <v>545886</v>
      </c>
      <c r="F511" s="291">
        <v>84000</v>
      </c>
      <c r="H511" t="s">
        <v>586</v>
      </c>
      <c r="I511" s="739"/>
    </row>
    <row r="512" spans="3:9" x14ac:dyDescent="0.25">
      <c r="C512" t="str">
        <f t="shared" si="0"/>
        <v>ACAPD3071G</v>
      </c>
      <c r="D512" t="s">
        <v>752</v>
      </c>
      <c r="E512" s="291">
        <v>238752</v>
      </c>
      <c r="F512" s="291">
        <v>6194</v>
      </c>
      <c r="H512" t="s">
        <v>588</v>
      </c>
      <c r="I512" s="739"/>
    </row>
    <row r="513" spans="3:9" x14ac:dyDescent="0.25">
      <c r="C513" t="str">
        <f t="shared" si="0"/>
        <v>ACEPG7704M</v>
      </c>
      <c r="D513" t="s">
        <v>947</v>
      </c>
      <c r="E513" s="291">
        <v>426381</v>
      </c>
      <c r="F513" s="291">
        <v>40808</v>
      </c>
      <c r="H513" t="s">
        <v>590</v>
      </c>
      <c r="I513" s="739"/>
    </row>
    <row r="514" spans="3:9" x14ac:dyDescent="0.25">
      <c r="C514" t="str">
        <f t="shared" si="0"/>
        <v>ACHPG2424M</v>
      </c>
      <c r="D514" t="s">
        <v>969</v>
      </c>
      <c r="E514" s="291">
        <v>416466</v>
      </c>
      <c r="F514" s="291">
        <v>39917</v>
      </c>
      <c r="H514" t="s">
        <v>592</v>
      </c>
      <c r="I514" s="739"/>
    </row>
    <row r="515" spans="3:9" x14ac:dyDescent="0.25">
      <c r="C515" t="str">
        <f t="shared" si="0"/>
        <v>ACIPB2842D</v>
      </c>
      <c r="D515" t="s">
        <v>955</v>
      </c>
      <c r="E515" s="291">
        <v>245538</v>
      </c>
      <c r="F515" s="291">
        <v>11400</v>
      </c>
      <c r="H515" t="s">
        <v>594</v>
      </c>
      <c r="I515" s="739"/>
    </row>
    <row r="516" spans="3:9" x14ac:dyDescent="0.25">
      <c r="C516" t="str">
        <f t="shared" si="0"/>
        <v>ACPPB1747G</v>
      </c>
      <c r="D516" t="s">
        <v>1185</v>
      </c>
      <c r="E516" s="291">
        <v>415347</v>
      </c>
      <c r="F516" s="291">
        <v>38149</v>
      </c>
      <c r="H516" t="s">
        <v>596</v>
      </c>
      <c r="I516" s="739"/>
    </row>
    <row r="517" spans="3:9" x14ac:dyDescent="0.25">
      <c r="C517" t="str">
        <f t="shared" si="0"/>
        <v>ACPPM8306A</v>
      </c>
      <c r="D517" t="s">
        <v>937</v>
      </c>
      <c r="E517" s="291">
        <v>240610</v>
      </c>
      <c r="F517" s="291">
        <v>14800</v>
      </c>
      <c r="H517" t="s">
        <v>608</v>
      </c>
      <c r="I517" s="739"/>
    </row>
    <row r="518" spans="3:9" x14ac:dyDescent="0.25">
      <c r="C518" t="str">
        <f t="shared" si="0"/>
        <v>ACQPK4259H</v>
      </c>
      <c r="D518" t="s">
        <v>24</v>
      </c>
      <c r="E518" s="291">
        <v>508218</v>
      </c>
      <c r="F518" s="291">
        <v>29000</v>
      </c>
      <c r="H518" t="s">
        <v>599</v>
      </c>
      <c r="I518" s="739"/>
    </row>
    <row r="519" spans="3:9" x14ac:dyDescent="0.25">
      <c r="C519" t="str">
        <f t="shared" si="0"/>
        <v>ACQPP2485A</v>
      </c>
      <c r="D519" t="s">
        <v>48</v>
      </c>
      <c r="E519" s="291">
        <v>303480</v>
      </c>
      <c r="F519" s="291">
        <v>18600</v>
      </c>
      <c r="H519" t="s">
        <v>601</v>
      </c>
      <c r="I519" s="739"/>
    </row>
    <row r="520" spans="3:9" x14ac:dyDescent="0.25">
      <c r="C520" t="str">
        <f t="shared" si="0"/>
        <v>ACSPK1046N</v>
      </c>
      <c r="D520" t="s">
        <v>16</v>
      </c>
      <c r="E520" s="291">
        <v>426852</v>
      </c>
      <c r="F520" s="291">
        <v>52500</v>
      </c>
      <c r="H520" t="s">
        <v>603</v>
      </c>
      <c r="I520" s="739"/>
    </row>
    <row r="521" spans="3:9" x14ac:dyDescent="0.25">
      <c r="C521" t="str">
        <f t="shared" si="0"/>
        <v>ACWPK6876A</v>
      </c>
      <c r="D521" t="s">
        <v>953</v>
      </c>
      <c r="E521" s="291">
        <v>319640</v>
      </c>
      <c r="F521" s="291">
        <v>14055</v>
      </c>
      <c r="H521" t="s">
        <v>744</v>
      </c>
      <c r="I521" s="739"/>
    </row>
    <row r="522" spans="3:9" x14ac:dyDescent="0.25">
      <c r="C522" t="str">
        <f t="shared" si="0"/>
        <v>ACWPP7489A</v>
      </c>
      <c r="D522" t="s">
        <v>601</v>
      </c>
      <c r="E522" s="291">
        <v>312354</v>
      </c>
      <c r="F522" s="291">
        <v>18200</v>
      </c>
      <c r="H522" t="s">
        <v>1447</v>
      </c>
      <c r="I522" s="739"/>
    </row>
    <row r="523" spans="3:9" x14ac:dyDescent="0.25">
      <c r="C523" t="str">
        <f t="shared" si="0"/>
        <v>ACXPC3427A</v>
      </c>
      <c r="D523" t="s">
        <v>785</v>
      </c>
      <c r="E523" s="291">
        <v>437124</v>
      </c>
      <c r="F523" s="291">
        <v>26083</v>
      </c>
      <c r="H523" t="s">
        <v>752</v>
      </c>
      <c r="I523" s="739"/>
    </row>
    <row r="524" spans="3:9" x14ac:dyDescent="0.25">
      <c r="C524" t="str">
        <f t="shared" si="0"/>
        <v>ADBPK7214L</v>
      </c>
      <c r="D524" t="s">
        <v>777</v>
      </c>
      <c r="E524" s="291">
        <v>286776</v>
      </c>
      <c r="F524" s="291">
        <v>12300</v>
      </c>
      <c r="H524" t="s">
        <v>754</v>
      </c>
      <c r="I524" s="739"/>
    </row>
    <row r="525" spans="3:9" x14ac:dyDescent="0.25">
      <c r="C525" t="str">
        <f t="shared" si="0"/>
        <v>ADBPK7216J</v>
      </c>
      <c r="D525" t="s">
        <v>56</v>
      </c>
      <c r="E525" s="291">
        <v>303480</v>
      </c>
      <c r="F525" s="291">
        <v>6300</v>
      </c>
      <c r="H525" t="s">
        <v>758</v>
      </c>
      <c r="I525" s="739"/>
    </row>
    <row r="526" spans="3:9" x14ac:dyDescent="0.25">
      <c r="C526" t="str">
        <f t="shared" si="0"/>
        <v>ADIPA1768J</v>
      </c>
      <c r="D526" t="s">
        <v>586</v>
      </c>
      <c r="E526" s="291">
        <v>415617</v>
      </c>
      <c r="F526" s="291">
        <v>37176</v>
      </c>
      <c r="H526" t="s">
        <v>760</v>
      </c>
      <c r="I526" s="739"/>
    </row>
    <row r="527" spans="3:9" x14ac:dyDescent="0.25">
      <c r="C527" t="str">
        <f t="shared" si="0"/>
        <v>ADJPJ6257A</v>
      </c>
      <c r="D527" t="s">
        <v>578</v>
      </c>
      <c r="E527" s="291">
        <v>475416</v>
      </c>
      <c r="F527" s="291">
        <v>53800</v>
      </c>
      <c r="H527" t="s">
        <v>762</v>
      </c>
      <c r="I527" s="739"/>
    </row>
    <row r="528" spans="3:9" x14ac:dyDescent="0.25">
      <c r="C528" t="str">
        <f t="shared" si="0"/>
        <v>ADNPP8730C</v>
      </c>
      <c r="D528" t="s">
        <v>60</v>
      </c>
      <c r="E528" s="291">
        <v>312354</v>
      </c>
      <c r="F528" s="291">
        <v>19900</v>
      </c>
      <c r="H528" t="s">
        <v>764</v>
      </c>
      <c r="I528" s="739"/>
    </row>
    <row r="529" spans="3:9" x14ac:dyDescent="0.25">
      <c r="C529" t="str">
        <f t="shared" si="0"/>
        <v>ADQPR0929N</v>
      </c>
      <c r="D529" t="s">
        <v>42</v>
      </c>
      <c r="E529" s="291">
        <v>426378</v>
      </c>
      <c r="F529" s="291">
        <v>29508</v>
      </c>
      <c r="H529" t="s">
        <v>766</v>
      </c>
      <c r="I529" s="739"/>
    </row>
    <row r="530" spans="3:9" x14ac:dyDescent="0.25">
      <c r="C530" t="str">
        <f t="shared" si="0"/>
        <v>ADQPR7573N</v>
      </c>
      <c r="D530" t="s">
        <v>1166</v>
      </c>
      <c r="E530" s="291">
        <v>561546</v>
      </c>
      <c r="F530" s="291">
        <v>68000</v>
      </c>
      <c r="H530" t="s">
        <v>767</v>
      </c>
      <c r="I530" s="739"/>
    </row>
    <row r="531" spans="3:9" x14ac:dyDescent="0.25">
      <c r="C531" t="str">
        <f t="shared" si="0"/>
        <v>ADYPK1098D</v>
      </c>
      <c r="D531" t="s">
        <v>939</v>
      </c>
      <c r="E531" s="291">
        <v>561546</v>
      </c>
      <c r="F531" s="291">
        <v>79800</v>
      </c>
      <c r="H531" t="s">
        <v>772</v>
      </c>
      <c r="I531" s="739"/>
    </row>
    <row r="532" spans="3:9" x14ac:dyDescent="0.25">
      <c r="C532" t="str">
        <f t="shared" si="0"/>
        <v>AEAPN1110L</v>
      </c>
      <c r="D532" t="s">
        <v>762</v>
      </c>
      <c r="E532" s="291">
        <v>252324</v>
      </c>
      <c r="F532" s="291">
        <v>9200</v>
      </c>
      <c r="H532" t="s">
        <v>559</v>
      </c>
      <c r="I532" s="739"/>
    </row>
    <row r="533" spans="3:9" x14ac:dyDescent="0.25">
      <c r="C533" t="str">
        <f t="shared" si="0"/>
        <v>AEAPN1638P</v>
      </c>
      <c r="D533" t="s">
        <v>754</v>
      </c>
      <c r="E533" s="291">
        <v>321228</v>
      </c>
      <c r="F533" s="291">
        <v>24230</v>
      </c>
      <c r="H533" t="s">
        <v>777</v>
      </c>
      <c r="I533" s="739"/>
    </row>
    <row r="534" spans="3:9" x14ac:dyDescent="0.25">
      <c r="C534" t="str">
        <f t="shared" si="0"/>
        <v>AEIPB2347F</v>
      </c>
      <c r="D534" t="s">
        <v>1194</v>
      </c>
      <c r="E534" s="291">
        <v>530748</v>
      </c>
      <c r="F534" s="291">
        <v>43000</v>
      </c>
      <c r="H534" t="s">
        <v>779</v>
      </c>
      <c r="I534" s="739"/>
    </row>
    <row r="535" spans="3:9" x14ac:dyDescent="0.25">
      <c r="C535" t="str">
        <f t="shared" si="0"/>
        <v>AERPS4830F</v>
      </c>
      <c r="D535" t="s">
        <v>497</v>
      </c>
      <c r="E535" s="291">
        <v>116523</v>
      </c>
      <c r="F535" s="291">
        <v>17000</v>
      </c>
      <c r="H535" t="s">
        <v>781</v>
      </c>
      <c r="I535" s="739"/>
    </row>
    <row r="536" spans="3:9" x14ac:dyDescent="0.25">
      <c r="C536" t="str">
        <f t="shared" ref="C536:C570" si="1">VLOOKUP(D536,$H$471:$H$569,1,FALSE)</f>
        <v>AFFPD0564G</v>
      </c>
      <c r="D536" t="s">
        <v>941</v>
      </c>
      <c r="E536" s="291">
        <v>477120</v>
      </c>
      <c r="F536" s="291">
        <v>63600</v>
      </c>
      <c r="H536" t="s">
        <v>787</v>
      </c>
      <c r="I536" s="739"/>
    </row>
    <row r="537" spans="3:9" x14ac:dyDescent="0.25">
      <c r="C537" t="str">
        <f t="shared" si="1"/>
        <v>AFOPS1749D</v>
      </c>
      <c r="D537" t="s">
        <v>723</v>
      </c>
      <c r="E537" s="291">
        <v>380736</v>
      </c>
      <c r="F537" s="291">
        <v>26800</v>
      </c>
      <c r="H537" t="s">
        <v>1346</v>
      </c>
      <c r="I537" s="739"/>
    </row>
    <row r="538" spans="3:9" x14ac:dyDescent="0.25">
      <c r="C538" t="str">
        <f t="shared" si="1"/>
        <v>AFOPS1827E</v>
      </c>
      <c r="D538" t="s">
        <v>928</v>
      </c>
      <c r="E538" s="291">
        <v>391698</v>
      </c>
      <c r="F538" s="291">
        <v>27800</v>
      </c>
      <c r="H538" t="s">
        <v>921</v>
      </c>
      <c r="I538" s="739"/>
    </row>
    <row r="539" spans="3:9" x14ac:dyDescent="0.25">
      <c r="C539" t="str">
        <f t="shared" si="1"/>
        <v>AFTPJ6889E</v>
      </c>
      <c r="D539" t="s">
        <v>87</v>
      </c>
      <c r="E539" s="291">
        <v>43899</v>
      </c>
      <c r="F539" s="291">
        <v>750</v>
      </c>
      <c r="H539" t="s">
        <v>785</v>
      </c>
      <c r="I539" s="739"/>
    </row>
    <row r="540" spans="3:9" x14ac:dyDescent="0.25">
      <c r="C540" t="str">
        <f t="shared" si="1"/>
        <v>AFWPM1854M</v>
      </c>
      <c r="D540" t="s">
        <v>20</v>
      </c>
      <c r="E540" s="291">
        <v>488622</v>
      </c>
      <c r="F540" s="291">
        <v>55400</v>
      </c>
      <c r="H540" t="s">
        <v>924</v>
      </c>
      <c r="I540" s="739"/>
    </row>
    <row r="541" spans="3:9" x14ac:dyDescent="0.25">
      <c r="C541" t="str">
        <f t="shared" si="1"/>
        <v>AFZPS3526H</v>
      </c>
      <c r="D541" t="s">
        <v>926</v>
      </c>
      <c r="E541" s="291">
        <v>545886</v>
      </c>
      <c r="F541" s="291">
        <v>83800</v>
      </c>
      <c r="H541" t="s">
        <v>926</v>
      </c>
      <c r="I541" s="739"/>
    </row>
    <row r="542" spans="3:9" x14ac:dyDescent="0.25">
      <c r="C542" t="str">
        <f t="shared" si="1"/>
        <v>AGDPV4512H</v>
      </c>
      <c r="D542" t="s">
        <v>26</v>
      </c>
      <c r="E542" s="291">
        <v>238752</v>
      </c>
      <c r="F542" s="291">
        <v>6800</v>
      </c>
      <c r="H542" t="s">
        <v>928</v>
      </c>
      <c r="I542" s="739"/>
    </row>
    <row r="543" spans="3:9" x14ac:dyDescent="0.25">
      <c r="C543" t="str">
        <f t="shared" si="1"/>
        <v>AGFPP8957N</v>
      </c>
      <c r="D543" t="s">
        <v>580</v>
      </c>
      <c r="E543" s="291">
        <v>415617</v>
      </c>
      <c r="F543" s="291">
        <v>37176</v>
      </c>
      <c r="H543" t="s">
        <v>54</v>
      </c>
      <c r="I543" s="739"/>
    </row>
    <row r="544" spans="3:9" x14ac:dyDescent="0.25">
      <c r="C544" t="str">
        <f t="shared" si="1"/>
        <v>AGXPR0340R</v>
      </c>
      <c r="D544" t="s">
        <v>22</v>
      </c>
      <c r="E544" s="291">
        <v>249714</v>
      </c>
      <c r="F544" s="291">
        <v>6400</v>
      </c>
      <c r="H544" t="s">
        <v>931</v>
      </c>
      <c r="I544" s="739"/>
    </row>
    <row r="545" spans="3:9" x14ac:dyDescent="0.25">
      <c r="C545" t="str">
        <f t="shared" si="1"/>
        <v>AHCPS2565H</v>
      </c>
      <c r="D545" t="s">
        <v>584</v>
      </c>
      <c r="E545" s="291">
        <v>426387</v>
      </c>
      <c r="F545" s="291">
        <v>34409</v>
      </c>
      <c r="H545" t="s">
        <v>933</v>
      </c>
      <c r="I545" s="739"/>
    </row>
    <row r="546" spans="3:9" x14ac:dyDescent="0.25">
      <c r="C546" t="str">
        <f t="shared" si="1"/>
        <v>AHEPB3182B</v>
      </c>
      <c r="D546" t="s">
        <v>760</v>
      </c>
      <c r="E546" s="291">
        <v>57444</v>
      </c>
      <c r="F546" s="291">
        <v>970</v>
      </c>
      <c r="H546" t="s">
        <v>935</v>
      </c>
      <c r="I546" s="739"/>
    </row>
    <row r="547" spans="3:9" x14ac:dyDescent="0.25">
      <c r="C547" t="str">
        <f t="shared" si="1"/>
        <v>AHEPS8077Q</v>
      </c>
      <c r="D547" t="s">
        <v>1447</v>
      </c>
      <c r="E547" s="291">
        <v>415350</v>
      </c>
      <c r="F547" s="291">
        <v>19000</v>
      </c>
      <c r="H547" t="s">
        <v>937</v>
      </c>
      <c r="I547" s="739"/>
    </row>
    <row r="548" spans="3:9" x14ac:dyDescent="0.25">
      <c r="C548" t="str">
        <f t="shared" si="1"/>
        <v>AHQPK1439A</v>
      </c>
      <c r="D548" t="s">
        <v>14</v>
      </c>
      <c r="E548" s="291">
        <v>44940</v>
      </c>
      <c r="F548" s="291">
        <v>700</v>
      </c>
      <c r="H548" t="s">
        <v>939</v>
      </c>
      <c r="I548" s="739"/>
    </row>
    <row r="549" spans="3:9" x14ac:dyDescent="0.25">
      <c r="C549" t="str">
        <f t="shared" si="1"/>
        <v>AHXPR9008B</v>
      </c>
      <c r="D549" t="s">
        <v>766</v>
      </c>
      <c r="E549" s="291">
        <v>232488</v>
      </c>
      <c r="F549" s="291">
        <v>3890</v>
      </c>
      <c r="H549" t="s">
        <v>941</v>
      </c>
      <c r="I549" s="739"/>
    </row>
    <row r="550" spans="3:9" x14ac:dyDescent="0.25">
      <c r="C550" t="str">
        <f t="shared" si="1"/>
        <v>AHYPM5668B</v>
      </c>
      <c r="D550" t="s">
        <v>76</v>
      </c>
      <c r="E550" s="291">
        <v>50736</v>
      </c>
      <c r="F550" s="291">
        <v>700</v>
      </c>
      <c r="H550" t="s">
        <v>945</v>
      </c>
      <c r="I550" s="739"/>
    </row>
    <row r="551" spans="3:9" x14ac:dyDescent="0.25">
      <c r="C551" t="str">
        <f t="shared" si="1"/>
        <v>AIEPS8010N</v>
      </c>
      <c r="D551" t="s">
        <v>959</v>
      </c>
      <c r="E551" s="291">
        <v>516132</v>
      </c>
      <c r="F551" s="291">
        <v>78400</v>
      </c>
      <c r="H551" t="s">
        <v>947</v>
      </c>
      <c r="I551" s="739"/>
    </row>
    <row r="552" spans="3:9" x14ac:dyDescent="0.25">
      <c r="C552" t="str">
        <f t="shared" si="1"/>
        <v>AIGPB5678P</v>
      </c>
      <c r="D552" t="s">
        <v>559</v>
      </c>
      <c r="E552" s="291">
        <v>968380</v>
      </c>
      <c r="F552" s="291">
        <v>79343</v>
      </c>
      <c r="H552" t="s">
        <v>949</v>
      </c>
      <c r="I552" s="739"/>
    </row>
    <row r="553" spans="3:9" x14ac:dyDescent="0.25">
      <c r="C553" t="str">
        <f t="shared" si="1"/>
        <v>AIHPD4783E</v>
      </c>
      <c r="D553" t="s">
        <v>97</v>
      </c>
      <c r="E553" s="291">
        <v>45060</v>
      </c>
      <c r="F553" s="291">
        <v>500</v>
      </c>
      <c r="H553" t="s">
        <v>953</v>
      </c>
      <c r="I553" s="739"/>
    </row>
    <row r="554" spans="3:9" x14ac:dyDescent="0.25">
      <c r="C554" t="str">
        <f t="shared" si="1"/>
        <v>AIMPG7606G</v>
      </c>
      <c r="D554" t="s">
        <v>64</v>
      </c>
      <c r="E554" s="291">
        <v>44940</v>
      </c>
      <c r="F554" s="291">
        <v>500</v>
      </c>
      <c r="H554" t="s">
        <v>955</v>
      </c>
      <c r="I554" s="739"/>
    </row>
    <row r="555" spans="3:9" x14ac:dyDescent="0.25">
      <c r="C555" t="str">
        <f t="shared" si="1"/>
        <v>AJEPS5879E</v>
      </c>
      <c r="D555" t="s">
        <v>72</v>
      </c>
      <c r="E555" s="291">
        <v>425574</v>
      </c>
      <c r="F555" s="291">
        <v>51200</v>
      </c>
      <c r="H555" t="s">
        <v>959</v>
      </c>
      <c r="I555" s="739"/>
    </row>
    <row r="556" spans="3:9" x14ac:dyDescent="0.25">
      <c r="C556" t="str">
        <f t="shared" si="1"/>
        <v>AJPPP6298R</v>
      </c>
      <c r="D556" t="s">
        <v>62</v>
      </c>
      <c r="E556" s="291">
        <v>52929</v>
      </c>
      <c r="F556" s="291">
        <v>900</v>
      </c>
      <c r="H556" t="s">
        <v>963</v>
      </c>
      <c r="I556" s="739"/>
    </row>
    <row r="557" spans="3:9" x14ac:dyDescent="0.25">
      <c r="C557" t="str">
        <f t="shared" si="1"/>
        <v>AKCPB2619J</v>
      </c>
      <c r="D557" t="s">
        <v>80</v>
      </c>
      <c r="E557" s="291">
        <v>39480</v>
      </c>
      <c r="F557" s="291">
        <v>270</v>
      </c>
      <c r="H557" t="s">
        <v>909</v>
      </c>
      <c r="I557" s="739"/>
    </row>
    <row r="558" spans="3:9" x14ac:dyDescent="0.25">
      <c r="C558" t="str">
        <f t="shared" si="1"/>
        <v>AKCPM9552D</v>
      </c>
      <c r="D558" t="s">
        <v>40</v>
      </c>
      <c r="E558" s="291">
        <v>313536</v>
      </c>
      <c r="F558" s="291">
        <v>23800</v>
      </c>
      <c r="H558" t="s">
        <v>967</v>
      </c>
      <c r="I558" s="739"/>
    </row>
    <row r="559" spans="3:9" x14ac:dyDescent="0.25">
      <c r="C559" t="str">
        <f t="shared" si="1"/>
        <v>AKJPM1566A</v>
      </c>
      <c r="D559" t="s">
        <v>779</v>
      </c>
      <c r="E559" s="291">
        <v>99412</v>
      </c>
      <c r="F559" s="291">
        <v>1600</v>
      </c>
      <c r="H559" t="s">
        <v>969</v>
      </c>
      <c r="I559" s="739"/>
    </row>
    <row r="560" spans="3:9" x14ac:dyDescent="0.25">
      <c r="C560" t="str">
        <f t="shared" si="1"/>
        <v>AKMPM0400A</v>
      </c>
      <c r="D560" t="s">
        <v>590</v>
      </c>
      <c r="E560" s="291">
        <v>966633</v>
      </c>
      <c r="F560" s="291">
        <v>70569</v>
      </c>
      <c r="H560" t="s">
        <v>582</v>
      </c>
      <c r="I560" s="739"/>
    </row>
    <row r="561" spans="3:9" x14ac:dyDescent="0.25">
      <c r="C561" t="str">
        <f t="shared" si="1"/>
        <v>AKNPM3615N</v>
      </c>
      <c r="D561" t="s">
        <v>909</v>
      </c>
      <c r="E561" s="291">
        <v>47640</v>
      </c>
      <c r="F561" s="291">
        <v>500</v>
      </c>
      <c r="H561" t="s">
        <v>1185</v>
      </c>
      <c r="I561" s="739"/>
    </row>
    <row r="562" spans="3:9" x14ac:dyDescent="0.25">
      <c r="C562" t="str">
        <f t="shared" si="1"/>
        <v>ALBPP2768E</v>
      </c>
      <c r="D562" t="s">
        <v>89</v>
      </c>
      <c r="E562" s="291">
        <v>52155</v>
      </c>
      <c r="F562" s="291">
        <v>900</v>
      </c>
      <c r="H562" t="s">
        <v>1187</v>
      </c>
      <c r="I562" s="739"/>
    </row>
    <row r="563" spans="3:9" x14ac:dyDescent="0.25">
      <c r="C563" t="str">
        <f t="shared" si="1"/>
        <v>ALCPP7972R</v>
      </c>
      <c r="D563" t="s">
        <v>594</v>
      </c>
      <c r="E563" s="291">
        <v>1010464</v>
      </c>
      <c r="F563" s="291">
        <v>81352</v>
      </c>
      <c r="H563" t="s">
        <v>1189</v>
      </c>
      <c r="I563" s="739"/>
    </row>
    <row r="564" spans="3:9" x14ac:dyDescent="0.25">
      <c r="C564" t="str">
        <f t="shared" si="1"/>
        <v>AMRPK1421E</v>
      </c>
      <c r="D564" t="s">
        <v>58</v>
      </c>
      <c r="E564" s="291">
        <v>966972</v>
      </c>
      <c r="F564" s="291">
        <v>102303</v>
      </c>
      <c r="H564" t="s">
        <v>1222</v>
      </c>
      <c r="I564" s="739"/>
    </row>
    <row r="565" spans="3:9" x14ac:dyDescent="0.25">
      <c r="C565" t="str">
        <f t="shared" si="1"/>
        <v>AMVPS6644M</v>
      </c>
      <c r="D565" t="s">
        <v>54</v>
      </c>
      <c r="E565" s="291">
        <v>426387</v>
      </c>
      <c r="F565" s="291">
        <v>17409</v>
      </c>
      <c r="H565" t="s">
        <v>1194</v>
      </c>
      <c r="I565" s="739"/>
    </row>
    <row r="566" spans="3:9" x14ac:dyDescent="0.25">
      <c r="C566" t="str">
        <f t="shared" si="1"/>
        <v>ANBPS1224J</v>
      </c>
      <c r="D566" t="s">
        <v>545</v>
      </c>
      <c r="E566" s="291">
        <v>140931</v>
      </c>
      <c r="F566" s="291">
        <v>17000</v>
      </c>
      <c r="H566" t="s">
        <v>1163</v>
      </c>
      <c r="I566" s="739"/>
    </row>
    <row r="567" spans="3:9" x14ac:dyDescent="0.25">
      <c r="C567" t="str">
        <f t="shared" si="1"/>
        <v>ANWPK6783D</v>
      </c>
      <c r="D567" t="s">
        <v>1187</v>
      </c>
      <c r="E567" s="291">
        <v>51510</v>
      </c>
      <c r="F567" s="291">
        <v>1000</v>
      </c>
      <c r="H567" t="s">
        <v>1166</v>
      </c>
      <c r="I567" s="739"/>
    </row>
    <row r="568" spans="3:9" x14ac:dyDescent="0.25">
      <c r="C568" t="str">
        <f t="shared" si="1"/>
        <v>APSPS6552C</v>
      </c>
      <c r="D568" t="s">
        <v>30</v>
      </c>
      <c r="E568" s="291">
        <v>385530</v>
      </c>
      <c r="F568" s="291">
        <v>39600</v>
      </c>
      <c r="H568" t="s">
        <v>497</v>
      </c>
      <c r="I568" s="739"/>
    </row>
    <row r="569" spans="3:9" x14ac:dyDescent="0.25">
      <c r="C569" t="str">
        <f t="shared" si="1"/>
        <v>AVUPS1951P</v>
      </c>
      <c r="D569" t="s">
        <v>596</v>
      </c>
      <c r="E569" s="291">
        <v>796459</v>
      </c>
      <c r="F569" s="291">
        <v>63888</v>
      </c>
      <c r="H569" t="s">
        <v>545</v>
      </c>
      <c r="I569" s="739"/>
    </row>
    <row r="570" spans="3:9" x14ac:dyDescent="0.25">
      <c r="C570" t="str">
        <f t="shared" si="1"/>
        <v>AXLPS5214N</v>
      </c>
      <c r="D570" t="s">
        <v>592</v>
      </c>
      <c r="E570" s="291">
        <v>968346</v>
      </c>
      <c r="F570" s="291">
        <v>79240</v>
      </c>
      <c r="I570" s="739"/>
    </row>
    <row r="571" spans="3:9" x14ac:dyDescent="0.25">
      <c r="F571" s="291">
        <f>SUM(F471:F570)</f>
        <v>3315693</v>
      </c>
      <c r="I571" s="739"/>
    </row>
    <row r="572" spans="3:9" x14ac:dyDescent="0.25">
      <c r="I572" s="739"/>
    </row>
    <row r="573" spans="3:9" x14ac:dyDescent="0.25">
      <c r="F573" s="291">
        <f>F571-'Main Working'!K150</f>
        <v>0</v>
      </c>
    </row>
  </sheetData>
  <autoFilter ref="A1:F467">
    <sortState ref="A2:F368">
      <sortCondition ref="D1:D368"/>
    </sortState>
  </autoFilter>
  <dataValidations disablePrompts="1" count="1">
    <dataValidation type="list" operator="equal" showInputMessage="1" promptTitle="PAN:" prompt="_x000a_Exact 10 characters long_x000a__x000a_If available, should be like AAAAA9999A format_x000a_If not available, select from the list provided_x000a__x000a_Mandatory" sqref="D314:D315 D317:D320 D322 D324:D327 D329:D330">
      <formula1>"PANAPPLIED, PANINVALID, PANNOTAVBL"</formula1>
    </dataValidation>
  </dataValidation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444"/>
  <sheetViews>
    <sheetView workbookViewId="0">
      <selection activeCell="E57" sqref="E57"/>
    </sheetView>
  </sheetViews>
  <sheetFormatPr defaultRowHeight="15" outlineLevelRow="2" x14ac:dyDescent="0.25"/>
  <cols>
    <col min="2" max="2" width="9.28515625" customWidth="1"/>
    <col min="3" max="3" width="10.85546875" customWidth="1"/>
    <col min="4" max="4" width="25.140625" customWidth="1"/>
    <col min="5" max="5" width="31.5703125" style="704" customWidth="1"/>
    <col min="6" max="6" width="17.42578125" style="291" customWidth="1"/>
    <col min="7" max="7" width="18.7109375" style="291" customWidth="1"/>
  </cols>
  <sheetData>
    <row r="1" spans="2:7" ht="15" customHeight="1" x14ac:dyDescent="0.25">
      <c r="B1" s="665" t="s">
        <v>1360</v>
      </c>
      <c r="C1" s="665" t="s">
        <v>1361</v>
      </c>
      <c r="D1" s="665" t="s">
        <v>1362</v>
      </c>
      <c r="E1" s="701" t="s">
        <v>1363</v>
      </c>
      <c r="F1" s="666" t="s">
        <v>1364</v>
      </c>
      <c r="G1" s="666" t="s">
        <v>1365</v>
      </c>
    </row>
    <row r="2" spans="2:7" hidden="1" outlineLevel="2" x14ac:dyDescent="0.25">
      <c r="B2" s="664">
        <v>8</v>
      </c>
      <c r="C2" s="664">
        <v>204</v>
      </c>
      <c r="D2" s="664" t="s">
        <v>1373</v>
      </c>
      <c r="E2" s="664" t="s">
        <v>967</v>
      </c>
      <c r="F2" s="667">
        <v>113313</v>
      </c>
      <c r="G2" s="667">
        <v>14000</v>
      </c>
    </row>
    <row r="3" spans="2:7" hidden="1" outlineLevel="2" x14ac:dyDescent="0.25">
      <c r="B3" s="664">
        <v>8</v>
      </c>
      <c r="C3" s="664">
        <v>204</v>
      </c>
      <c r="D3" s="664" t="s">
        <v>1373</v>
      </c>
      <c r="E3" s="664" t="s">
        <v>967</v>
      </c>
      <c r="F3" s="667">
        <v>113313</v>
      </c>
      <c r="G3" s="667">
        <v>14000</v>
      </c>
    </row>
    <row r="4" spans="2:7" hidden="1" outlineLevel="2" x14ac:dyDescent="0.25">
      <c r="B4" s="664">
        <v>8</v>
      </c>
      <c r="C4" s="664">
        <v>204</v>
      </c>
      <c r="D4" s="664" t="s">
        <v>1373</v>
      </c>
      <c r="E4" s="664" t="s">
        <v>967</v>
      </c>
      <c r="F4" s="667">
        <v>113313</v>
      </c>
      <c r="G4" s="667">
        <v>14000</v>
      </c>
    </row>
    <row r="5" spans="2:7" hidden="1" outlineLevel="1" collapsed="1" x14ac:dyDescent="0.25">
      <c r="B5" s="664"/>
      <c r="C5" s="664"/>
      <c r="D5" s="664"/>
      <c r="E5" s="692" t="s">
        <v>1533</v>
      </c>
      <c r="F5" s="667">
        <f>SUBTOTAL(9,F2:F4)</f>
        <v>339939</v>
      </c>
      <c r="G5" s="667">
        <f>SUBTOTAL(9,G2:G4)</f>
        <v>42000</v>
      </c>
    </row>
    <row r="6" spans="2:7" hidden="1" outlineLevel="2" x14ac:dyDescent="0.25">
      <c r="B6" s="664">
        <v>1</v>
      </c>
      <c r="C6" s="664">
        <v>45</v>
      </c>
      <c r="D6" s="664" t="s">
        <v>1449</v>
      </c>
      <c r="E6" s="664" t="s">
        <v>787</v>
      </c>
      <c r="F6" s="667">
        <v>59920</v>
      </c>
      <c r="G6" s="667">
        <v>1000</v>
      </c>
    </row>
    <row r="7" spans="2:7" hidden="1" outlineLevel="2" x14ac:dyDescent="0.25">
      <c r="B7" s="664">
        <v>1</v>
      </c>
      <c r="C7" s="664">
        <v>45</v>
      </c>
      <c r="D7" s="664" t="s">
        <v>1449</v>
      </c>
      <c r="E7" s="664" t="s">
        <v>787</v>
      </c>
      <c r="F7" s="667">
        <v>59920</v>
      </c>
      <c r="G7" s="667">
        <v>1000</v>
      </c>
    </row>
    <row r="8" spans="2:7" hidden="1" outlineLevel="2" x14ac:dyDescent="0.25">
      <c r="B8" s="664">
        <v>1</v>
      </c>
      <c r="C8" s="664">
        <v>45</v>
      </c>
      <c r="D8" s="664" t="s">
        <v>1449</v>
      </c>
      <c r="E8" s="664" t="s">
        <v>787</v>
      </c>
      <c r="F8" s="667">
        <v>59920</v>
      </c>
      <c r="G8" s="667">
        <v>1000</v>
      </c>
    </row>
    <row r="9" spans="2:7" hidden="1" outlineLevel="1" collapsed="1" x14ac:dyDescent="0.25">
      <c r="B9" s="664"/>
      <c r="C9" s="664"/>
      <c r="D9" s="664"/>
      <c r="E9" s="692" t="s">
        <v>1534</v>
      </c>
      <c r="F9" s="667">
        <f>SUBTOTAL(9,F6:F8)</f>
        <v>179760</v>
      </c>
      <c r="G9" s="667">
        <f>SUBTOTAL(9,G6:G8)</f>
        <v>3000</v>
      </c>
    </row>
    <row r="10" spans="2:7" hidden="1" outlineLevel="2" x14ac:dyDescent="0.25">
      <c r="B10" s="664">
        <v>2</v>
      </c>
      <c r="C10" s="664">
        <v>105</v>
      </c>
      <c r="D10" s="664" t="s">
        <v>1396</v>
      </c>
      <c r="E10" s="664" t="s">
        <v>1397</v>
      </c>
      <c r="F10" s="667">
        <v>133202</v>
      </c>
      <c r="G10" s="667">
        <v>16500</v>
      </c>
    </row>
    <row r="11" spans="2:7" hidden="1" outlineLevel="2" x14ac:dyDescent="0.25">
      <c r="B11" s="664">
        <v>2</v>
      </c>
      <c r="C11" s="664">
        <v>105</v>
      </c>
      <c r="D11" s="664" t="s">
        <v>1396</v>
      </c>
      <c r="E11" s="664" t="s">
        <v>1397</v>
      </c>
      <c r="F11" s="667">
        <v>133202</v>
      </c>
      <c r="G11" s="667">
        <v>16500</v>
      </c>
    </row>
    <row r="12" spans="2:7" hidden="1" outlineLevel="2" x14ac:dyDescent="0.25">
      <c r="B12" s="664">
        <v>2</v>
      </c>
      <c r="C12" s="664">
        <v>105</v>
      </c>
      <c r="D12" s="664" t="s">
        <v>1396</v>
      </c>
      <c r="E12" s="664" t="s">
        <v>1397</v>
      </c>
      <c r="F12" s="667">
        <v>133202</v>
      </c>
      <c r="G12" s="667">
        <v>16500</v>
      </c>
    </row>
    <row r="13" spans="2:7" hidden="1" outlineLevel="1" collapsed="1" x14ac:dyDescent="0.25">
      <c r="B13" s="664"/>
      <c r="C13" s="664"/>
      <c r="D13" s="664"/>
      <c r="E13" s="692" t="s">
        <v>1535</v>
      </c>
      <c r="F13" s="667">
        <f>SUBTOTAL(9,F10:F12)</f>
        <v>399606</v>
      </c>
      <c r="G13" s="667">
        <f>SUBTOTAL(9,G10:G12)</f>
        <v>49500</v>
      </c>
    </row>
    <row r="14" spans="2:7" hidden="1" outlineLevel="2" x14ac:dyDescent="0.25">
      <c r="B14" s="664">
        <v>11</v>
      </c>
      <c r="C14" s="664">
        <v>263</v>
      </c>
      <c r="D14" s="664" t="s">
        <v>1376</v>
      </c>
      <c r="E14" s="664" t="s">
        <v>963</v>
      </c>
      <c r="F14" s="667">
        <v>140931</v>
      </c>
      <c r="G14" s="667">
        <v>19600</v>
      </c>
    </row>
    <row r="15" spans="2:7" hidden="1" outlineLevel="2" x14ac:dyDescent="0.25">
      <c r="B15" s="664">
        <v>11</v>
      </c>
      <c r="C15" s="664">
        <v>263</v>
      </c>
      <c r="D15" s="664" t="s">
        <v>1376</v>
      </c>
      <c r="E15" s="664" t="s">
        <v>963</v>
      </c>
      <c r="F15" s="667">
        <v>140931</v>
      </c>
      <c r="G15" s="667">
        <v>19600</v>
      </c>
    </row>
    <row r="16" spans="2:7" hidden="1" outlineLevel="2" x14ac:dyDescent="0.25">
      <c r="B16" s="664">
        <v>11</v>
      </c>
      <c r="C16" s="664">
        <v>263</v>
      </c>
      <c r="D16" s="664" t="s">
        <v>1376</v>
      </c>
      <c r="E16" s="664" t="s">
        <v>963</v>
      </c>
      <c r="F16" s="667">
        <v>140931</v>
      </c>
      <c r="G16" s="667">
        <v>19600</v>
      </c>
    </row>
    <row r="17" spans="2:7" hidden="1" outlineLevel="1" collapsed="1" x14ac:dyDescent="0.25">
      <c r="B17" s="664"/>
      <c r="C17" s="664"/>
      <c r="D17" s="664"/>
      <c r="E17" s="692" t="s">
        <v>1536</v>
      </c>
      <c r="F17" s="667">
        <f>SUBTOTAL(9,F14:F16)</f>
        <v>422793</v>
      </c>
      <c r="G17" s="667">
        <f>SUBTOTAL(9,G14:G16)</f>
        <v>58800</v>
      </c>
    </row>
    <row r="18" spans="2:7" hidden="1" outlineLevel="2" x14ac:dyDescent="0.25">
      <c r="B18" s="664">
        <v>1</v>
      </c>
      <c r="C18" s="664">
        <v>103</v>
      </c>
      <c r="D18" s="664" t="s">
        <v>1404</v>
      </c>
      <c r="E18" s="664" t="s">
        <v>567</v>
      </c>
      <c r="F18" s="667">
        <v>133202</v>
      </c>
      <c r="G18" s="667">
        <v>15000</v>
      </c>
    </row>
    <row r="19" spans="2:7" hidden="1" outlineLevel="2" x14ac:dyDescent="0.25">
      <c r="B19" s="664">
        <v>1</v>
      </c>
      <c r="C19" s="664">
        <v>103</v>
      </c>
      <c r="D19" s="664" t="s">
        <v>1404</v>
      </c>
      <c r="E19" s="664" t="s">
        <v>567</v>
      </c>
      <c r="F19" s="667">
        <v>133202</v>
      </c>
      <c r="G19" s="667">
        <v>15000</v>
      </c>
    </row>
    <row r="20" spans="2:7" hidden="1" outlineLevel="2" x14ac:dyDescent="0.25">
      <c r="B20" s="664">
        <v>1</v>
      </c>
      <c r="C20" s="664">
        <v>103</v>
      </c>
      <c r="D20" s="664" t="s">
        <v>1404</v>
      </c>
      <c r="E20" s="664" t="s">
        <v>567</v>
      </c>
      <c r="F20" s="667">
        <v>133202</v>
      </c>
      <c r="G20" s="667">
        <v>15000</v>
      </c>
    </row>
    <row r="21" spans="2:7" hidden="1" outlineLevel="1" collapsed="1" x14ac:dyDescent="0.25">
      <c r="B21" s="664"/>
      <c r="C21" s="664"/>
      <c r="D21" s="664"/>
      <c r="E21" s="692" t="s">
        <v>1538</v>
      </c>
      <c r="F21" s="667">
        <f>SUBTOTAL(9,F18:F20)</f>
        <v>399606</v>
      </c>
      <c r="G21" s="667">
        <f>SUBTOTAL(9,G18:G20)</f>
        <v>45000</v>
      </c>
    </row>
    <row r="22" spans="2:7" hidden="1" outlineLevel="2" x14ac:dyDescent="0.25">
      <c r="B22" s="664">
        <v>3</v>
      </c>
      <c r="C22" s="664">
        <v>274</v>
      </c>
      <c r="D22" s="664" t="s">
        <v>1387</v>
      </c>
      <c r="E22" s="664" t="s">
        <v>1348</v>
      </c>
      <c r="F22" s="667">
        <v>78391</v>
      </c>
      <c r="G22" s="667">
        <v>4500</v>
      </c>
    </row>
    <row r="23" spans="2:7" hidden="1" outlineLevel="2" x14ac:dyDescent="0.25">
      <c r="B23" s="664">
        <v>3</v>
      </c>
      <c r="C23" s="664">
        <v>274</v>
      </c>
      <c r="D23" s="664" t="s">
        <v>1387</v>
      </c>
      <c r="E23" s="664" t="s">
        <v>1348</v>
      </c>
      <c r="F23" s="667">
        <v>78391</v>
      </c>
      <c r="G23" s="667">
        <v>4500</v>
      </c>
    </row>
    <row r="24" spans="2:7" hidden="1" outlineLevel="2" x14ac:dyDescent="0.25">
      <c r="B24" s="664">
        <v>3</v>
      </c>
      <c r="C24" s="664">
        <v>274</v>
      </c>
      <c r="D24" s="664" t="s">
        <v>1387</v>
      </c>
      <c r="E24" s="664" t="s">
        <v>1348</v>
      </c>
      <c r="F24" s="667">
        <v>78391</v>
      </c>
      <c r="G24" s="667">
        <v>4500</v>
      </c>
    </row>
    <row r="25" spans="2:7" hidden="1" outlineLevel="1" collapsed="1" x14ac:dyDescent="0.25">
      <c r="B25" s="664"/>
      <c r="C25" s="664"/>
      <c r="D25" s="664"/>
      <c r="E25" s="692" t="s">
        <v>1634</v>
      </c>
      <c r="F25" s="667">
        <f>SUBTOTAL(9,F22:F24)</f>
        <v>235173</v>
      </c>
      <c r="G25" s="667">
        <f>SUBTOTAL(9,G22:G24)</f>
        <v>13500</v>
      </c>
    </row>
    <row r="26" spans="2:7" hidden="1" outlineLevel="2" x14ac:dyDescent="0.25">
      <c r="B26" s="664">
        <v>6</v>
      </c>
      <c r="C26" s="664">
        <v>52</v>
      </c>
      <c r="D26" s="664" t="s">
        <v>1433</v>
      </c>
      <c r="E26" s="664" t="s">
        <v>68</v>
      </c>
      <c r="F26" s="667">
        <v>73042</v>
      </c>
      <c r="G26" s="667">
        <v>3000</v>
      </c>
    </row>
    <row r="27" spans="2:7" hidden="1" outlineLevel="2" x14ac:dyDescent="0.25">
      <c r="B27" s="664">
        <v>6</v>
      </c>
      <c r="C27" s="664">
        <v>52</v>
      </c>
      <c r="D27" s="664" t="s">
        <v>1433</v>
      </c>
      <c r="E27" s="664" t="s">
        <v>68</v>
      </c>
      <c r="F27" s="667">
        <v>68042</v>
      </c>
      <c r="G27" s="667">
        <v>3000</v>
      </c>
    </row>
    <row r="28" spans="2:7" hidden="1" outlineLevel="2" x14ac:dyDescent="0.25">
      <c r="B28" s="664">
        <v>6</v>
      </c>
      <c r="C28" s="664">
        <v>52</v>
      </c>
      <c r="D28" s="664" t="s">
        <v>1433</v>
      </c>
      <c r="E28" s="664" t="s">
        <v>68</v>
      </c>
      <c r="F28" s="667">
        <v>68042</v>
      </c>
      <c r="G28" s="667">
        <v>3000</v>
      </c>
    </row>
    <row r="29" spans="2:7" hidden="1" outlineLevel="1" collapsed="1" x14ac:dyDescent="0.25">
      <c r="B29" s="664"/>
      <c r="C29" s="664"/>
      <c r="D29" s="664"/>
      <c r="E29" s="692" t="s">
        <v>1539</v>
      </c>
      <c r="F29" s="667">
        <f>SUBTOTAL(9,F26:F28)</f>
        <v>209126</v>
      </c>
      <c r="G29" s="667">
        <f>SUBTOTAL(9,G26:G28)</f>
        <v>9000</v>
      </c>
    </row>
    <row r="30" spans="2:7" hidden="1" outlineLevel="2" x14ac:dyDescent="0.25">
      <c r="B30" s="664">
        <v>3</v>
      </c>
      <c r="C30" s="664">
        <v>112</v>
      </c>
      <c r="D30" s="664" t="s">
        <v>1398</v>
      </c>
      <c r="E30" s="664" t="s">
        <v>588</v>
      </c>
      <c r="F30" s="667">
        <v>95552</v>
      </c>
      <c r="G30" s="667">
        <v>7700</v>
      </c>
    </row>
    <row r="31" spans="2:7" hidden="1" outlineLevel="2" x14ac:dyDescent="0.25">
      <c r="B31" s="664">
        <v>3</v>
      </c>
      <c r="C31" s="664">
        <v>112</v>
      </c>
      <c r="D31" s="664" t="s">
        <v>1398</v>
      </c>
      <c r="E31" s="664" t="s">
        <v>588</v>
      </c>
      <c r="F31" s="667">
        <v>95552</v>
      </c>
      <c r="G31" s="667">
        <v>7700</v>
      </c>
    </row>
    <row r="32" spans="2:7" hidden="1" outlineLevel="2" x14ac:dyDescent="0.25">
      <c r="B32" s="664">
        <v>3</v>
      </c>
      <c r="C32" s="664">
        <v>112</v>
      </c>
      <c r="D32" s="664" t="s">
        <v>1398</v>
      </c>
      <c r="E32" s="664" t="s">
        <v>588</v>
      </c>
      <c r="F32" s="667">
        <v>95552</v>
      </c>
      <c r="G32" s="667">
        <v>7700</v>
      </c>
    </row>
    <row r="33" spans="2:7" hidden="1" outlineLevel="1" collapsed="1" x14ac:dyDescent="0.25">
      <c r="B33" s="664"/>
      <c r="C33" s="664"/>
      <c r="D33" s="664"/>
      <c r="E33" s="692" t="s">
        <v>1540</v>
      </c>
      <c r="F33" s="667">
        <f>SUBTOTAL(9,F30:F32)</f>
        <v>286656</v>
      </c>
      <c r="G33" s="667">
        <f>SUBTOTAL(9,G30:G32)</f>
        <v>23100</v>
      </c>
    </row>
    <row r="34" spans="2:7" hidden="1" outlineLevel="2" x14ac:dyDescent="0.25">
      <c r="B34" s="664">
        <v>3</v>
      </c>
      <c r="C34" s="664">
        <v>19</v>
      </c>
      <c r="D34" s="664" t="s">
        <v>1415</v>
      </c>
      <c r="E34" s="664" t="s">
        <v>52</v>
      </c>
      <c r="F34" s="667">
        <v>107080</v>
      </c>
      <c r="G34" s="667">
        <v>10000</v>
      </c>
    </row>
    <row r="35" spans="2:7" hidden="1" outlineLevel="2" x14ac:dyDescent="0.25">
      <c r="B35" s="664">
        <v>4</v>
      </c>
      <c r="C35" s="664">
        <v>19</v>
      </c>
      <c r="D35" s="664" t="s">
        <v>1415</v>
      </c>
      <c r="E35" s="664" t="s">
        <v>52</v>
      </c>
      <c r="F35" s="667">
        <v>107080</v>
      </c>
      <c r="G35" s="667">
        <v>10000</v>
      </c>
    </row>
    <row r="36" spans="2:7" hidden="1" outlineLevel="2" x14ac:dyDescent="0.25">
      <c r="B36" s="664">
        <v>4</v>
      </c>
      <c r="C36" s="664">
        <v>19</v>
      </c>
      <c r="D36" s="664" t="s">
        <v>1415</v>
      </c>
      <c r="E36" s="664" t="s">
        <v>52</v>
      </c>
      <c r="F36" s="667">
        <v>107080</v>
      </c>
      <c r="G36" s="667">
        <v>10000</v>
      </c>
    </row>
    <row r="37" spans="2:7" hidden="1" outlineLevel="1" collapsed="1" x14ac:dyDescent="0.25">
      <c r="B37" s="664"/>
      <c r="C37" s="664"/>
      <c r="D37" s="664"/>
      <c r="E37" s="692" t="s">
        <v>1541</v>
      </c>
      <c r="F37" s="667">
        <f>SUBTOTAL(9,F34:F36)</f>
        <v>321240</v>
      </c>
      <c r="G37" s="667">
        <f>SUBTOTAL(9,G34:G36)</f>
        <v>30000</v>
      </c>
    </row>
    <row r="38" spans="2:7" hidden="1" outlineLevel="2" x14ac:dyDescent="0.25">
      <c r="B38" s="664">
        <v>2</v>
      </c>
      <c r="C38" s="664">
        <v>189</v>
      </c>
      <c r="D38" s="664" t="s">
        <v>1386</v>
      </c>
      <c r="E38" s="664" t="s">
        <v>933</v>
      </c>
      <c r="F38" s="667">
        <v>61623</v>
      </c>
      <c r="G38" s="667">
        <v>1500</v>
      </c>
    </row>
    <row r="39" spans="2:7" hidden="1" outlineLevel="2" x14ac:dyDescent="0.25">
      <c r="B39" s="664">
        <v>2</v>
      </c>
      <c r="C39" s="664">
        <v>189</v>
      </c>
      <c r="D39" s="664" t="s">
        <v>1386</v>
      </c>
      <c r="E39" s="664" t="s">
        <v>933</v>
      </c>
      <c r="F39" s="667">
        <v>61623</v>
      </c>
      <c r="G39" s="667">
        <v>1500</v>
      </c>
    </row>
    <row r="40" spans="2:7" hidden="1" outlineLevel="2" x14ac:dyDescent="0.25">
      <c r="B40" s="664">
        <v>2</v>
      </c>
      <c r="C40" s="664">
        <v>189</v>
      </c>
      <c r="D40" s="664" t="s">
        <v>1386</v>
      </c>
      <c r="E40" s="664" t="s">
        <v>933</v>
      </c>
      <c r="F40" s="667">
        <v>61623</v>
      </c>
      <c r="G40" s="667">
        <v>1500</v>
      </c>
    </row>
    <row r="41" spans="2:7" hidden="1" outlineLevel="1" collapsed="1" x14ac:dyDescent="0.25">
      <c r="B41" s="664"/>
      <c r="C41" s="664"/>
      <c r="D41" s="664"/>
      <c r="E41" s="692" t="s">
        <v>1542</v>
      </c>
      <c r="F41" s="667">
        <f>SUBTOTAL(9,F38:F40)</f>
        <v>184869</v>
      </c>
      <c r="G41" s="667">
        <f>SUBTOTAL(9,G38:G40)</f>
        <v>4500</v>
      </c>
    </row>
    <row r="42" spans="2:7" hidden="1" outlineLevel="2" x14ac:dyDescent="0.25">
      <c r="B42" s="664">
        <v>2</v>
      </c>
      <c r="C42" s="664">
        <v>251</v>
      </c>
      <c r="D42" s="664" t="s">
        <v>1451</v>
      </c>
      <c r="E42" s="664" t="s">
        <v>1189</v>
      </c>
      <c r="F42" s="667">
        <v>133202</v>
      </c>
      <c r="G42" s="667">
        <v>17000</v>
      </c>
    </row>
    <row r="43" spans="2:7" hidden="1" outlineLevel="2" x14ac:dyDescent="0.25">
      <c r="B43" s="664">
        <v>2</v>
      </c>
      <c r="C43" s="664">
        <v>251</v>
      </c>
      <c r="D43" s="664" t="s">
        <v>1451</v>
      </c>
      <c r="E43" s="664" t="s">
        <v>1189</v>
      </c>
      <c r="F43" s="667">
        <v>133202</v>
      </c>
      <c r="G43" s="667">
        <v>17000</v>
      </c>
    </row>
    <row r="44" spans="2:7" hidden="1" outlineLevel="2" x14ac:dyDescent="0.25">
      <c r="B44" s="664">
        <v>2</v>
      </c>
      <c r="C44" s="664">
        <v>251</v>
      </c>
      <c r="D44" s="664" t="s">
        <v>1451</v>
      </c>
      <c r="E44" s="664" t="s">
        <v>1189</v>
      </c>
      <c r="F44" s="667">
        <v>133202</v>
      </c>
      <c r="G44" s="667">
        <v>17000</v>
      </c>
    </row>
    <row r="45" spans="2:7" hidden="1" outlineLevel="1" collapsed="1" x14ac:dyDescent="0.25">
      <c r="B45" s="664"/>
      <c r="C45" s="664"/>
      <c r="D45" s="664"/>
      <c r="E45" s="692" t="s">
        <v>1543</v>
      </c>
      <c r="F45" s="667">
        <f>SUBTOTAL(9,F42:F44)</f>
        <v>399606</v>
      </c>
      <c r="G45" s="667">
        <f>SUBTOTAL(9,G42:G44)</f>
        <v>51000</v>
      </c>
    </row>
    <row r="46" spans="2:7" hidden="1" outlineLevel="2" x14ac:dyDescent="0.25">
      <c r="B46" s="664">
        <v>3</v>
      </c>
      <c r="C46" s="664">
        <v>80</v>
      </c>
      <c r="D46" s="664" t="s">
        <v>1448</v>
      </c>
      <c r="E46" s="664" t="s">
        <v>781</v>
      </c>
      <c r="F46" s="667">
        <v>105181</v>
      </c>
      <c r="G46" s="667">
        <v>10000</v>
      </c>
    </row>
    <row r="47" spans="2:7" hidden="1" outlineLevel="2" x14ac:dyDescent="0.25">
      <c r="B47" s="664">
        <v>3</v>
      </c>
      <c r="C47" s="664">
        <v>80</v>
      </c>
      <c r="D47" s="664" t="s">
        <v>1448</v>
      </c>
      <c r="E47" s="664" t="s">
        <v>781</v>
      </c>
      <c r="F47" s="667">
        <v>105181</v>
      </c>
      <c r="G47" s="667">
        <v>10000</v>
      </c>
    </row>
    <row r="48" spans="2:7" hidden="1" outlineLevel="2" x14ac:dyDescent="0.25">
      <c r="B48" s="664">
        <v>3</v>
      </c>
      <c r="C48" s="664">
        <v>80</v>
      </c>
      <c r="D48" s="664" t="s">
        <v>1448</v>
      </c>
      <c r="E48" s="664" t="s">
        <v>781</v>
      </c>
      <c r="F48" s="667">
        <v>105181</v>
      </c>
      <c r="G48" s="667">
        <v>10000</v>
      </c>
    </row>
    <row r="49" spans="2:7" hidden="1" outlineLevel="2" x14ac:dyDescent="0.25">
      <c r="B49" s="696">
        <v>2</v>
      </c>
      <c r="C49" s="697">
        <v>80</v>
      </c>
      <c r="D49" s="697" t="s">
        <v>1448</v>
      </c>
      <c r="E49" s="702" t="s">
        <v>781</v>
      </c>
      <c r="F49" s="698">
        <v>67706</v>
      </c>
      <c r="G49" s="699">
        <v>6770</v>
      </c>
    </row>
    <row r="50" spans="2:7" hidden="1" outlineLevel="1" collapsed="1" x14ac:dyDescent="0.25">
      <c r="B50" s="696"/>
      <c r="C50" s="697"/>
      <c r="D50" s="697"/>
      <c r="E50" s="703" t="s">
        <v>1544</v>
      </c>
      <c r="F50" s="698">
        <f>SUBTOTAL(9,F46:F49)</f>
        <v>383249</v>
      </c>
      <c r="G50" s="699">
        <f>SUBTOTAL(9,G46:G49)</f>
        <v>36770</v>
      </c>
    </row>
    <row r="51" spans="2:7" hidden="1" outlineLevel="2" x14ac:dyDescent="0.25">
      <c r="B51" s="664">
        <v>17</v>
      </c>
      <c r="C51" s="664">
        <v>5</v>
      </c>
      <c r="D51" s="664" t="s">
        <v>1382</v>
      </c>
      <c r="E51" s="664" t="s">
        <v>32</v>
      </c>
      <c r="F51" s="667">
        <v>113368</v>
      </c>
      <c r="G51" s="667">
        <v>13000</v>
      </c>
    </row>
    <row r="52" spans="2:7" hidden="1" outlineLevel="2" x14ac:dyDescent="0.25">
      <c r="B52" s="664">
        <v>16</v>
      </c>
      <c r="C52" s="664">
        <v>5</v>
      </c>
      <c r="D52" s="664" t="s">
        <v>1382</v>
      </c>
      <c r="E52" s="664" t="s">
        <v>32</v>
      </c>
      <c r="F52" s="667">
        <v>113368</v>
      </c>
      <c r="G52" s="667">
        <v>13000</v>
      </c>
    </row>
    <row r="53" spans="2:7" hidden="1" outlineLevel="2" x14ac:dyDescent="0.25">
      <c r="B53" s="664">
        <v>16</v>
      </c>
      <c r="C53" s="664">
        <v>5</v>
      </c>
      <c r="D53" s="664" t="s">
        <v>1382</v>
      </c>
      <c r="E53" s="664" t="s">
        <v>32</v>
      </c>
      <c r="F53" s="667">
        <v>113368</v>
      </c>
      <c r="G53" s="667">
        <v>13000</v>
      </c>
    </row>
    <row r="54" spans="2:7" hidden="1" outlineLevel="1" collapsed="1" x14ac:dyDescent="0.25">
      <c r="B54" s="664"/>
      <c r="C54" s="664"/>
      <c r="D54" s="664"/>
      <c r="E54" s="692" t="s">
        <v>1545</v>
      </c>
      <c r="F54" s="667">
        <f>SUBTOTAL(9,F51:F53)</f>
        <v>340104</v>
      </c>
      <c r="G54" s="667">
        <f>SUBTOTAL(9,G51:G53)</f>
        <v>39000</v>
      </c>
    </row>
    <row r="55" spans="2:7" hidden="1" outlineLevel="2" x14ac:dyDescent="0.25">
      <c r="B55" s="664">
        <v>1</v>
      </c>
      <c r="C55" s="664">
        <v>122</v>
      </c>
      <c r="D55" s="664" t="s">
        <v>1450</v>
      </c>
      <c r="E55" s="664" t="s">
        <v>582</v>
      </c>
      <c r="F55" s="667">
        <v>98303</v>
      </c>
      <c r="G55" s="667">
        <v>10000</v>
      </c>
    </row>
    <row r="56" spans="2:7" hidden="1" outlineLevel="2" x14ac:dyDescent="0.25">
      <c r="B56" s="664">
        <v>1</v>
      </c>
      <c r="C56" s="664">
        <v>122</v>
      </c>
      <c r="D56" s="664" t="s">
        <v>1450</v>
      </c>
      <c r="E56" s="664" t="s">
        <v>582</v>
      </c>
      <c r="F56" s="667">
        <v>98303</v>
      </c>
      <c r="G56" s="667">
        <v>10000</v>
      </c>
    </row>
    <row r="57" spans="2:7" hidden="1" outlineLevel="2" x14ac:dyDescent="0.25">
      <c r="B57" s="664">
        <v>1</v>
      </c>
      <c r="C57" s="664">
        <v>122</v>
      </c>
      <c r="D57" s="664" t="s">
        <v>1450</v>
      </c>
      <c r="E57" s="664" t="s">
        <v>582</v>
      </c>
      <c r="F57" s="667">
        <v>98303</v>
      </c>
      <c r="G57" s="667">
        <v>10000</v>
      </c>
    </row>
    <row r="58" spans="2:7" hidden="1" outlineLevel="1" collapsed="1" x14ac:dyDescent="0.25">
      <c r="B58" s="664"/>
      <c r="C58" s="664"/>
      <c r="D58" s="664"/>
      <c r="E58" s="692" t="s">
        <v>1546</v>
      </c>
      <c r="F58" s="667">
        <f>SUBTOTAL(9,F55:F57)</f>
        <v>294909</v>
      </c>
      <c r="G58" s="667">
        <f>SUBTOTAL(9,G55:G57)</f>
        <v>30000</v>
      </c>
    </row>
    <row r="59" spans="2:7" hidden="1" outlineLevel="2" x14ac:dyDescent="0.25">
      <c r="B59" s="664">
        <v>2</v>
      </c>
      <c r="C59" s="664">
        <v>176</v>
      </c>
      <c r="D59" s="664" t="s">
        <v>1391</v>
      </c>
      <c r="E59" s="664" t="s">
        <v>931</v>
      </c>
      <c r="F59" s="667">
        <v>140931</v>
      </c>
      <c r="G59" s="667">
        <v>19000</v>
      </c>
    </row>
    <row r="60" spans="2:7" hidden="1" outlineLevel="2" x14ac:dyDescent="0.25">
      <c r="B60" s="664">
        <v>2</v>
      </c>
      <c r="C60" s="664">
        <v>176</v>
      </c>
      <c r="D60" s="664" t="s">
        <v>1391</v>
      </c>
      <c r="E60" s="664" t="s">
        <v>931</v>
      </c>
      <c r="F60" s="667">
        <v>140931</v>
      </c>
      <c r="G60" s="667">
        <v>19000</v>
      </c>
    </row>
    <row r="61" spans="2:7" hidden="1" outlineLevel="2" x14ac:dyDescent="0.25">
      <c r="B61" s="664">
        <v>2</v>
      </c>
      <c r="C61" s="664">
        <v>176</v>
      </c>
      <c r="D61" s="664" t="s">
        <v>1391</v>
      </c>
      <c r="E61" s="664" t="s">
        <v>931</v>
      </c>
      <c r="F61" s="667">
        <v>140931</v>
      </c>
      <c r="G61" s="667">
        <v>19000</v>
      </c>
    </row>
    <row r="62" spans="2:7" hidden="1" outlineLevel="1" collapsed="1" x14ac:dyDescent="0.25">
      <c r="B62" s="664"/>
      <c r="C62" s="664"/>
      <c r="D62" s="664"/>
      <c r="E62" s="692" t="s">
        <v>1547</v>
      </c>
      <c r="F62" s="667">
        <f>SUBTOTAL(9,F59:F61)</f>
        <v>422793</v>
      </c>
      <c r="G62" s="667">
        <f>SUBTOTAL(9,G59:G61)</f>
        <v>57000</v>
      </c>
    </row>
    <row r="63" spans="2:7" hidden="1" outlineLevel="2" x14ac:dyDescent="0.25">
      <c r="B63" s="664">
        <v>6</v>
      </c>
      <c r="C63" s="664">
        <v>202</v>
      </c>
      <c r="D63" s="664" t="s">
        <v>1371</v>
      </c>
      <c r="E63" s="664" t="s">
        <v>921</v>
      </c>
      <c r="F63" s="667">
        <v>95552</v>
      </c>
      <c r="G63" s="667">
        <v>8000</v>
      </c>
    </row>
    <row r="64" spans="2:7" hidden="1" outlineLevel="2" x14ac:dyDescent="0.25">
      <c r="B64" s="664">
        <v>6</v>
      </c>
      <c r="C64" s="664">
        <v>202</v>
      </c>
      <c r="D64" s="664" t="s">
        <v>1371</v>
      </c>
      <c r="E64" s="664" t="s">
        <v>921</v>
      </c>
      <c r="F64" s="667">
        <v>95552</v>
      </c>
      <c r="G64" s="667">
        <v>8000</v>
      </c>
    </row>
    <row r="65" spans="2:7" hidden="1" outlineLevel="2" x14ac:dyDescent="0.25">
      <c r="B65" s="664">
        <v>6</v>
      </c>
      <c r="C65" s="664">
        <v>202</v>
      </c>
      <c r="D65" s="664" t="s">
        <v>1371</v>
      </c>
      <c r="E65" s="664" t="s">
        <v>921</v>
      </c>
      <c r="F65" s="667">
        <v>95552</v>
      </c>
      <c r="G65" s="667">
        <v>8000</v>
      </c>
    </row>
    <row r="66" spans="2:7" hidden="1" outlineLevel="1" collapsed="1" x14ac:dyDescent="0.25">
      <c r="B66" s="664"/>
      <c r="C66" s="664"/>
      <c r="D66" s="664"/>
      <c r="E66" s="692" t="s">
        <v>1548</v>
      </c>
      <c r="F66" s="667">
        <f>SUBTOTAL(9,F63:F65)</f>
        <v>286656</v>
      </c>
      <c r="G66" s="667">
        <f>SUBTOTAL(9,G63:G65)</f>
        <v>24000</v>
      </c>
    </row>
    <row r="67" spans="2:7" hidden="1" outlineLevel="2" x14ac:dyDescent="0.25">
      <c r="B67" s="664">
        <v>2</v>
      </c>
      <c r="C67" s="664">
        <v>14</v>
      </c>
      <c r="D67" s="664" t="s">
        <v>1414</v>
      </c>
      <c r="E67" s="664" t="s">
        <v>36</v>
      </c>
      <c r="F67" s="667">
        <v>92932</v>
      </c>
      <c r="G67" s="667">
        <v>7000</v>
      </c>
    </row>
    <row r="68" spans="2:7" hidden="1" outlineLevel="2" x14ac:dyDescent="0.25">
      <c r="B68" s="664">
        <v>2</v>
      </c>
      <c r="C68" s="664">
        <v>14</v>
      </c>
      <c r="D68" s="664" t="s">
        <v>1414</v>
      </c>
      <c r="E68" s="664" t="s">
        <v>36</v>
      </c>
      <c r="F68" s="667">
        <v>92932</v>
      </c>
      <c r="G68" s="667">
        <v>7000</v>
      </c>
    </row>
    <row r="69" spans="2:7" hidden="1" outlineLevel="2" x14ac:dyDescent="0.25">
      <c r="B69" s="664">
        <v>2</v>
      </c>
      <c r="C69" s="664">
        <v>14</v>
      </c>
      <c r="D69" s="664" t="s">
        <v>1414</v>
      </c>
      <c r="E69" s="664" t="s">
        <v>36</v>
      </c>
      <c r="F69" s="667">
        <v>92932</v>
      </c>
      <c r="G69" s="667">
        <v>7000</v>
      </c>
    </row>
    <row r="70" spans="2:7" hidden="1" outlineLevel="1" collapsed="1" x14ac:dyDescent="0.25">
      <c r="B70" s="664"/>
      <c r="C70" s="664"/>
      <c r="D70" s="664"/>
      <c r="E70" s="692" t="s">
        <v>1549</v>
      </c>
      <c r="F70" s="667">
        <f>SUBTOTAL(9,F67:F69)</f>
        <v>278796</v>
      </c>
      <c r="G70" s="667">
        <f>SUBTOTAL(9,G67:G69)</f>
        <v>21000</v>
      </c>
    </row>
    <row r="71" spans="2:7" ht="30" hidden="1" outlineLevel="2" x14ac:dyDescent="0.25">
      <c r="B71" s="664">
        <v>2</v>
      </c>
      <c r="C71" s="664">
        <v>121</v>
      </c>
      <c r="D71" s="664" t="s">
        <v>1412</v>
      </c>
      <c r="E71" s="664" t="s">
        <v>599</v>
      </c>
      <c r="F71" s="667">
        <v>63326</v>
      </c>
      <c r="G71" s="667">
        <v>1000</v>
      </c>
    </row>
    <row r="72" spans="2:7" ht="30" hidden="1" outlineLevel="2" x14ac:dyDescent="0.25">
      <c r="B72" s="664">
        <v>2</v>
      </c>
      <c r="C72" s="664">
        <v>121</v>
      </c>
      <c r="D72" s="664" t="s">
        <v>1412</v>
      </c>
      <c r="E72" s="664" t="s">
        <v>599</v>
      </c>
      <c r="F72" s="667">
        <v>63326</v>
      </c>
      <c r="G72" s="667">
        <v>1000</v>
      </c>
    </row>
    <row r="73" spans="2:7" ht="30" hidden="1" outlineLevel="2" x14ac:dyDescent="0.25">
      <c r="B73" s="664">
        <v>2</v>
      </c>
      <c r="C73" s="664">
        <v>121</v>
      </c>
      <c r="D73" s="664" t="s">
        <v>1412</v>
      </c>
      <c r="E73" s="664" t="s">
        <v>599</v>
      </c>
      <c r="F73" s="667">
        <v>63326</v>
      </c>
      <c r="G73" s="667">
        <v>1000</v>
      </c>
    </row>
    <row r="74" spans="2:7" hidden="1" outlineLevel="1" collapsed="1" x14ac:dyDescent="0.25">
      <c r="B74" s="664"/>
      <c r="C74" s="664"/>
      <c r="D74" s="664"/>
      <c r="E74" s="692" t="s">
        <v>1550</v>
      </c>
      <c r="F74" s="667">
        <f>SUBTOTAL(9,F71:F73)</f>
        <v>189978</v>
      </c>
      <c r="G74" s="667">
        <f>SUBTOTAL(9,G71:G73)</f>
        <v>3000</v>
      </c>
    </row>
    <row r="75" spans="2:7" hidden="1" outlineLevel="2" x14ac:dyDescent="0.25">
      <c r="B75" s="664">
        <v>1</v>
      </c>
      <c r="C75" s="664">
        <v>119</v>
      </c>
      <c r="D75" s="664" t="s">
        <v>1411</v>
      </c>
      <c r="E75" s="664" t="s">
        <v>608</v>
      </c>
      <c r="F75" s="667">
        <v>61623</v>
      </c>
      <c r="G75" s="667">
        <v>1000</v>
      </c>
    </row>
    <row r="76" spans="2:7" hidden="1" outlineLevel="2" x14ac:dyDescent="0.25">
      <c r="B76" s="664">
        <v>1</v>
      </c>
      <c r="C76" s="664">
        <v>119</v>
      </c>
      <c r="D76" s="664" t="s">
        <v>1411</v>
      </c>
      <c r="E76" s="664" t="s">
        <v>608</v>
      </c>
      <c r="F76" s="667">
        <v>61623</v>
      </c>
      <c r="G76" s="667">
        <v>1000</v>
      </c>
    </row>
    <row r="77" spans="2:7" hidden="1" outlineLevel="2" x14ac:dyDescent="0.25">
      <c r="B77" s="664">
        <v>1</v>
      </c>
      <c r="C77" s="664">
        <v>119</v>
      </c>
      <c r="D77" s="664" t="s">
        <v>1411</v>
      </c>
      <c r="E77" s="664" t="s">
        <v>608</v>
      </c>
      <c r="F77" s="667">
        <v>61623</v>
      </c>
      <c r="G77" s="667">
        <v>1000</v>
      </c>
    </row>
    <row r="78" spans="2:7" hidden="1" outlineLevel="1" collapsed="1" x14ac:dyDescent="0.25">
      <c r="B78" s="664"/>
      <c r="C78" s="664"/>
      <c r="D78" s="664"/>
      <c r="E78" s="692" t="s">
        <v>1551</v>
      </c>
      <c r="F78" s="667">
        <f>SUBTOTAL(9,F75:F77)</f>
        <v>184869</v>
      </c>
      <c r="G78" s="667">
        <f>SUBTOTAL(9,G75:G77)</f>
        <v>3000</v>
      </c>
    </row>
    <row r="79" spans="2:7" hidden="1" outlineLevel="2" x14ac:dyDescent="0.25">
      <c r="B79" s="664">
        <v>5</v>
      </c>
      <c r="C79" s="664">
        <v>44</v>
      </c>
      <c r="D79" s="664" t="s">
        <v>1441</v>
      </c>
      <c r="E79" s="664" t="s">
        <v>764</v>
      </c>
      <c r="F79" s="667">
        <v>59920</v>
      </c>
      <c r="G79" s="667">
        <v>1500</v>
      </c>
    </row>
    <row r="80" spans="2:7" hidden="1" outlineLevel="2" x14ac:dyDescent="0.25">
      <c r="B80" s="664">
        <v>4</v>
      </c>
      <c r="C80" s="664">
        <v>44</v>
      </c>
      <c r="D80" s="664" t="s">
        <v>1441</v>
      </c>
      <c r="E80" s="664" t="s">
        <v>764</v>
      </c>
      <c r="F80" s="667">
        <v>59920</v>
      </c>
      <c r="G80" s="667">
        <v>1500</v>
      </c>
    </row>
    <row r="81" spans="2:7" hidden="1" outlineLevel="2" x14ac:dyDescent="0.25">
      <c r="B81" s="664">
        <v>4</v>
      </c>
      <c r="C81" s="664">
        <v>44</v>
      </c>
      <c r="D81" s="664" t="s">
        <v>1441</v>
      </c>
      <c r="E81" s="664" t="s">
        <v>764</v>
      </c>
      <c r="F81" s="667">
        <v>59920</v>
      </c>
      <c r="G81" s="667">
        <v>1500</v>
      </c>
    </row>
    <row r="82" spans="2:7" hidden="1" outlineLevel="1" collapsed="1" x14ac:dyDescent="0.25">
      <c r="B82" s="664"/>
      <c r="C82" s="664"/>
      <c r="D82" s="664"/>
      <c r="E82" s="692" t="s">
        <v>1552</v>
      </c>
      <c r="F82" s="667">
        <f>SUBTOTAL(9,F79:F81)</f>
        <v>179760</v>
      </c>
      <c r="G82" s="667">
        <f>SUBTOTAL(9,G79:G81)</f>
        <v>4500</v>
      </c>
    </row>
    <row r="83" spans="2:7" hidden="1" outlineLevel="2" x14ac:dyDescent="0.25">
      <c r="B83" s="664">
        <v>4</v>
      </c>
      <c r="C83" s="664">
        <v>199</v>
      </c>
      <c r="D83" s="664" t="s">
        <v>1369</v>
      </c>
      <c r="E83" s="664" t="s">
        <v>935</v>
      </c>
      <c r="F83" s="667">
        <v>122591</v>
      </c>
      <c r="G83" s="667">
        <v>9000</v>
      </c>
    </row>
    <row r="84" spans="2:7" hidden="1" outlineLevel="2" x14ac:dyDescent="0.25">
      <c r="B84" s="664">
        <v>4</v>
      </c>
      <c r="C84" s="664">
        <v>199</v>
      </c>
      <c r="D84" s="664" t="s">
        <v>1369</v>
      </c>
      <c r="E84" s="664" t="s">
        <v>935</v>
      </c>
      <c r="F84" s="667">
        <v>122591</v>
      </c>
      <c r="G84" s="667">
        <v>13000</v>
      </c>
    </row>
    <row r="85" spans="2:7" hidden="1" outlineLevel="2" x14ac:dyDescent="0.25">
      <c r="B85" s="664">
        <v>4</v>
      </c>
      <c r="C85" s="664">
        <v>199</v>
      </c>
      <c r="D85" s="664" t="s">
        <v>1369</v>
      </c>
      <c r="E85" s="664" t="s">
        <v>935</v>
      </c>
      <c r="F85" s="667">
        <v>122591</v>
      </c>
      <c r="G85" s="667">
        <v>13000</v>
      </c>
    </row>
    <row r="86" spans="2:7" hidden="1" outlineLevel="1" collapsed="1" x14ac:dyDescent="0.25">
      <c r="B86" s="664"/>
      <c r="C86" s="664"/>
      <c r="D86" s="664"/>
      <c r="E86" s="692" t="s">
        <v>1553</v>
      </c>
      <c r="F86" s="667">
        <f>SUBTOTAL(9,F83:F85)</f>
        <v>367773</v>
      </c>
      <c r="G86" s="667">
        <f>SUBTOTAL(9,G83:G85)</f>
        <v>35000</v>
      </c>
    </row>
    <row r="87" spans="2:7" hidden="1" outlineLevel="2" x14ac:dyDescent="0.25">
      <c r="B87" s="664">
        <v>13</v>
      </c>
      <c r="C87" s="664">
        <v>267</v>
      </c>
      <c r="D87" s="664" t="s">
        <v>1378</v>
      </c>
      <c r="E87" s="664" t="s">
        <v>1346</v>
      </c>
      <c r="F87" s="667">
        <v>116523</v>
      </c>
      <c r="G87" s="667">
        <v>18000</v>
      </c>
    </row>
    <row r="88" spans="2:7" hidden="1" outlineLevel="2" x14ac:dyDescent="0.25">
      <c r="B88" s="664">
        <v>13</v>
      </c>
      <c r="C88" s="664">
        <v>267</v>
      </c>
      <c r="D88" s="664" t="s">
        <v>1378</v>
      </c>
      <c r="E88" s="664" t="s">
        <v>1346</v>
      </c>
      <c r="F88" s="667">
        <v>116523</v>
      </c>
      <c r="G88" s="667">
        <v>18000</v>
      </c>
    </row>
    <row r="89" spans="2:7" hidden="1" outlineLevel="2" x14ac:dyDescent="0.25">
      <c r="B89" s="664">
        <v>13</v>
      </c>
      <c r="C89" s="664">
        <v>267</v>
      </c>
      <c r="D89" s="664" t="s">
        <v>1378</v>
      </c>
      <c r="E89" s="664" t="s">
        <v>1346</v>
      </c>
      <c r="F89" s="667">
        <v>116523</v>
      </c>
      <c r="G89" s="667">
        <v>18000</v>
      </c>
    </row>
    <row r="90" spans="2:7" hidden="1" outlineLevel="1" collapsed="1" x14ac:dyDescent="0.25">
      <c r="B90" s="664"/>
      <c r="C90" s="664"/>
      <c r="D90" s="664"/>
      <c r="E90" s="692" t="s">
        <v>1554</v>
      </c>
      <c r="F90" s="667">
        <f>SUBTOTAL(9,F87:F89)</f>
        <v>349569</v>
      </c>
      <c r="G90" s="667">
        <f>SUBTOTAL(9,G87:G89)</f>
        <v>54000</v>
      </c>
    </row>
    <row r="91" spans="2:7" hidden="1" outlineLevel="2" x14ac:dyDescent="0.25">
      <c r="B91" s="664">
        <v>1</v>
      </c>
      <c r="C91" s="664">
        <v>269</v>
      </c>
      <c r="D91" s="664" t="s">
        <v>1445</v>
      </c>
      <c r="E91" s="664" t="s">
        <v>744</v>
      </c>
      <c r="F91" s="667">
        <v>121247</v>
      </c>
      <c r="G91" s="667">
        <v>12000</v>
      </c>
    </row>
    <row r="92" spans="2:7" hidden="1" outlineLevel="2" x14ac:dyDescent="0.25">
      <c r="B92" s="664">
        <v>1</v>
      </c>
      <c r="C92" s="664">
        <v>269</v>
      </c>
      <c r="D92" s="664" t="s">
        <v>1445</v>
      </c>
      <c r="E92" s="664" t="s">
        <v>744</v>
      </c>
      <c r="F92" s="667">
        <v>122198</v>
      </c>
      <c r="G92" s="667">
        <v>12000</v>
      </c>
    </row>
    <row r="93" spans="2:7" hidden="1" outlineLevel="2" x14ac:dyDescent="0.25">
      <c r="B93" s="664">
        <v>1</v>
      </c>
      <c r="C93" s="664">
        <v>269</v>
      </c>
      <c r="D93" s="664" t="s">
        <v>1445</v>
      </c>
      <c r="E93" s="664" t="s">
        <v>744</v>
      </c>
      <c r="F93" s="667">
        <v>122198</v>
      </c>
      <c r="G93" s="667">
        <v>12000</v>
      </c>
    </row>
    <row r="94" spans="2:7" hidden="1" outlineLevel="1" collapsed="1" x14ac:dyDescent="0.25">
      <c r="B94" s="664"/>
      <c r="C94" s="664"/>
      <c r="D94" s="664"/>
      <c r="E94" s="692" t="s">
        <v>1555</v>
      </c>
      <c r="F94" s="667">
        <f>SUBTOTAL(9,F91:F93)</f>
        <v>365643</v>
      </c>
      <c r="G94" s="667">
        <f>SUBTOTAL(9,G91:G93)</f>
        <v>36000</v>
      </c>
    </row>
    <row r="95" spans="2:7" hidden="1" outlineLevel="2" x14ac:dyDescent="0.25">
      <c r="B95" s="664">
        <v>19</v>
      </c>
      <c r="C95" s="664">
        <v>9</v>
      </c>
      <c r="D95" s="664" t="s">
        <v>1384</v>
      </c>
      <c r="E95" s="664" t="s">
        <v>34</v>
      </c>
      <c r="F95" s="667">
        <v>101185</v>
      </c>
      <c r="G95" s="667">
        <v>9000</v>
      </c>
    </row>
    <row r="96" spans="2:7" hidden="1" outlineLevel="2" x14ac:dyDescent="0.25">
      <c r="B96" s="664">
        <v>18</v>
      </c>
      <c r="C96" s="664">
        <v>9</v>
      </c>
      <c r="D96" s="664" t="s">
        <v>1384</v>
      </c>
      <c r="E96" s="664" t="s">
        <v>34</v>
      </c>
      <c r="F96" s="667">
        <v>101185</v>
      </c>
      <c r="G96" s="667">
        <v>9000</v>
      </c>
    </row>
    <row r="97" spans="2:7" hidden="1" outlineLevel="2" x14ac:dyDescent="0.25">
      <c r="B97" s="664">
        <v>18</v>
      </c>
      <c r="C97" s="664">
        <v>9</v>
      </c>
      <c r="D97" s="664" t="s">
        <v>1384</v>
      </c>
      <c r="E97" s="664" t="s">
        <v>34</v>
      </c>
      <c r="F97" s="667">
        <v>101185</v>
      </c>
      <c r="G97" s="667">
        <v>9000</v>
      </c>
    </row>
    <row r="98" spans="2:7" hidden="1" outlineLevel="1" collapsed="1" x14ac:dyDescent="0.25">
      <c r="B98" s="664"/>
      <c r="C98" s="664"/>
      <c r="D98" s="664"/>
      <c r="E98" s="692" t="s">
        <v>1556</v>
      </c>
      <c r="F98" s="667">
        <f>SUBTOTAL(9,F95:F97)</f>
        <v>303555</v>
      </c>
      <c r="G98" s="667">
        <f>SUBTOTAL(9,G95:G97)</f>
        <v>27000</v>
      </c>
    </row>
    <row r="99" spans="2:7" hidden="1" outlineLevel="2" x14ac:dyDescent="0.25">
      <c r="B99" s="664">
        <v>4</v>
      </c>
      <c r="C99" s="664">
        <v>2</v>
      </c>
      <c r="D99" s="664" t="s">
        <v>1416</v>
      </c>
      <c r="E99" s="664" t="s">
        <v>8</v>
      </c>
      <c r="F99" s="667">
        <v>122729</v>
      </c>
      <c r="G99" s="667">
        <v>12000</v>
      </c>
    </row>
    <row r="100" spans="2:7" hidden="1" outlineLevel="2" x14ac:dyDescent="0.25">
      <c r="B100" s="664">
        <v>5</v>
      </c>
      <c r="C100" s="664">
        <v>2</v>
      </c>
      <c r="D100" s="664" t="s">
        <v>1416</v>
      </c>
      <c r="E100" s="664" t="s">
        <v>8</v>
      </c>
      <c r="F100" s="667">
        <v>122729</v>
      </c>
      <c r="G100" s="667">
        <v>12000</v>
      </c>
    </row>
    <row r="101" spans="2:7" hidden="1" outlineLevel="2" x14ac:dyDescent="0.25">
      <c r="B101" s="664">
        <v>5</v>
      </c>
      <c r="C101" s="664">
        <v>2</v>
      </c>
      <c r="D101" s="664" t="s">
        <v>1416</v>
      </c>
      <c r="E101" s="664" t="s">
        <v>8</v>
      </c>
      <c r="F101" s="667">
        <v>122729</v>
      </c>
      <c r="G101" s="667">
        <v>12000</v>
      </c>
    </row>
    <row r="102" spans="2:7" hidden="1" outlineLevel="1" collapsed="1" x14ac:dyDescent="0.25">
      <c r="B102" s="664"/>
      <c r="C102" s="664"/>
      <c r="D102" s="664"/>
      <c r="E102" s="692" t="s">
        <v>1557</v>
      </c>
      <c r="F102" s="667">
        <f>SUBTOTAL(9,F99:F101)</f>
        <v>368187</v>
      </c>
      <c r="G102" s="667">
        <f>SUBTOTAL(9,G99:G101)</f>
        <v>36000</v>
      </c>
    </row>
    <row r="103" spans="2:7" hidden="1" outlineLevel="2" x14ac:dyDescent="0.25">
      <c r="B103" s="664">
        <v>4</v>
      </c>
      <c r="C103" s="664">
        <v>275</v>
      </c>
      <c r="D103" s="664" t="s">
        <v>1455</v>
      </c>
      <c r="E103" s="664" t="s">
        <v>731</v>
      </c>
      <c r="F103" s="667">
        <v>140931</v>
      </c>
      <c r="G103" s="667">
        <v>15000</v>
      </c>
    </row>
    <row r="104" spans="2:7" hidden="1" outlineLevel="2" x14ac:dyDescent="0.25">
      <c r="B104" s="664">
        <v>4</v>
      </c>
      <c r="C104" s="664">
        <v>275</v>
      </c>
      <c r="D104" s="664" t="s">
        <v>1455</v>
      </c>
      <c r="E104" s="664" t="s">
        <v>731</v>
      </c>
      <c r="F104" s="667">
        <v>116523</v>
      </c>
      <c r="G104" s="667">
        <v>15000</v>
      </c>
    </row>
    <row r="105" spans="2:7" hidden="1" outlineLevel="1" collapsed="1" x14ac:dyDescent="0.25">
      <c r="B105" s="664"/>
      <c r="C105" s="664"/>
      <c r="D105" s="664"/>
      <c r="E105" s="692" t="s">
        <v>1635</v>
      </c>
      <c r="F105" s="667">
        <f>SUBTOTAL(9,F103:F104)</f>
        <v>257454</v>
      </c>
      <c r="G105" s="667">
        <f>SUBTOTAL(9,G103:G104)</f>
        <v>30000</v>
      </c>
    </row>
    <row r="106" spans="2:7" hidden="1" outlineLevel="2" x14ac:dyDescent="0.25">
      <c r="B106" s="664">
        <v>9</v>
      </c>
      <c r="C106" s="664">
        <v>29</v>
      </c>
      <c r="D106" s="664" t="s">
        <v>1421</v>
      </c>
      <c r="E106" s="664" t="s">
        <v>46</v>
      </c>
      <c r="F106" s="667">
        <v>92932</v>
      </c>
      <c r="G106" s="667">
        <v>8000</v>
      </c>
    </row>
    <row r="107" spans="2:7" hidden="1" outlineLevel="2" x14ac:dyDescent="0.25">
      <c r="B107" s="664">
        <v>10</v>
      </c>
      <c r="C107" s="664">
        <v>29</v>
      </c>
      <c r="D107" s="664" t="s">
        <v>1421</v>
      </c>
      <c r="E107" s="664" t="s">
        <v>46</v>
      </c>
      <c r="F107" s="667">
        <v>92932</v>
      </c>
      <c r="G107" s="667">
        <v>8000</v>
      </c>
    </row>
    <row r="108" spans="2:7" hidden="1" outlineLevel="2" x14ac:dyDescent="0.25">
      <c r="B108" s="664">
        <v>10</v>
      </c>
      <c r="C108" s="664">
        <v>29</v>
      </c>
      <c r="D108" s="664" t="s">
        <v>1421</v>
      </c>
      <c r="E108" s="664" t="s">
        <v>46</v>
      </c>
      <c r="F108" s="667">
        <v>92932</v>
      </c>
      <c r="G108" s="667">
        <v>8000</v>
      </c>
    </row>
    <row r="109" spans="2:7" hidden="1" outlineLevel="1" collapsed="1" x14ac:dyDescent="0.25">
      <c r="B109" s="664"/>
      <c r="C109" s="664"/>
      <c r="D109" s="664"/>
      <c r="E109" s="692" t="s">
        <v>1558</v>
      </c>
      <c r="F109" s="667">
        <f>SUBTOTAL(9,F106:F108)</f>
        <v>278796</v>
      </c>
      <c r="G109" s="667">
        <f>SUBTOTAL(9,G106:G108)</f>
        <v>24000</v>
      </c>
    </row>
    <row r="110" spans="2:7" hidden="1" outlineLevel="2" x14ac:dyDescent="0.25">
      <c r="B110" s="664">
        <v>15</v>
      </c>
      <c r="C110" s="664">
        <v>270</v>
      </c>
      <c r="D110" s="664" t="s">
        <v>1380</v>
      </c>
      <c r="E110" s="664" t="s">
        <v>1163</v>
      </c>
      <c r="F110" s="667">
        <v>144992</v>
      </c>
      <c r="G110" s="667">
        <v>15000</v>
      </c>
    </row>
    <row r="111" spans="2:7" hidden="1" outlineLevel="2" x14ac:dyDescent="0.25">
      <c r="B111" s="664">
        <v>14</v>
      </c>
      <c r="C111" s="664">
        <v>270</v>
      </c>
      <c r="D111" s="664" t="s">
        <v>1380</v>
      </c>
      <c r="E111" s="664" t="s">
        <v>1163</v>
      </c>
      <c r="F111" s="667">
        <v>144992</v>
      </c>
      <c r="G111" s="667">
        <v>15000</v>
      </c>
    </row>
    <row r="112" spans="2:7" hidden="1" outlineLevel="2" x14ac:dyDescent="0.25">
      <c r="B112" s="664">
        <v>14</v>
      </c>
      <c r="C112" s="664">
        <v>270</v>
      </c>
      <c r="D112" s="664" t="s">
        <v>1380</v>
      </c>
      <c r="E112" s="664" t="s">
        <v>1163</v>
      </c>
      <c r="F112" s="667">
        <v>144992</v>
      </c>
      <c r="G112" s="667">
        <v>15000</v>
      </c>
    </row>
    <row r="113" spans="2:7" hidden="1" outlineLevel="1" collapsed="1" x14ac:dyDescent="0.25">
      <c r="B113" s="664"/>
      <c r="C113" s="664"/>
      <c r="D113" s="664"/>
      <c r="E113" s="692" t="s">
        <v>1559</v>
      </c>
      <c r="F113" s="667">
        <f>SUBTOTAL(9,F110:F112)</f>
        <v>434976</v>
      </c>
      <c r="G113" s="667">
        <f>SUBTOTAL(9,G110:G112)</f>
        <v>45000</v>
      </c>
    </row>
    <row r="114" spans="2:7" hidden="1" outlineLevel="2" x14ac:dyDescent="0.25">
      <c r="B114" s="664">
        <v>4</v>
      </c>
      <c r="C114" s="664">
        <v>120</v>
      </c>
      <c r="D114" s="664" t="s">
        <v>1399</v>
      </c>
      <c r="E114" s="664" t="s">
        <v>573</v>
      </c>
      <c r="F114" s="667">
        <v>125997</v>
      </c>
      <c r="G114" s="667">
        <v>15000</v>
      </c>
    </row>
    <row r="115" spans="2:7" hidden="1" outlineLevel="1" collapsed="1" x14ac:dyDescent="0.25">
      <c r="B115" s="664"/>
      <c r="C115" s="664"/>
      <c r="D115" s="664"/>
      <c r="E115" s="692" t="s">
        <v>1560</v>
      </c>
      <c r="F115" s="667">
        <f>SUBTOTAL(9,F114:F114)</f>
        <v>125997</v>
      </c>
      <c r="G115" s="667">
        <f>SUBTOTAL(9,G114:G114)</f>
        <v>15000</v>
      </c>
    </row>
    <row r="116" spans="2:7" hidden="1" outlineLevel="2" x14ac:dyDescent="0.25">
      <c r="B116" s="664">
        <v>2</v>
      </c>
      <c r="C116" s="664">
        <v>30</v>
      </c>
      <c r="D116" s="664" t="s">
        <v>1436</v>
      </c>
      <c r="E116" s="664" t="s">
        <v>767</v>
      </c>
      <c r="F116" s="667">
        <v>68480</v>
      </c>
      <c r="G116" s="667">
        <v>3000</v>
      </c>
    </row>
    <row r="117" spans="2:7" hidden="1" outlineLevel="2" x14ac:dyDescent="0.25">
      <c r="B117" s="664">
        <v>2</v>
      </c>
      <c r="C117" s="664">
        <v>30</v>
      </c>
      <c r="D117" s="664" t="s">
        <v>1436</v>
      </c>
      <c r="E117" s="664" t="s">
        <v>767</v>
      </c>
      <c r="F117" s="667">
        <v>68480</v>
      </c>
      <c r="G117" s="667">
        <v>3000</v>
      </c>
    </row>
    <row r="118" spans="2:7" hidden="1" outlineLevel="2" x14ac:dyDescent="0.25">
      <c r="B118" s="664">
        <v>2</v>
      </c>
      <c r="C118" s="664">
        <v>30</v>
      </c>
      <c r="D118" s="664" t="s">
        <v>1436</v>
      </c>
      <c r="E118" s="664" t="s">
        <v>767</v>
      </c>
      <c r="F118" s="667">
        <v>68480</v>
      </c>
      <c r="G118" s="667">
        <v>3000</v>
      </c>
    </row>
    <row r="119" spans="2:7" hidden="1" outlineLevel="1" collapsed="1" x14ac:dyDescent="0.25">
      <c r="B119" s="664"/>
      <c r="C119" s="664"/>
      <c r="D119" s="664"/>
      <c r="E119" s="692" t="s">
        <v>1561</v>
      </c>
      <c r="F119" s="667">
        <f>SUBTOTAL(9,F116:F118)</f>
        <v>205440</v>
      </c>
      <c r="G119" s="667">
        <f>SUBTOTAL(9,G116:G118)</f>
        <v>9000</v>
      </c>
    </row>
    <row r="120" spans="2:7" hidden="1" outlineLevel="2" x14ac:dyDescent="0.25">
      <c r="B120" s="664">
        <v>12</v>
      </c>
      <c r="C120" s="664">
        <v>264</v>
      </c>
      <c r="D120" s="664" t="s">
        <v>1377</v>
      </c>
      <c r="E120" s="664" t="s">
        <v>924</v>
      </c>
      <c r="F120" s="667">
        <v>137001</v>
      </c>
      <c r="G120" s="667">
        <v>19000</v>
      </c>
    </row>
    <row r="121" spans="2:7" hidden="1" outlineLevel="2" x14ac:dyDescent="0.25">
      <c r="B121" s="664">
        <v>12</v>
      </c>
      <c r="C121" s="664">
        <v>264</v>
      </c>
      <c r="D121" s="664" t="s">
        <v>1377</v>
      </c>
      <c r="E121" s="664" t="s">
        <v>924</v>
      </c>
      <c r="F121" s="667">
        <v>137001</v>
      </c>
      <c r="G121" s="667">
        <v>19000</v>
      </c>
    </row>
    <row r="122" spans="2:7" hidden="1" outlineLevel="2" x14ac:dyDescent="0.25">
      <c r="B122" s="664">
        <v>12</v>
      </c>
      <c r="C122" s="664">
        <v>264</v>
      </c>
      <c r="D122" s="664" t="s">
        <v>1377</v>
      </c>
      <c r="E122" s="664" t="s">
        <v>924</v>
      </c>
      <c r="F122" s="667">
        <v>137001</v>
      </c>
      <c r="G122" s="667">
        <v>19000</v>
      </c>
    </row>
    <row r="123" spans="2:7" hidden="1" outlineLevel="1" collapsed="1" x14ac:dyDescent="0.25">
      <c r="B123" s="664"/>
      <c r="C123" s="664"/>
      <c r="D123" s="664"/>
      <c r="E123" s="692" t="s">
        <v>1562</v>
      </c>
      <c r="F123" s="667">
        <f>SUBTOTAL(9,F120:F122)</f>
        <v>411003</v>
      </c>
      <c r="G123" s="667">
        <f>SUBTOTAL(9,G120:G122)</f>
        <v>57000</v>
      </c>
    </row>
    <row r="124" spans="2:7" hidden="1" outlineLevel="2" x14ac:dyDescent="0.25">
      <c r="B124" s="664">
        <v>1</v>
      </c>
      <c r="C124" s="664">
        <v>107</v>
      </c>
      <c r="D124" s="664" t="s">
        <v>1413</v>
      </c>
      <c r="E124" s="664" t="s">
        <v>394</v>
      </c>
      <c r="F124" s="667">
        <v>98303</v>
      </c>
      <c r="G124" s="667">
        <v>7000</v>
      </c>
    </row>
    <row r="125" spans="2:7" hidden="1" outlineLevel="2" x14ac:dyDescent="0.25">
      <c r="B125" s="664">
        <v>1</v>
      </c>
      <c r="C125" s="664">
        <v>107</v>
      </c>
      <c r="D125" s="664" t="s">
        <v>1413</v>
      </c>
      <c r="E125" s="664" t="s">
        <v>394</v>
      </c>
      <c r="F125" s="667">
        <v>98303</v>
      </c>
      <c r="G125" s="667">
        <v>7000</v>
      </c>
    </row>
    <row r="126" spans="2:7" hidden="1" outlineLevel="2" x14ac:dyDescent="0.25">
      <c r="B126" s="664">
        <v>1</v>
      </c>
      <c r="C126" s="664">
        <v>107</v>
      </c>
      <c r="D126" s="664" t="s">
        <v>1413</v>
      </c>
      <c r="E126" s="664" t="s">
        <v>394</v>
      </c>
      <c r="F126" s="667">
        <v>98303</v>
      </c>
      <c r="G126" s="667">
        <v>7000</v>
      </c>
    </row>
    <row r="127" spans="2:7" hidden="1" outlineLevel="1" collapsed="1" x14ac:dyDescent="0.25">
      <c r="B127" s="664"/>
      <c r="C127" s="664"/>
      <c r="D127" s="664"/>
      <c r="E127" s="692" t="s">
        <v>1563</v>
      </c>
      <c r="F127" s="667">
        <f>SUBTOTAL(9,F124:F126)</f>
        <v>294909</v>
      </c>
      <c r="G127" s="667">
        <f>SUBTOTAL(9,G124:G126)</f>
        <v>21000</v>
      </c>
    </row>
    <row r="128" spans="2:7" hidden="1" outlineLevel="2" x14ac:dyDescent="0.25">
      <c r="B128" s="664">
        <v>15</v>
      </c>
      <c r="C128" s="664">
        <v>81</v>
      </c>
      <c r="D128" s="664" t="s">
        <v>1427</v>
      </c>
      <c r="E128" s="664" t="s">
        <v>12</v>
      </c>
      <c r="F128" s="667">
        <v>110210</v>
      </c>
      <c r="G128" s="667">
        <v>10000</v>
      </c>
    </row>
    <row r="129" spans="2:7" hidden="1" outlineLevel="2" x14ac:dyDescent="0.25">
      <c r="B129" s="664">
        <v>15</v>
      </c>
      <c r="C129" s="664">
        <v>81</v>
      </c>
      <c r="D129" s="664" t="s">
        <v>1427</v>
      </c>
      <c r="E129" s="664" t="s">
        <v>12</v>
      </c>
      <c r="F129" s="667">
        <v>110210</v>
      </c>
      <c r="G129" s="667">
        <v>10000</v>
      </c>
    </row>
    <row r="130" spans="2:7" hidden="1" outlineLevel="2" x14ac:dyDescent="0.25">
      <c r="B130" s="664">
        <v>15</v>
      </c>
      <c r="C130" s="664">
        <v>81</v>
      </c>
      <c r="D130" s="664" t="s">
        <v>1427</v>
      </c>
      <c r="E130" s="664" t="s">
        <v>12</v>
      </c>
      <c r="F130" s="667">
        <v>110210</v>
      </c>
      <c r="G130" s="667">
        <v>10000</v>
      </c>
    </row>
    <row r="131" spans="2:7" hidden="1" outlineLevel="1" collapsed="1" x14ac:dyDescent="0.25">
      <c r="B131" s="664"/>
      <c r="C131" s="664"/>
      <c r="D131" s="664"/>
      <c r="E131" s="692" t="s">
        <v>1564</v>
      </c>
      <c r="F131" s="667">
        <f>SUBTOTAL(9,F128:F130)</f>
        <v>330630</v>
      </c>
      <c r="G131" s="667">
        <f>SUBTOTAL(9,G128:G130)</f>
        <v>30000</v>
      </c>
    </row>
    <row r="132" spans="2:7" hidden="1" outlineLevel="2" x14ac:dyDescent="0.25">
      <c r="B132" s="664">
        <v>4</v>
      </c>
      <c r="C132" s="664">
        <v>42</v>
      </c>
      <c r="D132" s="664" t="s">
        <v>1440</v>
      </c>
      <c r="E132" s="664" t="s">
        <v>758</v>
      </c>
      <c r="F132" s="667">
        <v>61623</v>
      </c>
      <c r="G132" s="667">
        <v>1000</v>
      </c>
    </row>
    <row r="133" spans="2:7" hidden="1" outlineLevel="1" collapsed="1" x14ac:dyDescent="0.25">
      <c r="B133" s="664"/>
      <c r="C133" s="664"/>
      <c r="D133" s="664"/>
      <c r="E133" s="692" t="s">
        <v>1565</v>
      </c>
      <c r="F133" s="667">
        <f>SUBTOTAL(9,F132:F132)</f>
        <v>61623</v>
      </c>
      <c r="G133" s="667">
        <f>SUBTOTAL(9,G132:G132)</f>
        <v>1000</v>
      </c>
    </row>
    <row r="134" spans="2:7" hidden="1" outlineLevel="2" x14ac:dyDescent="0.25">
      <c r="B134" s="664">
        <v>11</v>
      </c>
      <c r="C134" s="664">
        <v>6</v>
      </c>
      <c r="D134" s="664" t="s">
        <v>1423</v>
      </c>
      <c r="E134" s="664" t="s">
        <v>44</v>
      </c>
      <c r="F134" s="667">
        <v>125997</v>
      </c>
      <c r="G134" s="667">
        <v>20000</v>
      </c>
    </row>
    <row r="135" spans="2:7" hidden="1" outlineLevel="2" x14ac:dyDescent="0.25">
      <c r="B135" s="664">
        <v>12</v>
      </c>
      <c r="C135" s="664">
        <v>6</v>
      </c>
      <c r="D135" s="664" t="s">
        <v>1423</v>
      </c>
      <c r="E135" s="664" t="s">
        <v>44</v>
      </c>
      <c r="F135" s="667">
        <v>125997</v>
      </c>
      <c r="G135" s="667">
        <v>20000</v>
      </c>
    </row>
    <row r="136" spans="2:7" hidden="1" outlineLevel="2" x14ac:dyDescent="0.25">
      <c r="B136" s="664">
        <v>12</v>
      </c>
      <c r="C136" s="664">
        <v>6</v>
      </c>
      <c r="D136" s="664" t="s">
        <v>1423</v>
      </c>
      <c r="E136" s="664" t="s">
        <v>44</v>
      </c>
      <c r="F136" s="667">
        <v>125997</v>
      </c>
      <c r="G136" s="667">
        <v>20000</v>
      </c>
    </row>
    <row r="137" spans="2:7" hidden="1" outlineLevel="1" collapsed="1" x14ac:dyDescent="0.25">
      <c r="B137" s="664"/>
      <c r="C137" s="664"/>
      <c r="D137" s="664"/>
      <c r="E137" s="692" t="s">
        <v>1566</v>
      </c>
      <c r="F137" s="667">
        <f>SUBTOTAL(9,F134:F136)</f>
        <v>377991</v>
      </c>
      <c r="G137" s="667">
        <f>SUBTOTAL(9,G134:G136)</f>
        <v>60000</v>
      </c>
    </row>
    <row r="138" spans="2:7" hidden="1" outlineLevel="2" x14ac:dyDescent="0.25">
      <c r="B138" s="664">
        <v>1</v>
      </c>
      <c r="C138" s="664">
        <v>11</v>
      </c>
      <c r="D138" s="664" t="s">
        <v>1366</v>
      </c>
      <c r="E138" s="664" t="s">
        <v>38</v>
      </c>
      <c r="F138" s="667">
        <v>101185</v>
      </c>
      <c r="G138" s="667">
        <v>10000</v>
      </c>
    </row>
    <row r="139" spans="2:7" hidden="1" outlineLevel="2" x14ac:dyDescent="0.25">
      <c r="B139" s="664">
        <v>1</v>
      </c>
      <c r="C139" s="664">
        <v>11</v>
      </c>
      <c r="D139" s="664" t="s">
        <v>1366</v>
      </c>
      <c r="E139" s="664" t="s">
        <v>38</v>
      </c>
      <c r="F139" s="667">
        <v>101185</v>
      </c>
      <c r="G139" s="667">
        <v>10000</v>
      </c>
    </row>
    <row r="140" spans="2:7" hidden="1" outlineLevel="2" x14ac:dyDescent="0.25">
      <c r="B140" s="664">
        <v>1</v>
      </c>
      <c r="C140" s="664">
        <v>11</v>
      </c>
      <c r="D140" s="664" t="s">
        <v>1366</v>
      </c>
      <c r="E140" s="664" t="s">
        <v>38</v>
      </c>
      <c r="F140" s="667">
        <v>101185</v>
      </c>
      <c r="G140" s="667">
        <v>10000</v>
      </c>
    </row>
    <row r="141" spans="2:7" hidden="1" outlineLevel="1" collapsed="1" x14ac:dyDescent="0.25">
      <c r="B141" s="664"/>
      <c r="C141" s="664"/>
      <c r="D141" s="664"/>
      <c r="E141" s="692" t="s">
        <v>1567</v>
      </c>
      <c r="F141" s="667">
        <f>SUBTOTAL(9,F138:F140)</f>
        <v>303555</v>
      </c>
      <c r="G141" s="667">
        <f>SUBTOTAL(9,G138:G140)</f>
        <v>30000</v>
      </c>
    </row>
    <row r="142" spans="2:7" hidden="1" outlineLevel="2" x14ac:dyDescent="0.25">
      <c r="B142" s="664">
        <v>3</v>
      </c>
      <c r="C142" s="664">
        <v>198</v>
      </c>
      <c r="D142" s="664" t="s">
        <v>1368</v>
      </c>
      <c r="E142" s="664" t="s">
        <v>945</v>
      </c>
      <c r="F142" s="667">
        <v>137001</v>
      </c>
      <c r="G142" s="667">
        <v>17500</v>
      </c>
    </row>
    <row r="143" spans="2:7" hidden="1" outlineLevel="2" x14ac:dyDescent="0.25">
      <c r="B143" s="664">
        <v>3</v>
      </c>
      <c r="C143" s="664">
        <v>198</v>
      </c>
      <c r="D143" s="664" t="s">
        <v>1368</v>
      </c>
      <c r="E143" s="664" t="s">
        <v>945</v>
      </c>
      <c r="F143" s="667">
        <v>137001</v>
      </c>
      <c r="G143" s="667">
        <v>17500</v>
      </c>
    </row>
    <row r="144" spans="2:7" hidden="1" outlineLevel="2" x14ac:dyDescent="0.25">
      <c r="B144" s="664">
        <v>3</v>
      </c>
      <c r="C144" s="664">
        <v>198</v>
      </c>
      <c r="D144" s="664" t="s">
        <v>1368</v>
      </c>
      <c r="E144" s="664" t="s">
        <v>945</v>
      </c>
      <c r="F144" s="667">
        <v>137001</v>
      </c>
      <c r="G144" s="667">
        <v>17500</v>
      </c>
    </row>
    <row r="145" spans="2:7" hidden="1" outlineLevel="1" collapsed="1" x14ac:dyDescent="0.25">
      <c r="B145" s="664"/>
      <c r="C145" s="664"/>
      <c r="D145" s="664"/>
      <c r="E145" s="692" t="s">
        <v>1568</v>
      </c>
      <c r="F145" s="667">
        <f>SUBTOTAL(9,F142:F144)</f>
        <v>411003</v>
      </c>
      <c r="G145" s="667">
        <f>SUBTOTAL(9,G142:G144)</f>
        <v>52500</v>
      </c>
    </row>
    <row r="146" spans="2:7" hidden="1" outlineLevel="2" x14ac:dyDescent="0.25">
      <c r="B146" s="664">
        <v>3</v>
      </c>
      <c r="C146" s="664">
        <v>118</v>
      </c>
      <c r="D146" s="664" t="s">
        <v>1410</v>
      </c>
      <c r="E146" s="664" t="s">
        <v>603</v>
      </c>
      <c r="F146" s="667">
        <v>68326</v>
      </c>
      <c r="G146" s="667">
        <v>2000</v>
      </c>
    </row>
    <row r="147" spans="2:7" hidden="1" outlineLevel="2" x14ac:dyDescent="0.25">
      <c r="B147" s="664">
        <v>3</v>
      </c>
      <c r="C147" s="664">
        <v>118</v>
      </c>
      <c r="D147" s="664" t="s">
        <v>1410</v>
      </c>
      <c r="E147" s="664" t="s">
        <v>603</v>
      </c>
      <c r="F147" s="667">
        <v>63326</v>
      </c>
      <c r="G147" s="667">
        <v>2000</v>
      </c>
    </row>
    <row r="148" spans="2:7" hidden="1" outlineLevel="2" x14ac:dyDescent="0.25">
      <c r="B148" s="664">
        <v>3</v>
      </c>
      <c r="C148" s="664">
        <v>118</v>
      </c>
      <c r="D148" s="664" t="s">
        <v>1410</v>
      </c>
      <c r="E148" s="664" t="s">
        <v>603</v>
      </c>
      <c r="F148" s="667">
        <v>63326</v>
      </c>
      <c r="G148" s="667">
        <v>2000</v>
      </c>
    </row>
    <row r="149" spans="2:7" hidden="1" outlineLevel="1" collapsed="1" x14ac:dyDescent="0.25">
      <c r="B149" s="664"/>
      <c r="C149" s="664"/>
      <c r="D149" s="664"/>
      <c r="E149" s="692" t="s">
        <v>1570</v>
      </c>
      <c r="F149" s="667">
        <f>SUBTOTAL(9,F146:F148)</f>
        <v>194978</v>
      </c>
      <c r="G149" s="667">
        <f>SUBTOTAL(9,G146:G148)</f>
        <v>6000</v>
      </c>
    </row>
    <row r="150" spans="2:7" hidden="1" outlineLevel="2" x14ac:dyDescent="0.25">
      <c r="B150" s="664">
        <v>2</v>
      </c>
      <c r="C150" s="664">
        <v>36</v>
      </c>
      <c r="D150" s="664" t="s">
        <v>1444</v>
      </c>
      <c r="E150" s="664" t="s">
        <v>772</v>
      </c>
      <c r="F150" s="667">
        <v>74068</v>
      </c>
      <c r="G150" s="667">
        <v>4000</v>
      </c>
    </row>
    <row r="151" spans="2:7" hidden="1" outlineLevel="2" x14ac:dyDescent="0.25">
      <c r="B151" s="664">
        <v>2</v>
      </c>
      <c r="C151" s="664">
        <v>36</v>
      </c>
      <c r="D151" s="664" t="s">
        <v>1444</v>
      </c>
      <c r="E151" s="664" t="s">
        <v>772</v>
      </c>
      <c r="F151" s="667">
        <v>74068</v>
      </c>
      <c r="G151" s="667">
        <v>4000</v>
      </c>
    </row>
    <row r="152" spans="2:7" hidden="1" outlineLevel="2" x14ac:dyDescent="0.25">
      <c r="B152" s="664">
        <v>2</v>
      </c>
      <c r="C152" s="664">
        <v>36</v>
      </c>
      <c r="D152" s="664" t="s">
        <v>1444</v>
      </c>
      <c r="E152" s="664" t="s">
        <v>772</v>
      </c>
      <c r="F152" s="667">
        <v>74068</v>
      </c>
      <c r="G152" s="667">
        <v>4000</v>
      </c>
    </row>
    <row r="153" spans="2:7" hidden="1" outlineLevel="1" collapsed="1" x14ac:dyDescent="0.25">
      <c r="B153" s="664"/>
      <c r="C153" s="664"/>
      <c r="D153" s="664"/>
      <c r="E153" s="692" t="s">
        <v>1571</v>
      </c>
      <c r="F153" s="667">
        <f>SUBTOTAL(9,F150:F152)</f>
        <v>222204</v>
      </c>
      <c r="G153" s="667">
        <f>SUBTOTAL(9,G150:G152)</f>
        <v>12000</v>
      </c>
    </row>
    <row r="154" spans="2:7" hidden="1" outlineLevel="2" x14ac:dyDescent="0.25">
      <c r="B154" s="664">
        <v>4</v>
      </c>
      <c r="C154" s="664">
        <v>262</v>
      </c>
      <c r="D154" s="664" t="s">
        <v>1453</v>
      </c>
      <c r="E154" s="664" t="s">
        <v>1222</v>
      </c>
      <c r="F154" s="667">
        <v>105817</v>
      </c>
      <c r="G154" s="667">
        <v>9000</v>
      </c>
    </row>
    <row r="155" spans="2:7" hidden="1" outlineLevel="2" x14ac:dyDescent="0.25">
      <c r="B155" s="664">
        <v>4</v>
      </c>
      <c r="C155" s="664">
        <v>262</v>
      </c>
      <c r="D155" s="664" t="s">
        <v>1453</v>
      </c>
      <c r="E155" s="664" t="s">
        <v>1222</v>
      </c>
      <c r="F155" s="667">
        <v>107214</v>
      </c>
      <c r="G155" s="667">
        <v>9000</v>
      </c>
    </row>
    <row r="156" spans="2:7" hidden="1" outlineLevel="2" x14ac:dyDescent="0.25">
      <c r="B156" s="664">
        <v>4</v>
      </c>
      <c r="C156" s="664">
        <v>262</v>
      </c>
      <c r="D156" s="664" t="s">
        <v>1453</v>
      </c>
      <c r="E156" s="664" t="s">
        <v>1222</v>
      </c>
      <c r="F156" s="667">
        <v>107214</v>
      </c>
      <c r="G156" s="667">
        <v>9000</v>
      </c>
    </row>
    <row r="157" spans="2:7" hidden="1" outlineLevel="1" collapsed="1" x14ac:dyDescent="0.25">
      <c r="B157" s="664"/>
      <c r="C157" s="664"/>
      <c r="D157" s="664"/>
      <c r="E157" s="692" t="s">
        <v>1572</v>
      </c>
      <c r="F157" s="667">
        <f>SUBTOTAL(9,F154:F156)</f>
        <v>320245</v>
      </c>
      <c r="G157" s="667">
        <f>SUBTOTAL(9,G154:G156)</f>
        <v>27000</v>
      </c>
    </row>
    <row r="158" spans="2:7" hidden="1" outlineLevel="2" x14ac:dyDescent="0.25">
      <c r="B158" s="664">
        <v>9</v>
      </c>
      <c r="C158" s="664">
        <v>205</v>
      </c>
      <c r="D158" s="664" t="s">
        <v>1374</v>
      </c>
      <c r="E158" s="664" t="s">
        <v>949</v>
      </c>
      <c r="F158" s="667">
        <v>140931</v>
      </c>
      <c r="G158" s="667">
        <v>21000</v>
      </c>
    </row>
    <row r="159" spans="2:7" hidden="1" outlineLevel="2" x14ac:dyDescent="0.25">
      <c r="B159" s="664">
        <v>9</v>
      </c>
      <c r="C159" s="664">
        <v>205</v>
      </c>
      <c r="D159" s="664" t="s">
        <v>1374</v>
      </c>
      <c r="E159" s="664" t="s">
        <v>949</v>
      </c>
      <c r="F159" s="667">
        <v>140931</v>
      </c>
      <c r="G159" s="667">
        <v>21000</v>
      </c>
    </row>
    <row r="160" spans="2:7" hidden="1" outlineLevel="2" x14ac:dyDescent="0.25">
      <c r="B160" s="664">
        <v>9</v>
      </c>
      <c r="C160" s="664">
        <v>205</v>
      </c>
      <c r="D160" s="664" t="s">
        <v>1374</v>
      </c>
      <c r="E160" s="664" t="s">
        <v>949</v>
      </c>
      <c r="F160" s="667">
        <v>140931</v>
      </c>
      <c r="G160" s="667">
        <v>21000</v>
      </c>
    </row>
    <row r="161" spans="2:7" hidden="1" outlineLevel="1" collapsed="1" x14ac:dyDescent="0.25">
      <c r="B161" s="664"/>
      <c r="C161" s="664"/>
      <c r="D161" s="664"/>
      <c r="E161" s="692" t="s">
        <v>1573</v>
      </c>
      <c r="F161" s="667">
        <f>SUBTOTAL(9,F158:F160)</f>
        <v>422793</v>
      </c>
      <c r="G161" s="667">
        <f>SUBTOTAL(9,G158:G160)</f>
        <v>63000</v>
      </c>
    </row>
    <row r="162" spans="2:7" hidden="1" outlineLevel="2" x14ac:dyDescent="0.25">
      <c r="B162" s="664">
        <v>2</v>
      </c>
      <c r="C162" s="664">
        <v>39</v>
      </c>
      <c r="D162" s="664" t="s">
        <v>1438</v>
      </c>
      <c r="E162" s="664" t="s">
        <v>752</v>
      </c>
      <c r="F162" s="667">
        <v>61623</v>
      </c>
      <c r="G162" s="667">
        <v>1500</v>
      </c>
    </row>
    <row r="163" spans="2:7" hidden="1" outlineLevel="2" x14ac:dyDescent="0.25">
      <c r="B163" s="664">
        <v>2</v>
      </c>
      <c r="C163" s="664">
        <v>39</v>
      </c>
      <c r="D163" s="664" t="s">
        <v>1438</v>
      </c>
      <c r="E163" s="664" t="s">
        <v>752</v>
      </c>
      <c r="F163" s="667">
        <v>61623</v>
      </c>
      <c r="G163" s="667">
        <v>1500</v>
      </c>
    </row>
    <row r="164" spans="2:7" hidden="1" outlineLevel="2" x14ac:dyDescent="0.25">
      <c r="B164" s="664">
        <v>2</v>
      </c>
      <c r="C164" s="664">
        <v>39</v>
      </c>
      <c r="D164" s="664" t="s">
        <v>1438</v>
      </c>
      <c r="E164" s="664" t="s">
        <v>752</v>
      </c>
      <c r="F164" s="667">
        <v>61623</v>
      </c>
      <c r="G164" s="667">
        <v>1500</v>
      </c>
    </row>
    <row r="165" spans="2:7" hidden="1" outlineLevel="1" collapsed="1" x14ac:dyDescent="0.25">
      <c r="B165" s="664"/>
      <c r="C165" s="664"/>
      <c r="D165" s="664"/>
      <c r="E165" s="692" t="s">
        <v>1574</v>
      </c>
      <c r="F165" s="667">
        <f>SUBTOTAL(9,F162:F164)</f>
        <v>184869</v>
      </c>
      <c r="G165" s="667">
        <f>SUBTOTAL(9,G162:G164)</f>
        <v>4500</v>
      </c>
    </row>
    <row r="166" spans="2:7" hidden="1" outlineLevel="2" x14ac:dyDescent="0.25">
      <c r="B166" s="664">
        <v>4</v>
      </c>
      <c r="C166" s="664">
        <v>179</v>
      </c>
      <c r="D166" s="664" t="s">
        <v>1393</v>
      </c>
      <c r="E166" s="664" t="s">
        <v>947</v>
      </c>
      <c r="F166" s="667">
        <v>95552</v>
      </c>
      <c r="G166" s="667">
        <v>9000</v>
      </c>
    </row>
    <row r="167" spans="2:7" hidden="1" outlineLevel="2" x14ac:dyDescent="0.25">
      <c r="B167" s="664">
        <v>4</v>
      </c>
      <c r="C167" s="664">
        <v>179</v>
      </c>
      <c r="D167" s="664" t="s">
        <v>1393</v>
      </c>
      <c r="E167" s="664" t="s">
        <v>947</v>
      </c>
      <c r="F167" s="667">
        <v>95552</v>
      </c>
      <c r="G167" s="667">
        <v>9000</v>
      </c>
    </row>
    <row r="168" spans="2:7" hidden="1" outlineLevel="2" x14ac:dyDescent="0.25">
      <c r="B168" s="664">
        <v>4</v>
      </c>
      <c r="C168" s="664">
        <v>179</v>
      </c>
      <c r="D168" s="664" t="s">
        <v>1393</v>
      </c>
      <c r="E168" s="664" t="s">
        <v>947</v>
      </c>
      <c r="F168" s="667">
        <v>95552</v>
      </c>
      <c r="G168" s="667">
        <v>9000</v>
      </c>
    </row>
    <row r="169" spans="2:7" hidden="1" outlineLevel="1" collapsed="1" x14ac:dyDescent="0.25">
      <c r="B169" s="664"/>
      <c r="C169" s="664"/>
      <c r="D169" s="664"/>
      <c r="E169" s="692" t="s">
        <v>1575</v>
      </c>
      <c r="F169" s="667">
        <f>SUBTOTAL(9,F166:F168)</f>
        <v>286656</v>
      </c>
      <c r="G169" s="667">
        <f>SUBTOTAL(9,G166:G168)</f>
        <v>27000</v>
      </c>
    </row>
    <row r="170" spans="2:7" hidden="1" outlineLevel="2" x14ac:dyDescent="0.25">
      <c r="B170" s="664">
        <v>10</v>
      </c>
      <c r="C170" s="664">
        <v>261</v>
      </c>
      <c r="D170" s="664" t="s">
        <v>1375</v>
      </c>
      <c r="E170" s="664" t="s">
        <v>969</v>
      </c>
      <c r="F170" s="667">
        <v>95552</v>
      </c>
      <c r="G170" s="667">
        <v>9000</v>
      </c>
    </row>
    <row r="171" spans="2:7" hidden="1" outlineLevel="2" x14ac:dyDescent="0.25">
      <c r="B171" s="664">
        <v>10</v>
      </c>
      <c r="C171" s="664">
        <v>261</v>
      </c>
      <c r="D171" s="664" t="s">
        <v>1375</v>
      </c>
      <c r="E171" s="664" t="s">
        <v>969</v>
      </c>
      <c r="F171" s="667">
        <v>95552</v>
      </c>
      <c r="G171" s="667">
        <v>9000</v>
      </c>
    </row>
    <row r="172" spans="2:7" hidden="1" outlineLevel="2" x14ac:dyDescent="0.25">
      <c r="B172" s="664">
        <v>10</v>
      </c>
      <c r="C172" s="664">
        <v>261</v>
      </c>
      <c r="D172" s="664" t="s">
        <v>1375</v>
      </c>
      <c r="E172" s="664" t="s">
        <v>969</v>
      </c>
      <c r="F172" s="667">
        <v>95552</v>
      </c>
      <c r="G172" s="667">
        <v>9000</v>
      </c>
    </row>
    <row r="173" spans="2:7" hidden="1" outlineLevel="1" collapsed="1" x14ac:dyDescent="0.25">
      <c r="B173" s="664"/>
      <c r="C173" s="664"/>
      <c r="D173" s="664"/>
      <c r="E173" s="692" t="s">
        <v>1576</v>
      </c>
      <c r="F173" s="667">
        <f>SUBTOTAL(9,F170:F172)</f>
        <v>286656</v>
      </c>
      <c r="G173" s="667">
        <f>SUBTOTAL(9,G170:G172)</f>
        <v>27000</v>
      </c>
    </row>
    <row r="174" spans="2:7" hidden="1" outlineLevel="2" x14ac:dyDescent="0.25">
      <c r="B174" s="664">
        <v>1</v>
      </c>
      <c r="C174" s="664">
        <v>192</v>
      </c>
      <c r="D174" s="664" t="s">
        <v>1388</v>
      </c>
      <c r="E174" s="664" t="s">
        <v>955</v>
      </c>
      <c r="F174" s="667">
        <v>68326</v>
      </c>
      <c r="G174" s="667">
        <v>3000</v>
      </c>
    </row>
    <row r="175" spans="2:7" hidden="1" outlineLevel="2" x14ac:dyDescent="0.25">
      <c r="B175" s="664">
        <v>1</v>
      </c>
      <c r="C175" s="664">
        <v>192</v>
      </c>
      <c r="D175" s="664" t="s">
        <v>1388</v>
      </c>
      <c r="E175" s="664" t="s">
        <v>955</v>
      </c>
      <c r="F175" s="667">
        <v>63326</v>
      </c>
      <c r="G175" s="667">
        <v>3000</v>
      </c>
    </row>
    <row r="176" spans="2:7" hidden="1" outlineLevel="2" x14ac:dyDescent="0.25">
      <c r="B176" s="664">
        <v>1</v>
      </c>
      <c r="C176" s="664">
        <v>192</v>
      </c>
      <c r="D176" s="664" t="s">
        <v>1388</v>
      </c>
      <c r="E176" s="664" t="s">
        <v>955</v>
      </c>
      <c r="F176" s="667">
        <v>63326</v>
      </c>
      <c r="G176" s="667">
        <v>3000</v>
      </c>
    </row>
    <row r="177" spans="2:7" hidden="1" outlineLevel="1" collapsed="1" x14ac:dyDescent="0.25">
      <c r="B177" s="664"/>
      <c r="C177" s="664"/>
      <c r="D177" s="664"/>
      <c r="E177" s="692" t="s">
        <v>1577</v>
      </c>
      <c r="F177" s="667">
        <f>SUBTOTAL(9,F174:F176)</f>
        <v>194978</v>
      </c>
      <c r="G177" s="667">
        <f>SUBTOTAL(9,G174:G176)</f>
        <v>9000</v>
      </c>
    </row>
    <row r="178" spans="2:7" hidden="1" outlineLevel="2" x14ac:dyDescent="0.25">
      <c r="B178" s="664">
        <v>3</v>
      </c>
      <c r="C178" s="664">
        <v>253</v>
      </c>
      <c r="D178" s="664" t="s">
        <v>1452</v>
      </c>
      <c r="E178" s="664" t="s">
        <v>1185</v>
      </c>
      <c r="F178" s="667">
        <v>92932</v>
      </c>
      <c r="G178" s="667">
        <v>8000</v>
      </c>
    </row>
    <row r="179" spans="2:7" hidden="1" outlineLevel="2" x14ac:dyDescent="0.25">
      <c r="B179" s="664">
        <v>3</v>
      </c>
      <c r="C179" s="664">
        <v>253</v>
      </c>
      <c r="D179" s="664" t="s">
        <v>1452</v>
      </c>
      <c r="E179" s="664" t="s">
        <v>1185</v>
      </c>
      <c r="F179" s="667">
        <v>92932</v>
      </c>
      <c r="G179" s="667">
        <v>8000</v>
      </c>
    </row>
    <row r="180" spans="2:7" hidden="1" outlineLevel="2" x14ac:dyDescent="0.25">
      <c r="B180" s="664">
        <v>3</v>
      </c>
      <c r="C180" s="664">
        <v>253</v>
      </c>
      <c r="D180" s="664" t="s">
        <v>1452</v>
      </c>
      <c r="E180" s="664" t="s">
        <v>1185</v>
      </c>
      <c r="F180" s="667">
        <v>92932</v>
      </c>
      <c r="G180" s="667">
        <v>8000</v>
      </c>
    </row>
    <row r="181" spans="2:7" hidden="1" outlineLevel="1" collapsed="1" x14ac:dyDescent="0.25">
      <c r="B181" s="664"/>
      <c r="C181" s="664"/>
      <c r="D181" s="664"/>
      <c r="E181" s="692" t="s">
        <v>1578</v>
      </c>
      <c r="F181" s="667">
        <f>SUBTOTAL(9,F178:F180)</f>
        <v>278796</v>
      </c>
      <c r="G181" s="667">
        <f>SUBTOTAL(9,G178:G180)</f>
        <v>24000</v>
      </c>
    </row>
    <row r="182" spans="2:7" hidden="1" outlineLevel="2" x14ac:dyDescent="0.25">
      <c r="B182" s="664">
        <v>13</v>
      </c>
      <c r="C182" s="664">
        <v>74</v>
      </c>
      <c r="D182" s="664" t="s">
        <v>1425</v>
      </c>
      <c r="E182" s="664" t="s">
        <v>24</v>
      </c>
      <c r="F182" s="667">
        <v>135034</v>
      </c>
      <c r="G182" s="667">
        <v>4000</v>
      </c>
    </row>
    <row r="183" spans="2:7" hidden="1" outlineLevel="1" collapsed="1" x14ac:dyDescent="0.25">
      <c r="B183" s="664"/>
      <c r="C183" s="664"/>
      <c r="D183" s="664"/>
      <c r="E183" s="692" t="s">
        <v>1580</v>
      </c>
      <c r="F183" s="667">
        <f>SUBTOTAL(9,F182:F182)</f>
        <v>135034</v>
      </c>
      <c r="G183" s="667">
        <f>SUBTOTAL(9,G182:G182)</f>
        <v>4000</v>
      </c>
    </row>
    <row r="184" spans="2:7" hidden="1" outlineLevel="2" x14ac:dyDescent="0.25">
      <c r="B184" s="664">
        <v>3</v>
      </c>
      <c r="C184" s="664">
        <v>32</v>
      </c>
      <c r="D184" s="664" t="s">
        <v>1430</v>
      </c>
      <c r="E184" s="664" t="s">
        <v>48</v>
      </c>
      <c r="F184" s="667">
        <v>78391</v>
      </c>
      <c r="G184" s="667">
        <v>4500</v>
      </c>
    </row>
    <row r="185" spans="2:7" hidden="1" outlineLevel="2" x14ac:dyDescent="0.25">
      <c r="B185" s="664">
        <v>3</v>
      </c>
      <c r="C185" s="664">
        <v>32</v>
      </c>
      <c r="D185" s="664" t="s">
        <v>1430</v>
      </c>
      <c r="E185" s="664" t="s">
        <v>48</v>
      </c>
      <c r="F185" s="667">
        <v>78391</v>
      </c>
      <c r="G185" s="667">
        <v>4500</v>
      </c>
    </row>
    <row r="186" spans="2:7" hidden="1" outlineLevel="2" x14ac:dyDescent="0.25">
      <c r="B186" s="664">
        <v>3</v>
      </c>
      <c r="C186" s="664">
        <v>32</v>
      </c>
      <c r="D186" s="664" t="s">
        <v>1430</v>
      </c>
      <c r="E186" s="664" t="s">
        <v>48</v>
      </c>
      <c r="F186" s="667">
        <v>78391</v>
      </c>
      <c r="G186" s="667">
        <v>4500</v>
      </c>
    </row>
    <row r="187" spans="2:7" hidden="1" outlineLevel="1" collapsed="1" x14ac:dyDescent="0.25">
      <c r="B187" s="664"/>
      <c r="C187" s="664"/>
      <c r="D187" s="664"/>
      <c r="E187" s="692" t="s">
        <v>1581</v>
      </c>
      <c r="F187" s="667">
        <f>SUBTOTAL(9,F184:F186)</f>
        <v>235173</v>
      </c>
      <c r="G187" s="667">
        <f>SUBTOTAL(9,G184:G186)</f>
        <v>13500</v>
      </c>
    </row>
    <row r="188" spans="2:7" hidden="1" outlineLevel="2" x14ac:dyDescent="0.25">
      <c r="B188" s="664">
        <v>12</v>
      </c>
      <c r="C188" s="664">
        <v>73</v>
      </c>
      <c r="D188" s="664" t="s">
        <v>1424</v>
      </c>
      <c r="E188" s="664" t="s">
        <v>16</v>
      </c>
      <c r="F188" s="667">
        <v>110210</v>
      </c>
      <c r="G188" s="667">
        <v>13000</v>
      </c>
    </row>
    <row r="189" spans="2:7" hidden="1" outlineLevel="2" x14ac:dyDescent="0.25">
      <c r="B189" s="664">
        <v>13</v>
      </c>
      <c r="C189" s="664">
        <v>73</v>
      </c>
      <c r="D189" s="664" t="s">
        <v>1424</v>
      </c>
      <c r="E189" s="664" t="s">
        <v>16</v>
      </c>
      <c r="F189" s="667">
        <v>110210</v>
      </c>
      <c r="G189" s="667">
        <v>13000</v>
      </c>
    </row>
    <row r="190" spans="2:7" hidden="1" outlineLevel="2" x14ac:dyDescent="0.25">
      <c r="B190" s="664">
        <v>13</v>
      </c>
      <c r="C190" s="664">
        <v>73</v>
      </c>
      <c r="D190" s="664" t="s">
        <v>1424</v>
      </c>
      <c r="E190" s="664" t="s">
        <v>16</v>
      </c>
      <c r="F190" s="667">
        <v>110210</v>
      </c>
      <c r="G190" s="667">
        <v>13000</v>
      </c>
    </row>
    <row r="191" spans="2:7" hidden="1" outlineLevel="1" collapsed="1" x14ac:dyDescent="0.25">
      <c r="B191" s="664"/>
      <c r="C191" s="664"/>
      <c r="D191" s="664"/>
      <c r="E191" s="692" t="s">
        <v>1582</v>
      </c>
      <c r="F191" s="667">
        <f>SUBTOTAL(9,F188:F190)</f>
        <v>330630</v>
      </c>
      <c r="G191" s="667">
        <f>SUBTOTAL(9,G188:G190)</f>
        <v>39000</v>
      </c>
    </row>
    <row r="192" spans="2:7" hidden="1" outlineLevel="2" x14ac:dyDescent="0.25">
      <c r="B192" s="664">
        <v>2</v>
      </c>
      <c r="C192" s="664">
        <v>194</v>
      </c>
      <c r="D192" s="664" t="s">
        <v>1389</v>
      </c>
      <c r="E192" s="664" t="s">
        <v>953</v>
      </c>
      <c r="F192" s="667">
        <v>73042</v>
      </c>
      <c r="G192" s="667">
        <v>3000</v>
      </c>
    </row>
    <row r="193" spans="2:7" hidden="1" outlineLevel="2" x14ac:dyDescent="0.25">
      <c r="B193" s="664">
        <v>2</v>
      </c>
      <c r="C193" s="664">
        <v>194</v>
      </c>
      <c r="D193" s="664" t="s">
        <v>1389</v>
      </c>
      <c r="E193" s="664" t="s">
        <v>953</v>
      </c>
      <c r="F193" s="667">
        <v>68042</v>
      </c>
      <c r="G193" s="667">
        <v>3000</v>
      </c>
    </row>
    <row r="194" spans="2:7" hidden="1" outlineLevel="2" x14ac:dyDescent="0.25">
      <c r="B194" s="664">
        <v>2</v>
      </c>
      <c r="C194" s="664">
        <v>194</v>
      </c>
      <c r="D194" s="664" t="s">
        <v>1389</v>
      </c>
      <c r="E194" s="664" t="s">
        <v>953</v>
      </c>
      <c r="F194" s="667">
        <v>68042</v>
      </c>
      <c r="G194" s="667">
        <v>3000</v>
      </c>
    </row>
    <row r="195" spans="2:7" hidden="1" outlineLevel="1" collapsed="1" x14ac:dyDescent="0.25">
      <c r="B195" s="664"/>
      <c r="C195" s="664"/>
      <c r="D195" s="664"/>
      <c r="E195" s="692" t="s">
        <v>1583</v>
      </c>
      <c r="F195" s="667">
        <f>SUBTOTAL(9,F192:F194)</f>
        <v>209126</v>
      </c>
      <c r="G195" s="667">
        <f>SUBTOTAL(9,G192:G194)</f>
        <v>9000</v>
      </c>
    </row>
    <row r="196" spans="2:7" hidden="1" outlineLevel="2" x14ac:dyDescent="0.25">
      <c r="B196" s="664">
        <v>3</v>
      </c>
      <c r="C196" s="664">
        <v>117</v>
      </c>
      <c r="D196" s="664" t="s">
        <v>1403</v>
      </c>
      <c r="E196" s="664" t="s">
        <v>601</v>
      </c>
      <c r="F196" s="667">
        <v>80618</v>
      </c>
      <c r="G196" s="667">
        <v>4500</v>
      </c>
    </row>
    <row r="197" spans="2:7" hidden="1" outlineLevel="2" x14ac:dyDescent="0.25">
      <c r="B197" s="664">
        <v>3</v>
      </c>
      <c r="C197" s="664">
        <v>117</v>
      </c>
      <c r="D197" s="664" t="s">
        <v>1403</v>
      </c>
      <c r="E197" s="664" t="s">
        <v>601</v>
      </c>
      <c r="F197" s="667">
        <v>80618</v>
      </c>
      <c r="G197" s="667">
        <v>4500</v>
      </c>
    </row>
    <row r="198" spans="2:7" hidden="1" outlineLevel="2" x14ac:dyDescent="0.25">
      <c r="B198" s="664">
        <v>3</v>
      </c>
      <c r="C198" s="664">
        <v>117</v>
      </c>
      <c r="D198" s="664" t="s">
        <v>1403</v>
      </c>
      <c r="E198" s="664" t="s">
        <v>601</v>
      </c>
      <c r="F198" s="667">
        <v>80618</v>
      </c>
      <c r="G198" s="667">
        <v>4500</v>
      </c>
    </row>
    <row r="199" spans="2:7" hidden="1" outlineLevel="1" collapsed="1" x14ac:dyDescent="0.25">
      <c r="B199" s="664"/>
      <c r="C199" s="664"/>
      <c r="D199" s="664"/>
      <c r="E199" s="692" t="s">
        <v>1584</v>
      </c>
      <c r="F199" s="667">
        <f>SUBTOTAL(9,F196:F198)</f>
        <v>241854</v>
      </c>
      <c r="G199" s="667">
        <f>SUBTOTAL(9,G196:G198)</f>
        <v>13500</v>
      </c>
    </row>
    <row r="200" spans="2:7" hidden="1" outlineLevel="2" x14ac:dyDescent="0.25">
      <c r="B200" s="664">
        <v>1</v>
      </c>
      <c r="C200" s="664">
        <v>13</v>
      </c>
      <c r="D200" s="664" t="s">
        <v>1390</v>
      </c>
      <c r="E200" s="664" t="s">
        <v>785</v>
      </c>
      <c r="F200" s="667">
        <v>95552</v>
      </c>
      <c r="G200" s="667">
        <v>5000</v>
      </c>
    </row>
    <row r="201" spans="2:7" hidden="1" outlineLevel="2" x14ac:dyDescent="0.25">
      <c r="B201" s="664">
        <v>1</v>
      </c>
      <c r="C201" s="664">
        <v>13</v>
      </c>
      <c r="D201" s="664" t="s">
        <v>1390</v>
      </c>
      <c r="E201" s="664" t="s">
        <v>785</v>
      </c>
      <c r="F201" s="667">
        <v>95552</v>
      </c>
      <c r="G201" s="667">
        <v>5000</v>
      </c>
    </row>
    <row r="202" spans="2:7" hidden="1" outlineLevel="2" x14ac:dyDescent="0.25">
      <c r="B202" s="664">
        <v>1</v>
      </c>
      <c r="C202" s="664">
        <v>13</v>
      </c>
      <c r="D202" s="664" t="s">
        <v>1390</v>
      </c>
      <c r="E202" s="664" t="s">
        <v>785</v>
      </c>
      <c r="F202" s="667">
        <v>95552</v>
      </c>
      <c r="G202" s="667">
        <v>5000</v>
      </c>
    </row>
    <row r="203" spans="2:7" hidden="1" outlineLevel="1" collapsed="1" x14ac:dyDescent="0.25">
      <c r="B203" s="664"/>
      <c r="C203" s="664"/>
      <c r="D203" s="664"/>
      <c r="E203" s="692" t="s">
        <v>1585</v>
      </c>
      <c r="F203" s="667">
        <f>SUBTOTAL(9,F200:F202)</f>
        <v>286656</v>
      </c>
      <c r="G203" s="667">
        <f>SUBTOTAL(9,G200:G202)</f>
        <v>15000</v>
      </c>
    </row>
    <row r="204" spans="2:7" hidden="1" outlineLevel="2" x14ac:dyDescent="0.25">
      <c r="B204" s="664">
        <v>1</v>
      </c>
      <c r="C204" s="664">
        <v>31</v>
      </c>
      <c r="D204" s="664" t="s">
        <v>1443</v>
      </c>
      <c r="E204" s="664" t="s">
        <v>777</v>
      </c>
      <c r="F204" s="667">
        <v>76164</v>
      </c>
      <c r="G204" s="667">
        <v>3000</v>
      </c>
    </row>
    <row r="205" spans="2:7" hidden="1" outlineLevel="2" x14ac:dyDescent="0.25">
      <c r="B205" s="664">
        <v>1</v>
      </c>
      <c r="C205" s="664">
        <v>31</v>
      </c>
      <c r="D205" s="664" t="s">
        <v>1443</v>
      </c>
      <c r="E205" s="664" t="s">
        <v>777</v>
      </c>
      <c r="F205" s="667">
        <v>76164</v>
      </c>
      <c r="G205" s="667">
        <v>3000</v>
      </c>
    </row>
    <row r="206" spans="2:7" hidden="1" outlineLevel="2" x14ac:dyDescent="0.25">
      <c r="B206" s="664">
        <v>1</v>
      </c>
      <c r="C206" s="664">
        <v>31</v>
      </c>
      <c r="D206" s="664" t="s">
        <v>1443</v>
      </c>
      <c r="E206" s="664" t="s">
        <v>777</v>
      </c>
      <c r="F206" s="667">
        <v>76164</v>
      </c>
      <c r="G206" s="667">
        <v>3000</v>
      </c>
    </row>
    <row r="207" spans="2:7" hidden="1" outlineLevel="1" collapsed="1" x14ac:dyDescent="0.25">
      <c r="B207" s="664"/>
      <c r="C207" s="664"/>
      <c r="D207" s="664"/>
      <c r="E207" s="692" t="s">
        <v>1586</v>
      </c>
      <c r="F207" s="667">
        <f>SUBTOTAL(9,F204:F206)</f>
        <v>228492</v>
      </c>
      <c r="G207" s="667">
        <f>SUBTOTAL(9,G204:G206)</f>
        <v>9000</v>
      </c>
    </row>
    <row r="208" spans="2:7" hidden="1" outlineLevel="2" x14ac:dyDescent="0.25">
      <c r="B208" s="664">
        <v>2</v>
      </c>
      <c r="C208" s="664">
        <v>20</v>
      </c>
      <c r="D208" s="664" t="s">
        <v>1429</v>
      </c>
      <c r="E208" s="664" t="s">
        <v>56</v>
      </c>
      <c r="F208" s="667">
        <v>78391</v>
      </c>
      <c r="G208" s="667">
        <v>1500</v>
      </c>
    </row>
    <row r="209" spans="2:7" hidden="1" outlineLevel="2" x14ac:dyDescent="0.25">
      <c r="B209" s="664">
        <v>2</v>
      </c>
      <c r="C209" s="664">
        <v>20</v>
      </c>
      <c r="D209" s="664" t="s">
        <v>1429</v>
      </c>
      <c r="E209" s="664" t="s">
        <v>56</v>
      </c>
      <c r="F209" s="667">
        <v>78391</v>
      </c>
      <c r="G209" s="667">
        <v>1500</v>
      </c>
    </row>
    <row r="210" spans="2:7" hidden="1" outlineLevel="2" x14ac:dyDescent="0.25">
      <c r="B210" s="664">
        <v>2</v>
      </c>
      <c r="C210" s="664">
        <v>20</v>
      </c>
      <c r="D210" s="664" t="s">
        <v>1429</v>
      </c>
      <c r="E210" s="664" t="s">
        <v>56</v>
      </c>
      <c r="F210" s="667">
        <v>78391</v>
      </c>
      <c r="G210" s="667">
        <v>1500</v>
      </c>
    </row>
    <row r="211" spans="2:7" hidden="1" outlineLevel="1" collapsed="1" x14ac:dyDescent="0.25">
      <c r="B211" s="664"/>
      <c r="C211" s="664"/>
      <c r="D211" s="664"/>
      <c r="E211" s="692" t="s">
        <v>1587</v>
      </c>
      <c r="F211" s="667">
        <f>SUBTOTAL(9,F208:F210)</f>
        <v>235173</v>
      </c>
      <c r="G211" s="667">
        <f>SUBTOTAL(9,G208:G210)</f>
        <v>4500</v>
      </c>
    </row>
    <row r="212" spans="2:7" hidden="1" outlineLevel="2" x14ac:dyDescent="0.25">
      <c r="B212" s="664">
        <v>4</v>
      </c>
      <c r="C212" s="664">
        <v>111</v>
      </c>
      <c r="D212" s="664" t="s">
        <v>1407</v>
      </c>
      <c r="E212" s="664" t="s">
        <v>586</v>
      </c>
      <c r="F212" s="667">
        <v>92932</v>
      </c>
      <c r="G212" s="667">
        <v>7900</v>
      </c>
    </row>
    <row r="213" spans="2:7" hidden="1" outlineLevel="2" x14ac:dyDescent="0.25">
      <c r="B213" s="664">
        <v>4</v>
      </c>
      <c r="C213" s="664">
        <v>111</v>
      </c>
      <c r="D213" s="664" t="s">
        <v>1407</v>
      </c>
      <c r="E213" s="664" t="s">
        <v>586</v>
      </c>
      <c r="F213" s="667">
        <v>92932</v>
      </c>
      <c r="G213" s="667">
        <v>7900</v>
      </c>
    </row>
    <row r="214" spans="2:7" hidden="1" outlineLevel="2" x14ac:dyDescent="0.25">
      <c r="B214" s="664">
        <v>4</v>
      </c>
      <c r="C214" s="664">
        <v>111</v>
      </c>
      <c r="D214" s="664" t="s">
        <v>1407</v>
      </c>
      <c r="E214" s="664" t="s">
        <v>586</v>
      </c>
      <c r="F214" s="667">
        <v>92932</v>
      </c>
      <c r="G214" s="667">
        <v>8000</v>
      </c>
    </row>
    <row r="215" spans="2:7" hidden="1" outlineLevel="1" collapsed="1" x14ac:dyDescent="0.25">
      <c r="B215" s="664"/>
      <c r="C215" s="664"/>
      <c r="D215" s="664"/>
      <c r="E215" s="692" t="s">
        <v>1588</v>
      </c>
      <c r="F215" s="667">
        <f>SUBTOTAL(9,F212:F214)</f>
        <v>278796</v>
      </c>
      <c r="G215" s="667">
        <f>SUBTOTAL(9,G212:G214)</f>
        <v>23800</v>
      </c>
    </row>
    <row r="216" spans="2:7" hidden="1" outlineLevel="2" x14ac:dyDescent="0.25">
      <c r="B216" s="664">
        <v>1</v>
      </c>
      <c r="C216" s="664">
        <v>101</v>
      </c>
      <c r="D216" s="664" t="s">
        <v>1395</v>
      </c>
      <c r="E216" s="664" t="s">
        <v>578</v>
      </c>
      <c r="F216" s="667">
        <v>122729</v>
      </c>
      <c r="G216" s="667">
        <v>13500</v>
      </c>
    </row>
    <row r="217" spans="2:7" hidden="1" outlineLevel="2" x14ac:dyDescent="0.25">
      <c r="B217" s="664">
        <v>1</v>
      </c>
      <c r="C217" s="664">
        <v>101</v>
      </c>
      <c r="D217" s="664" t="s">
        <v>1395</v>
      </c>
      <c r="E217" s="664" t="s">
        <v>578</v>
      </c>
      <c r="F217" s="667">
        <v>122729</v>
      </c>
      <c r="G217" s="667">
        <v>13500</v>
      </c>
    </row>
    <row r="218" spans="2:7" hidden="1" outlineLevel="2" x14ac:dyDescent="0.25">
      <c r="B218" s="664">
        <v>1</v>
      </c>
      <c r="C218" s="664">
        <v>101</v>
      </c>
      <c r="D218" s="664" t="s">
        <v>1395</v>
      </c>
      <c r="E218" s="664" t="s">
        <v>578</v>
      </c>
      <c r="F218" s="667">
        <v>122729</v>
      </c>
      <c r="G218" s="667">
        <v>13500</v>
      </c>
    </row>
    <row r="219" spans="2:7" hidden="1" outlineLevel="1" collapsed="1" x14ac:dyDescent="0.25">
      <c r="B219" s="664"/>
      <c r="C219" s="664"/>
      <c r="D219" s="664"/>
      <c r="E219" s="692" t="s">
        <v>1589</v>
      </c>
      <c r="F219" s="667">
        <f>SUBTOTAL(9,F216:F218)</f>
        <v>368187</v>
      </c>
      <c r="G219" s="667">
        <f>SUBTOTAL(9,G216:G218)</f>
        <v>40500</v>
      </c>
    </row>
    <row r="220" spans="2:7" hidden="1" outlineLevel="2" x14ac:dyDescent="0.25">
      <c r="B220" s="664">
        <v>1</v>
      </c>
      <c r="C220" s="664">
        <v>18</v>
      </c>
      <c r="D220" s="664" t="s">
        <v>1428</v>
      </c>
      <c r="E220" s="664" t="s">
        <v>60</v>
      </c>
      <c r="F220" s="667">
        <v>80618</v>
      </c>
      <c r="G220" s="667">
        <v>5000</v>
      </c>
    </row>
    <row r="221" spans="2:7" hidden="1" outlineLevel="2" x14ac:dyDescent="0.25">
      <c r="B221" s="664">
        <v>1</v>
      </c>
      <c r="C221" s="664">
        <v>18</v>
      </c>
      <c r="D221" s="664" t="s">
        <v>1428</v>
      </c>
      <c r="E221" s="664" t="s">
        <v>60</v>
      </c>
      <c r="F221" s="667">
        <v>80618</v>
      </c>
      <c r="G221" s="667">
        <v>5000</v>
      </c>
    </row>
    <row r="222" spans="2:7" hidden="1" outlineLevel="2" x14ac:dyDescent="0.25">
      <c r="B222" s="664">
        <v>1</v>
      </c>
      <c r="C222" s="664">
        <v>18</v>
      </c>
      <c r="D222" s="664" t="s">
        <v>1428</v>
      </c>
      <c r="E222" s="664" t="s">
        <v>60</v>
      </c>
      <c r="F222" s="667">
        <v>80618</v>
      </c>
      <c r="G222" s="667">
        <v>5000</v>
      </c>
    </row>
    <row r="223" spans="2:7" hidden="1" outlineLevel="1" collapsed="1" x14ac:dyDescent="0.25">
      <c r="B223" s="664"/>
      <c r="C223" s="664"/>
      <c r="D223" s="664"/>
      <c r="E223" s="692" t="s">
        <v>1590</v>
      </c>
      <c r="F223" s="667">
        <f>SUBTOTAL(9,F220:F222)</f>
        <v>241854</v>
      </c>
      <c r="G223" s="667">
        <f>SUBTOTAL(9,G220:G222)</f>
        <v>15000</v>
      </c>
    </row>
    <row r="224" spans="2:7" hidden="1" outlineLevel="2" x14ac:dyDescent="0.25">
      <c r="B224" s="664">
        <v>14</v>
      </c>
      <c r="C224" s="664">
        <v>8</v>
      </c>
      <c r="D224" s="664" t="s">
        <v>1426</v>
      </c>
      <c r="E224" s="664" t="s">
        <v>42</v>
      </c>
      <c r="F224" s="667">
        <v>94876</v>
      </c>
      <c r="G224" s="667">
        <v>6000</v>
      </c>
    </row>
    <row r="225" spans="2:7" hidden="1" outlineLevel="2" x14ac:dyDescent="0.25">
      <c r="B225" s="664">
        <v>14</v>
      </c>
      <c r="C225" s="664">
        <v>8</v>
      </c>
      <c r="D225" s="664" t="s">
        <v>1426</v>
      </c>
      <c r="E225" s="664" t="s">
        <v>42</v>
      </c>
      <c r="F225" s="667">
        <v>95552</v>
      </c>
      <c r="G225" s="667">
        <v>6000</v>
      </c>
    </row>
    <row r="226" spans="2:7" hidden="1" outlineLevel="2" x14ac:dyDescent="0.25">
      <c r="B226" s="664">
        <v>14</v>
      </c>
      <c r="C226" s="664">
        <v>8</v>
      </c>
      <c r="D226" s="664" t="s">
        <v>1426</v>
      </c>
      <c r="E226" s="664" t="s">
        <v>42</v>
      </c>
      <c r="F226" s="667">
        <v>95552</v>
      </c>
      <c r="G226" s="667">
        <v>6000</v>
      </c>
    </row>
    <row r="227" spans="2:7" hidden="1" outlineLevel="1" collapsed="1" x14ac:dyDescent="0.25">
      <c r="B227" s="664"/>
      <c r="C227" s="664"/>
      <c r="D227" s="664"/>
      <c r="E227" s="692" t="s">
        <v>1591</v>
      </c>
      <c r="F227" s="667">
        <f>SUBTOTAL(9,F224:F226)</f>
        <v>285980</v>
      </c>
      <c r="G227" s="667">
        <f>SUBTOTAL(9,G224:G226)</f>
        <v>18000</v>
      </c>
    </row>
    <row r="228" spans="2:7" hidden="1" outlineLevel="2" x14ac:dyDescent="0.25">
      <c r="B228" s="664">
        <v>16</v>
      </c>
      <c r="C228" s="664">
        <v>271</v>
      </c>
      <c r="D228" s="664" t="s">
        <v>1381</v>
      </c>
      <c r="E228" s="664" t="s">
        <v>1166</v>
      </c>
      <c r="F228" s="667">
        <v>144992</v>
      </c>
      <c r="G228" s="667">
        <v>17000</v>
      </c>
    </row>
    <row r="229" spans="2:7" hidden="1" outlineLevel="2" x14ac:dyDescent="0.25">
      <c r="B229" s="664">
        <v>15</v>
      </c>
      <c r="C229" s="664">
        <v>271</v>
      </c>
      <c r="D229" s="664" t="s">
        <v>1381</v>
      </c>
      <c r="E229" s="664" t="s">
        <v>1166</v>
      </c>
      <c r="F229" s="667">
        <v>144992</v>
      </c>
      <c r="G229" s="667">
        <v>17000</v>
      </c>
    </row>
    <row r="230" spans="2:7" hidden="1" outlineLevel="2" x14ac:dyDescent="0.25">
      <c r="B230" s="664">
        <v>15</v>
      </c>
      <c r="C230" s="664">
        <v>271</v>
      </c>
      <c r="D230" s="664" t="s">
        <v>1381</v>
      </c>
      <c r="E230" s="664" t="s">
        <v>1166</v>
      </c>
      <c r="F230" s="667">
        <v>144992</v>
      </c>
      <c r="G230" s="667">
        <v>17000</v>
      </c>
    </row>
    <row r="231" spans="2:7" hidden="1" outlineLevel="1" collapsed="1" x14ac:dyDescent="0.25">
      <c r="B231" s="664"/>
      <c r="C231" s="664"/>
      <c r="D231" s="664"/>
      <c r="E231" s="692" t="s">
        <v>1592</v>
      </c>
      <c r="F231" s="667">
        <f>SUBTOTAL(9,F228:F230)</f>
        <v>434976</v>
      </c>
      <c r="G231" s="667">
        <f>SUBTOTAL(9,G228:G230)</f>
        <v>51000</v>
      </c>
    </row>
    <row r="232" spans="2:7" hidden="1" outlineLevel="2" x14ac:dyDescent="0.25">
      <c r="B232" s="664">
        <v>7</v>
      </c>
      <c r="C232" s="664">
        <v>203</v>
      </c>
      <c r="D232" s="664" t="s">
        <v>1372</v>
      </c>
      <c r="E232" s="664" t="s">
        <v>939</v>
      </c>
      <c r="F232" s="667">
        <v>144992</v>
      </c>
      <c r="G232" s="667">
        <v>20000</v>
      </c>
    </row>
    <row r="233" spans="2:7" hidden="1" outlineLevel="2" x14ac:dyDescent="0.25">
      <c r="B233" s="664">
        <v>7</v>
      </c>
      <c r="C233" s="664">
        <v>203</v>
      </c>
      <c r="D233" s="664" t="s">
        <v>1372</v>
      </c>
      <c r="E233" s="664" t="s">
        <v>939</v>
      </c>
      <c r="F233" s="667">
        <v>144992</v>
      </c>
      <c r="G233" s="667">
        <v>20000</v>
      </c>
    </row>
    <row r="234" spans="2:7" hidden="1" outlineLevel="2" x14ac:dyDescent="0.25">
      <c r="B234" s="664">
        <v>7</v>
      </c>
      <c r="C234" s="664">
        <v>203</v>
      </c>
      <c r="D234" s="664" t="s">
        <v>1372</v>
      </c>
      <c r="E234" s="664" t="s">
        <v>939</v>
      </c>
      <c r="F234" s="667">
        <v>144992</v>
      </c>
      <c r="G234" s="667">
        <v>20000</v>
      </c>
    </row>
    <row r="235" spans="2:7" hidden="1" outlineLevel="1" collapsed="1" x14ac:dyDescent="0.25">
      <c r="B235" s="664"/>
      <c r="C235" s="664"/>
      <c r="D235" s="664"/>
      <c r="E235" s="692" t="s">
        <v>1593</v>
      </c>
      <c r="F235" s="667">
        <f>SUBTOTAL(9,F232:F234)</f>
        <v>434976</v>
      </c>
      <c r="G235" s="667">
        <f>SUBTOTAL(9,G232:G234)</f>
        <v>60000</v>
      </c>
    </row>
    <row r="236" spans="2:7" hidden="1" outlineLevel="2" x14ac:dyDescent="0.25">
      <c r="B236" s="664">
        <v>6</v>
      </c>
      <c r="C236" s="664">
        <v>46</v>
      </c>
      <c r="D236" s="664" t="s">
        <v>1442</v>
      </c>
      <c r="E236" s="664" t="s">
        <v>762</v>
      </c>
      <c r="F236" s="667">
        <v>65160</v>
      </c>
      <c r="G236" s="667">
        <v>2000</v>
      </c>
    </row>
    <row r="237" spans="2:7" hidden="1" outlineLevel="2" x14ac:dyDescent="0.25">
      <c r="B237" s="664">
        <v>5</v>
      </c>
      <c r="C237" s="664">
        <v>46</v>
      </c>
      <c r="D237" s="664" t="s">
        <v>1442</v>
      </c>
      <c r="E237" s="664" t="s">
        <v>762</v>
      </c>
      <c r="F237" s="667">
        <v>65160</v>
      </c>
      <c r="G237" s="667">
        <v>2000</v>
      </c>
    </row>
    <row r="238" spans="2:7" hidden="1" outlineLevel="2" x14ac:dyDescent="0.25">
      <c r="B238" s="664">
        <v>5</v>
      </c>
      <c r="C238" s="664">
        <v>46</v>
      </c>
      <c r="D238" s="664" t="s">
        <v>1442</v>
      </c>
      <c r="E238" s="664" t="s">
        <v>762</v>
      </c>
      <c r="F238" s="667">
        <v>65160</v>
      </c>
      <c r="G238" s="667">
        <v>2000</v>
      </c>
    </row>
    <row r="239" spans="2:7" hidden="1" outlineLevel="1" collapsed="1" x14ac:dyDescent="0.25">
      <c r="B239" s="664"/>
      <c r="C239" s="664"/>
      <c r="D239" s="664"/>
      <c r="E239" s="692" t="s">
        <v>1594</v>
      </c>
      <c r="F239" s="667">
        <f>SUBTOTAL(9,F236:F238)</f>
        <v>195480</v>
      </c>
      <c r="G239" s="667">
        <f>SUBTOTAL(9,G236:G238)</f>
        <v>6000</v>
      </c>
    </row>
    <row r="240" spans="2:7" hidden="1" outlineLevel="2" x14ac:dyDescent="0.25">
      <c r="B240" s="664">
        <v>1</v>
      </c>
      <c r="C240" s="664">
        <v>28</v>
      </c>
      <c r="D240" s="664" t="s">
        <v>1435</v>
      </c>
      <c r="E240" s="664" t="s">
        <v>754</v>
      </c>
      <c r="F240" s="667">
        <v>82976</v>
      </c>
      <c r="G240" s="667">
        <v>6000</v>
      </c>
    </row>
    <row r="241" spans="2:7" hidden="1" outlineLevel="2" x14ac:dyDescent="0.25">
      <c r="B241" s="664">
        <v>1</v>
      </c>
      <c r="C241" s="664">
        <v>28</v>
      </c>
      <c r="D241" s="664" t="s">
        <v>1435</v>
      </c>
      <c r="E241" s="664" t="s">
        <v>754</v>
      </c>
      <c r="F241" s="667">
        <v>82976</v>
      </c>
      <c r="G241" s="667">
        <v>6000</v>
      </c>
    </row>
    <row r="242" spans="2:7" hidden="1" outlineLevel="2" x14ac:dyDescent="0.25">
      <c r="B242" s="664">
        <v>1</v>
      </c>
      <c r="C242" s="664">
        <v>28</v>
      </c>
      <c r="D242" s="664" t="s">
        <v>1435</v>
      </c>
      <c r="E242" s="664" t="s">
        <v>754</v>
      </c>
      <c r="F242" s="667">
        <v>82976</v>
      </c>
      <c r="G242" s="667">
        <v>6000</v>
      </c>
    </row>
    <row r="243" spans="2:7" hidden="1" outlineLevel="1" collapsed="1" x14ac:dyDescent="0.25">
      <c r="B243" s="664"/>
      <c r="C243" s="664"/>
      <c r="D243" s="664"/>
      <c r="E243" s="692" t="s">
        <v>1595</v>
      </c>
      <c r="F243" s="667">
        <f>SUBTOTAL(9,F240:F242)</f>
        <v>248928</v>
      </c>
      <c r="G243" s="667">
        <f>SUBTOTAL(9,G240:G242)</f>
        <v>18000</v>
      </c>
    </row>
    <row r="244" spans="2:7" hidden="1" outlineLevel="2" x14ac:dyDescent="0.25">
      <c r="B244" s="664">
        <v>5</v>
      </c>
      <c r="C244" s="664">
        <v>266</v>
      </c>
      <c r="D244" s="664" t="s">
        <v>1454</v>
      </c>
      <c r="E244" s="664" t="s">
        <v>1194</v>
      </c>
      <c r="F244" s="667">
        <v>137001</v>
      </c>
      <c r="G244" s="667">
        <v>11000</v>
      </c>
    </row>
    <row r="245" spans="2:7" hidden="1" outlineLevel="2" x14ac:dyDescent="0.25">
      <c r="B245" s="664">
        <v>5</v>
      </c>
      <c r="C245" s="664">
        <v>266</v>
      </c>
      <c r="D245" s="664" t="s">
        <v>1454</v>
      </c>
      <c r="E245" s="664" t="s">
        <v>1194</v>
      </c>
      <c r="F245" s="667">
        <v>137001</v>
      </c>
      <c r="G245" s="667">
        <v>11000</v>
      </c>
    </row>
    <row r="246" spans="2:7" hidden="1" outlineLevel="2" x14ac:dyDescent="0.25">
      <c r="B246" s="664">
        <v>5</v>
      </c>
      <c r="C246" s="664">
        <v>266</v>
      </c>
      <c r="D246" s="664" t="s">
        <v>1454</v>
      </c>
      <c r="E246" s="664" t="s">
        <v>1194</v>
      </c>
      <c r="F246" s="667">
        <v>137001</v>
      </c>
      <c r="G246" s="667">
        <v>11000</v>
      </c>
    </row>
    <row r="247" spans="2:7" hidden="1" outlineLevel="1" collapsed="1" x14ac:dyDescent="0.25">
      <c r="B247" s="664"/>
      <c r="C247" s="664"/>
      <c r="D247" s="664"/>
      <c r="E247" s="692" t="s">
        <v>1596</v>
      </c>
      <c r="F247" s="667">
        <f>SUBTOTAL(9,F244:F246)</f>
        <v>411003</v>
      </c>
      <c r="G247" s="667">
        <f>SUBTOTAL(9,G244:G246)</f>
        <v>33000</v>
      </c>
    </row>
    <row r="248" spans="2:7" hidden="1" outlineLevel="2" x14ac:dyDescent="0.25">
      <c r="B248" s="664">
        <v>7</v>
      </c>
      <c r="C248" s="664">
        <v>272</v>
      </c>
      <c r="D248" s="664" t="s">
        <v>1419</v>
      </c>
      <c r="E248" s="664" t="s">
        <v>497</v>
      </c>
      <c r="F248" s="667">
        <v>119840</v>
      </c>
      <c r="G248" s="667">
        <v>17000</v>
      </c>
    </row>
    <row r="249" spans="2:7" hidden="1" outlineLevel="2" x14ac:dyDescent="0.25">
      <c r="B249" s="664">
        <v>8</v>
      </c>
      <c r="C249" s="664">
        <v>272</v>
      </c>
      <c r="D249" s="664" t="s">
        <v>1419</v>
      </c>
      <c r="E249" s="664" t="s">
        <v>497</v>
      </c>
      <c r="F249" s="667">
        <v>119840</v>
      </c>
      <c r="G249" s="667">
        <v>17000</v>
      </c>
    </row>
    <row r="250" spans="2:7" hidden="1" outlineLevel="2" x14ac:dyDescent="0.25">
      <c r="B250" s="664">
        <v>8</v>
      </c>
      <c r="C250" s="664">
        <v>272</v>
      </c>
      <c r="D250" s="664" t="s">
        <v>1419</v>
      </c>
      <c r="E250" s="664" t="s">
        <v>497</v>
      </c>
      <c r="F250" s="667">
        <v>119840</v>
      </c>
      <c r="G250" s="667">
        <v>17000</v>
      </c>
    </row>
    <row r="251" spans="2:7" hidden="1" outlineLevel="1" collapsed="1" x14ac:dyDescent="0.25">
      <c r="B251" s="664"/>
      <c r="C251" s="664"/>
      <c r="D251" s="664"/>
      <c r="E251" s="692" t="s">
        <v>1597</v>
      </c>
      <c r="F251" s="667">
        <f>SUBTOTAL(9,F248:F250)</f>
        <v>359520</v>
      </c>
      <c r="G251" s="667">
        <f>SUBTOTAL(9,G248:G250)</f>
        <v>51000</v>
      </c>
    </row>
    <row r="252" spans="2:7" hidden="1" outlineLevel="2" x14ac:dyDescent="0.25">
      <c r="B252" s="664">
        <v>5</v>
      </c>
      <c r="C252" s="664">
        <v>200</v>
      </c>
      <c r="D252" s="664" t="s">
        <v>1370</v>
      </c>
      <c r="E252" s="664" t="s">
        <v>941</v>
      </c>
      <c r="F252" s="667">
        <v>123157</v>
      </c>
      <c r="G252" s="667">
        <v>16000</v>
      </c>
    </row>
    <row r="253" spans="2:7" hidden="1" outlineLevel="2" x14ac:dyDescent="0.25">
      <c r="B253" s="664">
        <v>5</v>
      </c>
      <c r="C253" s="664">
        <v>200</v>
      </c>
      <c r="D253" s="664" t="s">
        <v>1370</v>
      </c>
      <c r="E253" s="664" t="s">
        <v>941</v>
      </c>
      <c r="F253" s="667">
        <v>123157</v>
      </c>
      <c r="G253" s="667">
        <v>16000</v>
      </c>
    </row>
    <row r="254" spans="2:7" hidden="1" outlineLevel="2" x14ac:dyDescent="0.25">
      <c r="B254" s="664">
        <v>5</v>
      </c>
      <c r="C254" s="664">
        <v>200</v>
      </c>
      <c r="D254" s="664" t="s">
        <v>1370</v>
      </c>
      <c r="E254" s="664" t="s">
        <v>941</v>
      </c>
      <c r="F254" s="667">
        <v>123157</v>
      </c>
      <c r="G254" s="667">
        <v>16000</v>
      </c>
    </row>
    <row r="255" spans="2:7" hidden="1" outlineLevel="1" collapsed="1" x14ac:dyDescent="0.25">
      <c r="B255" s="664"/>
      <c r="C255" s="664"/>
      <c r="D255" s="664"/>
      <c r="E255" s="692" t="s">
        <v>1598</v>
      </c>
      <c r="F255" s="667">
        <f>SUBTOTAL(9,F252:F254)</f>
        <v>369471</v>
      </c>
      <c r="G255" s="667">
        <f>SUBTOTAL(9,G252:G254)</f>
        <v>48000</v>
      </c>
    </row>
    <row r="256" spans="2:7" hidden="1" outlineLevel="2" x14ac:dyDescent="0.25">
      <c r="B256" s="664">
        <v>5</v>
      </c>
      <c r="C256" s="664">
        <v>77</v>
      </c>
      <c r="D256" s="664" t="s">
        <v>1400</v>
      </c>
      <c r="E256" s="664" t="s">
        <v>723</v>
      </c>
      <c r="F256" s="667">
        <v>98303</v>
      </c>
      <c r="G256" s="667">
        <v>6700</v>
      </c>
    </row>
    <row r="257" spans="2:7" hidden="1" outlineLevel="2" x14ac:dyDescent="0.25">
      <c r="B257" s="664">
        <v>5</v>
      </c>
      <c r="C257" s="664">
        <v>77</v>
      </c>
      <c r="D257" s="664" t="s">
        <v>1400</v>
      </c>
      <c r="E257" s="664" t="s">
        <v>723</v>
      </c>
      <c r="F257" s="667">
        <v>98303</v>
      </c>
      <c r="G257" s="667">
        <v>6700</v>
      </c>
    </row>
    <row r="258" spans="2:7" hidden="1" outlineLevel="2" x14ac:dyDescent="0.25">
      <c r="B258" s="664">
        <v>5</v>
      </c>
      <c r="C258" s="664">
        <v>77</v>
      </c>
      <c r="D258" s="664" t="s">
        <v>1400</v>
      </c>
      <c r="E258" s="664" t="s">
        <v>723</v>
      </c>
      <c r="F258" s="667">
        <v>98303</v>
      </c>
      <c r="G258" s="667">
        <v>6700</v>
      </c>
    </row>
    <row r="259" spans="2:7" hidden="1" outlineLevel="1" collapsed="1" x14ac:dyDescent="0.25">
      <c r="B259" s="664"/>
      <c r="C259" s="664"/>
      <c r="D259" s="664"/>
      <c r="E259" s="692" t="s">
        <v>1599</v>
      </c>
      <c r="F259" s="667">
        <f>SUBTOTAL(9,F256:F258)</f>
        <v>294909</v>
      </c>
      <c r="G259" s="667">
        <f>SUBTOTAL(9,G256:G258)</f>
        <v>20100</v>
      </c>
    </row>
    <row r="260" spans="2:7" hidden="1" outlineLevel="2" x14ac:dyDescent="0.25">
      <c r="B260" s="664">
        <v>5</v>
      </c>
      <c r="C260" s="664">
        <v>206</v>
      </c>
      <c r="D260" s="664" t="s">
        <v>1394</v>
      </c>
      <c r="E260" s="664" t="s">
        <v>928</v>
      </c>
      <c r="F260" s="667">
        <v>101185</v>
      </c>
      <c r="G260" s="667">
        <v>7000</v>
      </c>
    </row>
    <row r="261" spans="2:7" hidden="1" outlineLevel="2" x14ac:dyDescent="0.25">
      <c r="B261" s="664">
        <v>5</v>
      </c>
      <c r="C261" s="664">
        <v>206</v>
      </c>
      <c r="D261" s="664" t="s">
        <v>1394</v>
      </c>
      <c r="E261" s="664" t="s">
        <v>928</v>
      </c>
      <c r="F261" s="667">
        <v>101185</v>
      </c>
      <c r="G261" s="667">
        <v>7000</v>
      </c>
    </row>
    <row r="262" spans="2:7" hidden="1" outlineLevel="2" x14ac:dyDescent="0.25">
      <c r="B262" s="664">
        <v>5</v>
      </c>
      <c r="C262" s="664">
        <v>206</v>
      </c>
      <c r="D262" s="664" t="s">
        <v>1394</v>
      </c>
      <c r="E262" s="664" t="s">
        <v>928</v>
      </c>
      <c r="F262" s="667">
        <v>101185</v>
      </c>
      <c r="G262" s="667">
        <v>7000</v>
      </c>
    </row>
    <row r="263" spans="2:7" hidden="1" outlineLevel="1" collapsed="1" x14ac:dyDescent="0.25">
      <c r="B263" s="664"/>
      <c r="C263" s="664"/>
      <c r="D263" s="664"/>
      <c r="E263" s="692" t="s">
        <v>1600</v>
      </c>
      <c r="F263" s="667">
        <f>SUBTOTAL(9,F260:F262)</f>
        <v>303555</v>
      </c>
      <c r="G263" s="667">
        <f>SUBTOTAL(9,G260:G262)</f>
        <v>21000</v>
      </c>
    </row>
    <row r="264" spans="2:7" hidden="1" outlineLevel="2" x14ac:dyDescent="0.25">
      <c r="B264" s="664">
        <v>10</v>
      </c>
      <c r="C264" s="664">
        <v>4</v>
      </c>
      <c r="D264" s="664" t="s">
        <v>1422</v>
      </c>
      <c r="E264" s="664" t="s">
        <v>20</v>
      </c>
      <c r="F264" s="667">
        <v>126153</v>
      </c>
      <c r="G264" s="667">
        <v>14000</v>
      </c>
    </row>
    <row r="265" spans="2:7" hidden="1" outlineLevel="2" x14ac:dyDescent="0.25">
      <c r="B265" s="664">
        <v>11</v>
      </c>
      <c r="C265" s="664">
        <v>4</v>
      </c>
      <c r="D265" s="664" t="s">
        <v>1422</v>
      </c>
      <c r="E265" s="664" t="s">
        <v>20</v>
      </c>
      <c r="F265" s="667">
        <v>126153</v>
      </c>
      <c r="G265" s="667">
        <v>14000</v>
      </c>
    </row>
    <row r="266" spans="2:7" hidden="1" outlineLevel="2" x14ac:dyDescent="0.25">
      <c r="B266" s="664">
        <v>11</v>
      </c>
      <c r="C266" s="664">
        <v>4</v>
      </c>
      <c r="D266" s="664" t="s">
        <v>1422</v>
      </c>
      <c r="E266" s="664" t="s">
        <v>20</v>
      </c>
      <c r="F266" s="667">
        <v>126153</v>
      </c>
      <c r="G266" s="667">
        <v>14000</v>
      </c>
    </row>
    <row r="267" spans="2:7" hidden="1" outlineLevel="1" collapsed="1" x14ac:dyDescent="0.25">
      <c r="B267" s="664"/>
      <c r="C267" s="664"/>
      <c r="D267" s="664"/>
      <c r="E267" s="692" t="s">
        <v>1602</v>
      </c>
      <c r="F267" s="667">
        <f>SUBTOTAL(9,F264:F266)</f>
        <v>378459</v>
      </c>
      <c r="G267" s="667">
        <f>SUBTOTAL(9,G264:G266)</f>
        <v>42000</v>
      </c>
    </row>
    <row r="268" spans="2:7" hidden="1" outlineLevel="2" x14ac:dyDescent="0.25">
      <c r="B268" s="664">
        <v>14</v>
      </c>
      <c r="C268" s="664">
        <v>268</v>
      </c>
      <c r="D268" s="664" t="s">
        <v>1379</v>
      </c>
      <c r="E268" s="664" t="s">
        <v>926</v>
      </c>
      <c r="F268" s="667">
        <v>140931</v>
      </c>
      <c r="G268" s="667">
        <v>20000</v>
      </c>
    </row>
    <row r="269" spans="2:7" hidden="1" outlineLevel="1" collapsed="1" x14ac:dyDescent="0.25">
      <c r="B269" s="664"/>
      <c r="C269" s="664"/>
      <c r="D269" s="664"/>
      <c r="E269" s="692" t="s">
        <v>1603</v>
      </c>
      <c r="F269" s="667">
        <f>SUBTOTAL(9,F268:F268)</f>
        <v>140931</v>
      </c>
      <c r="G269" s="667">
        <f>SUBTOTAL(9,G268:G268)</f>
        <v>20000</v>
      </c>
    </row>
    <row r="270" spans="2:7" hidden="1" outlineLevel="2" x14ac:dyDescent="0.25">
      <c r="B270" s="664">
        <v>5</v>
      </c>
      <c r="C270" s="664">
        <v>38</v>
      </c>
      <c r="D270" s="664" t="s">
        <v>1432</v>
      </c>
      <c r="E270" s="664" t="s">
        <v>26</v>
      </c>
      <c r="F270" s="667">
        <v>61623</v>
      </c>
      <c r="G270" s="667">
        <v>1500</v>
      </c>
    </row>
    <row r="271" spans="2:7" hidden="1" outlineLevel="2" x14ac:dyDescent="0.25">
      <c r="B271" s="664">
        <v>5</v>
      </c>
      <c r="C271" s="664">
        <v>38</v>
      </c>
      <c r="D271" s="664" t="s">
        <v>1432</v>
      </c>
      <c r="E271" s="664" t="s">
        <v>26</v>
      </c>
      <c r="F271" s="667">
        <v>61623</v>
      </c>
      <c r="G271" s="667">
        <v>1500</v>
      </c>
    </row>
    <row r="272" spans="2:7" hidden="1" outlineLevel="2" x14ac:dyDescent="0.25">
      <c r="B272" s="664">
        <v>5</v>
      </c>
      <c r="C272" s="664">
        <v>38</v>
      </c>
      <c r="D272" s="664" t="s">
        <v>1432</v>
      </c>
      <c r="E272" s="664" t="s">
        <v>26</v>
      </c>
      <c r="F272" s="667">
        <v>61623</v>
      </c>
      <c r="G272" s="667">
        <v>1500</v>
      </c>
    </row>
    <row r="273" spans="2:7" hidden="1" outlineLevel="1" collapsed="1" x14ac:dyDescent="0.25">
      <c r="B273" s="664"/>
      <c r="C273" s="664"/>
      <c r="D273" s="664"/>
      <c r="E273" s="692" t="s">
        <v>1604</v>
      </c>
      <c r="F273" s="667">
        <f>SUBTOTAL(9,F270:F272)</f>
        <v>184869</v>
      </c>
      <c r="G273" s="667">
        <f>SUBTOTAL(9,G270:G272)</f>
        <v>4500</v>
      </c>
    </row>
    <row r="274" spans="2:7" hidden="1" outlineLevel="2" x14ac:dyDescent="0.25">
      <c r="B274" s="664">
        <v>2</v>
      </c>
      <c r="C274" s="664">
        <v>108</v>
      </c>
      <c r="D274" s="664" t="s">
        <v>1405</v>
      </c>
      <c r="E274" s="664" t="s">
        <v>580</v>
      </c>
      <c r="F274" s="667">
        <v>92932</v>
      </c>
      <c r="G274" s="667">
        <v>7900</v>
      </c>
    </row>
    <row r="275" spans="2:7" hidden="1" outlineLevel="2" x14ac:dyDescent="0.25">
      <c r="B275" s="664">
        <v>2</v>
      </c>
      <c r="C275" s="664">
        <v>108</v>
      </c>
      <c r="D275" s="664" t="s">
        <v>1405</v>
      </c>
      <c r="E275" s="664" t="s">
        <v>580</v>
      </c>
      <c r="F275" s="667">
        <v>92932</v>
      </c>
      <c r="G275" s="667">
        <v>7900</v>
      </c>
    </row>
    <row r="276" spans="2:7" hidden="1" outlineLevel="2" x14ac:dyDescent="0.25">
      <c r="B276" s="664">
        <v>2</v>
      </c>
      <c r="C276" s="664">
        <v>108</v>
      </c>
      <c r="D276" s="664" t="s">
        <v>1405</v>
      </c>
      <c r="E276" s="664" t="s">
        <v>580</v>
      </c>
      <c r="F276" s="667">
        <v>92932</v>
      </c>
      <c r="G276" s="667">
        <v>8000</v>
      </c>
    </row>
    <row r="277" spans="2:7" hidden="1" outlineLevel="1" collapsed="1" x14ac:dyDescent="0.25">
      <c r="B277" s="664"/>
      <c r="C277" s="664"/>
      <c r="D277" s="664"/>
      <c r="E277" s="692" t="s">
        <v>1605</v>
      </c>
      <c r="F277" s="667">
        <f>SUBTOTAL(9,F274:F276)</f>
        <v>278796</v>
      </c>
      <c r="G277" s="667">
        <f>SUBTOTAL(9,G274:G276)</f>
        <v>23800</v>
      </c>
    </row>
    <row r="278" spans="2:7" hidden="1" outlineLevel="2" x14ac:dyDescent="0.25">
      <c r="B278" s="664">
        <v>3</v>
      </c>
      <c r="C278" s="664">
        <v>180</v>
      </c>
      <c r="D278" s="664" t="s">
        <v>1456</v>
      </c>
      <c r="E278" s="664" t="s">
        <v>943</v>
      </c>
      <c r="F278" s="667">
        <v>98303</v>
      </c>
      <c r="G278" s="667">
        <v>9000</v>
      </c>
    </row>
    <row r="279" spans="2:7" hidden="1" outlineLevel="2" x14ac:dyDescent="0.25">
      <c r="B279" s="664">
        <v>3</v>
      </c>
      <c r="C279" s="664">
        <v>180</v>
      </c>
      <c r="D279" s="664" t="s">
        <v>1456</v>
      </c>
      <c r="E279" s="664" t="s">
        <v>943</v>
      </c>
      <c r="F279" s="667">
        <v>98303</v>
      </c>
      <c r="G279" s="667">
        <v>9000</v>
      </c>
    </row>
    <row r="280" spans="2:7" hidden="1" outlineLevel="1" collapsed="1" x14ac:dyDescent="0.25">
      <c r="B280" s="664"/>
      <c r="C280" s="664"/>
      <c r="D280" s="664"/>
      <c r="E280" s="692" t="s">
        <v>1636</v>
      </c>
      <c r="F280" s="667">
        <f>SUBTOTAL(9,F278:F279)</f>
        <v>196606</v>
      </c>
      <c r="G280" s="667">
        <f>SUBTOTAL(9,G278:G279)</f>
        <v>18000</v>
      </c>
    </row>
    <row r="281" spans="2:7" hidden="1" outlineLevel="2" x14ac:dyDescent="0.25">
      <c r="B281" s="664">
        <v>4</v>
      </c>
      <c r="C281" s="664">
        <v>35</v>
      </c>
      <c r="D281" s="664" t="s">
        <v>1431</v>
      </c>
      <c r="E281" s="664" t="s">
        <v>22</v>
      </c>
      <c r="F281" s="667">
        <v>64374</v>
      </c>
      <c r="G281" s="667">
        <v>1500</v>
      </c>
    </row>
    <row r="282" spans="2:7" hidden="1" outlineLevel="2" x14ac:dyDescent="0.25">
      <c r="B282" s="664">
        <v>4</v>
      </c>
      <c r="C282" s="664">
        <v>35</v>
      </c>
      <c r="D282" s="664" t="s">
        <v>1431</v>
      </c>
      <c r="E282" s="664" t="s">
        <v>22</v>
      </c>
      <c r="F282" s="667">
        <v>64374</v>
      </c>
      <c r="G282" s="667">
        <v>1500</v>
      </c>
    </row>
    <row r="283" spans="2:7" hidden="1" outlineLevel="2" x14ac:dyDescent="0.25">
      <c r="B283" s="664">
        <v>4</v>
      </c>
      <c r="C283" s="664">
        <v>35</v>
      </c>
      <c r="D283" s="664" t="s">
        <v>1431</v>
      </c>
      <c r="E283" s="664" t="s">
        <v>22</v>
      </c>
      <c r="F283" s="667">
        <v>64374</v>
      </c>
      <c r="G283" s="667">
        <v>1500</v>
      </c>
    </row>
    <row r="284" spans="2:7" hidden="1" outlineLevel="1" collapsed="1" x14ac:dyDescent="0.25">
      <c r="B284" s="664"/>
      <c r="C284" s="664"/>
      <c r="D284" s="664"/>
      <c r="E284" s="692" t="s">
        <v>1606</v>
      </c>
      <c r="F284" s="667">
        <f>SUBTOTAL(9,F281:F283)</f>
        <v>193122</v>
      </c>
      <c r="G284" s="667">
        <f>SUBTOTAL(9,G281:G283)</f>
        <v>4500</v>
      </c>
    </row>
    <row r="285" spans="2:7" hidden="1" outlineLevel="2" x14ac:dyDescent="0.25">
      <c r="B285" s="664">
        <v>3</v>
      </c>
      <c r="C285" s="664">
        <v>110</v>
      </c>
      <c r="D285" s="664" t="s">
        <v>1406</v>
      </c>
      <c r="E285" s="664" t="s">
        <v>584</v>
      </c>
      <c r="F285" s="667">
        <v>95552</v>
      </c>
      <c r="G285" s="667">
        <v>7200</v>
      </c>
    </row>
    <row r="286" spans="2:7" hidden="1" outlineLevel="2" x14ac:dyDescent="0.25">
      <c r="B286" s="664">
        <v>3</v>
      </c>
      <c r="C286" s="664">
        <v>110</v>
      </c>
      <c r="D286" s="664" t="s">
        <v>1406</v>
      </c>
      <c r="E286" s="664" t="s">
        <v>584</v>
      </c>
      <c r="F286" s="667">
        <v>95552</v>
      </c>
      <c r="G286" s="667">
        <v>7200</v>
      </c>
    </row>
    <row r="287" spans="2:7" hidden="1" outlineLevel="2" x14ac:dyDescent="0.25">
      <c r="B287" s="664">
        <v>3</v>
      </c>
      <c r="C287" s="664">
        <v>110</v>
      </c>
      <c r="D287" s="664" t="s">
        <v>1406</v>
      </c>
      <c r="E287" s="664" t="s">
        <v>584</v>
      </c>
      <c r="F287" s="667">
        <v>95552</v>
      </c>
      <c r="G287" s="667">
        <v>7500</v>
      </c>
    </row>
    <row r="288" spans="2:7" hidden="1" outlineLevel="1" collapsed="1" x14ac:dyDescent="0.25">
      <c r="B288" s="664"/>
      <c r="C288" s="664"/>
      <c r="D288" s="664"/>
      <c r="E288" s="692" t="s">
        <v>1607</v>
      </c>
      <c r="F288" s="667">
        <f>SUBTOTAL(9,F285:F287)</f>
        <v>286656</v>
      </c>
      <c r="G288" s="667">
        <f>SUBTOTAL(9,G285:G287)</f>
        <v>21900</v>
      </c>
    </row>
    <row r="289" spans="2:7" hidden="1" outlineLevel="2" x14ac:dyDescent="0.25">
      <c r="B289" s="664">
        <v>2</v>
      </c>
      <c r="C289" s="664">
        <v>7</v>
      </c>
      <c r="D289" s="664" t="s">
        <v>1446</v>
      </c>
      <c r="E289" s="664" t="s">
        <v>1447</v>
      </c>
      <c r="F289" s="667">
        <v>107214</v>
      </c>
      <c r="G289" s="667">
        <v>2000</v>
      </c>
    </row>
    <row r="290" spans="2:7" hidden="1" outlineLevel="2" x14ac:dyDescent="0.25">
      <c r="B290" s="664">
        <v>2</v>
      </c>
      <c r="C290" s="664">
        <v>7</v>
      </c>
      <c r="D290" s="664" t="s">
        <v>1446</v>
      </c>
      <c r="E290" s="664" t="s">
        <v>1447</v>
      </c>
      <c r="F290" s="667">
        <v>107214</v>
      </c>
      <c r="G290" s="667">
        <v>2000</v>
      </c>
    </row>
    <row r="291" spans="2:7" hidden="1" outlineLevel="2" x14ac:dyDescent="0.25">
      <c r="B291" s="664">
        <v>2</v>
      </c>
      <c r="C291" s="664">
        <v>7</v>
      </c>
      <c r="D291" s="664" t="s">
        <v>1446</v>
      </c>
      <c r="E291" s="664" t="s">
        <v>1447</v>
      </c>
      <c r="F291" s="667">
        <v>107214</v>
      </c>
      <c r="G291" s="667">
        <v>2000</v>
      </c>
    </row>
    <row r="292" spans="2:7" hidden="1" outlineLevel="1" collapsed="1" x14ac:dyDescent="0.25">
      <c r="B292" s="664"/>
      <c r="C292" s="664"/>
      <c r="D292" s="664"/>
      <c r="E292" s="692" t="s">
        <v>1609</v>
      </c>
      <c r="F292" s="667">
        <f>SUBTOTAL(9,F289:F291)</f>
        <v>321642</v>
      </c>
      <c r="G292" s="667">
        <f>SUBTOTAL(9,G289:G291)</f>
        <v>6000</v>
      </c>
    </row>
    <row r="293" spans="2:7" hidden="1" outlineLevel="2" x14ac:dyDescent="0.25">
      <c r="B293" s="664">
        <v>3</v>
      </c>
      <c r="C293" s="664">
        <v>40</v>
      </c>
      <c r="D293" s="664" t="s">
        <v>1439</v>
      </c>
      <c r="E293" s="664" t="s">
        <v>766</v>
      </c>
      <c r="F293" s="667">
        <v>59920</v>
      </c>
      <c r="G293" s="667">
        <v>1000</v>
      </c>
    </row>
    <row r="294" spans="2:7" hidden="1" outlineLevel="2" x14ac:dyDescent="0.25">
      <c r="B294" s="664">
        <v>3</v>
      </c>
      <c r="C294" s="664">
        <v>40</v>
      </c>
      <c r="D294" s="664" t="s">
        <v>1439</v>
      </c>
      <c r="E294" s="664" t="s">
        <v>766</v>
      </c>
      <c r="F294" s="667">
        <v>59920</v>
      </c>
      <c r="G294" s="667">
        <v>1000</v>
      </c>
    </row>
    <row r="295" spans="2:7" hidden="1" outlineLevel="2" x14ac:dyDescent="0.25">
      <c r="B295" s="664">
        <v>3</v>
      </c>
      <c r="C295" s="664">
        <v>40</v>
      </c>
      <c r="D295" s="664" t="s">
        <v>1439</v>
      </c>
      <c r="E295" s="664" t="s">
        <v>766</v>
      </c>
      <c r="F295" s="667">
        <v>59920</v>
      </c>
      <c r="G295" s="667">
        <v>1000</v>
      </c>
    </row>
    <row r="296" spans="2:7" hidden="1" outlineLevel="1" collapsed="1" x14ac:dyDescent="0.25">
      <c r="B296" s="664"/>
      <c r="C296" s="664"/>
      <c r="D296" s="664"/>
      <c r="E296" s="692" t="s">
        <v>1611</v>
      </c>
      <c r="F296" s="667">
        <f>SUBTOTAL(9,F293:F295)</f>
        <v>179760</v>
      </c>
      <c r="G296" s="667">
        <f>SUBTOTAL(9,G293:G295)</f>
        <v>3000</v>
      </c>
    </row>
    <row r="297" spans="2:7" hidden="1" outlineLevel="2" x14ac:dyDescent="0.25">
      <c r="B297" s="664">
        <v>7</v>
      </c>
      <c r="C297" s="664">
        <v>55</v>
      </c>
      <c r="D297" s="664" t="s">
        <v>1457</v>
      </c>
      <c r="E297" s="664" t="s">
        <v>76</v>
      </c>
      <c r="F297" s="667">
        <v>52977</v>
      </c>
      <c r="G297" s="667">
        <v>2000</v>
      </c>
    </row>
    <row r="298" spans="2:7" hidden="1" outlineLevel="1" collapsed="1" x14ac:dyDescent="0.25">
      <c r="B298" s="664"/>
      <c r="C298" s="664"/>
      <c r="D298" s="664"/>
      <c r="E298" s="692" t="s">
        <v>1612</v>
      </c>
      <c r="F298" s="667">
        <f>SUBTOTAL(9,F297:F297)</f>
        <v>52977</v>
      </c>
      <c r="G298" s="667">
        <f>SUBTOTAL(9,G297:G297)</f>
        <v>2000</v>
      </c>
    </row>
    <row r="299" spans="2:7" hidden="1" outlineLevel="2" x14ac:dyDescent="0.25">
      <c r="B299" s="664">
        <v>3</v>
      </c>
      <c r="C299" s="664">
        <v>177</v>
      </c>
      <c r="D299" s="664" t="s">
        <v>1392</v>
      </c>
      <c r="E299" s="664" t="s">
        <v>959</v>
      </c>
      <c r="F299" s="667">
        <v>133202</v>
      </c>
      <c r="G299" s="667">
        <v>19500</v>
      </c>
    </row>
    <row r="300" spans="2:7" hidden="1" outlineLevel="2" x14ac:dyDescent="0.25">
      <c r="B300" s="664">
        <v>3</v>
      </c>
      <c r="C300" s="664">
        <v>177</v>
      </c>
      <c r="D300" s="664" t="s">
        <v>1392</v>
      </c>
      <c r="E300" s="664" t="s">
        <v>959</v>
      </c>
      <c r="F300" s="667">
        <v>133202</v>
      </c>
      <c r="G300" s="667">
        <v>19500</v>
      </c>
    </row>
    <row r="301" spans="2:7" hidden="1" outlineLevel="2" x14ac:dyDescent="0.25">
      <c r="B301" s="664">
        <v>3</v>
      </c>
      <c r="C301" s="664">
        <v>177</v>
      </c>
      <c r="D301" s="664" t="s">
        <v>1392</v>
      </c>
      <c r="E301" s="664" t="s">
        <v>959</v>
      </c>
      <c r="F301" s="667">
        <v>133202</v>
      </c>
      <c r="G301" s="667">
        <v>19500</v>
      </c>
    </row>
    <row r="302" spans="2:7" hidden="1" outlineLevel="1" collapsed="1" x14ac:dyDescent="0.25">
      <c r="B302" s="664"/>
      <c r="C302" s="664"/>
      <c r="D302" s="664"/>
      <c r="E302" s="692" t="s">
        <v>1613</v>
      </c>
      <c r="F302" s="667">
        <f>SUBTOTAL(9,F299:F301)</f>
        <v>399606</v>
      </c>
      <c r="G302" s="667">
        <f>SUBTOTAL(9,G299:G301)</f>
        <v>58500</v>
      </c>
    </row>
    <row r="303" spans="2:7" hidden="1" outlineLevel="2" x14ac:dyDescent="0.25">
      <c r="B303" s="664">
        <v>1</v>
      </c>
      <c r="C303" s="664">
        <v>16</v>
      </c>
      <c r="D303" s="664" t="s">
        <v>1437</v>
      </c>
      <c r="E303" s="664" t="s">
        <v>559</v>
      </c>
      <c r="F303" s="667">
        <v>71972</v>
      </c>
      <c r="G303" s="667">
        <v>2500</v>
      </c>
    </row>
    <row r="304" spans="2:7" hidden="1" outlineLevel="2" x14ac:dyDescent="0.25">
      <c r="B304" s="664">
        <v>1</v>
      </c>
      <c r="C304" s="664">
        <v>16</v>
      </c>
      <c r="D304" s="664" t="s">
        <v>1437</v>
      </c>
      <c r="E304" s="664" t="s">
        <v>559</v>
      </c>
      <c r="F304" s="667">
        <v>71972</v>
      </c>
      <c r="G304" s="667">
        <v>2500</v>
      </c>
    </row>
    <row r="305" spans="2:7" hidden="1" outlineLevel="2" x14ac:dyDescent="0.25">
      <c r="B305" s="664">
        <v>1</v>
      </c>
      <c r="C305" s="664">
        <v>16</v>
      </c>
      <c r="D305" s="664" t="s">
        <v>1437</v>
      </c>
      <c r="E305" s="664" t="s">
        <v>559</v>
      </c>
      <c r="F305" s="667">
        <v>71972</v>
      </c>
      <c r="G305" s="667">
        <v>2500</v>
      </c>
    </row>
    <row r="306" spans="2:7" hidden="1" outlineLevel="1" collapsed="1" x14ac:dyDescent="0.25">
      <c r="B306" s="664"/>
      <c r="C306" s="664"/>
      <c r="D306" s="664"/>
      <c r="E306" s="692" t="s">
        <v>1614</v>
      </c>
      <c r="F306" s="667">
        <f>SUBTOTAL(9,F303:F305)</f>
        <v>215916</v>
      </c>
      <c r="G306" s="667">
        <f>SUBTOTAL(9,G303:G305)</f>
        <v>7500</v>
      </c>
    </row>
    <row r="307" spans="2:7" ht="30" hidden="1" outlineLevel="2" x14ac:dyDescent="0.25">
      <c r="B307" s="664">
        <v>6</v>
      </c>
      <c r="C307" s="664">
        <v>265</v>
      </c>
      <c r="D307" s="664" t="s">
        <v>1418</v>
      </c>
      <c r="E307" s="664" t="s">
        <v>72</v>
      </c>
      <c r="F307" s="667">
        <v>109889</v>
      </c>
      <c r="G307" s="667">
        <v>12000</v>
      </c>
    </row>
    <row r="308" spans="2:7" ht="30" hidden="1" outlineLevel="2" x14ac:dyDescent="0.25">
      <c r="B308" s="664">
        <v>7</v>
      </c>
      <c r="C308" s="664">
        <v>265</v>
      </c>
      <c r="D308" s="664" t="s">
        <v>1418</v>
      </c>
      <c r="E308" s="664" t="s">
        <v>72</v>
      </c>
      <c r="F308" s="667">
        <v>109889</v>
      </c>
      <c r="G308" s="667">
        <v>12000</v>
      </c>
    </row>
    <row r="309" spans="2:7" ht="30" hidden="1" outlineLevel="2" x14ac:dyDescent="0.25">
      <c r="B309" s="664">
        <v>7</v>
      </c>
      <c r="C309" s="664">
        <v>265</v>
      </c>
      <c r="D309" s="664" t="s">
        <v>1418</v>
      </c>
      <c r="E309" s="664" t="s">
        <v>72</v>
      </c>
      <c r="F309" s="667">
        <v>109889</v>
      </c>
      <c r="G309" s="667">
        <v>12000</v>
      </c>
    </row>
    <row r="310" spans="2:7" hidden="1" outlineLevel="1" collapsed="1" x14ac:dyDescent="0.25">
      <c r="B310" s="664"/>
      <c r="C310" s="664"/>
      <c r="D310" s="664"/>
      <c r="E310" s="692" t="s">
        <v>1617</v>
      </c>
      <c r="F310" s="667">
        <f>SUBTOTAL(9,F307:F309)</f>
        <v>329667</v>
      </c>
      <c r="G310" s="667">
        <f>SUBTOTAL(9,G307:G309)</f>
        <v>36000</v>
      </c>
    </row>
    <row r="311" spans="2:7" hidden="1" outlineLevel="2" x14ac:dyDescent="0.25">
      <c r="B311" s="664">
        <v>18</v>
      </c>
      <c r="C311" s="664">
        <v>76</v>
      </c>
      <c r="D311" s="664" t="s">
        <v>1383</v>
      </c>
      <c r="E311" s="664" t="s">
        <v>40</v>
      </c>
      <c r="F311" s="667">
        <v>80999</v>
      </c>
      <c r="G311" s="667">
        <v>6000</v>
      </c>
    </row>
    <row r="312" spans="2:7" hidden="1" outlineLevel="2" x14ac:dyDescent="0.25">
      <c r="B312" s="664">
        <v>17</v>
      </c>
      <c r="C312" s="664">
        <v>76</v>
      </c>
      <c r="D312" s="664" t="s">
        <v>1383</v>
      </c>
      <c r="E312" s="664" t="s">
        <v>40</v>
      </c>
      <c r="F312" s="667">
        <v>80999</v>
      </c>
      <c r="G312" s="667">
        <v>6000</v>
      </c>
    </row>
    <row r="313" spans="2:7" hidden="1" outlineLevel="2" x14ac:dyDescent="0.25">
      <c r="B313" s="664">
        <v>17</v>
      </c>
      <c r="C313" s="664">
        <v>76</v>
      </c>
      <c r="D313" s="664" t="s">
        <v>1383</v>
      </c>
      <c r="E313" s="664" t="s">
        <v>40</v>
      </c>
      <c r="F313" s="667">
        <v>80999</v>
      </c>
      <c r="G313" s="667">
        <v>6000</v>
      </c>
    </row>
    <row r="314" spans="2:7" hidden="1" outlineLevel="1" collapsed="1" x14ac:dyDescent="0.25">
      <c r="B314" s="664"/>
      <c r="C314" s="664"/>
      <c r="D314" s="664"/>
      <c r="E314" s="692" t="s">
        <v>1620</v>
      </c>
      <c r="F314" s="667">
        <f>SUBTOTAL(9,F311:F313)</f>
        <v>242997</v>
      </c>
      <c r="G314" s="667">
        <f>SUBTOTAL(9,G311:G313)</f>
        <v>18000</v>
      </c>
    </row>
    <row r="315" spans="2:7" hidden="1" outlineLevel="2" x14ac:dyDescent="0.25">
      <c r="B315" s="664">
        <v>1</v>
      </c>
      <c r="C315" s="664">
        <v>113</v>
      </c>
      <c r="D315" s="664" t="s">
        <v>1408</v>
      </c>
      <c r="E315" s="664" t="s">
        <v>590</v>
      </c>
      <c r="F315" s="667">
        <v>71972</v>
      </c>
      <c r="G315" s="667">
        <v>500</v>
      </c>
    </row>
    <row r="316" spans="2:7" hidden="1" outlineLevel="2" x14ac:dyDescent="0.25">
      <c r="B316" s="664">
        <v>1</v>
      </c>
      <c r="C316" s="664">
        <v>113</v>
      </c>
      <c r="D316" s="664" t="s">
        <v>1408</v>
      </c>
      <c r="E316" s="664" t="s">
        <v>590</v>
      </c>
      <c r="F316" s="667">
        <v>71972</v>
      </c>
      <c r="G316" s="667">
        <v>500</v>
      </c>
    </row>
    <row r="317" spans="2:7" hidden="1" outlineLevel="2" x14ac:dyDescent="0.25">
      <c r="B317" s="664">
        <v>1</v>
      </c>
      <c r="C317" s="664">
        <v>113</v>
      </c>
      <c r="D317" s="664" t="s">
        <v>1408</v>
      </c>
      <c r="E317" s="664" t="s">
        <v>590</v>
      </c>
      <c r="F317" s="667">
        <v>71972</v>
      </c>
      <c r="G317" s="667">
        <v>500</v>
      </c>
    </row>
    <row r="318" spans="2:7" hidden="1" outlineLevel="1" collapsed="1" x14ac:dyDescent="0.25">
      <c r="B318" s="664"/>
      <c r="C318" s="664"/>
      <c r="D318" s="664"/>
      <c r="E318" s="692" t="s">
        <v>1622</v>
      </c>
      <c r="F318" s="667">
        <f>SUBTOTAL(9,F315:F317)</f>
        <v>215916</v>
      </c>
      <c r="G318" s="667">
        <f>SUBTOTAL(9,G315:G317)</f>
        <v>1500</v>
      </c>
    </row>
    <row r="319" spans="2:7" hidden="1" outlineLevel="2" x14ac:dyDescent="0.25">
      <c r="B319" s="664">
        <v>1</v>
      </c>
      <c r="C319" s="664">
        <v>62</v>
      </c>
      <c r="D319" s="664" t="s">
        <v>1434</v>
      </c>
      <c r="E319" s="664" t="s">
        <v>89</v>
      </c>
      <c r="F319" s="667">
        <v>59418</v>
      </c>
      <c r="G319" s="667">
        <v>1000</v>
      </c>
    </row>
    <row r="320" spans="2:7" hidden="1" outlineLevel="2" x14ac:dyDescent="0.25">
      <c r="B320" s="664">
        <v>1</v>
      </c>
      <c r="C320" s="664">
        <v>62</v>
      </c>
      <c r="D320" s="664" t="s">
        <v>1434</v>
      </c>
      <c r="E320" s="664" t="s">
        <v>89</v>
      </c>
      <c r="F320" s="667">
        <v>54418</v>
      </c>
      <c r="G320" s="667">
        <v>1000</v>
      </c>
    </row>
    <row r="321" spans="2:7" hidden="1" outlineLevel="2" x14ac:dyDescent="0.25">
      <c r="B321" s="664">
        <v>1</v>
      </c>
      <c r="C321" s="664">
        <v>62</v>
      </c>
      <c r="D321" s="664" t="s">
        <v>1434</v>
      </c>
      <c r="E321" s="664" t="s">
        <v>89</v>
      </c>
      <c r="F321" s="667">
        <v>54418</v>
      </c>
      <c r="G321" s="667">
        <v>2000</v>
      </c>
    </row>
    <row r="322" spans="2:7" hidden="1" outlineLevel="1" collapsed="1" x14ac:dyDescent="0.25">
      <c r="B322" s="664"/>
      <c r="C322" s="664"/>
      <c r="D322" s="664"/>
      <c r="E322" s="692" t="s">
        <v>1624</v>
      </c>
      <c r="F322" s="667">
        <f>SUBTOTAL(9,F319:F321)</f>
        <v>168254</v>
      </c>
      <c r="G322" s="667">
        <f>SUBTOTAL(9,G319:G321)</f>
        <v>4000</v>
      </c>
    </row>
    <row r="323" spans="2:7" hidden="1" outlineLevel="2" x14ac:dyDescent="0.25">
      <c r="B323" s="664">
        <v>1</v>
      </c>
      <c r="C323" s="664">
        <v>115</v>
      </c>
      <c r="D323" s="664" t="s">
        <v>1401</v>
      </c>
      <c r="E323" s="664" t="s">
        <v>594</v>
      </c>
      <c r="F323" s="667">
        <v>71972</v>
      </c>
      <c r="G323" s="667">
        <v>2000</v>
      </c>
    </row>
    <row r="324" spans="2:7" hidden="1" outlineLevel="2" x14ac:dyDescent="0.25">
      <c r="B324" s="664">
        <v>1</v>
      </c>
      <c r="C324" s="664">
        <v>115</v>
      </c>
      <c r="D324" s="664" t="s">
        <v>1401</v>
      </c>
      <c r="E324" s="664" t="s">
        <v>594</v>
      </c>
      <c r="F324" s="667">
        <v>71972</v>
      </c>
      <c r="G324" s="667">
        <v>2000</v>
      </c>
    </row>
    <row r="325" spans="2:7" hidden="1" outlineLevel="2" x14ac:dyDescent="0.25">
      <c r="B325" s="664">
        <v>1</v>
      </c>
      <c r="C325" s="664">
        <v>115</v>
      </c>
      <c r="D325" s="664" t="s">
        <v>1401</v>
      </c>
      <c r="E325" s="664" t="s">
        <v>594</v>
      </c>
      <c r="F325" s="667">
        <v>71972</v>
      </c>
      <c r="G325" s="667">
        <v>2000</v>
      </c>
    </row>
    <row r="326" spans="2:7" hidden="1" outlineLevel="1" collapsed="1" x14ac:dyDescent="0.25">
      <c r="B326" s="664"/>
      <c r="C326" s="664"/>
      <c r="D326" s="664"/>
      <c r="E326" s="692" t="s">
        <v>1625</v>
      </c>
      <c r="F326" s="667">
        <f>SUBTOTAL(9,F323:F325)</f>
        <v>215916</v>
      </c>
      <c r="G326" s="667">
        <f>SUBTOTAL(9,G323:G325)</f>
        <v>6000</v>
      </c>
    </row>
    <row r="327" spans="2:7" hidden="1" outlineLevel="2" x14ac:dyDescent="0.25">
      <c r="B327" s="664">
        <v>1</v>
      </c>
      <c r="C327" s="664">
        <v>17</v>
      </c>
      <c r="D327" s="664" t="s">
        <v>1385</v>
      </c>
      <c r="E327" s="664" t="s">
        <v>58</v>
      </c>
      <c r="F327" s="667">
        <v>71972</v>
      </c>
      <c r="G327" s="667">
        <v>8000</v>
      </c>
    </row>
    <row r="328" spans="2:7" hidden="1" outlineLevel="2" x14ac:dyDescent="0.25">
      <c r="B328" s="664">
        <v>1</v>
      </c>
      <c r="C328" s="664">
        <v>17</v>
      </c>
      <c r="D328" s="664" t="s">
        <v>1385</v>
      </c>
      <c r="E328" s="664" t="s">
        <v>58</v>
      </c>
      <c r="F328" s="667">
        <v>71972</v>
      </c>
      <c r="G328" s="667">
        <v>8000</v>
      </c>
    </row>
    <row r="329" spans="2:7" hidden="1" outlineLevel="2" x14ac:dyDescent="0.25">
      <c r="B329" s="664">
        <v>1</v>
      </c>
      <c r="C329" s="664">
        <v>17</v>
      </c>
      <c r="D329" s="664" t="s">
        <v>1385</v>
      </c>
      <c r="E329" s="664" t="s">
        <v>58</v>
      </c>
      <c r="F329" s="667">
        <v>71972</v>
      </c>
      <c r="G329" s="667">
        <v>8000</v>
      </c>
    </row>
    <row r="330" spans="2:7" hidden="1" outlineLevel="1" collapsed="1" x14ac:dyDescent="0.25">
      <c r="B330" s="664"/>
      <c r="C330" s="664"/>
      <c r="D330" s="664"/>
      <c r="E330" s="692" t="s">
        <v>1626</v>
      </c>
      <c r="F330" s="667">
        <f>SUBTOTAL(9,F327:F329)</f>
        <v>215916</v>
      </c>
      <c r="G330" s="667">
        <f>SUBTOTAL(9,G327:G329)</f>
        <v>24000</v>
      </c>
    </row>
    <row r="331" spans="2:7" hidden="1" outlineLevel="2" x14ac:dyDescent="0.25">
      <c r="B331" s="664">
        <v>2</v>
      </c>
      <c r="C331" s="664">
        <v>12</v>
      </c>
      <c r="D331" s="664" t="s">
        <v>1367</v>
      </c>
      <c r="E331" s="664" t="s">
        <v>54</v>
      </c>
      <c r="F331" s="667">
        <v>95552</v>
      </c>
      <c r="G331" s="667">
        <v>3000</v>
      </c>
    </row>
    <row r="332" spans="2:7" hidden="1" outlineLevel="2" x14ac:dyDescent="0.25">
      <c r="B332" s="664">
        <v>2</v>
      </c>
      <c r="C332" s="664">
        <v>12</v>
      </c>
      <c r="D332" s="664" t="s">
        <v>1367</v>
      </c>
      <c r="E332" s="664" t="s">
        <v>54</v>
      </c>
      <c r="F332" s="667">
        <v>95552</v>
      </c>
      <c r="G332" s="667">
        <v>3000</v>
      </c>
    </row>
    <row r="333" spans="2:7" hidden="1" outlineLevel="2" x14ac:dyDescent="0.25">
      <c r="B333" s="664">
        <v>2</v>
      </c>
      <c r="C333" s="664">
        <v>12</v>
      </c>
      <c r="D333" s="664" t="s">
        <v>1367</v>
      </c>
      <c r="E333" s="664" t="s">
        <v>54</v>
      </c>
      <c r="F333" s="667">
        <v>95552</v>
      </c>
      <c r="G333" s="667">
        <v>3000</v>
      </c>
    </row>
    <row r="334" spans="2:7" hidden="1" outlineLevel="1" collapsed="1" x14ac:dyDescent="0.25">
      <c r="B334" s="664"/>
      <c r="C334" s="664"/>
      <c r="D334" s="664"/>
      <c r="E334" s="692" t="s">
        <v>1627</v>
      </c>
      <c r="F334" s="667">
        <f>SUBTOTAL(9,F331:F333)</f>
        <v>286656</v>
      </c>
      <c r="G334" s="667">
        <f>SUBTOTAL(9,G331:G333)</f>
        <v>9000</v>
      </c>
    </row>
    <row r="335" spans="2:7" hidden="1" outlineLevel="2" x14ac:dyDescent="0.25">
      <c r="B335" s="664">
        <v>8</v>
      </c>
      <c r="C335" s="664">
        <v>273</v>
      </c>
      <c r="D335" s="664" t="s">
        <v>1420</v>
      </c>
      <c r="E335" s="664" t="s">
        <v>545</v>
      </c>
      <c r="F335" s="667">
        <v>144992</v>
      </c>
      <c r="G335" s="667">
        <v>17000</v>
      </c>
    </row>
    <row r="336" spans="2:7" hidden="1" outlineLevel="2" x14ac:dyDescent="0.25">
      <c r="B336" s="664">
        <v>9</v>
      </c>
      <c r="C336" s="664">
        <v>273</v>
      </c>
      <c r="D336" s="664" t="s">
        <v>1420</v>
      </c>
      <c r="E336" s="664" t="s">
        <v>545</v>
      </c>
      <c r="F336" s="667">
        <v>144992</v>
      </c>
      <c r="G336" s="667">
        <v>17000</v>
      </c>
    </row>
    <row r="337" spans="2:7" hidden="1" outlineLevel="2" x14ac:dyDescent="0.25">
      <c r="B337" s="664">
        <v>9</v>
      </c>
      <c r="C337" s="664">
        <v>273</v>
      </c>
      <c r="D337" s="664" t="s">
        <v>1420</v>
      </c>
      <c r="E337" s="664" t="s">
        <v>545</v>
      </c>
      <c r="F337" s="667">
        <v>122355</v>
      </c>
      <c r="G337" s="667">
        <v>17000</v>
      </c>
    </row>
    <row r="338" spans="2:7" hidden="1" outlineLevel="1" collapsed="1" x14ac:dyDescent="0.25">
      <c r="B338" s="664"/>
      <c r="C338" s="664"/>
      <c r="D338" s="664"/>
      <c r="E338" s="692" t="s">
        <v>1628</v>
      </c>
      <c r="F338" s="667">
        <f>SUBTOTAL(9,F335:F337)</f>
        <v>412339</v>
      </c>
      <c r="G338" s="667">
        <f>SUBTOTAL(9,G335:G337)</f>
        <v>51000</v>
      </c>
    </row>
    <row r="339" spans="2:7" hidden="1" outlineLevel="2" x14ac:dyDescent="0.25">
      <c r="B339" s="664">
        <v>5</v>
      </c>
      <c r="C339" s="664">
        <v>23</v>
      </c>
      <c r="D339" s="664" t="s">
        <v>1417</v>
      </c>
      <c r="E339" s="664" t="s">
        <v>30</v>
      </c>
      <c r="F339" s="667">
        <v>99510</v>
      </c>
      <c r="G339" s="667">
        <v>10000</v>
      </c>
    </row>
    <row r="340" spans="2:7" hidden="1" outlineLevel="2" x14ac:dyDescent="0.25">
      <c r="B340" s="664">
        <v>6</v>
      </c>
      <c r="C340" s="664">
        <v>23</v>
      </c>
      <c r="D340" s="664" t="s">
        <v>1417</v>
      </c>
      <c r="E340" s="664" t="s">
        <v>30</v>
      </c>
      <c r="F340" s="667">
        <v>99510</v>
      </c>
      <c r="G340" s="667">
        <v>10000</v>
      </c>
    </row>
    <row r="341" spans="2:7" hidden="1" outlineLevel="2" x14ac:dyDescent="0.25">
      <c r="B341" s="664">
        <v>6</v>
      </c>
      <c r="C341" s="664">
        <v>23</v>
      </c>
      <c r="D341" s="664" t="s">
        <v>1417</v>
      </c>
      <c r="E341" s="664" t="s">
        <v>30</v>
      </c>
      <c r="F341" s="667">
        <v>99510</v>
      </c>
      <c r="G341" s="667">
        <v>10000</v>
      </c>
    </row>
    <row r="342" spans="2:7" hidden="1" outlineLevel="2" x14ac:dyDescent="0.25">
      <c r="B342" s="696">
        <v>1</v>
      </c>
      <c r="C342" s="697">
        <v>23</v>
      </c>
      <c r="D342" s="697" t="s">
        <v>1417</v>
      </c>
      <c r="E342" s="702" t="s">
        <v>30</v>
      </c>
      <c r="F342" s="698">
        <v>53954</v>
      </c>
      <c r="G342" s="699">
        <v>5395</v>
      </c>
    </row>
    <row r="343" spans="2:7" hidden="1" outlineLevel="1" collapsed="1" x14ac:dyDescent="0.25">
      <c r="B343" s="696"/>
      <c r="C343" s="697"/>
      <c r="D343" s="697"/>
      <c r="E343" s="703" t="s">
        <v>1630</v>
      </c>
      <c r="F343" s="698">
        <f>SUBTOTAL(9,F339:F342)</f>
        <v>352484</v>
      </c>
      <c r="G343" s="699">
        <f>SUBTOTAL(9,G339:G342)</f>
        <v>35395</v>
      </c>
    </row>
    <row r="344" spans="2:7" hidden="1" outlineLevel="2" x14ac:dyDescent="0.25">
      <c r="B344" s="664">
        <v>2</v>
      </c>
      <c r="C344" s="664">
        <v>116</v>
      </c>
      <c r="D344" s="664" t="s">
        <v>1402</v>
      </c>
      <c r="E344" s="664" t="s">
        <v>596</v>
      </c>
      <c r="F344" s="667">
        <v>59492</v>
      </c>
      <c r="G344" s="667">
        <v>500</v>
      </c>
    </row>
    <row r="345" spans="2:7" hidden="1" outlineLevel="2" x14ac:dyDescent="0.25">
      <c r="B345" s="664">
        <v>2</v>
      </c>
      <c r="C345" s="664">
        <v>116</v>
      </c>
      <c r="D345" s="664" t="s">
        <v>1402</v>
      </c>
      <c r="E345" s="664" t="s">
        <v>596</v>
      </c>
      <c r="F345" s="667">
        <v>59492</v>
      </c>
      <c r="G345" s="667">
        <v>500</v>
      </c>
    </row>
    <row r="346" spans="2:7" hidden="1" outlineLevel="2" x14ac:dyDescent="0.25">
      <c r="B346" s="664">
        <v>2</v>
      </c>
      <c r="C346" s="664">
        <v>116</v>
      </c>
      <c r="D346" s="664" t="s">
        <v>1402</v>
      </c>
      <c r="E346" s="664" t="s">
        <v>596</v>
      </c>
      <c r="F346" s="667">
        <v>59492</v>
      </c>
      <c r="G346" s="667">
        <v>500</v>
      </c>
    </row>
    <row r="347" spans="2:7" hidden="1" outlineLevel="1" collapsed="1" x14ac:dyDescent="0.25">
      <c r="B347" s="664"/>
      <c r="C347" s="664"/>
      <c r="D347" s="664"/>
      <c r="E347" s="692" t="s">
        <v>1631</v>
      </c>
      <c r="F347" s="667">
        <f>SUBTOTAL(9,F344:F346)</f>
        <v>178476</v>
      </c>
      <c r="G347" s="667">
        <f>SUBTOTAL(9,G344:G346)</f>
        <v>1500</v>
      </c>
    </row>
    <row r="348" spans="2:7" hidden="1" outlineLevel="2" x14ac:dyDescent="0.25">
      <c r="B348" s="664">
        <v>2</v>
      </c>
      <c r="C348" s="664">
        <v>114</v>
      </c>
      <c r="D348" s="664" t="s">
        <v>1409</v>
      </c>
      <c r="E348" s="664" t="s">
        <v>592</v>
      </c>
      <c r="F348" s="667">
        <v>71972</v>
      </c>
      <c r="G348" s="667">
        <v>2500</v>
      </c>
    </row>
    <row r="349" spans="2:7" hidden="1" outlineLevel="2" x14ac:dyDescent="0.25">
      <c r="B349" s="670">
        <v>2</v>
      </c>
      <c r="C349" s="670">
        <v>114</v>
      </c>
      <c r="D349" s="670" t="s">
        <v>1409</v>
      </c>
      <c r="E349" s="670" t="s">
        <v>592</v>
      </c>
      <c r="F349" s="688">
        <v>71972</v>
      </c>
      <c r="G349" s="688">
        <v>2500</v>
      </c>
    </row>
    <row r="350" spans="2:7" hidden="1" outlineLevel="2" x14ac:dyDescent="0.25">
      <c r="B350" s="670">
        <v>2</v>
      </c>
      <c r="C350" s="670">
        <v>114</v>
      </c>
      <c r="D350" s="670" t="s">
        <v>1409</v>
      </c>
      <c r="E350" s="670" t="s">
        <v>592</v>
      </c>
      <c r="F350" s="688">
        <v>71972</v>
      </c>
      <c r="G350" s="688">
        <v>2500</v>
      </c>
    </row>
    <row r="351" spans="2:7" hidden="1" outlineLevel="1" collapsed="1" x14ac:dyDescent="0.25">
      <c r="B351" s="668"/>
      <c r="C351" s="668"/>
      <c r="D351" s="668"/>
      <c r="E351" s="700" t="s">
        <v>1632</v>
      </c>
      <c r="F351" s="687">
        <f>SUBTOTAL(9,F348:F350)</f>
        <v>215916</v>
      </c>
      <c r="G351" s="687">
        <f>SUBTOTAL(9,G348:G350)</f>
        <v>7500</v>
      </c>
    </row>
    <row r="352" spans="2:7" collapsed="1" x14ac:dyDescent="0.25">
      <c r="B352" s="668"/>
      <c r="C352" s="668"/>
      <c r="D352" s="668"/>
      <c r="E352" s="700" t="s">
        <v>1633</v>
      </c>
      <c r="F352" s="687">
        <f>SUBTOTAL(9,F2:F350)</f>
        <v>25373417</v>
      </c>
      <c r="G352" s="687">
        <f>SUBTOTAL(9,G2:G350)</f>
        <v>2228165</v>
      </c>
    </row>
    <row r="354" spans="5:7" x14ac:dyDescent="0.25">
      <c r="E354" s="704" t="s">
        <v>967</v>
      </c>
      <c r="F354" s="291">
        <v>339939</v>
      </c>
      <c r="G354" s="291">
        <v>42000</v>
      </c>
    </row>
    <row r="355" spans="5:7" x14ac:dyDescent="0.25">
      <c r="E355" s="704" t="s">
        <v>787</v>
      </c>
      <c r="F355" s="291">
        <v>179760</v>
      </c>
      <c r="G355" s="291">
        <v>3000</v>
      </c>
    </row>
    <row r="356" spans="5:7" x14ac:dyDescent="0.25">
      <c r="E356" s="704" t="s">
        <v>1397</v>
      </c>
      <c r="F356" s="291">
        <v>399606</v>
      </c>
      <c r="G356" s="291">
        <v>49500</v>
      </c>
    </row>
    <row r="357" spans="5:7" x14ac:dyDescent="0.25">
      <c r="E357" s="704" t="s">
        <v>963</v>
      </c>
      <c r="F357" s="291">
        <v>422793</v>
      </c>
      <c r="G357" s="291">
        <v>58800</v>
      </c>
    </row>
    <row r="358" spans="5:7" x14ac:dyDescent="0.25">
      <c r="E358" s="704" t="s">
        <v>567</v>
      </c>
      <c r="F358" s="291">
        <v>399606</v>
      </c>
      <c r="G358" s="291">
        <v>45000</v>
      </c>
    </row>
    <row r="359" spans="5:7" x14ac:dyDescent="0.25">
      <c r="E359" s="704" t="s">
        <v>1348</v>
      </c>
      <c r="F359" s="291">
        <v>235173</v>
      </c>
      <c r="G359" s="291">
        <v>13500</v>
      </c>
    </row>
    <row r="360" spans="5:7" x14ac:dyDescent="0.25">
      <c r="E360" s="704" t="s">
        <v>68</v>
      </c>
      <c r="F360" s="291">
        <v>209126</v>
      </c>
      <c r="G360" s="291">
        <v>9000</v>
      </c>
    </row>
    <row r="361" spans="5:7" x14ac:dyDescent="0.25">
      <c r="E361" s="704" t="s">
        <v>588</v>
      </c>
      <c r="F361" s="291">
        <v>286656</v>
      </c>
      <c r="G361" s="291">
        <v>23100</v>
      </c>
    </row>
    <row r="362" spans="5:7" x14ac:dyDescent="0.25">
      <c r="E362" s="704" t="s">
        <v>52</v>
      </c>
      <c r="F362" s="291">
        <v>321240</v>
      </c>
      <c r="G362" s="291">
        <v>30000</v>
      </c>
    </row>
    <row r="363" spans="5:7" x14ac:dyDescent="0.25">
      <c r="E363" s="704" t="s">
        <v>933</v>
      </c>
      <c r="F363" s="291">
        <v>184869</v>
      </c>
      <c r="G363" s="291">
        <v>4500</v>
      </c>
    </row>
    <row r="364" spans="5:7" x14ac:dyDescent="0.25">
      <c r="E364" s="704" t="s">
        <v>1189</v>
      </c>
      <c r="F364" s="291">
        <v>399606</v>
      </c>
      <c r="G364" s="291">
        <v>51000</v>
      </c>
    </row>
    <row r="365" spans="5:7" x14ac:dyDescent="0.25">
      <c r="E365" s="704" t="s">
        <v>781</v>
      </c>
      <c r="F365" s="291">
        <v>383249</v>
      </c>
      <c r="G365" s="291">
        <v>36770</v>
      </c>
    </row>
    <row r="366" spans="5:7" x14ac:dyDescent="0.25">
      <c r="E366" s="704" t="s">
        <v>32</v>
      </c>
      <c r="F366" s="291">
        <v>340104</v>
      </c>
      <c r="G366" s="291">
        <v>39000</v>
      </c>
    </row>
    <row r="367" spans="5:7" x14ac:dyDescent="0.25">
      <c r="E367" s="704" t="s">
        <v>582</v>
      </c>
      <c r="F367" s="291">
        <v>294909</v>
      </c>
      <c r="G367" s="291">
        <v>30000</v>
      </c>
    </row>
    <row r="368" spans="5:7" x14ac:dyDescent="0.25">
      <c r="E368" s="704" t="s">
        <v>931</v>
      </c>
      <c r="F368" s="291">
        <v>422793</v>
      </c>
      <c r="G368" s="291">
        <v>57000</v>
      </c>
    </row>
    <row r="369" spans="5:7" x14ac:dyDescent="0.25">
      <c r="E369" s="704" t="s">
        <v>921</v>
      </c>
      <c r="F369" s="291">
        <v>286656</v>
      </c>
      <c r="G369" s="291">
        <v>24000</v>
      </c>
    </row>
    <row r="370" spans="5:7" x14ac:dyDescent="0.25">
      <c r="E370" s="704" t="s">
        <v>36</v>
      </c>
      <c r="F370" s="291">
        <v>278796</v>
      </c>
      <c r="G370" s="291">
        <v>21000</v>
      </c>
    </row>
    <row r="371" spans="5:7" x14ac:dyDescent="0.25">
      <c r="E371" s="704" t="s">
        <v>599</v>
      </c>
      <c r="F371" s="291">
        <v>189978</v>
      </c>
      <c r="G371" s="291">
        <v>3000</v>
      </c>
    </row>
    <row r="372" spans="5:7" x14ac:dyDescent="0.25">
      <c r="E372" s="704" t="s">
        <v>608</v>
      </c>
      <c r="F372" s="291">
        <v>184869</v>
      </c>
      <c r="G372" s="291">
        <v>3000</v>
      </c>
    </row>
    <row r="373" spans="5:7" x14ac:dyDescent="0.25">
      <c r="E373" s="704" t="s">
        <v>764</v>
      </c>
      <c r="F373" s="291">
        <v>179760</v>
      </c>
      <c r="G373" s="291">
        <v>4500</v>
      </c>
    </row>
    <row r="374" spans="5:7" x14ac:dyDescent="0.25">
      <c r="E374" s="704" t="s">
        <v>935</v>
      </c>
      <c r="F374" s="291">
        <v>367773</v>
      </c>
      <c r="G374" s="291">
        <v>35000</v>
      </c>
    </row>
    <row r="375" spans="5:7" x14ac:dyDescent="0.25">
      <c r="E375" s="704" t="s">
        <v>1346</v>
      </c>
      <c r="F375" s="291">
        <v>349569</v>
      </c>
      <c r="G375" s="291">
        <v>54000</v>
      </c>
    </row>
    <row r="376" spans="5:7" x14ac:dyDescent="0.25">
      <c r="E376" s="704" t="s">
        <v>744</v>
      </c>
      <c r="F376" s="291">
        <v>365643</v>
      </c>
      <c r="G376" s="291">
        <v>36000</v>
      </c>
    </row>
    <row r="377" spans="5:7" x14ac:dyDescent="0.25">
      <c r="E377" s="704" t="s">
        <v>34</v>
      </c>
      <c r="F377" s="291">
        <v>303555</v>
      </c>
      <c r="G377" s="291">
        <v>27000</v>
      </c>
    </row>
    <row r="378" spans="5:7" x14ac:dyDescent="0.25">
      <c r="E378" s="704" t="s">
        <v>8</v>
      </c>
      <c r="F378" s="291">
        <v>368187</v>
      </c>
      <c r="G378" s="291">
        <v>36000</v>
      </c>
    </row>
    <row r="379" spans="5:7" x14ac:dyDescent="0.25">
      <c r="E379" s="704" t="s">
        <v>731</v>
      </c>
      <c r="F379" s="291">
        <v>257454</v>
      </c>
      <c r="G379" s="291">
        <v>30000</v>
      </c>
    </row>
    <row r="380" spans="5:7" x14ac:dyDescent="0.25">
      <c r="E380" s="704" t="s">
        <v>46</v>
      </c>
      <c r="F380" s="291">
        <v>278796</v>
      </c>
      <c r="G380" s="291">
        <v>24000</v>
      </c>
    </row>
    <row r="381" spans="5:7" x14ac:dyDescent="0.25">
      <c r="E381" s="704" t="s">
        <v>1163</v>
      </c>
      <c r="F381" s="291">
        <v>434976</v>
      </c>
      <c r="G381" s="291">
        <v>45000</v>
      </c>
    </row>
    <row r="382" spans="5:7" x14ac:dyDescent="0.25">
      <c r="E382" s="704" t="s">
        <v>573</v>
      </c>
      <c r="F382" s="291">
        <v>125997</v>
      </c>
      <c r="G382" s="291">
        <v>15000</v>
      </c>
    </row>
    <row r="383" spans="5:7" x14ac:dyDescent="0.25">
      <c r="E383" s="704" t="s">
        <v>767</v>
      </c>
      <c r="F383" s="291">
        <v>205440</v>
      </c>
      <c r="G383" s="291">
        <v>9000</v>
      </c>
    </row>
    <row r="384" spans="5:7" x14ac:dyDescent="0.25">
      <c r="E384" s="704" t="s">
        <v>924</v>
      </c>
      <c r="F384" s="291">
        <v>411003</v>
      </c>
      <c r="G384" s="291">
        <v>57000</v>
      </c>
    </row>
    <row r="385" spans="5:7" x14ac:dyDescent="0.25">
      <c r="E385" s="704" t="s">
        <v>394</v>
      </c>
      <c r="F385" s="291">
        <v>294909</v>
      </c>
      <c r="G385" s="291">
        <v>21000</v>
      </c>
    </row>
    <row r="386" spans="5:7" x14ac:dyDescent="0.25">
      <c r="E386" s="704" t="s">
        <v>12</v>
      </c>
      <c r="F386" s="291">
        <v>330630</v>
      </c>
      <c r="G386" s="291">
        <v>30000</v>
      </c>
    </row>
    <row r="387" spans="5:7" x14ac:dyDescent="0.25">
      <c r="E387" s="704" t="s">
        <v>758</v>
      </c>
      <c r="F387" s="291">
        <v>61623</v>
      </c>
      <c r="G387" s="291">
        <v>1000</v>
      </c>
    </row>
    <row r="388" spans="5:7" x14ac:dyDescent="0.25">
      <c r="E388" s="704" t="s">
        <v>44</v>
      </c>
      <c r="F388" s="291">
        <v>377991</v>
      </c>
      <c r="G388" s="291">
        <v>60000</v>
      </c>
    </row>
    <row r="389" spans="5:7" x14ac:dyDescent="0.25">
      <c r="E389" s="704" t="s">
        <v>38</v>
      </c>
      <c r="F389" s="291">
        <v>303555</v>
      </c>
      <c r="G389" s="291">
        <v>30000</v>
      </c>
    </row>
    <row r="390" spans="5:7" x14ac:dyDescent="0.25">
      <c r="E390" s="704" t="s">
        <v>945</v>
      </c>
      <c r="F390" s="291">
        <v>411003</v>
      </c>
      <c r="G390" s="291">
        <v>52500</v>
      </c>
    </row>
    <row r="391" spans="5:7" x14ac:dyDescent="0.25">
      <c r="E391" s="704" t="s">
        <v>603</v>
      </c>
      <c r="F391" s="291">
        <v>194978</v>
      </c>
      <c r="G391" s="291">
        <v>6000</v>
      </c>
    </row>
    <row r="392" spans="5:7" x14ac:dyDescent="0.25">
      <c r="E392" s="704" t="s">
        <v>772</v>
      </c>
      <c r="F392" s="291">
        <v>222204</v>
      </c>
      <c r="G392" s="291">
        <v>12000</v>
      </c>
    </row>
    <row r="393" spans="5:7" x14ac:dyDescent="0.25">
      <c r="E393" s="704" t="s">
        <v>1222</v>
      </c>
      <c r="F393" s="291">
        <v>320245</v>
      </c>
      <c r="G393" s="291">
        <v>27000</v>
      </c>
    </row>
    <row r="394" spans="5:7" x14ac:dyDescent="0.25">
      <c r="E394" s="704" t="s">
        <v>949</v>
      </c>
      <c r="F394" s="291">
        <v>422793</v>
      </c>
      <c r="G394" s="291">
        <v>63000</v>
      </c>
    </row>
    <row r="395" spans="5:7" x14ac:dyDescent="0.25">
      <c r="E395" s="704" t="s">
        <v>752</v>
      </c>
      <c r="F395" s="291">
        <v>184869</v>
      </c>
      <c r="G395" s="291">
        <v>4500</v>
      </c>
    </row>
    <row r="396" spans="5:7" x14ac:dyDescent="0.25">
      <c r="E396" s="704" t="s">
        <v>947</v>
      </c>
      <c r="F396" s="291">
        <v>286656</v>
      </c>
      <c r="G396" s="291">
        <v>27000</v>
      </c>
    </row>
    <row r="397" spans="5:7" x14ac:dyDescent="0.25">
      <c r="E397" s="704" t="s">
        <v>969</v>
      </c>
      <c r="F397" s="291">
        <v>286656</v>
      </c>
      <c r="G397" s="291">
        <v>27000</v>
      </c>
    </row>
    <row r="398" spans="5:7" x14ac:dyDescent="0.25">
      <c r="E398" s="704" t="s">
        <v>955</v>
      </c>
      <c r="F398" s="291">
        <v>194978</v>
      </c>
      <c r="G398" s="291">
        <v>9000</v>
      </c>
    </row>
    <row r="399" spans="5:7" x14ac:dyDescent="0.25">
      <c r="E399" s="704" t="s">
        <v>1185</v>
      </c>
      <c r="F399" s="291">
        <v>278796</v>
      </c>
      <c r="G399" s="291">
        <v>24000</v>
      </c>
    </row>
    <row r="400" spans="5:7" x14ac:dyDescent="0.25">
      <c r="E400" s="704" t="s">
        <v>24</v>
      </c>
      <c r="F400" s="291">
        <v>135034</v>
      </c>
      <c r="G400" s="291">
        <v>4000</v>
      </c>
    </row>
    <row r="401" spans="5:7" x14ac:dyDescent="0.25">
      <c r="E401" s="704" t="s">
        <v>48</v>
      </c>
      <c r="F401" s="291">
        <v>235173</v>
      </c>
      <c r="G401" s="291">
        <v>13500</v>
      </c>
    </row>
    <row r="402" spans="5:7" x14ac:dyDescent="0.25">
      <c r="E402" s="704" t="s">
        <v>16</v>
      </c>
      <c r="F402" s="291">
        <v>330630</v>
      </c>
      <c r="G402" s="291">
        <v>39000</v>
      </c>
    </row>
    <row r="403" spans="5:7" x14ac:dyDescent="0.25">
      <c r="E403" s="704" t="s">
        <v>953</v>
      </c>
      <c r="F403" s="291">
        <v>209126</v>
      </c>
      <c r="G403" s="291">
        <v>9000</v>
      </c>
    </row>
    <row r="404" spans="5:7" x14ac:dyDescent="0.25">
      <c r="E404" s="704" t="s">
        <v>601</v>
      </c>
      <c r="F404" s="291">
        <v>241854</v>
      </c>
      <c r="G404" s="291">
        <v>13500</v>
      </c>
    </row>
    <row r="405" spans="5:7" x14ac:dyDescent="0.25">
      <c r="E405" s="704" t="s">
        <v>785</v>
      </c>
      <c r="F405" s="291">
        <v>286656</v>
      </c>
      <c r="G405" s="291">
        <v>15000</v>
      </c>
    </row>
    <row r="406" spans="5:7" x14ac:dyDescent="0.25">
      <c r="E406" s="704" t="s">
        <v>777</v>
      </c>
      <c r="F406" s="291">
        <v>228492</v>
      </c>
      <c r="G406" s="291">
        <v>9000</v>
      </c>
    </row>
    <row r="407" spans="5:7" x14ac:dyDescent="0.25">
      <c r="E407" s="704" t="s">
        <v>56</v>
      </c>
      <c r="F407" s="291">
        <v>235173</v>
      </c>
      <c r="G407" s="291">
        <v>4500</v>
      </c>
    </row>
    <row r="408" spans="5:7" x14ac:dyDescent="0.25">
      <c r="E408" s="704" t="s">
        <v>586</v>
      </c>
      <c r="F408" s="291">
        <v>278796</v>
      </c>
      <c r="G408" s="291">
        <v>23800</v>
      </c>
    </row>
    <row r="409" spans="5:7" x14ac:dyDescent="0.25">
      <c r="E409" s="704" t="s">
        <v>578</v>
      </c>
      <c r="F409" s="291">
        <v>368187</v>
      </c>
      <c r="G409" s="291">
        <v>40500</v>
      </c>
    </row>
    <row r="410" spans="5:7" x14ac:dyDescent="0.25">
      <c r="E410" s="704" t="s">
        <v>60</v>
      </c>
      <c r="F410" s="291">
        <v>241854</v>
      </c>
      <c r="G410" s="291">
        <v>15000</v>
      </c>
    </row>
    <row r="411" spans="5:7" x14ac:dyDescent="0.25">
      <c r="E411" s="704" t="s">
        <v>42</v>
      </c>
      <c r="F411" s="291">
        <v>285980</v>
      </c>
      <c r="G411" s="291">
        <v>18000</v>
      </c>
    </row>
    <row r="412" spans="5:7" x14ac:dyDescent="0.25">
      <c r="E412" s="704" t="s">
        <v>1166</v>
      </c>
      <c r="F412" s="291">
        <v>434976</v>
      </c>
      <c r="G412" s="291">
        <v>51000</v>
      </c>
    </row>
    <row r="413" spans="5:7" x14ac:dyDescent="0.25">
      <c r="E413" s="704" t="s">
        <v>939</v>
      </c>
      <c r="F413" s="291">
        <v>434976</v>
      </c>
      <c r="G413" s="291">
        <v>60000</v>
      </c>
    </row>
    <row r="414" spans="5:7" x14ac:dyDescent="0.25">
      <c r="E414" s="704" t="s">
        <v>762</v>
      </c>
      <c r="F414" s="291">
        <v>195480</v>
      </c>
      <c r="G414" s="291">
        <v>6000</v>
      </c>
    </row>
    <row r="415" spans="5:7" x14ac:dyDescent="0.25">
      <c r="E415" s="704" t="s">
        <v>754</v>
      </c>
      <c r="F415" s="291">
        <v>248928</v>
      </c>
      <c r="G415" s="291">
        <v>18000</v>
      </c>
    </row>
    <row r="416" spans="5:7" x14ac:dyDescent="0.25">
      <c r="E416" s="704" t="s">
        <v>1194</v>
      </c>
      <c r="F416" s="291">
        <v>411003</v>
      </c>
      <c r="G416" s="291">
        <v>33000</v>
      </c>
    </row>
    <row r="417" spans="5:7" x14ac:dyDescent="0.25">
      <c r="E417" s="704" t="s">
        <v>497</v>
      </c>
      <c r="F417" s="291">
        <v>359520</v>
      </c>
      <c r="G417" s="291">
        <v>51000</v>
      </c>
    </row>
    <row r="418" spans="5:7" x14ac:dyDescent="0.25">
      <c r="E418" s="704" t="s">
        <v>941</v>
      </c>
      <c r="F418" s="291">
        <v>369471</v>
      </c>
      <c r="G418" s="291">
        <v>48000</v>
      </c>
    </row>
    <row r="419" spans="5:7" x14ac:dyDescent="0.25">
      <c r="E419" s="704" t="s">
        <v>723</v>
      </c>
      <c r="F419" s="291">
        <v>294909</v>
      </c>
      <c r="G419" s="291">
        <v>20100</v>
      </c>
    </row>
    <row r="420" spans="5:7" x14ac:dyDescent="0.25">
      <c r="E420" s="704" t="s">
        <v>928</v>
      </c>
      <c r="F420" s="291">
        <v>303555</v>
      </c>
      <c r="G420" s="291">
        <v>21000</v>
      </c>
    </row>
    <row r="421" spans="5:7" x14ac:dyDescent="0.25">
      <c r="E421" s="704" t="s">
        <v>20</v>
      </c>
      <c r="F421" s="291">
        <v>378459</v>
      </c>
      <c r="G421" s="291">
        <v>42000</v>
      </c>
    </row>
    <row r="422" spans="5:7" x14ac:dyDescent="0.25">
      <c r="E422" s="704" t="s">
        <v>926</v>
      </c>
      <c r="F422" s="291">
        <v>140931</v>
      </c>
      <c r="G422" s="291">
        <v>20000</v>
      </c>
    </row>
    <row r="423" spans="5:7" x14ac:dyDescent="0.25">
      <c r="E423" s="704" t="s">
        <v>26</v>
      </c>
      <c r="F423" s="291">
        <v>184869</v>
      </c>
      <c r="G423" s="291">
        <v>4500</v>
      </c>
    </row>
    <row r="424" spans="5:7" x14ac:dyDescent="0.25">
      <c r="E424" s="704" t="s">
        <v>580</v>
      </c>
      <c r="F424" s="291">
        <v>278796</v>
      </c>
      <c r="G424" s="291">
        <v>23800</v>
      </c>
    </row>
    <row r="425" spans="5:7" x14ac:dyDescent="0.25">
      <c r="E425" s="704" t="s">
        <v>943</v>
      </c>
      <c r="F425" s="291">
        <v>196606</v>
      </c>
      <c r="G425" s="291">
        <v>18000</v>
      </c>
    </row>
    <row r="426" spans="5:7" x14ac:dyDescent="0.25">
      <c r="E426" s="704" t="s">
        <v>22</v>
      </c>
      <c r="F426" s="291">
        <v>193122</v>
      </c>
      <c r="G426" s="291">
        <v>4500</v>
      </c>
    </row>
    <row r="427" spans="5:7" x14ac:dyDescent="0.25">
      <c r="E427" s="704" t="s">
        <v>584</v>
      </c>
      <c r="F427" s="291">
        <v>286656</v>
      </c>
      <c r="G427" s="291">
        <v>21900</v>
      </c>
    </row>
    <row r="428" spans="5:7" x14ac:dyDescent="0.25">
      <c r="E428" s="704" t="s">
        <v>1447</v>
      </c>
      <c r="F428" s="291">
        <v>321642</v>
      </c>
      <c r="G428" s="291">
        <v>6000</v>
      </c>
    </row>
    <row r="429" spans="5:7" x14ac:dyDescent="0.25">
      <c r="E429" s="704" t="s">
        <v>766</v>
      </c>
      <c r="F429" s="291">
        <v>179760</v>
      </c>
      <c r="G429" s="291">
        <v>3000</v>
      </c>
    </row>
    <row r="430" spans="5:7" x14ac:dyDescent="0.25">
      <c r="E430" s="704" t="s">
        <v>76</v>
      </c>
      <c r="F430" s="291">
        <v>52977</v>
      </c>
      <c r="G430" s="291">
        <v>2000</v>
      </c>
    </row>
    <row r="431" spans="5:7" x14ac:dyDescent="0.25">
      <c r="E431" s="704" t="s">
        <v>959</v>
      </c>
      <c r="F431" s="291">
        <v>399606</v>
      </c>
      <c r="G431" s="291">
        <v>58500</v>
      </c>
    </row>
    <row r="432" spans="5:7" x14ac:dyDescent="0.25">
      <c r="E432" s="704" t="s">
        <v>559</v>
      </c>
      <c r="F432" s="291">
        <v>215916</v>
      </c>
      <c r="G432" s="291">
        <v>7500</v>
      </c>
    </row>
    <row r="433" spans="5:7" x14ac:dyDescent="0.25">
      <c r="E433" s="704" t="s">
        <v>72</v>
      </c>
      <c r="F433" s="291">
        <v>329667</v>
      </c>
      <c r="G433" s="291">
        <v>36000</v>
      </c>
    </row>
    <row r="434" spans="5:7" x14ac:dyDescent="0.25">
      <c r="E434" s="704" t="s">
        <v>40</v>
      </c>
      <c r="F434" s="291">
        <v>242997</v>
      </c>
      <c r="G434" s="291">
        <v>18000</v>
      </c>
    </row>
    <row r="435" spans="5:7" x14ac:dyDescent="0.25">
      <c r="E435" s="704" t="s">
        <v>590</v>
      </c>
      <c r="F435" s="291">
        <v>215916</v>
      </c>
      <c r="G435" s="291">
        <v>1500</v>
      </c>
    </row>
    <row r="436" spans="5:7" x14ac:dyDescent="0.25">
      <c r="E436" s="704" t="s">
        <v>89</v>
      </c>
      <c r="F436" s="291">
        <v>168254</v>
      </c>
      <c r="G436" s="291">
        <v>4000</v>
      </c>
    </row>
    <row r="437" spans="5:7" x14ac:dyDescent="0.25">
      <c r="E437" s="704" t="s">
        <v>594</v>
      </c>
      <c r="F437" s="291">
        <v>215916</v>
      </c>
      <c r="G437" s="291">
        <v>6000</v>
      </c>
    </row>
    <row r="438" spans="5:7" x14ac:dyDescent="0.25">
      <c r="E438" s="704" t="s">
        <v>58</v>
      </c>
      <c r="F438" s="291">
        <v>215916</v>
      </c>
      <c r="G438" s="291">
        <v>24000</v>
      </c>
    </row>
    <row r="439" spans="5:7" x14ac:dyDescent="0.25">
      <c r="E439" s="704" t="s">
        <v>54</v>
      </c>
      <c r="F439" s="291">
        <v>286656</v>
      </c>
      <c r="G439" s="291">
        <v>9000</v>
      </c>
    </row>
    <row r="440" spans="5:7" x14ac:dyDescent="0.25">
      <c r="E440" s="704" t="s">
        <v>545</v>
      </c>
      <c r="F440" s="291">
        <v>412339</v>
      </c>
      <c r="G440" s="291">
        <v>51000</v>
      </c>
    </row>
    <row r="441" spans="5:7" x14ac:dyDescent="0.25">
      <c r="E441" s="704" t="s">
        <v>30</v>
      </c>
      <c r="F441" s="291">
        <v>352484</v>
      </c>
      <c r="G441" s="291">
        <v>35395</v>
      </c>
    </row>
    <row r="442" spans="5:7" x14ac:dyDescent="0.25">
      <c r="E442" s="704" t="s">
        <v>596</v>
      </c>
      <c r="F442" s="291">
        <v>178476</v>
      </c>
      <c r="G442" s="291">
        <v>1500</v>
      </c>
    </row>
    <row r="443" spans="5:7" x14ac:dyDescent="0.25">
      <c r="E443" s="704" t="s">
        <v>592</v>
      </c>
      <c r="F443" s="291">
        <v>215916</v>
      </c>
      <c r="G443" s="291">
        <v>7500</v>
      </c>
    </row>
    <row r="444" spans="5:7" x14ac:dyDescent="0.25">
      <c r="G444" s="291">
        <f>SUM(G354:G443)</f>
        <v>2228165</v>
      </c>
    </row>
  </sheetData>
  <autoFilter ref="B1:G350">
    <sortState ref="B2:G261">
      <sortCondition ref="E1:E261"/>
    </sortState>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46"/>
  <sheetViews>
    <sheetView topLeftCell="A379" workbookViewId="0">
      <selection activeCell="C393" sqref="C393"/>
    </sheetView>
  </sheetViews>
  <sheetFormatPr defaultColWidth="30.85546875" defaultRowHeight="15" outlineLevelRow="2" x14ac:dyDescent="0.25"/>
  <cols>
    <col min="1" max="1" width="16.85546875" bestFit="1" customWidth="1"/>
    <col min="2" max="2" width="26.7109375" bestFit="1" customWidth="1"/>
    <col min="3" max="3" width="30" customWidth="1"/>
    <col min="4" max="4" width="11.85546875" bestFit="1" customWidth="1"/>
    <col min="5" max="5" width="11.42578125" bestFit="1" customWidth="1"/>
  </cols>
  <sheetData>
    <row r="1" spans="1:5" x14ac:dyDescent="0.25">
      <c r="A1" s="672" t="s">
        <v>1361</v>
      </c>
      <c r="B1" s="672" t="s">
        <v>1362</v>
      </c>
      <c r="C1" s="672" t="s">
        <v>1363</v>
      </c>
      <c r="D1" s="673" t="s">
        <v>1364</v>
      </c>
      <c r="E1" s="673" t="s">
        <v>1365</v>
      </c>
    </row>
    <row r="2" spans="1:5" outlineLevel="2" x14ac:dyDescent="0.25">
      <c r="A2" t="s">
        <v>1254</v>
      </c>
      <c r="B2" t="s">
        <v>1373</v>
      </c>
      <c r="C2" t="s">
        <v>967</v>
      </c>
      <c r="D2" s="674">
        <v>115431</v>
      </c>
      <c r="E2" s="674">
        <v>14000</v>
      </c>
    </row>
    <row r="3" spans="1:5" outlineLevel="2" x14ac:dyDescent="0.25">
      <c r="A3" s="668" t="s">
        <v>1254</v>
      </c>
      <c r="B3" s="668" t="s">
        <v>1373</v>
      </c>
      <c r="C3" s="668" t="s">
        <v>967</v>
      </c>
      <c r="D3" s="706">
        <v>121644</v>
      </c>
      <c r="E3" s="706">
        <v>12000</v>
      </c>
    </row>
    <row r="4" spans="1:5" outlineLevel="2" x14ac:dyDescent="0.25">
      <c r="A4" s="668" t="s">
        <v>1254</v>
      </c>
      <c r="B4" s="668" t="s">
        <v>1373</v>
      </c>
      <c r="C4" s="668" t="s">
        <v>967</v>
      </c>
      <c r="D4" s="706">
        <v>121644</v>
      </c>
      <c r="E4" s="706">
        <v>10600</v>
      </c>
    </row>
    <row r="5" spans="1:5" outlineLevel="1" x14ac:dyDescent="0.25">
      <c r="A5" s="668"/>
      <c r="B5" s="668"/>
      <c r="C5" s="700" t="s">
        <v>1533</v>
      </c>
      <c r="D5" s="706">
        <f>SUBTOTAL(9,D2:D4)</f>
        <v>358719</v>
      </c>
      <c r="E5" s="706">
        <f>SUBTOTAL(9,E2:E4)</f>
        <v>36600</v>
      </c>
    </row>
    <row r="6" spans="1:5" outlineLevel="2" x14ac:dyDescent="0.25">
      <c r="A6" t="s">
        <v>1325</v>
      </c>
      <c r="B6" t="s">
        <v>1449</v>
      </c>
      <c r="C6" t="s">
        <v>787</v>
      </c>
      <c r="D6" s="674">
        <v>60848</v>
      </c>
      <c r="E6" s="674">
        <v>1000</v>
      </c>
    </row>
    <row r="7" spans="1:5" outlineLevel="2" x14ac:dyDescent="0.25">
      <c r="A7" s="668" t="s">
        <v>1325</v>
      </c>
      <c r="B7" s="668" t="s">
        <v>1449</v>
      </c>
      <c r="C7" s="668" t="s">
        <v>787</v>
      </c>
      <c r="D7" s="706">
        <v>60848</v>
      </c>
      <c r="E7" s="706">
        <v>3500</v>
      </c>
    </row>
    <row r="8" spans="1:5" outlineLevel="2" x14ac:dyDescent="0.25">
      <c r="A8" s="668" t="s">
        <v>1325</v>
      </c>
      <c r="B8" s="668" t="s">
        <v>1449</v>
      </c>
      <c r="C8" s="668" t="s">
        <v>787</v>
      </c>
      <c r="D8" s="706">
        <v>60848</v>
      </c>
      <c r="E8" s="706">
        <v>3948</v>
      </c>
    </row>
    <row r="9" spans="1:5" outlineLevel="1" x14ac:dyDescent="0.25">
      <c r="A9" s="668"/>
      <c r="B9" s="668"/>
      <c r="C9" s="700" t="s">
        <v>1534</v>
      </c>
      <c r="D9" s="706">
        <f>SUBTOTAL(9,D6:D8)</f>
        <v>182544</v>
      </c>
      <c r="E9" s="706">
        <f>SUBTOTAL(9,E6:E8)</f>
        <v>8448</v>
      </c>
    </row>
    <row r="10" spans="1:5" outlineLevel="2" x14ac:dyDescent="0.25">
      <c r="A10" t="s">
        <v>1501</v>
      </c>
      <c r="B10" t="s">
        <v>1396</v>
      </c>
      <c r="C10" t="s">
        <v>1397</v>
      </c>
      <c r="D10" s="674">
        <v>135262</v>
      </c>
      <c r="E10" s="715">
        <v>16500</v>
      </c>
    </row>
    <row r="11" spans="1:5" outlineLevel="2" x14ac:dyDescent="0.25">
      <c r="A11" s="668" t="s">
        <v>1501</v>
      </c>
      <c r="B11" s="668" t="s">
        <v>1396</v>
      </c>
      <c r="C11" s="668" t="s">
        <v>1397</v>
      </c>
      <c r="D11" s="706">
        <v>135262</v>
      </c>
      <c r="E11" s="706">
        <v>30000</v>
      </c>
    </row>
    <row r="12" spans="1:5" outlineLevel="2" x14ac:dyDescent="0.25">
      <c r="A12" s="668" t="s">
        <v>1501</v>
      </c>
      <c r="B12" s="668" t="s">
        <v>1396</v>
      </c>
      <c r="C12" s="668" t="s">
        <v>1397</v>
      </c>
      <c r="D12" s="706">
        <v>135262</v>
      </c>
      <c r="E12" s="706">
        <v>34910</v>
      </c>
    </row>
    <row r="13" spans="1:5" outlineLevel="1" x14ac:dyDescent="0.25">
      <c r="A13" s="668"/>
      <c r="B13" s="668"/>
      <c r="C13" s="700" t="s">
        <v>1535</v>
      </c>
      <c r="D13" s="706">
        <f>SUBTOTAL(9,D10:D12)</f>
        <v>405786</v>
      </c>
      <c r="E13" s="706">
        <f>SUBTOTAL(9,E10:E12)</f>
        <v>81410</v>
      </c>
    </row>
    <row r="14" spans="1:5" outlineLevel="2" x14ac:dyDescent="0.25">
      <c r="A14" t="s">
        <v>1248</v>
      </c>
      <c r="B14" t="s">
        <v>1376</v>
      </c>
      <c r="C14" t="s">
        <v>963</v>
      </c>
      <c r="D14" s="674">
        <v>143109</v>
      </c>
      <c r="E14" s="674">
        <v>19600</v>
      </c>
    </row>
    <row r="15" spans="1:5" outlineLevel="2" x14ac:dyDescent="0.25">
      <c r="A15" s="668" t="s">
        <v>1248</v>
      </c>
      <c r="B15" s="668" t="s">
        <v>1376</v>
      </c>
      <c r="C15" s="668" t="s">
        <v>963</v>
      </c>
      <c r="D15" s="706">
        <v>143109</v>
      </c>
      <c r="E15" s="706">
        <v>26000</v>
      </c>
    </row>
    <row r="16" spans="1:5" outlineLevel="2" x14ac:dyDescent="0.25">
      <c r="A16" s="668" t="s">
        <v>1248</v>
      </c>
      <c r="B16" s="668" t="s">
        <v>1376</v>
      </c>
      <c r="C16" s="668" t="s">
        <v>963</v>
      </c>
      <c r="D16" s="706">
        <v>143109</v>
      </c>
      <c r="E16" s="706">
        <v>26740</v>
      </c>
    </row>
    <row r="17" spans="1:5" outlineLevel="1" x14ac:dyDescent="0.25">
      <c r="A17" s="668"/>
      <c r="B17" s="668"/>
      <c r="C17" s="700" t="s">
        <v>1536</v>
      </c>
      <c r="D17" s="706">
        <f>SUBTOTAL(9,D14:D16)</f>
        <v>429327</v>
      </c>
      <c r="E17" s="706">
        <f>SUBTOTAL(9,E14:E16)</f>
        <v>72340</v>
      </c>
    </row>
    <row r="18" spans="1:5" outlineLevel="2" x14ac:dyDescent="0.25">
      <c r="A18" t="s">
        <v>1514</v>
      </c>
      <c r="B18" t="s">
        <v>1515</v>
      </c>
      <c r="C18" t="s">
        <v>916</v>
      </c>
      <c r="D18" s="674">
        <v>94364</v>
      </c>
      <c r="E18" s="674">
        <v>6700</v>
      </c>
    </row>
    <row r="19" spans="1:5" outlineLevel="2" x14ac:dyDescent="0.25">
      <c r="A19" s="678" t="s">
        <v>1531</v>
      </c>
      <c r="B19" s="678" t="s">
        <v>1532</v>
      </c>
      <c r="C19" s="678" t="s">
        <v>916</v>
      </c>
      <c r="D19" s="674">
        <v>94364</v>
      </c>
      <c r="E19" s="674">
        <v>6700</v>
      </c>
    </row>
    <row r="20" spans="1:5" outlineLevel="1" x14ac:dyDescent="0.25">
      <c r="A20" s="678"/>
      <c r="B20" s="678"/>
      <c r="C20" s="672" t="s">
        <v>1637</v>
      </c>
      <c r="D20" s="674">
        <f>SUBTOTAL(9,D18:D19)</f>
        <v>188728</v>
      </c>
      <c r="E20" s="674">
        <f>SUBTOTAL(9,E18:E19)</f>
        <v>13400</v>
      </c>
    </row>
    <row r="21" spans="1:5" outlineLevel="2" x14ac:dyDescent="0.25">
      <c r="A21" t="s">
        <v>1280</v>
      </c>
      <c r="B21" t="s">
        <v>1404</v>
      </c>
      <c r="C21" t="s">
        <v>567</v>
      </c>
      <c r="D21" s="674">
        <v>135262</v>
      </c>
      <c r="E21" s="674">
        <v>15000</v>
      </c>
    </row>
    <row r="22" spans="1:5" outlineLevel="2" x14ac:dyDescent="0.25">
      <c r="A22" s="668" t="s">
        <v>1280</v>
      </c>
      <c r="B22" s="668" t="s">
        <v>1404</v>
      </c>
      <c r="C22" s="668" t="s">
        <v>567</v>
      </c>
      <c r="D22" s="706">
        <v>135262</v>
      </c>
      <c r="E22" s="706">
        <v>22000</v>
      </c>
    </row>
    <row r="23" spans="1:5" outlineLevel="2" x14ac:dyDescent="0.25">
      <c r="A23" s="668" t="s">
        <v>1280</v>
      </c>
      <c r="B23" s="668" t="s">
        <v>1404</v>
      </c>
      <c r="C23" s="668" t="s">
        <v>567</v>
      </c>
      <c r="D23" s="706">
        <v>135262</v>
      </c>
      <c r="E23" s="706">
        <v>23000</v>
      </c>
    </row>
    <row r="24" spans="1:5" outlineLevel="1" x14ac:dyDescent="0.25">
      <c r="A24" s="668"/>
      <c r="B24" s="668"/>
      <c r="C24" s="700" t="s">
        <v>1538</v>
      </c>
      <c r="D24" s="706">
        <f>SUBTOTAL(9,D21:D23)</f>
        <v>405786</v>
      </c>
      <c r="E24" s="706">
        <f>SUBTOTAL(9,E21:E23)</f>
        <v>60000</v>
      </c>
    </row>
    <row r="25" spans="1:5" outlineLevel="2" x14ac:dyDescent="0.25">
      <c r="A25" t="s">
        <v>1497</v>
      </c>
      <c r="B25" t="s">
        <v>1387</v>
      </c>
      <c r="C25" t="s">
        <v>1348</v>
      </c>
      <c r="D25" s="674">
        <v>79601</v>
      </c>
      <c r="E25" s="674">
        <v>4500</v>
      </c>
    </row>
    <row r="26" spans="1:5" outlineLevel="2" x14ac:dyDescent="0.25">
      <c r="A26" s="668" t="s">
        <v>1497</v>
      </c>
      <c r="B26" s="668" t="s">
        <v>1387</v>
      </c>
      <c r="C26" s="668" t="s">
        <v>1348</v>
      </c>
      <c r="D26" s="706">
        <v>79601</v>
      </c>
      <c r="E26" s="706">
        <v>12261</v>
      </c>
    </row>
    <row r="27" spans="1:5" outlineLevel="1" x14ac:dyDescent="0.25">
      <c r="A27" s="668"/>
      <c r="B27" s="668"/>
      <c r="C27" s="700" t="s">
        <v>1634</v>
      </c>
      <c r="D27" s="706">
        <f>SUBTOTAL(9,D25:D26)</f>
        <v>159202</v>
      </c>
      <c r="E27" s="706">
        <f>SUBTOTAL(9,E25:E26)</f>
        <v>16761</v>
      </c>
    </row>
    <row r="28" spans="1:5" outlineLevel="2" x14ac:dyDescent="0.25">
      <c r="A28" t="s">
        <v>1306</v>
      </c>
      <c r="B28" t="s">
        <v>1433</v>
      </c>
      <c r="C28" t="s">
        <v>68</v>
      </c>
      <c r="D28" s="674">
        <v>69094</v>
      </c>
      <c r="E28" s="674">
        <v>3000</v>
      </c>
    </row>
    <row r="29" spans="1:5" outlineLevel="2" x14ac:dyDescent="0.25">
      <c r="A29" s="668" t="s">
        <v>1306</v>
      </c>
      <c r="B29" s="668" t="s">
        <v>1433</v>
      </c>
      <c r="C29" s="668" t="s">
        <v>68</v>
      </c>
      <c r="D29" s="706">
        <v>69094</v>
      </c>
      <c r="E29" s="706">
        <v>5500</v>
      </c>
    </row>
    <row r="30" spans="1:5" outlineLevel="2" x14ac:dyDescent="0.25">
      <c r="A30" s="668" t="s">
        <v>1306</v>
      </c>
      <c r="B30" s="668" t="s">
        <v>1433</v>
      </c>
      <c r="C30" s="668" t="s">
        <v>68</v>
      </c>
      <c r="D30" s="706">
        <v>69094</v>
      </c>
      <c r="E30" s="706">
        <v>5487</v>
      </c>
    </row>
    <row r="31" spans="1:5" outlineLevel="1" x14ac:dyDescent="0.25">
      <c r="A31" s="668"/>
      <c r="B31" s="668"/>
      <c r="C31" s="700" t="s">
        <v>1539</v>
      </c>
      <c r="D31" s="706">
        <f>SUBTOTAL(9,D28:D30)</f>
        <v>207282</v>
      </c>
      <c r="E31" s="706">
        <f>SUBTOTAL(9,E28:E30)</f>
        <v>13987</v>
      </c>
    </row>
    <row r="32" spans="1:5" outlineLevel="2" x14ac:dyDescent="0.25">
      <c r="A32" t="s">
        <v>1342</v>
      </c>
      <c r="B32" t="s">
        <v>1398</v>
      </c>
      <c r="C32" t="s">
        <v>588</v>
      </c>
      <c r="D32" s="674">
        <v>97024</v>
      </c>
      <c r="E32" s="674">
        <v>7500</v>
      </c>
    </row>
    <row r="33" spans="1:5" outlineLevel="1" x14ac:dyDescent="0.25">
      <c r="C33" s="695" t="s">
        <v>1540</v>
      </c>
      <c r="D33" s="674">
        <f>SUBTOTAL(9,D32:D32)</f>
        <v>97024</v>
      </c>
      <c r="E33" s="674">
        <f>SUBTOTAL(9,E32:E32)</f>
        <v>7500</v>
      </c>
    </row>
    <row r="34" spans="1:5" outlineLevel="2" x14ac:dyDescent="0.25">
      <c r="A34" t="s">
        <v>1294</v>
      </c>
      <c r="B34" t="s">
        <v>1415</v>
      </c>
      <c r="C34" t="s">
        <v>52</v>
      </c>
      <c r="D34" s="674">
        <v>108728</v>
      </c>
      <c r="E34" s="674">
        <v>10000</v>
      </c>
    </row>
    <row r="35" spans="1:5" outlineLevel="2" x14ac:dyDescent="0.25">
      <c r="A35" s="668" t="s">
        <v>1294</v>
      </c>
      <c r="B35" s="668" t="s">
        <v>1415</v>
      </c>
      <c r="C35" s="668" t="s">
        <v>52</v>
      </c>
      <c r="D35" s="706">
        <v>108728</v>
      </c>
      <c r="E35" s="706">
        <v>16500</v>
      </c>
    </row>
    <row r="36" spans="1:5" outlineLevel="2" x14ac:dyDescent="0.25">
      <c r="A36" s="668" t="s">
        <v>1294</v>
      </c>
      <c r="B36" s="668" t="s">
        <v>1415</v>
      </c>
      <c r="C36" s="668" t="s">
        <v>52</v>
      </c>
      <c r="D36" s="706">
        <v>108728</v>
      </c>
      <c r="E36" s="706">
        <v>15872</v>
      </c>
    </row>
    <row r="37" spans="1:5" outlineLevel="1" x14ac:dyDescent="0.25">
      <c r="A37" s="668"/>
      <c r="B37" s="668"/>
      <c r="C37" s="700" t="s">
        <v>1541</v>
      </c>
      <c r="D37" s="706">
        <f>SUBTOTAL(9,D34:D36)</f>
        <v>326184</v>
      </c>
      <c r="E37" s="706">
        <f>SUBTOTAL(9,E34:E36)</f>
        <v>42372</v>
      </c>
    </row>
    <row r="38" spans="1:5" outlineLevel="2" x14ac:dyDescent="0.25">
      <c r="A38" t="s">
        <v>1262</v>
      </c>
      <c r="B38" t="s">
        <v>1386</v>
      </c>
      <c r="C38" t="s">
        <v>933</v>
      </c>
      <c r="D38" s="674">
        <v>62577</v>
      </c>
      <c r="E38" s="674">
        <v>1500</v>
      </c>
    </row>
    <row r="39" spans="1:5" outlineLevel="2" x14ac:dyDescent="0.25">
      <c r="A39" s="668" t="s">
        <v>1262</v>
      </c>
      <c r="B39" s="668" t="s">
        <v>1386</v>
      </c>
      <c r="C39" s="668" t="s">
        <v>933</v>
      </c>
      <c r="D39" s="706">
        <v>62577</v>
      </c>
      <c r="E39" s="706">
        <v>3000</v>
      </c>
    </row>
    <row r="40" spans="1:5" outlineLevel="2" x14ac:dyDescent="0.25">
      <c r="A40" s="668" t="s">
        <v>1262</v>
      </c>
      <c r="B40" s="668" t="s">
        <v>1386</v>
      </c>
      <c r="C40" s="668" t="s">
        <v>933</v>
      </c>
      <c r="D40" s="706">
        <v>62577</v>
      </c>
      <c r="E40" s="706">
        <v>3005</v>
      </c>
    </row>
    <row r="41" spans="1:5" outlineLevel="1" x14ac:dyDescent="0.25">
      <c r="A41" s="668"/>
      <c r="B41" s="668"/>
      <c r="C41" s="700" t="s">
        <v>1542</v>
      </c>
      <c r="D41" s="706">
        <f>SUBTOTAL(9,D38:D40)</f>
        <v>187731</v>
      </c>
      <c r="E41" s="706">
        <f>SUBTOTAL(9,E38:E40)</f>
        <v>7505</v>
      </c>
    </row>
    <row r="42" spans="1:5" outlineLevel="2" x14ac:dyDescent="0.25">
      <c r="A42" t="s">
        <v>1330</v>
      </c>
      <c r="B42" t="s">
        <v>1451</v>
      </c>
      <c r="C42" t="s">
        <v>1189</v>
      </c>
      <c r="D42" s="674">
        <v>135262</v>
      </c>
      <c r="E42" s="674">
        <v>17000</v>
      </c>
    </row>
    <row r="43" spans="1:5" outlineLevel="2" x14ac:dyDescent="0.25">
      <c r="A43" s="668" t="s">
        <v>1330</v>
      </c>
      <c r="B43" s="668" t="s">
        <v>1451</v>
      </c>
      <c r="C43" s="668" t="s">
        <v>1189</v>
      </c>
      <c r="D43" s="706">
        <v>135262</v>
      </c>
      <c r="E43" s="706">
        <v>15000</v>
      </c>
    </row>
    <row r="44" spans="1:5" outlineLevel="2" x14ac:dyDescent="0.25">
      <c r="A44" s="668" t="s">
        <v>1330</v>
      </c>
      <c r="B44" s="668" t="s">
        <v>1451</v>
      </c>
      <c r="C44" s="668" t="s">
        <v>1189</v>
      </c>
      <c r="D44" s="706">
        <v>135262</v>
      </c>
      <c r="E44" s="706">
        <v>14710</v>
      </c>
    </row>
    <row r="45" spans="1:5" outlineLevel="1" x14ac:dyDescent="0.25">
      <c r="A45" s="668"/>
      <c r="B45" s="668"/>
      <c r="C45" s="700" t="s">
        <v>1543</v>
      </c>
      <c r="D45" s="706">
        <f>SUBTOTAL(9,D42:D44)</f>
        <v>405786</v>
      </c>
      <c r="E45" s="706">
        <f>SUBTOTAL(9,E42:E44)</f>
        <v>46710</v>
      </c>
    </row>
    <row r="46" spans="1:5" outlineLevel="2" x14ac:dyDescent="0.25">
      <c r="A46" t="s">
        <v>1324</v>
      </c>
      <c r="B46" t="s">
        <v>1448</v>
      </c>
      <c r="C46" t="s">
        <v>781</v>
      </c>
      <c r="D46" s="674">
        <v>107147</v>
      </c>
      <c r="E46" s="674">
        <v>10000</v>
      </c>
    </row>
    <row r="47" spans="1:5" outlineLevel="2" x14ac:dyDescent="0.25">
      <c r="A47" s="668" t="s">
        <v>1324</v>
      </c>
      <c r="B47" s="668" t="s">
        <v>1448</v>
      </c>
      <c r="C47" s="668" t="s">
        <v>781</v>
      </c>
      <c r="D47" s="706">
        <v>107147</v>
      </c>
      <c r="E47" s="706">
        <v>20000</v>
      </c>
    </row>
    <row r="48" spans="1:5" outlineLevel="2" x14ac:dyDescent="0.25">
      <c r="A48" s="668" t="s">
        <v>1324</v>
      </c>
      <c r="B48" s="668" t="s">
        <v>1448</v>
      </c>
      <c r="C48" s="668" t="s">
        <v>781</v>
      </c>
      <c r="D48" s="706">
        <v>107147</v>
      </c>
      <c r="E48" s="706">
        <v>19750</v>
      </c>
    </row>
    <row r="49" spans="1:5" outlineLevel="1" x14ac:dyDescent="0.25">
      <c r="A49" s="668"/>
      <c r="B49" s="668"/>
      <c r="C49" s="700" t="s">
        <v>1544</v>
      </c>
      <c r="D49" s="706">
        <f>SUBTOTAL(9,D46:D48)</f>
        <v>321441</v>
      </c>
      <c r="E49" s="706">
        <f>SUBTOTAL(9,E46:E48)</f>
        <v>49750</v>
      </c>
    </row>
    <row r="50" spans="1:5" outlineLevel="2" x14ac:dyDescent="0.25">
      <c r="A50" t="s">
        <v>1258</v>
      </c>
      <c r="B50" t="s">
        <v>1382</v>
      </c>
      <c r="C50" t="s">
        <v>32</v>
      </c>
      <c r="D50" s="674">
        <v>115112</v>
      </c>
      <c r="E50" s="674">
        <v>13000</v>
      </c>
    </row>
    <row r="51" spans="1:5" outlineLevel="2" x14ac:dyDescent="0.25">
      <c r="A51" s="668" t="s">
        <v>1258</v>
      </c>
      <c r="B51" s="668" t="s">
        <v>1382</v>
      </c>
      <c r="C51" s="668" t="s">
        <v>32</v>
      </c>
      <c r="D51" s="706">
        <v>115112</v>
      </c>
      <c r="E51" s="706">
        <v>17500</v>
      </c>
    </row>
    <row r="52" spans="1:5" outlineLevel="2" x14ac:dyDescent="0.25">
      <c r="A52" s="668" t="s">
        <v>1258</v>
      </c>
      <c r="B52" s="668" t="s">
        <v>1382</v>
      </c>
      <c r="C52" s="668" t="s">
        <v>32</v>
      </c>
      <c r="D52" s="706">
        <v>115112</v>
      </c>
      <c r="E52" s="706">
        <v>16625</v>
      </c>
    </row>
    <row r="53" spans="1:5" outlineLevel="1" x14ac:dyDescent="0.25">
      <c r="A53" s="668"/>
      <c r="B53" s="668"/>
      <c r="C53" s="700" t="s">
        <v>1545</v>
      </c>
      <c r="D53" s="706">
        <f>SUBTOTAL(9,D50:D52)</f>
        <v>345336</v>
      </c>
      <c r="E53" s="706">
        <f>SUBTOTAL(9,E50:E52)</f>
        <v>47125</v>
      </c>
    </row>
    <row r="54" spans="1:5" outlineLevel="2" x14ac:dyDescent="0.25">
      <c r="A54" t="s">
        <v>1329</v>
      </c>
      <c r="B54" t="s">
        <v>1450</v>
      </c>
      <c r="C54" t="s">
        <v>582</v>
      </c>
      <c r="D54" s="674">
        <v>99817</v>
      </c>
      <c r="E54" s="674">
        <v>10000</v>
      </c>
    </row>
    <row r="55" spans="1:5" outlineLevel="2" x14ac:dyDescent="0.25">
      <c r="A55" s="668" t="s">
        <v>1329</v>
      </c>
      <c r="B55" s="668" t="s">
        <v>1450</v>
      </c>
      <c r="C55" s="668" t="s">
        <v>582</v>
      </c>
      <c r="D55" s="706">
        <v>99817</v>
      </c>
      <c r="E55" s="706">
        <v>9000</v>
      </c>
    </row>
    <row r="56" spans="1:5" outlineLevel="2" x14ac:dyDescent="0.25">
      <c r="A56" s="668" t="s">
        <v>1329</v>
      </c>
      <c r="B56" s="668" t="s">
        <v>1450</v>
      </c>
      <c r="C56" s="668" t="s">
        <v>582</v>
      </c>
      <c r="D56" s="706">
        <v>99817</v>
      </c>
      <c r="E56" s="706">
        <v>6725</v>
      </c>
    </row>
    <row r="57" spans="1:5" outlineLevel="1" x14ac:dyDescent="0.25">
      <c r="A57" s="668"/>
      <c r="B57" s="668"/>
      <c r="C57" s="700" t="s">
        <v>1546</v>
      </c>
      <c r="D57" s="706">
        <f>SUBTOTAL(9,D54:D56)</f>
        <v>299451</v>
      </c>
      <c r="E57" s="706">
        <f>SUBTOTAL(9,E54:E56)</f>
        <v>25725</v>
      </c>
    </row>
    <row r="58" spans="1:5" outlineLevel="2" x14ac:dyDescent="0.25">
      <c r="A58" t="s">
        <v>1272</v>
      </c>
      <c r="B58" t="s">
        <v>1391</v>
      </c>
      <c r="C58" t="s">
        <v>931</v>
      </c>
      <c r="D58" s="674">
        <v>143109</v>
      </c>
      <c r="E58" s="674">
        <v>19000</v>
      </c>
    </row>
    <row r="59" spans="1:5" outlineLevel="2" x14ac:dyDescent="0.25">
      <c r="A59" s="668" t="s">
        <v>1272</v>
      </c>
      <c r="B59" s="668" t="s">
        <v>1391</v>
      </c>
      <c r="C59" s="668" t="s">
        <v>931</v>
      </c>
      <c r="D59" s="706">
        <v>143109</v>
      </c>
      <c r="E59" s="706">
        <v>25000</v>
      </c>
    </row>
    <row r="60" spans="1:5" outlineLevel="2" x14ac:dyDescent="0.25">
      <c r="A60" s="668" t="s">
        <v>1272</v>
      </c>
      <c r="B60" s="668" t="s">
        <v>1391</v>
      </c>
      <c r="C60" s="668" t="s">
        <v>931</v>
      </c>
      <c r="D60" s="706">
        <v>143109</v>
      </c>
      <c r="E60" s="706">
        <v>25000</v>
      </c>
    </row>
    <row r="61" spans="1:5" outlineLevel="1" x14ac:dyDescent="0.25">
      <c r="A61" s="668"/>
      <c r="B61" s="668"/>
      <c r="C61" s="700" t="s">
        <v>1547</v>
      </c>
      <c r="D61" s="706">
        <f>SUBTOTAL(9,D58:D60)</f>
        <v>429327</v>
      </c>
      <c r="E61" s="706">
        <f>SUBTOTAL(9,E58:E60)</f>
        <v>69000</v>
      </c>
    </row>
    <row r="62" spans="1:5" outlineLevel="2" x14ac:dyDescent="0.25">
      <c r="A62" t="s">
        <v>1253</v>
      </c>
      <c r="B62" t="s">
        <v>1371</v>
      </c>
      <c r="C62" t="s">
        <v>921</v>
      </c>
      <c r="D62" s="674">
        <v>97024</v>
      </c>
      <c r="E62" s="674">
        <v>8000</v>
      </c>
    </row>
    <row r="63" spans="1:5" outlineLevel="2" x14ac:dyDescent="0.25">
      <c r="A63" s="668" t="s">
        <v>1253</v>
      </c>
      <c r="B63" s="668" t="s">
        <v>1371</v>
      </c>
      <c r="C63" s="668" t="s">
        <v>921</v>
      </c>
      <c r="D63" s="706">
        <v>97024</v>
      </c>
      <c r="E63" s="706">
        <v>13000</v>
      </c>
    </row>
    <row r="64" spans="1:5" outlineLevel="2" x14ac:dyDescent="0.25">
      <c r="A64" s="668" t="s">
        <v>1253</v>
      </c>
      <c r="B64" s="668" t="s">
        <v>1371</v>
      </c>
      <c r="C64" s="668" t="s">
        <v>921</v>
      </c>
      <c r="D64" s="706">
        <v>97024</v>
      </c>
      <c r="E64" s="706">
        <v>13000</v>
      </c>
    </row>
    <row r="65" spans="1:5" outlineLevel="1" x14ac:dyDescent="0.25">
      <c r="A65" s="668"/>
      <c r="B65" s="668"/>
      <c r="C65" s="700" t="s">
        <v>1548</v>
      </c>
      <c r="D65" s="706">
        <f>SUBTOTAL(9,D62:D64)</f>
        <v>291072</v>
      </c>
      <c r="E65" s="706">
        <f>SUBTOTAL(9,E62:E64)</f>
        <v>34000</v>
      </c>
    </row>
    <row r="66" spans="1:5" outlineLevel="2" x14ac:dyDescent="0.25">
      <c r="A66" t="s">
        <v>1286</v>
      </c>
      <c r="B66" t="s">
        <v>1414</v>
      </c>
      <c r="C66" t="s">
        <v>36</v>
      </c>
      <c r="D66" s="674">
        <v>94364</v>
      </c>
      <c r="E66" s="674">
        <v>7000</v>
      </c>
    </row>
    <row r="67" spans="1:5" outlineLevel="2" x14ac:dyDescent="0.25">
      <c r="A67" s="668" t="s">
        <v>1286</v>
      </c>
      <c r="B67" s="668" t="s">
        <v>1414</v>
      </c>
      <c r="C67" s="668" t="s">
        <v>36</v>
      </c>
      <c r="D67" s="706">
        <v>94364</v>
      </c>
      <c r="E67" s="706">
        <v>10000</v>
      </c>
    </row>
    <row r="68" spans="1:5" outlineLevel="2" x14ac:dyDescent="0.25">
      <c r="A68" s="668" t="s">
        <v>1286</v>
      </c>
      <c r="B68" s="668" t="s">
        <v>1414</v>
      </c>
      <c r="C68" s="668" t="s">
        <v>36</v>
      </c>
      <c r="D68" s="706">
        <v>94364</v>
      </c>
      <c r="E68" s="706">
        <v>10012</v>
      </c>
    </row>
    <row r="69" spans="1:5" outlineLevel="1" x14ac:dyDescent="0.25">
      <c r="A69" s="668"/>
      <c r="B69" s="668"/>
      <c r="C69" s="700" t="s">
        <v>1549</v>
      </c>
      <c r="D69" s="706">
        <f>SUBTOTAL(9,D66:D68)</f>
        <v>283092</v>
      </c>
      <c r="E69" s="706">
        <f>SUBTOTAL(9,E66:E68)</f>
        <v>27012</v>
      </c>
    </row>
    <row r="70" spans="1:5" outlineLevel="2" x14ac:dyDescent="0.25">
      <c r="A70" t="s">
        <v>1282</v>
      </c>
      <c r="B70" t="s">
        <v>1412</v>
      </c>
      <c r="C70" t="s">
        <v>599</v>
      </c>
      <c r="D70" s="674">
        <v>64306</v>
      </c>
      <c r="E70" s="674">
        <v>1000</v>
      </c>
    </row>
    <row r="71" spans="1:5" outlineLevel="2" x14ac:dyDescent="0.25">
      <c r="A71" s="668" t="s">
        <v>1282</v>
      </c>
      <c r="B71" s="668" t="s">
        <v>1412</v>
      </c>
      <c r="C71" s="668" t="s">
        <v>599</v>
      </c>
      <c r="D71" s="706">
        <v>64306</v>
      </c>
      <c r="E71" s="706">
        <v>2500</v>
      </c>
    </row>
    <row r="72" spans="1:5" outlineLevel="2" x14ac:dyDescent="0.25">
      <c r="A72" s="668" t="s">
        <v>1282</v>
      </c>
      <c r="B72" s="668" t="s">
        <v>1412</v>
      </c>
      <c r="C72" s="668" t="s">
        <v>599</v>
      </c>
      <c r="D72" s="706">
        <v>64306</v>
      </c>
      <c r="E72" s="706">
        <v>3940</v>
      </c>
    </row>
    <row r="73" spans="1:5" outlineLevel="1" x14ac:dyDescent="0.25">
      <c r="A73" s="668"/>
      <c r="B73" s="668"/>
      <c r="C73" s="700" t="s">
        <v>1550</v>
      </c>
      <c r="D73" s="706">
        <f>SUBTOTAL(9,D70:D72)</f>
        <v>192918</v>
      </c>
      <c r="E73" s="706">
        <f>SUBTOTAL(9,E70:E72)</f>
        <v>7440</v>
      </c>
    </row>
    <row r="74" spans="1:5" outlineLevel="2" x14ac:dyDescent="0.25">
      <c r="A74" t="s">
        <v>1502</v>
      </c>
      <c r="B74" t="s">
        <v>1411</v>
      </c>
      <c r="C74" t="s">
        <v>608</v>
      </c>
      <c r="D74" s="674">
        <v>62577</v>
      </c>
      <c r="E74" s="674">
        <v>1000</v>
      </c>
    </row>
    <row r="75" spans="1:5" outlineLevel="2" x14ac:dyDescent="0.25">
      <c r="A75" s="668" t="s">
        <v>1502</v>
      </c>
      <c r="B75" s="668" t="s">
        <v>1411</v>
      </c>
      <c r="C75" s="668" t="s">
        <v>608</v>
      </c>
      <c r="D75" s="706">
        <v>62577</v>
      </c>
      <c r="E75" s="706">
        <v>3800</v>
      </c>
    </row>
    <row r="76" spans="1:5" outlineLevel="2" x14ac:dyDescent="0.25">
      <c r="A76" s="668" t="s">
        <v>1502</v>
      </c>
      <c r="B76" s="668" t="s">
        <v>1411</v>
      </c>
      <c r="C76" s="668" t="s">
        <v>608</v>
      </c>
      <c r="D76" s="706">
        <v>62577</v>
      </c>
      <c r="E76" s="706">
        <v>3885</v>
      </c>
    </row>
    <row r="77" spans="1:5" outlineLevel="1" x14ac:dyDescent="0.25">
      <c r="A77" s="668"/>
      <c r="B77" s="668"/>
      <c r="C77" s="700" t="s">
        <v>1551</v>
      </c>
      <c r="D77" s="706">
        <f>SUBTOTAL(9,D74:D76)</f>
        <v>187731</v>
      </c>
      <c r="E77" s="706">
        <f>SUBTOTAL(9,E74:E76)</f>
        <v>8685</v>
      </c>
    </row>
    <row r="78" spans="1:5" outlineLevel="2" x14ac:dyDescent="0.25">
      <c r="A78" t="s">
        <v>1317</v>
      </c>
      <c r="B78" t="s">
        <v>1441</v>
      </c>
      <c r="C78" t="s">
        <v>764</v>
      </c>
      <c r="D78" s="674">
        <v>60848</v>
      </c>
      <c r="E78" s="674">
        <v>1500</v>
      </c>
    </row>
    <row r="79" spans="1:5" outlineLevel="2" x14ac:dyDescent="0.25">
      <c r="A79" s="668" t="s">
        <v>1317</v>
      </c>
      <c r="B79" s="668" t="s">
        <v>1441</v>
      </c>
      <c r="C79" s="668" t="s">
        <v>764</v>
      </c>
      <c r="D79" s="706">
        <v>60848</v>
      </c>
      <c r="E79" s="706">
        <v>3000</v>
      </c>
    </row>
    <row r="80" spans="1:5" outlineLevel="2" x14ac:dyDescent="0.25">
      <c r="A80" s="668" t="s">
        <v>1317</v>
      </c>
      <c r="B80" s="668" t="s">
        <v>1441</v>
      </c>
      <c r="C80" s="668" t="s">
        <v>764</v>
      </c>
      <c r="D80" s="706">
        <v>60848</v>
      </c>
      <c r="E80" s="706">
        <v>3115</v>
      </c>
    </row>
    <row r="81" spans="1:5" outlineLevel="1" x14ac:dyDescent="0.25">
      <c r="A81" s="668"/>
      <c r="B81" s="668"/>
      <c r="C81" s="700" t="s">
        <v>1552</v>
      </c>
      <c r="D81" s="706">
        <f>SUBTOTAL(9,D78:D80)</f>
        <v>182544</v>
      </c>
      <c r="E81" s="706">
        <f>SUBTOTAL(9,E78:E80)</f>
        <v>7615</v>
      </c>
    </row>
    <row r="82" spans="1:5" outlineLevel="2" x14ac:dyDescent="0.25">
      <c r="A82" t="s">
        <v>1257</v>
      </c>
      <c r="B82" t="s">
        <v>1369</v>
      </c>
      <c r="C82" t="s">
        <v>935</v>
      </c>
      <c r="D82" s="674">
        <v>124489</v>
      </c>
      <c r="E82" s="674">
        <v>13000</v>
      </c>
    </row>
    <row r="83" spans="1:5" outlineLevel="2" x14ac:dyDescent="0.25">
      <c r="A83" s="668" t="s">
        <v>1257</v>
      </c>
      <c r="B83" s="668" t="s">
        <v>1369</v>
      </c>
      <c r="C83" s="668" t="s">
        <v>935</v>
      </c>
      <c r="D83" s="706">
        <v>124489</v>
      </c>
      <c r="E83" s="706">
        <v>7500</v>
      </c>
    </row>
    <row r="84" spans="1:5" outlineLevel="2" x14ac:dyDescent="0.25">
      <c r="A84" s="668" t="s">
        <v>1257</v>
      </c>
      <c r="B84" s="668" t="s">
        <v>1369</v>
      </c>
      <c r="C84" s="668" t="s">
        <v>935</v>
      </c>
      <c r="D84" s="706">
        <v>124489</v>
      </c>
      <c r="E84" s="706">
        <v>7335</v>
      </c>
    </row>
    <row r="85" spans="1:5" outlineLevel="1" x14ac:dyDescent="0.25">
      <c r="A85" s="668"/>
      <c r="B85" s="668"/>
      <c r="C85" s="700" t="s">
        <v>1553</v>
      </c>
      <c r="D85" s="706">
        <f>SUBTOTAL(9,D82:D84)</f>
        <v>373467</v>
      </c>
      <c r="E85" s="706">
        <f>SUBTOTAL(9,E82:E84)</f>
        <v>27835</v>
      </c>
    </row>
    <row r="86" spans="1:5" outlineLevel="2" x14ac:dyDescent="0.25">
      <c r="A86" t="s">
        <v>1347</v>
      </c>
      <c r="B86" t="s">
        <v>1378</v>
      </c>
      <c r="C86" t="s">
        <v>1346</v>
      </c>
      <c r="D86" s="674">
        <v>118701</v>
      </c>
      <c r="E86" s="674">
        <v>18000</v>
      </c>
    </row>
    <row r="87" spans="1:5" outlineLevel="2" x14ac:dyDescent="0.25">
      <c r="A87" s="668" t="s">
        <v>1347</v>
      </c>
      <c r="B87" s="668" t="s">
        <v>1378</v>
      </c>
      <c r="C87" s="668" t="s">
        <v>1346</v>
      </c>
      <c r="D87" s="706">
        <v>125023</v>
      </c>
      <c r="E87" s="706">
        <v>12000</v>
      </c>
    </row>
    <row r="88" spans="1:5" outlineLevel="2" x14ac:dyDescent="0.25">
      <c r="A88" s="668" t="s">
        <v>1347</v>
      </c>
      <c r="B88" s="668" t="s">
        <v>1378</v>
      </c>
      <c r="C88" s="668" t="s">
        <v>1346</v>
      </c>
      <c r="D88" s="706">
        <v>125023</v>
      </c>
      <c r="E88" s="706">
        <v>11400</v>
      </c>
    </row>
    <row r="89" spans="1:5" outlineLevel="1" x14ac:dyDescent="0.25">
      <c r="A89" s="668"/>
      <c r="B89" s="668"/>
      <c r="C89" s="700" t="s">
        <v>1554</v>
      </c>
      <c r="D89" s="706">
        <f>SUBTOTAL(9,D86:D88)</f>
        <v>368747</v>
      </c>
      <c r="E89" s="706">
        <f>SUBTOTAL(9,E86:E88)</f>
        <v>41400</v>
      </c>
    </row>
    <row r="90" spans="1:5" outlineLevel="2" x14ac:dyDescent="0.25">
      <c r="A90" t="s">
        <v>1323</v>
      </c>
      <c r="B90" t="s">
        <v>1445</v>
      </c>
      <c r="C90" t="s">
        <v>744</v>
      </c>
      <c r="D90" s="674">
        <v>124090</v>
      </c>
      <c r="E90" s="674">
        <v>12000</v>
      </c>
    </row>
    <row r="91" spans="1:5" outlineLevel="2" x14ac:dyDescent="0.25">
      <c r="A91" s="668" t="s">
        <v>1323</v>
      </c>
      <c r="B91" s="668" t="s">
        <v>1445</v>
      </c>
      <c r="C91" s="668" t="s">
        <v>744</v>
      </c>
      <c r="D91" s="706">
        <v>124090</v>
      </c>
      <c r="E91" s="706">
        <v>18500</v>
      </c>
    </row>
    <row r="92" spans="1:5" outlineLevel="2" x14ac:dyDescent="0.25">
      <c r="A92" s="668" t="s">
        <v>1323</v>
      </c>
      <c r="B92" s="668" t="s">
        <v>1445</v>
      </c>
      <c r="C92" s="668" t="s">
        <v>744</v>
      </c>
      <c r="D92" s="706">
        <v>124090</v>
      </c>
      <c r="E92" s="706">
        <v>18500</v>
      </c>
    </row>
    <row r="93" spans="1:5" outlineLevel="1" x14ac:dyDescent="0.25">
      <c r="A93" s="668"/>
      <c r="B93" s="668"/>
      <c r="C93" s="700" t="s">
        <v>1555</v>
      </c>
      <c r="D93" s="706">
        <f>SUBTOTAL(9,D90:D92)</f>
        <v>372270</v>
      </c>
      <c r="E93" s="706">
        <f>SUBTOTAL(9,E90:E92)</f>
        <v>49000</v>
      </c>
    </row>
    <row r="94" spans="1:5" outlineLevel="2" x14ac:dyDescent="0.25">
      <c r="A94" s="668" t="s">
        <v>1520</v>
      </c>
      <c r="B94" s="668" t="s">
        <v>1521</v>
      </c>
      <c r="C94" s="668" t="s">
        <v>1522</v>
      </c>
      <c r="D94" s="706">
        <v>155079</v>
      </c>
      <c r="E94" s="706">
        <v>20000</v>
      </c>
    </row>
    <row r="95" spans="1:5" outlineLevel="2" x14ac:dyDescent="0.25">
      <c r="A95" s="668" t="s">
        <v>1520</v>
      </c>
      <c r="B95" s="668" t="s">
        <v>1521</v>
      </c>
      <c r="C95" s="668" t="s">
        <v>1522</v>
      </c>
      <c r="D95" s="706">
        <v>155079</v>
      </c>
      <c r="E95" s="706">
        <v>20000</v>
      </c>
    </row>
    <row r="96" spans="1:5" outlineLevel="1" x14ac:dyDescent="0.25">
      <c r="A96" s="668"/>
      <c r="B96" s="668"/>
      <c r="C96" s="700" t="s">
        <v>1638</v>
      </c>
      <c r="D96" s="706">
        <f>SUBTOTAL(9,D94:D95)</f>
        <v>310158</v>
      </c>
      <c r="E96" s="706">
        <f>SUBTOTAL(9,E94:E95)</f>
        <v>40000</v>
      </c>
    </row>
    <row r="97" spans="1:5" outlineLevel="2" x14ac:dyDescent="0.25">
      <c r="A97" t="s">
        <v>1260</v>
      </c>
      <c r="B97" t="s">
        <v>1384</v>
      </c>
      <c r="C97" t="s">
        <v>34</v>
      </c>
      <c r="D97" s="674">
        <v>102743</v>
      </c>
      <c r="E97" s="674">
        <v>9000</v>
      </c>
    </row>
    <row r="98" spans="1:5" outlineLevel="2" x14ac:dyDescent="0.25">
      <c r="A98" s="668" t="s">
        <v>1260</v>
      </c>
      <c r="B98" s="668" t="s">
        <v>1384</v>
      </c>
      <c r="C98" s="668" t="s">
        <v>34</v>
      </c>
      <c r="D98" s="706">
        <v>102743</v>
      </c>
      <c r="E98" s="706">
        <v>12000</v>
      </c>
    </row>
    <row r="99" spans="1:5" outlineLevel="2" x14ac:dyDescent="0.25">
      <c r="A99" s="668" t="s">
        <v>1260</v>
      </c>
      <c r="B99" s="668" t="s">
        <v>1384</v>
      </c>
      <c r="C99" s="668" t="s">
        <v>34</v>
      </c>
      <c r="D99" s="706">
        <v>102743</v>
      </c>
      <c r="E99" s="706">
        <v>11000</v>
      </c>
    </row>
    <row r="100" spans="1:5" outlineLevel="1" x14ac:dyDescent="0.25">
      <c r="A100" s="668"/>
      <c r="B100" s="668"/>
      <c r="C100" s="700" t="s">
        <v>1556</v>
      </c>
      <c r="D100" s="706">
        <f>SUBTOTAL(9,D97:D99)</f>
        <v>308229</v>
      </c>
      <c r="E100" s="706">
        <f>SUBTOTAL(9,E97:E99)</f>
        <v>32000</v>
      </c>
    </row>
    <row r="101" spans="1:5" outlineLevel="2" x14ac:dyDescent="0.25">
      <c r="A101" t="s">
        <v>1287</v>
      </c>
      <c r="B101" t="s">
        <v>1416</v>
      </c>
      <c r="C101" t="s">
        <v>8</v>
      </c>
      <c r="D101" s="674">
        <v>125023</v>
      </c>
      <c r="E101" s="674">
        <v>12000</v>
      </c>
    </row>
    <row r="102" spans="1:5" outlineLevel="2" x14ac:dyDescent="0.25">
      <c r="A102" s="668" t="s">
        <v>1287</v>
      </c>
      <c r="B102" s="668" t="s">
        <v>1416</v>
      </c>
      <c r="C102" s="668" t="s">
        <v>8</v>
      </c>
      <c r="D102" s="706">
        <v>125023</v>
      </c>
      <c r="E102" s="706">
        <v>21000</v>
      </c>
    </row>
    <row r="103" spans="1:5" outlineLevel="2" x14ac:dyDescent="0.25">
      <c r="A103" s="668" t="s">
        <v>1287</v>
      </c>
      <c r="B103" s="668" t="s">
        <v>1416</v>
      </c>
      <c r="C103" s="668" t="s">
        <v>8</v>
      </c>
      <c r="D103" s="706">
        <v>125023</v>
      </c>
      <c r="E103" s="706">
        <v>21000</v>
      </c>
    </row>
    <row r="104" spans="1:5" outlineLevel="1" x14ac:dyDescent="0.25">
      <c r="A104" s="668"/>
      <c r="B104" s="668"/>
      <c r="C104" s="700" t="s">
        <v>1557</v>
      </c>
      <c r="D104" s="706">
        <f>SUBTOTAL(9,D101:D103)</f>
        <v>375069</v>
      </c>
      <c r="E104" s="706">
        <f>SUBTOTAL(9,E101:E103)</f>
        <v>54000</v>
      </c>
    </row>
    <row r="105" spans="1:5" outlineLevel="2" x14ac:dyDescent="0.25">
      <c r="A105">
        <v>275</v>
      </c>
      <c r="B105" t="s">
        <v>1455</v>
      </c>
      <c r="C105" t="s">
        <v>731</v>
      </c>
      <c r="D105" s="674">
        <v>118701</v>
      </c>
      <c r="E105" s="674">
        <v>15000</v>
      </c>
    </row>
    <row r="106" spans="1:5" outlineLevel="1" x14ac:dyDescent="0.25">
      <c r="C106" s="695" t="s">
        <v>1635</v>
      </c>
      <c r="D106" s="674">
        <f>SUBTOTAL(9,D105:D105)</f>
        <v>118701</v>
      </c>
      <c r="E106" s="674">
        <f>SUBTOTAL(9,E105:E105)</f>
        <v>15000</v>
      </c>
    </row>
    <row r="107" spans="1:5" outlineLevel="2" x14ac:dyDescent="0.25">
      <c r="A107" t="s">
        <v>1292</v>
      </c>
      <c r="B107" t="s">
        <v>1421</v>
      </c>
      <c r="C107" t="s">
        <v>46</v>
      </c>
      <c r="D107" s="674">
        <v>94364</v>
      </c>
      <c r="E107" s="674">
        <v>8000</v>
      </c>
    </row>
    <row r="108" spans="1:5" outlineLevel="2" x14ac:dyDescent="0.25">
      <c r="A108" s="668" t="s">
        <v>1292</v>
      </c>
      <c r="B108" s="668" t="s">
        <v>1421</v>
      </c>
      <c r="C108" s="668" t="s">
        <v>46</v>
      </c>
      <c r="D108" s="706">
        <v>94364</v>
      </c>
      <c r="E108" s="706">
        <v>10000</v>
      </c>
    </row>
    <row r="109" spans="1:5" outlineLevel="2" x14ac:dyDescent="0.25">
      <c r="A109" s="668" t="s">
        <v>1292</v>
      </c>
      <c r="B109" s="668" t="s">
        <v>1421</v>
      </c>
      <c r="C109" s="668" t="s">
        <v>46</v>
      </c>
      <c r="D109" s="706">
        <v>94364</v>
      </c>
      <c r="E109" s="706">
        <v>9755</v>
      </c>
    </row>
    <row r="110" spans="1:5" outlineLevel="1" x14ac:dyDescent="0.25">
      <c r="A110" s="668"/>
      <c r="B110" s="668"/>
      <c r="C110" s="700" t="s">
        <v>1558</v>
      </c>
      <c r="D110" s="706">
        <f>SUBTOTAL(9,D107:D109)</f>
        <v>283092</v>
      </c>
      <c r="E110" s="706">
        <f>SUBTOTAL(9,E107:E109)</f>
        <v>27755</v>
      </c>
    </row>
    <row r="111" spans="1:5" outlineLevel="2" x14ac:dyDescent="0.25">
      <c r="A111" t="s">
        <v>1495</v>
      </c>
      <c r="B111" t="s">
        <v>1380</v>
      </c>
      <c r="C111" t="s">
        <v>1163</v>
      </c>
      <c r="D111" s="674">
        <v>147232</v>
      </c>
      <c r="E111" s="674">
        <v>15000</v>
      </c>
    </row>
    <row r="112" spans="1:5" outlineLevel="2" x14ac:dyDescent="0.25">
      <c r="A112" s="668" t="s">
        <v>1495</v>
      </c>
      <c r="B112" s="668" t="s">
        <v>1380</v>
      </c>
      <c r="C112" s="668" t="s">
        <v>1163</v>
      </c>
      <c r="D112" s="706">
        <v>147232</v>
      </c>
      <c r="E112" s="706">
        <v>5000</v>
      </c>
    </row>
    <row r="113" spans="1:5" outlineLevel="1" x14ac:dyDescent="0.25">
      <c r="A113" s="668"/>
      <c r="B113" s="668"/>
      <c r="C113" s="700" t="s">
        <v>1559</v>
      </c>
      <c r="D113" s="706">
        <f>SUBTOTAL(9,D111:D112)</f>
        <v>294464</v>
      </c>
      <c r="E113" s="706">
        <f>SUBTOTAL(9,E111:E112)</f>
        <v>20000</v>
      </c>
    </row>
    <row r="114" spans="1:5" outlineLevel="2" x14ac:dyDescent="0.25">
      <c r="A114" s="668" t="s">
        <v>1334</v>
      </c>
      <c r="B114" s="668" t="s">
        <v>1526</v>
      </c>
      <c r="C114" s="668" t="s">
        <v>1196</v>
      </c>
      <c r="D114" s="706">
        <v>39894</v>
      </c>
      <c r="E114" s="706">
        <v>600</v>
      </c>
    </row>
    <row r="115" spans="1:5" outlineLevel="2" x14ac:dyDescent="0.25">
      <c r="A115" s="668" t="s">
        <v>1334</v>
      </c>
      <c r="B115" s="668" t="s">
        <v>1526</v>
      </c>
      <c r="C115" s="668" t="s">
        <v>1196</v>
      </c>
      <c r="D115" s="706">
        <v>39894</v>
      </c>
      <c r="E115" s="706">
        <v>600</v>
      </c>
    </row>
    <row r="116" spans="1:5" outlineLevel="1" x14ac:dyDescent="0.25">
      <c r="A116" s="668"/>
      <c r="B116" s="668"/>
      <c r="C116" s="700" t="s">
        <v>1639</v>
      </c>
      <c r="D116" s="706">
        <f>SUBTOTAL(9,D114:D115)</f>
        <v>79788</v>
      </c>
      <c r="E116" s="706">
        <f>SUBTOTAL(9,E114:E115)</f>
        <v>1200</v>
      </c>
    </row>
    <row r="117" spans="1:5" outlineLevel="2" x14ac:dyDescent="0.25">
      <c r="A117" s="668" t="s">
        <v>1336</v>
      </c>
      <c r="B117" s="668" t="s">
        <v>1528</v>
      </c>
      <c r="C117" s="668" t="s">
        <v>957</v>
      </c>
      <c r="D117" s="706">
        <v>42074</v>
      </c>
      <c r="E117" s="706">
        <v>100</v>
      </c>
    </row>
    <row r="118" spans="1:5" outlineLevel="1" x14ac:dyDescent="0.25">
      <c r="A118" s="668"/>
      <c r="B118" s="668"/>
      <c r="C118" s="700" t="s">
        <v>1640</v>
      </c>
      <c r="D118" s="706">
        <f>SUBTOTAL(9,D117:D117)</f>
        <v>42074</v>
      </c>
      <c r="E118" s="706">
        <f>SUBTOTAL(9,E117:E117)</f>
        <v>100</v>
      </c>
    </row>
    <row r="119" spans="1:5" outlineLevel="2" x14ac:dyDescent="0.25">
      <c r="A119" t="s">
        <v>1313</v>
      </c>
      <c r="B119" t="s">
        <v>1436</v>
      </c>
      <c r="C119" t="s">
        <v>767</v>
      </c>
      <c r="D119" s="674">
        <v>69760</v>
      </c>
      <c r="E119" s="674">
        <v>3000</v>
      </c>
    </row>
    <row r="120" spans="1:5" outlineLevel="2" x14ac:dyDescent="0.25">
      <c r="A120" s="668" t="s">
        <v>1313</v>
      </c>
      <c r="B120" s="668" t="s">
        <v>1436</v>
      </c>
      <c r="C120" s="668" t="s">
        <v>767</v>
      </c>
      <c r="D120" s="706">
        <v>69760</v>
      </c>
      <c r="E120" s="706">
        <v>6000</v>
      </c>
    </row>
    <row r="121" spans="1:5" outlineLevel="2" x14ac:dyDescent="0.25">
      <c r="A121" s="668" t="s">
        <v>1313</v>
      </c>
      <c r="B121" s="668" t="s">
        <v>1436</v>
      </c>
      <c r="C121" s="668" t="s">
        <v>767</v>
      </c>
      <c r="D121" s="706">
        <v>69760</v>
      </c>
      <c r="E121" s="706">
        <v>4882</v>
      </c>
    </row>
    <row r="122" spans="1:5" outlineLevel="1" x14ac:dyDescent="0.25">
      <c r="A122" s="668"/>
      <c r="B122" s="668"/>
      <c r="C122" s="700" t="s">
        <v>1561</v>
      </c>
      <c r="D122" s="706">
        <f>SUBTOTAL(9,D119:D121)</f>
        <v>209280</v>
      </c>
      <c r="E122" s="706">
        <f>SUBTOTAL(9,E119:E121)</f>
        <v>13882</v>
      </c>
    </row>
    <row r="123" spans="1:5" outlineLevel="2" x14ac:dyDescent="0.25">
      <c r="A123" t="s">
        <v>1249</v>
      </c>
      <c r="B123" t="s">
        <v>1377</v>
      </c>
      <c r="C123" t="s">
        <v>924</v>
      </c>
      <c r="D123" s="674">
        <v>139119</v>
      </c>
      <c r="E123" s="674">
        <v>19000</v>
      </c>
    </row>
    <row r="124" spans="1:5" outlineLevel="2" x14ac:dyDescent="0.25">
      <c r="A124" s="668" t="s">
        <v>1249</v>
      </c>
      <c r="B124" s="668" t="s">
        <v>1377</v>
      </c>
      <c r="C124" s="668" t="s">
        <v>924</v>
      </c>
      <c r="D124" s="706">
        <v>139119</v>
      </c>
      <c r="E124" s="706">
        <v>24000</v>
      </c>
    </row>
    <row r="125" spans="1:5" outlineLevel="2" x14ac:dyDescent="0.25">
      <c r="A125" s="668" t="s">
        <v>1249</v>
      </c>
      <c r="B125" s="668" t="s">
        <v>1377</v>
      </c>
      <c r="C125" s="668" t="s">
        <v>924</v>
      </c>
      <c r="D125" s="706">
        <v>139119</v>
      </c>
      <c r="E125" s="706">
        <v>23660</v>
      </c>
    </row>
    <row r="126" spans="1:5" outlineLevel="1" x14ac:dyDescent="0.25">
      <c r="A126" s="668"/>
      <c r="B126" s="668"/>
      <c r="C126" s="700" t="s">
        <v>1562</v>
      </c>
      <c r="D126" s="706">
        <f>SUBTOTAL(9,D123:D125)</f>
        <v>417357</v>
      </c>
      <c r="E126" s="706">
        <f>SUBTOTAL(9,E123:E125)</f>
        <v>66660</v>
      </c>
    </row>
    <row r="127" spans="1:5" outlineLevel="2" x14ac:dyDescent="0.25">
      <c r="A127" t="s">
        <v>1290</v>
      </c>
      <c r="B127" t="s">
        <v>1413</v>
      </c>
      <c r="C127" t="s">
        <v>394</v>
      </c>
      <c r="D127" s="674">
        <v>99817</v>
      </c>
      <c r="E127" s="674">
        <v>7000</v>
      </c>
    </row>
    <row r="128" spans="1:5" outlineLevel="2" x14ac:dyDescent="0.25">
      <c r="A128" s="668" t="s">
        <v>1290</v>
      </c>
      <c r="B128" s="668" t="s">
        <v>1413</v>
      </c>
      <c r="C128" s="668" t="s">
        <v>394</v>
      </c>
      <c r="D128" s="706">
        <v>99817</v>
      </c>
      <c r="E128" s="706">
        <v>20000</v>
      </c>
    </row>
    <row r="129" spans="1:5" outlineLevel="2" x14ac:dyDescent="0.25">
      <c r="A129" s="668" t="s">
        <v>1290</v>
      </c>
      <c r="B129" s="668" t="s">
        <v>1413</v>
      </c>
      <c r="C129" s="668" t="s">
        <v>394</v>
      </c>
      <c r="D129" s="706">
        <v>99817</v>
      </c>
      <c r="E129" s="706">
        <v>11165</v>
      </c>
    </row>
    <row r="130" spans="1:5" outlineLevel="1" x14ac:dyDescent="0.25">
      <c r="A130" s="668"/>
      <c r="B130" s="668"/>
      <c r="C130" s="700" t="s">
        <v>1563</v>
      </c>
      <c r="D130" s="706">
        <f>SUBTOTAL(9,D127:D129)</f>
        <v>299451</v>
      </c>
      <c r="E130" s="706">
        <f>SUBTOTAL(9,E127:E129)</f>
        <v>38165</v>
      </c>
    </row>
    <row r="131" spans="1:5" outlineLevel="2" x14ac:dyDescent="0.25">
      <c r="A131" t="s">
        <v>1284</v>
      </c>
      <c r="B131" t="s">
        <v>1427</v>
      </c>
      <c r="C131" t="s">
        <v>12</v>
      </c>
      <c r="D131" s="674">
        <v>112270</v>
      </c>
      <c r="E131" s="674">
        <v>10000</v>
      </c>
    </row>
    <row r="132" spans="1:5" outlineLevel="2" x14ac:dyDescent="0.25">
      <c r="A132" s="668" t="s">
        <v>1284</v>
      </c>
      <c r="B132" s="668" t="s">
        <v>1427</v>
      </c>
      <c r="C132" s="668" t="s">
        <v>12</v>
      </c>
      <c r="D132" s="706">
        <v>112270</v>
      </c>
      <c r="E132" s="706">
        <v>20000</v>
      </c>
    </row>
    <row r="133" spans="1:5" outlineLevel="2" x14ac:dyDescent="0.25">
      <c r="A133" s="668" t="s">
        <v>1284</v>
      </c>
      <c r="B133" s="668" t="s">
        <v>1427</v>
      </c>
      <c r="C133" s="668" t="s">
        <v>12</v>
      </c>
      <c r="D133" s="706">
        <v>112270</v>
      </c>
      <c r="E133" s="706">
        <v>19630</v>
      </c>
    </row>
    <row r="134" spans="1:5" outlineLevel="1" x14ac:dyDescent="0.25">
      <c r="A134" s="668"/>
      <c r="B134" s="668"/>
      <c r="C134" s="700" t="s">
        <v>1564</v>
      </c>
      <c r="D134" s="706">
        <f>SUBTOTAL(9,D131:D133)</f>
        <v>336810</v>
      </c>
      <c r="E134" s="706">
        <f>SUBTOTAL(9,E131:E133)</f>
        <v>49630</v>
      </c>
    </row>
    <row r="135" spans="1:5" outlineLevel="2" x14ac:dyDescent="0.25">
      <c r="A135" s="675" t="s">
        <v>1316</v>
      </c>
      <c r="B135" s="675" t="s">
        <v>1440</v>
      </c>
      <c r="C135" s="675" t="s">
        <v>758</v>
      </c>
      <c r="D135" s="676">
        <v>62577</v>
      </c>
      <c r="E135" s="676">
        <v>1600</v>
      </c>
    </row>
    <row r="136" spans="1:5" outlineLevel="2" x14ac:dyDescent="0.25">
      <c r="A136" s="675" t="s">
        <v>1316</v>
      </c>
      <c r="B136" s="675" t="s">
        <v>1440</v>
      </c>
      <c r="C136" s="675" t="s">
        <v>758</v>
      </c>
      <c r="D136" s="676">
        <v>62577</v>
      </c>
      <c r="E136" s="676">
        <v>1600</v>
      </c>
    </row>
    <row r="137" spans="1:5" outlineLevel="1" x14ac:dyDescent="0.25">
      <c r="A137" s="675"/>
      <c r="B137" s="675"/>
      <c r="C137" s="708" t="s">
        <v>1565</v>
      </c>
      <c r="D137" s="676">
        <f>SUBTOTAL(9,D135:D136)</f>
        <v>125154</v>
      </c>
      <c r="E137" s="676">
        <f>SUBTOTAL(9,E135:E136)</f>
        <v>3200</v>
      </c>
    </row>
    <row r="138" spans="1:5" outlineLevel="2" x14ac:dyDescent="0.25">
      <c r="A138" s="705" t="s">
        <v>1289</v>
      </c>
      <c r="B138" s="705" t="s">
        <v>1423</v>
      </c>
      <c r="C138" s="705" t="s">
        <v>44</v>
      </c>
      <c r="D138" s="707">
        <v>127947</v>
      </c>
      <c r="E138" s="707">
        <v>20000</v>
      </c>
    </row>
    <row r="139" spans="1:5" outlineLevel="2" x14ac:dyDescent="0.25">
      <c r="A139" s="675" t="s">
        <v>1289</v>
      </c>
      <c r="B139" s="675" t="s">
        <v>1423</v>
      </c>
      <c r="C139" s="675" t="s">
        <v>44</v>
      </c>
      <c r="D139" s="676">
        <v>127947</v>
      </c>
      <c r="E139" s="676">
        <v>20000</v>
      </c>
    </row>
    <row r="140" spans="1:5" outlineLevel="2" x14ac:dyDescent="0.25">
      <c r="A140" s="675" t="s">
        <v>1289</v>
      </c>
      <c r="B140" s="675" t="s">
        <v>1423</v>
      </c>
      <c r="C140" s="675" t="s">
        <v>44</v>
      </c>
      <c r="D140" s="676">
        <v>127947</v>
      </c>
      <c r="E140" s="676">
        <v>8235</v>
      </c>
    </row>
    <row r="141" spans="1:5" outlineLevel="1" x14ac:dyDescent="0.25">
      <c r="A141" s="675"/>
      <c r="B141" s="675"/>
      <c r="C141" s="708" t="s">
        <v>1566</v>
      </c>
      <c r="D141" s="676">
        <f>SUBTOTAL(9,D138:D140)</f>
        <v>383841</v>
      </c>
      <c r="E141" s="676">
        <f>SUBTOTAL(9,E138:E140)</f>
        <v>48235</v>
      </c>
    </row>
    <row r="142" spans="1:5" outlineLevel="2" x14ac:dyDescent="0.25">
      <c r="A142" s="705" t="s">
        <v>1259</v>
      </c>
      <c r="B142" s="705" t="s">
        <v>1366</v>
      </c>
      <c r="C142" s="705" t="s">
        <v>38</v>
      </c>
      <c r="D142" s="707">
        <v>102743</v>
      </c>
      <c r="E142" s="707">
        <v>10000</v>
      </c>
    </row>
    <row r="143" spans="1:5" outlineLevel="2" x14ac:dyDescent="0.25">
      <c r="A143" s="675" t="s">
        <v>1259</v>
      </c>
      <c r="B143" s="675" t="s">
        <v>1366</v>
      </c>
      <c r="C143" s="675" t="s">
        <v>38</v>
      </c>
      <c r="D143" s="676">
        <v>102743</v>
      </c>
      <c r="E143" s="676">
        <v>11000</v>
      </c>
    </row>
    <row r="144" spans="1:5" outlineLevel="2" x14ac:dyDescent="0.25">
      <c r="A144" s="675" t="s">
        <v>1259</v>
      </c>
      <c r="B144" s="675" t="s">
        <v>1366</v>
      </c>
      <c r="C144" s="675" t="s">
        <v>38</v>
      </c>
      <c r="D144" s="676">
        <v>102743</v>
      </c>
      <c r="E144" s="676">
        <v>10985</v>
      </c>
    </row>
    <row r="145" spans="1:5" outlineLevel="1" x14ac:dyDescent="0.25">
      <c r="A145" s="675"/>
      <c r="B145" s="675"/>
      <c r="C145" s="708" t="s">
        <v>1567</v>
      </c>
      <c r="D145" s="676">
        <f>SUBTOTAL(9,D142:D144)</f>
        <v>308229</v>
      </c>
      <c r="E145" s="676">
        <f>SUBTOTAL(9,E142:E144)</f>
        <v>31985</v>
      </c>
    </row>
    <row r="146" spans="1:5" outlineLevel="2" x14ac:dyDescent="0.25">
      <c r="A146" s="705" t="s">
        <v>1252</v>
      </c>
      <c r="B146" s="705" t="s">
        <v>1368</v>
      </c>
      <c r="C146" s="705" t="s">
        <v>945</v>
      </c>
      <c r="D146" s="707">
        <v>139119</v>
      </c>
      <c r="E146" s="707">
        <v>17500</v>
      </c>
    </row>
    <row r="147" spans="1:5" outlineLevel="2" x14ac:dyDescent="0.25">
      <c r="A147" s="675" t="s">
        <v>1252</v>
      </c>
      <c r="B147" s="675" t="s">
        <v>1368</v>
      </c>
      <c r="C147" s="675" t="s">
        <v>945</v>
      </c>
      <c r="D147" s="676">
        <v>146700</v>
      </c>
      <c r="E147" s="676">
        <v>25000</v>
      </c>
    </row>
    <row r="148" spans="1:5" outlineLevel="2" x14ac:dyDescent="0.25">
      <c r="A148" s="675" t="s">
        <v>1252</v>
      </c>
      <c r="B148" s="675" t="s">
        <v>1368</v>
      </c>
      <c r="C148" s="675" t="s">
        <v>945</v>
      </c>
      <c r="D148" s="676">
        <v>146700</v>
      </c>
      <c r="E148" s="676">
        <v>24300</v>
      </c>
    </row>
    <row r="149" spans="1:5" outlineLevel="1" x14ac:dyDescent="0.25">
      <c r="A149" s="675"/>
      <c r="B149" s="675"/>
      <c r="C149" s="708" t="s">
        <v>1568</v>
      </c>
      <c r="D149" s="676">
        <f>SUBTOTAL(9,D146:D148)</f>
        <v>432519</v>
      </c>
      <c r="E149" s="676">
        <f>SUBTOTAL(9,E146:E148)</f>
        <v>66800</v>
      </c>
    </row>
    <row r="150" spans="1:5" outlineLevel="2" x14ac:dyDescent="0.25">
      <c r="A150" s="675" t="s">
        <v>1516</v>
      </c>
      <c r="B150" s="675" t="s">
        <v>1517</v>
      </c>
      <c r="C150" s="675" t="s">
        <v>1352</v>
      </c>
      <c r="D150" s="676">
        <v>99817</v>
      </c>
      <c r="E150" s="676">
        <v>6500</v>
      </c>
    </row>
    <row r="151" spans="1:5" outlineLevel="2" x14ac:dyDescent="0.25">
      <c r="A151" s="675" t="s">
        <v>1516</v>
      </c>
      <c r="B151" s="675" t="s">
        <v>1517</v>
      </c>
      <c r="C151" s="675" t="s">
        <v>1352</v>
      </c>
      <c r="D151" s="676">
        <v>99817</v>
      </c>
      <c r="E151" s="676">
        <v>6500</v>
      </c>
    </row>
    <row r="152" spans="1:5" outlineLevel="1" x14ac:dyDescent="0.25">
      <c r="A152" s="675"/>
      <c r="B152" s="675"/>
      <c r="C152" s="708" t="s">
        <v>1641</v>
      </c>
      <c r="D152" s="676">
        <f>SUBTOTAL(9,D150:D151)</f>
        <v>199634</v>
      </c>
      <c r="E152" s="676">
        <f>SUBTOTAL(9,E150:E151)</f>
        <v>13000</v>
      </c>
    </row>
    <row r="153" spans="1:5" outlineLevel="2" x14ac:dyDescent="0.25">
      <c r="A153" s="705" t="s">
        <v>1281</v>
      </c>
      <c r="B153" s="705" t="s">
        <v>1410</v>
      </c>
      <c r="C153" s="705" t="s">
        <v>603</v>
      </c>
      <c r="D153" s="707">
        <v>64306</v>
      </c>
      <c r="E153" s="707">
        <v>2000</v>
      </c>
    </row>
    <row r="154" spans="1:5" outlineLevel="2" x14ac:dyDescent="0.25">
      <c r="A154" s="675" t="s">
        <v>1281</v>
      </c>
      <c r="B154" s="675" t="s">
        <v>1410</v>
      </c>
      <c r="C154" s="675" t="s">
        <v>603</v>
      </c>
      <c r="D154" s="676">
        <v>64306</v>
      </c>
      <c r="E154" s="676">
        <v>3300</v>
      </c>
    </row>
    <row r="155" spans="1:5" outlineLevel="2" x14ac:dyDescent="0.25">
      <c r="A155" s="675" t="s">
        <v>1281</v>
      </c>
      <c r="B155" s="675" t="s">
        <v>1410</v>
      </c>
      <c r="C155" s="675" t="s">
        <v>603</v>
      </c>
      <c r="D155" s="676">
        <v>64306</v>
      </c>
      <c r="E155" s="676">
        <v>3340</v>
      </c>
    </row>
    <row r="156" spans="1:5" outlineLevel="1" x14ac:dyDescent="0.25">
      <c r="A156" s="675"/>
      <c r="B156" s="675"/>
      <c r="C156" s="708" t="s">
        <v>1570</v>
      </c>
      <c r="D156" s="676">
        <f>SUBTOTAL(9,D153:D155)</f>
        <v>192918</v>
      </c>
      <c r="E156" s="676">
        <f>SUBTOTAL(9,E153:E155)</f>
        <v>8640</v>
      </c>
    </row>
    <row r="157" spans="1:5" outlineLevel="2" x14ac:dyDescent="0.25">
      <c r="A157" s="705" t="s">
        <v>1321</v>
      </c>
      <c r="B157" s="705" t="s">
        <v>1444</v>
      </c>
      <c r="C157" s="705" t="s">
        <v>772</v>
      </c>
      <c r="D157" s="707">
        <v>75212</v>
      </c>
      <c r="E157" s="707">
        <v>4000</v>
      </c>
    </row>
    <row r="158" spans="1:5" outlineLevel="2" x14ac:dyDescent="0.25">
      <c r="A158" s="675" t="s">
        <v>1321</v>
      </c>
      <c r="B158" s="675" t="s">
        <v>1444</v>
      </c>
      <c r="C158" s="675" t="s">
        <v>772</v>
      </c>
      <c r="D158" s="676">
        <v>75212</v>
      </c>
      <c r="E158" s="676">
        <v>5000</v>
      </c>
    </row>
    <row r="159" spans="1:5" outlineLevel="2" x14ac:dyDescent="0.25">
      <c r="A159" s="675" t="s">
        <v>1321</v>
      </c>
      <c r="B159" s="675" t="s">
        <v>1444</v>
      </c>
      <c r="C159" s="675" t="s">
        <v>772</v>
      </c>
      <c r="D159" s="676">
        <v>75212</v>
      </c>
      <c r="E159" s="676">
        <v>5400</v>
      </c>
    </row>
    <row r="160" spans="1:5" outlineLevel="1" x14ac:dyDescent="0.25">
      <c r="A160" s="675"/>
      <c r="B160" s="675"/>
      <c r="C160" s="708" t="s">
        <v>1571</v>
      </c>
      <c r="D160" s="676">
        <f>SUBTOTAL(9,D157:D159)</f>
        <v>225636</v>
      </c>
      <c r="E160" s="676">
        <f>SUBTOTAL(9,E157:E159)</f>
        <v>14400</v>
      </c>
    </row>
    <row r="161" spans="1:5" outlineLevel="2" x14ac:dyDescent="0.25">
      <c r="A161" s="705">
        <v>262</v>
      </c>
      <c r="B161" s="705" t="s">
        <v>1453</v>
      </c>
      <c r="C161" s="705" t="s">
        <v>1222</v>
      </c>
      <c r="D161" s="707">
        <v>109218</v>
      </c>
      <c r="E161" s="707">
        <v>9000</v>
      </c>
    </row>
    <row r="162" spans="1:5" outlineLevel="2" x14ac:dyDescent="0.25">
      <c r="A162" s="675">
        <v>262</v>
      </c>
      <c r="B162" s="675" t="s">
        <v>1453</v>
      </c>
      <c r="C162" s="675" t="s">
        <v>1222</v>
      </c>
      <c r="D162" s="676">
        <v>109218</v>
      </c>
      <c r="E162" s="676">
        <v>10500</v>
      </c>
    </row>
    <row r="163" spans="1:5" outlineLevel="1" x14ac:dyDescent="0.25">
      <c r="A163" s="675"/>
      <c r="B163" s="675"/>
      <c r="C163" s="708" t="s">
        <v>1572</v>
      </c>
      <c r="D163" s="676">
        <f>SUBTOTAL(9,D161:D162)</f>
        <v>218436</v>
      </c>
      <c r="E163" s="676">
        <f>SUBTOTAL(9,E161:E162)</f>
        <v>19500</v>
      </c>
    </row>
    <row r="164" spans="1:5" outlineLevel="2" x14ac:dyDescent="0.25">
      <c r="A164" s="705" t="s">
        <v>1255</v>
      </c>
      <c r="B164" s="705" t="s">
        <v>1374</v>
      </c>
      <c r="C164" s="705" t="s">
        <v>949</v>
      </c>
      <c r="D164" s="707">
        <v>143109</v>
      </c>
      <c r="E164" s="707">
        <v>21000</v>
      </c>
    </row>
    <row r="165" spans="1:5" outlineLevel="2" x14ac:dyDescent="0.25">
      <c r="A165" s="675" t="s">
        <v>1255</v>
      </c>
      <c r="B165" s="675" t="s">
        <v>1374</v>
      </c>
      <c r="C165" s="675" t="s">
        <v>949</v>
      </c>
      <c r="D165" s="676">
        <v>143109</v>
      </c>
      <c r="E165" s="676">
        <v>28000</v>
      </c>
    </row>
    <row r="166" spans="1:5" outlineLevel="2" x14ac:dyDescent="0.25">
      <c r="A166" s="675" t="s">
        <v>1255</v>
      </c>
      <c r="B166" s="675" t="s">
        <v>1374</v>
      </c>
      <c r="C166" s="675" t="s">
        <v>949</v>
      </c>
      <c r="D166" s="676">
        <v>143109</v>
      </c>
      <c r="E166" s="676">
        <v>28285</v>
      </c>
    </row>
    <row r="167" spans="1:5" outlineLevel="1" x14ac:dyDescent="0.25">
      <c r="A167" s="675"/>
      <c r="B167" s="675"/>
      <c r="C167" s="708" t="s">
        <v>1573</v>
      </c>
      <c r="D167" s="676">
        <f>SUBTOTAL(9,D164:D166)</f>
        <v>429327</v>
      </c>
      <c r="E167" s="676">
        <f>SUBTOTAL(9,E164:E166)</f>
        <v>77285</v>
      </c>
    </row>
    <row r="168" spans="1:5" outlineLevel="2" x14ac:dyDescent="0.25">
      <c r="A168" s="705" t="s">
        <v>1268</v>
      </c>
      <c r="B168" s="705" t="s">
        <v>1499</v>
      </c>
      <c r="C168" s="705" t="s">
        <v>961</v>
      </c>
      <c r="D168" s="707">
        <v>51937</v>
      </c>
      <c r="E168" s="707">
        <v>500</v>
      </c>
    </row>
    <row r="169" spans="1:5" outlineLevel="2" x14ac:dyDescent="0.25">
      <c r="A169" s="675" t="s">
        <v>1268</v>
      </c>
      <c r="B169" s="675" t="s">
        <v>1499</v>
      </c>
      <c r="C169" s="675" t="s">
        <v>961</v>
      </c>
      <c r="D169" s="676">
        <v>51937</v>
      </c>
      <c r="E169" s="676">
        <v>2500</v>
      </c>
    </row>
    <row r="170" spans="1:5" outlineLevel="2" x14ac:dyDescent="0.25">
      <c r="A170" s="675" t="s">
        <v>1268</v>
      </c>
      <c r="B170" s="675" t="s">
        <v>1499</v>
      </c>
      <c r="C170" s="675" t="s">
        <v>961</v>
      </c>
      <c r="D170" s="676">
        <v>51937</v>
      </c>
      <c r="E170" s="676">
        <v>2547</v>
      </c>
    </row>
    <row r="171" spans="1:5" outlineLevel="1" x14ac:dyDescent="0.25">
      <c r="A171" s="675"/>
      <c r="B171" s="675"/>
      <c r="C171" s="708" t="s">
        <v>1642</v>
      </c>
      <c r="D171" s="676">
        <f>SUBTOTAL(9,D168:D170)</f>
        <v>155811</v>
      </c>
      <c r="E171" s="676">
        <f>SUBTOTAL(9,E168:E170)</f>
        <v>5547</v>
      </c>
    </row>
    <row r="172" spans="1:5" outlineLevel="2" x14ac:dyDescent="0.25">
      <c r="A172" s="705" t="s">
        <v>1315</v>
      </c>
      <c r="B172" s="705" t="s">
        <v>1438</v>
      </c>
      <c r="C172" s="705" t="s">
        <v>752</v>
      </c>
      <c r="D172" s="707">
        <v>62577</v>
      </c>
      <c r="E172" s="707">
        <v>1500</v>
      </c>
    </row>
    <row r="173" spans="1:5" outlineLevel="2" x14ac:dyDescent="0.25">
      <c r="A173" s="675" t="s">
        <v>1315</v>
      </c>
      <c r="B173" s="675" t="s">
        <v>1438</v>
      </c>
      <c r="C173" s="675" t="s">
        <v>752</v>
      </c>
      <c r="D173" s="676">
        <v>62577</v>
      </c>
      <c r="E173" s="676">
        <v>4000</v>
      </c>
    </row>
    <row r="174" spans="1:5" outlineLevel="2" x14ac:dyDescent="0.25">
      <c r="A174" s="675" t="s">
        <v>1315</v>
      </c>
      <c r="B174" s="675" t="s">
        <v>1438</v>
      </c>
      <c r="C174" s="675" t="s">
        <v>752</v>
      </c>
      <c r="D174" s="676">
        <v>62577</v>
      </c>
      <c r="E174" s="676">
        <v>3860</v>
      </c>
    </row>
    <row r="175" spans="1:5" outlineLevel="1" x14ac:dyDescent="0.25">
      <c r="A175" s="675"/>
      <c r="B175" s="675"/>
      <c r="C175" s="708" t="s">
        <v>1574</v>
      </c>
      <c r="D175" s="676">
        <f>SUBTOTAL(9,D172:D174)</f>
        <v>187731</v>
      </c>
      <c r="E175" s="676">
        <f>SUBTOTAL(9,E172:E174)</f>
        <v>9360</v>
      </c>
    </row>
    <row r="176" spans="1:5" outlineLevel="2" x14ac:dyDescent="0.25">
      <c r="A176" s="705" t="s">
        <v>1273</v>
      </c>
      <c r="B176" s="705" t="s">
        <v>1393</v>
      </c>
      <c r="C176" s="705" t="s">
        <v>947</v>
      </c>
      <c r="D176" s="707">
        <v>97024</v>
      </c>
      <c r="E176" s="707">
        <v>9000</v>
      </c>
    </row>
    <row r="177" spans="1:5" outlineLevel="2" x14ac:dyDescent="0.25">
      <c r="A177" s="675" t="s">
        <v>1273</v>
      </c>
      <c r="B177" s="675" t="s">
        <v>1393</v>
      </c>
      <c r="C177" s="675" t="s">
        <v>947</v>
      </c>
      <c r="D177" s="676">
        <v>97024</v>
      </c>
      <c r="E177" s="676">
        <v>11500</v>
      </c>
    </row>
    <row r="178" spans="1:5" outlineLevel="2" x14ac:dyDescent="0.25">
      <c r="A178" s="675" t="s">
        <v>1273</v>
      </c>
      <c r="B178" s="675" t="s">
        <v>1393</v>
      </c>
      <c r="C178" s="675" t="s">
        <v>947</v>
      </c>
      <c r="D178" s="676">
        <v>97024</v>
      </c>
      <c r="E178" s="676">
        <v>12000</v>
      </c>
    </row>
    <row r="179" spans="1:5" outlineLevel="1" x14ac:dyDescent="0.25">
      <c r="A179" s="675"/>
      <c r="B179" s="675"/>
      <c r="C179" s="708" t="s">
        <v>1575</v>
      </c>
      <c r="D179" s="676">
        <f>SUBTOTAL(9,D176:D178)</f>
        <v>291072</v>
      </c>
      <c r="E179" s="676">
        <f>SUBTOTAL(9,E176:E178)</f>
        <v>32500</v>
      </c>
    </row>
    <row r="180" spans="1:5" outlineLevel="2" x14ac:dyDescent="0.25">
      <c r="A180" s="705" t="s">
        <v>1250</v>
      </c>
      <c r="B180" s="705" t="s">
        <v>1375</v>
      </c>
      <c r="C180" s="705" t="s">
        <v>969</v>
      </c>
      <c r="D180" s="707">
        <v>97024</v>
      </c>
      <c r="E180" s="707">
        <v>9000</v>
      </c>
    </row>
    <row r="181" spans="1:5" outlineLevel="2" x14ac:dyDescent="0.25">
      <c r="A181" s="675" t="s">
        <v>1250</v>
      </c>
      <c r="B181" s="675" t="s">
        <v>1375</v>
      </c>
      <c r="C181" s="675" t="s">
        <v>969</v>
      </c>
      <c r="D181" s="676">
        <v>97024</v>
      </c>
      <c r="E181" s="676">
        <v>11000</v>
      </c>
    </row>
    <row r="182" spans="1:5" outlineLevel="2" x14ac:dyDescent="0.25">
      <c r="A182" s="675" t="s">
        <v>1250</v>
      </c>
      <c r="B182" s="675" t="s">
        <v>1375</v>
      </c>
      <c r="C182" s="675" t="s">
        <v>969</v>
      </c>
      <c r="D182" s="676">
        <v>97024</v>
      </c>
      <c r="E182" s="676">
        <v>10835</v>
      </c>
    </row>
    <row r="183" spans="1:5" outlineLevel="1" x14ac:dyDescent="0.25">
      <c r="A183" s="675"/>
      <c r="B183" s="675"/>
      <c r="C183" s="708" t="s">
        <v>1576</v>
      </c>
      <c r="D183" s="676">
        <f>SUBTOTAL(9,D180:D182)</f>
        <v>291072</v>
      </c>
      <c r="E183" s="676">
        <f>SUBTOTAL(9,E180:E182)</f>
        <v>30835</v>
      </c>
    </row>
    <row r="184" spans="1:5" outlineLevel="2" x14ac:dyDescent="0.25">
      <c r="A184" s="705" t="s">
        <v>1265</v>
      </c>
      <c r="B184" s="705" t="s">
        <v>1388</v>
      </c>
      <c r="C184" s="705" t="s">
        <v>955</v>
      </c>
      <c r="D184" s="707">
        <v>64306</v>
      </c>
      <c r="E184" s="707">
        <v>3000</v>
      </c>
    </row>
    <row r="185" spans="1:5" outlineLevel="2" x14ac:dyDescent="0.25">
      <c r="A185" s="675" t="s">
        <v>1265</v>
      </c>
      <c r="B185" s="675" t="s">
        <v>1388</v>
      </c>
      <c r="C185" s="675" t="s">
        <v>955</v>
      </c>
      <c r="D185" s="676">
        <v>64306</v>
      </c>
      <c r="E185" s="676">
        <v>2000</v>
      </c>
    </row>
    <row r="186" spans="1:5" outlineLevel="2" x14ac:dyDescent="0.25">
      <c r="A186" s="675" t="s">
        <v>1265</v>
      </c>
      <c r="B186" s="675" t="s">
        <v>1388</v>
      </c>
      <c r="C186" s="675" t="s">
        <v>955</v>
      </c>
      <c r="D186" s="676">
        <v>64306</v>
      </c>
      <c r="E186" s="676">
        <v>1269</v>
      </c>
    </row>
    <row r="187" spans="1:5" outlineLevel="1" x14ac:dyDescent="0.25">
      <c r="A187" s="675"/>
      <c r="B187" s="675"/>
      <c r="C187" s="708" t="s">
        <v>1577</v>
      </c>
      <c r="D187" s="676">
        <f>SUBTOTAL(9,D184:D186)</f>
        <v>192918</v>
      </c>
      <c r="E187" s="676">
        <f>SUBTOTAL(9,E184:E186)</f>
        <v>6269</v>
      </c>
    </row>
    <row r="188" spans="1:5" outlineLevel="2" x14ac:dyDescent="0.25">
      <c r="A188" s="705" t="s">
        <v>1331</v>
      </c>
      <c r="B188" s="705" t="s">
        <v>1452</v>
      </c>
      <c r="C188" s="705" t="s">
        <v>1185</v>
      </c>
      <c r="D188" s="707">
        <v>94364</v>
      </c>
      <c r="E188" s="707">
        <v>8000</v>
      </c>
    </row>
    <row r="189" spans="1:5" outlineLevel="2" x14ac:dyDescent="0.25">
      <c r="A189" s="675" t="s">
        <v>1331</v>
      </c>
      <c r="B189" s="675" t="s">
        <v>1452</v>
      </c>
      <c r="C189" s="675" t="s">
        <v>1185</v>
      </c>
      <c r="D189" s="676">
        <v>94364</v>
      </c>
      <c r="E189" s="676">
        <v>12500</v>
      </c>
    </row>
    <row r="190" spans="1:5" outlineLevel="2" x14ac:dyDescent="0.25">
      <c r="A190" s="675" t="s">
        <v>1331</v>
      </c>
      <c r="B190" s="675" t="s">
        <v>1452</v>
      </c>
      <c r="C190" s="675" t="s">
        <v>1185</v>
      </c>
      <c r="D190" s="676">
        <v>94364</v>
      </c>
      <c r="E190" s="676">
        <v>12500</v>
      </c>
    </row>
    <row r="191" spans="1:5" outlineLevel="1" x14ac:dyDescent="0.25">
      <c r="A191" s="675"/>
      <c r="B191" s="675"/>
      <c r="C191" s="708" t="s">
        <v>1578</v>
      </c>
      <c r="D191" s="676">
        <f>SUBTOTAL(9,D188:D190)</f>
        <v>283092</v>
      </c>
      <c r="E191" s="676">
        <f>SUBTOTAL(9,E188:E190)</f>
        <v>33000</v>
      </c>
    </row>
    <row r="192" spans="1:5" outlineLevel="2" x14ac:dyDescent="0.25">
      <c r="A192" s="675" t="s">
        <v>1264</v>
      </c>
      <c r="B192" s="675" t="s">
        <v>1464</v>
      </c>
      <c r="C192" s="675" t="s">
        <v>937</v>
      </c>
      <c r="D192" s="676">
        <v>84256</v>
      </c>
      <c r="E192" s="676">
        <v>5000</v>
      </c>
    </row>
    <row r="193" spans="1:5" outlineLevel="2" x14ac:dyDescent="0.25">
      <c r="A193" s="675" t="s">
        <v>1264</v>
      </c>
      <c r="B193" s="675" t="s">
        <v>1464</v>
      </c>
      <c r="C193" s="675" t="s">
        <v>937</v>
      </c>
      <c r="D193" s="676">
        <v>84256</v>
      </c>
      <c r="E193" s="676">
        <v>5455</v>
      </c>
    </row>
    <row r="194" spans="1:5" outlineLevel="1" x14ac:dyDescent="0.25">
      <c r="A194" s="675"/>
      <c r="B194" s="675"/>
      <c r="C194" s="708" t="s">
        <v>1579</v>
      </c>
      <c r="D194" s="676">
        <f>SUBTOTAL(9,D192:D193)</f>
        <v>168512</v>
      </c>
      <c r="E194" s="676">
        <f>SUBTOTAL(9,E192:E193)</f>
        <v>10455</v>
      </c>
    </row>
    <row r="195" spans="1:5" outlineLevel="2" x14ac:dyDescent="0.25">
      <c r="A195" s="705" t="s">
        <v>1297</v>
      </c>
      <c r="B195" s="705" t="s">
        <v>1430</v>
      </c>
      <c r="C195" s="705" t="s">
        <v>48</v>
      </c>
      <c r="D195" s="707">
        <v>79601</v>
      </c>
      <c r="E195" s="707">
        <v>4500</v>
      </c>
    </row>
    <row r="196" spans="1:5" outlineLevel="2" x14ac:dyDescent="0.25">
      <c r="A196" s="675" t="s">
        <v>1297</v>
      </c>
      <c r="B196" s="675" t="s">
        <v>1430</v>
      </c>
      <c r="C196" s="675" t="s">
        <v>48</v>
      </c>
      <c r="D196" s="676">
        <v>79601</v>
      </c>
      <c r="E196" s="676">
        <v>8500</v>
      </c>
    </row>
    <row r="197" spans="1:5" outlineLevel="2" x14ac:dyDescent="0.25">
      <c r="A197" s="675" t="s">
        <v>1297</v>
      </c>
      <c r="B197" s="675" t="s">
        <v>1430</v>
      </c>
      <c r="C197" s="675" t="s">
        <v>48</v>
      </c>
      <c r="D197" s="676">
        <v>79601</v>
      </c>
      <c r="E197" s="676">
        <v>6920</v>
      </c>
    </row>
    <row r="198" spans="1:5" outlineLevel="1" x14ac:dyDescent="0.25">
      <c r="A198" s="675"/>
      <c r="B198" s="675"/>
      <c r="C198" s="708" t="s">
        <v>1581</v>
      </c>
      <c r="D198" s="676">
        <f>SUBTOTAL(9,D195:D197)</f>
        <v>238803</v>
      </c>
      <c r="E198" s="676">
        <f>SUBTOTAL(9,E195:E197)</f>
        <v>19920</v>
      </c>
    </row>
    <row r="199" spans="1:5" outlineLevel="2" x14ac:dyDescent="0.25">
      <c r="A199" s="675" t="s">
        <v>1300</v>
      </c>
      <c r="B199" s="675" t="s">
        <v>1523</v>
      </c>
      <c r="C199" s="675" t="s">
        <v>28</v>
      </c>
      <c r="D199" s="676">
        <v>57656</v>
      </c>
      <c r="E199" s="676">
        <v>3750</v>
      </c>
    </row>
    <row r="200" spans="1:5" outlineLevel="2" x14ac:dyDescent="0.25">
      <c r="A200" s="675" t="s">
        <v>1300</v>
      </c>
      <c r="B200" s="675" t="s">
        <v>1523</v>
      </c>
      <c r="C200" s="675" t="s">
        <v>28</v>
      </c>
      <c r="D200" s="676">
        <v>57656</v>
      </c>
      <c r="E200" s="676">
        <v>2878</v>
      </c>
    </row>
    <row r="201" spans="1:5" outlineLevel="1" x14ac:dyDescent="0.25">
      <c r="A201" s="675"/>
      <c r="B201" s="675"/>
      <c r="C201" s="708" t="s">
        <v>1643</v>
      </c>
      <c r="D201" s="676">
        <f>SUBTOTAL(9,D199:D200)</f>
        <v>115312</v>
      </c>
      <c r="E201" s="676">
        <f>SUBTOTAL(9,E199:E200)</f>
        <v>6628</v>
      </c>
    </row>
    <row r="202" spans="1:5" outlineLevel="2" x14ac:dyDescent="0.25">
      <c r="A202" s="705" t="s">
        <v>1343</v>
      </c>
      <c r="B202" s="705" t="s">
        <v>1424</v>
      </c>
      <c r="C202" s="705" t="s">
        <v>16</v>
      </c>
      <c r="D202" s="707">
        <v>112270</v>
      </c>
      <c r="E202" s="707">
        <v>13000</v>
      </c>
    </row>
    <row r="203" spans="1:5" outlineLevel="1" x14ac:dyDescent="0.25">
      <c r="A203" s="705"/>
      <c r="B203" s="705"/>
      <c r="C203" s="709" t="s">
        <v>1582</v>
      </c>
      <c r="D203" s="707">
        <f>SUBTOTAL(9,D202:D202)</f>
        <v>112270</v>
      </c>
      <c r="E203" s="707">
        <f>SUBTOTAL(9,E202:E202)</f>
        <v>13000</v>
      </c>
    </row>
    <row r="204" spans="1:5" outlineLevel="2" x14ac:dyDescent="0.25">
      <c r="A204" s="705" t="s">
        <v>1266</v>
      </c>
      <c r="B204" s="705" t="s">
        <v>1389</v>
      </c>
      <c r="C204" s="705" t="s">
        <v>953</v>
      </c>
      <c r="D204" s="707">
        <v>69094</v>
      </c>
      <c r="E204" s="707">
        <v>3000</v>
      </c>
    </row>
    <row r="205" spans="1:5" outlineLevel="2" x14ac:dyDescent="0.25">
      <c r="A205" s="675" t="s">
        <v>1266</v>
      </c>
      <c r="B205" s="675" t="s">
        <v>1389</v>
      </c>
      <c r="C205" s="675" t="s">
        <v>953</v>
      </c>
      <c r="D205" s="676">
        <v>69094</v>
      </c>
      <c r="E205" s="676">
        <v>6500</v>
      </c>
    </row>
    <row r="206" spans="1:5" outlineLevel="2" x14ac:dyDescent="0.25">
      <c r="A206" s="675" t="s">
        <v>1266</v>
      </c>
      <c r="B206" s="675" t="s">
        <v>1389</v>
      </c>
      <c r="C206" s="675" t="s">
        <v>953</v>
      </c>
      <c r="D206" s="676">
        <v>69094</v>
      </c>
      <c r="E206" s="676">
        <v>5955</v>
      </c>
    </row>
    <row r="207" spans="1:5" outlineLevel="1" x14ac:dyDescent="0.25">
      <c r="A207" s="675"/>
      <c r="B207" s="675"/>
      <c r="C207" s="708" t="s">
        <v>1583</v>
      </c>
      <c r="D207" s="676">
        <f>SUBTOTAL(9,D204:D206)</f>
        <v>207282</v>
      </c>
      <c r="E207" s="676">
        <f>SUBTOTAL(9,E204:E206)</f>
        <v>15455</v>
      </c>
    </row>
    <row r="208" spans="1:5" outlineLevel="2" x14ac:dyDescent="0.25">
      <c r="A208" s="705" t="s">
        <v>1276</v>
      </c>
      <c r="B208" s="705" t="s">
        <v>1403</v>
      </c>
      <c r="C208" s="705" t="s">
        <v>601</v>
      </c>
      <c r="D208" s="707">
        <v>81862</v>
      </c>
      <c r="E208" s="707">
        <v>4500</v>
      </c>
    </row>
    <row r="209" spans="1:5" outlineLevel="2" x14ac:dyDescent="0.25">
      <c r="A209" s="675" t="s">
        <v>1276</v>
      </c>
      <c r="B209" s="675" t="s">
        <v>1403</v>
      </c>
      <c r="C209" s="675" t="s">
        <v>601</v>
      </c>
      <c r="D209" s="676">
        <v>81862</v>
      </c>
      <c r="E209" s="676">
        <v>7500</v>
      </c>
    </row>
    <row r="210" spans="1:5" outlineLevel="2" x14ac:dyDescent="0.25">
      <c r="A210" s="675" t="s">
        <v>1276</v>
      </c>
      <c r="B210" s="675" t="s">
        <v>1403</v>
      </c>
      <c r="C210" s="675" t="s">
        <v>601</v>
      </c>
      <c r="D210" s="676">
        <v>81862</v>
      </c>
      <c r="E210" s="676">
        <v>7500</v>
      </c>
    </row>
    <row r="211" spans="1:5" outlineLevel="1" x14ac:dyDescent="0.25">
      <c r="A211" s="675"/>
      <c r="B211" s="675"/>
      <c r="C211" s="708" t="s">
        <v>1584</v>
      </c>
      <c r="D211" s="676">
        <f>SUBTOTAL(9,D208:D210)</f>
        <v>245586</v>
      </c>
      <c r="E211" s="676">
        <f>SUBTOTAL(9,E208:E210)</f>
        <v>19500</v>
      </c>
    </row>
    <row r="212" spans="1:5" outlineLevel="2" x14ac:dyDescent="0.25">
      <c r="A212" s="705" t="s">
        <v>1271</v>
      </c>
      <c r="B212" s="705" t="s">
        <v>1390</v>
      </c>
      <c r="C212" s="705" t="s">
        <v>785</v>
      </c>
      <c r="D212" s="707">
        <v>97024</v>
      </c>
      <c r="E212" s="707">
        <v>5000</v>
      </c>
    </row>
    <row r="213" spans="1:5" outlineLevel="2" x14ac:dyDescent="0.25">
      <c r="A213" s="675" t="s">
        <v>1271</v>
      </c>
      <c r="B213" s="675" t="s">
        <v>1390</v>
      </c>
      <c r="C213" s="675" t="s">
        <v>785</v>
      </c>
      <c r="D213" s="676">
        <v>97024</v>
      </c>
      <c r="E213" s="676">
        <v>5000</v>
      </c>
    </row>
    <row r="214" spans="1:5" outlineLevel="2" x14ac:dyDescent="0.25">
      <c r="A214" s="675" t="s">
        <v>1271</v>
      </c>
      <c r="B214" s="675" t="s">
        <v>1390</v>
      </c>
      <c r="C214" s="675" t="s">
        <v>785</v>
      </c>
      <c r="D214" s="676">
        <v>97024</v>
      </c>
      <c r="E214" s="676">
        <v>5165</v>
      </c>
    </row>
    <row r="215" spans="1:5" outlineLevel="1" x14ac:dyDescent="0.25">
      <c r="A215" s="675"/>
      <c r="B215" s="675"/>
      <c r="C215" s="708" t="s">
        <v>1585</v>
      </c>
      <c r="D215" s="676">
        <f>SUBTOTAL(9,D212:D214)</f>
        <v>291072</v>
      </c>
      <c r="E215" s="676">
        <f>SUBTOTAL(9,E212:E214)</f>
        <v>15165</v>
      </c>
    </row>
    <row r="216" spans="1:5" outlineLevel="2" x14ac:dyDescent="0.25">
      <c r="A216" s="705" t="s">
        <v>1320</v>
      </c>
      <c r="B216" s="705" t="s">
        <v>1443</v>
      </c>
      <c r="C216" s="705" t="s">
        <v>777</v>
      </c>
      <c r="D216" s="707">
        <v>77340</v>
      </c>
      <c r="E216" s="707">
        <v>3000</v>
      </c>
    </row>
    <row r="217" spans="1:5" outlineLevel="2" x14ac:dyDescent="0.25">
      <c r="A217" s="675" t="s">
        <v>1320</v>
      </c>
      <c r="B217" s="675" t="s">
        <v>1443</v>
      </c>
      <c r="C217" s="675" t="s">
        <v>777</v>
      </c>
      <c r="D217" s="676">
        <v>77340</v>
      </c>
      <c r="E217" s="676">
        <v>10000</v>
      </c>
    </row>
    <row r="218" spans="1:5" outlineLevel="2" x14ac:dyDescent="0.25">
      <c r="A218" s="675" t="s">
        <v>1320</v>
      </c>
      <c r="B218" s="675" t="s">
        <v>1443</v>
      </c>
      <c r="C218" s="675" t="s">
        <v>777</v>
      </c>
      <c r="D218" s="676">
        <v>77340</v>
      </c>
      <c r="E218" s="676">
        <v>9275</v>
      </c>
    </row>
    <row r="219" spans="1:5" outlineLevel="1" x14ac:dyDescent="0.25">
      <c r="A219" s="675"/>
      <c r="B219" s="675"/>
      <c r="C219" s="708" t="s">
        <v>1586</v>
      </c>
      <c r="D219" s="676">
        <f>SUBTOTAL(9,D216:D218)</f>
        <v>232020</v>
      </c>
      <c r="E219" s="676">
        <f>SUBTOTAL(9,E216:E218)</f>
        <v>22275</v>
      </c>
    </row>
    <row r="220" spans="1:5" outlineLevel="2" x14ac:dyDescent="0.25">
      <c r="A220" s="705" t="s">
        <v>1296</v>
      </c>
      <c r="B220" s="705" t="s">
        <v>1429</v>
      </c>
      <c r="C220" s="705" t="s">
        <v>56</v>
      </c>
      <c r="D220" s="707">
        <v>79601</v>
      </c>
      <c r="E220" s="707">
        <v>1500</v>
      </c>
    </row>
    <row r="221" spans="1:5" outlineLevel="2" x14ac:dyDescent="0.25">
      <c r="A221" s="675" t="s">
        <v>1296</v>
      </c>
      <c r="B221" s="675" t="s">
        <v>1429</v>
      </c>
      <c r="C221" s="675" t="s">
        <v>56</v>
      </c>
      <c r="D221" s="676">
        <v>79601</v>
      </c>
      <c r="E221" s="676">
        <v>3000</v>
      </c>
    </row>
    <row r="222" spans="1:5" outlineLevel="2" x14ac:dyDescent="0.25">
      <c r="A222" s="675" t="s">
        <v>1296</v>
      </c>
      <c r="B222" s="675" t="s">
        <v>1429</v>
      </c>
      <c r="C222" s="675" t="s">
        <v>56</v>
      </c>
      <c r="D222" s="676">
        <v>79601</v>
      </c>
      <c r="E222" s="676">
        <v>5565</v>
      </c>
    </row>
    <row r="223" spans="1:5" outlineLevel="1" x14ac:dyDescent="0.25">
      <c r="A223" s="675"/>
      <c r="B223" s="675"/>
      <c r="C223" s="708" t="s">
        <v>1587</v>
      </c>
      <c r="D223" s="676">
        <f>SUBTOTAL(9,D220:D222)</f>
        <v>238803</v>
      </c>
      <c r="E223" s="676">
        <f>SUBTOTAL(9,E220:E222)</f>
        <v>10065</v>
      </c>
    </row>
    <row r="224" spans="1:5" outlineLevel="2" x14ac:dyDescent="0.25">
      <c r="A224" s="705" t="s">
        <v>1251</v>
      </c>
      <c r="B224" s="705" t="s">
        <v>1494</v>
      </c>
      <c r="C224" s="705" t="s">
        <v>10</v>
      </c>
      <c r="D224" s="707">
        <v>147232</v>
      </c>
      <c r="E224" s="707">
        <v>14000</v>
      </c>
    </row>
    <row r="225" spans="1:5" outlineLevel="2" x14ac:dyDescent="0.25">
      <c r="A225" s="675" t="s">
        <v>1251</v>
      </c>
      <c r="B225" s="675" t="s">
        <v>1494</v>
      </c>
      <c r="C225" s="675" t="s">
        <v>10</v>
      </c>
      <c r="D225" s="676">
        <v>147232</v>
      </c>
      <c r="E225" s="676">
        <v>5000</v>
      </c>
    </row>
    <row r="226" spans="1:5" outlineLevel="2" x14ac:dyDescent="0.25">
      <c r="A226" s="675" t="s">
        <v>1251</v>
      </c>
      <c r="B226" s="675" t="s">
        <v>1494</v>
      </c>
      <c r="C226" s="675" t="s">
        <v>10</v>
      </c>
      <c r="D226" s="676">
        <v>147232</v>
      </c>
      <c r="E226" s="676">
        <v>15200</v>
      </c>
    </row>
    <row r="227" spans="1:5" outlineLevel="1" x14ac:dyDescent="0.25">
      <c r="A227" s="675"/>
      <c r="B227" s="675"/>
      <c r="C227" s="708" t="s">
        <v>1644</v>
      </c>
      <c r="D227" s="676">
        <f>SUBTOTAL(9,D224:D226)</f>
        <v>441696</v>
      </c>
      <c r="E227" s="676">
        <f>SUBTOTAL(9,E224:E226)</f>
        <v>34200</v>
      </c>
    </row>
    <row r="228" spans="1:5" outlineLevel="2" x14ac:dyDescent="0.25">
      <c r="A228" s="705" t="s">
        <v>1278</v>
      </c>
      <c r="B228" s="705" t="s">
        <v>1407</v>
      </c>
      <c r="C228" s="705" t="s">
        <v>586</v>
      </c>
      <c r="D228" s="707">
        <v>94364</v>
      </c>
      <c r="E228" s="707">
        <v>8000</v>
      </c>
    </row>
    <row r="229" spans="1:5" outlineLevel="2" x14ac:dyDescent="0.25">
      <c r="A229" s="675" t="s">
        <v>1278</v>
      </c>
      <c r="B229" s="675" t="s">
        <v>1407</v>
      </c>
      <c r="C229" s="675" t="s">
        <v>586</v>
      </c>
      <c r="D229" s="676">
        <v>94364</v>
      </c>
      <c r="E229" s="676">
        <v>10700</v>
      </c>
    </row>
    <row r="230" spans="1:5" outlineLevel="2" x14ac:dyDescent="0.25">
      <c r="A230" s="675" t="s">
        <v>1278</v>
      </c>
      <c r="B230" s="675" t="s">
        <v>1407</v>
      </c>
      <c r="C230" s="675" t="s">
        <v>586</v>
      </c>
      <c r="D230" s="676">
        <v>94364</v>
      </c>
      <c r="E230" s="676">
        <v>10650</v>
      </c>
    </row>
    <row r="231" spans="1:5" outlineLevel="1" x14ac:dyDescent="0.25">
      <c r="A231" s="675"/>
      <c r="B231" s="675"/>
      <c r="C231" s="708" t="s">
        <v>1588</v>
      </c>
      <c r="D231" s="676">
        <f>SUBTOTAL(9,D228:D230)</f>
        <v>283092</v>
      </c>
      <c r="E231" s="676">
        <f>SUBTOTAL(9,E228:E230)</f>
        <v>29350</v>
      </c>
    </row>
    <row r="232" spans="1:5" outlineLevel="2" x14ac:dyDescent="0.25">
      <c r="A232" s="705" t="s">
        <v>1275</v>
      </c>
      <c r="B232" s="705" t="s">
        <v>1395</v>
      </c>
      <c r="C232" s="705" t="s">
        <v>578</v>
      </c>
      <c r="D232" s="707">
        <v>125023</v>
      </c>
      <c r="E232" s="707">
        <v>13500</v>
      </c>
    </row>
    <row r="233" spans="1:5" outlineLevel="2" x14ac:dyDescent="0.25">
      <c r="A233" s="675" t="s">
        <v>1275</v>
      </c>
      <c r="B233" s="675" t="s">
        <v>1395</v>
      </c>
      <c r="C233" s="675" t="s">
        <v>578</v>
      </c>
      <c r="D233" s="676">
        <v>125023</v>
      </c>
      <c r="E233" s="676">
        <v>26000</v>
      </c>
    </row>
    <row r="234" spans="1:5" outlineLevel="2" x14ac:dyDescent="0.25">
      <c r="A234" s="675" t="s">
        <v>1275</v>
      </c>
      <c r="B234" s="675" t="s">
        <v>1395</v>
      </c>
      <c r="C234" s="675" t="s">
        <v>578</v>
      </c>
      <c r="D234" s="676">
        <v>125023</v>
      </c>
      <c r="E234" s="676">
        <v>16000</v>
      </c>
    </row>
    <row r="235" spans="1:5" outlineLevel="1" x14ac:dyDescent="0.25">
      <c r="A235" s="675"/>
      <c r="B235" s="675"/>
      <c r="C235" s="708" t="s">
        <v>1589</v>
      </c>
      <c r="D235" s="676">
        <f>SUBTOTAL(9,D232:D234)</f>
        <v>375069</v>
      </c>
      <c r="E235" s="676">
        <f>SUBTOTAL(9,E232:E234)</f>
        <v>55500</v>
      </c>
    </row>
    <row r="236" spans="1:5" outlineLevel="2" x14ac:dyDescent="0.25">
      <c r="A236" s="705" t="s">
        <v>1295</v>
      </c>
      <c r="B236" s="705" t="s">
        <v>1428</v>
      </c>
      <c r="C236" s="705" t="s">
        <v>60</v>
      </c>
      <c r="D236" s="707">
        <v>81862</v>
      </c>
      <c r="E236" s="707">
        <v>5000</v>
      </c>
    </row>
    <row r="237" spans="1:5" outlineLevel="2" x14ac:dyDescent="0.25">
      <c r="A237" s="675" t="s">
        <v>1295</v>
      </c>
      <c r="B237" s="675" t="s">
        <v>1428</v>
      </c>
      <c r="C237" s="675" t="s">
        <v>60</v>
      </c>
      <c r="D237" s="676">
        <v>81862</v>
      </c>
      <c r="E237" s="676">
        <v>8000</v>
      </c>
    </row>
    <row r="238" spans="1:5" outlineLevel="2" x14ac:dyDescent="0.25">
      <c r="A238" s="675" t="s">
        <v>1295</v>
      </c>
      <c r="B238" s="675" t="s">
        <v>1428</v>
      </c>
      <c r="C238" s="675" t="s">
        <v>60</v>
      </c>
      <c r="D238" s="676">
        <v>84256</v>
      </c>
      <c r="E238" s="676">
        <v>7920</v>
      </c>
    </row>
    <row r="239" spans="1:5" outlineLevel="1" x14ac:dyDescent="0.25">
      <c r="A239" s="675"/>
      <c r="B239" s="675"/>
      <c r="C239" s="708" t="s">
        <v>1590</v>
      </c>
      <c r="D239" s="676">
        <f>SUBTOTAL(9,D236:D238)</f>
        <v>247980</v>
      </c>
      <c r="E239" s="676">
        <f>SUBTOTAL(9,E236:E238)</f>
        <v>20920</v>
      </c>
    </row>
    <row r="240" spans="1:5" outlineLevel="2" x14ac:dyDescent="0.25">
      <c r="A240" s="705" t="s">
        <v>1291</v>
      </c>
      <c r="B240" s="705" t="s">
        <v>1426</v>
      </c>
      <c r="C240" s="705" t="s">
        <v>42</v>
      </c>
      <c r="D240" s="707">
        <v>97024</v>
      </c>
      <c r="E240" s="707">
        <v>6000</v>
      </c>
    </row>
    <row r="241" spans="1:5" outlineLevel="2" x14ac:dyDescent="0.25">
      <c r="A241" s="675" t="s">
        <v>1291</v>
      </c>
      <c r="B241" s="675" t="s">
        <v>1426</v>
      </c>
      <c r="C241" s="675" t="s">
        <v>42</v>
      </c>
      <c r="D241" s="676">
        <v>97024</v>
      </c>
      <c r="E241" s="676">
        <v>10000</v>
      </c>
    </row>
    <row r="242" spans="1:5" outlineLevel="2" x14ac:dyDescent="0.25">
      <c r="A242" s="675" t="s">
        <v>1291</v>
      </c>
      <c r="B242" s="675" t="s">
        <v>1426</v>
      </c>
      <c r="C242" s="675" t="s">
        <v>42</v>
      </c>
      <c r="D242" s="676">
        <v>97024</v>
      </c>
      <c r="E242" s="676">
        <v>10342</v>
      </c>
    </row>
    <row r="243" spans="1:5" outlineLevel="1" x14ac:dyDescent="0.25">
      <c r="A243" s="675"/>
      <c r="B243" s="675"/>
      <c r="C243" s="708" t="s">
        <v>1591</v>
      </c>
      <c r="D243" s="676">
        <f>SUBTOTAL(9,D240:D242)</f>
        <v>291072</v>
      </c>
      <c r="E243" s="676">
        <f>SUBTOTAL(9,E240:E242)</f>
        <v>26342</v>
      </c>
    </row>
    <row r="244" spans="1:5" outlineLevel="2" x14ac:dyDescent="0.25">
      <c r="A244" s="705" t="s">
        <v>1496</v>
      </c>
      <c r="B244" s="705" t="s">
        <v>1381</v>
      </c>
      <c r="C244" s="705" t="s">
        <v>1166</v>
      </c>
      <c r="D244" s="707">
        <v>147232</v>
      </c>
      <c r="E244" s="707">
        <v>17000</v>
      </c>
    </row>
    <row r="245" spans="1:5" outlineLevel="2" x14ac:dyDescent="0.25">
      <c r="A245" s="675" t="s">
        <v>1496</v>
      </c>
      <c r="B245" s="675" t="s">
        <v>1381</v>
      </c>
      <c r="C245" s="675" t="s">
        <v>1166</v>
      </c>
      <c r="D245" s="676">
        <v>155079</v>
      </c>
      <c r="E245" s="676">
        <v>40000</v>
      </c>
    </row>
    <row r="246" spans="1:5" outlineLevel="2" x14ac:dyDescent="0.25">
      <c r="A246" s="675" t="s">
        <v>1496</v>
      </c>
      <c r="B246" s="675" t="s">
        <v>1381</v>
      </c>
      <c r="C246" s="675" t="s">
        <v>1166</v>
      </c>
      <c r="D246" s="676">
        <v>155079</v>
      </c>
      <c r="E246" s="676">
        <v>40000</v>
      </c>
    </row>
    <row r="247" spans="1:5" outlineLevel="1" x14ac:dyDescent="0.25">
      <c r="A247" s="675"/>
      <c r="B247" s="675"/>
      <c r="C247" s="708" t="s">
        <v>1592</v>
      </c>
      <c r="D247" s="676">
        <f>SUBTOTAL(9,D244:D246)</f>
        <v>457390</v>
      </c>
      <c r="E247" s="676">
        <f>SUBTOTAL(9,E244:E246)</f>
        <v>97000</v>
      </c>
    </row>
    <row r="248" spans="1:5" outlineLevel="2" x14ac:dyDescent="0.25">
      <c r="A248" s="705">
        <v>203</v>
      </c>
      <c r="B248" s="705" t="s">
        <v>1372</v>
      </c>
      <c r="C248" s="705" t="s">
        <v>939</v>
      </c>
      <c r="D248" s="707">
        <v>147232</v>
      </c>
      <c r="E248" s="707">
        <v>20000</v>
      </c>
    </row>
    <row r="249" spans="1:5" outlineLevel="2" x14ac:dyDescent="0.25">
      <c r="A249" s="675">
        <v>203</v>
      </c>
      <c r="B249" s="675" t="s">
        <v>1372</v>
      </c>
      <c r="C249" s="675" t="s">
        <v>939</v>
      </c>
      <c r="D249" s="676">
        <v>147232</v>
      </c>
      <c r="E249" s="676">
        <v>22000</v>
      </c>
    </row>
    <row r="250" spans="1:5" outlineLevel="1" x14ac:dyDescent="0.25">
      <c r="A250" s="675"/>
      <c r="B250" s="675"/>
      <c r="C250" s="708" t="s">
        <v>1593</v>
      </c>
      <c r="D250" s="676">
        <f>SUBTOTAL(9,D248:D249)</f>
        <v>294464</v>
      </c>
      <c r="E250" s="676">
        <f>SUBTOTAL(9,E248:E249)</f>
        <v>42000</v>
      </c>
    </row>
    <row r="251" spans="1:5" outlineLevel="2" x14ac:dyDescent="0.25">
      <c r="A251" s="705">
        <v>46</v>
      </c>
      <c r="B251" s="705" t="s">
        <v>1442</v>
      </c>
      <c r="C251" s="705" t="s">
        <v>762</v>
      </c>
      <c r="D251" s="707">
        <v>66168</v>
      </c>
      <c r="E251" s="707">
        <v>2000</v>
      </c>
    </row>
    <row r="252" spans="1:5" outlineLevel="1" x14ac:dyDescent="0.25">
      <c r="A252" s="705"/>
      <c r="B252" s="705"/>
      <c r="C252" s="709" t="s">
        <v>1594</v>
      </c>
      <c r="D252" s="707">
        <f>SUBTOTAL(9,D251:D251)</f>
        <v>66168</v>
      </c>
      <c r="E252" s="707">
        <f>SUBTOTAL(9,E251:E251)</f>
        <v>2000</v>
      </c>
    </row>
    <row r="253" spans="1:5" outlineLevel="2" x14ac:dyDescent="0.25">
      <c r="A253" s="705" t="s">
        <v>1314</v>
      </c>
      <c r="B253" s="705" t="s">
        <v>1435</v>
      </c>
      <c r="C253" s="705" t="s">
        <v>754</v>
      </c>
      <c r="D253" s="707">
        <v>84256</v>
      </c>
      <c r="E253" s="707">
        <v>6000</v>
      </c>
    </row>
    <row r="254" spans="1:5" outlineLevel="2" x14ac:dyDescent="0.25">
      <c r="A254" s="675" t="s">
        <v>1314</v>
      </c>
      <c r="B254" s="675" t="s">
        <v>1435</v>
      </c>
      <c r="C254" s="675" t="s">
        <v>754</v>
      </c>
      <c r="D254" s="676">
        <v>84256</v>
      </c>
      <c r="E254" s="676">
        <v>8600</v>
      </c>
    </row>
    <row r="255" spans="1:5" outlineLevel="2" x14ac:dyDescent="0.25">
      <c r="A255" s="675" t="s">
        <v>1314</v>
      </c>
      <c r="B255" s="675" t="s">
        <v>1435</v>
      </c>
      <c r="C255" s="675" t="s">
        <v>754</v>
      </c>
      <c r="D255" s="676">
        <v>84256</v>
      </c>
      <c r="E255" s="676">
        <v>5835</v>
      </c>
    </row>
    <row r="256" spans="1:5" outlineLevel="1" x14ac:dyDescent="0.25">
      <c r="A256" s="675"/>
      <c r="B256" s="675"/>
      <c r="C256" s="708" t="s">
        <v>1595</v>
      </c>
      <c r="D256" s="676">
        <f>SUBTOTAL(9,D253:D255)</f>
        <v>252768</v>
      </c>
      <c r="E256" s="676">
        <f>SUBTOTAL(9,E253:E255)</f>
        <v>20435</v>
      </c>
    </row>
    <row r="257" spans="1:5" outlineLevel="2" x14ac:dyDescent="0.25">
      <c r="A257" s="675" t="s">
        <v>1529</v>
      </c>
      <c r="B257" s="675" t="s">
        <v>1530</v>
      </c>
      <c r="C257" s="675" t="s">
        <v>1182</v>
      </c>
      <c r="D257" s="676">
        <v>143109</v>
      </c>
      <c r="E257" s="676">
        <v>32500</v>
      </c>
    </row>
    <row r="258" spans="1:5" outlineLevel="1" x14ac:dyDescent="0.25">
      <c r="A258" s="675"/>
      <c r="B258" s="675"/>
      <c r="C258" s="708" t="s">
        <v>1645</v>
      </c>
      <c r="D258" s="676">
        <f>SUBTOTAL(9,D257:D257)</f>
        <v>143109</v>
      </c>
      <c r="E258" s="676">
        <f>SUBTOTAL(9,E257:E257)</f>
        <v>32500</v>
      </c>
    </row>
    <row r="259" spans="1:5" outlineLevel="2" x14ac:dyDescent="0.25">
      <c r="A259" s="705" t="s">
        <v>1332</v>
      </c>
      <c r="B259" s="705" t="s">
        <v>1454</v>
      </c>
      <c r="C259" s="705" t="s">
        <v>1194</v>
      </c>
      <c r="D259" s="707">
        <v>139119</v>
      </c>
      <c r="E259" s="707">
        <v>11000</v>
      </c>
    </row>
    <row r="260" spans="1:5" outlineLevel="2" x14ac:dyDescent="0.25">
      <c r="A260" s="675" t="s">
        <v>1332</v>
      </c>
      <c r="B260" s="675" t="s">
        <v>1454</v>
      </c>
      <c r="C260" s="675" t="s">
        <v>1194</v>
      </c>
      <c r="D260" s="676">
        <v>139119</v>
      </c>
      <c r="E260" s="676">
        <v>12000</v>
      </c>
    </row>
    <row r="261" spans="1:5" outlineLevel="2" x14ac:dyDescent="0.25">
      <c r="A261" s="675" t="s">
        <v>1332</v>
      </c>
      <c r="B261" s="675" t="s">
        <v>1454</v>
      </c>
      <c r="C261" s="675" t="s">
        <v>1194</v>
      </c>
      <c r="D261" s="676">
        <v>139119</v>
      </c>
      <c r="E261" s="676">
        <v>12000</v>
      </c>
    </row>
    <row r="262" spans="1:5" outlineLevel="1" x14ac:dyDescent="0.25">
      <c r="A262" s="675"/>
      <c r="B262" s="675"/>
      <c r="C262" s="708" t="s">
        <v>1596</v>
      </c>
      <c r="D262" s="676">
        <f>SUBTOTAL(9,D259:D261)</f>
        <v>417357</v>
      </c>
      <c r="E262" s="676">
        <f>SUBTOTAL(9,E259:E261)</f>
        <v>35000</v>
      </c>
    </row>
    <row r="263" spans="1:5" outlineLevel="2" x14ac:dyDescent="0.25">
      <c r="A263" s="705" t="s">
        <v>1298</v>
      </c>
      <c r="B263" s="705" t="s">
        <v>1505</v>
      </c>
      <c r="C263" s="705" t="s">
        <v>74</v>
      </c>
      <c r="D263" s="707">
        <v>44799</v>
      </c>
      <c r="E263" s="707">
        <v>500</v>
      </c>
    </row>
    <row r="264" spans="1:5" outlineLevel="2" x14ac:dyDescent="0.25">
      <c r="A264" s="675" t="s">
        <v>1298</v>
      </c>
      <c r="B264" s="675" t="s">
        <v>1505</v>
      </c>
      <c r="C264" s="675" t="s">
        <v>74</v>
      </c>
      <c r="D264" s="676">
        <v>44799</v>
      </c>
      <c r="E264" s="676">
        <v>1200</v>
      </c>
    </row>
    <row r="265" spans="1:5" outlineLevel="2" x14ac:dyDescent="0.25">
      <c r="A265" s="675" t="s">
        <v>1298</v>
      </c>
      <c r="B265" s="675" t="s">
        <v>1505</v>
      </c>
      <c r="C265" s="675" t="s">
        <v>74</v>
      </c>
      <c r="D265" s="676">
        <v>44799</v>
      </c>
      <c r="E265" s="676">
        <v>1110</v>
      </c>
    </row>
    <row r="266" spans="1:5" outlineLevel="1" x14ac:dyDescent="0.25">
      <c r="A266" s="675"/>
      <c r="B266" s="675"/>
      <c r="C266" s="708" t="s">
        <v>1646</v>
      </c>
      <c r="D266" s="676">
        <f>SUBTOTAL(9,D263:D265)</f>
        <v>134397</v>
      </c>
      <c r="E266" s="676">
        <f>SUBTOTAL(9,E263:E265)</f>
        <v>2810</v>
      </c>
    </row>
    <row r="267" spans="1:5" outlineLevel="2" x14ac:dyDescent="0.25">
      <c r="A267" s="705" t="s">
        <v>1504</v>
      </c>
      <c r="B267" s="705" t="s">
        <v>1419</v>
      </c>
      <c r="C267" s="705" t="s">
        <v>497</v>
      </c>
      <c r="D267" s="707">
        <v>122080</v>
      </c>
      <c r="E267" s="707">
        <v>17000</v>
      </c>
    </row>
    <row r="268" spans="1:5" outlineLevel="2" x14ac:dyDescent="0.25">
      <c r="A268" s="675" t="s">
        <v>1504</v>
      </c>
      <c r="B268" s="675" t="s">
        <v>1419</v>
      </c>
      <c r="C268" s="675" t="s">
        <v>497</v>
      </c>
      <c r="D268" s="676">
        <v>122080</v>
      </c>
      <c r="E268" s="676">
        <v>2625</v>
      </c>
    </row>
    <row r="269" spans="1:5" outlineLevel="2" x14ac:dyDescent="0.25">
      <c r="A269" s="675" t="s">
        <v>1504</v>
      </c>
      <c r="B269" s="675" t="s">
        <v>1419</v>
      </c>
      <c r="C269" s="675" t="s">
        <v>497</v>
      </c>
      <c r="D269" s="676">
        <v>128511</v>
      </c>
      <c r="E269" s="676">
        <v>19340</v>
      </c>
    </row>
    <row r="270" spans="1:5" outlineLevel="1" x14ac:dyDescent="0.25">
      <c r="A270" s="675"/>
      <c r="B270" s="675"/>
      <c r="C270" s="708" t="s">
        <v>1597</v>
      </c>
      <c r="D270" s="676">
        <f>SUBTOTAL(9,D267:D269)</f>
        <v>372671</v>
      </c>
      <c r="E270" s="676">
        <f>SUBTOTAL(9,E267:E269)</f>
        <v>38965</v>
      </c>
    </row>
    <row r="271" spans="1:5" outlineLevel="2" x14ac:dyDescent="0.25">
      <c r="A271" s="675" t="s">
        <v>1328</v>
      </c>
      <c r="B271" s="675" t="s">
        <v>1525</v>
      </c>
      <c r="C271" s="675" t="s">
        <v>99</v>
      </c>
      <c r="D271" s="676">
        <v>42074</v>
      </c>
      <c r="E271" s="676">
        <v>1000</v>
      </c>
    </row>
    <row r="272" spans="1:5" outlineLevel="2" x14ac:dyDescent="0.25">
      <c r="A272" s="675" t="s">
        <v>1328</v>
      </c>
      <c r="B272" s="675" t="s">
        <v>1525</v>
      </c>
      <c r="C272" s="675" t="s">
        <v>99</v>
      </c>
      <c r="D272" s="676">
        <v>42074</v>
      </c>
      <c r="E272" s="676">
        <v>275</v>
      </c>
    </row>
    <row r="273" spans="1:5" outlineLevel="1" x14ac:dyDescent="0.25">
      <c r="A273" s="675"/>
      <c r="B273" s="675"/>
      <c r="C273" s="708" t="s">
        <v>1647</v>
      </c>
      <c r="D273" s="676">
        <f>SUBTOTAL(9,D271:D272)</f>
        <v>84148</v>
      </c>
      <c r="E273" s="676">
        <f>SUBTOTAL(9,E271:E272)</f>
        <v>1275</v>
      </c>
    </row>
    <row r="274" spans="1:5" outlineLevel="2" x14ac:dyDescent="0.25">
      <c r="A274" s="705" t="s">
        <v>1247</v>
      </c>
      <c r="B274" s="705" t="s">
        <v>1370</v>
      </c>
      <c r="C274" s="705" t="s">
        <v>941</v>
      </c>
      <c r="D274" s="707">
        <v>125459</v>
      </c>
      <c r="E274" s="707">
        <v>16000</v>
      </c>
    </row>
    <row r="275" spans="1:5" outlineLevel="2" x14ac:dyDescent="0.25">
      <c r="A275" s="675" t="s">
        <v>1247</v>
      </c>
      <c r="B275" s="675" t="s">
        <v>1370</v>
      </c>
      <c r="C275" s="675" t="s">
        <v>941</v>
      </c>
      <c r="D275" s="676">
        <v>132108</v>
      </c>
      <c r="E275" s="676">
        <v>21000</v>
      </c>
    </row>
    <row r="276" spans="1:5" outlineLevel="2" x14ac:dyDescent="0.25">
      <c r="A276" s="675" t="s">
        <v>1247</v>
      </c>
      <c r="B276" s="675" t="s">
        <v>1370</v>
      </c>
      <c r="C276" s="675" t="s">
        <v>941</v>
      </c>
      <c r="D276" s="676">
        <v>132108</v>
      </c>
      <c r="E276" s="676">
        <v>21085</v>
      </c>
    </row>
    <row r="277" spans="1:5" outlineLevel="1" x14ac:dyDescent="0.25">
      <c r="A277" s="675"/>
      <c r="B277" s="675"/>
      <c r="C277" s="708" t="s">
        <v>1598</v>
      </c>
      <c r="D277" s="676">
        <f>SUBTOTAL(9,D274:D276)</f>
        <v>389675</v>
      </c>
      <c r="E277" s="676">
        <f>SUBTOTAL(9,E274:E276)</f>
        <v>58085</v>
      </c>
    </row>
    <row r="278" spans="1:5" outlineLevel="2" x14ac:dyDescent="0.25">
      <c r="A278" s="705" t="s">
        <v>1500</v>
      </c>
      <c r="B278" s="705" t="s">
        <v>1400</v>
      </c>
      <c r="C278" s="705" t="s">
        <v>723</v>
      </c>
      <c r="D278" s="707">
        <v>99817</v>
      </c>
      <c r="E278" s="707">
        <v>6700</v>
      </c>
    </row>
    <row r="279" spans="1:5" outlineLevel="2" x14ac:dyDescent="0.25">
      <c r="A279" s="675" t="s">
        <v>1500</v>
      </c>
      <c r="B279" s="675" t="s">
        <v>1400</v>
      </c>
      <c r="C279" s="675" t="s">
        <v>723</v>
      </c>
      <c r="D279" s="676">
        <v>99817</v>
      </c>
      <c r="E279" s="676">
        <v>15000</v>
      </c>
    </row>
    <row r="280" spans="1:5" outlineLevel="2" x14ac:dyDescent="0.25">
      <c r="A280" s="675" t="s">
        <v>1500</v>
      </c>
      <c r="B280" s="675" t="s">
        <v>1400</v>
      </c>
      <c r="C280" s="675" t="s">
        <v>723</v>
      </c>
      <c r="D280" s="676">
        <v>99817</v>
      </c>
      <c r="E280" s="676">
        <v>17600</v>
      </c>
    </row>
    <row r="281" spans="1:5" outlineLevel="1" x14ac:dyDescent="0.25">
      <c r="A281" s="675"/>
      <c r="B281" s="675"/>
      <c r="C281" s="708" t="s">
        <v>1599</v>
      </c>
      <c r="D281" s="676">
        <f>SUBTOTAL(9,D278:D280)</f>
        <v>299451</v>
      </c>
      <c r="E281" s="676">
        <f>SUBTOTAL(9,E278:E280)</f>
        <v>39300</v>
      </c>
    </row>
    <row r="282" spans="1:5" outlineLevel="2" x14ac:dyDescent="0.25">
      <c r="A282" s="705" t="s">
        <v>1270</v>
      </c>
      <c r="B282" s="705" t="s">
        <v>1394</v>
      </c>
      <c r="C282" s="705" t="s">
        <v>928</v>
      </c>
      <c r="D282" s="707">
        <v>107531</v>
      </c>
      <c r="E282" s="707">
        <v>7000</v>
      </c>
    </row>
    <row r="283" spans="1:5" outlineLevel="2" x14ac:dyDescent="0.25">
      <c r="A283" s="675" t="s">
        <v>1270</v>
      </c>
      <c r="B283" s="675" t="s">
        <v>1394</v>
      </c>
      <c r="C283" s="675" t="s">
        <v>928</v>
      </c>
      <c r="D283" s="676">
        <v>111455</v>
      </c>
      <c r="E283" s="676">
        <v>20000</v>
      </c>
    </row>
    <row r="284" spans="1:5" outlineLevel="2" x14ac:dyDescent="0.25">
      <c r="A284" s="675" t="s">
        <v>1270</v>
      </c>
      <c r="B284" s="675" t="s">
        <v>1394</v>
      </c>
      <c r="C284" s="675" t="s">
        <v>928</v>
      </c>
      <c r="D284" s="676">
        <v>111455</v>
      </c>
      <c r="E284" s="676">
        <v>22000</v>
      </c>
    </row>
    <row r="285" spans="1:5" outlineLevel="1" x14ac:dyDescent="0.25">
      <c r="A285" s="675"/>
      <c r="B285" s="675"/>
      <c r="C285" s="708" t="s">
        <v>1600</v>
      </c>
      <c r="D285" s="676">
        <f>SUBTOTAL(9,D282:D284)</f>
        <v>330441</v>
      </c>
      <c r="E285" s="676">
        <f>SUBTOTAL(9,E282:E284)</f>
        <v>49000</v>
      </c>
    </row>
    <row r="286" spans="1:5" outlineLevel="2" x14ac:dyDescent="0.25">
      <c r="A286" s="675" t="s">
        <v>1310</v>
      </c>
      <c r="B286" s="675" t="s">
        <v>1489</v>
      </c>
      <c r="C286" s="675" t="s">
        <v>87</v>
      </c>
      <c r="D286" s="676">
        <v>46484</v>
      </c>
      <c r="E286" s="676">
        <v>2500</v>
      </c>
    </row>
    <row r="287" spans="1:5" outlineLevel="2" x14ac:dyDescent="0.25">
      <c r="A287" s="675" t="s">
        <v>1310</v>
      </c>
      <c r="B287" s="675" t="s">
        <v>1489</v>
      </c>
      <c r="C287" s="675" t="s">
        <v>87</v>
      </c>
      <c r="D287" s="676">
        <v>46484</v>
      </c>
      <c r="E287" s="676">
        <v>2425</v>
      </c>
    </row>
    <row r="288" spans="1:5" outlineLevel="1" x14ac:dyDescent="0.25">
      <c r="A288" s="675"/>
      <c r="B288" s="675"/>
      <c r="C288" s="708" t="s">
        <v>1601</v>
      </c>
      <c r="D288" s="676">
        <f>SUBTOTAL(9,D286:D287)</f>
        <v>92968</v>
      </c>
      <c r="E288" s="676">
        <f>SUBTOTAL(9,E286:E287)</f>
        <v>4925</v>
      </c>
    </row>
    <row r="289" spans="1:5" outlineLevel="2" x14ac:dyDescent="0.25">
      <c r="A289" s="705" t="s">
        <v>1288</v>
      </c>
      <c r="B289" s="705" t="s">
        <v>1422</v>
      </c>
      <c r="C289" s="705" t="s">
        <v>20</v>
      </c>
      <c r="D289" s="707">
        <v>128511</v>
      </c>
      <c r="E289" s="707">
        <v>14000</v>
      </c>
    </row>
    <row r="290" spans="1:5" outlineLevel="2" x14ac:dyDescent="0.25">
      <c r="A290" s="675" t="s">
        <v>1288</v>
      </c>
      <c r="B290" s="675" t="s">
        <v>1422</v>
      </c>
      <c r="C290" s="675" t="s">
        <v>20</v>
      </c>
      <c r="D290" s="676">
        <v>128511</v>
      </c>
      <c r="E290" s="676">
        <v>20000</v>
      </c>
    </row>
    <row r="291" spans="1:5" outlineLevel="2" x14ac:dyDescent="0.25">
      <c r="A291" s="675" t="s">
        <v>1288</v>
      </c>
      <c r="B291" s="675" t="s">
        <v>1422</v>
      </c>
      <c r="C291" s="675" t="s">
        <v>20</v>
      </c>
      <c r="D291" s="676">
        <v>128511</v>
      </c>
      <c r="E291" s="676">
        <v>20020</v>
      </c>
    </row>
    <row r="292" spans="1:5" outlineLevel="1" x14ac:dyDescent="0.25">
      <c r="A292" s="675"/>
      <c r="B292" s="675"/>
      <c r="C292" s="708" t="s">
        <v>1602</v>
      </c>
      <c r="D292" s="676">
        <f>SUBTOTAL(9,D289:D291)</f>
        <v>385533</v>
      </c>
      <c r="E292" s="676">
        <f>SUBTOTAL(9,E289:E291)</f>
        <v>54020</v>
      </c>
    </row>
    <row r="293" spans="1:5" outlineLevel="2" x14ac:dyDescent="0.25">
      <c r="A293" s="705" t="s">
        <v>1301</v>
      </c>
      <c r="B293" s="705" t="s">
        <v>1432</v>
      </c>
      <c r="C293" s="705" t="s">
        <v>26</v>
      </c>
      <c r="D293" s="707">
        <v>62577</v>
      </c>
      <c r="E293" s="707">
        <v>1500</v>
      </c>
    </row>
    <row r="294" spans="1:5" outlineLevel="2" x14ac:dyDescent="0.25">
      <c r="A294" s="675" t="s">
        <v>1301</v>
      </c>
      <c r="B294" s="675" t="s">
        <v>1432</v>
      </c>
      <c r="C294" s="675" t="s">
        <v>26</v>
      </c>
      <c r="D294" s="676">
        <v>62577</v>
      </c>
      <c r="E294" s="676">
        <v>4500</v>
      </c>
    </row>
    <row r="295" spans="1:5" outlineLevel="2" x14ac:dyDescent="0.25">
      <c r="A295" s="675" t="s">
        <v>1301</v>
      </c>
      <c r="B295" s="675" t="s">
        <v>1432</v>
      </c>
      <c r="C295" s="675" t="s">
        <v>26</v>
      </c>
      <c r="D295" s="676">
        <v>62577</v>
      </c>
      <c r="E295" s="676">
        <v>4110</v>
      </c>
    </row>
    <row r="296" spans="1:5" outlineLevel="1" x14ac:dyDescent="0.25">
      <c r="A296" s="675"/>
      <c r="B296" s="675"/>
      <c r="C296" s="708" t="s">
        <v>1604</v>
      </c>
      <c r="D296" s="676">
        <f>SUBTOTAL(9,D293:D295)</f>
        <v>187731</v>
      </c>
      <c r="E296" s="676">
        <f>SUBTOTAL(9,E293:E295)</f>
        <v>10110</v>
      </c>
    </row>
    <row r="297" spans="1:5" outlineLevel="2" x14ac:dyDescent="0.25">
      <c r="A297" s="705" t="s">
        <v>1279</v>
      </c>
      <c r="B297" s="705" t="s">
        <v>1405</v>
      </c>
      <c r="C297" s="705" t="s">
        <v>580</v>
      </c>
      <c r="D297" s="707">
        <v>94364</v>
      </c>
      <c r="E297" s="707">
        <v>8000</v>
      </c>
    </row>
    <row r="298" spans="1:5" outlineLevel="2" x14ac:dyDescent="0.25">
      <c r="A298" s="675" t="s">
        <v>1279</v>
      </c>
      <c r="B298" s="675" t="s">
        <v>1405</v>
      </c>
      <c r="C298" s="675" t="s">
        <v>580</v>
      </c>
      <c r="D298" s="676">
        <v>94364</v>
      </c>
      <c r="E298" s="676">
        <v>4700</v>
      </c>
    </row>
    <row r="299" spans="1:5" outlineLevel="2" x14ac:dyDescent="0.25">
      <c r="A299" s="675" t="s">
        <v>1279</v>
      </c>
      <c r="B299" s="675" t="s">
        <v>1405</v>
      </c>
      <c r="C299" s="675" t="s">
        <v>580</v>
      </c>
      <c r="D299" s="676">
        <v>94364</v>
      </c>
      <c r="E299" s="676">
        <v>3500</v>
      </c>
    </row>
    <row r="300" spans="1:5" outlineLevel="1" x14ac:dyDescent="0.25">
      <c r="A300" s="675"/>
      <c r="B300" s="675"/>
      <c r="C300" s="708" t="s">
        <v>1605</v>
      </c>
      <c r="D300" s="676">
        <f>SUBTOTAL(9,D297:D299)</f>
        <v>283092</v>
      </c>
      <c r="E300" s="676">
        <f>SUBTOTAL(9,E297:E299)</f>
        <v>16200</v>
      </c>
    </row>
    <row r="301" spans="1:5" outlineLevel="2" x14ac:dyDescent="0.25">
      <c r="A301" s="705" t="s">
        <v>1285</v>
      </c>
      <c r="B301" s="705" t="s">
        <v>1456</v>
      </c>
      <c r="C301" s="705" t="s">
        <v>943</v>
      </c>
      <c r="D301" s="707">
        <v>99817</v>
      </c>
      <c r="E301" s="707">
        <v>9000</v>
      </c>
    </row>
    <row r="302" spans="1:5" outlineLevel="2" x14ac:dyDescent="0.25">
      <c r="A302" s="675" t="s">
        <v>1285</v>
      </c>
      <c r="B302" s="675" t="s">
        <v>1456</v>
      </c>
      <c r="C302" s="675" t="s">
        <v>943</v>
      </c>
      <c r="D302" s="676">
        <v>99817</v>
      </c>
      <c r="E302" s="676">
        <v>2530</v>
      </c>
    </row>
    <row r="303" spans="1:5" outlineLevel="2" x14ac:dyDescent="0.25">
      <c r="A303" s="675" t="s">
        <v>1285</v>
      </c>
      <c r="B303" s="675" t="s">
        <v>1456</v>
      </c>
      <c r="C303" s="675" t="s">
        <v>943</v>
      </c>
      <c r="D303" s="676">
        <v>99817</v>
      </c>
      <c r="E303" s="676">
        <v>24390</v>
      </c>
    </row>
    <row r="304" spans="1:5" outlineLevel="1" x14ac:dyDescent="0.25">
      <c r="A304" s="675"/>
      <c r="B304" s="675"/>
      <c r="C304" s="708" t="s">
        <v>1636</v>
      </c>
      <c r="D304" s="676">
        <f>SUBTOTAL(9,D301:D303)</f>
        <v>299451</v>
      </c>
      <c r="E304" s="676">
        <f>SUBTOTAL(9,E301:E303)</f>
        <v>35920</v>
      </c>
    </row>
    <row r="305" spans="1:5" outlineLevel="2" x14ac:dyDescent="0.25">
      <c r="A305" s="705" t="s">
        <v>1308</v>
      </c>
      <c r="B305" s="705" t="s">
        <v>1506</v>
      </c>
      <c r="C305" s="705" t="s">
        <v>91</v>
      </c>
      <c r="D305" s="707">
        <v>49144</v>
      </c>
      <c r="E305" s="707">
        <v>500</v>
      </c>
    </row>
    <row r="306" spans="1:5" outlineLevel="2" x14ac:dyDescent="0.25">
      <c r="A306" s="675" t="s">
        <v>1308</v>
      </c>
      <c r="B306" s="675" t="s">
        <v>1506</v>
      </c>
      <c r="C306" s="675" t="s">
        <v>91</v>
      </c>
      <c r="D306" s="676">
        <v>49144</v>
      </c>
      <c r="E306" s="676">
        <v>1250</v>
      </c>
    </row>
    <row r="307" spans="1:5" outlineLevel="2" x14ac:dyDescent="0.25">
      <c r="A307" s="675" t="s">
        <v>1308</v>
      </c>
      <c r="B307" s="675" t="s">
        <v>1506</v>
      </c>
      <c r="C307" s="675" t="s">
        <v>91</v>
      </c>
      <c r="D307" s="676">
        <v>49144</v>
      </c>
      <c r="E307" s="676">
        <v>1245</v>
      </c>
    </row>
    <row r="308" spans="1:5" outlineLevel="1" x14ac:dyDescent="0.25">
      <c r="A308" s="675"/>
      <c r="B308" s="675"/>
      <c r="C308" s="708" t="s">
        <v>1648</v>
      </c>
      <c r="D308" s="676">
        <f>SUBTOTAL(9,D305:D307)</f>
        <v>147432</v>
      </c>
      <c r="E308" s="676">
        <f>SUBTOTAL(9,E305:E307)</f>
        <v>2995</v>
      </c>
    </row>
    <row r="309" spans="1:5" outlineLevel="2" x14ac:dyDescent="0.25">
      <c r="A309" s="705" t="s">
        <v>1299</v>
      </c>
      <c r="B309" s="705" t="s">
        <v>1431</v>
      </c>
      <c r="C309" s="705" t="s">
        <v>22</v>
      </c>
      <c r="D309" s="707">
        <v>65370</v>
      </c>
      <c r="E309" s="707">
        <v>1500</v>
      </c>
    </row>
    <row r="310" spans="1:5" outlineLevel="2" x14ac:dyDescent="0.25">
      <c r="A310" s="675" t="s">
        <v>1299</v>
      </c>
      <c r="B310" s="675" t="s">
        <v>1431</v>
      </c>
      <c r="C310" s="675" t="s">
        <v>22</v>
      </c>
      <c r="D310" s="676">
        <v>65370</v>
      </c>
      <c r="E310" s="676">
        <v>7000</v>
      </c>
    </row>
    <row r="311" spans="1:5" outlineLevel="2" x14ac:dyDescent="0.25">
      <c r="A311" s="675" t="s">
        <v>1299</v>
      </c>
      <c r="B311" s="675" t="s">
        <v>1431</v>
      </c>
      <c r="C311" s="675" t="s">
        <v>22</v>
      </c>
      <c r="D311" s="676">
        <v>65370</v>
      </c>
      <c r="E311" s="676">
        <v>6724</v>
      </c>
    </row>
    <row r="312" spans="1:5" outlineLevel="1" x14ac:dyDescent="0.25">
      <c r="A312" s="675"/>
      <c r="B312" s="675"/>
      <c r="C312" s="708" t="s">
        <v>1606</v>
      </c>
      <c r="D312" s="676">
        <f>SUBTOTAL(9,D309:D311)</f>
        <v>196110</v>
      </c>
      <c r="E312" s="676">
        <f>SUBTOTAL(9,E309:E311)</f>
        <v>15224</v>
      </c>
    </row>
    <row r="313" spans="1:5" outlineLevel="2" x14ac:dyDescent="0.25">
      <c r="A313" s="705" t="s">
        <v>1277</v>
      </c>
      <c r="B313" s="705" t="s">
        <v>1406</v>
      </c>
      <c r="C313" s="705" t="s">
        <v>584</v>
      </c>
      <c r="D313" s="707">
        <v>97024</v>
      </c>
      <c r="E313" s="707">
        <v>7500</v>
      </c>
    </row>
    <row r="314" spans="1:5" outlineLevel="2" x14ac:dyDescent="0.25">
      <c r="A314" s="675" t="s">
        <v>1277</v>
      </c>
      <c r="B314" s="675" t="s">
        <v>1406</v>
      </c>
      <c r="C314" s="675" t="s">
        <v>584</v>
      </c>
      <c r="D314" s="676">
        <v>97024</v>
      </c>
      <c r="E314" s="676">
        <v>8600</v>
      </c>
    </row>
    <row r="315" spans="1:5" outlineLevel="2" x14ac:dyDescent="0.25">
      <c r="A315" s="675" t="s">
        <v>1277</v>
      </c>
      <c r="B315" s="675" t="s">
        <v>1406</v>
      </c>
      <c r="C315" s="675" t="s">
        <v>584</v>
      </c>
      <c r="D315" s="676">
        <v>97024</v>
      </c>
      <c r="E315" s="676">
        <v>8550</v>
      </c>
    </row>
    <row r="316" spans="1:5" outlineLevel="1" x14ac:dyDescent="0.25">
      <c r="A316" s="675"/>
      <c r="B316" s="675"/>
      <c r="C316" s="708" t="s">
        <v>1607</v>
      </c>
      <c r="D316" s="676">
        <f>SUBTOTAL(9,D313:D315)</f>
        <v>291072</v>
      </c>
      <c r="E316" s="676">
        <f>SUBTOTAL(9,E313:E315)</f>
        <v>24650</v>
      </c>
    </row>
    <row r="317" spans="1:5" outlineLevel="2" x14ac:dyDescent="0.25">
      <c r="A317" s="675" t="s">
        <v>1319</v>
      </c>
      <c r="B317" s="675" t="s">
        <v>1491</v>
      </c>
      <c r="C317" s="675" t="s">
        <v>760</v>
      </c>
      <c r="D317" s="676">
        <v>60848</v>
      </c>
      <c r="E317" s="676">
        <v>3000</v>
      </c>
    </row>
    <row r="318" spans="1:5" outlineLevel="2" x14ac:dyDescent="0.25">
      <c r="A318" s="675" t="s">
        <v>1319</v>
      </c>
      <c r="B318" s="675" t="s">
        <v>1491</v>
      </c>
      <c r="C318" s="675" t="s">
        <v>760</v>
      </c>
      <c r="D318" s="676">
        <v>60848</v>
      </c>
      <c r="E318" s="676">
        <v>3200</v>
      </c>
    </row>
    <row r="319" spans="1:5" outlineLevel="1" x14ac:dyDescent="0.25">
      <c r="A319" s="675"/>
      <c r="B319" s="675"/>
      <c r="C319" s="708" t="s">
        <v>1608</v>
      </c>
      <c r="D319" s="676">
        <f>SUBTOTAL(9,D317:D318)</f>
        <v>121696</v>
      </c>
      <c r="E319" s="676">
        <f>SUBTOTAL(9,E317:E318)</f>
        <v>6200</v>
      </c>
    </row>
    <row r="320" spans="1:5" outlineLevel="2" x14ac:dyDescent="0.25">
      <c r="A320" s="705" t="s">
        <v>1513</v>
      </c>
      <c r="B320" s="705" t="s">
        <v>1446</v>
      </c>
      <c r="C320" s="705" t="s">
        <v>1447</v>
      </c>
      <c r="D320" s="707">
        <v>109218</v>
      </c>
      <c r="E320" s="707">
        <v>2000</v>
      </c>
    </row>
    <row r="321" spans="1:5" outlineLevel="1" x14ac:dyDescent="0.25">
      <c r="A321" s="705"/>
      <c r="B321" s="705"/>
      <c r="C321" s="709" t="s">
        <v>1609</v>
      </c>
      <c r="D321" s="707">
        <f>SUBTOTAL(9,D320:D320)</f>
        <v>109218</v>
      </c>
      <c r="E321" s="707">
        <f>SUBTOTAL(9,E320:E320)</f>
        <v>2000</v>
      </c>
    </row>
    <row r="322" spans="1:5" outlineLevel="2" x14ac:dyDescent="0.25">
      <c r="A322" s="675" t="s">
        <v>1269</v>
      </c>
      <c r="B322" s="675" t="s">
        <v>1519</v>
      </c>
      <c r="C322" s="675" t="s">
        <v>965</v>
      </c>
      <c r="D322" s="676">
        <v>42893</v>
      </c>
      <c r="E322" s="676">
        <v>3000</v>
      </c>
    </row>
    <row r="323" spans="1:5" outlineLevel="2" x14ac:dyDescent="0.25">
      <c r="A323" s="675" t="s">
        <v>1269</v>
      </c>
      <c r="B323" s="675" t="s">
        <v>1519</v>
      </c>
      <c r="C323" s="675" t="s">
        <v>965</v>
      </c>
      <c r="D323" s="676">
        <v>42893</v>
      </c>
      <c r="E323" s="676">
        <v>2692</v>
      </c>
    </row>
    <row r="324" spans="1:5" outlineLevel="1" x14ac:dyDescent="0.25">
      <c r="A324" s="675"/>
      <c r="B324" s="675"/>
      <c r="C324" s="708" t="s">
        <v>1649</v>
      </c>
      <c r="D324" s="676">
        <f>SUBTOTAL(9,D322:D323)</f>
        <v>85786</v>
      </c>
      <c r="E324" s="676">
        <f>SUBTOTAL(9,E322:E323)</f>
        <v>5692</v>
      </c>
    </row>
    <row r="325" spans="1:5" outlineLevel="2" x14ac:dyDescent="0.25">
      <c r="A325" s="675" t="s">
        <v>1302</v>
      </c>
      <c r="B325" s="675" t="s">
        <v>1485</v>
      </c>
      <c r="C325" s="675" t="s">
        <v>14</v>
      </c>
      <c r="D325" s="676">
        <v>47960</v>
      </c>
      <c r="E325" s="676">
        <v>2000</v>
      </c>
    </row>
    <row r="326" spans="1:5" outlineLevel="2" x14ac:dyDescent="0.25">
      <c r="A326" s="675" t="s">
        <v>1302</v>
      </c>
      <c r="B326" s="675" t="s">
        <v>1485</v>
      </c>
      <c r="C326" s="675" t="s">
        <v>14</v>
      </c>
      <c r="D326" s="676">
        <v>47960</v>
      </c>
      <c r="E326" s="676">
        <v>1410</v>
      </c>
    </row>
    <row r="327" spans="1:5" outlineLevel="1" x14ac:dyDescent="0.25">
      <c r="A327" s="675"/>
      <c r="B327" s="675"/>
      <c r="C327" s="708" t="s">
        <v>1610</v>
      </c>
      <c r="D327" s="676">
        <f>SUBTOTAL(9,D325:D326)</f>
        <v>95920</v>
      </c>
      <c r="E327" s="676">
        <f>SUBTOTAL(9,E325:E326)</f>
        <v>3410</v>
      </c>
    </row>
    <row r="328" spans="1:5" outlineLevel="2" x14ac:dyDescent="0.25">
      <c r="A328" s="705" t="s">
        <v>1344</v>
      </c>
      <c r="B328" s="705" t="s">
        <v>1510</v>
      </c>
      <c r="C328" s="705" t="s">
        <v>82</v>
      </c>
      <c r="D328" s="707">
        <v>42074</v>
      </c>
      <c r="E328" s="707">
        <v>500</v>
      </c>
    </row>
    <row r="329" spans="1:5" outlineLevel="1" x14ac:dyDescent="0.25">
      <c r="A329" s="705"/>
      <c r="B329" s="705"/>
      <c r="C329" s="709" t="s">
        <v>1650</v>
      </c>
      <c r="D329" s="707">
        <f>SUBTOTAL(9,D328:D328)</f>
        <v>42074</v>
      </c>
      <c r="E329" s="707">
        <f>SUBTOTAL(9,E328:E328)</f>
        <v>500</v>
      </c>
    </row>
    <row r="330" spans="1:5" outlineLevel="2" x14ac:dyDescent="0.25">
      <c r="A330" s="705" t="s">
        <v>1318</v>
      </c>
      <c r="B330" s="705" t="s">
        <v>1439</v>
      </c>
      <c r="C330" s="705" t="s">
        <v>766</v>
      </c>
      <c r="D330" s="707">
        <v>60848</v>
      </c>
      <c r="E330" s="707">
        <v>1000</v>
      </c>
    </row>
    <row r="331" spans="1:5" outlineLevel="2" x14ac:dyDescent="0.25">
      <c r="A331" s="675" t="s">
        <v>1318</v>
      </c>
      <c r="B331" s="675" t="s">
        <v>1439</v>
      </c>
      <c r="C331" s="675" t="s">
        <v>766</v>
      </c>
      <c r="D331" s="676">
        <v>60848</v>
      </c>
      <c r="E331" s="676">
        <v>1000</v>
      </c>
    </row>
    <row r="332" spans="1:5" outlineLevel="2" x14ac:dyDescent="0.25">
      <c r="A332" s="675" t="s">
        <v>1318</v>
      </c>
      <c r="B332" s="675" t="s">
        <v>1439</v>
      </c>
      <c r="C332" s="675" t="s">
        <v>766</v>
      </c>
      <c r="D332" s="676">
        <v>60848</v>
      </c>
      <c r="E332" s="676">
        <v>1240</v>
      </c>
    </row>
    <row r="333" spans="1:5" outlineLevel="1" x14ac:dyDescent="0.25">
      <c r="A333" s="675"/>
      <c r="B333" s="675"/>
      <c r="C333" s="708" t="s">
        <v>1611</v>
      </c>
      <c r="D333" s="676">
        <f>SUBTOTAL(9,D330:D332)</f>
        <v>182544</v>
      </c>
      <c r="E333" s="676">
        <f>SUBTOTAL(9,E330:E332)</f>
        <v>3240</v>
      </c>
    </row>
    <row r="334" spans="1:5" outlineLevel="2" x14ac:dyDescent="0.25">
      <c r="A334" s="705" t="s">
        <v>1304</v>
      </c>
      <c r="B334" s="705" t="s">
        <v>1457</v>
      </c>
      <c r="C334" s="705" t="s">
        <v>76</v>
      </c>
      <c r="D334" s="707">
        <v>53799</v>
      </c>
      <c r="E334" s="707">
        <v>2000</v>
      </c>
    </row>
    <row r="335" spans="1:5" outlineLevel="2" x14ac:dyDescent="0.25">
      <c r="A335" s="675" t="s">
        <v>1304</v>
      </c>
      <c r="B335" s="675" t="s">
        <v>1457</v>
      </c>
      <c r="C335" s="675" t="s">
        <v>76</v>
      </c>
      <c r="D335" s="676">
        <v>53799</v>
      </c>
      <c r="E335" s="676">
        <v>1000</v>
      </c>
    </row>
    <row r="336" spans="1:5" outlineLevel="2" x14ac:dyDescent="0.25">
      <c r="A336" s="675" t="s">
        <v>1304</v>
      </c>
      <c r="B336" s="675" t="s">
        <v>1457</v>
      </c>
      <c r="C336" s="675" t="s">
        <v>76</v>
      </c>
      <c r="D336" s="676">
        <v>53799</v>
      </c>
      <c r="E336" s="676">
        <v>887</v>
      </c>
    </row>
    <row r="337" spans="1:5" outlineLevel="1" x14ac:dyDescent="0.25">
      <c r="A337" s="675"/>
      <c r="B337" s="675"/>
      <c r="C337" s="708" t="s">
        <v>1612</v>
      </c>
      <c r="D337" s="676">
        <f>SUBTOTAL(9,D334:D336)</f>
        <v>161397</v>
      </c>
      <c r="E337" s="676">
        <f>SUBTOTAL(9,E334:E336)</f>
        <v>3887</v>
      </c>
    </row>
    <row r="338" spans="1:5" outlineLevel="2" x14ac:dyDescent="0.25">
      <c r="A338" s="705" t="s">
        <v>1274</v>
      </c>
      <c r="B338" s="705" t="s">
        <v>1392</v>
      </c>
      <c r="C338" s="705" t="s">
        <v>959</v>
      </c>
      <c r="D338" s="707">
        <v>135262</v>
      </c>
      <c r="E338" s="707">
        <v>19500</v>
      </c>
    </row>
    <row r="339" spans="1:5" outlineLevel="2" x14ac:dyDescent="0.25">
      <c r="A339" s="675" t="s">
        <v>1274</v>
      </c>
      <c r="B339" s="675" t="s">
        <v>1392</v>
      </c>
      <c r="C339" s="675" t="s">
        <v>959</v>
      </c>
      <c r="D339" s="676">
        <v>135262</v>
      </c>
      <c r="E339" s="676">
        <v>22000</v>
      </c>
    </row>
    <row r="340" spans="1:5" outlineLevel="2" x14ac:dyDescent="0.25">
      <c r="A340" s="675" t="s">
        <v>1274</v>
      </c>
      <c r="B340" s="675" t="s">
        <v>1392</v>
      </c>
      <c r="C340" s="675" t="s">
        <v>959</v>
      </c>
      <c r="D340" s="676">
        <v>135262</v>
      </c>
      <c r="E340" s="676">
        <v>21500</v>
      </c>
    </row>
    <row r="341" spans="1:5" outlineLevel="1" x14ac:dyDescent="0.25">
      <c r="A341" s="675"/>
      <c r="B341" s="675"/>
      <c r="C341" s="708" t="s">
        <v>1613</v>
      </c>
      <c r="D341" s="676">
        <f>SUBTOTAL(9,D338:D340)</f>
        <v>405786</v>
      </c>
      <c r="E341" s="676">
        <f>SUBTOTAL(9,E338:E340)</f>
        <v>63000</v>
      </c>
    </row>
    <row r="342" spans="1:5" outlineLevel="2" x14ac:dyDescent="0.25">
      <c r="A342" s="705" t="s">
        <v>1341</v>
      </c>
      <c r="B342" s="705" t="s">
        <v>1437</v>
      </c>
      <c r="C342" s="705" t="s">
        <v>559</v>
      </c>
      <c r="D342" s="707">
        <v>73084</v>
      </c>
      <c r="E342" s="707">
        <v>2500</v>
      </c>
    </row>
    <row r="343" spans="1:5" outlineLevel="2" x14ac:dyDescent="0.25">
      <c r="A343" s="675" t="s">
        <v>1341</v>
      </c>
      <c r="B343" s="675" t="s">
        <v>1437</v>
      </c>
      <c r="C343" s="675" t="s">
        <v>559</v>
      </c>
      <c r="D343" s="676">
        <v>64092</v>
      </c>
      <c r="E343" s="676">
        <v>5000</v>
      </c>
    </row>
    <row r="344" spans="1:5" outlineLevel="1" x14ac:dyDescent="0.25">
      <c r="A344" s="675"/>
      <c r="B344" s="675"/>
      <c r="C344" s="708" t="s">
        <v>1614</v>
      </c>
      <c r="D344" s="676">
        <f>SUBTOTAL(9,D342:D343)</f>
        <v>137176</v>
      </c>
      <c r="E344" s="676">
        <f>SUBTOTAL(9,E342:E343)</f>
        <v>7500</v>
      </c>
    </row>
    <row r="345" spans="1:5" outlineLevel="2" x14ac:dyDescent="0.25">
      <c r="A345" s="675" t="s">
        <v>1312</v>
      </c>
      <c r="B345" s="675" t="s">
        <v>1490</v>
      </c>
      <c r="C345" s="675" t="s">
        <v>97</v>
      </c>
      <c r="D345" s="676">
        <v>47814</v>
      </c>
      <c r="E345" s="676">
        <v>1000</v>
      </c>
    </row>
    <row r="346" spans="1:5" outlineLevel="2" x14ac:dyDescent="0.25">
      <c r="A346" s="675" t="s">
        <v>1312</v>
      </c>
      <c r="B346" s="675" t="s">
        <v>1490</v>
      </c>
      <c r="C346" s="675" t="s">
        <v>97</v>
      </c>
      <c r="D346" s="676">
        <v>47814</v>
      </c>
      <c r="E346" s="676">
        <v>1870</v>
      </c>
    </row>
    <row r="347" spans="1:5" outlineLevel="1" x14ac:dyDescent="0.25">
      <c r="A347" s="675"/>
      <c r="B347" s="675"/>
      <c r="C347" s="708" t="s">
        <v>1615</v>
      </c>
      <c r="D347" s="676">
        <f>SUBTOTAL(9,D345:D346)</f>
        <v>95628</v>
      </c>
      <c r="E347" s="676">
        <f>SUBTOTAL(9,E345:E346)</f>
        <v>2870</v>
      </c>
    </row>
    <row r="348" spans="1:5" outlineLevel="2" x14ac:dyDescent="0.25">
      <c r="A348" s="675" t="s">
        <v>1303</v>
      </c>
      <c r="B348" s="675" t="s">
        <v>1486</v>
      </c>
      <c r="C348" s="675" t="s">
        <v>64</v>
      </c>
      <c r="D348" s="676">
        <v>47960</v>
      </c>
      <c r="E348" s="676">
        <v>2200</v>
      </c>
    </row>
    <row r="349" spans="1:5" outlineLevel="2" x14ac:dyDescent="0.25">
      <c r="A349" s="675" t="s">
        <v>1303</v>
      </c>
      <c r="B349" s="675" t="s">
        <v>1486</v>
      </c>
      <c r="C349" s="675" t="s">
        <v>64</v>
      </c>
      <c r="D349" s="676">
        <v>47960</v>
      </c>
      <c r="E349" s="676">
        <v>2100</v>
      </c>
    </row>
    <row r="350" spans="1:5" outlineLevel="1" x14ac:dyDescent="0.25">
      <c r="A350" s="675"/>
      <c r="B350" s="675"/>
      <c r="C350" s="708" t="s">
        <v>1616</v>
      </c>
      <c r="D350" s="676">
        <f>SUBTOTAL(9,D348:D349)</f>
        <v>95920</v>
      </c>
      <c r="E350" s="676">
        <f>SUBTOTAL(9,E348:E349)</f>
        <v>4300</v>
      </c>
    </row>
    <row r="351" spans="1:5" outlineLevel="2" x14ac:dyDescent="0.25">
      <c r="A351" s="675" t="s">
        <v>1263</v>
      </c>
      <c r="B351" s="675" t="s">
        <v>1518</v>
      </c>
      <c r="C351" s="675" t="s">
        <v>85</v>
      </c>
      <c r="D351" s="676">
        <v>46484</v>
      </c>
      <c r="E351" s="676">
        <v>2000</v>
      </c>
    </row>
    <row r="352" spans="1:5" outlineLevel="2" x14ac:dyDescent="0.25">
      <c r="A352" s="675" t="s">
        <v>1263</v>
      </c>
      <c r="B352" s="675" t="s">
        <v>1518</v>
      </c>
      <c r="C352" s="675" t="s">
        <v>85</v>
      </c>
      <c r="D352" s="676">
        <v>46484</v>
      </c>
      <c r="E352" s="676">
        <v>1362</v>
      </c>
    </row>
    <row r="353" spans="1:5" outlineLevel="1" x14ac:dyDescent="0.25">
      <c r="A353" s="675"/>
      <c r="B353" s="675"/>
      <c r="C353" s="708" t="s">
        <v>1651</v>
      </c>
      <c r="D353" s="676">
        <f>SUBTOTAL(9,D351:D352)</f>
        <v>92968</v>
      </c>
      <c r="E353" s="676">
        <f>SUBTOTAL(9,E351:E352)</f>
        <v>3362</v>
      </c>
    </row>
    <row r="354" spans="1:5" outlineLevel="2" x14ac:dyDescent="0.25">
      <c r="A354" s="705" t="s">
        <v>1283</v>
      </c>
      <c r="B354" s="705" t="s">
        <v>1418</v>
      </c>
      <c r="C354" s="705" t="s">
        <v>72</v>
      </c>
      <c r="D354" s="707">
        <v>111943</v>
      </c>
      <c r="E354" s="707">
        <v>12000</v>
      </c>
    </row>
    <row r="355" spans="1:5" outlineLevel="2" x14ac:dyDescent="0.25">
      <c r="A355" s="675" t="s">
        <v>1283</v>
      </c>
      <c r="B355" s="675" t="s">
        <v>1418</v>
      </c>
      <c r="C355" s="675" t="s">
        <v>72</v>
      </c>
      <c r="D355" s="676">
        <v>111943</v>
      </c>
      <c r="E355" s="676">
        <v>16000</v>
      </c>
    </row>
    <row r="356" spans="1:5" outlineLevel="2" x14ac:dyDescent="0.25">
      <c r="A356" s="675" t="s">
        <v>1283</v>
      </c>
      <c r="B356" s="675" t="s">
        <v>1418</v>
      </c>
      <c r="C356" s="675" t="s">
        <v>72</v>
      </c>
      <c r="D356" s="676">
        <v>111943</v>
      </c>
      <c r="E356" s="676">
        <v>16330</v>
      </c>
    </row>
    <row r="357" spans="1:5" outlineLevel="1" x14ac:dyDescent="0.25">
      <c r="A357" s="675"/>
      <c r="B357" s="675"/>
      <c r="C357" s="708" t="s">
        <v>1617</v>
      </c>
      <c r="D357" s="676">
        <f>SUBTOTAL(9,D354:D356)</f>
        <v>335829</v>
      </c>
      <c r="E357" s="676">
        <f>SUBTOTAL(9,E354:E356)</f>
        <v>44330</v>
      </c>
    </row>
    <row r="358" spans="1:5" outlineLevel="2" x14ac:dyDescent="0.25">
      <c r="A358" s="675" t="s">
        <v>1305</v>
      </c>
      <c r="B358" s="675" t="s">
        <v>1487</v>
      </c>
      <c r="C358" s="675" t="s">
        <v>62</v>
      </c>
      <c r="D358" s="676">
        <v>56060</v>
      </c>
      <c r="E358" s="676">
        <v>2700</v>
      </c>
    </row>
    <row r="359" spans="1:5" outlineLevel="2" x14ac:dyDescent="0.25">
      <c r="A359" s="675" t="s">
        <v>1305</v>
      </c>
      <c r="B359" s="675" t="s">
        <v>1487</v>
      </c>
      <c r="C359" s="675" t="s">
        <v>62</v>
      </c>
      <c r="D359" s="676">
        <v>56060</v>
      </c>
      <c r="E359" s="676">
        <v>2745</v>
      </c>
    </row>
    <row r="360" spans="1:5" outlineLevel="1" x14ac:dyDescent="0.25">
      <c r="A360" s="675"/>
      <c r="B360" s="675"/>
      <c r="C360" s="708" t="s">
        <v>1618</v>
      </c>
      <c r="D360" s="676">
        <f>SUBTOTAL(9,D358:D359)</f>
        <v>112120</v>
      </c>
      <c r="E360" s="676">
        <f>SUBTOTAL(9,E358:E359)</f>
        <v>5445</v>
      </c>
    </row>
    <row r="361" spans="1:5" outlineLevel="2" x14ac:dyDescent="0.25">
      <c r="A361" s="705" t="s">
        <v>1309</v>
      </c>
      <c r="B361" s="705" t="s">
        <v>1488</v>
      </c>
      <c r="C361" s="705" t="s">
        <v>80</v>
      </c>
      <c r="D361" s="707">
        <v>42074</v>
      </c>
      <c r="E361" s="707">
        <v>500</v>
      </c>
    </row>
    <row r="362" spans="1:5" outlineLevel="2" x14ac:dyDescent="0.25">
      <c r="A362" s="675" t="s">
        <v>1309</v>
      </c>
      <c r="B362" s="675" t="s">
        <v>1488</v>
      </c>
      <c r="C362" s="675" t="s">
        <v>80</v>
      </c>
      <c r="D362" s="676">
        <v>42074</v>
      </c>
      <c r="E362" s="676">
        <v>1500</v>
      </c>
    </row>
    <row r="363" spans="1:5" outlineLevel="2" x14ac:dyDescent="0.25">
      <c r="A363" s="675" t="s">
        <v>1309</v>
      </c>
      <c r="B363" s="675" t="s">
        <v>1488</v>
      </c>
      <c r="C363" s="675" t="s">
        <v>80</v>
      </c>
      <c r="D363" s="676">
        <v>42074</v>
      </c>
      <c r="E363" s="676">
        <v>875</v>
      </c>
    </row>
    <row r="364" spans="1:5" outlineLevel="1" x14ac:dyDescent="0.25">
      <c r="A364" s="675"/>
      <c r="B364" s="675"/>
      <c r="C364" s="708" t="s">
        <v>1619</v>
      </c>
      <c r="D364" s="676">
        <f>SUBTOTAL(9,D361:D363)</f>
        <v>126222</v>
      </c>
      <c r="E364" s="676">
        <f>SUBTOTAL(9,E361:E363)</f>
        <v>2875</v>
      </c>
    </row>
    <row r="365" spans="1:5" outlineLevel="2" x14ac:dyDescent="0.25">
      <c r="A365" s="705">
        <v>76</v>
      </c>
      <c r="B365" s="705" t="s">
        <v>1383</v>
      </c>
      <c r="C365" s="705" t="s">
        <v>40</v>
      </c>
      <c r="D365" s="707">
        <v>82513</v>
      </c>
      <c r="E365" s="707">
        <v>6000</v>
      </c>
    </row>
    <row r="366" spans="1:5" outlineLevel="1" x14ac:dyDescent="0.25">
      <c r="A366" s="705"/>
      <c r="B366" s="705"/>
      <c r="C366" s="709" t="s">
        <v>1620</v>
      </c>
      <c r="D366" s="707">
        <f>SUBTOTAL(9,D365:D365)</f>
        <v>82513</v>
      </c>
      <c r="E366" s="707">
        <f>SUBTOTAL(9,E365:E365)</f>
        <v>6000</v>
      </c>
    </row>
    <row r="367" spans="1:5" outlineLevel="2" x14ac:dyDescent="0.25">
      <c r="A367" s="675" t="s">
        <v>1322</v>
      </c>
      <c r="B367" s="675" t="s">
        <v>1465</v>
      </c>
      <c r="C367" s="675" t="s">
        <v>779</v>
      </c>
      <c r="D367" s="676">
        <v>52336</v>
      </c>
      <c r="E367" s="676">
        <v>2500</v>
      </c>
    </row>
    <row r="368" spans="1:5" outlineLevel="2" x14ac:dyDescent="0.25">
      <c r="A368" s="675" t="s">
        <v>1322</v>
      </c>
      <c r="B368" s="675" t="s">
        <v>1465</v>
      </c>
      <c r="C368" s="675" t="s">
        <v>779</v>
      </c>
      <c r="D368" s="676">
        <v>52336</v>
      </c>
      <c r="E368" s="676">
        <v>2115</v>
      </c>
    </row>
    <row r="369" spans="1:5" outlineLevel="1" x14ac:dyDescent="0.25">
      <c r="A369" s="675"/>
      <c r="B369" s="675"/>
      <c r="C369" s="708" t="s">
        <v>1621</v>
      </c>
      <c r="D369" s="676">
        <f>SUBTOTAL(9,D367:D368)</f>
        <v>104672</v>
      </c>
      <c r="E369" s="676">
        <f>SUBTOTAL(9,E367:E368)</f>
        <v>4615</v>
      </c>
    </row>
    <row r="370" spans="1:5" outlineLevel="2" x14ac:dyDescent="0.25">
      <c r="A370" s="705" t="s">
        <v>1340</v>
      </c>
      <c r="B370" s="705" t="s">
        <v>1408</v>
      </c>
      <c r="C370" s="705" t="s">
        <v>590</v>
      </c>
      <c r="D370" s="707">
        <v>73084</v>
      </c>
      <c r="E370" s="707">
        <v>1000</v>
      </c>
    </row>
    <row r="371" spans="1:5" outlineLevel="2" x14ac:dyDescent="0.25">
      <c r="A371" s="675" t="s">
        <v>1340</v>
      </c>
      <c r="B371" s="675" t="s">
        <v>1408</v>
      </c>
      <c r="C371" s="675" t="s">
        <v>590</v>
      </c>
      <c r="D371" s="676">
        <v>77340</v>
      </c>
      <c r="E371" s="676">
        <v>13000</v>
      </c>
    </row>
    <row r="372" spans="1:5" outlineLevel="1" x14ac:dyDescent="0.25">
      <c r="A372" s="675"/>
      <c r="B372" s="675"/>
      <c r="C372" s="708" t="s">
        <v>1622</v>
      </c>
      <c r="D372" s="676">
        <f>SUBTOTAL(9,D370:D371)</f>
        <v>150424</v>
      </c>
      <c r="E372" s="676">
        <f>SUBTOTAL(9,E370:E371)</f>
        <v>14000</v>
      </c>
    </row>
    <row r="373" spans="1:5" outlineLevel="2" x14ac:dyDescent="0.25">
      <c r="A373" s="675" t="s">
        <v>1326</v>
      </c>
      <c r="B373" s="675" t="s">
        <v>1492</v>
      </c>
      <c r="C373" s="675" t="s">
        <v>909</v>
      </c>
      <c r="D373" s="676">
        <v>50474</v>
      </c>
      <c r="E373" s="676">
        <v>2000</v>
      </c>
    </row>
    <row r="374" spans="1:5" outlineLevel="2" x14ac:dyDescent="0.25">
      <c r="A374" s="675" t="s">
        <v>1326</v>
      </c>
      <c r="B374" s="675" t="s">
        <v>1492</v>
      </c>
      <c r="C374" s="675" t="s">
        <v>909</v>
      </c>
      <c r="D374" s="676">
        <v>50474</v>
      </c>
      <c r="E374" s="676">
        <v>2000</v>
      </c>
    </row>
    <row r="375" spans="1:5" outlineLevel="1" x14ac:dyDescent="0.25">
      <c r="A375" s="675"/>
      <c r="B375" s="675"/>
      <c r="C375" s="708" t="s">
        <v>1623</v>
      </c>
      <c r="D375" s="676">
        <f>SUBTOTAL(9,D373:D374)</f>
        <v>100948</v>
      </c>
      <c r="E375" s="676">
        <f>SUBTOTAL(9,E373:E374)</f>
        <v>4000</v>
      </c>
    </row>
    <row r="376" spans="1:5" outlineLevel="2" x14ac:dyDescent="0.25">
      <c r="A376" s="705" t="s">
        <v>1307</v>
      </c>
      <c r="B376" s="705" t="s">
        <v>1434</v>
      </c>
      <c r="C376" s="705" t="s">
        <v>89</v>
      </c>
      <c r="D376" s="707">
        <v>55262</v>
      </c>
      <c r="E376" s="707">
        <v>2000</v>
      </c>
    </row>
    <row r="377" spans="1:5" outlineLevel="2" x14ac:dyDescent="0.25">
      <c r="A377" s="675" t="s">
        <v>1307</v>
      </c>
      <c r="B377" s="675" t="s">
        <v>1434</v>
      </c>
      <c r="C377" s="675" t="s">
        <v>89</v>
      </c>
      <c r="D377" s="676">
        <v>55262</v>
      </c>
      <c r="E377" s="676">
        <v>1350</v>
      </c>
    </row>
    <row r="378" spans="1:5" outlineLevel="2" x14ac:dyDescent="0.25">
      <c r="A378" s="675" t="s">
        <v>1307</v>
      </c>
      <c r="B378" s="675" t="s">
        <v>1434</v>
      </c>
      <c r="C378" s="675" t="s">
        <v>89</v>
      </c>
      <c r="D378" s="676">
        <v>55262</v>
      </c>
      <c r="E378" s="676">
        <v>1333</v>
      </c>
    </row>
    <row r="379" spans="1:5" outlineLevel="1" x14ac:dyDescent="0.25">
      <c r="A379" s="675"/>
      <c r="B379" s="675"/>
      <c r="C379" s="708" t="s">
        <v>1624</v>
      </c>
      <c r="D379" s="676">
        <f>SUBTOTAL(9,D376:D378)</f>
        <v>165786</v>
      </c>
      <c r="E379" s="676">
        <f>SUBTOTAL(9,E376:E378)</f>
        <v>4683</v>
      </c>
    </row>
    <row r="380" spans="1:5" outlineLevel="2" x14ac:dyDescent="0.25">
      <c r="A380" s="705" t="s">
        <v>1337</v>
      </c>
      <c r="B380" s="705" t="s">
        <v>1401</v>
      </c>
      <c r="C380" s="705" t="s">
        <v>594</v>
      </c>
      <c r="D380" s="707">
        <v>73084</v>
      </c>
      <c r="E380" s="707">
        <v>2000</v>
      </c>
    </row>
    <row r="381" spans="1:5" outlineLevel="2" x14ac:dyDescent="0.25">
      <c r="A381" s="675" t="s">
        <v>1337</v>
      </c>
      <c r="B381" s="675" t="s">
        <v>1401</v>
      </c>
      <c r="C381" s="675" t="s">
        <v>594</v>
      </c>
      <c r="D381" s="676">
        <v>77340</v>
      </c>
      <c r="E381" s="676">
        <v>11000</v>
      </c>
    </row>
    <row r="382" spans="1:5" outlineLevel="1" x14ac:dyDescent="0.25">
      <c r="A382" s="675"/>
      <c r="B382" s="675"/>
      <c r="C382" s="708" t="s">
        <v>1625</v>
      </c>
      <c r="D382" s="676">
        <f>SUBTOTAL(9,D380:D381)</f>
        <v>150424</v>
      </c>
      <c r="E382" s="676">
        <f>SUBTOTAL(9,E380:E381)</f>
        <v>13000</v>
      </c>
    </row>
    <row r="383" spans="1:5" outlineLevel="2" x14ac:dyDescent="0.25">
      <c r="A383" s="705" t="s">
        <v>1261</v>
      </c>
      <c r="B383" s="705" t="s">
        <v>1385</v>
      </c>
      <c r="C383" s="705" t="s">
        <v>58</v>
      </c>
      <c r="D383" s="707">
        <v>73084</v>
      </c>
      <c r="E383" s="707">
        <v>8000</v>
      </c>
    </row>
    <row r="384" spans="1:5" outlineLevel="2" x14ac:dyDescent="0.25">
      <c r="A384" s="675" t="s">
        <v>1261</v>
      </c>
      <c r="B384" s="675" t="s">
        <v>1385</v>
      </c>
      <c r="C384" s="675" t="s">
        <v>58</v>
      </c>
      <c r="D384" s="676">
        <v>73084</v>
      </c>
      <c r="E384" s="676">
        <v>15000</v>
      </c>
    </row>
    <row r="385" spans="1:5" outlineLevel="2" x14ac:dyDescent="0.25">
      <c r="A385" s="675" t="s">
        <v>1261</v>
      </c>
      <c r="B385" s="675" t="s">
        <v>1385</v>
      </c>
      <c r="C385" s="675" t="s">
        <v>58</v>
      </c>
      <c r="D385" s="676">
        <v>77340</v>
      </c>
      <c r="E385" s="676">
        <v>15328</v>
      </c>
    </row>
    <row r="386" spans="1:5" outlineLevel="1" x14ac:dyDescent="0.25">
      <c r="A386" s="675"/>
      <c r="B386" s="675"/>
      <c r="C386" s="708" t="s">
        <v>1626</v>
      </c>
      <c r="D386" s="676">
        <f>SUBTOTAL(9,D383:D385)</f>
        <v>223508</v>
      </c>
      <c r="E386" s="676">
        <f>SUBTOTAL(9,E383:E385)</f>
        <v>38328</v>
      </c>
    </row>
    <row r="387" spans="1:5" outlineLevel="2" x14ac:dyDescent="0.25">
      <c r="A387" s="705" t="s">
        <v>1256</v>
      </c>
      <c r="B387" s="705" t="s">
        <v>1367</v>
      </c>
      <c r="C387" s="705" t="s">
        <v>54</v>
      </c>
      <c r="D387" s="707">
        <v>97024</v>
      </c>
      <c r="E387" s="707">
        <v>3000</v>
      </c>
    </row>
    <row r="388" spans="1:5" outlineLevel="2" x14ac:dyDescent="0.25">
      <c r="A388" s="675" t="s">
        <v>1256</v>
      </c>
      <c r="B388" s="675" t="s">
        <v>1367</v>
      </c>
      <c r="C388" s="675" t="s">
        <v>54</v>
      </c>
      <c r="D388" s="676">
        <v>97024</v>
      </c>
      <c r="E388" s="676">
        <v>3000</v>
      </c>
    </row>
    <row r="389" spans="1:5" outlineLevel="2" x14ac:dyDescent="0.25">
      <c r="A389" s="675" t="s">
        <v>1256</v>
      </c>
      <c r="B389" s="675" t="s">
        <v>1367</v>
      </c>
      <c r="C389" s="675" t="s">
        <v>54</v>
      </c>
      <c r="D389" s="676">
        <v>97024</v>
      </c>
      <c r="E389" s="676">
        <v>10405</v>
      </c>
    </row>
    <row r="390" spans="1:5" outlineLevel="1" x14ac:dyDescent="0.25">
      <c r="A390" s="675"/>
      <c r="B390" s="675"/>
      <c r="C390" s="708" t="s">
        <v>1627</v>
      </c>
      <c r="D390" s="676">
        <f>SUBTOTAL(9,D387:D389)</f>
        <v>291072</v>
      </c>
      <c r="E390" s="676">
        <f>SUBTOTAL(9,E387:E389)</f>
        <v>16405</v>
      </c>
    </row>
    <row r="391" spans="1:5" outlineLevel="2" x14ac:dyDescent="0.25">
      <c r="A391" s="705" t="s">
        <v>1311</v>
      </c>
      <c r="B391" s="705" t="s">
        <v>1512</v>
      </c>
      <c r="C391" s="705" t="s">
        <v>95</v>
      </c>
      <c r="D391" s="707">
        <v>49144</v>
      </c>
      <c r="E391" s="707">
        <v>500</v>
      </c>
    </row>
    <row r="392" spans="1:5" outlineLevel="2" x14ac:dyDescent="0.25">
      <c r="A392" s="675" t="s">
        <v>1311</v>
      </c>
      <c r="B392" s="675" t="s">
        <v>1512</v>
      </c>
      <c r="C392" s="675" t="s">
        <v>95</v>
      </c>
      <c r="D392" s="676">
        <v>49144</v>
      </c>
      <c r="E392" s="676">
        <v>500</v>
      </c>
    </row>
    <row r="393" spans="1:5" outlineLevel="2" x14ac:dyDescent="0.25">
      <c r="A393" s="675" t="s">
        <v>1311</v>
      </c>
      <c r="B393" s="675" t="s">
        <v>1512</v>
      </c>
      <c r="C393" s="675" t="s">
        <v>95</v>
      </c>
      <c r="D393" s="676">
        <v>49144</v>
      </c>
      <c r="E393" s="676">
        <v>305</v>
      </c>
    </row>
    <row r="394" spans="1:5" outlineLevel="1" x14ac:dyDescent="0.25">
      <c r="A394" s="675"/>
      <c r="B394" s="675"/>
      <c r="C394" s="708" t="s">
        <v>1652</v>
      </c>
      <c r="D394" s="676">
        <f>SUBTOTAL(9,D391:D393)</f>
        <v>147432</v>
      </c>
      <c r="E394" s="676">
        <f>SUBTOTAL(9,E391:E393)</f>
        <v>1305</v>
      </c>
    </row>
    <row r="395" spans="1:5" outlineLevel="2" x14ac:dyDescent="0.25">
      <c r="A395" s="705" t="s">
        <v>1503</v>
      </c>
      <c r="B395" s="705" t="s">
        <v>1420</v>
      </c>
      <c r="C395" s="705" t="s">
        <v>545</v>
      </c>
      <c r="D395" s="707">
        <v>122080</v>
      </c>
      <c r="E395" s="707">
        <v>15000</v>
      </c>
    </row>
    <row r="396" spans="1:5" outlineLevel="2" x14ac:dyDescent="0.25">
      <c r="A396" s="675" t="s">
        <v>1503</v>
      </c>
      <c r="B396" s="675" t="s">
        <v>1420</v>
      </c>
      <c r="C396" s="675" t="s">
        <v>545</v>
      </c>
      <c r="D396" s="676">
        <v>128511</v>
      </c>
      <c r="E396" s="676">
        <v>17407</v>
      </c>
    </row>
    <row r="397" spans="1:5" outlineLevel="1" x14ac:dyDescent="0.25">
      <c r="A397" s="675"/>
      <c r="B397" s="675"/>
      <c r="C397" s="708" t="s">
        <v>1628</v>
      </c>
      <c r="D397" s="676">
        <f>SUBTOTAL(9,D395:D396)</f>
        <v>250591</v>
      </c>
      <c r="E397" s="676">
        <f>SUBTOTAL(9,E395:E396)</f>
        <v>32407</v>
      </c>
    </row>
    <row r="398" spans="1:5" outlineLevel="2" x14ac:dyDescent="0.25">
      <c r="A398" s="705" t="s">
        <v>1345</v>
      </c>
      <c r="B398" s="705" t="s">
        <v>1511</v>
      </c>
      <c r="C398" s="705" t="s">
        <v>93</v>
      </c>
      <c r="D398" s="707">
        <v>40984</v>
      </c>
      <c r="E398" s="707">
        <v>500</v>
      </c>
    </row>
    <row r="399" spans="1:5" outlineLevel="1" x14ac:dyDescent="0.25">
      <c r="A399" s="705"/>
      <c r="B399" s="705"/>
      <c r="C399" s="709" t="s">
        <v>1653</v>
      </c>
      <c r="D399" s="707">
        <f>SUBTOTAL(9,D398:D398)</f>
        <v>40984</v>
      </c>
      <c r="E399" s="707">
        <f>SUBTOTAL(9,E398:E398)</f>
        <v>500</v>
      </c>
    </row>
    <row r="400" spans="1:5" outlineLevel="2" x14ac:dyDescent="0.25">
      <c r="A400" s="675" t="s">
        <v>1333</v>
      </c>
      <c r="B400" s="675" t="s">
        <v>1493</v>
      </c>
      <c r="C400" s="675" t="s">
        <v>1187</v>
      </c>
      <c r="D400" s="676">
        <v>54597</v>
      </c>
      <c r="E400" s="676">
        <v>4000</v>
      </c>
    </row>
    <row r="401" spans="1:5" outlineLevel="2" x14ac:dyDescent="0.25">
      <c r="A401" s="675" t="s">
        <v>1333</v>
      </c>
      <c r="B401" s="675" t="s">
        <v>1493</v>
      </c>
      <c r="C401" s="675" t="s">
        <v>1187</v>
      </c>
      <c r="D401" s="676">
        <v>54597</v>
      </c>
      <c r="E401" s="676">
        <v>4000</v>
      </c>
    </row>
    <row r="402" spans="1:5" outlineLevel="1" x14ac:dyDescent="0.25">
      <c r="A402" s="675"/>
      <c r="B402" s="675"/>
      <c r="C402" s="708" t="s">
        <v>1629</v>
      </c>
      <c r="D402" s="676">
        <f>SUBTOTAL(9,D400:D401)</f>
        <v>109194</v>
      </c>
      <c r="E402" s="676">
        <f>SUBTOTAL(9,E400:E401)</f>
        <v>8000</v>
      </c>
    </row>
    <row r="403" spans="1:5" outlineLevel="2" x14ac:dyDescent="0.25">
      <c r="A403" s="705" t="s">
        <v>1293</v>
      </c>
      <c r="B403" s="705" t="s">
        <v>1417</v>
      </c>
      <c r="C403" s="705" t="s">
        <v>30</v>
      </c>
      <c r="D403" s="707">
        <v>101370</v>
      </c>
      <c r="E403" s="707">
        <v>10000</v>
      </c>
    </row>
    <row r="404" spans="1:5" outlineLevel="2" x14ac:dyDescent="0.25">
      <c r="A404" s="675" t="s">
        <v>1293</v>
      </c>
      <c r="B404" s="675" t="s">
        <v>1417</v>
      </c>
      <c r="C404" s="675" t="s">
        <v>30</v>
      </c>
      <c r="D404" s="676">
        <v>101370</v>
      </c>
      <c r="E404" s="676">
        <v>14000</v>
      </c>
    </row>
    <row r="405" spans="1:5" outlineLevel="2" x14ac:dyDescent="0.25">
      <c r="A405" s="675" t="s">
        <v>1293</v>
      </c>
      <c r="B405" s="675" t="s">
        <v>1417</v>
      </c>
      <c r="C405" s="675" t="s">
        <v>30</v>
      </c>
      <c r="D405" s="676">
        <v>101370</v>
      </c>
      <c r="E405" s="676">
        <v>14200</v>
      </c>
    </row>
    <row r="406" spans="1:5" outlineLevel="1" x14ac:dyDescent="0.25">
      <c r="A406" s="675"/>
      <c r="B406" s="675"/>
      <c r="C406" s="708" t="s">
        <v>1630</v>
      </c>
      <c r="D406" s="676">
        <f>SUBTOTAL(9,D403:D405)</f>
        <v>304110</v>
      </c>
      <c r="E406" s="676">
        <f>SUBTOTAL(9,E403:E405)</f>
        <v>38200</v>
      </c>
    </row>
    <row r="407" spans="1:5" outlineLevel="2" x14ac:dyDescent="0.25">
      <c r="A407" s="705" t="s">
        <v>1507</v>
      </c>
      <c r="B407" s="705" t="s">
        <v>1508</v>
      </c>
      <c r="C407" s="675" t="s">
        <v>78</v>
      </c>
      <c r="D407" s="707">
        <v>42074</v>
      </c>
      <c r="E407" s="707">
        <v>500</v>
      </c>
    </row>
    <row r="408" spans="1:5" outlineLevel="1" x14ac:dyDescent="0.25">
      <c r="A408" s="705"/>
      <c r="B408" s="705"/>
      <c r="C408" s="709" t="s">
        <v>1654</v>
      </c>
      <c r="D408" s="707">
        <f>SUBTOTAL(9,D407:D407)</f>
        <v>42074</v>
      </c>
      <c r="E408" s="707">
        <f>SUBTOTAL(9,E407:E407)</f>
        <v>500</v>
      </c>
    </row>
    <row r="409" spans="1:5" outlineLevel="2" x14ac:dyDescent="0.25">
      <c r="A409" s="705" t="s">
        <v>1338</v>
      </c>
      <c r="B409" s="705" t="s">
        <v>1402</v>
      </c>
      <c r="C409" s="705" t="s">
        <v>596</v>
      </c>
      <c r="D409" s="707">
        <v>60604</v>
      </c>
      <c r="E409" s="707">
        <v>500</v>
      </c>
    </row>
    <row r="410" spans="1:5" outlineLevel="2" x14ac:dyDescent="0.25">
      <c r="A410" s="675" t="s">
        <v>1338</v>
      </c>
      <c r="B410" s="675" t="s">
        <v>1402</v>
      </c>
      <c r="C410" s="675" t="s">
        <v>596</v>
      </c>
      <c r="D410" s="676">
        <v>64092</v>
      </c>
      <c r="E410" s="676">
        <v>7500</v>
      </c>
    </row>
    <row r="411" spans="1:5" outlineLevel="1" x14ac:dyDescent="0.25">
      <c r="A411" s="675"/>
      <c r="B411" s="675"/>
      <c r="C411" s="708" t="s">
        <v>1631</v>
      </c>
      <c r="D411" s="676">
        <f>SUBTOTAL(9,D409:D410)</f>
        <v>124696</v>
      </c>
      <c r="E411" s="676">
        <f>SUBTOTAL(9,E409:E410)</f>
        <v>8000</v>
      </c>
    </row>
    <row r="412" spans="1:5" outlineLevel="2" x14ac:dyDescent="0.25">
      <c r="A412" s="705" t="s">
        <v>1339</v>
      </c>
      <c r="B412" s="705" t="s">
        <v>1409</v>
      </c>
      <c r="C412" s="705" t="s">
        <v>592</v>
      </c>
      <c r="D412" s="707">
        <v>73084</v>
      </c>
      <c r="E412" s="707">
        <v>2500</v>
      </c>
    </row>
    <row r="413" spans="1:5" outlineLevel="2" x14ac:dyDescent="0.25">
      <c r="A413" s="675" t="s">
        <v>1339</v>
      </c>
      <c r="B413" s="675" t="s">
        <v>1409</v>
      </c>
      <c r="C413" s="675" t="s">
        <v>592</v>
      </c>
      <c r="D413" s="676">
        <v>77340</v>
      </c>
      <c r="E413" s="676">
        <v>11680</v>
      </c>
    </row>
    <row r="414" spans="1:5" outlineLevel="1" x14ac:dyDescent="0.25">
      <c r="A414" s="675"/>
      <c r="B414" s="675"/>
      <c r="C414" s="708" t="s">
        <v>1632</v>
      </c>
      <c r="D414" s="676">
        <f>SUBTOTAL(9,D412:D413)</f>
        <v>150424</v>
      </c>
      <c r="E414" s="676">
        <f>SUBTOTAL(9,E412:E413)</f>
        <v>14180</v>
      </c>
    </row>
    <row r="415" spans="1:5" outlineLevel="2" x14ac:dyDescent="0.25">
      <c r="A415" s="675" t="s">
        <v>1327</v>
      </c>
      <c r="B415" s="675" t="s">
        <v>1524</v>
      </c>
      <c r="C415" s="675" t="s">
        <v>562</v>
      </c>
      <c r="D415" s="676">
        <v>42074</v>
      </c>
      <c r="E415" s="676">
        <v>500</v>
      </c>
    </row>
    <row r="416" spans="1:5" outlineLevel="2" x14ac:dyDescent="0.25">
      <c r="A416" s="675" t="s">
        <v>1327</v>
      </c>
      <c r="B416" s="675" t="s">
        <v>1524</v>
      </c>
      <c r="C416" s="675" t="s">
        <v>562</v>
      </c>
      <c r="D416" s="676">
        <v>42074</v>
      </c>
      <c r="E416" s="676">
        <v>500</v>
      </c>
    </row>
    <row r="417" spans="1:5" outlineLevel="1" x14ac:dyDescent="0.25">
      <c r="A417" s="675"/>
      <c r="B417" s="675"/>
      <c r="C417" s="708" t="s">
        <v>1655</v>
      </c>
      <c r="D417" s="676">
        <f>SUBTOTAL(9,D415:D416)</f>
        <v>84148</v>
      </c>
      <c r="E417" s="676">
        <f>SUBTOTAL(9,E415:E416)</f>
        <v>1000</v>
      </c>
    </row>
    <row r="418" spans="1:5" outlineLevel="2" x14ac:dyDescent="0.25">
      <c r="A418" s="705" t="s">
        <v>1267</v>
      </c>
      <c r="B418" s="705" t="s">
        <v>1498</v>
      </c>
      <c r="C418" s="705" t="s">
        <v>66</v>
      </c>
      <c r="D418" s="707">
        <v>56060</v>
      </c>
      <c r="E418" s="707">
        <v>2000</v>
      </c>
    </row>
    <row r="419" spans="1:5" outlineLevel="2" x14ac:dyDescent="0.25">
      <c r="A419" s="675" t="s">
        <v>1267</v>
      </c>
      <c r="B419" s="675" t="s">
        <v>1498</v>
      </c>
      <c r="C419" s="675" t="s">
        <v>66</v>
      </c>
      <c r="D419" s="676">
        <v>56060</v>
      </c>
      <c r="E419" s="676">
        <v>2500</v>
      </c>
    </row>
    <row r="420" spans="1:5" outlineLevel="2" x14ac:dyDescent="0.25">
      <c r="A420" s="675" t="s">
        <v>1267</v>
      </c>
      <c r="B420" s="675" t="s">
        <v>1498</v>
      </c>
      <c r="C420" s="675" t="s">
        <v>66</v>
      </c>
      <c r="D420" s="676">
        <v>56060</v>
      </c>
      <c r="E420" s="676">
        <v>2180</v>
      </c>
    </row>
    <row r="421" spans="1:5" outlineLevel="1" x14ac:dyDescent="0.25">
      <c r="A421" s="675"/>
      <c r="B421" s="675"/>
      <c r="C421" s="708" t="s">
        <v>1656</v>
      </c>
      <c r="D421" s="677">
        <f>SUBTOTAL(9,D418:D420)</f>
        <v>168180</v>
      </c>
      <c r="E421" s="677">
        <f>SUBTOTAL(9,E418:E420)</f>
        <v>6680</v>
      </c>
    </row>
    <row r="422" spans="1:5" outlineLevel="2" x14ac:dyDescent="0.25">
      <c r="A422" s="675" t="s">
        <v>1335</v>
      </c>
      <c r="B422" s="675" t="s">
        <v>1527</v>
      </c>
      <c r="C422" s="675" t="s">
        <v>1198</v>
      </c>
      <c r="D422" s="677">
        <v>45287</v>
      </c>
      <c r="E422" s="677">
        <v>1500</v>
      </c>
    </row>
    <row r="423" spans="1:5" outlineLevel="2" x14ac:dyDescent="0.25">
      <c r="A423" s="668" t="s">
        <v>1335</v>
      </c>
      <c r="B423" s="668" t="s">
        <v>1527</v>
      </c>
      <c r="C423" s="668" t="s">
        <v>1198</v>
      </c>
      <c r="D423" s="706">
        <v>45287</v>
      </c>
      <c r="E423" s="706">
        <v>2155</v>
      </c>
    </row>
    <row r="424" spans="1:5" outlineLevel="1" x14ac:dyDescent="0.25">
      <c r="A424" s="668"/>
      <c r="B424" s="668"/>
      <c r="C424" s="700" t="s">
        <v>1657</v>
      </c>
      <c r="D424" s="706">
        <f>SUBTOTAL(9,D422:D423)</f>
        <v>90574</v>
      </c>
      <c r="E424" s="706">
        <f>SUBTOTAL(9,E422:E423)</f>
        <v>3655</v>
      </c>
    </row>
    <row r="425" spans="1:5" x14ac:dyDescent="0.25">
      <c r="A425" s="668"/>
      <c r="B425" s="668"/>
      <c r="C425" s="700" t="s">
        <v>1633</v>
      </c>
      <c r="D425" s="706">
        <f>SUBTOTAL(9,D2:D423)</f>
        <v>27589393</v>
      </c>
      <c r="E425" s="706">
        <f>SUBTOTAL(9,E2:E423)</f>
        <v>2815826</v>
      </c>
    </row>
    <row r="427" spans="1:5" x14ac:dyDescent="0.25">
      <c r="C427" t="s">
        <v>967</v>
      </c>
      <c r="D427">
        <v>358719</v>
      </c>
      <c r="E427">
        <v>36600</v>
      </c>
    </row>
    <row r="428" spans="1:5" x14ac:dyDescent="0.25">
      <c r="C428" t="s">
        <v>787</v>
      </c>
      <c r="D428">
        <v>182544</v>
      </c>
      <c r="E428">
        <v>8448</v>
      </c>
    </row>
    <row r="429" spans="1:5" x14ac:dyDescent="0.25">
      <c r="C429" t="s">
        <v>1397</v>
      </c>
      <c r="D429">
        <v>405786</v>
      </c>
      <c r="E429">
        <v>81410</v>
      </c>
    </row>
    <row r="430" spans="1:5" x14ac:dyDescent="0.25">
      <c r="C430" t="s">
        <v>963</v>
      </c>
      <c r="D430">
        <v>429327</v>
      </c>
      <c r="E430">
        <v>72340</v>
      </c>
    </row>
    <row r="431" spans="1:5" x14ac:dyDescent="0.25">
      <c r="C431" t="s">
        <v>916</v>
      </c>
      <c r="D431">
        <v>188728</v>
      </c>
      <c r="E431">
        <v>13400</v>
      </c>
    </row>
    <row r="432" spans="1:5" x14ac:dyDescent="0.25">
      <c r="C432" t="s">
        <v>567</v>
      </c>
      <c r="D432">
        <v>405786</v>
      </c>
      <c r="E432">
        <v>60000</v>
      </c>
    </row>
    <row r="433" spans="3:5" x14ac:dyDescent="0.25">
      <c r="C433" t="s">
        <v>1348</v>
      </c>
      <c r="D433">
        <v>159202</v>
      </c>
      <c r="E433">
        <v>16761</v>
      </c>
    </row>
    <row r="434" spans="3:5" x14ac:dyDescent="0.25">
      <c r="C434" t="s">
        <v>68</v>
      </c>
      <c r="D434">
        <v>207282</v>
      </c>
      <c r="E434">
        <v>13987</v>
      </c>
    </row>
    <row r="435" spans="3:5" x14ac:dyDescent="0.25">
      <c r="C435" t="s">
        <v>588</v>
      </c>
      <c r="D435">
        <v>97024</v>
      </c>
      <c r="E435">
        <v>7500</v>
      </c>
    </row>
    <row r="436" spans="3:5" x14ac:dyDescent="0.25">
      <c r="C436" t="s">
        <v>52</v>
      </c>
      <c r="D436">
        <v>326184</v>
      </c>
      <c r="E436">
        <v>42372</v>
      </c>
    </row>
    <row r="437" spans="3:5" x14ac:dyDescent="0.25">
      <c r="C437" t="s">
        <v>933</v>
      </c>
      <c r="D437">
        <v>187731</v>
      </c>
      <c r="E437">
        <v>7505</v>
      </c>
    </row>
    <row r="438" spans="3:5" x14ac:dyDescent="0.25">
      <c r="C438" t="s">
        <v>1189</v>
      </c>
      <c r="D438">
        <v>405786</v>
      </c>
      <c r="E438">
        <v>46710</v>
      </c>
    </row>
    <row r="439" spans="3:5" x14ac:dyDescent="0.25">
      <c r="C439" t="s">
        <v>781</v>
      </c>
      <c r="D439">
        <v>321441</v>
      </c>
      <c r="E439">
        <v>49750</v>
      </c>
    </row>
    <row r="440" spans="3:5" x14ac:dyDescent="0.25">
      <c r="C440" t="s">
        <v>32</v>
      </c>
      <c r="D440">
        <v>345336</v>
      </c>
      <c r="E440">
        <v>47125</v>
      </c>
    </row>
    <row r="441" spans="3:5" x14ac:dyDescent="0.25">
      <c r="C441" t="s">
        <v>582</v>
      </c>
      <c r="D441">
        <v>299451</v>
      </c>
      <c r="E441">
        <v>25725</v>
      </c>
    </row>
    <row r="442" spans="3:5" x14ac:dyDescent="0.25">
      <c r="C442" t="s">
        <v>931</v>
      </c>
      <c r="D442">
        <v>429327</v>
      </c>
      <c r="E442">
        <v>69000</v>
      </c>
    </row>
    <row r="443" spans="3:5" x14ac:dyDescent="0.25">
      <c r="C443" t="s">
        <v>921</v>
      </c>
      <c r="D443">
        <v>291072</v>
      </c>
      <c r="E443">
        <v>34000</v>
      </c>
    </row>
    <row r="444" spans="3:5" x14ac:dyDescent="0.25">
      <c r="C444" t="s">
        <v>36</v>
      </c>
      <c r="D444">
        <v>283092</v>
      </c>
      <c r="E444">
        <v>27012</v>
      </c>
    </row>
    <row r="445" spans="3:5" x14ac:dyDescent="0.25">
      <c r="C445" t="s">
        <v>599</v>
      </c>
      <c r="D445">
        <v>192918</v>
      </c>
      <c r="E445">
        <v>7440</v>
      </c>
    </row>
    <row r="446" spans="3:5" x14ac:dyDescent="0.25">
      <c r="C446" t="s">
        <v>608</v>
      </c>
      <c r="D446">
        <v>187731</v>
      </c>
      <c r="E446">
        <v>8685</v>
      </c>
    </row>
    <row r="447" spans="3:5" x14ac:dyDescent="0.25">
      <c r="C447" t="s">
        <v>764</v>
      </c>
      <c r="D447">
        <v>182544</v>
      </c>
      <c r="E447">
        <v>7615</v>
      </c>
    </row>
    <row r="448" spans="3:5" x14ac:dyDescent="0.25">
      <c r="C448" t="s">
        <v>935</v>
      </c>
      <c r="D448">
        <v>373467</v>
      </c>
      <c r="E448">
        <v>27835</v>
      </c>
    </row>
    <row r="449" spans="3:5" x14ac:dyDescent="0.25">
      <c r="C449" t="s">
        <v>1346</v>
      </c>
      <c r="D449">
        <v>368747</v>
      </c>
      <c r="E449">
        <v>41400</v>
      </c>
    </row>
    <row r="450" spans="3:5" x14ac:dyDescent="0.25">
      <c r="C450" t="s">
        <v>744</v>
      </c>
      <c r="D450">
        <v>372270</v>
      </c>
      <c r="E450">
        <v>49000</v>
      </c>
    </row>
    <row r="451" spans="3:5" x14ac:dyDescent="0.25">
      <c r="C451" t="s">
        <v>1522</v>
      </c>
      <c r="D451">
        <v>310158</v>
      </c>
      <c r="E451">
        <v>40000</v>
      </c>
    </row>
    <row r="452" spans="3:5" x14ac:dyDescent="0.25">
      <c r="C452" t="s">
        <v>34</v>
      </c>
      <c r="D452">
        <v>308229</v>
      </c>
      <c r="E452">
        <v>32000</v>
      </c>
    </row>
    <row r="453" spans="3:5" x14ac:dyDescent="0.25">
      <c r="C453" t="s">
        <v>8</v>
      </c>
      <c r="D453">
        <v>375069</v>
      </c>
      <c r="E453">
        <v>54000</v>
      </c>
    </row>
    <row r="454" spans="3:5" x14ac:dyDescent="0.25">
      <c r="C454" t="s">
        <v>731</v>
      </c>
      <c r="D454">
        <v>118701</v>
      </c>
      <c r="E454">
        <v>15000</v>
      </c>
    </row>
    <row r="455" spans="3:5" x14ac:dyDescent="0.25">
      <c r="C455" t="s">
        <v>46</v>
      </c>
      <c r="D455">
        <v>283092</v>
      </c>
      <c r="E455">
        <v>27755</v>
      </c>
    </row>
    <row r="456" spans="3:5" x14ac:dyDescent="0.25">
      <c r="C456" t="s">
        <v>1163</v>
      </c>
      <c r="D456">
        <v>294464</v>
      </c>
      <c r="E456">
        <v>20000</v>
      </c>
    </row>
    <row r="457" spans="3:5" x14ac:dyDescent="0.25">
      <c r="C457" t="s">
        <v>1196</v>
      </c>
      <c r="D457">
        <v>79788</v>
      </c>
      <c r="E457">
        <v>1200</v>
      </c>
    </row>
    <row r="458" spans="3:5" x14ac:dyDescent="0.25">
      <c r="C458" t="s">
        <v>957</v>
      </c>
      <c r="D458">
        <v>42074</v>
      </c>
      <c r="E458">
        <v>100</v>
      </c>
    </row>
    <row r="459" spans="3:5" x14ac:dyDescent="0.25">
      <c r="C459" t="s">
        <v>767</v>
      </c>
      <c r="D459">
        <v>209280</v>
      </c>
      <c r="E459">
        <v>13882</v>
      </c>
    </row>
    <row r="460" spans="3:5" x14ac:dyDescent="0.25">
      <c r="C460" t="s">
        <v>924</v>
      </c>
      <c r="D460">
        <v>417357</v>
      </c>
      <c r="E460">
        <v>66660</v>
      </c>
    </row>
    <row r="461" spans="3:5" x14ac:dyDescent="0.25">
      <c r="C461" t="s">
        <v>394</v>
      </c>
      <c r="D461">
        <v>299451</v>
      </c>
      <c r="E461">
        <v>38165</v>
      </c>
    </row>
    <row r="462" spans="3:5" x14ac:dyDescent="0.25">
      <c r="C462" t="s">
        <v>12</v>
      </c>
      <c r="D462">
        <v>336810</v>
      </c>
      <c r="E462">
        <v>49630</v>
      </c>
    </row>
    <row r="463" spans="3:5" x14ac:dyDescent="0.25">
      <c r="C463" t="s">
        <v>758</v>
      </c>
      <c r="D463">
        <v>125154</v>
      </c>
      <c r="E463">
        <v>3200</v>
      </c>
    </row>
    <row r="464" spans="3:5" x14ac:dyDescent="0.25">
      <c r="C464" t="s">
        <v>44</v>
      </c>
      <c r="D464">
        <v>383841</v>
      </c>
      <c r="E464">
        <v>48235</v>
      </c>
    </row>
    <row r="465" spans="3:5" x14ac:dyDescent="0.25">
      <c r="C465" t="s">
        <v>38</v>
      </c>
      <c r="D465">
        <v>308229</v>
      </c>
      <c r="E465">
        <v>31985</v>
      </c>
    </row>
    <row r="466" spans="3:5" x14ac:dyDescent="0.25">
      <c r="C466" t="s">
        <v>945</v>
      </c>
      <c r="D466">
        <v>432519</v>
      </c>
      <c r="E466">
        <v>66800</v>
      </c>
    </row>
    <row r="467" spans="3:5" x14ac:dyDescent="0.25">
      <c r="C467" t="s">
        <v>1352</v>
      </c>
      <c r="D467">
        <v>199634</v>
      </c>
      <c r="E467">
        <v>13000</v>
      </c>
    </row>
    <row r="468" spans="3:5" x14ac:dyDescent="0.25">
      <c r="C468" t="s">
        <v>603</v>
      </c>
      <c r="D468">
        <v>192918</v>
      </c>
      <c r="E468">
        <v>8640</v>
      </c>
    </row>
    <row r="469" spans="3:5" x14ac:dyDescent="0.25">
      <c r="C469" t="s">
        <v>772</v>
      </c>
      <c r="D469">
        <v>225636</v>
      </c>
      <c r="E469">
        <v>14400</v>
      </c>
    </row>
    <row r="470" spans="3:5" x14ac:dyDescent="0.25">
      <c r="C470" t="s">
        <v>1222</v>
      </c>
      <c r="D470">
        <v>218436</v>
      </c>
      <c r="E470">
        <v>19500</v>
      </c>
    </row>
    <row r="471" spans="3:5" x14ac:dyDescent="0.25">
      <c r="C471" t="s">
        <v>949</v>
      </c>
      <c r="D471">
        <v>429327</v>
      </c>
      <c r="E471">
        <v>77285</v>
      </c>
    </row>
    <row r="472" spans="3:5" x14ac:dyDescent="0.25">
      <c r="C472" t="s">
        <v>961</v>
      </c>
      <c r="D472">
        <v>155811</v>
      </c>
      <c r="E472">
        <v>5547</v>
      </c>
    </row>
    <row r="473" spans="3:5" x14ac:dyDescent="0.25">
      <c r="C473" t="s">
        <v>752</v>
      </c>
      <c r="D473">
        <v>187731</v>
      </c>
      <c r="E473">
        <v>9360</v>
      </c>
    </row>
    <row r="474" spans="3:5" x14ac:dyDescent="0.25">
      <c r="C474" t="s">
        <v>947</v>
      </c>
      <c r="D474">
        <v>291072</v>
      </c>
      <c r="E474">
        <v>32500</v>
      </c>
    </row>
    <row r="475" spans="3:5" x14ac:dyDescent="0.25">
      <c r="C475" t="s">
        <v>969</v>
      </c>
      <c r="D475">
        <v>291072</v>
      </c>
      <c r="E475">
        <v>30835</v>
      </c>
    </row>
    <row r="476" spans="3:5" x14ac:dyDescent="0.25">
      <c r="C476" t="s">
        <v>955</v>
      </c>
      <c r="D476">
        <v>192918</v>
      </c>
      <c r="E476">
        <v>6269</v>
      </c>
    </row>
    <row r="477" spans="3:5" x14ac:dyDescent="0.25">
      <c r="C477" t="s">
        <v>1185</v>
      </c>
      <c r="D477">
        <v>283092</v>
      </c>
      <c r="E477">
        <v>33000</v>
      </c>
    </row>
    <row r="478" spans="3:5" x14ac:dyDescent="0.25">
      <c r="C478" t="s">
        <v>937</v>
      </c>
      <c r="D478">
        <v>168512</v>
      </c>
      <c r="E478">
        <v>10455</v>
      </c>
    </row>
    <row r="479" spans="3:5" x14ac:dyDescent="0.25">
      <c r="C479" t="s">
        <v>48</v>
      </c>
      <c r="D479">
        <v>238803</v>
      </c>
      <c r="E479">
        <v>19920</v>
      </c>
    </row>
    <row r="480" spans="3:5" x14ac:dyDescent="0.25">
      <c r="C480" t="s">
        <v>28</v>
      </c>
      <c r="D480">
        <v>115312</v>
      </c>
      <c r="E480">
        <v>6628</v>
      </c>
    </row>
    <row r="481" spans="3:5" x14ac:dyDescent="0.25">
      <c r="C481" t="s">
        <v>16</v>
      </c>
      <c r="D481">
        <v>112270</v>
      </c>
      <c r="E481">
        <v>13000</v>
      </c>
    </row>
    <row r="482" spans="3:5" x14ac:dyDescent="0.25">
      <c r="C482" t="s">
        <v>953</v>
      </c>
      <c r="D482">
        <v>207282</v>
      </c>
      <c r="E482">
        <v>15455</v>
      </c>
    </row>
    <row r="483" spans="3:5" x14ac:dyDescent="0.25">
      <c r="C483" t="s">
        <v>601</v>
      </c>
      <c r="D483">
        <v>245586</v>
      </c>
      <c r="E483">
        <v>19500</v>
      </c>
    </row>
    <row r="484" spans="3:5" x14ac:dyDescent="0.25">
      <c r="C484" t="s">
        <v>785</v>
      </c>
      <c r="D484">
        <v>291072</v>
      </c>
      <c r="E484">
        <v>15165</v>
      </c>
    </row>
    <row r="485" spans="3:5" x14ac:dyDescent="0.25">
      <c r="C485" t="s">
        <v>777</v>
      </c>
      <c r="D485">
        <v>232020</v>
      </c>
      <c r="E485">
        <v>22275</v>
      </c>
    </row>
    <row r="486" spans="3:5" x14ac:dyDescent="0.25">
      <c r="C486" t="s">
        <v>56</v>
      </c>
      <c r="D486">
        <v>238803</v>
      </c>
      <c r="E486">
        <v>10065</v>
      </c>
    </row>
    <row r="487" spans="3:5" x14ac:dyDescent="0.25">
      <c r="C487" t="s">
        <v>10</v>
      </c>
      <c r="D487">
        <v>441696</v>
      </c>
      <c r="E487">
        <v>34200</v>
      </c>
    </row>
    <row r="488" spans="3:5" x14ac:dyDescent="0.25">
      <c r="C488" t="s">
        <v>586</v>
      </c>
      <c r="D488">
        <v>283092</v>
      </c>
      <c r="E488">
        <v>29350</v>
      </c>
    </row>
    <row r="489" spans="3:5" x14ac:dyDescent="0.25">
      <c r="C489" t="s">
        <v>578</v>
      </c>
      <c r="D489">
        <v>375069</v>
      </c>
      <c r="E489">
        <v>55500</v>
      </c>
    </row>
    <row r="490" spans="3:5" x14ac:dyDescent="0.25">
      <c r="C490" t="s">
        <v>60</v>
      </c>
      <c r="D490">
        <v>247980</v>
      </c>
      <c r="E490">
        <v>20920</v>
      </c>
    </row>
    <row r="491" spans="3:5" x14ac:dyDescent="0.25">
      <c r="C491" t="s">
        <v>42</v>
      </c>
      <c r="D491">
        <v>291072</v>
      </c>
      <c r="E491">
        <v>26342</v>
      </c>
    </row>
    <row r="492" spans="3:5" x14ac:dyDescent="0.25">
      <c r="C492" t="s">
        <v>1166</v>
      </c>
      <c r="D492">
        <v>457390</v>
      </c>
      <c r="E492">
        <v>97000</v>
      </c>
    </row>
    <row r="493" spans="3:5" x14ac:dyDescent="0.25">
      <c r="C493" t="s">
        <v>939</v>
      </c>
      <c r="D493">
        <v>294464</v>
      </c>
      <c r="E493">
        <v>42000</v>
      </c>
    </row>
    <row r="494" spans="3:5" x14ac:dyDescent="0.25">
      <c r="C494" t="s">
        <v>762</v>
      </c>
      <c r="D494">
        <v>66168</v>
      </c>
      <c r="E494">
        <v>2000</v>
      </c>
    </row>
    <row r="495" spans="3:5" x14ac:dyDescent="0.25">
      <c r="C495" t="s">
        <v>754</v>
      </c>
      <c r="D495">
        <v>252768</v>
      </c>
      <c r="E495">
        <v>20435</v>
      </c>
    </row>
    <row r="496" spans="3:5" x14ac:dyDescent="0.25">
      <c r="C496" t="s">
        <v>1182</v>
      </c>
      <c r="D496">
        <v>143109</v>
      </c>
      <c r="E496">
        <v>32500</v>
      </c>
    </row>
    <row r="497" spans="3:5" x14ac:dyDescent="0.25">
      <c r="C497" t="s">
        <v>1194</v>
      </c>
      <c r="D497">
        <v>417357</v>
      </c>
      <c r="E497">
        <v>35000</v>
      </c>
    </row>
    <row r="498" spans="3:5" x14ac:dyDescent="0.25">
      <c r="C498" t="s">
        <v>74</v>
      </c>
      <c r="D498">
        <v>134397</v>
      </c>
      <c r="E498">
        <v>2810</v>
      </c>
    </row>
    <row r="499" spans="3:5" x14ac:dyDescent="0.25">
      <c r="C499" t="s">
        <v>497</v>
      </c>
      <c r="D499">
        <v>372671</v>
      </c>
      <c r="E499">
        <v>38965</v>
      </c>
    </row>
    <row r="500" spans="3:5" x14ac:dyDescent="0.25">
      <c r="C500" t="s">
        <v>99</v>
      </c>
      <c r="D500">
        <v>84148</v>
      </c>
      <c r="E500">
        <v>1275</v>
      </c>
    </row>
    <row r="501" spans="3:5" x14ac:dyDescent="0.25">
      <c r="C501" t="s">
        <v>941</v>
      </c>
      <c r="D501">
        <v>389675</v>
      </c>
      <c r="E501">
        <v>58085</v>
      </c>
    </row>
    <row r="502" spans="3:5" x14ac:dyDescent="0.25">
      <c r="C502" t="s">
        <v>723</v>
      </c>
      <c r="D502">
        <v>299451</v>
      </c>
      <c r="E502">
        <v>39300</v>
      </c>
    </row>
    <row r="503" spans="3:5" x14ac:dyDescent="0.25">
      <c r="C503" t="s">
        <v>928</v>
      </c>
      <c r="D503">
        <v>330441</v>
      </c>
      <c r="E503">
        <v>49000</v>
      </c>
    </row>
    <row r="504" spans="3:5" x14ac:dyDescent="0.25">
      <c r="C504" t="s">
        <v>87</v>
      </c>
      <c r="D504">
        <v>92968</v>
      </c>
      <c r="E504">
        <v>4925</v>
      </c>
    </row>
    <row r="505" spans="3:5" x14ac:dyDescent="0.25">
      <c r="C505" t="s">
        <v>20</v>
      </c>
      <c r="D505">
        <v>385533</v>
      </c>
      <c r="E505">
        <v>54020</v>
      </c>
    </row>
    <row r="506" spans="3:5" x14ac:dyDescent="0.25">
      <c r="C506" t="s">
        <v>26</v>
      </c>
      <c r="D506">
        <v>187731</v>
      </c>
      <c r="E506">
        <v>10110</v>
      </c>
    </row>
    <row r="507" spans="3:5" x14ac:dyDescent="0.25">
      <c r="C507" t="s">
        <v>580</v>
      </c>
      <c r="D507">
        <v>283092</v>
      </c>
      <c r="E507">
        <v>16200</v>
      </c>
    </row>
    <row r="508" spans="3:5" x14ac:dyDescent="0.25">
      <c r="C508" t="s">
        <v>943</v>
      </c>
      <c r="D508">
        <v>299451</v>
      </c>
      <c r="E508">
        <v>35920</v>
      </c>
    </row>
    <row r="509" spans="3:5" x14ac:dyDescent="0.25">
      <c r="C509" t="s">
        <v>91</v>
      </c>
      <c r="D509">
        <v>147432</v>
      </c>
      <c r="E509">
        <v>2995</v>
      </c>
    </row>
    <row r="510" spans="3:5" x14ac:dyDescent="0.25">
      <c r="C510" t="s">
        <v>22</v>
      </c>
      <c r="D510">
        <v>196110</v>
      </c>
      <c r="E510">
        <v>15224</v>
      </c>
    </row>
    <row r="511" spans="3:5" x14ac:dyDescent="0.25">
      <c r="C511" t="s">
        <v>584</v>
      </c>
      <c r="D511">
        <v>291072</v>
      </c>
      <c r="E511">
        <v>24650</v>
      </c>
    </row>
    <row r="512" spans="3:5" x14ac:dyDescent="0.25">
      <c r="C512" t="s">
        <v>760</v>
      </c>
      <c r="D512">
        <v>121696</v>
      </c>
      <c r="E512">
        <v>6200</v>
      </c>
    </row>
    <row r="513" spans="3:5" x14ac:dyDescent="0.25">
      <c r="C513" t="s">
        <v>1447</v>
      </c>
      <c r="D513">
        <v>109218</v>
      </c>
      <c r="E513">
        <v>2000</v>
      </c>
    </row>
    <row r="514" spans="3:5" x14ac:dyDescent="0.25">
      <c r="C514" t="s">
        <v>965</v>
      </c>
      <c r="D514">
        <v>85786</v>
      </c>
      <c r="E514">
        <v>5692</v>
      </c>
    </row>
    <row r="515" spans="3:5" x14ac:dyDescent="0.25">
      <c r="C515" t="s">
        <v>14</v>
      </c>
      <c r="D515">
        <v>95920</v>
      </c>
      <c r="E515">
        <v>3410</v>
      </c>
    </row>
    <row r="516" spans="3:5" x14ac:dyDescent="0.25">
      <c r="C516" t="s">
        <v>82</v>
      </c>
      <c r="D516">
        <v>42074</v>
      </c>
      <c r="E516">
        <v>500</v>
      </c>
    </row>
    <row r="517" spans="3:5" x14ac:dyDescent="0.25">
      <c r="C517" t="s">
        <v>766</v>
      </c>
      <c r="D517">
        <v>182544</v>
      </c>
      <c r="E517">
        <v>3240</v>
      </c>
    </row>
    <row r="518" spans="3:5" x14ac:dyDescent="0.25">
      <c r="C518" t="s">
        <v>76</v>
      </c>
      <c r="D518">
        <v>161397</v>
      </c>
      <c r="E518">
        <v>3887</v>
      </c>
    </row>
    <row r="519" spans="3:5" x14ac:dyDescent="0.25">
      <c r="C519" t="s">
        <v>959</v>
      </c>
      <c r="D519">
        <v>405786</v>
      </c>
      <c r="E519">
        <v>63000</v>
      </c>
    </row>
    <row r="520" spans="3:5" x14ac:dyDescent="0.25">
      <c r="C520" t="s">
        <v>559</v>
      </c>
      <c r="D520">
        <v>137176</v>
      </c>
      <c r="E520">
        <v>7500</v>
      </c>
    </row>
    <row r="521" spans="3:5" x14ac:dyDescent="0.25">
      <c r="C521" t="s">
        <v>97</v>
      </c>
      <c r="D521">
        <v>95628</v>
      </c>
      <c r="E521">
        <v>2870</v>
      </c>
    </row>
    <row r="522" spans="3:5" x14ac:dyDescent="0.25">
      <c r="C522" t="s">
        <v>64</v>
      </c>
      <c r="D522">
        <v>95920</v>
      </c>
      <c r="E522">
        <v>4300</v>
      </c>
    </row>
    <row r="523" spans="3:5" x14ac:dyDescent="0.25">
      <c r="C523" t="s">
        <v>85</v>
      </c>
      <c r="D523">
        <v>92968</v>
      </c>
      <c r="E523">
        <v>3362</v>
      </c>
    </row>
    <row r="524" spans="3:5" x14ac:dyDescent="0.25">
      <c r="C524" t="s">
        <v>72</v>
      </c>
      <c r="D524">
        <v>335829</v>
      </c>
      <c r="E524">
        <v>44330</v>
      </c>
    </row>
    <row r="525" spans="3:5" x14ac:dyDescent="0.25">
      <c r="C525" t="s">
        <v>62</v>
      </c>
      <c r="D525">
        <v>112120</v>
      </c>
      <c r="E525">
        <v>5445</v>
      </c>
    </row>
    <row r="526" spans="3:5" x14ac:dyDescent="0.25">
      <c r="C526" t="s">
        <v>80</v>
      </c>
      <c r="D526">
        <v>126222</v>
      </c>
      <c r="E526">
        <v>2875</v>
      </c>
    </row>
    <row r="527" spans="3:5" x14ac:dyDescent="0.25">
      <c r="C527" t="s">
        <v>40</v>
      </c>
      <c r="D527">
        <v>82513</v>
      </c>
      <c r="E527">
        <v>6000</v>
      </c>
    </row>
    <row r="528" spans="3:5" x14ac:dyDescent="0.25">
      <c r="C528" t="s">
        <v>779</v>
      </c>
      <c r="D528">
        <v>104672</v>
      </c>
      <c r="E528">
        <v>4615</v>
      </c>
    </row>
    <row r="529" spans="3:5" x14ac:dyDescent="0.25">
      <c r="C529" t="s">
        <v>590</v>
      </c>
      <c r="D529">
        <v>150424</v>
      </c>
      <c r="E529">
        <v>14000</v>
      </c>
    </row>
    <row r="530" spans="3:5" x14ac:dyDescent="0.25">
      <c r="C530" t="s">
        <v>909</v>
      </c>
      <c r="D530">
        <v>100948</v>
      </c>
      <c r="E530">
        <v>4000</v>
      </c>
    </row>
    <row r="531" spans="3:5" x14ac:dyDescent="0.25">
      <c r="C531" t="s">
        <v>89</v>
      </c>
      <c r="D531">
        <v>165786</v>
      </c>
      <c r="E531">
        <v>4683</v>
      </c>
    </row>
    <row r="532" spans="3:5" x14ac:dyDescent="0.25">
      <c r="C532" t="s">
        <v>594</v>
      </c>
      <c r="D532">
        <v>150424</v>
      </c>
      <c r="E532">
        <v>13000</v>
      </c>
    </row>
    <row r="533" spans="3:5" x14ac:dyDescent="0.25">
      <c r="C533" t="s">
        <v>58</v>
      </c>
      <c r="D533">
        <v>223508</v>
      </c>
      <c r="E533">
        <v>38328</v>
      </c>
    </row>
    <row r="534" spans="3:5" x14ac:dyDescent="0.25">
      <c r="C534" t="s">
        <v>54</v>
      </c>
      <c r="D534">
        <v>291072</v>
      </c>
      <c r="E534">
        <v>16405</v>
      </c>
    </row>
    <row r="535" spans="3:5" x14ac:dyDescent="0.25">
      <c r="C535" t="s">
        <v>95</v>
      </c>
      <c r="D535">
        <v>147432</v>
      </c>
      <c r="E535">
        <v>1305</v>
      </c>
    </row>
    <row r="536" spans="3:5" x14ac:dyDescent="0.25">
      <c r="C536" t="s">
        <v>545</v>
      </c>
      <c r="D536">
        <v>250591</v>
      </c>
      <c r="E536">
        <v>32407</v>
      </c>
    </row>
    <row r="537" spans="3:5" x14ac:dyDescent="0.25">
      <c r="C537" t="s">
        <v>93</v>
      </c>
      <c r="D537">
        <v>40984</v>
      </c>
      <c r="E537">
        <v>500</v>
      </c>
    </row>
    <row r="538" spans="3:5" x14ac:dyDescent="0.25">
      <c r="C538" t="s">
        <v>1187</v>
      </c>
      <c r="D538">
        <v>109194</v>
      </c>
      <c r="E538">
        <v>8000</v>
      </c>
    </row>
    <row r="539" spans="3:5" x14ac:dyDescent="0.25">
      <c r="C539" t="s">
        <v>30</v>
      </c>
      <c r="D539">
        <v>304110</v>
      </c>
      <c r="E539">
        <v>38200</v>
      </c>
    </row>
    <row r="540" spans="3:5" x14ac:dyDescent="0.25">
      <c r="C540" t="s">
        <v>1509</v>
      </c>
      <c r="D540">
        <v>42074</v>
      </c>
      <c r="E540">
        <v>500</v>
      </c>
    </row>
    <row r="541" spans="3:5" x14ac:dyDescent="0.25">
      <c r="C541" t="s">
        <v>596</v>
      </c>
      <c r="D541">
        <v>124696</v>
      </c>
      <c r="E541">
        <v>8000</v>
      </c>
    </row>
    <row r="542" spans="3:5" x14ac:dyDescent="0.25">
      <c r="C542" t="s">
        <v>592</v>
      </c>
      <c r="D542">
        <v>150424</v>
      </c>
      <c r="E542">
        <v>14180</v>
      </c>
    </row>
    <row r="543" spans="3:5" x14ac:dyDescent="0.25">
      <c r="C543" t="s">
        <v>562</v>
      </c>
      <c r="D543">
        <v>84148</v>
      </c>
      <c r="E543">
        <v>1000</v>
      </c>
    </row>
    <row r="544" spans="3:5" x14ac:dyDescent="0.25">
      <c r="C544" t="s">
        <v>66</v>
      </c>
      <c r="D544">
        <v>168180</v>
      </c>
      <c r="E544">
        <v>6680</v>
      </c>
    </row>
    <row r="545" spans="3:5" x14ac:dyDescent="0.25">
      <c r="C545" t="s">
        <v>1198</v>
      </c>
      <c r="D545">
        <v>90574</v>
      </c>
      <c r="E545">
        <v>3655</v>
      </c>
    </row>
    <row r="546" spans="3:5" x14ac:dyDescent="0.25">
      <c r="E546">
        <f>SUM(E427:E545)</f>
        <v>2815826</v>
      </c>
    </row>
  </sheetData>
  <autoFilter ref="C426:E546"/>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24"/>
  <sheetViews>
    <sheetView topLeftCell="A57" workbookViewId="0">
      <selection activeCell="C71" sqref="C71"/>
    </sheetView>
  </sheetViews>
  <sheetFormatPr defaultRowHeight="15" outlineLevelRow="2" x14ac:dyDescent="0.25"/>
  <cols>
    <col min="1" max="1" width="8.85546875" bestFit="1" customWidth="1"/>
    <col min="2" max="2" width="26.7109375" bestFit="1" customWidth="1"/>
    <col min="3" max="3" width="19.28515625" bestFit="1" customWidth="1"/>
    <col min="4" max="4" width="11.85546875" bestFit="1" customWidth="1"/>
    <col min="5" max="5" width="11.42578125" bestFit="1" customWidth="1"/>
    <col min="6" max="6" width="13.42578125" bestFit="1" customWidth="1"/>
  </cols>
  <sheetData>
    <row r="1" spans="1:5" x14ac:dyDescent="0.25">
      <c r="A1" s="732" t="s">
        <v>1361</v>
      </c>
      <c r="B1" s="732" t="s">
        <v>1362</v>
      </c>
      <c r="C1" s="732" t="s">
        <v>1363</v>
      </c>
      <c r="D1" s="733" t="s">
        <v>1364</v>
      </c>
      <c r="E1" s="733" t="s">
        <v>1365</v>
      </c>
    </row>
    <row r="2" spans="1:5" outlineLevel="2" x14ac:dyDescent="0.25">
      <c r="A2">
        <v>1580529</v>
      </c>
      <c r="B2" t="s">
        <v>1373</v>
      </c>
      <c r="C2" t="s">
        <v>967</v>
      </c>
      <c r="D2">
        <v>121644</v>
      </c>
      <c r="E2">
        <v>10600</v>
      </c>
    </row>
    <row r="3" spans="1:5" outlineLevel="2" x14ac:dyDescent="0.25">
      <c r="A3">
        <v>204</v>
      </c>
      <c r="B3" t="s">
        <v>1373</v>
      </c>
      <c r="C3" t="s">
        <v>967</v>
      </c>
      <c r="D3">
        <v>121644</v>
      </c>
      <c r="E3">
        <v>12105</v>
      </c>
    </row>
    <row r="4" spans="1:5" outlineLevel="1" x14ac:dyDescent="0.25">
      <c r="C4" s="695" t="s">
        <v>967</v>
      </c>
      <c r="D4">
        <f>SUBTOTAL(9,D2:D3)</f>
        <v>243288</v>
      </c>
      <c r="E4">
        <f>SUBTOTAL(9,E2:E3)</f>
        <v>22705</v>
      </c>
    </row>
    <row r="5" spans="1:5" outlineLevel="2" x14ac:dyDescent="0.25">
      <c r="A5">
        <v>4830336</v>
      </c>
      <c r="B5" t="s">
        <v>1449</v>
      </c>
      <c r="C5" t="s">
        <v>787</v>
      </c>
      <c r="D5">
        <v>60848</v>
      </c>
      <c r="E5">
        <v>3948</v>
      </c>
    </row>
    <row r="6" spans="1:5" outlineLevel="2" x14ac:dyDescent="0.25">
      <c r="A6">
        <v>45</v>
      </c>
      <c r="B6" t="s">
        <v>1449</v>
      </c>
      <c r="C6" t="s">
        <v>787</v>
      </c>
      <c r="D6">
        <v>60848</v>
      </c>
      <c r="E6">
        <v>4183</v>
      </c>
    </row>
    <row r="7" spans="1:5" outlineLevel="1" x14ac:dyDescent="0.25">
      <c r="C7" s="695" t="s">
        <v>787</v>
      </c>
      <c r="D7">
        <f>SUBTOTAL(9,D5:D6)</f>
        <v>121696</v>
      </c>
      <c r="E7">
        <f>SUBTOTAL(9,E5:E6)</f>
        <v>8131</v>
      </c>
    </row>
    <row r="8" spans="1:5" outlineLevel="2" x14ac:dyDescent="0.25">
      <c r="A8">
        <v>1430148</v>
      </c>
      <c r="B8" t="s">
        <v>1396</v>
      </c>
      <c r="C8" s="722" t="s">
        <v>571</v>
      </c>
      <c r="D8">
        <v>135262</v>
      </c>
      <c r="E8">
        <v>34910</v>
      </c>
    </row>
    <row r="9" spans="1:5" outlineLevel="2" x14ac:dyDescent="0.25">
      <c r="A9">
        <v>105</v>
      </c>
      <c r="B9" t="s">
        <v>1396</v>
      </c>
      <c r="C9" s="722" t="s">
        <v>571</v>
      </c>
      <c r="D9">
        <v>135262</v>
      </c>
      <c r="E9">
        <v>37505</v>
      </c>
    </row>
    <row r="10" spans="1:5" outlineLevel="1" x14ac:dyDescent="0.25">
      <c r="C10" s="695" t="s">
        <v>1397</v>
      </c>
      <c r="D10">
        <f>SUBTOTAL(9,D8:D9)</f>
        <v>270524</v>
      </c>
      <c r="E10">
        <f>SUBTOTAL(9,E8:E9)</f>
        <v>72415</v>
      </c>
    </row>
    <row r="11" spans="1:5" outlineLevel="2" x14ac:dyDescent="0.25">
      <c r="A11">
        <v>1090327</v>
      </c>
      <c r="B11" t="s">
        <v>1376</v>
      </c>
      <c r="C11" t="s">
        <v>963</v>
      </c>
      <c r="D11">
        <v>143109</v>
      </c>
      <c r="E11">
        <v>26740</v>
      </c>
    </row>
    <row r="12" spans="1:5" outlineLevel="2" x14ac:dyDescent="0.25">
      <c r="A12">
        <v>263</v>
      </c>
      <c r="B12" t="s">
        <v>1376</v>
      </c>
      <c r="C12" t="s">
        <v>963</v>
      </c>
      <c r="D12">
        <v>143109</v>
      </c>
      <c r="E12">
        <v>14250</v>
      </c>
    </row>
    <row r="13" spans="1:5" outlineLevel="1" x14ac:dyDescent="0.25">
      <c r="C13" s="695" t="s">
        <v>963</v>
      </c>
      <c r="D13">
        <f>SUBTOTAL(9,D11:D12)</f>
        <v>286218</v>
      </c>
      <c r="E13">
        <f>SUBTOTAL(9,E11:E12)</f>
        <v>40990</v>
      </c>
    </row>
    <row r="14" spans="1:5" outlineLevel="2" x14ac:dyDescent="0.25">
      <c r="A14">
        <v>276</v>
      </c>
      <c r="B14" t="s">
        <v>1515</v>
      </c>
      <c r="C14" t="s">
        <v>916</v>
      </c>
      <c r="D14">
        <v>94364</v>
      </c>
      <c r="E14">
        <v>34160</v>
      </c>
    </row>
    <row r="15" spans="1:5" outlineLevel="1" x14ac:dyDescent="0.25">
      <c r="C15" s="695" t="s">
        <v>916</v>
      </c>
      <c r="D15">
        <f>SUBTOTAL(9,D14:D14)</f>
        <v>94364</v>
      </c>
      <c r="E15">
        <f>SUBTOTAL(9,E14:E14)</f>
        <v>34160</v>
      </c>
    </row>
    <row r="16" spans="1:5" outlineLevel="2" x14ac:dyDescent="0.25">
      <c r="A16">
        <v>1780146</v>
      </c>
      <c r="B16" t="s">
        <v>1404</v>
      </c>
      <c r="C16" t="s">
        <v>567</v>
      </c>
      <c r="D16">
        <v>135262</v>
      </c>
      <c r="E16">
        <v>22840</v>
      </c>
    </row>
    <row r="17" spans="1:5" outlineLevel="2" x14ac:dyDescent="0.25">
      <c r="A17">
        <v>103</v>
      </c>
      <c r="B17" t="s">
        <v>1404</v>
      </c>
      <c r="C17" t="s">
        <v>567</v>
      </c>
      <c r="D17">
        <v>135262</v>
      </c>
      <c r="E17">
        <v>24885</v>
      </c>
    </row>
    <row r="18" spans="1:5" outlineLevel="1" x14ac:dyDescent="0.25">
      <c r="C18" s="695" t="s">
        <v>567</v>
      </c>
      <c r="D18">
        <f>SUBTOTAL(9,D16:D17)</f>
        <v>270524</v>
      </c>
      <c r="E18">
        <f>SUBTOTAL(9,E16:E17)</f>
        <v>47725</v>
      </c>
    </row>
    <row r="19" spans="1:5" outlineLevel="2" x14ac:dyDescent="0.25">
      <c r="A19">
        <v>4660391</v>
      </c>
      <c r="B19" t="s">
        <v>1387</v>
      </c>
      <c r="C19" t="s">
        <v>1348</v>
      </c>
      <c r="D19">
        <v>79601</v>
      </c>
      <c r="E19">
        <v>12260</v>
      </c>
    </row>
    <row r="20" spans="1:5" outlineLevel="2" x14ac:dyDescent="0.25">
      <c r="A20">
        <v>274</v>
      </c>
      <c r="B20" t="s">
        <v>1387</v>
      </c>
      <c r="C20" t="s">
        <v>1348</v>
      </c>
      <c r="D20">
        <v>79601</v>
      </c>
      <c r="E20">
        <v>12925</v>
      </c>
    </row>
    <row r="21" spans="1:5" outlineLevel="1" x14ac:dyDescent="0.25">
      <c r="C21" s="695" t="s">
        <v>1348</v>
      </c>
      <c r="D21">
        <f>SUBTOTAL(9,D19:D20)</f>
        <v>159202</v>
      </c>
      <c r="E21">
        <f>SUBTOTAL(9,E19:E20)</f>
        <v>25185</v>
      </c>
    </row>
    <row r="22" spans="1:5" outlineLevel="2" x14ac:dyDescent="0.25">
      <c r="A22">
        <v>4960470</v>
      </c>
      <c r="B22" t="s">
        <v>1433</v>
      </c>
      <c r="C22" t="s">
        <v>68</v>
      </c>
      <c r="D22">
        <v>69094</v>
      </c>
      <c r="E22">
        <v>5291</v>
      </c>
    </row>
    <row r="23" spans="1:5" outlineLevel="2" x14ac:dyDescent="0.25">
      <c r="A23">
        <v>52</v>
      </c>
      <c r="B23" t="s">
        <v>1433</v>
      </c>
      <c r="C23" t="s">
        <v>68</v>
      </c>
      <c r="D23">
        <v>69094</v>
      </c>
      <c r="E23">
        <v>5786</v>
      </c>
    </row>
    <row r="24" spans="1:5" outlineLevel="1" x14ac:dyDescent="0.25">
      <c r="C24" s="695" t="s">
        <v>68</v>
      </c>
      <c r="D24">
        <f>SUBTOTAL(9,D22:D23)</f>
        <v>138188</v>
      </c>
      <c r="E24">
        <f>SUBTOTAL(9,E22:E23)</f>
        <v>11077</v>
      </c>
    </row>
    <row r="25" spans="1:5" outlineLevel="2" x14ac:dyDescent="0.25">
      <c r="A25">
        <v>4210470</v>
      </c>
      <c r="B25" t="s">
        <v>1415</v>
      </c>
      <c r="C25" t="s">
        <v>52</v>
      </c>
      <c r="D25">
        <v>108728</v>
      </c>
      <c r="E25">
        <v>15872</v>
      </c>
    </row>
    <row r="26" spans="1:5" outlineLevel="2" x14ac:dyDescent="0.25">
      <c r="A26">
        <v>19</v>
      </c>
      <c r="B26" t="s">
        <v>1415</v>
      </c>
      <c r="C26" t="s">
        <v>52</v>
      </c>
      <c r="D26">
        <v>108728</v>
      </c>
      <c r="E26">
        <v>17287</v>
      </c>
    </row>
    <row r="27" spans="1:5" outlineLevel="1" x14ac:dyDescent="0.25">
      <c r="C27" s="695" t="s">
        <v>52</v>
      </c>
      <c r="D27">
        <f>SUBTOTAL(9,D25:D26)</f>
        <v>217456</v>
      </c>
      <c r="E27">
        <f>SUBTOTAL(9,E25:E26)</f>
        <v>33159</v>
      </c>
    </row>
    <row r="28" spans="1:5" outlineLevel="2" x14ac:dyDescent="0.25">
      <c r="A28">
        <v>4770336</v>
      </c>
      <c r="B28" t="s">
        <v>1386</v>
      </c>
      <c r="C28" t="s">
        <v>933</v>
      </c>
      <c r="D28">
        <v>62577</v>
      </c>
      <c r="E28">
        <v>3005</v>
      </c>
    </row>
    <row r="29" spans="1:5" outlineLevel="2" x14ac:dyDescent="0.25">
      <c r="A29">
        <v>189</v>
      </c>
      <c r="B29" t="s">
        <v>1386</v>
      </c>
      <c r="C29" t="s">
        <v>933</v>
      </c>
      <c r="D29">
        <v>62577</v>
      </c>
      <c r="E29">
        <v>3235</v>
      </c>
    </row>
    <row r="30" spans="1:5" outlineLevel="1" x14ac:dyDescent="0.25">
      <c r="C30" s="695" t="s">
        <v>933</v>
      </c>
      <c r="D30">
        <f>SUBTOTAL(9,D28:D29)</f>
        <v>125154</v>
      </c>
      <c r="E30">
        <f>SUBTOTAL(9,E28:E29)</f>
        <v>6240</v>
      </c>
    </row>
    <row r="31" spans="1:5" outlineLevel="2" x14ac:dyDescent="0.25">
      <c r="A31">
        <v>1770146</v>
      </c>
      <c r="B31" t="s">
        <v>1451</v>
      </c>
      <c r="C31" t="s">
        <v>1189</v>
      </c>
      <c r="D31">
        <v>135262</v>
      </c>
      <c r="E31">
        <v>14710</v>
      </c>
    </row>
    <row r="32" spans="1:5" outlineLevel="2" x14ac:dyDescent="0.25">
      <c r="A32">
        <v>251</v>
      </c>
      <c r="B32" t="s">
        <v>1451</v>
      </c>
      <c r="C32" t="s">
        <v>1189</v>
      </c>
      <c r="D32">
        <v>135262</v>
      </c>
      <c r="E32">
        <v>16605</v>
      </c>
    </row>
    <row r="33" spans="1:5" outlineLevel="1" x14ac:dyDescent="0.25">
      <c r="C33" s="695" t="s">
        <v>1189</v>
      </c>
      <c r="D33">
        <f>SUBTOTAL(9,D31:D32)</f>
        <v>270524</v>
      </c>
      <c r="E33">
        <f>SUBTOTAL(9,E31:E32)</f>
        <v>31315</v>
      </c>
    </row>
    <row r="34" spans="1:5" outlineLevel="2" x14ac:dyDescent="0.25">
      <c r="A34">
        <v>4460346</v>
      </c>
      <c r="B34" t="s">
        <v>1448</v>
      </c>
      <c r="C34" t="s">
        <v>781</v>
      </c>
      <c r="D34">
        <v>107147</v>
      </c>
      <c r="E34">
        <v>19750</v>
      </c>
    </row>
    <row r="35" spans="1:5" outlineLevel="2" x14ac:dyDescent="0.25">
      <c r="A35">
        <v>80</v>
      </c>
      <c r="B35" t="s">
        <v>1448</v>
      </c>
      <c r="C35" t="s">
        <v>781</v>
      </c>
      <c r="D35">
        <v>107147</v>
      </c>
      <c r="E35">
        <v>19750</v>
      </c>
    </row>
    <row r="36" spans="1:5" outlineLevel="1" x14ac:dyDescent="0.25">
      <c r="C36" s="695" t="s">
        <v>781</v>
      </c>
      <c r="D36">
        <f>SUBTOTAL(9,D34:D35)</f>
        <v>214294</v>
      </c>
      <c r="E36">
        <f>SUBTOTAL(9,E34:E35)</f>
        <v>39500</v>
      </c>
    </row>
    <row r="37" spans="1:5" outlineLevel="2" x14ac:dyDescent="0.25">
      <c r="A37">
        <v>1750137</v>
      </c>
      <c r="B37" t="s">
        <v>1382</v>
      </c>
      <c r="C37" t="s">
        <v>32</v>
      </c>
      <c r="D37">
        <v>115112</v>
      </c>
      <c r="E37">
        <v>16625</v>
      </c>
    </row>
    <row r="38" spans="1:5" outlineLevel="2" x14ac:dyDescent="0.25">
      <c r="A38">
        <v>5</v>
      </c>
      <c r="B38" t="s">
        <v>1382</v>
      </c>
      <c r="C38" t="s">
        <v>32</v>
      </c>
      <c r="D38">
        <v>115112</v>
      </c>
      <c r="E38">
        <v>18290</v>
      </c>
    </row>
    <row r="39" spans="1:5" outlineLevel="1" x14ac:dyDescent="0.25">
      <c r="C39" s="695" t="s">
        <v>32</v>
      </c>
      <c r="D39">
        <f>SUBTOTAL(9,D37:D38)</f>
        <v>230224</v>
      </c>
      <c r="E39">
        <f>SUBTOTAL(9,E37:E38)</f>
        <v>34915</v>
      </c>
    </row>
    <row r="40" spans="1:5" outlineLevel="2" x14ac:dyDescent="0.25">
      <c r="A40">
        <v>1170470</v>
      </c>
      <c r="B40" t="s">
        <v>1450</v>
      </c>
      <c r="C40" t="s">
        <v>582</v>
      </c>
      <c r="D40">
        <v>99817</v>
      </c>
      <c r="E40">
        <v>9420</v>
      </c>
    </row>
    <row r="41" spans="1:5" outlineLevel="2" x14ac:dyDescent="0.25">
      <c r="A41">
        <v>122</v>
      </c>
      <c r="B41" t="s">
        <v>1450</v>
      </c>
      <c r="C41" t="s">
        <v>582</v>
      </c>
      <c r="D41">
        <v>99817</v>
      </c>
      <c r="E41">
        <v>10650</v>
      </c>
    </row>
    <row r="42" spans="1:5" outlineLevel="1" x14ac:dyDescent="0.25">
      <c r="C42" s="695" t="s">
        <v>582</v>
      </c>
      <c r="D42">
        <f>SUBTOTAL(9,D40:D41)</f>
        <v>199634</v>
      </c>
      <c r="E42">
        <f>SUBTOTAL(9,E40:E41)</f>
        <v>20070</v>
      </c>
    </row>
    <row r="43" spans="1:5" outlineLevel="2" x14ac:dyDescent="0.25">
      <c r="A43">
        <v>1740146</v>
      </c>
      <c r="B43" t="s">
        <v>1391</v>
      </c>
      <c r="C43" t="s">
        <v>931</v>
      </c>
      <c r="D43">
        <v>143109</v>
      </c>
      <c r="E43">
        <v>21650</v>
      </c>
    </row>
    <row r="44" spans="1:5" outlineLevel="2" x14ac:dyDescent="0.25">
      <c r="A44">
        <v>176</v>
      </c>
      <c r="B44" t="s">
        <v>1391</v>
      </c>
      <c r="C44" t="s">
        <v>931</v>
      </c>
      <c r="D44">
        <v>143109</v>
      </c>
      <c r="E44">
        <v>24032</v>
      </c>
    </row>
    <row r="45" spans="1:5" outlineLevel="1" x14ac:dyDescent="0.25">
      <c r="C45" s="695" t="s">
        <v>931</v>
      </c>
      <c r="D45">
        <f>SUBTOTAL(9,D43:D44)</f>
        <v>286218</v>
      </c>
      <c r="E45">
        <f>SUBTOTAL(9,E43:E44)</f>
        <v>45682</v>
      </c>
    </row>
    <row r="46" spans="1:5" outlineLevel="2" x14ac:dyDescent="0.25">
      <c r="A46">
        <v>1400462</v>
      </c>
      <c r="B46" t="s">
        <v>1371</v>
      </c>
      <c r="C46" t="s">
        <v>921</v>
      </c>
      <c r="D46">
        <v>97024</v>
      </c>
      <c r="E46">
        <v>12700</v>
      </c>
    </row>
    <row r="47" spans="1:5" outlineLevel="2" x14ac:dyDescent="0.25">
      <c r="A47">
        <v>202</v>
      </c>
      <c r="B47" t="s">
        <v>1371</v>
      </c>
      <c r="C47" t="s">
        <v>921</v>
      </c>
      <c r="D47">
        <v>97024</v>
      </c>
      <c r="E47">
        <v>13875</v>
      </c>
    </row>
    <row r="48" spans="1:5" outlineLevel="1" x14ac:dyDescent="0.25">
      <c r="C48" s="695" t="s">
        <v>921</v>
      </c>
      <c r="D48">
        <f>SUBTOTAL(9,D46:D47)</f>
        <v>194048</v>
      </c>
      <c r="E48">
        <f>SUBTOTAL(9,E46:E47)</f>
        <v>26575</v>
      </c>
    </row>
    <row r="49" spans="1:5" outlineLevel="2" x14ac:dyDescent="0.25">
      <c r="A49">
        <v>1290156</v>
      </c>
      <c r="B49" t="s">
        <v>1414</v>
      </c>
      <c r="C49" t="s">
        <v>36</v>
      </c>
      <c r="D49">
        <v>94364</v>
      </c>
      <c r="E49">
        <v>10012</v>
      </c>
    </row>
    <row r="50" spans="1:5" outlineLevel="1" x14ac:dyDescent="0.25">
      <c r="C50" s="695" t="s">
        <v>36</v>
      </c>
      <c r="D50">
        <f>SUBTOTAL(9,D49:D49)</f>
        <v>94364</v>
      </c>
      <c r="E50">
        <f>SUBTOTAL(9,E49:E49)</f>
        <v>10012</v>
      </c>
    </row>
    <row r="51" spans="1:5" outlineLevel="2" x14ac:dyDescent="0.25">
      <c r="A51">
        <v>4860336</v>
      </c>
      <c r="B51" t="s">
        <v>1412</v>
      </c>
      <c r="C51" t="s">
        <v>599</v>
      </c>
      <c r="D51">
        <v>64306</v>
      </c>
      <c r="E51">
        <v>5633</v>
      </c>
    </row>
    <row r="52" spans="1:5" outlineLevel="2" x14ac:dyDescent="0.25">
      <c r="A52">
        <v>121</v>
      </c>
      <c r="B52" t="s">
        <v>1412</v>
      </c>
      <c r="C52" t="s">
        <v>599</v>
      </c>
      <c r="D52">
        <v>64306</v>
      </c>
      <c r="E52">
        <v>5882</v>
      </c>
    </row>
    <row r="53" spans="1:5" outlineLevel="1" x14ac:dyDescent="0.25">
      <c r="C53" s="695" t="s">
        <v>599</v>
      </c>
      <c r="D53">
        <f>SUBTOTAL(9,D51:D52)</f>
        <v>128612</v>
      </c>
      <c r="E53">
        <f>SUBTOTAL(9,E51:E52)</f>
        <v>11515</v>
      </c>
    </row>
    <row r="54" spans="1:5" outlineLevel="2" x14ac:dyDescent="0.25">
      <c r="A54">
        <v>4780336</v>
      </c>
      <c r="B54" t="s">
        <v>1411</v>
      </c>
      <c r="C54" t="s">
        <v>608</v>
      </c>
      <c r="D54">
        <v>62577</v>
      </c>
      <c r="E54">
        <v>3885</v>
      </c>
    </row>
    <row r="55" spans="1:5" outlineLevel="2" x14ac:dyDescent="0.25">
      <c r="A55">
        <v>119</v>
      </c>
      <c r="B55" t="s">
        <v>1411</v>
      </c>
      <c r="C55" t="s">
        <v>608</v>
      </c>
      <c r="D55">
        <v>62577</v>
      </c>
      <c r="E55">
        <v>4115</v>
      </c>
    </row>
    <row r="56" spans="1:5" outlineLevel="1" x14ac:dyDescent="0.25">
      <c r="C56" s="695" t="s">
        <v>608</v>
      </c>
      <c r="D56">
        <f>SUBTOTAL(9,D54:D55)</f>
        <v>125154</v>
      </c>
      <c r="E56">
        <f>SUBTOTAL(9,E54:E55)</f>
        <v>8000</v>
      </c>
    </row>
    <row r="57" spans="1:5" outlineLevel="2" x14ac:dyDescent="0.25">
      <c r="A57">
        <v>4840336</v>
      </c>
      <c r="B57" t="s">
        <v>1441</v>
      </c>
      <c r="C57" t="s">
        <v>764</v>
      </c>
      <c r="D57">
        <v>60848</v>
      </c>
      <c r="E57">
        <v>3115</v>
      </c>
    </row>
    <row r="58" spans="1:5" outlineLevel="2" x14ac:dyDescent="0.25">
      <c r="A58">
        <v>44</v>
      </c>
      <c r="B58" t="s">
        <v>1441</v>
      </c>
      <c r="C58" t="s">
        <v>764</v>
      </c>
      <c r="D58">
        <v>60848</v>
      </c>
      <c r="E58">
        <v>3350</v>
      </c>
    </row>
    <row r="59" spans="1:5" outlineLevel="1" x14ac:dyDescent="0.25">
      <c r="C59" s="695" t="s">
        <v>764</v>
      </c>
      <c r="D59">
        <f>SUBTOTAL(9,D57:D58)</f>
        <v>121696</v>
      </c>
      <c r="E59">
        <f>SUBTOTAL(9,E57:E58)</f>
        <v>6465</v>
      </c>
    </row>
    <row r="60" spans="1:5" outlineLevel="2" x14ac:dyDescent="0.25">
      <c r="A60">
        <v>1730148</v>
      </c>
      <c r="B60" t="s">
        <v>1369</v>
      </c>
      <c r="C60" t="s">
        <v>935</v>
      </c>
      <c r="D60">
        <v>124489</v>
      </c>
      <c r="E60">
        <v>7335</v>
      </c>
    </row>
    <row r="61" spans="1:5" outlineLevel="2" x14ac:dyDescent="0.25">
      <c r="A61">
        <v>199</v>
      </c>
      <c r="B61" t="s">
        <v>1369</v>
      </c>
      <c r="C61" t="s">
        <v>935</v>
      </c>
      <c r="D61">
        <v>124489</v>
      </c>
      <c r="E61">
        <v>8435</v>
      </c>
    </row>
    <row r="62" spans="1:5" outlineLevel="1" x14ac:dyDescent="0.25">
      <c r="C62" s="695" t="s">
        <v>935</v>
      </c>
      <c r="D62">
        <f>SUBTOTAL(9,D60:D61)</f>
        <v>248978</v>
      </c>
      <c r="E62">
        <f>SUBTOTAL(9,E60:E61)</f>
        <v>15770</v>
      </c>
    </row>
    <row r="63" spans="1:5" outlineLevel="2" x14ac:dyDescent="0.25">
      <c r="A63">
        <v>1270325</v>
      </c>
      <c r="B63" t="s">
        <v>1378</v>
      </c>
      <c r="C63" t="s">
        <v>1346</v>
      </c>
      <c r="D63">
        <v>125023</v>
      </c>
      <c r="E63">
        <v>11400</v>
      </c>
    </row>
    <row r="64" spans="1:5" outlineLevel="2" x14ac:dyDescent="0.25">
      <c r="A64">
        <v>267</v>
      </c>
      <c r="B64" t="s">
        <v>1378</v>
      </c>
      <c r="C64" t="s">
        <v>1346</v>
      </c>
      <c r="D64">
        <v>125023</v>
      </c>
      <c r="E64">
        <v>13250</v>
      </c>
    </row>
    <row r="65" spans="1:5" outlineLevel="1" x14ac:dyDescent="0.25">
      <c r="C65" s="695" t="s">
        <v>1346</v>
      </c>
      <c r="D65">
        <f>SUBTOTAL(9,D63:D64)</f>
        <v>250046</v>
      </c>
      <c r="E65">
        <f>SUBTOTAL(9,E63:E64)</f>
        <v>24650</v>
      </c>
    </row>
    <row r="66" spans="1:5" outlineLevel="2" x14ac:dyDescent="0.25">
      <c r="A66">
        <v>4020689</v>
      </c>
      <c r="B66" t="s">
        <v>1445</v>
      </c>
      <c r="C66" t="s">
        <v>744</v>
      </c>
      <c r="D66">
        <v>124090</v>
      </c>
      <c r="E66">
        <v>22745</v>
      </c>
    </row>
    <row r="67" spans="1:5" outlineLevel="2" x14ac:dyDescent="0.25">
      <c r="A67">
        <v>269</v>
      </c>
      <c r="B67" t="s">
        <v>1445</v>
      </c>
      <c r="C67" t="s">
        <v>744</v>
      </c>
      <c r="D67">
        <v>124090</v>
      </c>
      <c r="E67">
        <v>31435</v>
      </c>
    </row>
    <row r="68" spans="1:5" outlineLevel="1" x14ac:dyDescent="0.25">
      <c r="C68" s="695" t="s">
        <v>744</v>
      </c>
      <c r="D68">
        <f>SUBTOTAL(9,D66:D67)</f>
        <v>248180</v>
      </c>
      <c r="E68">
        <f>SUBTOTAL(9,E66:E67)</f>
        <v>54180</v>
      </c>
    </row>
    <row r="69" spans="1:5" outlineLevel="2" x14ac:dyDescent="0.25">
      <c r="A69">
        <v>1420328</v>
      </c>
      <c r="B69" t="s">
        <v>1521</v>
      </c>
      <c r="C69" t="s">
        <v>1522</v>
      </c>
      <c r="D69">
        <v>155079</v>
      </c>
      <c r="E69">
        <v>20000</v>
      </c>
    </row>
    <row r="70" spans="1:5" outlineLevel="2" x14ac:dyDescent="0.25">
      <c r="A70">
        <v>277</v>
      </c>
      <c r="B70" t="s">
        <v>1521</v>
      </c>
      <c r="C70" t="s">
        <v>1522</v>
      </c>
      <c r="D70">
        <v>128511</v>
      </c>
      <c r="E70">
        <v>20000</v>
      </c>
    </row>
    <row r="71" spans="1:5" outlineLevel="1" x14ac:dyDescent="0.25">
      <c r="C71" s="695" t="s">
        <v>1522</v>
      </c>
      <c r="D71">
        <f>SUBTOTAL(9,D69:D70)</f>
        <v>283590</v>
      </c>
      <c r="E71">
        <f>SUBTOTAL(9,E69:E70)</f>
        <v>40000</v>
      </c>
    </row>
    <row r="72" spans="1:5" outlineLevel="2" x14ac:dyDescent="0.25">
      <c r="A72">
        <v>1770137</v>
      </c>
      <c r="B72" t="s">
        <v>1384</v>
      </c>
      <c r="C72" t="s">
        <v>34</v>
      </c>
      <c r="D72">
        <v>102743</v>
      </c>
      <c r="E72">
        <v>11130</v>
      </c>
    </row>
    <row r="73" spans="1:5" outlineLevel="2" x14ac:dyDescent="0.25">
      <c r="A73">
        <v>9</v>
      </c>
      <c r="B73" t="s">
        <v>1384</v>
      </c>
      <c r="C73" t="s">
        <v>34</v>
      </c>
      <c r="D73">
        <v>102743</v>
      </c>
      <c r="E73">
        <v>12275</v>
      </c>
    </row>
    <row r="74" spans="1:5" outlineLevel="1" x14ac:dyDescent="0.25">
      <c r="C74" s="695" t="s">
        <v>34</v>
      </c>
      <c r="D74">
        <f>SUBTOTAL(9,D72:D73)</f>
        <v>205486</v>
      </c>
      <c r="E74">
        <f>SUBTOTAL(9,E72:E73)</f>
        <v>23405</v>
      </c>
    </row>
    <row r="75" spans="1:5" outlineLevel="2" x14ac:dyDescent="0.25">
      <c r="A75">
        <v>1370326</v>
      </c>
      <c r="B75" t="s">
        <v>1416</v>
      </c>
      <c r="C75" t="s">
        <v>8</v>
      </c>
      <c r="D75">
        <v>125023</v>
      </c>
      <c r="E75">
        <v>20528</v>
      </c>
    </row>
    <row r="76" spans="1:5" outlineLevel="2" x14ac:dyDescent="0.25">
      <c r="A76">
        <v>2</v>
      </c>
      <c r="B76" t="s">
        <v>1416</v>
      </c>
      <c r="C76" t="s">
        <v>8</v>
      </c>
      <c r="D76">
        <v>125023</v>
      </c>
      <c r="E76">
        <v>20528</v>
      </c>
    </row>
    <row r="77" spans="1:5" outlineLevel="1" x14ac:dyDescent="0.25">
      <c r="C77" s="695" t="s">
        <v>8</v>
      </c>
      <c r="D77">
        <f>SUBTOTAL(9,D75:D76)</f>
        <v>250046</v>
      </c>
      <c r="E77">
        <f>SUBTOTAL(9,E75:E76)</f>
        <v>41056</v>
      </c>
    </row>
    <row r="78" spans="1:5" outlineLevel="2" x14ac:dyDescent="0.25">
      <c r="A78">
        <v>4260355</v>
      </c>
      <c r="B78" t="s">
        <v>1421</v>
      </c>
      <c r="C78" t="s">
        <v>46</v>
      </c>
      <c r="D78">
        <v>94364</v>
      </c>
      <c r="E78">
        <v>9755</v>
      </c>
    </row>
    <row r="79" spans="1:5" outlineLevel="2" x14ac:dyDescent="0.25">
      <c r="A79">
        <v>29</v>
      </c>
      <c r="B79" t="s">
        <v>1421</v>
      </c>
      <c r="C79" t="s">
        <v>46</v>
      </c>
      <c r="D79">
        <v>94364</v>
      </c>
      <c r="E79">
        <v>10475</v>
      </c>
    </row>
    <row r="80" spans="1:5" outlineLevel="1" x14ac:dyDescent="0.25">
      <c r="C80" s="695" t="s">
        <v>46</v>
      </c>
      <c r="D80">
        <f>SUBTOTAL(9,D78:D79)</f>
        <v>188728</v>
      </c>
      <c r="E80">
        <f>SUBTOTAL(9,E78:E79)</f>
        <v>20230</v>
      </c>
    </row>
    <row r="81" spans="1:5" outlineLevel="2" x14ac:dyDescent="0.25">
      <c r="A81">
        <v>4330471</v>
      </c>
      <c r="B81" t="s">
        <v>1526</v>
      </c>
      <c r="C81" t="s">
        <v>1196</v>
      </c>
      <c r="D81">
        <v>39894</v>
      </c>
      <c r="E81">
        <v>380</v>
      </c>
    </row>
    <row r="82" spans="1:5" outlineLevel="2" x14ac:dyDescent="0.25">
      <c r="A82">
        <v>257</v>
      </c>
      <c r="B82" t="s">
        <v>1526</v>
      </c>
      <c r="C82" t="s">
        <v>1196</v>
      </c>
      <c r="D82">
        <v>39894</v>
      </c>
      <c r="E82">
        <v>5215</v>
      </c>
    </row>
    <row r="83" spans="1:5" outlineLevel="1" x14ac:dyDescent="0.25">
      <c r="C83" s="695" t="s">
        <v>1196</v>
      </c>
      <c r="D83">
        <f>SUBTOTAL(9,D81:D82)</f>
        <v>79788</v>
      </c>
      <c r="E83">
        <f>SUBTOTAL(9,E81:E82)</f>
        <v>5595</v>
      </c>
    </row>
    <row r="84" spans="1:5" outlineLevel="2" x14ac:dyDescent="0.25">
      <c r="A84">
        <v>195</v>
      </c>
      <c r="B84" t="s">
        <v>1528</v>
      </c>
      <c r="C84" t="s">
        <v>957</v>
      </c>
      <c r="D84">
        <v>42074</v>
      </c>
      <c r="E84">
        <v>710</v>
      </c>
    </row>
    <row r="85" spans="1:5" outlineLevel="1" x14ac:dyDescent="0.25">
      <c r="C85" s="695" t="s">
        <v>957</v>
      </c>
      <c r="D85">
        <f>SUBTOTAL(9,D84:D84)</f>
        <v>42074</v>
      </c>
      <c r="E85">
        <f>SUBTOTAL(9,E84:E84)</f>
        <v>710</v>
      </c>
    </row>
    <row r="86" spans="1:5" outlineLevel="2" x14ac:dyDescent="0.25">
      <c r="A86">
        <v>4280355</v>
      </c>
      <c r="B86" t="s">
        <v>1436</v>
      </c>
      <c r="C86" t="s">
        <v>767</v>
      </c>
      <c r="D86">
        <v>69760</v>
      </c>
      <c r="E86">
        <v>4882</v>
      </c>
    </row>
    <row r="87" spans="1:5" outlineLevel="2" x14ac:dyDescent="0.25">
      <c r="A87">
        <v>30</v>
      </c>
      <c r="B87" t="s">
        <v>1436</v>
      </c>
      <c r="C87" t="s">
        <v>767</v>
      </c>
      <c r="D87">
        <v>69760</v>
      </c>
      <c r="E87">
        <v>5315</v>
      </c>
    </row>
    <row r="88" spans="1:5" outlineLevel="1" x14ac:dyDescent="0.25">
      <c r="C88" s="695" t="s">
        <v>767</v>
      </c>
      <c r="D88">
        <f>SUBTOTAL(9,D86:D87)</f>
        <v>139520</v>
      </c>
      <c r="E88">
        <f>SUBTOTAL(9,E86:E87)</f>
        <v>10197</v>
      </c>
    </row>
    <row r="89" spans="1:5" outlineLevel="2" x14ac:dyDescent="0.25">
      <c r="A89">
        <v>1140328</v>
      </c>
      <c r="B89" t="s">
        <v>1377</v>
      </c>
      <c r="C89" t="s">
        <v>924</v>
      </c>
      <c r="D89">
        <v>139119</v>
      </c>
      <c r="E89">
        <v>23660</v>
      </c>
    </row>
    <row r="90" spans="1:5" outlineLevel="2" x14ac:dyDescent="0.25">
      <c r="A90">
        <v>264</v>
      </c>
      <c r="B90" t="s">
        <v>1377</v>
      </c>
      <c r="C90" t="s">
        <v>924</v>
      </c>
      <c r="D90">
        <v>139119</v>
      </c>
      <c r="E90">
        <v>26060</v>
      </c>
    </row>
    <row r="91" spans="1:5" outlineLevel="1" x14ac:dyDescent="0.25">
      <c r="C91" s="695" t="s">
        <v>924</v>
      </c>
      <c r="D91">
        <f>SUBTOTAL(9,D89:D90)</f>
        <v>278238</v>
      </c>
      <c r="E91">
        <f>SUBTOTAL(9,E89:E90)</f>
        <v>49720</v>
      </c>
    </row>
    <row r="92" spans="1:5" outlineLevel="2" x14ac:dyDescent="0.25">
      <c r="A92">
        <v>1780137</v>
      </c>
      <c r="B92" t="s">
        <v>1413</v>
      </c>
      <c r="C92" t="s">
        <v>394</v>
      </c>
      <c r="D92">
        <v>99817</v>
      </c>
      <c r="E92">
        <v>11165</v>
      </c>
    </row>
    <row r="93" spans="1:5" outlineLevel="2" x14ac:dyDescent="0.25">
      <c r="A93">
        <v>107</v>
      </c>
      <c r="B93" t="s">
        <v>1413</v>
      </c>
      <c r="C93" t="s">
        <v>394</v>
      </c>
      <c r="D93">
        <v>99817</v>
      </c>
      <c r="E93">
        <v>12273</v>
      </c>
    </row>
    <row r="94" spans="1:5" outlineLevel="1" x14ac:dyDescent="0.25">
      <c r="C94" s="695" t="s">
        <v>394</v>
      </c>
      <c r="D94">
        <f>SUBTOTAL(9,D92:D93)</f>
        <v>199634</v>
      </c>
      <c r="E94">
        <f>SUBTOTAL(9,E92:E93)</f>
        <v>23438</v>
      </c>
    </row>
    <row r="95" spans="1:5" outlineLevel="2" x14ac:dyDescent="0.25">
      <c r="A95">
        <v>1210344</v>
      </c>
      <c r="B95" t="s">
        <v>1427</v>
      </c>
      <c r="C95" t="s">
        <v>12</v>
      </c>
      <c r="D95">
        <v>112270</v>
      </c>
      <c r="E95">
        <v>19630</v>
      </c>
    </row>
    <row r="96" spans="1:5" outlineLevel="1" x14ac:dyDescent="0.25">
      <c r="C96" s="695" t="s">
        <v>12</v>
      </c>
      <c r="D96">
        <f>SUBTOTAL(9,D95:D95)</f>
        <v>112270</v>
      </c>
      <c r="E96">
        <f>SUBTOTAL(9,E95:E95)</f>
        <v>19630</v>
      </c>
    </row>
    <row r="97" spans="1:5" outlineLevel="2" x14ac:dyDescent="0.25">
      <c r="A97">
        <v>4820336</v>
      </c>
      <c r="B97" t="s">
        <v>1440</v>
      </c>
      <c r="C97" t="s">
        <v>758</v>
      </c>
      <c r="D97">
        <v>62577</v>
      </c>
      <c r="E97">
        <v>1600</v>
      </c>
    </row>
    <row r="98" spans="1:5" outlineLevel="2" x14ac:dyDescent="0.25">
      <c r="A98">
        <v>42</v>
      </c>
      <c r="B98" t="s">
        <v>1440</v>
      </c>
      <c r="C98" t="s">
        <v>758</v>
      </c>
      <c r="D98">
        <v>62577</v>
      </c>
      <c r="E98">
        <v>1710</v>
      </c>
    </row>
    <row r="99" spans="1:5" outlineLevel="1" x14ac:dyDescent="0.25">
      <c r="C99" s="695" t="s">
        <v>758</v>
      </c>
      <c r="D99">
        <f>SUBTOTAL(9,D97:D98)</f>
        <v>125154</v>
      </c>
      <c r="E99">
        <f>SUBTOTAL(9,E97:E98)</f>
        <v>3310</v>
      </c>
    </row>
    <row r="100" spans="1:5" outlineLevel="2" x14ac:dyDescent="0.25">
      <c r="A100">
        <v>1740137</v>
      </c>
      <c r="B100" t="s">
        <v>1423</v>
      </c>
      <c r="C100" t="s">
        <v>44</v>
      </c>
      <c r="D100">
        <v>127947</v>
      </c>
      <c r="E100">
        <v>8235</v>
      </c>
    </row>
    <row r="101" spans="1:5" outlineLevel="2" x14ac:dyDescent="0.25">
      <c r="A101">
        <v>6</v>
      </c>
      <c r="B101" t="s">
        <v>1423</v>
      </c>
      <c r="C101" t="s">
        <v>44</v>
      </c>
      <c r="D101">
        <v>127947</v>
      </c>
      <c r="E101">
        <v>10070</v>
      </c>
    </row>
    <row r="102" spans="1:5" outlineLevel="1" x14ac:dyDescent="0.25">
      <c r="C102" s="695" t="s">
        <v>44</v>
      </c>
      <c r="D102">
        <f>SUBTOTAL(9,D100:D101)</f>
        <v>255894</v>
      </c>
      <c r="E102">
        <f>SUBTOTAL(9,E100:E101)</f>
        <v>18305</v>
      </c>
    </row>
    <row r="103" spans="1:5" outlineLevel="2" x14ac:dyDescent="0.25">
      <c r="A103">
        <v>1760137</v>
      </c>
      <c r="B103" t="s">
        <v>1366</v>
      </c>
      <c r="C103" t="s">
        <v>38</v>
      </c>
      <c r="D103">
        <v>102743</v>
      </c>
      <c r="E103">
        <v>10985</v>
      </c>
    </row>
    <row r="104" spans="1:5" outlineLevel="2" x14ac:dyDescent="0.25">
      <c r="A104">
        <v>11</v>
      </c>
      <c r="B104" t="s">
        <v>1366</v>
      </c>
      <c r="C104" t="s">
        <v>38</v>
      </c>
      <c r="D104">
        <v>102743</v>
      </c>
      <c r="E104">
        <v>12190</v>
      </c>
    </row>
    <row r="105" spans="1:5" outlineLevel="1" x14ac:dyDescent="0.25">
      <c r="C105" s="695" t="s">
        <v>38</v>
      </c>
      <c r="D105">
        <f>SUBTOTAL(9,D103:D104)</f>
        <v>205486</v>
      </c>
      <c r="E105">
        <f>SUBTOTAL(9,E103:E104)</f>
        <v>23175</v>
      </c>
    </row>
    <row r="106" spans="1:5" outlineLevel="2" x14ac:dyDescent="0.25">
      <c r="A106">
        <v>1400326</v>
      </c>
      <c r="B106" t="s">
        <v>1368</v>
      </c>
      <c r="C106" t="s">
        <v>945</v>
      </c>
      <c r="D106">
        <v>146700</v>
      </c>
      <c r="E106">
        <v>21190</v>
      </c>
    </row>
    <row r="107" spans="1:5" outlineLevel="2" x14ac:dyDescent="0.25">
      <c r="A107">
        <v>198</v>
      </c>
      <c r="B107" t="s">
        <v>1368</v>
      </c>
      <c r="C107" t="s">
        <v>945</v>
      </c>
      <c r="D107">
        <v>146700</v>
      </c>
      <c r="E107">
        <v>23440</v>
      </c>
    </row>
    <row r="108" spans="1:5" outlineLevel="1" x14ac:dyDescent="0.25">
      <c r="C108" s="695" t="s">
        <v>945</v>
      </c>
      <c r="D108">
        <f>SUBTOTAL(9,D106:D107)</f>
        <v>293400</v>
      </c>
      <c r="E108">
        <f>SUBTOTAL(9,E106:E107)</f>
        <v>44630</v>
      </c>
    </row>
    <row r="109" spans="1:5" outlineLevel="2" x14ac:dyDescent="0.25">
      <c r="A109">
        <v>1460155</v>
      </c>
      <c r="B109" t="s">
        <v>1517</v>
      </c>
      <c r="C109" t="s">
        <v>1352</v>
      </c>
      <c r="D109">
        <v>99817</v>
      </c>
      <c r="E109">
        <v>10000</v>
      </c>
    </row>
    <row r="110" spans="1:5" outlineLevel="2" x14ac:dyDescent="0.25">
      <c r="A110">
        <v>109</v>
      </c>
      <c r="B110" t="s">
        <v>1517</v>
      </c>
      <c r="C110" t="s">
        <v>1352</v>
      </c>
      <c r="D110">
        <v>99817</v>
      </c>
      <c r="E110">
        <v>29975</v>
      </c>
    </row>
    <row r="111" spans="1:5" outlineLevel="1" x14ac:dyDescent="0.25">
      <c r="C111" s="695" t="s">
        <v>1352</v>
      </c>
      <c r="D111">
        <f>SUBTOTAL(9,D109:D110)</f>
        <v>199634</v>
      </c>
      <c r="E111">
        <f>SUBTOTAL(9,E109:E110)</f>
        <v>39975</v>
      </c>
    </row>
    <row r="112" spans="1:5" outlineLevel="2" x14ac:dyDescent="0.25">
      <c r="A112">
        <v>4300470</v>
      </c>
      <c r="B112" t="s">
        <v>1410</v>
      </c>
      <c r="C112" t="s">
        <v>603</v>
      </c>
      <c r="D112">
        <v>64306</v>
      </c>
      <c r="E112">
        <v>3335</v>
      </c>
    </row>
    <row r="113" spans="1:5" outlineLevel="2" x14ac:dyDescent="0.25">
      <c r="A113">
        <v>118</v>
      </c>
      <c r="B113" t="s">
        <v>1410</v>
      </c>
      <c r="C113" t="s">
        <v>603</v>
      </c>
      <c r="D113">
        <v>64306</v>
      </c>
      <c r="E113">
        <v>3615</v>
      </c>
    </row>
    <row r="114" spans="1:5" outlineLevel="1" x14ac:dyDescent="0.25">
      <c r="C114" s="695" t="s">
        <v>603</v>
      </c>
      <c r="D114">
        <f>SUBTOTAL(9,D112:D113)</f>
        <v>128612</v>
      </c>
      <c r="E114">
        <f>SUBTOTAL(9,E112:E113)</f>
        <v>6950</v>
      </c>
    </row>
    <row r="115" spans="1:5" outlineLevel="2" x14ac:dyDescent="0.25">
      <c r="A115">
        <v>4750336</v>
      </c>
      <c r="B115" t="s">
        <v>1444</v>
      </c>
      <c r="C115" t="s">
        <v>772</v>
      </c>
      <c r="D115">
        <v>75212</v>
      </c>
      <c r="E115">
        <v>5270</v>
      </c>
    </row>
    <row r="116" spans="1:5" outlineLevel="2" x14ac:dyDescent="0.25">
      <c r="A116">
        <v>36</v>
      </c>
      <c r="B116" t="s">
        <v>1444</v>
      </c>
      <c r="C116" t="s">
        <v>772</v>
      </c>
      <c r="D116">
        <v>75212</v>
      </c>
      <c r="E116">
        <v>5795</v>
      </c>
    </row>
    <row r="117" spans="1:5" outlineLevel="1" x14ac:dyDescent="0.25">
      <c r="C117" s="695" t="s">
        <v>772</v>
      </c>
      <c r="D117">
        <f>SUBTOTAL(9,D115:D116)</f>
        <v>150424</v>
      </c>
      <c r="E117">
        <f>SUBTOTAL(9,E115:E116)</f>
        <v>11065</v>
      </c>
    </row>
    <row r="118" spans="1:5" outlineLevel="2" x14ac:dyDescent="0.25">
      <c r="A118">
        <v>1590529</v>
      </c>
      <c r="B118" t="s">
        <v>1374</v>
      </c>
      <c r="C118" t="s">
        <v>949</v>
      </c>
      <c r="D118">
        <v>143109</v>
      </c>
      <c r="E118">
        <v>28285</v>
      </c>
    </row>
    <row r="119" spans="1:5" outlineLevel="2" x14ac:dyDescent="0.25">
      <c r="A119">
        <v>205</v>
      </c>
      <c r="B119" t="s">
        <v>1374</v>
      </c>
      <c r="C119" t="s">
        <v>949</v>
      </c>
      <c r="D119">
        <v>143109</v>
      </c>
      <c r="E119">
        <v>31010</v>
      </c>
    </row>
    <row r="120" spans="1:5" outlineLevel="1" x14ac:dyDescent="0.25">
      <c r="C120" s="695" t="s">
        <v>949</v>
      </c>
      <c r="D120">
        <f>SUBTOTAL(9,D118:D119)</f>
        <v>286218</v>
      </c>
      <c r="E120">
        <f>SUBTOTAL(9,E118:E119)</f>
        <v>59295</v>
      </c>
    </row>
    <row r="121" spans="1:5" outlineLevel="2" x14ac:dyDescent="0.25">
      <c r="A121">
        <v>4940336</v>
      </c>
      <c r="B121" t="s">
        <v>1499</v>
      </c>
      <c r="C121" t="s">
        <v>961</v>
      </c>
      <c r="D121">
        <v>51937</v>
      </c>
      <c r="E121">
        <v>2547</v>
      </c>
    </row>
    <row r="122" spans="1:5" outlineLevel="2" x14ac:dyDescent="0.25">
      <c r="A122">
        <v>190</v>
      </c>
      <c r="B122" t="s">
        <v>1499</v>
      </c>
      <c r="C122" t="s">
        <v>961</v>
      </c>
      <c r="D122">
        <v>51937</v>
      </c>
      <c r="E122">
        <v>2652</v>
      </c>
    </row>
    <row r="123" spans="1:5" outlineLevel="1" x14ac:dyDescent="0.25">
      <c r="C123" s="695" t="s">
        <v>961</v>
      </c>
      <c r="D123">
        <f>SUBTOTAL(9,D121:D122)</f>
        <v>103874</v>
      </c>
      <c r="E123">
        <f>SUBTOTAL(9,E121:E122)</f>
        <v>5199</v>
      </c>
    </row>
    <row r="124" spans="1:5" outlineLevel="2" x14ac:dyDescent="0.25">
      <c r="A124">
        <v>4790336</v>
      </c>
      <c r="B124" t="s">
        <v>1438</v>
      </c>
      <c r="C124" t="s">
        <v>752</v>
      </c>
      <c r="D124">
        <v>62577</v>
      </c>
      <c r="E124">
        <v>3860</v>
      </c>
    </row>
    <row r="125" spans="1:5" outlineLevel="2" x14ac:dyDescent="0.25">
      <c r="A125">
        <v>39</v>
      </c>
      <c r="B125" t="s">
        <v>1438</v>
      </c>
      <c r="C125" t="s">
        <v>752</v>
      </c>
      <c r="D125">
        <v>62577</v>
      </c>
      <c r="E125">
        <v>4130</v>
      </c>
    </row>
    <row r="126" spans="1:5" outlineLevel="1" x14ac:dyDescent="0.25">
      <c r="C126" s="695" t="s">
        <v>752</v>
      </c>
      <c r="D126">
        <f>SUBTOTAL(9,D124:D125)</f>
        <v>125154</v>
      </c>
      <c r="E126">
        <f>SUBTOTAL(9,E124:E125)</f>
        <v>7990</v>
      </c>
    </row>
    <row r="127" spans="1:5" outlineLevel="2" x14ac:dyDescent="0.25">
      <c r="A127">
        <v>1740155</v>
      </c>
      <c r="B127" t="s">
        <v>1393</v>
      </c>
      <c r="C127" t="s">
        <v>947</v>
      </c>
      <c r="D127">
        <v>97024</v>
      </c>
      <c r="E127">
        <v>12120</v>
      </c>
    </row>
    <row r="128" spans="1:5" outlineLevel="2" x14ac:dyDescent="0.25">
      <c r="A128">
        <v>179</v>
      </c>
      <c r="B128" t="s">
        <v>1393</v>
      </c>
      <c r="C128" t="s">
        <v>947</v>
      </c>
      <c r="D128">
        <v>97024</v>
      </c>
      <c r="E128">
        <v>13330</v>
      </c>
    </row>
    <row r="129" spans="1:5" outlineLevel="1" x14ac:dyDescent="0.25">
      <c r="C129" s="695" t="s">
        <v>947</v>
      </c>
      <c r="D129">
        <f>SUBTOTAL(9,D127:D128)</f>
        <v>194048</v>
      </c>
      <c r="E129">
        <f>SUBTOTAL(9,E127:E128)</f>
        <v>25450</v>
      </c>
    </row>
    <row r="130" spans="1:5" outlineLevel="2" x14ac:dyDescent="0.25">
      <c r="A130">
        <v>1170491</v>
      </c>
      <c r="B130" t="s">
        <v>1375</v>
      </c>
      <c r="C130" t="s">
        <v>969</v>
      </c>
      <c r="D130">
        <v>97024</v>
      </c>
      <c r="E130">
        <v>10835</v>
      </c>
    </row>
    <row r="131" spans="1:5" outlineLevel="2" x14ac:dyDescent="0.25">
      <c r="A131">
        <v>261</v>
      </c>
      <c r="B131" t="s">
        <v>1375</v>
      </c>
      <c r="C131" t="s">
        <v>969</v>
      </c>
      <c r="D131">
        <v>97024</v>
      </c>
      <c r="E131">
        <v>11995</v>
      </c>
    </row>
    <row r="132" spans="1:5" outlineLevel="1" x14ac:dyDescent="0.25">
      <c r="C132" s="695" t="s">
        <v>969</v>
      </c>
      <c r="D132">
        <f>SUBTOTAL(9,D130:D131)</f>
        <v>194048</v>
      </c>
      <c r="E132">
        <f>SUBTOTAL(9,E130:E131)</f>
        <v>22830</v>
      </c>
    </row>
    <row r="133" spans="1:5" outlineLevel="2" x14ac:dyDescent="0.25">
      <c r="A133">
        <v>4290470</v>
      </c>
      <c r="B133" t="s">
        <v>1388</v>
      </c>
      <c r="C133" t="s">
        <v>955</v>
      </c>
      <c r="D133">
        <v>64306</v>
      </c>
      <c r="E133">
        <v>1269</v>
      </c>
    </row>
    <row r="134" spans="1:5" outlineLevel="2" x14ac:dyDescent="0.25">
      <c r="A134">
        <v>192</v>
      </c>
      <c r="B134" t="s">
        <v>1388</v>
      </c>
      <c r="C134" t="s">
        <v>955</v>
      </c>
      <c r="D134">
        <v>64306</v>
      </c>
      <c r="E134">
        <v>1554</v>
      </c>
    </row>
    <row r="135" spans="1:5" outlineLevel="1" x14ac:dyDescent="0.25">
      <c r="C135" s="695" t="s">
        <v>955</v>
      </c>
      <c r="D135">
        <f>SUBTOTAL(9,D133:D134)</f>
        <v>128612</v>
      </c>
      <c r="E135">
        <f>SUBTOTAL(9,E133:E134)</f>
        <v>2823</v>
      </c>
    </row>
    <row r="136" spans="1:5" outlineLevel="2" x14ac:dyDescent="0.25">
      <c r="A136">
        <v>1800137</v>
      </c>
      <c r="B136" t="s">
        <v>1452</v>
      </c>
      <c r="C136" t="s">
        <v>1185</v>
      </c>
      <c r="D136">
        <v>94364</v>
      </c>
      <c r="E136">
        <v>16515</v>
      </c>
    </row>
    <row r="137" spans="1:5" outlineLevel="2" x14ac:dyDescent="0.25">
      <c r="A137">
        <v>253</v>
      </c>
      <c r="B137" t="s">
        <v>1452</v>
      </c>
      <c r="C137" t="s">
        <v>1185</v>
      </c>
      <c r="D137">
        <v>94364</v>
      </c>
      <c r="E137">
        <v>17760</v>
      </c>
    </row>
    <row r="138" spans="1:5" outlineLevel="1" x14ac:dyDescent="0.25">
      <c r="C138" s="695" t="s">
        <v>1185</v>
      </c>
      <c r="D138">
        <f>SUBTOTAL(9,D136:D137)</f>
        <v>188728</v>
      </c>
      <c r="E138">
        <f>SUBTOTAL(9,E136:E137)</f>
        <v>34275</v>
      </c>
    </row>
    <row r="139" spans="1:5" outlineLevel="2" x14ac:dyDescent="0.25">
      <c r="A139">
        <v>4270355</v>
      </c>
      <c r="B139" t="s">
        <v>1464</v>
      </c>
      <c r="C139" t="s">
        <v>937</v>
      </c>
      <c r="D139">
        <v>84256</v>
      </c>
      <c r="E139">
        <v>5450</v>
      </c>
    </row>
    <row r="140" spans="1:5" outlineLevel="2" x14ac:dyDescent="0.25">
      <c r="A140">
        <v>187</v>
      </c>
      <c r="B140" t="s">
        <v>1464</v>
      </c>
      <c r="C140" t="s">
        <v>937</v>
      </c>
      <c r="D140">
        <v>84256</v>
      </c>
      <c r="E140">
        <v>5810</v>
      </c>
    </row>
    <row r="141" spans="1:5" outlineLevel="1" x14ac:dyDescent="0.25">
      <c r="C141" s="695" t="s">
        <v>937</v>
      </c>
      <c r="D141">
        <f>SUBTOTAL(9,D139:D140)</f>
        <v>168512</v>
      </c>
      <c r="E141">
        <f>SUBTOTAL(9,E139:E140)</f>
        <v>11260</v>
      </c>
    </row>
    <row r="142" spans="1:5" outlineLevel="2" x14ac:dyDescent="0.25">
      <c r="A142">
        <v>4250470</v>
      </c>
      <c r="B142" t="s">
        <v>1430</v>
      </c>
      <c r="C142" t="s">
        <v>48</v>
      </c>
      <c r="D142">
        <v>79601</v>
      </c>
      <c r="E142">
        <v>6920</v>
      </c>
    </row>
    <row r="143" spans="1:5" outlineLevel="2" x14ac:dyDescent="0.25">
      <c r="A143">
        <v>32</v>
      </c>
      <c r="B143" t="s">
        <v>1430</v>
      </c>
      <c r="C143" t="s">
        <v>48</v>
      </c>
      <c r="D143">
        <v>79601</v>
      </c>
      <c r="E143">
        <v>7560</v>
      </c>
    </row>
    <row r="144" spans="1:5" outlineLevel="1" x14ac:dyDescent="0.25">
      <c r="C144" s="695" t="s">
        <v>48</v>
      </c>
      <c r="D144">
        <f>SUBTOTAL(9,D142:D143)</f>
        <v>159202</v>
      </c>
      <c r="E144">
        <f>SUBTOTAL(9,E142:E143)</f>
        <v>14480</v>
      </c>
    </row>
    <row r="145" spans="1:5" outlineLevel="2" x14ac:dyDescent="0.25">
      <c r="A145">
        <v>1440156</v>
      </c>
      <c r="B145" s="737" t="s">
        <v>1688</v>
      </c>
      <c r="C145" s="737" t="s">
        <v>1689</v>
      </c>
      <c r="D145" s="737">
        <v>97024</v>
      </c>
      <c r="E145" s="737">
        <v>11000</v>
      </c>
    </row>
    <row r="146" spans="1:5" outlineLevel="2" x14ac:dyDescent="0.25">
      <c r="A146">
        <v>279</v>
      </c>
      <c r="B146" s="737" t="s">
        <v>1688</v>
      </c>
      <c r="C146" s="737" t="s">
        <v>1689</v>
      </c>
      <c r="D146" s="737">
        <v>97024</v>
      </c>
      <c r="E146" s="737">
        <v>10706</v>
      </c>
    </row>
    <row r="147" spans="1:5" outlineLevel="1" x14ac:dyDescent="0.25">
      <c r="C147" s="695" t="s">
        <v>1689</v>
      </c>
      <c r="D147">
        <f>SUBTOTAL(9,D145:D146)</f>
        <v>194048</v>
      </c>
      <c r="E147">
        <f>SUBTOTAL(9,E145:E146)</f>
        <v>21706</v>
      </c>
    </row>
    <row r="148" spans="1:5" outlineLevel="2" x14ac:dyDescent="0.25">
      <c r="A148">
        <v>4800336</v>
      </c>
      <c r="B148" t="s">
        <v>1523</v>
      </c>
      <c r="C148" t="s">
        <v>28</v>
      </c>
      <c r="D148">
        <v>57656</v>
      </c>
      <c r="E148">
        <v>2878</v>
      </c>
    </row>
    <row r="149" spans="1:5" outlineLevel="2" x14ac:dyDescent="0.25">
      <c r="A149">
        <v>41</v>
      </c>
      <c r="B149" t="s">
        <v>1523</v>
      </c>
      <c r="C149" t="s">
        <v>28</v>
      </c>
      <c r="D149">
        <v>57656</v>
      </c>
      <c r="E149">
        <v>2878</v>
      </c>
    </row>
    <row r="150" spans="1:5" outlineLevel="1" x14ac:dyDescent="0.25">
      <c r="C150" s="695" t="s">
        <v>28</v>
      </c>
      <c r="D150">
        <f>SUBTOTAL(9,D148:D149)</f>
        <v>115312</v>
      </c>
      <c r="E150">
        <f>SUBTOTAL(9,E148:E149)</f>
        <v>5756</v>
      </c>
    </row>
    <row r="151" spans="1:5" outlineLevel="2" x14ac:dyDescent="0.25">
      <c r="A151">
        <v>4770470</v>
      </c>
      <c r="B151" t="s">
        <v>1389</v>
      </c>
      <c r="C151" t="s">
        <v>953</v>
      </c>
      <c r="D151">
        <v>69094</v>
      </c>
      <c r="E151">
        <v>5955</v>
      </c>
    </row>
    <row r="152" spans="1:5" outlineLevel="2" x14ac:dyDescent="0.25">
      <c r="A152">
        <v>194</v>
      </c>
      <c r="B152" t="s">
        <v>1389</v>
      </c>
      <c r="C152" t="s">
        <v>953</v>
      </c>
      <c r="D152">
        <v>69094</v>
      </c>
      <c r="E152">
        <v>6440</v>
      </c>
    </row>
    <row r="153" spans="1:5" outlineLevel="1" x14ac:dyDescent="0.25">
      <c r="C153" s="695" t="s">
        <v>953</v>
      </c>
      <c r="D153">
        <f>SUBTOTAL(9,D151:D152)</f>
        <v>138188</v>
      </c>
      <c r="E153">
        <f>SUBTOTAL(9,E151:E152)</f>
        <v>12395</v>
      </c>
    </row>
    <row r="154" spans="1:5" outlineLevel="2" x14ac:dyDescent="0.25">
      <c r="A154">
        <v>1200470</v>
      </c>
      <c r="B154" t="s">
        <v>1403</v>
      </c>
      <c r="C154" t="s">
        <v>601</v>
      </c>
      <c r="D154">
        <v>84256</v>
      </c>
      <c r="E154">
        <v>7250</v>
      </c>
    </row>
    <row r="155" spans="1:5" outlineLevel="2" x14ac:dyDescent="0.25">
      <c r="A155">
        <v>117</v>
      </c>
      <c r="B155" t="s">
        <v>1403</v>
      </c>
      <c r="C155" t="s">
        <v>601</v>
      </c>
      <c r="D155">
        <v>84256</v>
      </c>
      <c r="E155">
        <v>7885</v>
      </c>
    </row>
    <row r="156" spans="1:5" outlineLevel="1" x14ac:dyDescent="0.25">
      <c r="C156" s="695" t="s">
        <v>601</v>
      </c>
      <c r="D156">
        <f>SUBTOTAL(9,D154:D155)</f>
        <v>168512</v>
      </c>
      <c r="E156">
        <f>SUBTOTAL(9,E154:E155)</f>
        <v>15135</v>
      </c>
    </row>
    <row r="157" spans="1:5" outlineLevel="2" x14ac:dyDescent="0.25">
      <c r="A157">
        <v>1310156</v>
      </c>
      <c r="B157" t="s">
        <v>1390</v>
      </c>
      <c r="C157" t="s">
        <v>785</v>
      </c>
      <c r="D157">
        <v>97024</v>
      </c>
      <c r="E157">
        <v>5165</v>
      </c>
    </row>
    <row r="158" spans="1:5" outlineLevel="2" x14ac:dyDescent="0.25">
      <c r="A158">
        <v>13</v>
      </c>
      <c r="B158" t="s">
        <v>1390</v>
      </c>
      <c r="C158" t="s">
        <v>785</v>
      </c>
      <c r="D158">
        <v>97024</v>
      </c>
      <c r="E158">
        <v>5815</v>
      </c>
    </row>
    <row r="159" spans="1:5" outlineLevel="1" x14ac:dyDescent="0.25">
      <c r="C159" s="695" t="s">
        <v>785</v>
      </c>
      <c r="D159">
        <f>SUBTOTAL(9,D157:D158)</f>
        <v>194048</v>
      </c>
      <c r="E159">
        <f>SUBTOTAL(9,E157:E158)</f>
        <v>10980</v>
      </c>
    </row>
    <row r="160" spans="1:5" outlineLevel="2" x14ac:dyDescent="0.25">
      <c r="A160">
        <v>4260470</v>
      </c>
      <c r="B160" t="s">
        <v>1443</v>
      </c>
      <c r="C160" t="s">
        <v>777</v>
      </c>
      <c r="D160">
        <v>77340</v>
      </c>
      <c r="E160">
        <v>9275</v>
      </c>
    </row>
    <row r="161" spans="1:5" outlineLevel="2" x14ac:dyDescent="0.25">
      <c r="A161">
        <v>31</v>
      </c>
      <c r="B161" t="s">
        <v>1443</v>
      </c>
      <c r="C161" t="s">
        <v>777</v>
      </c>
      <c r="D161">
        <v>77340</v>
      </c>
      <c r="E161">
        <v>9870</v>
      </c>
    </row>
    <row r="162" spans="1:5" outlineLevel="1" x14ac:dyDescent="0.25">
      <c r="C162" s="695" t="s">
        <v>777</v>
      </c>
      <c r="D162">
        <f>SUBTOTAL(9,D160:D161)</f>
        <v>154680</v>
      </c>
      <c r="E162">
        <f>SUBTOTAL(9,E160:E161)</f>
        <v>19145</v>
      </c>
    </row>
    <row r="163" spans="1:5" outlineLevel="2" x14ac:dyDescent="0.25">
      <c r="A163">
        <v>4220470</v>
      </c>
      <c r="B163" t="s">
        <v>1429</v>
      </c>
      <c r="C163" t="s">
        <v>56</v>
      </c>
      <c r="D163">
        <v>79601</v>
      </c>
      <c r="E163">
        <v>5565</v>
      </c>
    </row>
    <row r="164" spans="1:5" outlineLevel="2" x14ac:dyDescent="0.25">
      <c r="A164">
        <v>20</v>
      </c>
      <c r="B164" t="s">
        <v>1429</v>
      </c>
      <c r="C164" t="s">
        <v>56</v>
      </c>
      <c r="D164">
        <v>79601</v>
      </c>
      <c r="E164">
        <v>5875</v>
      </c>
    </row>
    <row r="165" spans="1:5" outlineLevel="1" x14ac:dyDescent="0.25">
      <c r="C165" s="695" t="s">
        <v>56</v>
      </c>
      <c r="D165">
        <f>SUBTOTAL(9,D163:D164)</f>
        <v>159202</v>
      </c>
      <c r="E165">
        <f>SUBTOTAL(9,E163:E164)</f>
        <v>11440</v>
      </c>
    </row>
    <row r="166" spans="1:5" outlineLevel="2" x14ac:dyDescent="0.25">
      <c r="A166">
        <v>1180518</v>
      </c>
      <c r="B166" t="s">
        <v>1494</v>
      </c>
      <c r="C166" t="s">
        <v>10</v>
      </c>
      <c r="D166">
        <v>147232</v>
      </c>
      <c r="E166">
        <v>15200</v>
      </c>
    </row>
    <row r="167" spans="1:5" outlineLevel="2" x14ac:dyDescent="0.25">
      <c r="A167">
        <v>3</v>
      </c>
      <c r="B167" t="s">
        <v>1494</v>
      </c>
      <c r="C167" t="s">
        <v>10</v>
      </c>
      <c r="D167">
        <v>147232</v>
      </c>
      <c r="E167">
        <v>34585</v>
      </c>
    </row>
    <row r="168" spans="1:5" outlineLevel="1" x14ac:dyDescent="0.25">
      <c r="C168" s="695" t="s">
        <v>10</v>
      </c>
      <c r="D168">
        <f>SUBTOTAL(9,D166:D167)</f>
        <v>294464</v>
      </c>
      <c r="E168">
        <f>SUBTOTAL(9,E166:E167)</f>
        <v>49785</v>
      </c>
    </row>
    <row r="169" spans="1:5" outlineLevel="2" x14ac:dyDescent="0.25">
      <c r="A169">
        <v>1280156</v>
      </c>
      <c r="B169" t="s">
        <v>1407</v>
      </c>
      <c r="C169" t="s">
        <v>586</v>
      </c>
      <c r="D169">
        <v>94364</v>
      </c>
      <c r="E169">
        <v>10650</v>
      </c>
    </row>
    <row r="170" spans="1:5" outlineLevel="2" x14ac:dyDescent="0.25">
      <c r="A170">
        <v>111</v>
      </c>
      <c r="B170" t="s">
        <v>1407</v>
      </c>
      <c r="C170" t="s">
        <v>586</v>
      </c>
      <c r="D170">
        <v>94364</v>
      </c>
      <c r="E170">
        <v>11720</v>
      </c>
    </row>
    <row r="171" spans="1:5" outlineLevel="1" x14ac:dyDescent="0.25">
      <c r="C171" s="695" t="s">
        <v>586</v>
      </c>
      <c r="D171">
        <f>SUBTOTAL(9,D169:D170)</f>
        <v>188728</v>
      </c>
      <c r="E171">
        <f>SUBTOTAL(9,E169:E170)</f>
        <v>22370</v>
      </c>
    </row>
    <row r="172" spans="1:5" outlineLevel="2" x14ac:dyDescent="0.25">
      <c r="A172">
        <v>1100345</v>
      </c>
      <c r="B172" t="s">
        <v>1395</v>
      </c>
      <c r="C172" t="s">
        <v>578</v>
      </c>
      <c r="D172">
        <v>125023</v>
      </c>
      <c r="E172">
        <v>16000</v>
      </c>
    </row>
    <row r="173" spans="1:5" outlineLevel="2" x14ac:dyDescent="0.25">
      <c r="A173">
        <v>101</v>
      </c>
      <c r="B173" t="s">
        <v>1395</v>
      </c>
      <c r="C173" t="s">
        <v>578</v>
      </c>
      <c r="D173">
        <v>125023</v>
      </c>
      <c r="E173">
        <v>17105</v>
      </c>
    </row>
    <row r="174" spans="1:5" outlineLevel="1" x14ac:dyDescent="0.25">
      <c r="C174" s="695" t="s">
        <v>578</v>
      </c>
      <c r="D174">
        <f>SUBTOTAL(9,D172:D173)</f>
        <v>250046</v>
      </c>
      <c r="E174">
        <f>SUBTOTAL(9,E172:E173)</f>
        <v>33105</v>
      </c>
    </row>
    <row r="175" spans="1:5" outlineLevel="2" x14ac:dyDescent="0.25">
      <c r="A175">
        <v>1190470</v>
      </c>
      <c r="B175" t="s">
        <v>1428</v>
      </c>
      <c r="C175" t="s">
        <v>60</v>
      </c>
      <c r="D175">
        <v>84256</v>
      </c>
      <c r="E175">
        <v>7920</v>
      </c>
    </row>
    <row r="176" spans="1:5" outlineLevel="2" x14ac:dyDescent="0.25">
      <c r="A176">
        <v>18</v>
      </c>
      <c r="B176" t="s">
        <v>1428</v>
      </c>
      <c r="C176" t="s">
        <v>60</v>
      </c>
      <c r="D176">
        <v>84256</v>
      </c>
      <c r="E176">
        <v>8605</v>
      </c>
    </row>
    <row r="177" spans="1:5" outlineLevel="1" x14ac:dyDescent="0.25">
      <c r="C177" s="695" t="s">
        <v>60</v>
      </c>
      <c r="D177">
        <f>SUBTOTAL(9,D175:D176)</f>
        <v>168512</v>
      </c>
      <c r="E177">
        <f>SUBTOTAL(9,E175:E176)</f>
        <v>16525</v>
      </c>
    </row>
    <row r="178" spans="1:5" outlineLevel="2" x14ac:dyDescent="0.25">
      <c r="A178">
        <v>1790137</v>
      </c>
      <c r="B178" t="s">
        <v>1426</v>
      </c>
      <c r="C178" t="s">
        <v>42</v>
      </c>
      <c r="D178">
        <v>97024</v>
      </c>
      <c r="E178">
        <v>10342</v>
      </c>
    </row>
    <row r="179" spans="1:5" outlineLevel="2" x14ac:dyDescent="0.25">
      <c r="A179">
        <v>8</v>
      </c>
      <c r="B179" t="s">
        <v>1426</v>
      </c>
      <c r="C179" t="s">
        <v>42</v>
      </c>
      <c r="D179">
        <v>97024</v>
      </c>
      <c r="E179">
        <v>11262</v>
      </c>
    </row>
    <row r="180" spans="1:5" outlineLevel="1" x14ac:dyDescent="0.25">
      <c r="C180" s="695" t="s">
        <v>42</v>
      </c>
      <c r="D180">
        <f>SUBTOTAL(9,D178:D179)</f>
        <v>194048</v>
      </c>
      <c r="E180">
        <f>SUBTOTAL(9,E178:E179)</f>
        <v>21604</v>
      </c>
    </row>
    <row r="181" spans="1:5" outlineLevel="2" x14ac:dyDescent="0.25">
      <c r="A181">
        <v>1320323</v>
      </c>
      <c r="B181" t="s">
        <v>1381</v>
      </c>
      <c r="C181" t="s">
        <v>1166</v>
      </c>
      <c r="D181">
        <v>155079</v>
      </c>
      <c r="E181">
        <v>39420</v>
      </c>
    </row>
    <row r="182" spans="1:5" outlineLevel="2" x14ac:dyDescent="0.25">
      <c r="A182">
        <v>270</v>
      </c>
      <c r="B182" t="s">
        <v>1381</v>
      </c>
      <c r="C182" t="s">
        <v>1166</v>
      </c>
      <c r="D182">
        <v>155079</v>
      </c>
      <c r="E182">
        <v>42283</v>
      </c>
    </row>
    <row r="183" spans="1:5" outlineLevel="1" x14ac:dyDescent="0.25">
      <c r="C183" s="695" t="s">
        <v>1166</v>
      </c>
      <c r="D183">
        <f>SUBTOTAL(9,D181:D182)</f>
        <v>310158</v>
      </c>
      <c r="E183">
        <f>SUBTOTAL(9,E181:E182)</f>
        <v>81703</v>
      </c>
    </row>
    <row r="184" spans="1:5" outlineLevel="2" x14ac:dyDescent="0.25">
      <c r="A184">
        <v>4300355</v>
      </c>
      <c r="B184" t="s">
        <v>1435</v>
      </c>
      <c r="C184" t="s">
        <v>754</v>
      </c>
      <c r="D184">
        <v>84256</v>
      </c>
      <c r="E184">
        <v>5830</v>
      </c>
    </row>
    <row r="185" spans="1:5" outlineLevel="2" x14ac:dyDescent="0.25">
      <c r="A185">
        <v>28</v>
      </c>
      <c r="B185" t="s">
        <v>1435</v>
      </c>
      <c r="C185" t="s">
        <v>754</v>
      </c>
      <c r="D185">
        <v>84256</v>
      </c>
      <c r="E185">
        <v>5830</v>
      </c>
    </row>
    <row r="186" spans="1:5" outlineLevel="1" x14ac:dyDescent="0.25">
      <c r="C186" s="695" t="s">
        <v>754</v>
      </c>
      <c r="D186">
        <f>SUBTOTAL(9,D184:D185)</f>
        <v>168512</v>
      </c>
      <c r="E186">
        <f>SUBTOTAL(9,E184:E185)</f>
        <v>11660</v>
      </c>
    </row>
    <row r="187" spans="1:5" outlineLevel="2" x14ac:dyDescent="0.25">
      <c r="A187">
        <v>1360380</v>
      </c>
      <c r="B187" t="s">
        <v>1530</v>
      </c>
      <c r="C187" t="s">
        <v>1182</v>
      </c>
      <c r="D187">
        <v>143109</v>
      </c>
      <c r="E187">
        <v>37845</v>
      </c>
    </row>
    <row r="188" spans="1:5" outlineLevel="2" x14ac:dyDescent="0.25">
      <c r="A188">
        <v>278</v>
      </c>
      <c r="B188" t="s">
        <v>1530</v>
      </c>
      <c r="C188" t="s">
        <v>1182</v>
      </c>
      <c r="D188">
        <v>143109</v>
      </c>
      <c r="E188">
        <v>37845</v>
      </c>
    </row>
    <row r="189" spans="1:5" outlineLevel="1" x14ac:dyDescent="0.25">
      <c r="C189" s="695" t="s">
        <v>1182</v>
      </c>
      <c r="D189">
        <f>SUBTOTAL(9,D187:D188)</f>
        <v>286218</v>
      </c>
      <c r="E189">
        <f>SUBTOTAL(9,E187:E188)</f>
        <v>75690</v>
      </c>
    </row>
    <row r="190" spans="1:5" outlineLevel="2" x14ac:dyDescent="0.25">
      <c r="A190">
        <v>1830506</v>
      </c>
      <c r="B190" t="s">
        <v>1454</v>
      </c>
      <c r="C190" t="s">
        <v>1194</v>
      </c>
      <c r="D190">
        <v>139119</v>
      </c>
      <c r="E190">
        <v>8710</v>
      </c>
    </row>
    <row r="191" spans="1:5" outlineLevel="2" x14ac:dyDescent="0.25">
      <c r="A191">
        <v>266</v>
      </c>
      <c r="B191" t="s">
        <v>1454</v>
      </c>
      <c r="C191" t="s">
        <v>1194</v>
      </c>
      <c r="D191">
        <v>139119</v>
      </c>
      <c r="E191">
        <v>9950</v>
      </c>
    </row>
    <row r="192" spans="1:5" outlineLevel="1" x14ac:dyDescent="0.25">
      <c r="C192" s="695" t="s">
        <v>1194</v>
      </c>
      <c r="D192">
        <f>SUBTOTAL(9,D190:D191)</f>
        <v>278238</v>
      </c>
      <c r="E192">
        <f>SUBTOTAL(9,E190:E191)</f>
        <v>18660</v>
      </c>
    </row>
    <row r="193" spans="1:5" outlineLevel="2" x14ac:dyDescent="0.25">
      <c r="A193">
        <v>4310470</v>
      </c>
      <c r="B193" t="s">
        <v>1505</v>
      </c>
      <c r="C193" t="s">
        <v>74</v>
      </c>
      <c r="D193">
        <v>44799</v>
      </c>
      <c r="E193">
        <v>1110</v>
      </c>
    </row>
    <row r="194" spans="1:5" outlineLevel="2" x14ac:dyDescent="0.25">
      <c r="A194">
        <v>54</v>
      </c>
      <c r="B194" t="s">
        <v>1505</v>
      </c>
      <c r="C194" t="s">
        <v>74</v>
      </c>
      <c r="D194">
        <v>44799</v>
      </c>
      <c r="E194">
        <v>1160</v>
      </c>
    </row>
    <row r="195" spans="1:5" outlineLevel="1" x14ac:dyDescent="0.25">
      <c r="C195" s="695" t="s">
        <v>74</v>
      </c>
      <c r="D195">
        <f>SUBTOTAL(9,D193:D194)</f>
        <v>89598</v>
      </c>
      <c r="E195">
        <f>SUBTOTAL(9,E193:E194)</f>
        <v>2270</v>
      </c>
    </row>
    <row r="196" spans="1:5" outlineLevel="2" x14ac:dyDescent="0.25">
      <c r="A196">
        <v>255</v>
      </c>
      <c r="B196" t="s">
        <v>1690</v>
      </c>
      <c r="C196" t="s">
        <v>1200</v>
      </c>
      <c r="D196">
        <v>27939</v>
      </c>
      <c r="E196">
        <v>500</v>
      </c>
    </row>
    <row r="197" spans="1:5" outlineLevel="1" x14ac:dyDescent="0.25">
      <c r="C197" s="695" t="s">
        <v>1200</v>
      </c>
      <c r="D197">
        <f>SUBTOTAL(9,D196:D196)</f>
        <v>27939</v>
      </c>
      <c r="E197">
        <f>SUBTOTAL(9,E196:E196)</f>
        <v>500</v>
      </c>
    </row>
    <row r="198" spans="1:5" outlineLevel="2" x14ac:dyDescent="0.25">
      <c r="A198">
        <v>1650322</v>
      </c>
      <c r="B198" t="s">
        <v>1419</v>
      </c>
      <c r="C198" t="s">
        <v>497</v>
      </c>
      <c r="D198">
        <v>128511</v>
      </c>
      <c r="E198">
        <v>19340</v>
      </c>
    </row>
    <row r="199" spans="1:5" outlineLevel="2" x14ac:dyDescent="0.25">
      <c r="A199">
        <v>272</v>
      </c>
      <c r="B199" t="s">
        <v>1419</v>
      </c>
      <c r="C199" t="s">
        <v>497</v>
      </c>
      <c r="D199">
        <v>128511</v>
      </c>
      <c r="E199">
        <v>19340</v>
      </c>
    </row>
    <row r="200" spans="1:5" outlineLevel="1" x14ac:dyDescent="0.25">
      <c r="C200" s="695" t="s">
        <v>497</v>
      </c>
      <c r="D200">
        <f>SUBTOTAL(9,D198:D199)</f>
        <v>257022</v>
      </c>
      <c r="E200">
        <f>SUBTOTAL(9,E198:E199)</f>
        <v>38680</v>
      </c>
    </row>
    <row r="201" spans="1:5" outlineLevel="2" x14ac:dyDescent="0.25">
      <c r="A201">
        <v>68</v>
      </c>
      <c r="B201" t="s">
        <v>1525</v>
      </c>
      <c r="C201" t="s">
        <v>99</v>
      </c>
      <c r="D201">
        <v>42074</v>
      </c>
      <c r="E201">
        <v>15</v>
      </c>
    </row>
    <row r="202" spans="1:5" outlineLevel="1" x14ac:dyDescent="0.25">
      <c r="C202" s="695" t="s">
        <v>99</v>
      </c>
      <c r="D202">
        <f>SUBTOTAL(9,D201:D201)</f>
        <v>42074</v>
      </c>
      <c r="E202">
        <f>SUBTOTAL(9,E201:E201)</f>
        <v>15</v>
      </c>
    </row>
    <row r="203" spans="1:5" outlineLevel="2" x14ac:dyDescent="0.25">
      <c r="A203">
        <v>1030324</v>
      </c>
      <c r="B203" t="s">
        <v>1370</v>
      </c>
      <c r="C203" t="s">
        <v>941</v>
      </c>
      <c r="D203">
        <v>132108</v>
      </c>
      <c r="E203">
        <v>21080</v>
      </c>
    </row>
    <row r="204" spans="1:5" outlineLevel="2" x14ac:dyDescent="0.25">
      <c r="A204">
        <v>200</v>
      </c>
      <c r="B204" t="s">
        <v>1370</v>
      </c>
      <c r="C204" t="s">
        <v>941</v>
      </c>
      <c r="D204">
        <v>132108</v>
      </c>
      <c r="E204">
        <v>23140</v>
      </c>
    </row>
    <row r="205" spans="1:5" outlineLevel="1" x14ac:dyDescent="0.25">
      <c r="C205" s="695" t="s">
        <v>941</v>
      </c>
      <c r="D205">
        <f>SUBTOTAL(9,D203:D204)</f>
        <v>264216</v>
      </c>
      <c r="E205">
        <f>SUBTOTAL(9,E203:E204)</f>
        <v>44220</v>
      </c>
    </row>
    <row r="206" spans="1:5" outlineLevel="2" x14ac:dyDescent="0.25">
      <c r="A206">
        <v>1390462</v>
      </c>
      <c r="B206" t="s">
        <v>1400</v>
      </c>
      <c r="C206" t="s">
        <v>723</v>
      </c>
      <c r="D206">
        <v>99817</v>
      </c>
      <c r="E206">
        <v>8795</v>
      </c>
    </row>
    <row r="207" spans="1:5" outlineLevel="2" x14ac:dyDescent="0.25">
      <c r="A207">
        <v>77</v>
      </c>
      <c r="B207" t="s">
        <v>1400</v>
      </c>
      <c r="C207" t="s">
        <v>723</v>
      </c>
      <c r="D207">
        <v>99817</v>
      </c>
      <c r="E207">
        <v>9805</v>
      </c>
    </row>
    <row r="208" spans="1:5" outlineLevel="1" x14ac:dyDescent="0.25">
      <c r="C208" s="695" t="s">
        <v>723</v>
      </c>
      <c r="D208">
        <f>SUBTOTAL(9,D206:D207)</f>
        <v>199634</v>
      </c>
      <c r="E208">
        <f>SUBTOTAL(9,E206:E207)</f>
        <v>18600</v>
      </c>
    </row>
    <row r="209" spans="1:5" outlineLevel="2" x14ac:dyDescent="0.25">
      <c r="A209">
        <v>4960598</v>
      </c>
      <c r="B209" t="s">
        <v>1394</v>
      </c>
      <c r="C209" t="s">
        <v>928</v>
      </c>
      <c r="D209">
        <v>111455</v>
      </c>
      <c r="E209">
        <v>23227</v>
      </c>
    </row>
    <row r="210" spans="1:5" outlineLevel="2" x14ac:dyDescent="0.25">
      <c r="A210">
        <v>206</v>
      </c>
      <c r="B210" t="s">
        <v>1394</v>
      </c>
      <c r="C210" t="s">
        <v>928</v>
      </c>
      <c r="D210">
        <v>111455</v>
      </c>
      <c r="E210">
        <v>24627</v>
      </c>
    </row>
    <row r="211" spans="1:5" outlineLevel="1" x14ac:dyDescent="0.25">
      <c r="C211" s="695" t="s">
        <v>928</v>
      </c>
      <c r="D211">
        <f>SUBTOTAL(9,D209:D210)</f>
        <v>222910</v>
      </c>
      <c r="E211">
        <f>SUBTOTAL(9,E209:E210)</f>
        <v>47854</v>
      </c>
    </row>
    <row r="212" spans="1:5" outlineLevel="2" x14ac:dyDescent="0.25">
      <c r="A212">
        <v>1730151</v>
      </c>
      <c r="B212" t="s">
        <v>1489</v>
      </c>
      <c r="C212" t="s">
        <v>87</v>
      </c>
      <c r="D212">
        <v>46484</v>
      </c>
      <c r="E212">
        <v>2425</v>
      </c>
    </row>
    <row r="213" spans="1:5" outlineLevel="2" x14ac:dyDescent="0.25">
      <c r="A213">
        <v>61</v>
      </c>
      <c r="B213" t="s">
        <v>1489</v>
      </c>
      <c r="C213" t="s">
        <v>87</v>
      </c>
      <c r="D213">
        <v>46484</v>
      </c>
      <c r="E213">
        <v>2425</v>
      </c>
    </row>
    <row r="214" spans="1:5" outlineLevel="1" x14ac:dyDescent="0.25">
      <c r="C214" s="695" t="s">
        <v>87</v>
      </c>
      <c r="D214">
        <f>SUBTOTAL(9,D212:D213)</f>
        <v>92968</v>
      </c>
      <c r="E214">
        <f>SUBTOTAL(9,E212:E213)</f>
        <v>4850</v>
      </c>
    </row>
    <row r="215" spans="1:5" outlineLevel="2" x14ac:dyDescent="0.25">
      <c r="A215">
        <v>1570329</v>
      </c>
      <c r="B215" t="s">
        <v>1422</v>
      </c>
      <c r="C215" t="s">
        <v>20</v>
      </c>
      <c r="D215">
        <v>128511</v>
      </c>
      <c r="E215">
        <v>29355</v>
      </c>
    </row>
    <row r="216" spans="1:5" outlineLevel="2" x14ac:dyDescent="0.25">
      <c r="A216">
        <v>4</v>
      </c>
      <c r="B216" t="s">
        <v>1422</v>
      </c>
      <c r="C216" t="s">
        <v>20</v>
      </c>
      <c r="D216">
        <v>128511</v>
      </c>
      <c r="E216">
        <v>29355</v>
      </c>
    </row>
    <row r="217" spans="1:5" outlineLevel="1" x14ac:dyDescent="0.25">
      <c r="C217" s="695" t="s">
        <v>20</v>
      </c>
      <c r="D217">
        <f>SUBTOTAL(9,D215:D216)</f>
        <v>257022</v>
      </c>
      <c r="E217">
        <f>SUBTOTAL(9,E215:E216)</f>
        <v>58710</v>
      </c>
    </row>
    <row r="218" spans="1:5" outlineLevel="2" x14ac:dyDescent="0.25">
      <c r="A218">
        <v>4810336</v>
      </c>
      <c r="B218" t="s">
        <v>1432</v>
      </c>
      <c r="C218" t="s">
        <v>26</v>
      </c>
      <c r="D218">
        <v>62577</v>
      </c>
      <c r="E218">
        <v>4110</v>
      </c>
    </row>
    <row r="219" spans="1:5" outlineLevel="2" x14ac:dyDescent="0.25">
      <c r="A219">
        <v>38</v>
      </c>
      <c r="B219" t="s">
        <v>1432</v>
      </c>
      <c r="C219" t="s">
        <v>26</v>
      </c>
      <c r="D219">
        <v>62577</v>
      </c>
      <c r="E219">
        <v>4395</v>
      </c>
    </row>
    <row r="220" spans="1:5" outlineLevel="1" x14ac:dyDescent="0.25">
      <c r="C220" s="695" t="s">
        <v>26</v>
      </c>
      <c r="D220">
        <f>SUBTOTAL(9,D218:D219)</f>
        <v>125154</v>
      </c>
      <c r="E220">
        <f>SUBTOTAL(9,E218:E219)</f>
        <v>8505</v>
      </c>
    </row>
    <row r="221" spans="1:5" outlineLevel="2" x14ac:dyDescent="0.25">
      <c r="A221">
        <v>1300156</v>
      </c>
      <c r="B221" t="s">
        <v>1405</v>
      </c>
      <c r="C221" t="s">
        <v>580</v>
      </c>
      <c r="D221">
        <v>94364</v>
      </c>
      <c r="E221">
        <v>3500</v>
      </c>
    </row>
    <row r="222" spans="1:5" outlineLevel="2" x14ac:dyDescent="0.25">
      <c r="A222">
        <v>108</v>
      </c>
      <c r="B222" t="s">
        <v>1405</v>
      </c>
      <c r="C222" t="s">
        <v>580</v>
      </c>
      <c r="D222">
        <v>94364</v>
      </c>
      <c r="E222">
        <v>4300</v>
      </c>
    </row>
    <row r="223" spans="1:5" outlineLevel="1" x14ac:dyDescent="0.25">
      <c r="C223" s="695" t="s">
        <v>580</v>
      </c>
      <c r="D223">
        <f>SUBTOTAL(9,D221:D222)</f>
        <v>188728</v>
      </c>
      <c r="E223">
        <f>SUBTOTAL(9,E221:E222)</f>
        <v>7800</v>
      </c>
    </row>
    <row r="224" spans="1:5" outlineLevel="2" x14ac:dyDescent="0.25">
      <c r="A224">
        <v>1250156</v>
      </c>
      <c r="B224" t="s">
        <v>1456</v>
      </c>
      <c r="C224" t="s">
        <v>943</v>
      </c>
      <c r="D224">
        <v>99817</v>
      </c>
      <c r="E224">
        <v>18585</v>
      </c>
    </row>
    <row r="225" spans="1:5" outlineLevel="2" x14ac:dyDescent="0.25">
      <c r="A225">
        <v>180</v>
      </c>
      <c r="B225" t="s">
        <v>1456</v>
      </c>
      <c r="C225" t="s">
        <v>943</v>
      </c>
      <c r="D225">
        <v>99817</v>
      </c>
      <c r="E225">
        <v>18585</v>
      </c>
    </row>
    <row r="226" spans="1:5" outlineLevel="1" x14ac:dyDescent="0.25">
      <c r="C226" s="695" t="s">
        <v>943</v>
      </c>
      <c r="D226">
        <f>SUBTOTAL(9,D224:D225)</f>
        <v>199634</v>
      </c>
      <c r="E226">
        <f>SUBTOTAL(9,E224:E225)</f>
        <v>37170</v>
      </c>
    </row>
    <row r="227" spans="1:5" outlineLevel="2" x14ac:dyDescent="0.25">
      <c r="A227">
        <v>4990470</v>
      </c>
      <c r="B227" t="s">
        <v>1506</v>
      </c>
      <c r="C227" t="s">
        <v>91</v>
      </c>
      <c r="D227">
        <v>49144</v>
      </c>
      <c r="E227">
        <v>1245</v>
      </c>
    </row>
    <row r="228" spans="1:5" outlineLevel="2" x14ac:dyDescent="0.25">
      <c r="A228">
        <v>63</v>
      </c>
      <c r="B228" t="s">
        <v>1506</v>
      </c>
      <c r="C228" t="s">
        <v>91</v>
      </c>
      <c r="D228">
        <v>49144</v>
      </c>
      <c r="E228">
        <v>1245</v>
      </c>
    </row>
    <row r="229" spans="1:5" outlineLevel="1" x14ac:dyDescent="0.25">
      <c r="C229" s="695" t="s">
        <v>91</v>
      </c>
      <c r="D229">
        <f>SUBTOTAL(9,D227:D228)</f>
        <v>98288</v>
      </c>
      <c r="E229">
        <f>SUBTOTAL(9,E227:E228)</f>
        <v>2490</v>
      </c>
    </row>
    <row r="230" spans="1:5" outlineLevel="2" x14ac:dyDescent="0.25">
      <c r="A230">
        <v>4760336</v>
      </c>
      <c r="B230" t="s">
        <v>1431</v>
      </c>
      <c r="C230" t="s">
        <v>22</v>
      </c>
      <c r="D230">
        <v>65370</v>
      </c>
      <c r="E230">
        <v>6724</v>
      </c>
    </row>
    <row r="231" spans="1:5" outlineLevel="2" x14ac:dyDescent="0.25">
      <c r="A231">
        <v>35</v>
      </c>
      <c r="B231" t="s">
        <v>1431</v>
      </c>
      <c r="C231" t="s">
        <v>22</v>
      </c>
      <c r="D231">
        <v>65370</v>
      </c>
      <c r="E231">
        <v>7109</v>
      </c>
    </row>
    <row r="232" spans="1:5" outlineLevel="1" x14ac:dyDescent="0.25">
      <c r="C232" s="695" t="s">
        <v>22</v>
      </c>
      <c r="D232">
        <f>SUBTOTAL(9,D230:D231)</f>
        <v>130740</v>
      </c>
      <c r="E232">
        <f>SUBTOTAL(9,E230:E231)</f>
        <v>13833</v>
      </c>
    </row>
    <row r="233" spans="1:5" outlineLevel="2" x14ac:dyDescent="0.25">
      <c r="A233">
        <v>1100158</v>
      </c>
      <c r="B233" t="s">
        <v>1406</v>
      </c>
      <c r="C233" t="s">
        <v>584</v>
      </c>
      <c r="D233">
        <v>97024</v>
      </c>
      <c r="E233">
        <v>8550</v>
      </c>
    </row>
    <row r="234" spans="1:5" outlineLevel="2" x14ac:dyDescent="0.25">
      <c r="A234">
        <v>110</v>
      </c>
      <c r="B234" t="s">
        <v>1406</v>
      </c>
      <c r="C234" t="s">
        <v>584</v>
      </c>
      <c r="D234">
        <v>97024</v>
      </c>
      <c r="E234">
        <v>9505</v>
      </c>
    </row>
    <row r="235" spans="1:5" outlineLevel="1" x14ac:dyDescent="0.25">
      <c r="C235" s="695" t="s">
        <v>584</v>
      </c>
      <c r="D235">
        <f>SUBTOTAL(9,D233:D234)</f>
        <v>194048</v>
      </c>
      <c r="E235">
        <f>SUBTOTAL(9,E233:E234)</f>
        <v>18055</v>
      </c>
    </row>
    <row r="236" spans="1:5" outlineLevel="2" x14ac:dyDescent="0.25">
      <c r="A236">
        <v>4930336</v>
      </c>
      <c r="B236" t="s">
        <v>1491</v>
      </c>
      <c r="C236" t="s">
        <v>760</v>
      </c>
      <c r="D236">
        <v>60848</v>
      </c>
      <c r="E236">
        <v>3200</v>
      </c>
    </row>
    <row r="237" spans="1:5" outlineLevel="2" x14ac:dyDescent="0.25">
      <c r="A237">
        <v>48</v>
      </c>
      <c r="B237" t="s">
        <v>1491</v>
      </c>
      <c r="C237" t="s">
        <v>760</v>
      </c>
      <c r="D237">
        <v>60848</v>
      </c>
      <c r="E237">
        <v>3190</v>
      </c>
    </row>
    <row r="238" spans="1:5" outlineLevel="1" x14ac:dyDescent="0.25">
      <c r="C238" s="695" t="s">
        <v>760</v>
      </c>
      <c r="D238">
        <f>SUBTOTAL(9,D236:D237)</f>
        <v>121696</v>
      </c>
      <c r="E238">
        <f>SUBTOTAL(9,E236:E237)</f>
        <v>6390</v>
      </c>
    </row>
    <row r="239" spans="1:5" outlineLevel="2" x14ac:dyDescent="0.25">
      <c r="A239">
        <v>4130471</v>
      </c>
      <c r="B239" t="s">
        <v>1519</v>
      </c>
      <c r="C239" t="s">
        <v>965</v>
      </c>
      <c r="D239">
        <v>42893</v>
      </c>
      <c r="E239">
        <v>2692</v>
      </c>
    </row>
    <row r="240" spans="1:5" outlineLevel="2" x14ac:dyDescent="0.25">
      <c r="A240">
        <v>197</v>
      </c>
      <c r="B240" t="s">
        <v>1519</v>
      </c>
      <c r="C240" t="s">
        <v>965</v>
      </c>
      <c r="D240">
        <v>42893</v>
      </c>
      <c r="E240">
        <v>2797</v>
      </c>
    </row>
    <row r="241" spans="1:5" outlineLevel="1" x14ac:dyDescent="0.25">
      <c r="C241" s="695" t="s">
        <v>965</v>
      </c>
      <c r="D241">
        <f>SUBTOTAL(9,D239:D240)</f>
        <v>85786</v>
      </c>
      <c r="E241">
        <f>SUBTOTAL(9,E239:E240)</f>
        <v>5489</v>
      </c>
    </row>
    <row r="242" spans="1:5" outlineLevel="2" x14ac:dyDescent="0.25">
      <c r="A242">
        <v>4880336</v>
      </c>
      <c r="B242" t="s">
        <v>1485</v>
      </c>
      <c r="C242" t="s">
        <v>14</v>
      </c>
      <c r="D242">
        <v>47960</v>
      </c>
      <c r="E242">
        <v>1410</v>
      </c>
    </row>
    <row r="243" spans="1:5" outlineLevel="2" x14ac:dyDescent="0.25">
      <c r="A243">
        <v>72</v>
      </c>
      <c r="B243" t="s">
        <v>1485</v>
      </c>
      <c r="C243" t="s">
        <v>14</v>
      </c>
      <c r="D243">
        <v>47960</v>
      </c>
      <c r="E243">
        <v>1475</v>
      </c>
    </row>
    <row r="244" spans="1:5" outlineLevel="1" x14ac:dyDescent="0.25">
      <c r="C244" s="695" t="s">
        <v>14</v>
      </c>
      <c r="D244">
        <f>SUBTOTAL(9,D242:D243)</f>
        <v>95920</v>
      </c>
      <c r="E244">
        <f>SUBTOTAL(9,E242:E243)</f>
        <v>2885</v>
      </c>
    </row>
    <row r="245" spans="1:5" outlineLevel="2" x14ac:dyDescent="0.25">
      <c r="A245">
        <v>59</v>
      </c>
      <c r="B245" t="s">
        <v>1510</v>
      </c>
      <c r="C245" t="s">
        <v>82</v>
      </c>
      <c r="D245">
        <v>42074</v>
      </c>
      <c r="E245">
        <v>800</v>
      </c>
    </row>
    <row r="246" spans="1:5" outlineLevel="1" x14ac:dyDescent="0.25">
      <c r="C246" s="695" t="s">
        <v>82</v>
      </c>
      <c r="D246">
        <f>SUBTOTAL(9,D245:D245)</f>
        <v>42074</v>
      </c>
      <c r="E246">
        <f>SUBTOTAL(9,E245:E245)</f>
        <v>800</v>
      </c>
    </row>
    <row r="247" spans="1:5" outlineLevel="2" x14ac:dyDescent="0.25">
      <c r="A247">
        <v>40</v>
      </c>
      <c r="B247" t="s">
        <v>1439</v>
      </c>
      <c r="C247" t="s">
        <v>766</v>
      </c>
      <c r="D247">
        <v>60848</v>
      </c>
      <c r="E247">
        <v>100</v>
      </c>
    </row>
    <row r="248" spans="1:5" outlineLevel="1" x14ac:dyDescent="0.25">
      <c r="C248" s="695" t="s">
        <v>766</v>
      </c>
      <c r="D248">
        <f>SUBTOTAL(9,D247:D247)</f>
        <v>60848</v>
      </c>
      <c r="E248">
        <f>SUBTOTAL(9,E247:E247)</f>
        <v>100</v>
      </c>
    </row>
    <row r="249" spans="1:5" outlineLevel="2" x14ac:dyDescent="0.25">
      <c r="A249">
        <v>4900470</v>
      </c>
      <c r="B249" t="s">
        <v>1457</v>
      </c>
      <c r="C249" t="s">
        <v>76</v>
      </c>
      <c r="D249">
        <v>53799</v>
      </c>
      <c r="E249">
        <v>887</v>
      </c>
    </row>
    <row r="250" spans="1:5" outlineLevel="2" x14ac:dyDescent="0.25">
      <c r="A250">
        <v>55</v>
      </c>
      <c r="B250" t="s">
        <v>1457</v>
      </c>
      <c r="C250" t="s">
        <v>76</v>
      </c>
      <c r="D250">
        <v>53799</v>
      </c>
      <c r="E250">
        <v>887</v>
      </c>
    </row>
    <row r="251" spans="1:5" outlineLevel="1" x14ac:dyDescent="0.25">
      <c r="C251" s="695" t="s">
        <v>76</v>
      </c>
      <c r="D251">
        <f>SUBTOTAL(9,D249:D250)</f>
        <v>107598</v>
      </c>
      <c r="E251">
        <f>SUBTOTAL(9,E249:E250)</f>
        <v>1774</v>
      </c>
    </row>
    <row r="252" spans="1:5" outlineLevel="2" x14ac:dyDescent="0.25">
      <c r="A252">
        <v>1760146</v>
      </c>
      <c r="B252" t="s">
        <v>1392</v>
      </c>
      <c r="C252" t="s">
        <v>959</v>
      </c>
      <c r="D252">
        <v>135262</v>
      </c>
      <c r="E252">
        <v>21500</v>
      </c>
    </row>
    <row r="253" spans="1:5" outlineLevel="2" x14ac:dyDescent="0.25">
      <c r="A253">
        <v>177</v>
      </c>
      <c r="B253" t="s">
        <v>1392</v>
      </c>
      <c r="C253" t="s">
        <v>959</v>
      </c>
      <c r="D253">
        <v>135262</v>
      </c>
      <c r="E253">
        <v>23845</v>
      </c>
    </row>
    <row r="254" spans="1:5" outlineLevel="1" x14ac:dyDescent="0.25">
      <c r="C254" s="695" t="s">
        <v>959</v>
      </c>
      <c r="D254">
        <f>SUBTOTAL(9,D252:D253)</f>
        <v>270524</v>
      </c>
      <c r="E254">
        <f>SUBTOTAL(9,E252:E253)</f>
        <v>45345</v>
      </c>
    </row>
    <row r="255" spans="1:5" outlineLevel="2" x14ac:dyDescent="0.25">
      <c r="A255">
        <v>4310471</v>
      </c>
      <c r="B255" t="s">
        <v>1490</v>
      </c>
      <c r="C255" t="s">
        <v>97</v>
      </c>
      <c r="D255">
        <v>47814</v>
      </c>
      <c r="E255">
        <v>1870</v>
      </c>
    </row>
    <row r="256" spans="1:5" outlineLevel="2" x14ac:dyDescent="0.25">
      <c r="A256">
        <v>67</v>
      </c>
      <c r="B256" t="s">
        <v>1490</v>
      </c>
      <c r="C256" t="s">
        <v>97</v>
      </c>
      <c r="D256">
        <v>47814</v>
      </c>
      <c r="E256">
        <v>1860</v>
      </c>
    </row>
    <row r="257" spans="1:5" outlineLevel="1" x14ac:dyDescent="0.25">
      <c r="C257" s="695" t="s">
        <v>97</v>
      </c>
      <c r="D257">
        <f>SUBTOTAL(9,D255:D256)</f>
        <v>95628</v>
      </c>
      <c r="E257">
        <f>SUBTOTAL(9,E255:E256)</f>
        <v>3730</v>
      </c>
    </row>
    <row r="258" spans="1:5" outlineLevel="2" x14ac:dyDescent="0.25">
      <c r="A258">
        <v>4900336</v>
      </c>
      <c r="B258" t="s">
        <v>1486</v>
      </c>
      <c r="C258" t="s">
        <v>64</v>
      </c>
      <c r="D258">
        <v>47960</v>
      </c>
      <c r="E258">
        <v>2223</v>
      </c>
    </row>
    <row r="259" spans="1:5" outlineLevel="2" x14ac:dyDescent="0.25">
      <c r="A259">
        <v>47</v>
      </c>
      <c r="B259" t="s">
        <v>1486</v>
      </c>
      <c r="C259" t="s">
        <v>64</v>
      </c>
      <c r="D259">
        <v>47960</v>
      </c>
      <c r="E259">
        <v>2323</v>
      </c>
    </row>
    <row r="260" spans="1:5" outlineLevel="1" x14ac:dyDescent="0.25">
      <c r="C260" s="695" t="s">
        <v>64</v>
      </c>
      <c r="D260">
        <f>SUBTOTAL(9,D258:D259)</f>
        <v>95920</v>
      </c>
      <c r="E260">
        <f>SUBTOTAL(9,E258:E259)</f>
        <v>4546</v>
      </c>
    </row>
    <row r="261" spans="1:5" outlineLevel="2" x14ac:dyDescent="0.25">
      <c r="A261">
        <v>1490152</v>
      </c>
      <c r="B261" t="s">
        <v>1518</v>
      </c>
      <c r="C261" t="s">
        <v>85</v>
      </c>
      <c r="D261">
        <v>46484</v>
      </c>
      <c r="E261">
        <v>1362</v>
      </c>
    </row>
    <row r="262" spans="1:5" outlineLevel="2" x14ac:dyDescent="0.25">
      <c r="A262">
        <v>60</v>
      </c>
      <c r="B262" t="s">
        <v>1518</v>
      </c>
      <c r="C262" t="s">
        <v>85</v>
      </c>
      <c r="D262">
        <v>46484</v>
      </c>
      <c r="E262">
        <v>1420</v>
      </c>
    </row>
    <row r="263" spans="1:5" outlineLevel="1" x14ac:dyDescent="0.25">
      <c r="C263" s="695" t="s">
        <v>85</v>
      </c>
      <c r="D263">
        <f>SUBTOTAL(9,D261:D262)</f>
        <v>92968</v>
      </c>
      <c r="E263">
        <f>SUBTOTAL(9,E261:E262)</f>
        <v>2782</v>
      </c>
    </row>
    <row r="264" spans="1:5" outlineLevel="2" x14ac:dyDescent="0.25">
      <c r="A264">
        <v>1160342</v>
      </c>
      <c r="B264" t="s">
        <v>1418</v>
      </c>
      <c r="C264" t="s">
        <v>72</v>
      </c>
      <c r="D264">
        <v>121644</v>
      </c>
      <c r="E264">
        <v>27065</v>
      </c>
    </row>
    <row r="265" spans="1:5" outlineLevel="2" x14ac:dyDescent="0.25">
      <c r="A265">
        <v>265</v>
      </c>
      <c r="B265" t="s">
        <v>1418</v>
      </c>
      <c r="C265" t="s">
        <v>72</v>
      </c>
      <c r="D265">
        <v>121644</v>
      </c>
      <c r="E265">
        <v>27065</v>
      </c>
    </row>
    <row r="266" spans="1:5" outlineLevel="1" x14ac:dyDescent="0.25">
      <c r="C266" s="695" t="s">
        <v>72</v>
      </c>
      <c r="D266">
        <f>SUBTOTAL(9,D264:D265)</f>
        <v>243288</v>
      </c>
      <c r="E266">
        <f>SUBTOTAL(9,E264:E265)</f>
        <v>54130</v>
      </c>
    </row>
    <row r="267" spans="1:5" outlineLevel="2" x14ac:dyDescent="0.25">
      <c r="A267">
        <v>4960336</v>
      </c>
      <c r="B267" t="s">
        <v>1487</v>
      </c>
      <c r="C267" t="s">
        <v>62</v>
      </c>
      <c r="D267">
        <v>56060</v>
      </c>
      <c r="E267">
        <v>2745</v>
      </c>
    </row>
    <row r="268" spans="1:5" outlineLevel="2" x14ac:dyDescent="0.25">
      <c r="A268">
        <v>51</v>
      </c>
      <c r="B268" t="s">
        <v>1487</v>
      </c>
      <c r="C268" t="s">
        <v>62</v>
      </c>
      <c r="D268">
        <v>56060</v>
      </c>
      <c r="E268">
        <v>2850</v>
      </c>
    </row>
    <row r="269" spans="1:5" outlineLevel="1" x14ac:dyDescent="0.25">
      <c r="C269" s="695" t="s">
        <v>62</v>
      </c>
      <c r="D269">
        <f>SUBTOTAL(9,D267:D268)</f>
        <v>112120</v>
      </c>
      <c r="E269">
        <f>SUBTOTAL(9,E267:E268)</f>
        <v>5595</v>
      </c>
    </row>
    <row r="270" spans="1:5" outlineLevel="2" x14ac:dyDescent="0.25">
      <c r="A270">
        <v>1690151</v>
      </c>
      <c r="B270" t="s">
        <v>1488</v>
      </c>
      <c r="C270" t="s">
        <v>80</v>
      </c>
      <c r="D270">
        <v>42074</v>
      </c>
      <c r="E270">
        <v>875</v>
      </c>
    </row>
    <row r="271" spans="1:5" outlineLevel="1" x14ac:dyDescent="0.25">
      <c r="C271" s="695" t="s">
        <v>80</v>
      </c>
      <c r="D271">
        <f>SUBTOTAL(9,D270:D270)</f>
        <v>42074</v>
      </c>
      <c r="E271">
        <f>SUBTOTAL(9,E270:E270)</f>
        <v>875</v>
      </c>
    </row>
    <row r="272" spans="1:5" outlineLevel="2" x14ac:dyDescent="0.25">
      <c r="A272">
        <v>4950336</v>
      </c>
      <c r="B272" t="s">
        <v>1465</v>
      </c>
      <c r="C272" t="s">
        <v>779</v>
      </c>
      <c r="D272">
        <v>52336</v>
      </c>
      <c r="E272">
        <v>2115</v>
      </c>
    </row>
    <row r="273" spans="1:5" outlineLevel="2" x14ac:dyDescent="0.25">
      <c r="A273">
        <v>50</v>
      </c>
      <c r="B273" t="s">
        <v>1465</v>
      </c>
      <c r="C273" t="s">
        <v>779</v>
      </c>
      <c r="D273">
        <v>52336</v>
      </c>
      <c r="E273">
        <v>2215</v>
      </c>
    </row>
    <row r="274" spans="1:5" outlineLevel="1" x14ac:dyDescent="0.25">
      <c r="C274" s="695" t="s">
        <v>779</v>
      </c>
      <c r="D274">
        <f>SUBTOTAL(9,D272:D273)</f>
        <v>104672</v>
      </c>
      <c r="E274">
        <f>SUBTOTAL(9,E272:E273)</f>
        <v>4330</v>
      </c>
    </row>
    <row r="275" spans="1:5" outlineLevel="2" x14ac:dyDescent="0.25">
      <c r="A275">
        <v>1310164</v>
      </c>
      <c r="B275" t="s">
        <v>1408</v>
      </c>
      <c r="C275" t="s">
        <v>590</v>
      </c>
      <c r="D275">
        <v>77340</v>
      </c>
      <c r="E275">
        <v>13050</v>
      </c>
    </row>
    <row r="276" spans="1:5" outlineLevel="1" x14ac:dyDescent="0.25">
      <c r="C276" s="695" t="s">
        <v>590</v>
      </c>
      <c r="D276">
        <f>SUBTOTAL(9,D275:D275)</f>
        <v>77340</v>
      </c>
      <c r="E276">
        <f>SUBTOTAL(9,E275:E275)</f>
        <v>13050</v>
      </c>
    </row>
    <row r="277" spans="1:5" outlineLevel="2" x14ac:dyDescent="0.25">
      <c r="A277">
        <v>1700151</v>
      </c>
      <c r="B277" t="s">
        <v>1492</v>
      </c>
      <c r="C277" t="s">
        <v>909</v>
      </c>
      <c r="D277">
        <v>50474</v>
      </c>
      <c r="E277">
        <v>2000</v>
      </c>
    </row>
    <row r="278" spans="1:5" outlineLevel="2" x14ac:dyDescent="0.25">
      <c r="A278">
        <v>196</v>
      </c>
      <c r="B278" t="s">
        <v>1492</v>
      </c>
      <c r="C278" t="s">
        <v>909</v>
      </c>
      <c r="D278">
        <v>50474</v>
      </c>
      <c r="E278">
        <v>970</v>
      </c>
    </row>
    <row r="279" spans="1:5" outlineLevel="1" x14ac:dyDescent="0.25">
      <c r="C279" s="695" t="s">
        <v>909</v>
      </c>
      <c r="D279">
        <f>SUBTOTAL(9,D277:D278)</f>
        <v>100948</v>
      </c>
      <c r="E279">
        <f>SUBTOTAL(9,E277:E278)</f>
        <v>2970</v>
      </c>
    </row>
    <row r="280" spans="1:5" outlineLevel="2" x14ac:dyDescent="0.25">
      <c r="A280">
        <v>4010471</v>
      </c>
      <c r="B280" t="s">
        <v>1434</v>
      </c>
      <c r="C280" t="s">
        <v>89</v>
      </c>
      <c r="D280">
        <v>55262</v>
      </c>
      <c r="E280">
        <v>1333</v>
      </c>
    </row>
    <row r="281" spans="1:5" outlineLevel="2" x14ac:dyDescent="0.25">
      <c r="A281">
        <v>62</v>
      </c>
      <c r="B281" t="s">
        <v>1434</v>
      </c>
      <c r="C281" t="s">
        <v>89</v>
      </c>
      <c r="D281">
        <v>55262</v>
      </c>
      <c r="E281">
        <v>1333</v>
      </c>
    </row>
    <row r="282" spans="1:5" outlineLevel="1" x14ac:dyDescent="0.25">
      <c r="C282" s="695" t="s">
        <v>89</v>
      </c>
      <c r="D282">
        <f>SUBTOTAL(9,D280:D281)</f>
        <v>110524</v>
      </c>
      <c r="E282">
        <f>SUBTOTAL(9,E280:E281)</f>
        <v>2666</v>
      </c>
    </row>
    <row r="283" spans="1:5" outlineLevel="2" x14ac:dyDescent="0.25">
      <c r="A283">
        <v>1260164</v>
      </c>
      <c r="B283" t="s">
        <v>1401</v>
      </c>
      <c r="C283" t="s">
        <v>594</v>
      </c>
      <c r="D283">
        <v>77340</v>
      </c>
      <c r="E283">
        <v>11000</v>
      </c>
    </row>
    <row r="284" spans="1:5" outlineLevel="2" x14ac:dyDescent="0.25">
      <c r="A284">
        <v>115</v>
      </c>
      <c r="B284" t="s">
        <v>1401</v>
      </c>
      <c r="C284" t="s">
        <v>594</v>
      </c>
      <c r="D284">
        <v>77340</v>
      </c>
      <c r="E284">
        <v>245</v>
      </c>
    </row>
    <row r="285" spans="1:5" outlineLevel="1" x14ac:dyDescent="0.25">
      <c r="C285" s="695" t="s">
        <v>594</v>
      </c>
      <c r="D285">
        <f>SUBTOTAL(9,D283:D284)</f>
        <v>154680</v>
      </c>
      <c r="E285">
        <f>SUBTOTAL(9,E283:E284)</f>
        <v>11245</v>
      </c>
    </row>
    <row r="286" spans="1:5" outlineLevel="2" x14ac:dyDescent="0.25">
      <c r="A286">
        <v>1300164</v>
      </c>
      <c r="B286" t="s">
        <v>1385</v>
      </c>
      <c r="C286" t="s">
        <v>58</v>
      </c>
      <c r="D286">
        <v>77340</v>
      </c>
      <c r="E286">
        <v>51730</v>
      </c>
    </row>
    <row r="287" spans="1:5" outlineLevel="1" x14ac:dyDescent="0.25">
      <c r="C287" s="695" t="s">
        <v>58</v>
      </c>
      <c r="D287">
        <f>SUBTOTAL(9,D286:D286)</f>
        <v>77340</v>
      </c>
      <c r="E287">
        <f>SUBTOTAL(9,E286:E286)</f>
        <v>51730</v>
      </c>
    </row>
    <row r="288" spans="1:5" outlineLevel="2" x14ac:dyDescent="0.25">
      <c r="A288">
        <v>1670157</v>
      </c>
      <c r="B288" t="s">
        <v>1367</v>
      </c>
      <c r="C288" t="s">
        <v>54</v>
      </c>
      <c r="D288">
        <v>97024</v>
      </c>
      <c r="E288">
        <v>10405</v>
      </c>
    </row>
    <row r="289" spans="1:5" outlineLevel="2" x14ac:dyDescent="0.25">
      <c r="A289">
        <v>12</v>
      </c>
      <c r="B289" t="s">
        <v>1367</v>
      </c>
      <c r="C289" t="s">
        <v>54</v>
      </c>
      <c r="D289">
        <v>97024</v>
      </c>
      <c r="E289">
        <v>10405</v>
      </c>
    </row>
    <row r="290" spans="1:5" outlineLevel="1" x14ac:dyDescent="0.25">
      <c r="C290" s="695" t="s">
        <v>54</v>
      </c>
      <c r="D290">
        <f>SUBTOTAL(9,D288:D289)</f>
        <v>194048</v>
      </c>
      <c r="E290">
        <f>SUBTOTAL(9,E288:E289)</f>
        <v>20810</v>
      </c>
    </row>
    <row r="291" spans="1:5" outlineLevel="2" x14ac:dyDescent="0.25">
      <c r="A291">
        <v>1180470</v>
      </c>
      <c r="B291" t="s">
        <v>1493</v>
      </c>
      <c r="C291" t="s">
        <v>1187</v>
      </c>
      <c r="D291">
        <v>54597</v>
      </c>
      <c r="E291">
        <v>3775</v>
      </c>
    </row>
    <row r="292" spans="1:5" outlineLevel="2" x14ac:dyDescent="0.25">
      <c r="A292">
        <v>256</v>
      </c>
      <c r="B292" t="s">
        <v>1493</v>
      </c>
      <c r="C292" t="s">
        <v>1187</v>
      </c>
      <c r="D292">
        <v>54597</v>
      </c>
      <c r="E292">
        <v>3268</v>
      </c>
    </row>
    <row r="293" spans="1:5" outlineLevel="1" x14ac:dyDescent="0.25">
      <c r="C293" s="695" t="s">
        <v>1187</v>
      </c>
      <c r="D293">
        <f>SUBTOTAL(9,D291:D292)</f>
        <v>109194</v>
      </c>
      <c r="E293">
        <f>SUBTOTAL(9,E291:E292)</f>
        <v>7043</v>
      </c>
    </row>
    <row r="294" spans="1:5" outlineLevel="2" x14ac:dyDescent="0.25">
      <c r="A294">
        <v>4760346</v>
      </c>
      <c r="B294" t="s">
        <v>1417</v>
      </c>
      <c r="C294" t="s">
        <v>30</v>
      </c>
      <c r="D294">
        <v>101370</v>
      </c>
      <c r="E294">
        <v>14195</v>
      </c>
    </row>
    <row r="295" spans="1:5" outlineLevel="2" x14ac:dyDescent="0.25">
      <c r="A295">
        <v>23</v>
      </c>
      <c r="B295" t="s">
        <v>1417</v>
      </c>
      <c r="C295" t="s">
        <v>30</v>
      </c>
      <c r="D295">
        <v>101370</v>
      </c>
      <c r="E295">
        <v>1375</v>
      </c>
    </row>
    <row r="296" spans="1:5" outlineLevel="1" x14ac:dyDescent="0.25">
      <c r="C296" s="695" t="s">
        <v>30</v>
      </c>
      <c r="D296">
        <f>SUBTOTAL(9,D294:D295)</f>
        <v>202740</v>
      </c>
      <c r="E296">
        <f>SUBTOTAL(9,E294:E295)</f>
        <v>15570</v>
      </c>
    </row>
    <row r="297" spans="1:5" outlineLevel="2" x14ac:dyDescent="0.25">
      <c r="A297">
        <v>280</v>
      </c>
      <c r="B297" s="737" t="s">
        <v>1691</v>
      </c>
      <c r="C297" s="737" t="s">
        <v>1692</v>
      </c>
      <c r="D297" s="737">
        <v>147232</v>
      </c>
      <c r="E297" s="737">
        <v>15000</v>
      </c>
    </row>
    <row r="298" spans="1:5" outlineLevel="2" x14ac:dyDescent="0.25">
      <c r="A298">
        <v>280</v>
      </c>
      <c r="B298" s="737" t="s">
        <v>1691</v>
      </c>
      <c r="C298" s="737" t="s">
        <v>1692</v>
      </c>
      <c r="D298" s="737">
        <v>147232</v>
      </c>
      <c r="E298" s="737">
        <v>18470</v>
      </c>
    </row>
    <row r="299" spans="1:5" outlineLevel="1" x14ac:dyDescent="0.25">
      <c r="C299" s="695" t="s">
        <v>1692</v>
      </c>
      <c r="D299">
        <f>SUBTOTAL(9,D297:D298)</f>
        <v>294464</v>
      </c>
      <c r="E299">
        <f>SUBTOTAL(9,E297:E298)</f>
        <v>33470</v>
      </c>
    </row>
    <row r="300" spans="1:5" outlineLevel="2" x14ac:dyDescent="0.25">
      <c r="A300">
        <v>1280164</v>
      </c>
      <c r="B300" t="s">
        <v>1402</v>
      </c>
      <c r="C300" t="s">
        <v>596</v>
      </c>
      <c r="D300">
        <v>64092</v>
      </c>
      <c r="E300">
        <v>7500</v>
      </c>
    </row>
    <row r="301" spans="1:5" outlineLevel="2" x14ac:dyDescent="0.25">
      <c r="A301">
        <v>116</v>
      </c>
      <c r="B301" t="s">
        <v>1402</v>
      </c>
      <c r="C301" t="s">
        <v>596</v>
      </c>
      <c r="D301">
        <v>64092</v>
      </c>
      <c r="E301">
        <v>5355</v>
      </c>
    </row>
    <row r="302" spans="1:5" outlineLevel="1" x14ac:dyDescent="0.25">
      <c r="C302" s="695" t="s">
        <v>596</v>
      </c>
      <c r="D302">
        <f>SUBTOTAL(9,D300:D301)</f>
        <v>128184</v>
      </c>
      <c r="E302">
        <f>SUBTOTAL(9,E300:E301)</f>
        <v>12855</v>
      </c>
    </row>
    <row r="303" spans="1:5" outlineLevel="2" x14ac:dyDescent="0.25">
      <c r="A303">
        <v>1290164</v>
      </c>
      <c r="B303" t="s">
        <v>1409</v>
      </c>
      <c r="C303" t="s">
        <v>592</v>
      </c>
      <c r="D303">
        <v>77340</v>
      </c>
      <c r="E303">
        <v>11600</v>
      </c>
    </row>
    <row r="304" spans="1:5" outlineLevel="1" x14ac:dyDescent="0.25">
      <c r="C304" s="695" t="s">
        <v>592</v>
      </c>
      <c r="D304">
        <f>SUBTOTAL(9,D303:D303)</f>
        <v>77340</v>
      </c>
      <c r="E304">
        <f>SUBTOTAL(9,E303:E303)</f>
        <v>11600</v>
      </c>
    </row>
    <row r="305" spans="1:6" outlineLevel="2" x14ac:dyDescent="0.25">
      <c r="A305">
        <v>1720151</v>
      </c>
      <c r="B305" t="s">
        <v>1524</v>
      </c>
      <c r="C305" t="s">
        <v>562</v>
      </c>
      <c r="D305">
        <v>42074</v>
      </c>
      <c r="E305">
        <v>680</v>
      </c>
    </row>
    <row r="306" spans="1:6" outlineLevel="2" x14ac:dyDescent="0.25">
      <c r="A306">
        <v>56</v>
      </c>
      <c r="B306" t="s">
        <v>1524</v>
      </c>
      <c r="C306" t="s">
        <v>562</v>
      </c>
      <c r="D306">
        <v>42074</v>
      </c>
      <c r="E306">
        <v>5215</v>
      </c>
    </row>
    <row r="307" spans="1:6" outlineLevel="1" x14ac:dyDescent="0.25">
      <c r="C307" s="695" t="s">
        <v>562</v>
      </c>
      <c r="D307">
        <f>SUBTOTAL(9,D305:D306)</f>
        <v>84148</v>
      </c>
      <c r="E307">
        <f>SUBTOTAL(9,E305:E306)</f>
        <v>5895</v>
      </c>
    </row>
    <row r="308" spans="1:6" outlineLevel="2" x14ac:dyDescent="0.25">
      <c r="A308">
        <v>4910336</v>
      </c>
      <c r="B308" t="s">
        <v>1498</v>
      </c>
      <c r="C308" t="s">
        <v>66</v>
      </c>
      <c r="D308">
        <v>56060</v>
      </c>
      <c r="E308">
        <v>2913</v>
      </c>
    </row>
    <row r="309" spans="1:6" outlineLevel="2" x14ac:dyDescent="0.25">
      <c r="A309">
        <v>49</v>
      </c>
      <c r="B309" t="s">
        <v>1498</v>
      </c>
      <c r="C309" t="s">
        <v>66</v>
      </c>
      <c r="D309">
        <v>56060</v>
      </c>
      <c r="E309">
        <v>3003</v>
      </c>
    </row>
    <row r="310" spans="1:6" outlineLevel="1" x14ac:dyDescent="0.25">
      <c r="C310" s="695" t="s">
        <v>66</v>
      </c>
      <c r="D310">
        <f>SUBTOTAL(9,D308:D309)</f>
        <v>112120</v>
      </c>
      <c r="E310">
        <f>SUBTOTAL(9,E308:E309)</f>
        <v>5916</v>
      </c>
    </row>
    <row r="311" spans="1:6" outlineLevel="2" x14ac:dyDescent="0.25">
      <c r="A311">
        <v>4350471</v>
      </c>
      <c r="B311" t="s">
        <v>1527</v>
      </c>
      <c r="C311" t="s">
        <v>1198</v>
      </c>
      <c r="D311">
        <v>45287</v>
      </c>
      <c r="E311">
        <v>2150</v>
      </c>
    </row>
    <row r="312" spans="1:6" outlineLevel="2" x14ac:dyDescent="0.25">
      <c r="A312">
        <v>258</v>
      </c>
      <c r="B312" t="s">
        <v>1527</v>
      </c>
      <c r="C312" t="s">
        <v>1198</v>
      </c>
      <c r="D312">
        <v>45287</v>
      </c>
      <c r="E312">
        <v>2235</v>
      </c>
    </row>
    <row r="313" spans="1:6" outlineLevel="1" x14ac:dyDescent="0.25">
      <c r="C313" s="695" t="s">
        <v>1198</v>
      </c>
      <c r="D313">
        <f>SUBTOTAL(9,D311:D312)</f>
        <v>90574</v>
      </c>
      <c r="E313">
        <f>SUBTOTAL(9,E311:E312)</f>
        <v>4385</v>
      </c>
    </row>
    <row r="314" spans="1:6" x14ac:dyDescent="0.25">
      <c r="C314" s="695" t="s">
        <v>1693</v>
      </c>
      <c r="D314">
        <f>SUBTOTAL(9,D2:D312)</f>
        <v>18262609</v>
      </c>
      <c r="E314">
        <f>SUBTOTAL(9,E2:E312)</f>
        <v>2264616</v>
      </c>
    </row>
    <row r="316" spans="1:6" x14ac:dyDescent="0.25">
      <c r="C316" t="s">
        <v>967</v>
      </c>
      <c r="D316">
        <v>243288</v>
      </c>
      <c r="E316">
        <v>22705</v>
      </c>
      <c r="F316" t="str">
        <f>VLOOKUP(C316,'[2]Main Working'!$D$3:$D$125,1,FALSE)</f>
        <v>AACPI6575J</v>
      </c>
    </row>
    <row r="317" spans="1:6" x14ac:dyDescent="0.25">
      <c r="C317" t="s">
        <v>787</v>
      </c>
      <c r="D317">
        <v>121696</v>
      </c>
      <c r="E317">
        <v>8131</v>
      </c>
      <c r="F317" t="str">
        <f>VLOOKUP(C317,'[2]Main Working'!$D$3:$D$125,1,FALSE)</f>
        <v>AACPU4948B</v>
      </c>
    </row>
    <row r="318" spans="1:6" x14ac:dyDescent="0.25">
      <c r="C318" s="722" t="s">
        <v>571</v>
      </c>
      <c r="D318">
        <v>270524</v>
      </c>
      <c r="E318">
        <v>72415</v>
      </c>
      <c r="F318" t="str">
        <f>VLOOKUP(C318,'[2]Main Working'!$D$3:$D$125,1,FALSE)</f>
        <v>AAFPW9155R</v>
      </c>
    </row>
    <row r="319" spans="1:6" x14ac:dyDescent="0.25">
      <c r="C319" t="s">
        <v>963</v>
      </c>
      <c r="D319">
        <v>286218</v>
      </c>
      <c r="E319">
        <v>40990</v>
      </c>
      <c r="F319" t="str">
        <f>VLOOKUP(C319,'[2]Main Working'!$D$3:$D$125,1,FALSE)</f>
        <v>AAFPW8312E</v>
      </c>
    </row>
    <row r="320" spans="1:6" x14ac:dyDescent="0.25">
      <c r="C320" t="s">
        <v>916</v>
      </c>
      <c r="D320">
        <v>94364</v>
      </c>
      <c r="E320">
        <v>34160</v>
      </c>
      <c r="F320" t="str">
        <f>VLOOKUP(C320,'[2]Main Working'!$D$3:$D$125,1,FALSE)</f>
        <v>AAGPE6252J</v>
      </c>
    </row>
    <row r="321" spans="3:6" x14ac:dyDescent="0.25">
      <c r="C321" t="s">
        <v>567</v>
      </c>
      <c r="D321">
        <v>270524</v>
      </c>
      <c r="E321">
        <v>47725</v>
      </c>
      <c r="F321" t="str">
        <f>VLOOKUP(C321,'[2]Main Working'!$D$3:$D$125,1,FALSE)</f>
        <v>AAGPT7779K</v>
      </c>
    </row>
    <row r="322" spans="3:6" x14ac:dyDescent="0.25">
      <c r="C322" t="s">
        <v>1348</v>
      </c>
      <c r="D322">
        <v>159202</v>
      </c>
      <c r="E322">
        <v>25185</v>
      </c>
      <c r="F322" t="str">
        <f>VLOOKUP(C322,'[2]Main Working'!$D$3:$D$125,1,FALSE)</f>
        <v>AAGPW1208E</v>
      </c>
    </row>
    <row r="323" spans="3:6" x14ac:dyDescent="0.25">
      <c r="C323" t="s">
        <v>68</v>
      </c>
      <c r="D323">
        <v>138188</v>
      </c>
      <c r="E323">
        <v>11077</v>
      </c>
      <c r="F323" t="str">
        <f>VLOOKUP(C323,'[2]Main Working'!$D$3:$D$125,1,FALSE)</f>
        <v>AAIPW6669B</v>
      </c>
    </row>
    <row r="324" spans="3:6" x14ac:dyDescent="0.25">
      <c r="C324" t="s">
        <v>52</v>
      </c>
      <c r="D324">
        <v>217456</v>
      </c>
      <c r="E324">
        <v>33159</v>
      </c>
      <c r="F324" t="str">
        <f>VLOOKUP(C324,'[2]Main Working'!$D$3:$D$125,1,FALSE)</f>
        <v>AAOPW3992R</v>
      </c>
    </row>
    <row r="325" spans="3:6" x14ac:dyDescent="0.25">
      <c r="C325" t="s">
        <v>933</v>
      </c>
      <c r="D325">
        <v>125154</v>
      </c>
      <c r="E325">
        <v>6240</v>
      </c>
      <c r="F325" t="str">
        <f>VLOOKUP(C325,'[2]Main Working'!$D$3:$D$125,1,FALSE)</f>
        <v>AAQPL5243C</v>
      </c>
    </row>
    <row r="326" spans="3:6" x14ac:dyDescent="0.25">
      <c r="C326" t="s">
        <v>1189</v>
      </c>
      <c r="D326">
        <v>270524</v>
      </c>
      <c r="E326">
        <v>31315</v>
      </c>
      <c r="F326" t="str">
        <f>VLOOKUP(C326,'[2]Main Working'!$D$3:$D$125,1,FALSE)</f>
        <v>AARPT3239R</v>
      </c>
    </row>
    <row r="327" spans="3:6" x14ac:dyDescent="0.25">
      <c r="C327" t="s">
        <v>781</v>
      </c>
      <c r="D327">
        <v>214294</v>
      </c>
      <c r="E327">
        <v>39500</v>
      </c>
      <c r="F327" t="str">
        <f>VLOOKUP(C327,'[2]Main Working'!$D$3:$D$125,1,FALSE)</f>
        <v>AASPD1547R</v>
      </c>
    </row>
    <row r="328" spans="3:6" x14ac:dyDescent="0.25">
      <c r="C328" t="s">
        <v>32</v>
      </c>
      <c r="D328">
        <v>230224</v>
      </c>
      <c r="E328">
        <v>34915</v>
      </c>
      <c r="F328" t="str">
        <f>VLOOKUP(C328,'[2]Main Working'!$D$3:$D$125,1,FALSE)</f>
        <v>AASPR2306L</v>
      </c>
    </row>
    <row r="329" spans="3:6" x14ac:dyDescent="0.25">
      <c r="C329" t="s">
        <v>582</v>
      </c>
      <c r="D329">
        <v>199634</v>
      </c>
      <c r="E329">
        <v>20070</v>
      </c>
      <c r="F329" t="str">
        <f>VLOOKUP(C329,'[2]Main Working'!$D$3:$D$125,1,FALSE)</f>
        <v>AATPT8733A</v>
      </c>
    </row>
    <row r="330" spans="3:6" x14ac:dyDescent="0.25">
      <c r="C330" t="s">
        <v>931</v>
      </c>
      <c r="D330">
        <v>286218</v>
      </c>
      <c r="E330">
        <v>45682</v>
      </c>
      <c r="F330" t="str">
        <f>VLOOKUP(C330,'[2]Main Working'!$D$3:$D$125,1,FALSE)</f>
        <v>AAUPC2242A</v>
      </c>
    </row>
    <row r="331" spans="3:6" x14ac:dyDescent="0.25">
      <c r="C331" t="s">
        <v>921</v>
      </c>
      <c r="D331">
        <v>194048</v>
      </c>
      <c r="E331">
        <v>26575</v>
      </c>
      <c r="F331" t="str">
        <f>VLOOKUP(C331,'[2]Main Working'!$D$3:$D$125,1,FALSE)</f>
        <v>AAVPB8851F</v>
      </c>
    </row>
    <row r="332" spans="3:6" x14ac:dyDescent="0.25">
      <c r="C332" t="s">
        <v>36</v>
      </c>
      <c r="D332">
        <v>94364</v>
      </c>
      <c r="E332">
        <v>10012</v>
      </c>
      <c r="F332" t="str">
        <f>VLOOKUP(C332,'[2]Main Working'!$D$3:$D$125,1,FALSE)</f>
        <v>AAVPN2192F</v>
      </c>
    </row>
    <row r="333" spans="3:6" x14ac:dyDescent="0.25">
      <c r="C333" t="s">
        <v>599</v>
      </c>
      <c r="D333">
        <v>128612</v>
      </c>
      <c r="E333">
        <v>11515</v>
      </c>
      <c r="F333" t="str">
        <f>VLOOKUP(C333,'[2]Main Working'!$D$3:$D$125,1,FALSE)</f>
        <v>AAYPV2720L</v>
      </c>
    </row>
    <row r="334" spans="3:6" x14ac:dyDescent="0.25">
      <c r="C334" t="s">
        <v>608</v>
      </c>
      <c r="D334">
        <v>125154</v>
      </c>
      <c r="E334">
        <v>8000</v>
      </c>
      <c r="F334" t="str">
        <f>VLOOKUP(C334,'[2]Main Working'!$D$3:$D$125,1,FALSE)</f>
        <v>AAZPG2678P</v>
      </c>
    </row>
    <row r="335" spans="3:6" x14ac:dyDescent="0.25">
      <c r="C335" t="s">
        <v>764</v>
      </c>
      <c r="D335">
        <v>121696</v>
      </c>
      <c r="E335">
        <v>6465</v>
      </c>
      <c r="F335" t="str">
        <f>VLOOKUP(C335,'[2]Main Working'!$D$3:$D$125,1,FALSE)</f>
        <v>ABAPN1177G</v>
      </c>
    </row>
    <row r="336" spans="3:6" x14ac:dyDescent="0.25">
      <c r="C336" t="s">
        <v>935</v>
      </c>
      <c r="D336">
        <v>248978</v>
      </c>
      <c r="E336">
        <v>15770</v>
      </c>
      <c r="F336" t="str">
        <f>VLOOKUP(C336,'[2]Main Working'!$D$3:$D$125,1,FALSE)</f>
        <v>ABAPP4861B</v>
      </c>
    </row>
    <row r="337" spans="3:6" x14ac:dyDescent="0.25">
      <c r="C337" t="s">
        <v>1346</v>
      </c>
      <c r="D337">
        <v>250046</v>
      </c>
      <c r="E337">
        <v>24650</v>
      </c>
      <c r="F337" t="str">
        <f>VLOOKUP(C337,'[2]Main Working'!$D$3:$D$125,1,FALSE)</f>
        <v>ABBPG7812L</v>
      </c>
    </row>
    <row r="338" spans="3:6" x14ac:dyDescent="0.25">
      <c r="C338" t="s">
        <v>744</v>
      </c>
      <c r="D338">
        <v>248180</v>
      </c>
      <c r="E338">
        <v>54180</v>
      </c>
      <c r="F338" t="str">
        <f>VLOOKUP(C338,'[2]Main Working'!$D$3:$D$125,1,FALSE)</f>
        <v>ABBPM5358D</v>
      </c>
    </row>
    <row r="339" spans="3:6" x14ac:dyDescent="0.25">
      <c r="C339" t="s">
        <v>1522</v>
      </c>
      <c r="D339">
        <v>283590</v>
      </c>
      <c r="E339">
        <v>40000</v>
      </c>
      <c r="F339" t="str">
        <f>VLOOKUP(C339,'[2]Main Working'!$D$3:$D$125,1,FALSE)</f>
        <v>ABCPD5591J</v>
      </c>
    </row>
    <row r="340" spans="3:6" x14ac:dyDescent="0.25">
      <c r="C340" t="s">
        <v>34</v>
      </c>
      <c r="D340">
        <v>205486</v>
      </c>
      <c r="E340">
        <v>23405</v>
      </c>
      <c r="F340" t="str">
        <f>VLOOKUP(C340,'[2]Main Working'!$D$3:$D$125,1,FALSE)</f>
        <v>ABCPL2959E</v>
      </c>
    </row>
    <row r="341" spans="3:6" x14ac:dyDescent="0.25">
      <c r="C341" t="s">
        <v>8</v>
      </c>
      <c r="D341">
        <v>250046</v>
      </c>
      <c r="E341">
        <v>41056</v>
      </c>
      <c r="F341" t="str">
        <f>VLOOKUP(C341,'[2]Main Working'!$D$3:$D$125,1,FALSE)</f>
        <v>ABCPM5927H</v>
      </c>
    </row>
    <row r="342" spans="3:6" x14ac:dyDescent="0.25">
      <c r="C342" t="s">
        <v>46</v>
      </c>
      <c r="D342">
        <v>188728</v>
      </c>
      <c r="E342">
        <v>20230</v>
      </c>
      <c r="F342" t="str">
        <f>VLOOKUP(C342,'[2]Main Working'!$D$3:$D$125,1,FALSE)</f>
        <v>ABEPV2768D</v>
      </c>
    </row>
    <row r="343" spans="3:6" x14ac:dyDescent="0.25">
      <c r="C343" t="s">
        <v>1196</v>
      </c>
      <c r="D343">
        <v>79788</v>
      </c>
      <c r="E343">
        <v>5595</v>
      </c>
      <c r="F343" t="str">
        <f>VLOOKUP(C343,'[2]Main Working'!$D$3:$D$125,1,FALSE)</f>
        <v>ABJPW3484G</v>
      </c>
    </row>
    <row r="344" spans="3:6" x14ac:dyDescent="0.25">
      <c r="C344" t="s">
        <v>957</v>
      </c>
      <c r="D344">
        <v>42074</v>
      </c>
      <c r="E344">
        <v>710</v>
      </c>
      <c r="F344" t="str">
        <f>VLOOKUP(C344,'[2]Main Working'!$D$3:$D$125,1,FALSE)</f>
        <v>ABJPY0631P</v>
      </c>
    </row>
    <row r="345" spans="3:6" x14ac:dyDescent="0.25">
      <c r="C345" t="s">
        <v>767</v>
      </c>
      <c r="D345">
        <v>139520</v>
      </c>
      <c r="E345">
        <v>10197</v>
      </c>
      <c r="F345" t="str">
        <f>VLOOKUP(C345,'[2]Main Working'!$D$3:$D$125,1,FALSE)</f>
        <v>ABNPT2554L</v>
      </c>
    </row>
    <row r="346" spans="3:6" x14ac:dyDescent="0.25">
      <c r="C346" t="s">
        <v>924</v>
      </c>
      <c r="D346">
        <v>278238</v>
      </c>
      <c r="E346">
        <v>49720</v>
      </c>
      <c r="F346" t="str">
        <f>VLOOKUP(C346,'[2]Main Working'!$D$3:$D$125,1,FALSE)</f>
        <v>ABQPG7509R</v>
      </c>
    </row>
    <row r="347" spans="3:6" x14ac:dyDescent="0.25">
      <c r="C347" t="s">
        <v>394</v>
      </c>
      <c r="D347">
        <v>199634</v>
      </c>
      <c r="E347">
        <v>23438</v>
      </c>
      <c r="F347" t="str">
        <f>VLOOKUP(C347,'[2]Main Working'!$D$3:$D$125,1,FALSE)</f>
        <v>ABRPA1062A</v>
      </c>
    </row>
    <row r="348" spans="3:6" x14ac:dyDescent="0.25">
      <c r="C348" t="s">
        <v>12</v>
      </c>
      <c r="D348">
        <v>112270</v>
      </c>
      <c r="E348">
        <v>19630</v>
      </c>
      <c r="F348" t="str">
        <f>VLOOKUP(C348,'[2]Main Working'!$D$3:$D$125,1,FALSE)</f>
        <v>ABRPL4887E</v>
      </c>
    </row>
    <row r="349" spans="3:6" x14ac:dyDescent="0.25">
      <c r="C349" t="s">
        <v>758</v>
      </c>
      <c r="D349">
        <v>125154</v>
      </c>
      <c r="E349">
        <v>3310</v>
      </c>
      <c r="F349" t="str">
        <f>VLOOKUP(C349,'[2]Main Working'!$D$3:$D$125,1,FALSE)</f>
        <v>ABSPH7453F</v>
      </c>
    </row>
    <row r="350" spans="3:6" x14ac:dyDescent="0.25">
      <c r="C350" t="s">
        <v>44</v>
      </c>
      <c r="D350">
        <v>255894</v>
      </c>
      <c r="E350">
        <v>18305</v>
      </c>
      <c r="F350" t="str">
        <f>VLOOKUP(C350,'[2]Main Working'!$D$3:$D$125,1,FALSE)</f>
        <v>ABSPJ9047P</v>
      </c>
    </row>
    <row r="351" spans="3:6" x14ac:dyDescent="0.25">
      <c r="C351" t="s">
        <v>38</v>
      </c>
      <c r="D351">
        <v>205486</v>
      </c>
      <c r="E351">
        <v>23175</v>
      </c>
      <c r="F351" t="str">
        <f>VLOOKUP(C351,'[2]Main Working'!$D$3:$D$125,1,FALSE)</f>
        <v>ABTPT1092K</v>
      </c>
    </row>
    <row r="352" spans="3:6" x14ac:dyDescent="0.25">
      <c r="C352" t="s">
        <v>945</v>
      </c>
      <c r="D352">
        <v>293400</v>
      </c>
      <c r="E352">
        <v>44630</v>
      </c>
      <c r="F352" t="str">
        <f>VLOOKUP(C352,'[2]Main Working'!$D$3:$D$125,1,FALSE)</f>
        <v>ABUPM3119R</v>
      </c>
    </row>
    <row r="353" spans="3:6" x14ac:dyDescent="0.25">
      <c r="C353" t="s">
        <v>1352</v>
      </c>
      <c r="D353">
        <v>199634</v>
      </c>
      <c r="E353">
        <v>39975</v>
      </c>
      <c r="F353" t="str">
        <f>VLOOKUP(C353,'[2]Main Working'!$D$3:$D$125,1,FALSE)</f>
        <v>ABVPJ7065Q</v>
      </c>
    </row>
    <row r="354" spans="3:6" x14ac:dyDescent="0.25">
      <c r="C354" t="s">
        <v>603</v>
      </c>
      <c r="D354">
        <v>128612</v>
      </c>
      <c r="E354">
        <v>6950</v>
      </c>
      <c r="F354" t="str">
        <f>VLOOKUP(C354,'[2]Main Working'!$D$3:$D$125,1,FALSE)</f>
        <v>ABWPR4988H</v>
      </c>
    </row>
    <row r="355" spans="3:6" x14ac:dyDescent="0.25">
      <c r="C355" t="s">
        <v>772</v>
      </c>
      <c r="D355">
        <v>150424</v>
      </c>
      <c r="E355">
        <v>11065</v>
      </c>
      <c r="F355" t="str">
        <f>VLOOKUP(C355,'[2]Main Working'!$D$3:$D$125,1,FALSE)</f>
        <v>ABWPR5162M</v>
      </c>
    </row>
    <row r="356" spans="3:6" x14ac:dyDescent="0.25">
      <c r="C356" t="s">
        <v>949</v>
      </c>
      <c r="D356">
        <v>286218</v>
      </c>
      <c r="E356">
        <v>59295</v>
      </c>
      <c r="F356" t="str">
        <f>VLOOKUP(C356,'[2]Main Working'!$D$3:$D$125,1,FALSE)</f>
        <v>ABZPK9470G</v>
      </c>
    </row>
    <row r="357" spans="3:6" x14ac:dyDescent="0.25">
      <c r="C357" t="s">
        <v>961</v>
      </c>
      <c r="D357">
        <v>103874</v>
      </c>
      <c r="E357">
        <v>5199</v>
      </c>
      <c r="F357" t="str">
        <f>VLOOKUP(C357,'[2]Main Working'!$D$3:$D$125,1,FALSE)</f>
        <v>ABZPV9299E</v>
      </c>
    </row>
    <row r="358" spans="3:6" x14ac:dyDescent="0.25">
      <c r="C358" t="s">
        <v>752</v>
      </c>
      <c r="D358">
        <v>125154</v>
      </c>
      <c r="E358">
        <v>7990</v>
      </c>
      <c r="F358" t="str">
        <f>VLOOKUP(C358,'[2]Main Working'!$D$3:$D$125,1,FALSE)</f>
        <v>ACAPD3071G</v>
      </c>
    </row>
    <row r="359" spans="3:6" x14ac:dyDescent="0.25">
      <c r="C359" t="s">
        <v>947</v>
      </c>
      <c r="D359">
        <v>194048</v>
      </c>
      <c r="E359">
        <v>25450</v>
      </c>
      <c r="F359" t="str">
        <f>VLOOKUP(C359,'[2]Main Working'!$D$3:$D$125,1,FALSE)</f>
        <v>ACEPG7704M</v>
      </c>
    </row>
    <row r="360" spans="3:6" x14ac:dyDescent="0.25">
      <c r="C360" t="s">
        <v>969</v>
      </c>
      <c r="D360">
        <v>194048</v>
      </c>
      <c r="E360">
        <v>22830</v>
      </c>
      <c r="F360" t="str">
        <f>VLOOKUP(C360,'[2]Main Working'!$D$3:$D$125,1,FALSE)</f>
        <v>ACHPG2424M</v>
      </c>
    </row>
    <row r="361" spans="3:6" x14ac:dyDescent="0.25">
      <c r="C361" t="s">
        <v>955</v>
      </c>
      <c r="D361">
        <v>128612</v>
      </c>
      <c r="E361">
        <v>2823</v>
      </c>
      <c r="F361" t="str">
        <f>VLOOKUP(C361,'[2]Main Working'!$D$3:$D$125,1,FALSE)</f>
        <v>ACIPB2842D</v>
      </c>
    </row>
    <row r="362" spans="3:6" x14ac:dyDescent="0.25">
      <c r="C362" t="s">
        <v>1185</v>
      </c>
      <c r="D362">
        <v>188728</v>
      </c>
      <c r="E362">
        <v>34275</v>
      </c>
      <c r="F362" t="str">
        <f>VLOOKUP(C362,'[2]Main Working'!$D$3:$D$125,1,FALSE)</f>
        <v>ACPPB1747G</v>
      </c>
    </row>
    <row r="363" spans="3:6" x14ac:dyDescent="0.25">
      <c r="C363" t="s">
        <v>937</v>
      </c>
      <c r="D363">
        <v>168512</v>
      </c>
      <c r="E363">
        <v>11260</v>
      </c>
      <c r="F363" t="str">
        <f>VLOOKUP(C363,'[2]Main Working'!$D$3:$D$125,1,FALSE)</f>
        <v>ACPPM8306A</v>
      </c>
    </row>
    <row r="364" spans="3:6" x14ac:dyDescent="0.25">
      <c r="C364" t="s">
        <v>48</v>
      </c>
      <c r="D364">
        <v>159202</v>
      </c>
      <c r="E364">
        <v>14480</v>
      </c>
      <c r="F364" t="str">
        <f>VLOOKUP(C364,'[2]Main Working'!$D$3:$D$125,1,FALSE)</f>
        <v>ACQPP2485A</v>
      </c>
    </row>
    <row r="365" spans="3:6" x14ac:dyDescent="0.25">
      <c r="C365" t="s">
        <v>1689</v>
      </c>
      <c r="D365">
        <v>194048</v>
      </c>
      <c r="E365">
        <v>21706</v>
      </c>
      <c r="F365" t="e">
        <f>VLOOKUP(C365,'[2]Main Working'!$D$3:$D$125,1,FALSE)</f>
        <v>#N/A</v>
      </c>
    </row>
    <row r="366" spans="3:6" x14ac:dyDescent="0.25">
      <c r="C366" t="s">
        <v>28</v>
      </c>
      <c r="D366">
        <v>115312</v>
      </c>
      <c r="E366">
        <v>5756</v>
      </c>
      <c r="F366" t="str">
        <f>VLOOKUP(C366,'[2]Main Working'!$D$3:$D$125,1,FALSE)</f>
        <v>ACRPS9024K</v>
      </c>
    </row>
    <row r="367" spans="3:6" x14ac:dyDescent="0.25">
      <c r="C367" t="s">
        <v>953</v>
      </c>
      <c r="D367">
        <v>138188</v>
      </c>
      <c r="E367">
        <v>12395</v>
      </c>
      <c r="F367" t="str">
        <f>VLOOKUP(C367,'[2]Main Working'!$D$3:$D$125,1,FALSE)</f>
        <v>ACWPK6876A</v>
      </c>
    </row>
    <row r="368" spans="3:6" x14ac:dyDescent="0.25">
      <c r="C368" t="s">
        <v>601</v>
      </c>
      <c r="D368">
        <v>168512</v>
      </c>
      <c r="E368">
        <v>15135</v>
      </c>
      <c r="F368" t="str">
        <f>VLOOKUP(C368,'[2]Main Working'!$D$3:$D$125,1,FALSE)</f>
        <v>ACWPP7489A</v>
      </c>
    </row>
    <row r="369" spans="3:6" x14ac:dyDescent="0.25">
      <c r="C369" t="s">
        <v>785</v>
      </c>
      <c r="D369">
        <v>194048</v>
      </c>
      <c r="E369">
        <v>10980</v>
      </c>
      <c r="F369" t="str">
        <f>VLOOKUP(C369,'[2]Main Working'!$D$3:$D$125,1,FALSE)</f>
        <v>ACXPC3427A</v>
      </c>
    </row>
    <row r="370" spans="3:6" x14ac:dyDescent="0.25">
      <c r="C370" t="s">
        <v>777</v>
      </c>
      <c r="D370">
        <v>154680</v>
      </c>
      <c r="E370">
        <v>19145</v>
      </c>
      <c r="F370" t="str">
        <f>VLOOKUP(C370,'[2]Main Working'!$D$3:$D$125,1,FALSE)</f>
        <v>ADBPK7214L</v>
      </c>
    </row>
    <row r="371" spans="3:6" x14ac:dyDescent="0.25">
      <c r="C371" t="s">
        <v>56</v>
      </c>
      <c r="D371">
        <v>159202</v>
      </c>
      <c r="E371">
        <v>11440</v>
      </c>
      <c r="F371" t="str">
        <f>VLOOKUP(C371,'[2]Main Working'!$D$3:$D$125,1,FALSE)</f>
        <v>ADBPK7216J</v>
      </c>
    </row>
    <row r="372" spans="3:6" x14ac:dyDescent="0.25">
      <c r="C372" t="s">
        <v>10</v>
      </c>
      <c r="D372">
        <v>294464</v>
      </c>
      <c r="E372">
        <v>49785</v>
      </c>
      <c r="F372" t="str">
        <f>VLOOKUP(C372,'[2]Main Working'!$D$3:$D$125,1,FALSE)</f>
        <v>ADHPP1650P</v>
      </c>
    </row>
    <row r="373" spans="3:6" x14ac:dyDescent="0.25">
      <c r="C373" t="s">
        <v>586</v>
      </c>
      <c r="D373">
        <v>188728</v>
      </c>
      <c r="E373">
        <v>22370</v>
      </c>
      <c r="F373" t="str">
        <f>VLOOKUP(C373,'[2]Main Working'!$D$3:$D$125,1,FALSE)</f>
        <v>ADIPA1768J</v>
      </c>
    </row>
    <row r="374" spans="3:6" x14ac:dyDescent="0.25">
      <c r="C374" t="s">
        <v>578</v>
      </c>
      <c r="D374">
        <v>250046</v>
      </c>
      <c r="E374">
        <v>33105</v>
      </c>
      <c r="F374" t="str">
        <f>VLOOKUP(C374,'[2]Main Working'!$D$3:$D$125,1,FALSE)</f>
        <v>ADJPJ6257A</v>
      </c>
    </row>
    <row r="375" spans="3:6" x14ac:dyDescent="0.25">
      <c r="C375" t="s">
        <v>60</v>
      </c>
      <c r="D375">
        <v>168512</v>
      </c>
      <c r="E375">
        <v>16525</v>
      </c>
      <c r="F375" t="str">
        <f>VLOOKUP(C375,'[2]Main Working'!$D$3:$D$125,1,FALSE)</f>
        <v>ADNPP8730C</v>
      </c>
    </row>
    <row r="376" spans="3:6" x14ac:dyDescent="0.25">
      <c r="C376" t="s">
        <v>42</v>
      </c>
      <c r="D376">
        <v>194048</v>
      </c>
      <c r="E376">
        <v>21604</v>
      </c>
      <c r="F376" t="str">
        <f>VLOOKUP(C376,'[2]Main Working'!$D$3:$D$125,1,FALSE)</f>
        <v>ADQPR0929N</v>
      </c>
    </row>
    <row r="377" spans="3:6" x14ac:dyDescent="0.25">
      <c r="C377" t="s">
        <v>1166</v>
      </c>
      <c r="D377">
        <v>310158</v>
      </c>
      <c r="E377">
        <v>81703</v>
      </c>
      <c r="F377" t="str">
        <f>VLOOKUP(C377,'[2]Main Working'!$D$3:$D$125,1,FALSE)</f>
        <v>ADQPR7573N</v>
      </c>
    </row>
    <row r="378" spans="3:6" x14ac:dyDescent="0.25">
      <c r="C378" t="s">
        <v>754</v>
      </c>
      <c r="D378">
        <v>168512</v>
      </c>
      <c r="E378">
        <v>11660</v>
      </c>
      <c r="F378" t="str">
        <f>VLOOKUP(C378,'[2]Main Working'!$D$3:$D$125,1,FALSE)</f>
        <v>AEAPN1638P</v>
      </c>
    </row>
    <row r="379" spans="3:6" x14ac:dyDescent="0.25">
      <c r="C379" t="s">
        <v>1182</v>
      </c>
      <c r="D379">
        <v>286218</v>
      </c>
      <c r="E379">
        <v>75690</v>
      </c>
      <c r="F379" t="str">
        <f>VLOOKUP(C379,'[2]Main Working'!$D$3:$D$125,1,FALSE)</f>
        <v>AEBPS3237A</v>
      </c>
    </row>
    <row r="380" spans="3:6" x14ac:dyDescent="0.25">
      <c r="C380" t="s">
        <v>1194</v>
      </c>
      <c r="D380">
        <v>278238</v>
      </c>
      <c r="E380">
        <v>18660</v>
      </c>
      <c r="F380" t="str">
        <f>VLOOKUP(C380,'[2]Main Working'!$D$3:$D$125,1,FALSE)</f>
        <v>AEIPB2347F</v>
      </c>
    </row>
    <row r="381" spans="3:6" x14ac:dyDescent="0.25">
      <c r="C381" t="s">
        <v>74</v>
      </c>
      <c r="D381">
        <v>89598</v>
      </c>
      <c r="E381">
        <v>2270</v>
      </c>
      <c r="F381" t="str">
        <f>VLOOKUP(C381,'[2]Main Working'!$D$3:$D$125,1,FALSE)</f>
        <v>AEIPJ2086B</v>
      </c>
    </row>
    <row r="382" spans="3:6" x14ac:dyDescent="0.25">
      <c r="C382" t="s">
        <v>1200</v>
      </c>
      <c r="D382">
        <v>27939</v>
      </c>
      <c r="E382">
        <v>500</v>
      </c>
      <c r="F382" t="str">
        <f>VLOOKUP(C382,'[2]Main Working'!$D$3:$D$125,1,FALSE)</f>
        <v>AEIPT1113R</v>
      </c>
    </row>
    <row r="383" spans="3:6" x14ac:dyDescent="0.25">
      <c r="C383" t="s">
        <v>497</v>
      </c>
      <c r="D383">
        <v>257022</v>
      </c>
      <c r="E383">
        <v>38680</v>
      </c>
      <c r="F383" t="str">
        <f>VLOOKUP(C383,'[2]Main Working'!$D$3:$D$125,1,FALSE)</f>
        <v>AERPS4830F</v>
      </c>
    </row>
    <row r="384" spans="3:6" x14ac:dyDescent="0.25">
      <c r="C384" t="s">
        <v>99</v>
      </c>
      <c r="D384">
        <v>42074</v>
      </c>
      <c r="E384">
        <v>15</v>
      </c>
      <c r="F384" t="str">
        <f>VLOOKUP(C384,'[2]Main Working'!$D$3:$D$125,1,FALSE)</f>
        <v>AFBPC2896N</v>
      </c>
    </row>
    <row r="385" spans="3:6" x14ac:dyDescent="0.25">
      <c r="C385" t="s">
        <v>941</v>
      </c>
      <c r="D385">
        <v>264216</v>
      </c>
      <c r="E385">
        <v>44220</v>
      </c>
      <c r="F385" t="str">
        <f>VLOOKUP(C385,'[2]Main Working'!$D$3:$D$125,1,FALSE)</f>
        <v>AFFPD0564G</v>
      </c>
    </row>
    <row r="386" spans="3:6" x14ac:dyDescent="0.25">
      <c r="C386" t="s">
        <v>723</v>
      </c>
      <c r="D386">
        <v>199634</v>
      </c>
      <c r="E386">
        <v>18600</v>
      </c>
      <c r="F386" t="str">
        <f>VLOOKUP(C386,'[2]Main Working'!$D$3:$D$125,1,FALSE)</f>
        <v>AFOPS1749D</v>
      </c>
    </row>
    <row r="387" spans="3:6" x14ac:dyDescent="0.25">
      <c r="C387" t="s">
        <v>928</v>
      </c>
      <c r="D387">
        <v>222910</v>
      </c>
      <c r="E387">
        <v>47854</v>
      </c>
      <c r="F387" t="str">
        <f>VLOOKUP(C387,'[2]Main Working'!$D$3:$D$125,1,FALSE)</f>
        <v>AFOPS1827E</v>
      </c>
    </row>
    <row r="388" spans="3:6" x14ac:dyDescent="0.25">
      <c r="C388" t="s">
        <v>87</v>
      </c>
      <c r="D388">
        <v>92968</v>
      </c>
      <c r="E388">
        <v>4850</v>
      </c>
      <c r="F388" t="str">
        <f>VLOOKUP(C388,'[2]Main Working'!$D$3:$D$125,1,FALSE)</f>
        <v>AFTPJ6889E</v>
      </c>
    </row>
    <row r="389" spans="3:6" x14ac:dyDescent="0.25">
      <c r="C389" t="s">
        <v>20</v>
      </c>
      <c r="D389">
        <v>257022</v>
      </c>
      <c r="E389">
        <v>58710</v>
      </c>
      <c r="F389" t="str">
        <f>VLOOKUP(C389,'[2]Main Working'!$D$3:$D$125,1,FALSE)</f>
        <v>AFWPM1854M</v>
      </c>
    </row>
    <row r="390" spans="3:6" x14ac:dyDescent="0.25">
      <c r="C390" t="s">
        <v>26</v>
      </c>
      <c r="D390">
        <v>125154</v>
      </c>
      <c r="E390">
        <v>8505</v>
      </c>
      <c r="F390" t="str">
        <f>VLOOKUP(C390,'[2]Main Working'!$D$3:$D$125,1,FALSE)</f>
        <v>AGDPV4512H</v>
      </c>
    </row>
    <row r="391" spans="3:6" x14ac:dyDescent="0.25">
      <c r="C391" t="s">
        <v>580</v>
      </c>
      <c r="D391">
        <v>188728</v>
      </c>
      <c r="E391">
        <v>7800</v>
      </c>
      <c r="F391" t="str">
        <f>VLOOKUP(C391,'[2]Main Working'!$D$3:$D$125,1,FALSE)</f>
        <v>AGFPP8957N</v>
      </c>
    </row>
    <row r="392" spans="3:6" x14ac:dyDescent="0.25">
      <c r="C392" t="s">
        <v>943</v>
      </c>
      <c r="D392">
        <v>199634</v>
      </c>
      <c r="E392">
        <v>37170</v>
      </c>
      <c r="F392" t="str">
        <f>VLOOKUP(C392,'[2]Main Working'!$D$3:$D$125,1,FALSE)</f>
        <v>AGIPP5071C</v>
      </c>
    </row>
    <row r="393" spans="3:6" x14ac:dyDescent="0.25">
      <c r="C393" t="s">
        <v>91</v>
      </c>
      <c r="D393">
        <v>98288</v>
      </c>
      <c r="E393">
        <v>2490</v>
      </c>
      <c r="F393" t="str">
        <f>VLOOKUP(C393,'[2]Main Working'!$D$3:$D$125,1,FALSE)</f>
        <v>AGMPA3878Q</v>
      </c>
    </row>
    <row r="394" spans="3:6" x14ac:dyDescent="0.25">
      <c r="C394" t="s">
        <v>22</v>
      </c>
      <c r="D394">
        <v>130740</v>
      </c>
      <c r="E394">
        <v>13833</v>
      </c>
      <c r="F394" t="str">
        <f>VLOOKUP(C394,'[2]Main Working'!$D$3:$D$125,1,FALSE)</f>
        <v>AGXPR0340R</v>
      </c>
    </row>
    <row r="395" spans="3:6" x14ac:dyDescent="0.25">
      <c r="C395" t="s">
        <v>584</v>
      </c>
      <c r="D395">
        <v>194048</v>
      </c>
      <c r="E395">
        <v>18055</v>
      </c>
      <c r="F395" t="str">
        <f>VLOOKUP(C395,'[2]Main Working'!$D$3:$D$125,1,FALSE)</f>
        <v>AHCPS2565H</v>
      </c>
    </row>
    <row r="396" spans="3:6" x14ac:dyDescent="0.25">
      <c r="C396" t="s">
        <v>760</v>
      </c>
      <c r="D396">
        <v>121696</v>
      </c>
      <c r="E396">
        <v>6390</v>
      </c>
      <c r="F396" t="str">
        <f>VLOOKUP(C396,'[2]Main Working'!$D$3:$D$125,1,FALSE)</f>
        <v>AHEPB3182B</v>
      </c>
    </row>
    <row r="397" spans="3:6" x14ac:dyDescent="0.25">
      <c r="C397" t="s">
        <v>965</v>
      </c>
      <c r="D397">
        <v>85786</v>
      </c>
      <c r="E397">
        <v>5489</v>
      </c>
      <c r="F397" t="str">
        <f>VLOOKUP(C397,'[2]Main Working'!$D$3:$D$125,1,FALSE)</f>
        <v>AHKPR4657D</v>
      </c>
    </row>
    <row r="398" spans="3:6" x14ac:dyDescent="0.25">
      <c r="C398" t="s">
        <v>14</v>
      </c>
      <c r="D398">
        <v>95920</v>
      </c>
      <c r="E398">
        <v>2885</v>
      </c>
      <c r="F398" t="str">
        <f>VLOOKUP(C398,'[2]Main Working'!$D$3:$D$125,1,FALSE)</f>
        <v>AHQPK1439A</v>
      </c>
    </row>
    <row r="399" spans="3:6" x14ac:dyDescent="0.25">
      <c r="C399" t="s">
        <v>82</v>
      </c>
      <c r="D399">
        <v>42074</v>
      </c>
      <c r="E399">
        <v>800</v>
      </c>
      <c r="F399" t="str">
        <f>VLOOKUP(C399,'[2]Main Working'!$D$3:$D$125,1,FALSE)</f>
        <v>AHRPA9085F</v>
      </c>
    </row>
    <row r="400" spans="3:6" x14ac:dyDescent="0.25">
      <c r="C400" t="s">
        <v>766</v>
      </c>
      <c r="D400">
        <v>60848</v>
      </c>
      <c r="E400">
        <v>100</v>
      </c>
      <c r="F400" t="str">
        <f>VLOOKUP(C400,'[2]Main Working'!$D$3:$D$125,1,FALSE)</f>
        <v>AHXPR9008B</v>
      </c>
    </row>
    <row r="401" spans="3:6" x14ac:dyDescent="0.25">
      <c r="C401" t="s">
        <v>76</v>
      </c>
      <c r="D401">
        <v>107598</v>
      </c>
      <c r="E401">
        <v>1774</v>
      </c>
      <c r="F401" t="str">
        <f>VLOOKUP(C401,'[2]Main Working'!$D$3:$D$125,1,FALSE)</f>
        <v>AHYPM5668B</v>
      </c>
    </row>
    <row r="402" spans="3:6" x14ac:dyDescent="0.25">
      <c r="C402" t="s">
        <v>959</v>
      </c>
      <c r="D402">
        <v>270524</v>
      </c>
      <c r="E402">
        <v>45345</v>
      </c>
      <c r="F402" t="str">
        <f>VLOOKUP(C402,'[2]Main Working'!$D$3:$D$125,1,FALSE)</f>
        <v>AIEPS8010N</v>
      </c>
    </row>
    <row r="403" spans="3:6" x14ac:dyDescent="0.25">
      <c r="C403" t="s">
        <v>97</v>
      </c>
      <c r="D403">
        <v>95628</v>
      </c>
      <c r="E403">
        <v>3730</v>
      </c>
      <c r="F403" t="str">
        <f>VLOOKUP(C403,'[2]Main Working'!$D$3:$D$125,1,FALSE)</f>
        <v>AIHPD4783E</v>
      </c>
    </row>
    <row r="404" spans="3:6" x14ac:dyDescent="0.25">
      <c r="C404" t="s">
        <v>64</v>
      </c>
      <c r="D404">
        <v>95920</v>
      </c>
      <c r="E404">
        <v>4546</v>
      </c>
      <c r="F404" t="str">
        <f>VLOOKUP(C404,'[2]Main Working'!$D$3:$D$125,1,FALSE)</f>
        <v>AIMPG7606G</v>
      </c>
    </row>
    <row r="405" spans="3:6" x14ac:dyDescent="0.25">
      <c r="C405" t="s">
        <v>85</v>
      </c>
      <c r="D405">
        <v>92968</v>
      </c>
      <c r="E405">
        <v>2782</v>
      </c>
      <c r="F405" t="str">
        <f>VLOOKUP(C405,'[2]Main Working'!$D$3:$D$125,1,FALSE)</f>
        <v>AJBPG6549A</v>
      </c>
    </row>
    <row r="406" spans="3:6" x14ac:dyDescent="0.25">
      <c r="C406" t="s">
        <v>72</v>
      </c>
      <c r="D406">
        <v>243288</v>
      </c>
      <c r="E406">
        <v>54130</v>
      </c>
      <c r="F406" t="str">
        <f>VLOOKUP(C406,'[2]Main Working'!$D$3:$D$125,1,FALSE)</f>
        <v>AJEPS5879E</v>
      </c>
    </row>
    <row r="407" spans="3:6" x14ac:dyDescent="0.25">
      <c r="C407" t="s">
        <v>62</v>
      </c>
      <c r="D407">
        <v>112120</v>
      </c>
      <c r="E407">
        <v>5595</v>
      </c>
      <c r="F407" t="str">
        <f>VLOOKUP(C407,'[2]Main Working'!$D$3:$D$125,1,FALSE)</f>
        <v>AJPPP6298R</v>
      </c>
    </row>
    <row r="408" spans="3:6" x14ac:dyDescent="0.25">
      <c r="C408" t="s">
        <v>80</v>
      </c>
      <c r="D408">
        <v>42074</v>
      </c>
      <c r="E408">
        <v>875</v>
      </c>
      <c r="F408" t="str">
        <f>VLOOKUP(C408,'[2]Main Working'!$D$3:$D$125,1,FALSE)</f>
        <v>AKCPB2619J</v>
      </c>
    </row>
    <row r="409" spans="3:6" x14ac:dyDescent="0.25">
      <c r="C409" t="s">
        <v>779</v>
      </c>
      <c r="D409">
        <v>104672</v>
      </c>
      <c r="E409">
        <v>4330</v>
      </c>
      <c r="F409" t="str">
        <f>VLOOKUP(C409,'[2]Main Working'!$D$3:$D$125,1,FALSE)</f>
        <v>AKJPM1566A</v>
      </c>
    </row>
    <row r="410" spans="3:6" x14ac:dyDescent="0.25">
      <c r="C410" t="s">
        <v>590</v>
      </c>
      <c r="D410">
        <v>77340</v>
      </c>
      <c r="E410">
        <v>13050</v>
      </c>
      <c r="F410" t="str">
        <f>VLOOKUP(C410,'[2]Main Working'!$D$3:$D$125,1,FALSE)</f>
        <v>AKMPM0400A</v>
      </c>
    </row>
    <row r="411" spans="3:6" x14ac:dyDescent="0.25">
      <c r="C411" t="s">
        <v>909</v>
      </c>
      <c r="D411">
        <v>100948</v>
      </c>
      <c r="E411">
        <v>2970</v>
      </c>
      <c r="F411" t="str">
        <f>VLOOKUP(C411,'[2]Main Working'!$D$3:$D$125,1,FALSE)</f>
        <v>AKNPM3615N</v>
      </c>
    </row>
    <row r="412" spans="3:6" x14ac:dyDescent="0.25">
      <c r="C412" t="s">
        <v>89</v>
      </c>
      <c r="D412">
        <v>110524</v>
      </c>
      <c r="E412">
        <v>2666</v>
      </c>
      <c r="F412" t="str">
        <f>VLOOKUP(C412,'[2]Main Working'!$D$3:$D$125,1,FALSE)</f>
        <v>ALBPP2768E</v>
      </c>
    </row>
    <row r="413" spans="3:6" x14ac:dyDescent="0.25">
      <c r="C413" t="s">
        <v>594</v>
      </c>
      <c r="D413">
        <v>154680</v>
      </c>
      <c r="E413">
        <v>11245</v>
      </c>
      <c r="F413" t="str">
        <f>VLOOKUP(C413,'[2]Main Working'!$D$3:$D$125,1,FALSE)</f>
        <v>ALCPP7972R</v>
      </c>
    </row>
    <row r="414" spans="3:6" x14ac:dyDescent="0.25">
      <c r="C414" t="s">
        <v>58</v>
      </c>
      <c r="D414">
        <v>77340</v>
      </c>
      <c r="E414">
        <v>51730</v>
      </c>
      <c r="F414" t="str">
        <f>VLOOKUP(C414,'[2]Main Working'!$D$3:$D$125,1,FALSE)</f>
        <v>AMRPK1421E</v>
      </c>
    </row>
    <row r="415" spans="3:6" x14ac:dyDescent="0.25">
      <c r="C415" t="s">
        <v>54</v>
      </c>
      <c r="D415">
        <v>194048</v>
      </c>
      <c r="E415">
        <v>20810</v>
      </c>
      <c r="F415" t="str">
        <f>VLOOKUP(C415,'[2]Main Working'!$D$3:$D$125,1,FALSE)</f>
        <v>AMVPS6644M</v>
      </c>
    </row>
    <row r="416" spans="3:6" x14ac:dyDescent="0.25">
      <c r="C416" t="s">
        <v>1187</v>
      </c>
      <c r="D416">
        <v>109194</v>
      </c>
      <c r="E416">
        <v>7043</v>
      </c>
      <c r="F416" t="str">
        <f>VLOOKUP(C416,'[2]Main Working'!$D$3:$D$125,1,FALSE)</f>
        <v>ANWPK6783D</v>
      </c>
    </row>
    <row r="417" spans="3:6" x14ac:dyDescent="0.25">
      <c r="C417" t="s">
        <v>30</v>
      </c>
      <c r="D417">
        <v>202740</v>
      </c>
      <c r="E417">
        <v>15570</v>
      </c>
      <c r="F417" t="str">
        <f>VLOOKUP(C417,'[2]Main Working'!$D$3:$D$125,1,FALSE)</f>
        <v>APSPS6552C</v>
      </c>
    </row>
    <row r="418" spans="3:6" x14ac:dyDescent="0.25">
      <c r="C418" t="s">
        <v>1692</v>
      </c>
      <c r="D418">
        <v>294464</v>
      </c>
      <c r="E418">
        <v>33470</v>
      </c>
      <c r="F418" t="e">
        <f>VLOOKUP(C418,'[2]Main Working'!$D$3:$D$125,1,FALSE)</f>
        <v>#N/A</v>
      </c>
    </row>
    <row r="419" spans="3:6" x14ac:dyDescent="0.25">
      <c r="C419" t="s">
        <v>596</v>
      </c>
      <c r="D419">
        <v>128184</v>
      </c>
      <c r="E419">
        <v>12855</v>
      </c>
      <c r="F419" t="str">
        <f>VLOOKUP(C419,'[2]Main Working'!$D$3:$D$125,1,FALSE)</f>
        <v>AVUPS1951P</v>
      </c>
    </row>
    <row r="420" spans="3:6" x14ac:dyDescent="0.25">
      <c r="C420" t="s">
        <v>592</v>
      </c>
      <c r="D420">
        <v>77340</v>
      </c>
      <c r="E420">
        <v>11600</v>
      </c>
      <c r="F420" t="str">
        <f>VLOOKUP(C420,'[2]Main Working'!$D$3:$D$125,1,FALSE)</f>
        <v>AXLPS5214N</v>
      </c>
    </row>
    <row r="421" spans="3:6" x14ac:dyDescent="0.25">
      <c r="C421" t="s">
        <v>562</v>
      </c>
      <c r="D421">
        <v>84148</v>
      </c>
      <c r="E421">
        <v>5895</v>
      </c>
      <c r="F421" t="str">
        <f>VLOOKUP(C421,'[2]Main Working'!$D$3:$D$125,1,FALSE)</f>
        <v>AZUPS4527K</v>
      </c>
    </row>
    <row r="422" spans="3:6" x14ac:dyDescent="0.25">
      <c r="C422" t="s">
        <v>66</v>
      </c>
      <c r="D422">
        <v>112120</v>
      </c>
      <c r="E422">
        <v>5916</v>
      </c>
      <c r="F422" t="str">
        <f>VLOOKUP(C422,'[2]Main Working'!$D$3:$D$125,1,FALSE)</f>
        <v>BCMPS0953B</v>
      </c>
    </row>
    <row r="423" spans="3:6" x14ac:dyDescent="0.25">
      <c r="C423" t="s">
        <v>1198</v>
      </c>
      <c r="D423">
        <v>90574</v>
      </c>
      <c r="E423">
        <v>4385</v>
      </c>
      <c r="F423" t="str">
        <f>VLOOKUP(C423,'[2]Main Working'!$D$3:$D$125,1,FALSE)</f>
        <v>CEIPS6107Q</v>
      </c>
    </row>
    <row r="424" spans="3:6" x14ac:dyDescent="0.25">
      <c r="E424">
        <f>SUM(E316:E423)</f>
        <v>2264616</v>
      </c>
    </row>
  </sheetData>
  <autoFilter ref="C315:F424"/>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63"/>
  <sheetViews>
    <sheetView zoomScale="102" zoomScaleNormal="102" zoomScaleSheetLayoutView="100" workbookViewId="0">
      <pane xSplit="4" ySplit="2" topLeftCell="E115" activePane="bottomRight" state="frozen"/>
      <selection activeCell="E104" sqref="E104"/>
      <selection pane="topRight" activeCell="E104" sqref="E104"/>
      <selection pane="bottomLeft" activeCell="E104" sqref="E104"/>
      <selection pane="bottomRight" activeCell="D125" sqref="D125"/>
    </sheetView>
  </sheetViews>
  <sheetFormatPr defaultRowHeight="15" x14ac:dyDescent="0.25"/>
  <cols>
    <col min="1" max="1" width="4" style="489" customWidth="1"/>
    <col min="2" max="2" width="17.42578125" style="489" hidden="1" customWidth="1"/>
    <col min="3" max="3" width="21" style="489" customWidth="1"/>
    <col min="4" max="4" width="13.85546875" style="489" bestFit="1" customWidth="1"/>
    <col min="5" max="5" width="12.5703125" style="663" bestFit="1" customWidth="1"/>
    <col min="6" max="6" width="9.28515625" style="663" bestFit="1" customWidth="1"/>
    <col min="7" max="7" width="13.85546875" style="663" bestFit="1" customWidth="1"/>
    <col min="8" max="8" width="20.140625" style="489" hidden="1" customWidth="1"/>
    <col min="9" max="9" width="9.85546875" style="489" hidden="1" customWidth="1"/>
    <col min="10" max="10" width="9.85546875" style="489" customWidth="1"/>
    <col min="11" max="14" width="10.85546875" style="489" customWidth="1"/>
    <col min="15" max="16" width="11.5703125" style="489" bestFit="1" customWidth="1"/>
    <col min="17" max="17" width="43.7109375" style="489" hidden="1" customWidth="1"/>
    <col min="18" max="18" width="47.140625" style="489" hidden="1" customWidth="1"/>
    <col min="19" max="16384" width="9.140625" style="710"/>
  </cols>
  <sheetData>
    <row r="1" spans="1:19" ht="15.75" thickBot="1" x14ac:dyDescent="0.3">
      <c r="C1" s="489" t="s">
        <v>1458</v>
      </c>
      <c r="G1" s="663" t="s">
        <v>1698</v>
      </c>
      <c r="N1" s="489" t="s">
        <v>1658</v>
      </c>
      <c r="P1" s="489" t="s">
        <v>1699</v>
      </c>
      <c r="Q1" s="489" t="s">
        <v>1672</v>
      </c>
      <c r="R1" s="489" t="s">
        <v>1671</v>
      </c>
    </row>
    <row r="2" spans="1:19" s="711" customFormat="1" ht="45.75" thickBot="1" x14ac:dyDescent="0.3">
      <c r="A2" s="734" t="s">
        <v>1356</v>
      </c>
      <c r="B2" s="734" t="s">
        <v>565</v>
      </c>
      <c r="C2" s="734" t="s">
        <v>1</v>
      </c>
      <c r="D2" s="734" t="s">
        <v>2</v>
      </c>
      <c r="E2" s="735" t="s">
        <v>1357</v>
      </c>
      <c r="F2" s="735" t="s">
        <v>1696</v>
      </c>
      <c r="G2" s="735" t="s">
        <v>1697</v>
      </c>
      <c r="H2" s="734" t="s">
        <v>564</v>
      </c>
      <c r="I2" s="734" t="s">
        <v>741</v>
      </c>
      <c r="J2" s="734" t="s">
        <v>1694</v>
      </c>
      <c r="K2" s="734" t="s">
        <v>1460</v>
      </c>
      <c r="L2" s="734" t="s">
        <v>1461</v>
      </c>
      <c r="M2" s="734" t="s">
        <v>1462</v>
      </c>
      <c r="N2" s="734" t="s">
        <v>1463</v>
      </c>
      <c r="O2" s="734" t="s">
        <v>1359</v>
      </c>
      <c r="P2" s="734" t="s">
        <v>1358</v>
      </c>
      <c r="Q2" s="721" t="s">
        <v>1246</v>
      </c>
      <c r="R2" s="662" t="s">
        <v>1459</v>
      </c>
    </row>
    <row r="3" spans="1:19" x14ac:dyDescent="0.25">
      <c r="A3" s="722">
        <v>1</v>
      </c>
      <c r="B3" s="722"/>
      <c r="C3" s="722" t="s">
        <v>5</v>
      </c>
      <c r="D3" s="722" t="s">
        <v>6</v>
      </c>
      <c r="E3" s="723">
        <f>'(CKB-1)'!G98</f>
        <v>0</v>
      </c>
      <c r="F3" s="723">
        <f>'(CKB-1)'!G99</f>
        <v>900</v>
      </c>
      <c r="G3" s="723">
        <f t="shared" ref="G3:G34" si="0">E3-F3</f>
        <v>-900</v>
      </c>
      <c r="H3" s="722" t="s">
        <v>563</v>
      </c>
      <c r="I3" s="724" t="s">
        <v>742</v>
      </c>
      <c r="J3" s="724"/>
      <c r="K3" s="725">
        <v>900</v>
      </c>
      <c r="L3" s="725">
        <v>0</v>
      </c>
      <c r="M3" s="725">
        <v>0</v>
      </c>
      <c r="N3" s="725">
        <v>0</v>
      </c>
      <c r="O3" s="725">
        <f t="shared" ref="O3:O34" si="1">SUM(J3:N3)</f>
        <v>900</v>
      </c>
      <c r="P3" s="723">
        <f t="shared" ref="P3:P34" si="2">F3-O3</f>
        <v>0</v>
      </c>
      <c r="Q3" s="722" t="s">
        <v>1672</v>
      </c>
      <c r="R3" s="663"/>
    </row>
    <row r="4" spans="1:19" s="489" customFormat="1" x14ac:dyDescent="0.25">
      <c r="A4" s="722">
        <f>A3+1</f>
        <v>2</v>
      </c>
      <c r="B4" s="722" t="s">
        <v>1287</v>
      </c>
      <c r="C4" s="722" t="s">
        <v>7</v>
      </c>
      <c r="D4" s="722" t="s">
        <v>8</v>
      </c>
      <c r="E4" s="723">
        <f>'(MLM-2)'!G97</f>
        <v>178849</v>
      </c>
      <c r="F4" s="723">
        <f>'(MLM-2)'!G98</f>
        <v>178856</v>
      </c>
      <c r="G4" s="723">
        <f t="shared" si="0"/>
        <v>-7</v>
      </c>
      <c r="H4" s="722" t="s">
        <v>563</v>
      </c>
      <c r="I4" s="724" t="s">
        <v>742</v>
      </c>
      <c r="J4" s="724"/>
      <c r="K4" s="725">
        <v>47800</v>
      </c>
      <c r="L4" s="725">
        <v>36000</v>
      </c>
      <c r="M4" s="725">
        <v>54000</v>
      </c>
      <c r="N4" s="725">
        <f>VLOOKUP(D4,'Q4'!$C$316:$E$423,3,FALSE)</f>
        <v>41056</v>
      </c>
      <c r="O4" s="725">
        <f t="shared" si="1"/>
        <v>178856</v>
      </c>
      <c r="P4" s="723">
        <f t="shared" si="2"/>
        <v>0</v>
      </c>
      <c r="Q4" s="722" t="s">
        <v>1672</v>
      </c>
      <c r="R4" s="663"/>
    </row>
    <row r="5" spans="1:19" s="489" customFormat="1" x14ac:dyDescent="0.25">
      <c r="A5" s="722">
        <f t="shared" ref="A5:A68" si="3">A4+1</f>
        <v>3</v>
      </c>
      <c r="B5" s="722" t="s">
        <v>1251</v>
      </c>
      <c r="C5" s="722" t="s">
        <v>9</v>
      </c>
      <c r="D5" s="722" t="s">
        <v>10</v>
      </c>
      <c r="E5" s="723">
        <f>'(UCP-3)'!G97</f>
        <v>149979</v>
      </c>
      <c r="F5" s="723">
        <f>'(UCP-3)'!G98</f>
        <v>167985</v>
      </c>
      <c r="G5" s="723">
        <f t="shared" si="0"/>
        <v>-18006</v>
      </c>
      <c r="H5" s="722" t="s">
        <v>563</v>
      </c>
      <c r="I5" s="726" t="s">
        <v>742</v>
      </c>
      <c r="J5" s="726">
        <v>84000</v>
      </c>
      <c r="K5" s="725">
        <v>0</v>
      </c>
      <c r="L5" s="725">
        <v>0</v>
      </c>
      <c r="M5" s="725">
        <v>34200</v>
      </c>
      <c r="N5" s="725">
        <f>VLOOKUP(D5,'Q4'!$C$316:$E$423,3,FALSE)</f>
        <v>49785</v>
      </c>
      <c r="O5" s="725">
        <f t="shared" si="1"/>
        <v>167985</v>
      </c>
      <c r="P5" s="723">
        <f t="shared" si="2"/>
        <v>0</v>
      </c>
      <c r="Q5" s="722" t="s">
        <v>1674</v>
      </c>
      <c r="R5" s="663"/>
    </row>
    <row r="6" spans="1:19" s="489" customFormat="1" x14ac:dyDescent="0.25">
      <c r="A6" s="722">
        <f t="shared" si="3"/>
        <v>4</v>
      </c>
      <c r="B6" s="722" t="s">
        <v>1284</v>
      </c>
      <c r="C6" s="722" t="s">
        <v>11</v>
      </c>
      <c r="D6" s="722" t="s">
        <v>12</v>
      </c>
      <c r="E6" s="723">
        <f>'(KSL-4)'!G97</f>
        <v>122420</v>
      </c>
      <c r="F6" s="723">
        <f>'(KSL-4)'!G98</f>
        <v>138160</v>
      </c>
      <c r="G6" s="723">
        <f t="shared" si="0"/>
        <v>-15740</v>
      </c>
      <c r="H6" s="722" t="s">
        <v>563</v>
      </c>
      <c r="I6" s="724" t="s">
        <v>742</v>
      </c>
      <c r="J6" s="724"/>
      <c r="K6" s="725">
        <v>38900</v>
      </c>
      <c r="L6" s="725">
        <v>30000</v>
      </c>
      <c r="M6" s="725">
        <v>49630</v>
      </c>
      <c r="N6" s="725">
        <f>VLOOKUP(D6,'Q4'!$C$316:$E$423,3,FALSE)</f>
        <v>19630</v>
      </c>
      <c r="O6" s="725">
        <f t="shared" si="1"/>
        <v>138160</v>
      </c>
      <c r="P6" s="723">
        <f t="shared" si="2"/>
        <v>0</v>
      </c>
      <c r="Q6" s="722" t="s">
        <v>1672</v>
      </c>
      <c r="R6" s="663"/>
      <c r="S6" s="489" t="s">
        <v>1702</v>
      </c>
    </row>
    <row r="7" spans="1:19" s="489" customFormat="1" x14ac:dyDescent="0.25">
      <c r="A7" s="722">
        <f t="shared" si="3"/>
        <v>5</v>
      </c>
      <c r="B7" s="722" t="s">
        <v>1302</v>
      </c>
      <c r="C7" s="722" t="s">
        <v>13</v>
      </c>
      <c r="D7" s="722" t="s">
        <v>14</v>
      </c>
      <c r="E7" s="723">
        <f>'(VMK-5)'!G100</f>
        <v>6987</v>
      </c>
      <c r="F7" s="723">
        <f>'(VMK-5)'!G101</f>
        <v>6995</v>
      </c>
      <c r="G7" s="723">
        <f t="shared" si="0"/>
        <v>-8</v>
      </c>
      <c r="H7" s="722" t="s">
        <v>563</v>
      </c>
      <c r="I7" s="724" t="s">
        <v>742</v>
      </c>
      <c r="J7" s="724"/>
      <c r="K7" s="725">
        <v>700</v>
      </c>
      <c r="L7" s="725">
        <v>0</v>
      </c>
      <c r="M7" s="725">
        <v>3410</v>
      </c>
      <c r="N7" s="725">
        <f>VLOOKUP(D7,'Q4'!$C$316:$E$423,3,FALSE)</f>
        <v>2885</v>
      </c>
      <c r="O7" s="725">
        <f t="shared" si="1"/>
        <v>6995</v>
      </c>
      <c r="P7" s="723">
        <f t="shared" si="2"/>
        <v>0</v>
      </c>
      <c r="Q7" s="722" t="s">
        <v>1674</v>
      </c>
      <c r="R7" s="663"/>
    </row>
    <row r="8" spans="1:19" x14ac:dyDescent="0.25">
      <c r="A8" s="722">
        <f t="shared" si="3"/>
        <v>6</v>
      </c>
      <c r="B8" s="722" t="s">
        <v>1343</v>
      </c>
      <c r="C8" s="722" t="s">
        <v>15</v>
      </c>
      <c r="D8" s="722" t="s">
        <v>16</v>
      </c>
      <c r="E8" s="723">
        <f>'(PMK-6)'!G99</f>
        <v>97599</v>
      </c>
      <c r="F8" s="723">
        <f>'(PMK-6)'!G100</f>
        <v>104500</v>
      </c>
      <c r="G8" s="723">
        <f t="shared" si="0"/>
        <v>-6901</v>
      </c>
      <c r="H8" s="722" t="s">
        <v>563</v>
      </c>
      <c r="I8" s="724" t="s">
        <v>742</v>
      </c>
      <c r="J8" s="724"/>
      <c r="K8" s="725">
        <v>52500</v>
      </c>
      <c r="L8" s="725">
        <v>39000</v>
      </c>
      <c r="M8" s="725">
        <v>13000</v>
      </c>
      <c r="N8" s="725">
        <v>0</v>
      </c>
      <c r="O8" s="725">
        <f t="shared" si="1"/>
        <v>104500</v>
      </c>
      <c r="P8" s="723">
        <f t="shared" si="2"/>
        <v>0</v>
      </c>
      <c r="Q8" s="722" t="s">
        <v>1672</v>
      </c>
      <c r="R8" s="663"/>
    </row>
    <row r="9" spans="1:19" x14ac:dyDescent="0.25">
      <c r="A9" s="722">
        <f t="shared" si="3"/>
        <v>7</v>
      </c>
      <c r="B9" s="722" t="s">
        <v>1288</v>
      </c>
      <c r="C9" s="722" t="s">
        <v>19</v>
      </c>
      <c r="D9" s="722" t="s">
        <v>20</v>
      </c>
      <c r="E9" s="723">
        <f>'(RSM-8)'!G97</f>
        <v>210125</v>
      </c>
      <c r="F9" s="723">
        <f>'(RSM-8)'!G98</f>
        <v>210130</v>
      </c>
      <c r="G9" s="723">
        <f t="shared" si="0"/>
        <v>-5</v>
      </c>
      <c r="H9" s="722" t="s">
        <v>563</v>
      </c>
      <c r="I9" s="724" t="s">
        <v>742</v>
      </c>
      <c r="J9" s="724"/>
      <c r="K9" s="725">
        <v>55400</v>
      </c>
      <c r="L9" s="725">
        <v>42000</v>
      </c>
      <c r="M9" s="725">
        <v>54020</v>
      </c>
      <c r="N9" s="725">
        <f>VLOOKUP(D9,'Q4'!$C$316:$E$423,3,FALSE)</f>
        <v>58710</v>
      </c>
      <c r="O9" s="725">
        <f t="shared" si="1"/>
        <v>210130</v>
      </c>
      <c r="P9" s="723">
        <f t="shared" si="2"/>
        <v>0</v>
      </c>
      <c r="Q9" s="722" t="s">
        <v>1672</v>
      </c>
      <c r="R9" s="663"/>
    </row>
    <row r="10" spans="1:19" s="489" customFormat="1" x14ac:dyDescent="0.25">
      <c r="A10" s="722">
        <f t="shared" si="3"/>
        <v>8</v>
      </c>
      <c r="B10" s="722" t="s">
        <v>1299</v>
      </c>
      <c r="C10" s="722" t="s">
        <v>21</v>
      </c>
      <c r="D10" s="722" t="s">
        <v>22</v>
      </c>
      <c r="E10" s="723">
        <f>'(PR-9)'!G97</f>
        <v>39952</v>
      </c>
      <c r="F10" s="723">
        <f>'(PR-9)'!G98</f>
        <v>39957</v>
      </c>
      <c r="G10" s="723">
        <f t="shared" si="0"/>
        <v>-5</v>
      </c>
      <c r="H10" s="722" t="s">
        <v>563</v>
      </c>
      <c r="I10" s="724" t="s">
        <v>742</v>
      </c>
      <c r="J10" s="724"/>
      <c r="K10" s="725">
        <v>6400</v>
      </c>
      <c r="L10" s="725">
        <v>4500</v>
      </c>
      <c r="M10" s="725">
        <v>15224</v>
      </c>
      <c r="N10" s="725">
        <f>VLOOKUP(D10,'Q4'!$C$316:$E$423,3,FALSE)</f>
        <v>13833</v>
      </c>
      <c r="O10" s="725">
        <f t="shared" si="1"/>
        <v>39957</v>
      </c>
      <c r="P10" s="723">
        <f t="shared" si="2"/>
        <v>0</v>
      </c>
      <c r="Q10" s="722" t="s">
        <v>1674</v>
      </c>
      <c r="R10" s="663"/>
    </row>
    <row r="11" spans="1:19" s="489" customFormat="1" x14ac:dyDescent="0.25">
      <c r="A11" s="722">
        <f t="shared" si="3"/>
        <v>9</v>
      </c>
      <c r="B11" s="722"/>
      <c r="C11" s="722" t="s">
        <v>23</v>
      </c>
      <c r="D11" s="722" t="s">
        <v>24</v>
      </c>
      <c r="E11" s="723">
        <f>'(ASK-10)'!G98</f>
        <v>29104</v>
      </c>
      <c r="F11" s="723">
        <f>'(ASK-10)'!G99</f>
        <v>33000</v>
      </c>
      <c r="G11" s="723">
        <f t="shared" si="0"/>
        <v>-3896</v>
      </c>
      <c r="H11" s="722" t="s">
        <v>563</v>
      </c>
      <c r="I11" s="724" t="s">
        <v>742</v>
      </c>
      <c r="J11" s="724"/>
      <c r="K11" s="725">
        <v>29000</v>
      </c>
      <c r="L11" s="725">
        <v>4000</v>
      </c>
      <c r="M11" s="725">
        <v>0</v>
      </c>
      <c r="N11" s="725">
        <v>0</v>
      </c>
      <c r="O11" s="725">
        <f t="shared" si="1"/>
        <v>33000</v>
      </c>
      <c r="P11" s="723">
        <f t="shared" si="2"/>
        <v>0</v>
      </c>
      <c r="Q11" s="722" t="s">
        <v>1674</v>
      </c>
      <c r="R11" s="663"/>
    </row>
    <row r="12" spans="1:19" x14ac:dyDescent="0.25">
      <c r="A12" s="722">
        <f t="shared" si="3"/>
        <v>10</v>
      </c>
      <c r="B12" s="722" t="s">
        <v>1301</v>
      </c>
      <c r="C12" s="722" t="s">
        <v>25</v>
      </c>
      <c r="D12" s="722" t="s">
        <v>26</v>
      </c>
      <c r="E12" s="723">
        <f>'(VKV) 11 '!G98</f>
        <v>29908</v>
      </c>
      <c r="F12" s="723">
        <f>'(VKV) 11 '!G99</f>
        <v>29915</v>
      </c>
      <c r="G12" s="723">
        <f t="shared" si="0"/>
        <v>-7</v>
      </c>
      <c r="H12" s="722" t="s">
        <v>563</v>
      </c>
      <c r="I12" s="724" t="s">
        <v>742</v>
      </c>
      <c r="J12" s="724"/>
      <c r="K12" s="725">
        <v>6800</v>
      </c>
      <c r="L12" s="725">
        <v>4500</v>
      </c>
      <c r="M12" s="725">
        <v>10110</v>
      </c>
      <c r="N12" s="725">
        <f>VLOOKUP(D12,'Q4'!$C$316:$E$423,3,FALSE)</f>
        <v>8505</v>
      </c>
      <c r="O12" s="725">
        <f t="shared" si="1"/>
        <v>29915</v>
      </c>
      <c r="P12" s="723">
        <f t="shared" si="2"/>
        <v>0</v>
      </c>
      <c r="Q12" s="722" t="s">
        <v>1674</v>
      </c>
      <c r="R12" s="663"/>
    </row>
    <row r="13" spans="1:19" s="489" customFormat="1" x14ac:dyDescent="0.25">
      <c r="A13" s="722">
        <f t="shared" si="3"/>
        <v>11</v>
      </c>
      <c r="B13" s="722" t="s">
        <v>1300</v>
      </c>
      <c r="C13" s="722" t="s">
        <v>27</v>
      </c>
      <c r="D13" s="722" t="s">
        <v>28</v>
      </c>
      <c r="E13" s="723">
        <f>'(USS-12)'!G99</f>
        <v>12378</v>
      </c>
      <c r="F13" s="723">
        <f>'(USS-12)'!G100</f>
        <v>12384</v>
      </c>
      <c r="G13" s="723">
        <f t="shared" si="0"/>
        <v>-6</v>
      </c>
      <c r="H13" s="722" t="s">
        <v>563</v>
      </c>
      <c r="I13" s="724" t="s">
        <v>742</v>
      </c>
      <c r="J13" s="724"/>
      <c r="K13" s="725">
        <v>0</v>
      </c>
      <c r="L13" s="725">
        <v>0</v>
      </c>
      <c r="M13" s="725">
        <v>6628</v>
      </c>
      <c r="N13" s="725">
        <f>VLOOKUP(D13,'Q4'!$C$316:$E$423,3,FALSE)</f>
        <v>5756</v>
      </c>
      <c r="O13" s="725">
        <f t="shared" si="1"/>
        <v>12384</v>
      </c>
      <c r="P13" s="723">
        <f t="shared" si="2"/>
        <v>0</v>
      </c>
      <c r="Q13" s="722" t="s">
        <v>1672</v>
      </c>
      <c r="R13" s="663"/>
    </row>
    <row r="14" spans="1:19" s="737" customFormat="1" x14ac:dyDescent="0.25">
      <c r="A14" s="728">
        <f t="shared" si="3"/>
        <v>12</v>
      </c>
      <c r="B14" s="722" t="s">
        <v>1293</v>
      </c>
      <c r="C14" s="728" t="s">
        <v>29</v>
      </c>
      <c r="D14" s="728" t="s">
        <v>30</v>
      </c>
      <c r="E14" s="729">
        <f>'(MS-13)'!G97</f>
        <v>128451</v>
      </c>
      <c r="F14" s="729">
        <f>'(MS-13)'!G98</f>
        <v>128765</v>
      </c>
      <c r="G14" s="729">
        <f t="shared" si="0"/>
        <v>-314</v>
      </c>
      <c r="H14" s="722" t="s">
        <v>563</v>
      </c>
      <c r="I14" s="724" t="s">
        <v>742</v>
      </c>
      <c r="J14" s="731"/>
      <c r="K14" s="736">
        <v>39600</v>
      </c>
      <c r="L14" s="736">
        <v>35395</v>
      </c>
      <c r="M14" s="736">
        <v>38200</v>
      </c>
      <c r="N14" s="736">
        <f>VLOOKUP(D14,'Q4'!$C$316:$E$423,3,FALSE)</f>
        <v>15570</v>
      </c>
      <c r="O14" s="736">
        <f t="shared" si="1"/>
        <v>128765</v>
      </c>
      <c r="P14" s="729">
        <f t="shared" si="2"/>
        <v>0</v>
      </c>
      <c r="Q14" s="722" t="s">
        <v>1674</v>
      </c>
      <c r="R14" s="663"/>
      <c r="S14" s="737" t="s">
        <v>1703</v>
      </c>
    </row>
    <row r="15" spans="1:19" s="489" customFormat="1" x14ac:dyDescent="0.25">
      <c r="A15" s="722">
        <f t="shared" si="3"/>
        <v>13</v>
      </c>
      <c r="B15" s="722" t="s">
        <v>1258</v>
      </c>
      <c r="C15" s="722" t="s">
        <v>31</v>
      </c>
      <c r="D15" s="722" t="s">
        <v>32</v>
      </c>
      <c r="E15" s="723">
        <f>'(BRR-14)'!G97</f>
        <v>173033</v>
      </c>
      <c r="F15" s="723">
        <f>'(BRR-14)'!G98</f>
        <v>173040</v>
      </c>
      <c r="G15" s="723">
        <f t="shared" si="0"/>
        <v>-7</v>
      </c>
      <c r="H15" s="722" t="s">
        <v>563</v>
      </c>
      <c r="I15" s="724" t="s">
        <v>742</v>
      </c>
      <c r="J15" s="724"/>
      <c r="K15" s="725">
        <v>52000</v>
      </c>
      <c r="L15" s="725">
        <v>39000</v>
      </c>
      <c r="M15" s="725">
        <v>47125</v>
      </c>
      <c r="N15" s="725">
        <f>VLOOKUP(D15,'Q4'!$C$316:$E$423,3,FALSE)</f>
        <v>34915</v>
      </c>
      <c r="O15" s="725">
        <f t="shared" si="1"/>
        <v>173040</v>
      </c>
      <c r="P15" s="723">
        <f t="shared" si="2"/>
        <v>0</v>
      </c>
      <c r="Q15" s="722" t="s">
        <v>1674</v>
      </c>
      <c r="R15" s="663"/>
    </row>
    <row r="16" spans="1:19" s="489" customFormat="1" x14ac:dyDescent="0.25">
      <c r="A16" s="722">
        <f t="shared" si="3"/>
        <v>14</v>
      </c>
      <c r="B16" s="722" t="s">
        <v>1260</v>
      </c>
      <c r="C16" s="722" t="s">
        <v>33</v>
      </c>
      <c r="D16" s="722" t="s">
        <v>34</v>
      </c>
      <c r="E16" s="723">
        <f>'(RKL-15)'!G97</f>
        <v>118298</v>
      </c>
      <c r="F16" s="723">
        <f>'(RKL-15)'!G98</f>
        <v>118305</v>
      </c>
      <c r="G16" s="723">
        <f t="shared" si="0"/>
        <v>-7</v>
      </c>
      <c r="H16" s="722" t="s">
        <v>563</v>
      </c>
      <c r="I16" s="724" t="s">
        <v>742</v>
      </c>
      <c r="J16" s="724"/>
      <c r="K16" s="725">
        <v>35900</v>
      </c>
      <c r="L16" s="725">
        <v>27000</v>
      </c>
      <c r="M16" s="725">
        <v>32000</v>
      </c>
      <c r="N16" s="725">
        <f>VLOOKUP(D16,'Q4'!$C$316:$E$423,3,FALSE)</f>
        <v>23405</v>
      </c>
      <c r="O16" s="725">
        <f t="shared" si="1"/>
        <v>118305</v>
      </c>
      <c r="P16" s="723">
        <f t="shared" si="2"/>
        <v>0</v>
      </c>
      <c r="Q16" s="722" t="s">
        <v>1674</v>
      </c>
      <c r="R16" s="663"/>
    </row>
    <row r="17" spans="1:18" s="489" customFormat="1" x14ac:dyDescent="0.25">
      <c r="A17" s="722">
        <f t="shared" si="3"/>
        <v>15</v>
      </c>
      <c r="B17" s="722" t="s">
        <v>1286</v>
      </c>
      <c r="C17" s="722" t="s">
        <v>35</v>
      </c>
      <c r="D17" s="722" t="s">
        <v>36</v>
      </c>
      <c r="E17" s="723">
        <f>'(DBN-16)'!G99</f>
        <v>82926</v>
      </c>
      <c r="F17" s="723">
        <f>'(DBN-16)'!G100</f>
        <v>91500</v>
      </c>
      <c r="G17" s="723">
        <f t="shared" si="0"/>
        <v>-8574</v>
      </c>
      <c r="H17" s="722" t="s">
        <v>563</v>
      </c>
      <c r="I17" s="724" t="s">
        <v>742</v>
      </c>
      <c r="J17" s="724"/>
      <c r="K17" s="725">
        <v>33476</v>
      </c>
      <c r="L17" s="725">
        <v>21000</v>
      </c>
      <c r="M17" s="725">
        <v>27012</v>
      </c>
      <c r="N17" s="725">
        <f>VLOOKUP(D17,'Q4'!$C$316:$E$423,3,FALSE)</f>
        <v>10012</v>
      </c>
      <c r="O17" s="725">
        <f t="shared" si="1"/>
        <v>91500</v>
      </c>
      <c r="P17" s="723">
        <f t="shared" si="2"/>
        <v>0</v>
      </c>
      <c r="Q17" s="722" t="s">
        <v>1674</v>
      </c>
      <c r="R17" s="663"/>
    </row>
    <row r="18" spans="1:18" x14ac:dyDescent="0.25">
      <c r="A18" s="722">
        <f t="shared" si="3"/>
        <v>16</v>
      </c>
      <c r="B18" s="722" t="s">
        <v>1259</v>
      </c>
      <c r="C18" s="722" t="s">
        <v>37</v>
      </c>
      <c r="D18" s="722" t="s">
        <v>38</v>
      </c>
      <c r="E18" s="723">
        <f>'(VVT-17)'!G97</f>
        <v>124851</v>
      </c>
      <c r="F18" s="723">
        <f>'(VVT-17)'!G98</f>
        <v>124860</v>
      </c>
      <c r="G18" s="723">
        <f t="shared" si="0"/>
        <v>-9</v>
      </c>
      <c r="H18" s="722" t="s">
        <v>563</v>
      </c>
      <c r="I18" s="724" t="s">
        <v>742</v>
      </c>
      <c r="J18" s="724"/>
      <c r="K18" s="725">
        <v>39700</v>
      </c>
      <c r="L18" s="725">
        <v>30000</v>
      </c>
      <c r="M18" s="725">
        <v>31985</v>
      </c>
      <c r="N18" s="725">
        <f>VLOOKUP(D18,'Q4'!$C$316:$E$423,3,FALSE)</f>
        <v>23175</v>
      </c>
      <c r="O18" s="725">
        <f t="shared" si="1"/>
        <v>124860</v>
      </c>
      <c r="P18" s="723">
        <f t="shared" si="2"/>
        <v>0</v>
      </c>
      <c r="Q18" s="722" t="s">
        <v>1674</v>
      </c>
      <c r="R18" s="663"/>
    </row>
    <row r="19" spans="1:18" s="489" customFormat="1" x14ac:dyDescent="0.25">
      <c r="A19" s="722">
        <f t="shared" si="3"/>
        <v>17</v>
      </c>
      <c r="B19" s="722"/>
      <c r="C19" s="722" t="s">
        <v>39</v>
      </c>
      <c r="D19" s="722" t="s">
        <v>40</v>
      </c>
      <c r="E19" s="723">
        <f>'(SSM-18)'!G97</f>
        <v>10747</v>
      </c>
      <c r="F19" s="723">
        <f>'(SSM-18)'!G98</f>
        <v>47800</v>
      </c>
      <c r="G19" s="723">
        <f t="shared" si="0"/>
        <v>-37053</v>
      </c>
      <c r="H19" s="722" t="s">
        <v>563</v>
      </c>
      <c r="I19" s="724" t="s">
        <v>742</v>
      </c>
      <c r="J19" s="724"/>
      <c r="K19" s="725">
        <v>23800</v>
      </c>
      <c r="L19" s="725">
        <v>18000</v>
      </c>
      <c r="M19" s="725">
        <v>6000</v>
      </c>
      <c r="N19" s="725">
        <v>0</v>
      </c>
      <c r="O19" s="725">
        <f t="shared" si="1"/>
        <v>47800</v>
      </c>
      <c r="P19" s="723">
        <f t="shared" si="2"/>
        <v>0</v>
      </c>
      <c r="Q19" s="722" t="s">
        <v>1674</v>
      </c>
      <c r="R19" s="663"/>
    </row>
    <row r="20" spans="1:18" x14ac:dyDescent="0.25">
      <c r="A20" s="722">
        <f t="shared" si="3"/>
        <v>18</v>
      </c>
      <c r="B20" s="722" t="s">
        <v>1291</v>
      </c>
      <c r="C20" s="722" t="s">
        <v>41</v>
      </c>
      <c r="D20" s="722" t="s">
        <v>42</v>
      </c>
      <c r="E20" s="723">
        <f>'(SVR-19)'!G98</f>
        <v>95447</v>
      </c>
      <c r="F20" s="723">
        <f>'(SVR-19)'!G99</f>
        <v>95454</v>
      </c>
      <c r="G20" s="723">
        <f t="shared" si="0"/>
        <v>-7</v>
      </c>
      <c r="H20" s="722" t="s">
        <v>563</v>
      </c>
      <c r="I20" s="724" t="s">
        <v>742</v>
      </c>
      <c r="J20" s="724"/>
      <c r="K20" s="725">
        <v>29508</v>
      </c>
      <c r="L20" s="725">
        <v>18000</v>
      </c>
      <c r="M20" s="725">
        <v>26342</v>
      </c>
      <c r="N20" s="725">
        <f>VLOOKUP(D20,'Q4'!$C$316:$E$423,3,FALSE)</f>
        <v>21604</v>
      </c>
      <c r="O20" s="725">
        <f t="shared" si="1"/>
        <v>95454</v>
      </c>
      <c r="P20" s="723">
        <f t="shared" si="2"/>
        <v>0</v>
      </c>
      <c r="Q20" s="722" t="s">
        <v>1674</v>
      </c>
      <c r="R20" s="663"/>
    </row>
    <row r="21" spans="1:18" s="489" customFormat="1" x14ac:dyDescent="0.25">
      <c r="A21" s="722">
        <f t="shared" si="3"/>
        <v>19</v>
      </c>
      <c r="B21" s="722" t="s">
        <v>1289</v>
      </c>
      <c r="C21" s="722" t="s">
        <v>43</v>
      </c>
      <c r="D21" s="722" t="s">
        <v>44</v>
      </c>
      <c r="E21" s="723">
        <f>'(MPJ-20)'!G97</f>
        <v>190833</v>
      </c>
      <c r="F21" s="723">
        <f>'(MPJ-20)'!G98</f>
        <v>190840</v>
      </c>
      <c r="G21" s="723">
        <f t="shared" si="0"/>
        <v>-7</v>
      </c>
      <c r="H21" s="722" t="s">
        <v>563</v>
      </c>
      <c r="I21" s="724" t="s">
        <v>742</v>
      </c>
      <c r="J21" s="724"/>
      <c r="K21" s="725">
        <v>64300</v>
      </c>
      <c r="L21" s="725">
        <v>60000</v>
      </c>
      <c r="M21" s="725">
        <v>48235</v>
      </c>
      <c r="N21" s="725">
        <f>VLOOKUP(D21,'Q4'!$C$316:$E$423,3,FALSE)</f>
        <v>18305</v>
      </c>
      <c r="O21" s="725">
        <f t="shared" si="1"/>
        <v>190840</v>
      </c>
      <c r="P21" s="723">
        <f t="shared" si="2"/>
        <v>0</v>
      </c>
      <c r="Q21" s="722" t="s">
        <v>1674</v>
      </c>
      <c r="R21" s="663"/>
    </row>
    <row r="22" spans="1:18" s="489" customFormat="1" x14ac:dyDescent="0.25">
      <c r="A22" s="722">
        <f t="shared" si="3"/>
        <v>20</v>
      </c>
      <c r="B22" s="722" t="s">
        <v>1292</v>
      </c>
      <c r="C22" s="722" t="s">
        <v>45</v>
      </c>
      <c r="D22" s="722" t="s">
        <v>46</v>
      </c>
      <c r="E22" s="723">
        <f>'(DPV-21)'!G98</f>
        <v>104160</v>
      </c>
      <c r="F22" s="723">
        <f>'(DPV-21)'!G99</f>
        <v>103885</v>
      </c>
      <c r="G22" s="723">
        <f t="shared" si="0"/>
        <v>275</v>
      </c>
      <c r="H22" s="722" t="s">
        <v>563</v>
      </c>
      <c r="I22" s="724" t="s">
        <v>742</v>
      </c>
      <c r="J22" s="724"/>
      <c r="K22" s="725">
        <v>31900</v>
      </c>
      <c r="L22" s="725">
        <v>24000</v>
      </c>
      <c r="M22" s="725">
        <v>27755</v>
      </c>
      <c r="N22" s="725">
        <f>VLOOKUP(D22,'Q4'!$C$316:$E$423,3,FALSE)</f>
        <v>20230</v>
      </c>
      <c r="O22" s="725">
        <f t="shared" si="1"/>
        <v>103885</v>
      </c>
      <c r="P22" s="723">
        <f t="shared" si="2"/>
        <v>0</v>
      </c>
      <c r="Q22" s="722" t="s">
        <v>1674</v>
      </c>
      <c r="R22" s="663"/>
    </row>
    <row r="23" spans="1:18" s="489" customFormat="1" x14ac:dyDescent="0.25">
      <c r="A23" s="722">
        <f t="shared" si="3"/>
        <v>21</v>
      </c>
      <c r="B23" s="722" t="s">
        <v>1297</v>
      </c>
      <c r="C23" s="722" t="s">
        <v>47</v>
      </c>
      <c r="D23" s="722" t="s">
        <v>48</v>
      </c>
      <c r="E23" s="723">
        <f>'(SRP-22)'!G97</f>
        <v>66492</v>
      </c>
      <c r="F23" s="723">
        <f>'(SRP-22)'!G98</f>
        <v>66500</v>
      </c>
      <c r="G23" s="723">
        <f t="shared" si="0"/>
        <v>-8</v>
      </c>
      <c r="H23" s="722" t="s">
        <v>563</v>
      </c>
      <c r="I23" s="724" t="s">
        <v>742</v>
      </c>
      <c r="J23" s="724"/>
      <c r="K23" s="725">
        <v>18600</v>
      </c>
      <c r="L23" s="725">
        <v>13500</v>
      </c>
      <c r="M23" s="725">
        <v>19920</v>
      </c>
      <c r="N23" s="725">
        <f>VLOOKUP(D23,'Q4'!$C$316:$E$423,3,FALSE)</f>
        <v>14480</v>
      </c>
      <c r="O23" s="725">
        <f t="shared" si="1"/>
        <v>66500</v>
      </c>
      <c r="P23" s="723">
        <f t="shared" si="2"/>
        <v>0</v>
      </c>
      <c r="Q23" s="722" t="s">
        <v>1674</v>
      </c>
      <c r="R23" s="663"/>
    </row>
    <row r="24" spans="1:18" s="489" customFormat="1" x14ac:dyDescent="0.25">
      <c r="A24" s="722">
        <f t="shared" si="3"/>
        <v>22</v>
      </c>
      <c r="B24" s="722" t="s">
        <v>1294</v>
      </c>
      <c r="C24" s="722" t="s">
        <v>51</v>
      </c>
      <c r="D24" s="722" t="s">
        <v>52</v>
      </c>
      <c r="E24" s="723">
        <f>'(VNW-24)'!G98</f>
        <v>146922</v>
      </c>
      <c r="F24" s="723">
        <f>'(VNW-24)'!G99</f>
        <v>146931</v>
      </c>
      <c r="G24" s="723">
        <f t="shared" si="0"/>
        <v>-9</v>
      </c>
      <c r="H24" s="722" t="s">
        <v>563</v>
      </c>
      <c r="I24" s="724" t="s">
        <v>742</v>
      </c>
      <c r="J24" s="724"/>
      <c r="K24" s="725">
        <v>41400</v>
      </c>
      <c r="L24" s="725">
        <v>30000</v>
      </c>
      <c r="M24" s="725">
        <v>42372</v>
      </c>
      <c r="N24" s="725">
        <f>VLOOKUP(D24,'Q4'!$C$316:$E$423,3,FALSE)</f>
        <v>33159</v>
      </c>
      <c r="O24" s="725">
        <f t="shared" si="1"/>
        <v>146931</v>
      </c>
      <c r="P24" s="723">
        <f t="shared" si="2"/>
        <v>0</v>
      </c>
      <c r="Q24" s="722" t="s">
        <v>1674</v>
      </c>
      <c r="R24" s="663"/>
    </row>
    <row r="25" spans="1:18" x14ac:dyDescent="0.25">
      <c r="A25" s="722">
        <f t="shared" si="3"/>
        <v>23</v>
      </c>
      <c r="B25" s="722" t="s">
        <v>1256</v>
      </c>
      <c r="C25" s="722" t="s">
        <v>53</v>
      </c>
      <c r="D25" s="722" t="s">
        <v>394</v>
      </c>
      <c r="E25" s="723">
        <f>'(SAA-25)'!G98</f>
        <v>116321</v>
      </c>
      <c r="F25" s="723">
        <f>'(SAA-25)'!G99</f>
        <v>116327</v>
      </c>
      <c r="G25" s="723">
        <f t="shared" si="0"/>
        <v>-6</v>
      </c>
      <c r="H25" s="722" t="s">
        <v>563</v>
      </c>
      <c r="I25" s="722" t="s">
        <v>742</v>
      </c>
      <c r="J25" s="722"/>
      <c r="K25" s="725">
        <v>33724</v>
      </c>
      <c r="L25" s="725">
        <v>21000</v>
      </c>
      <c r="M25" s="725">
        <v>38165</v>
      </c>
      <c r="N25" s="725">
        <f>VLOOKUP(D25,'Q4'!$C$316:$E$423,3,FALSE)</f>
        <v>23438</v>
      </c>
      <c r="O25" s="725">
        <f t="shared" si="1"/>
        <v>116327</v>
      </c>
      <c r="P25" s="723">
        <f t="shared" si="2"/>
        <v>0</v>
      </c>
      <c r="Q25" s="722" t="s">
        <v>1674</v>
      </c>
      <c r="R25" s="663"/>
    </row>
    <row r="26" spans="1:18" s="489" customFormat="1" x14ac:dyDescent="0.25">
      <c r="A26" s="722">
        <f t="shared" si="3"/>
        <v>24</v>
      </c>
      <c r="B26" s="722" t="s">
        <v>1296</v>
      </c>
      <c r="C26" s="722" t="s">
        <v>55</v>
      </c>
      <c r="D26" s="722" t="s">
        <v>56</v>
      </c>
      <c r="E26" s="723">
        <f>'(AYK-26)'!G98</f>
        <v>32299</v>
      </c>
      <c r="F26" s="723">
        <f>'(AYK-26)'!G99</f>
        <v>32305</v>
      </c>
      <c r="G26" s="723">
        <f t="shared" si="0"/>
        <v>-6</v>
      </c>
      <c r="H26" s="722" t="s">
        <v>563</v>
      </c>
      <c r="I26" s="724" t="s">
        <v>742</v>
      </c>
      <c r="J26" s="724"/>
      <c r="K26" s="725">
        <v>6300</v>
      </c>
      <c r="L26" s="725">
        <v>4500</v>
      </c>
      <c r="M26" s="725">
        <v>10065</v>
      </c>
      <c r="N26" s="725">
        <f>VLOOKUP(D26,'Q4'!$C$316:$E$423,3,FALSE)</f>
        <v>11440</v>
      </c>
      <c r="O26" s="725">
        <f t="shared" si="1"/>
        <v>32305</v>
      </c>
      <c r="P26" s="723">
        <f t="shared" si="2"/>
        <v>0</v>
      </c>
      <c r="Q26" s="722" t="s">
        <v>1674</v>
      </c>
      <c r="R26" s="663"/>
    </row>
    <row r="27" spans="1:18" s="489" customFormat="1" x14ac:dyDescent="0.25">
      <c r="A27" s="722">
        <f t="shared" si="3"/>
        <v>25</v>
      </c>
      <c r="B27" s="722" t="s">
        <v>1261</v>
      </c>
      <c r="C27" s="722" t="s">
        <v>57</v>
      </c>
      <c r="D27" s="722" t="s">
        <v>58</v>
      </c>
      <c r="E27" s="723">
        <f>'(KPK-27)'!G98</f>
        <v>197177</v>
      </c>
      <c r="F27" s="723">
        <f>'(KPK-27)'!G99</f>
        <v>216361</v>
      </c>
      <c r="G27" s="723">
        <f t="shared" si="0"/>
        <v>-19184</v>
      </c>
      <c r="H27" s="722" t="s">
        <v>563</v>
      </c>
      <c r="I27" s="724" t="s">
        <v>742</v>
      </c>
      <c r="J27" s="724"/>
      <c r="K27" s="725">
        <v>102303</v>
      </c>
      <c r="L27" s="725">
        <v>24000</v>
      </c>
      <c r="M27" s="725">
        <v>38328</v>
      </c>
      <c r="N27" s="725">
        <f>VLOOKUP(D27,'Q4'!$C$316:$E$423,3,FALSE)</f>
        <v>51730</v>
      </c>
      <c r="O27" s="725">
        <f t="shared" si="1"/>
        <v>216361</v>
      </c>
      <c r="P27" s="723">
        <f t="shared" si="2"/>
        <v>0</v>
      </c>
      <c r="Q27" s="722" t="s">
        <v>1672</v>
      </c>
      <c r="R27" s="663"/>
    </row>
    <row r="28" spans="1:18" s="489" customFormat="1" x14ac:dyDescent="0.25">
      <c r="A28" s="722">
        <f t="shared" si="3"/>
        <v>26</v>
      </c>
      <c r="B28" s="722" t="s">
        <v>1295</v>
      </c>
      <c r="C28" s="722" t="s">
        <v>59</v>
      </c>
      <c r="D28" s="722" t="s">
        <v>60</v>
      </c>
      <c r="E28" s="723">
        <f>'(MKP-28)'!G97</f>
        <v>72340</v>
      </c>
      <c r="F28" s="723">
        <f>'(MKP-28)'!G98</f>
        <v>72345</v>
      </c>
      <c r="G28" s="723">
        <f t="shared" si="0"/>
        <v>-5</v>
      </c>
      <c r="H28" s="722" t="s">
        <v>563</v>
      </c>
      <c r="I28" s="724" t="s">
        <v>742</v>
      </c>
      <c r="J28" s="724"/>
      <c r="K28" s="725">
        <v>19900</v>
      </c>
      <c r="L28" s="725">
        <v>15000</v>
      </c>
      <c r="M28" s="725">
        <v>20920</v>
      </c>
      <c r="N28" s="725">
        <f>VLOOKUP(D28,'Q4'!$C$316:$E$423,3,FALSE)</f>
        <v>16525</v>
      </c>
      <c r="O28" s="725">
        <f t="shared" si="1"/>
        <v>72345</v>
      </c>
      <c r="P28" s="723">
        <f t="shared" si="2"/>
        <v>0</v>
      </c>
      <c r="Q28" s="722" t="s">
        <v>1674</v>
      </c>
      <c r="R28" s="663"/>
    </row>
    <row r="29" spans="1:18" x14ac:dyDescent="0.25">
      <c r="A29" s="722">
        <f t="shared" si="3"/>
        <v>27</v>
      </c>
      <c r="B29" s="722" t="s">
        <v>1305</v>
      </c>
      <c r="C29" s="722" t="s">
        <v>61</v>
      </c>
      <c r="D29" s="722" t="s">
        <v>62</v>
      </c>
      <c r="E29" s="723">
        <f>'(RSV-29)'!G97</f>
        <v>11939</v>
      </c>
      <c r="F29" s="723">
        <f>'(RSV-29)'!G98</f>
        <v>11940</v>
      </c>
      <c r="G29" s="723">
        <f t="shared" si="0"/>
        <v>-1</v>
      </c>
      <c r="H29" s="722" t="s">
        <v>563</v>
      </c>
      <c r="I29" s="724" t="s">
        <v>742</v>
      </c>
      <c r="J29" s="724"/>
      <c r="K29" s="725">
        <v>900</v>
      </c>
      <c r="L29" s="725">
        <v>0</v>
      </c>
      <c r="M29" s="725">
        <v>5445</v>
      </c>
      <c r="N29" s="725">
        <f>VLOOKUP(D29,'Q4'!$C$316:$E$423,3,FALSE)</f>
        <v>5595</v>
      </c>
      <c r="O29" s="725">
        <f t="shared" si="1"/>
        <v>11940</v>
      </c>
      <c r="P29" s="723">
        <f t="shared" si="2"/>
        <v>0</v>
      </c>
      <c r="Q29" s="722" t="s">
        <v>1674</v>
      </c>
      <c r="R29" s="663"/>
    </row>
    <row r="30" spans="1:18" s="489" customFormat="1" x14ac:dyDescent="0.25">
      <c r="A30" s="722">
        <f t="shared" si="3"/>
        <v>28</v>
      </c>
      <c r="B30" s="722" t="s">
        <v>1303</v>
      </c>
      <c r="C30" s="722" t="s">
        <v>63</v>
      </c>
      <c r="D30" s="722" t="s">
        <v>64</v>
      </c>
      <c r="E30" s="723">
        <f>'(ASG-30)'!G99</f>
        <v>9329</v>
      </c>
      <c r="F30" s="723">
        <f>'(ASG-30)'!G100</f>
        <v>9346</v>
      </c>
      <c r="G30" s="723">
        <f t="shared" si="0"/>
        <v>-17</v>
      </c>
      <c r="H30" s="722" t="s">
        <v>563</v>
      </c>
      <c r="I30" s="724" t="s">
        <v>742</v>
      </c>
      <c r="J30" s="724"/>
      <c r="K30" s="725">
        <v>500</v>
      </c>
      <c r="L30" s="725">
        <v>0</v>
      </c>
      <c r="M30" s="725">
        <v>4300</v>
      </c>
      <c r="N30" s="725">
        <f>VLOOKUP(D30,'Q4'!$C$316:$E$423,3,FALSE)</f>
        <v>4546</v>
      </c>
      <c r="O30" s="725">
        <f t="shared" si="1"/>
        <v>9346</v>
      </c>
      <c r="P30" s="723">
        <f t="shared" si="2"/>
        <v>0</v>
      </c>
      <c r="Q30" s="722" t="s">
        <v>1674</v>
      </c>
      <c r="R30" s="663"/>
    </row>
    <row r="31" spans="1:18" s="489" customFormat="1" x14ac:dyDescent="0.25">
      <c r="A31" s="722">
        <f t="shared" si="3"/>
        <v>29</v>
      </c>
      <c r="B31" s="722" t="s">
        <v>1306</v>
      </c>
      <c r="C31" s="722" t="s">
        <v>67</v>
      </c>
      <c r="D31" s="722" t="s">
        <v>68</v>
      </c>
      <c r="E31" s="723">
        <f>'(CDW-32)'!G98</f>
        <v>51614</v>
      </c>
      <c r="F31" s="723">
        <f>'(CDW-32)'!G99</f>
        <v>51619</v>
      </c>
      <c r="G31" s="723">
        <f t="shared" si="0"/>
        <v>-5</v>
      </c>
      <c r="H31" s="722" t="s">
        <v>563</v>
      </c>
      <c r="I31" s="724" t="s">
        <v>742</v>
      </c>
      <c r="J31" s="724"/>
      <c r="K31" s="725">
        <v>17555</v>
      </c>
      <c r="L31" s="725">
        <v>9000</v>
      </c>
      <c r="M31" s="725">
        <v>13987</v>
      </c>
      <c r="N31" s="725">
        <f>VLOOKUP(D31,'Q4'!$C$316:$E$423,3,FALSE)</f>
        <v>11077</v>
      </c>
      <c r="O31" s="725">
        <f t="shared" si="1"/>
        <v>51619</v>
      </c>
      <c r="P31" s="723">
        <f t="shared" si="2"/>
        <v>0</v>
      </c>
      <c r="Q31" s="722" t="s">
        <v>1674</v>
      </c>
      <c r="R31" s="663"/>
    </row>
    <row r="32" spans="1:18" s="489" customFormat="1" x14ac:dyDescent="0.25">
      <c r="A32" s="722">
        <f t="shared" si="3"/>
        <v>30</v>
      </c>
      <c r="B32" s="722" t="s">
        <v>1283</v>
      </c>
      <c r="C32" s="722" t="s">
        <v>71</v>
      </c>
      <c r="D32" s="722" t="s">
        <v>72</v>
      </c>
      <c r="E32" s="723">
        <f>'(PCS-34)'!G98</f>
        <v>174455</v>
      </c>
      <c r="F32" s="723">
        <f>'(PCS-34)'!G99</f>
        <v>185660</v>
      </c>
      <c r="G32" s="723">
        <f t="shared" si="0"/>
        <v>-11205</v>
      </c>
      <c r="H32" s="722" t="s">
        <v>563</v>
      </c>
      <c r="I32" s="724" t="s">
        <v>742</v>
      </c>
      <c r="J32" s="724"/>
      <c r="K32" s="725">
        <v>51200</v>
      </c>
      <c r="L32" s="725">
        <v>36000</v>
      </c>
      <c r="M32" s="725">
        <v>44330</v>
      </c>
      <c r="N32" s="725">
        <f>VLOOKUP(D32,'Q4'!$C$316:$E$423,3,FALSE)</f>
        <v>54130</v>
      </c>
      <c r="O32" s="725">
        <f t="shared" si="1"/>
        <v>185660</v>
      </c>
      <c r="P32" s="723">
        <f t="shared" si="2"/>
        <v>0</v>
      </c>
      <c r="Q32" s="722" t="s">
        <v>1675</v>
      </c>
      <c r="R32" s="663"/>
    </row>
    <row r="33" spans="1:18" x14ac:dyDescent="0.25">
      <c r="A33" s="722">
        <f t="shared" si="3"/>
        <v>31</v>
      </c>
      <c r="B33" s="722" t="s">
        <v>1298</v>
      </c>
      <c r="C33" s="722" t="s">
        <v>73</v>
      </c>
      <c r="D33" s="722" t="s">
        <v>74</v>
      </c>
      <c r="E33" s="723">
        <f>'(AHJ-35)'!G98</f>
        <v>5075</v>
      </c>
      <c r="F33" s="723">
        <f>'(AHJ-35)'!G99</f>
        <v>5080</v>
      </c>
      <c r="G33" s="723">
        <f t="shared" si="0"/>
        <v>-5</v>
      </c>
      <c r="H33" s="722" t="s">
        <v>563</v>
      </c>
      <c r="I33" s="724" t="s">
        <v>742</v>
      </c>
      <c r="J33" s="724"/>
      <c r="K33" s="725">
        <v>0</v>
      </c>
      <c r="L33" s="725">
        <v>0</v>
      </c>
      <c r="M33" s="725">
        <v>2810</v>
      </c>
      <c r="N33" s="725">
        <f>VLOOKUP(D33,'Q4'!$C$316:$E$423,3,FALSE)</f>
        <v>2270</v>
      </c>
      <c r="O33" s="725">
        <f t="shared" si="1"/>
        <v>5080</v>
      </c>
      <c r="P33" s="723">
        <f t="shared" si="2"/>
        <v>0</v>
      </c>
      <c r="Q33" s="722" t="s">
        <v>1674</v>
      </c>
      <c r="R33" s="663"/>
    </row>
    <row r="34" spans="1:18" s="489" customFormat="1" x14ac:dyDescent="0.25">
      <c r="A34" s="722">
        <f t="shared" si="3"/>
        <v>32</v>
      </c>
      <c r="B34" s="722" t="s">
        <v>1304</v>
      </c>
      <c r="C34" s="722" t="s">
        <v>75</v>
      </c>
      <c r="D34" s="722" t="s">
        <v>76</v>
      </c>
      <c r="E34" s="723">
        <f>'(DRM-36)'!G98</f>
        <v>7353</v>
      </c>
      <c r="F34" s="723">
        <f>'(DRM-36)'!G99</f>
        <v>8361</v>
      </c>
      <c r="G34" s="723">
        <f t="shared" si="0"/>
        <v>-1008</v>
      </c>
      <c r="H34" s="722" t="s">
        <v>563</v>
      </c>
      <c r="I34" s="724" t="s">
        <v>742</v>
      </c>
      <c r="J34" s="724"/>
      <c r="K34" s="725">
        <v>700</v>
      </c>
      <c r="L34" s="725">
        <v>2000</v>
      </c>
      <c r="M34" s="725">
        <v>3887</v>
      </c>
      <c r="N34" s="725">
        <f>VLOOKUP(D34,'Q4'!$C$316:$E$423,3,FALSE)</f>
        <v>1774</v>
      </c>
      <c r="O34" s="725">
        <f t="shared" si="1"/>
        <v>8361</v>
      </c>
      <c r="P34" s="723">
        <f t="shared" si="2"/>
        <v>0</v>
      </c>
      <c r="Q34" s="722" t="s">
        <v>1676</v>
      </c>
      <c r="R34" s="663" t="s">
        <v>1677</v>
      </c>
    </row>
    <row r="35" spans="1:18" x14ac:dyDescent="0.25">
      <c r="A35" s="722">
        <f t="shared" si="3"/>
        <v>33</v>
      </c>
      <c r="B35" s="722" t="s">
        <v>1668</v>
      </c>
      <c r="C35" s="722" t="s">
        <v>77</v>
      </c>
      <c r="D35" s="722" t="s">
        <v>78</v>
      </c>
      <c r="E35" s="723">
        <f>'(AMK-37)'!G97</f>
        <v>0</v>
      </c>
      <c r="F35" s="723">
        <f>'(AMK-37)'!G98</f>
        <v>500</v>
      </c>
      <c r="G35" s="723">
        <f t="shared" ref="G35:G66" si="4">E35-F35</f>
        <v>-500</v>
      </c>
      <c r="H35" s="722" t="s">
        <v>563</v>
      </c>
      <c r="I35" s="724" t="s">
        <v>742</v>
      </c>
      <c r="J35" s="724"/>
      <c r="K35" s="725">
        <v>0</v>
      </c>
      <c r="L35" s="725">
        <v>0</v>
      </c>
      <c r="M35" s="725">
        <v>500</v>
      </c>
      <c r="N35" s="725">
        <v>0</v>
      </c>
      <c r="O35" s="725">
        <f t="shared" ref="O35:O66" si="5">SUM(J35:N35)</f>
        <v>500</v>
      </c>
      <c r="P35" s="723">
        <f t="shared" ref="P35:P66" si="6">F35-O35</f>
        <v>0</v>
      </c>
      <c r="Q35" s="722" t="s">
        <v>1678</v>
      </c>
      <c r="R35" s="663" t="s">
        <v>1685</v>
      </c>
    </row>
    <row r="36" spans="1:18" s="489" customFormat="1" x14ac:dyDescent="0.25">
      <c r="A36" s="722">
        <f t="shared" si="3"/>
        <v>34</v>
      </c>
      <c r="B36" s="722" t="s">
        <v>1309</v>
      </c>
      <c r="C36" s="722" t="s">
        <v>79</v>
      </c>
      <c r="D36" s="722" t="s">
        <v>80</v>
      </c>
      <c r="E36" s="723">
        <f>'(VBB-38)'!G98</f>
        <v>2007</v>
      </c>
      <c r="F36" s="723">
        <f>'(VBB-38)'!G99</f>
        <v>4020</v>
      </c>
      <c r="G36" s="723">
        <f t="shared" si="4"/>
        <v>-2013</v>
      </c>
      <c r="H36" s="722" t="s">
        <v>563</v>
      </c>
      <c r="I36" s="724" t="s">
        <v>742</v>
      </c>
      <c r="J36" s="724"/>
      <c r="K36" s="725">
        <v>270</v>
      </c>
      <c r="L36" s="725">
        <v>0</v>
      </c>
      <c r="M36" s="725">
        <v>2875</v>
      </c>
      <c r="N36" s="725">
        <f>VLOOKUP(D36,'Q4'!$C$316:$E$423,3,FALSE)</f>
        <v>875</v>
      </c>
      <c r="O36" s="725">
        <f t="shared" si="5"/>
        <v>4020</v>
      </c>
      <c r="P36" s="723">
        <f t="shared" si="6"/>
        <v>0</v>
      </c>
      <c r="Q36" s="722" t="s">
        <v>1678</v>
      </c>
      <c r="R36" s="663" t="s">
        <v>1686</v>
      </c>
    </row>
    <row r="37" spans="1:18" s="489" customFormat="1" x14ac:dyDescent="0.25">
      <c r="A37" s="722">
        <f t="shared" si="3"/>
        <v>35</v>
      </c>
      <c r="B37" s="722" t="s">
        <v>1344</v>
      </c>
      <c r="C37" s="722" t="s">
        <v>81</v>
      </c>
      <c r="D37" s="722" t="s">
        <v>82</v>
      </c>
      <c r="E37" s="723">
        <f>'(SPA-39)'!G98</f>
        <v>1294</v>
      </c>
      <c r="F37" s="723">
        <f>'(SPA-39)'!G99</f>
        <v>1300</v>
      </c>
      <c r="G37" s="723">
        <f t="shared" si="4"/>
        <v>-6</v>
      </c>
      <c r="H37" s="722" t="s">
        <v>563</v>
      </c>
      <c r="I37" s="724" t="s">
        <v>742</v>
      </c>
      <c r="J37" s="724"/>
      <c r="K37" s="725">
        <v>0</v>
      </c>
      <c r="L37" s="725">
        <v>0</v>
      </c>
      <c r="M37" s="725">
        <v>500</v>
      </c>
      <c r="N37" s="725">
        <f>VLOOKUP(D37,'Q4'!$C$316:$E$423,3,FALSE)</f>
        <v>800</v>
      </c>
      <c r="O37" s="725">
        <f t="shared" si="5"/>
        <v>1300</v>
      </c>
      <c r="P37" s="723">
        <f t="shared" si="6"/>
        <v>0</v>
      </c>
      <c r="Q37" s="722" t="s">
        <v>1678</v>
      </c>
      <c r="R37" s="663" t="s">
        <v>1685</v>
      </c>
    </row>
    <row r="38" spans="1:18" s="489" customFormat="1" x14ac:dyDescent="0.25">
      <c r="A38" s="722">
        <f t="shared" si="3"/>
        <v>36</v>
      </c>
      <c r="B38" s="722" t="s">
        <v>1660</v>
      </c>
      <c r="C38" s="722" t="s">
        <v>83</v>
      </c>
      <c r="D38" s="722" t="s">
        <v>723</v>
      </c>
      <c r="E38" s="723">
        <f>'(SAS-40)'!G97</f>
        <v>104792</v>
      </c>
      <c r="F38" s="723">
        <f>'(SAS-40)'!G98</f>
        <v>104800</v>
      </c>
      <c r="G38" s="723">
        <f t="shared" si="4"/>
        <v>-8</v>
      </c>
      <c r="H38" s="722" t="s">
        <v>563</v>
      </c>
      <c r="I38" s="724" t="s">
        <v>742</v>
      </c>
      <c r="J38" s="724"/>
      <c r="K38" s="725">
        <v>26800</v>
      </c>
      <c r="L38" s="725">
        <v>20100</v>
      </c>
      <c r="M38" s="725">
        <v>39300</v>
      </c>
      <c r="N38" s="725">
        <f>VLOOKUP(D38,'Q4'!$C$316:$E$423,3,FALSE)</f>
        <v>18600</v>
      </c>
      <c r="O38" s="725">
        <f t="shared" si="5"/>
        <v>104800</v>
      </c>
      <c r="P38" s="723">
        <f t="shared" si="6"/>
        <v>0</v>
      </c>
      <c r="Q38" s="722" t="s">
        <v>1674</v>
      </c>
      <c r="R38" s="663"/>
    </row>
    <row r="39" spans="1:18" x14ac:dyDescent="0.25">
      <c r="A39" s="722">
        <f t="shared" si="3"/>
        <v>37</v>
      </c>
      <c r="B39" s="722" t="s">
        <v>1263</v>
      </c>
      <c r="C39" s="722" t="s">
        <v>84</v>
      </c>
      <c r="D39" s="722" t="s">
        <v>85</v>
      </c>
      <c r="E39" s="723">
        <f>'(PVG-41)'!G97</f>
        <v>6138</v>
      </c>
      <c r="F39" s="723">
        <f>'(PVG-41)'!G98</f>
        <v>6144</v>
      </c>
      <c r="G39" s="723">
        <f t="shared" si="4"/>
        <v>-6</v>
      </c>
      <c r="H39" s="722" t="s">
        <v>563</v>
      </c>
      <c r="I39" s="724" t="s">
        <v>742</v>
      </c>
      <c r="J39" s="724"/>
      <c r="K39" s="725">
        <v>0</v>
      </c>
      <c r="L39" s="725">
        <v>0</v>
      </c>
      <c r="M39" s="725">
        <v>3362</v>
      </c>
      <c r="N39" s="725">
        <f>VLOOKUP(D39,'Q4'!$C$316:$E$423,3,FALSE)</f>
        <v>2782</v>
      </c>
      <c r="O39" s="725">
        <f t="shared" si="5"/>
        <v>6144</v>
      </c>
      <c r="P39" s="723">
        <f t="shared" si="6"/>
        <v>0</v>
      </c>
      <c r="Q39" s="722" t="s">
        <v>1674</v>
      </c>
      <c r="R39" s="663"/>
    </row>
    <row r="40" spans="1:18" s="489" customFormat="1" x14ac:dyDescent="0.25">
      <c r="A40" s="722">
        <f t="shared" si="3"/>
        <v>38</v>
      </c>
      <c r="B40" s="722" t="s">
        <v>1310</v>
      </c>
      <c r="C40" s="722" t="s">
        <v>86</v>
      </c>
      <c r="D40" s="722" t="s">
        <v>87</v>
      </c>
      <c r="E40" s="723">
        <f>'(SJJ-42)'!G97</f>
        <v>10519</v>
      </c>
      <c r="F40" s="723">
        <f>'(SJJ-42)'!G98</f>
        <v>10525</v>
      </c>
      <c r="G40" s="723">
        <f t="shared" si="4"/>
        <v>-6</v>
      </c>
      <c r="H40" s="722" t="s">
        <v>563</v>
      </c>
      <c r="I40" s="724" t="s">
        <v>742</v>
      </c>
      <c r="J40" s="724"/>
      <c r="K40" s="725">
        <v>750</v>
      </c>
      <c r="L40" s="725">
        <v>0</v>
      </c>
      <c r="M40" s="725">
        <v>4925</v>
      </c>
      <c r="N40" s="725">
        <f>VLOOKUP(D40,'Q4'!$C$316:$E$423,3,FALSE)</f>
        <v>4850</v>
      </c>
      <c r="O40" s="725">
        <f t="shared" si="5"/>
        <v>10525</v>
      </c>
      <c r="P40" s="723">
        <f t="shared" si="6"/>
        <v>0</v>
      </c>
      <c r="Q40" s="722" t="s">
        <v>1676</v>
      </c>
      <c r="R40" s="663"/>
    </row>
    <row r="41" spans="1:18" x14ac:dyDescent="0.25">
      <c r="A41" s="722">
        <f t="shared" si="3"/>
        <v>39</v>
      </c>
      <c r="B41" s="722" t="s">
        <v>1307</v>
      </c>
      <c r="C41" s="722" t="s">
        <v>88</v>
      </c>
      <c r="D41" s="722" t="s">
        <v>89</v>
      </c>
      <c r="E41" s="723">
        <f>'(VKP-43)'!G97</f>
        <v>12243</v>
      </c>
      <c r="F41" s="723">
        <f>'(VKP-43)'!G98</f>
        <v>12249</v>
      </c>
      <c r="G41" s="723">
        <f t="shared" si="4"/>
        <v>-6</v>
      </c>
      <c r="H41" s="722" t="s">
        <v>563</v>
      </c>
      <c r="I41" s="724" t="s">
        <v>742</v>
      </c>
      <c r="J41" s="724"/>
      <c r="K41" s="725">
        <v>900</v>
      </c>
      <c r="L41" s="725">
        <v>4000</v>
      </c>
      <c r="M41" s="725">
        <v>4683</v>
      </c>
      <c r="N41" s="725">
        <f>VLOOKUP(D41,'Q4'!$C$316:$E$423,3,FALSE)</f>
        <v>2666</v>
      </c>
      <c r="O41" s="725">
        <f t="shared" si="5"/>
        <v>12249</v>
      </c>
      <c r="P41" s="723">
        <f t="shared" si="6"/>
        <v>0</v>
      </c>
      <c r="Q41" s="722" t="s">
        <v>1676</v>
      </c>
      <c r="R41" s="663"/>
    </row>
    <row r="42" spans="1:18" s="489" customFormat="1" x14ac:dyDescent="0.25">
      <c r="A42" s="722">
        <f t="shared" si="3"/>
        <v>40</v>
      </c>
      <c r="B42" s="722" t="s">
        <v>1308</v>
      </c>
      <c r="C42" s="722" t="s">
        <v>90</v>
      </c>
      <c r="D42" s="722" t="s">
        <v>91</v>
      </c>
      <c r="E42" s="723">
        <f>'(STA-44)'!G98</f>
        <v>5479</v>
      </c>
      <c r="F42" s="723">
        <f>'(STA-44)'!G99</f>
        <v>5485</v>
      </c>
      <c r="G42" s="723">
        <f t="shared" si="4"/>
        <v>-6</v>
      </c>
      <c r="H42" s="722" t="s">
        <v>563</v>
      </c>
      <c r="I42" s="724" t="s">
        <v>742</v>
      </c>
      <c r="J42" s="724"/>
      <c r="K42" s="725">
        <v>0</v>
      </c>
      <c r="L42" s="725">
        <v>0</v>
      </c>
      <c r="M42" s="725">
        <v>2995</v>
      </c>
      <c r="N42" s="725">
        <f>VLOOKUP(D42,'Q4'!$C$316:$E$423,3,FALSE)</f>
        <v>2490</v>
      </c>
      <c r="O42" s="725">
        <f t="shared" si="5"/>
        <v>5485</v>
      </c>
      <c r="P42" s="723">
        <f t="shared" si="6"/>
        <v>0</v>
      </c>
      <c r="Q42" s="722" t="s">
        <v>1676</v>
      </c>
      <c r="R42" s="663"/>
    </row>
    <row r="43" spans="1:18" s="489" customFormat="1" x14ac:dyDescent="0.25">
      <c r="A43" s="722">
        <f t="shared" si="3"/>
        <v>41</v>
      </c>
      <c r="B43" s="722" t="s">
        <v>1345</v>
      </c>
      <c r="C43" s="722" t="s">
        <v>92</v>
      </c>
      <c r="D43" s="722" t="s">
        <v>93</v>
      </c>
      <c r="E43" s="723">
        <f>'(HRK-45)'!G98</f>
        <v>0</v>
      </c>
      <c r="F43" s="723">
        <f>'(HRK-45)'!G99</f>
        <v>500</v>
      </c>
      <c r="G43" s="723">
        <f t="shared" si="4"/>
        <v>-500</v>
      </c>
      <c r="H43" s="722" t="s">
        <v>563</v>
      </c>
      <c r="I43" s="724" t="s">
        <v>742</v>
      </c>
      <c r="J43" s="724"/>
      <c r="K43" s="725">
        <v>0</v>
      </c>
      <c r="L43" s="725">
        <v>0</v>
      </c>
      <c r="M43" s="725">
        <v>500</v>
      </c>
      <c r="N43" s="725">
        <v>0</v>
      </c>
      <c r="O43" s="725">
        <f t="shared" si="5"/>
        <v>500</v>
      </c>
      <c r="P43" s="723">
        <f t="shared" si="6"/>
        <v>0</v>
      </c>
      <c r="Q43" s="722" t="s">
        <v>1676</v>
      </c>
      <c r="R43" s="663"/>
    </row>
    <row r="44" spans="1:18" s="489" customFormat="1" x14ac:dyDescent="0.25">
      <c r="A44" s="722">
        <f t="shared" si="3"/>
        <v>42</v>
      </c>
      <c r="B44" s="722" t="s">
        <v>1311</v>
      </c>
      <c r="C44" s="722" t="s">
        <v>94</v>
      </c>
      <c r="D44" s="722" t="s">
        <v>95</v>
      </c>
      <c r="E44" s="723">
        <f>'(BJK-46)'!G98</f>
        <v>1301</v>
      </c>
      <c r="F44" s="723">
        <f>'(BJK-46)'!G99</f>
        <v>1305</v>
      </c>
      <c r="G44" s="723">
        <f t="shared" si="4"/>
        <v>-4</v>
      </c>
      <c r="H44" s="722" t="s">
        <v>563</v>
      </c>
      <c r="I44" s="724" t="s">
        <v>742</v>
      </c>
      <c r="J44" s="724"/>
      <c r="K44" s="725">
        <v>0</v>
      </c>
      <c r="L44" s="725">
        <v>0</v>
      </c>
      <c r="M44" s="725">
        <v>1305</v>
      </c>
      <c r="N44" s="725">
        <v>0</v>
      </c>
      <c r="O44" s="725">
        <f t="shared" si="5"/>
        <v>1305</v>
      </c>
      <c r="P44" s="723">
        <f t="shared" si="6"/>
        <v>0</v>
      </c>
      <c r="Q44" s="722" t="s">
        <v>1676</v>
      </c>
      <c r="R44" s="663"/>
    </row>
    <row r="45" spans="1:18" s="489" customFormat="1" x14ac:dyDescent="0.25">
      <c r="A45" s="722">
        <f t="shared" si="3"/>
        <v>43</v>
      </c>
      <c r="B45" s="722" t="s">
        <v>1312</v>
      </c>
      <c r="C45" s="722" t="s">
        <v>96</v>
      </c>
      <c r="D45" s="722" t="s">
        <v>97</v>
      </c>
      <c r="E45" s="723">
        <f>'(RRD-47)'!G97</f>
        <v>7095</v>
      </c>
      <c r="F45" s="723">
        <f>'(RRD-47)'!G98</f>
        <v>7100</v>
      </c>
      <c r="G45" s="723">
        <f t="shared" si="4"/>
        <v>-5</v>
      </c>
      <c r="H45" s="722" t="s">
        <v>563</v>
      </c>
      <c r="I45" s="724" t="s">
        <v>742</v>
      </c>
      <c r="J45" s="724"/>
      <c r="K45" s="725">
        <v>500</v>
      </c>
      <c r="L45" s="725">
        <v>0</v>
      </c>
      <c r="M45" s="725">
        <v>2870</v>
      </c>
      <c r="N45" s="725">
        <f>VLOOKUP(D45,'Q4'!$C$316:$E$423,3,FALSE)</f>
        <v>3730</v>
      </c>
      <c r="O45" s="725">
        <f t="shared" si="5"/>
        <v>7100</v>
      </c>
      <c r="P45" s="723">
        <f t="shared" si="6"/>
        <v>0</v>
      </c>
      <c r="Q45" s="722" t="s">
        <v>1676</v>
      </c>
      <c r="R45" s="663"/>
    </row>
    <row r="46" spans="1:18" s="489" customFormat="1" x14ac:dyDescent="0.25">
      <c r="A46" s="722">
        <f t="shared" si="3"/>
        <v>44</v>
      </c>
      <c r="B46" s="722" t="s">
        <v>1328</v>
      </c>
      <c r="C46" s="722" t="s">
        <v>98</v>
      </c>
      <c r="D46" s="722" t="s">
        <v>99</v>
      </c>
      <c r="E46" s="723">
        <f>'(UMC-48) '!G97</f>
        <v>1281</v>
      </c>
      <c r="F46" s="723">
        <f>'(UMC-48) '!G98</f>
        <v>1290</v>
      </c>
      <c r="G46" s="723">
        <f t="shared" si="4"/>
        <v>-9</v>
      </c>
      <c r="H46" s="722" t="s">
        <v>563</v>
      </c>
      <c r="I46" s="724" t="s">
        <v>742</v>
      </c>
      <c r="J46" s="724"/>
      <c r="K46" s="725">
        <v>0</v>
      </c>
      <c r="L46" s="725">
        <v>0</v>
      </c>
      <c r="M46" s="725">
        <v>1275</v>
      </c>
      <c r="N46" s="725">
        <f>VLOOKUP(D46,'Q4'!$C$316:$E$423,3,FALSE)</f>
        <v>15</v>
      </c>
      <c r="O46" s="725">
        <f t="shared" si="5"/>
        <v>1290</v>
      </c>
      <c r="P46" s="723">
        <f t="shared" si="6"/>
        <v>0</v>
      </c>
      <c r="Q46" s="722" t="s">
        <v>1674</v>
      </c>
      <c r="R46" s="663"/>
    </row>
    <row r="47" spans="1:18" x14ac:dyDescent="0.25">
      <c r="A47" s="722">
        <f t="shared" si="3"/>
        <v>45</v>
      </c>
      <c r="B47" s="722" t="s">
        <v>1280</v>
      </c>
      <c r="C47" s="722" t="s">
        <v>566</v>
      </c>
      <c r="D47" s="722" t="s">
        <v>567</v>
      </c>
      <c r="E47" s="723">
        <f>'(SLT-49)'!G97</f>
        <v>212619</v>
      </c>
      <c r="F47" s="723">
        <f>'(SLT-49)'!G98</f>
        <v>212625</v>
      </c>
      <c r="G47" s="723">
        <f t="shared" si="4"/>
        <v>-6</v>
      </c>
      <c r="H47" s="722" t="s">
        <v>604</v>
      </c>
      <c r="I47" s="724" t="s">
        <v>742</v>
      </c>
      <c r="J47" s="724"/>
      <c r="K47" s="725">
        <v>59900</v>
      </c>
      <c r="L47" s="725">
        <v>45000</v>
      </c>
      <c r="M47" s="725">
        <v>60000</v>
      </c>
      <c r="N47" s="725">
        <f>VLOOKUP(D47,'Q4'!$C$316:$E$423,3,FALSE)</f>
        <v>47725</v>
      </c>
      <c r="O47" s="725">
        <f t="shared" si="5"/>
        <v>212625</v>
      </c>
      <c r="P47" s="723">
        <f t="shared" si="6"/>
        <v>0</v>
      </c>
      <c r="Q47" s="722" t="s">
        <v>1674</v>
      </c>
      <c r="R47" s="663"/>
    </row>
    <row r="48" spans="1:18" s="489" customFormat="1" x14ac:dyDescent="0.25">
      <c r="A48" s="722">
        <f t="shared" si="3"/>
        <v>46</v>
      </c>
      <c r="B48" s="722" t="s">
        <v>1661</v>
      </c>
      <c r="C48" s="722" t="s">
        <v>570</v>
      </c>
      <c r="D48" s="722" t="s">
        <v>571</v>
      </c>
      <c r="E48" s="723">
        <f>'(SSW-51)'!G97</f>
        <v>269327</v>
      </c>
      <c r="F48" s="723">
        <f>'(SSW-51)'!G98</f>
        <v>269336</v>
      </c>
      <c r="G48" s="723">
        <f t="shared" si="4"/>
        <v>-9</v>
      </c>
      <c r="H48" s="722" t="s">
        <v>604</v>
      </c>
      <c r="I48" s="724" t="s">
        <v>742</v>
      </c>
      <c r="J48" s="724"/>
      <c r="K48" s="725">
        <v>66011</v>
      </c>
      <c r="L48" s="725">
        <v>49500</v>
      </c>
      <c r="M48" s="725">
        <v>81410</v>
      </c>
      <c r="N48" s="725">
        <f>VLOOKUP(D48,'Q4'!$C$316:$E$423,3,FALSE)</f>
        <v>72415</v>
      </c>
      <c r="O48" s="725">
        <f t="shared" si="5"/>
        <v>269336</v>
      </c>
      <c r="P48" s="723">
        <f t="shared" si="6"/>
        <v>0</v>
      </c>
      <c r="Q48" s="722" t="s">
        <v>1674</v>
      </c>
      <c r="R48" s="663"/>
    </row>
    <row r="49" spans="1:20" s="489" customFormat="1" x14ac:dyDescent="0.25">
      <c r="A49" s="722">
        <f t="shared" si="3"/>
        <v>47</v>
      </c>
      <c r="B49" s="722"/>
      <c r="C49" s="722" t="s">
        <v>572</v>
      </c>
      <c r="D49" s="722" t="s">
        <v>573</v>
      </c>
      <c r="E49" s="723">
        <f>'(VNK-52)'!G98</f>
        <v>21978</v>
      </c>
      <c r="F49" s="723">
        <f>'(VNK-52)'!G99</f>
        <v>75000</v>
      </c>
      <c r="G49" s="723">
        <f t="shared" si="4"/>
        <v>-53022</v>
      </c>
      <c r="H49" s="722" t="s">
        <v>604</v>
      </c>
      <c r="I49" s="724" t="s">
        <v>742</v>
      </c>
      <c r="J49" s="724"/>
      <c r="K49" s="725">
        <v>60000</v>
      </c>
      <c r="L49" s="725">
        <v>15000</v>
      </c>
      <c r="M49" s="725">
        <v>0</v>
      </c>
      <c r="N49" s="725">
        <v>0</v>
      </c>
      <c r="O49" s="725">
        <f t="shared" si="5"/>
        <v>75000</v>
      </c>
      <c r="P49" s="723">
        <f t="shared" si="6"/>
        <v>0</v>
      </c>
      <c r="Q49" s="722" t="s">
        <v>1676</v>
      </c>
      <c r="R49" s="663"/>
    </row>
    <row r="50" spans="1:20" s="489" customFormat="1" x14ac:dyDescent="0.25">
      <c r="A50" s="722">
        <f t="shared" si="3"/>
        <v>48</v>
      </c>
      <c r="B50" s="722" t="s">
        <v>1275</v>
      </c>
      <c r="C50" s="722" t="s">
        <v>577</v>
      </c>
      <c r="D50" s="722" t="s">
        <v>578</v>
      </c>
      <c r="E50" s="723">
        <f>' (HS-55)'!G97</f>
        <v>182899</v>
      </c>
      <c r="F50" s="723">
        <f>' (HS-55)'!G98</f>
        <v>182905</v>
      </c>
      <c r="G50" s="723">
        <f t="shared" si="4"/>
        <v>-6</v>
      </c>
      <c r="H50" s="722" t="s">
        <v>604</v>
      </c>
      <c r="I50" s="724" t="s">
        <v>742</v>
      </c>
      <c r="J50" s="724"/>
      <c r="K50" s="725">
        <v>53800</v>
      </c>
      <c r="L50" s="725">
        <v>40500</v>
      </c>
      <c r="M50" s="725">
        <v>55500</v>
      </c>
      <c r="N50" s="725">
        <f>VLOOKUP(D50,'Q4'!$C$316:$E$423,3,FALSE)</f>
        <v>33105</v>
      </c>
      <c r="O50" s="725">
        <f t="shared" si="5"/>
        <v>182905</v>
      </c>
      <c r="P50" s="723">
        <f t="shared" si="6"/>
        <v>0</v>
      </c>
      <c r="Q50" s="722" t="s">
        <v>1674</v>
      </c>
      <c r="R50" s="663"/>
    </row>
    <row r="51" spans="1:20" s="489" customFormat="1" x14ac:dyDescent="0.25">
      <c r="A51" s="722">
        <f t="shared" si="3"/>
        <v>49</v>
      </c>
      <c r="B51" s="722" t="s">
        <v>1279</v>
      </c>
      <c r="C51" s="722" t="s">
        <v>579</v>
      </c>
      <c r="D51" s="722" t="s">
        <v>580</v>
      </c>
      <c r="E51" s="723">
        <f>'(PAP-56)'!G99</f>
        <v>84970</v>
      </c>
      <c r="F51" s="723">
        <f>'(PAP-56)'!G100</f>
        <v>84976</v>
      </c>
      <c r="G51" s="723">
        <f t="shared" si="4"/>
        <v>-6</v>
      </c>
      <c r="H51" s="722" t="s">
        <v>604</v>
      </c>
      <c r="I51" s="724" t="s">
        <v>742</v>
      </c>
      <c r="J51" s="724"/>
      <c r="K51" s="725">
        <v>37176</v>
      </c>
      <c r="L51" s="725">
        <v>23800</v>
      </c>
      <c r="M51" s="725">
        <v>16200</v>
      </c>
      <c r="N51" s="725">
        <f>VLOOKUP(D51,'Q4'!$C$316:$E$423,3,FALSE)</f>
        <v>7800</v>
      </c>
      <c r="O51" s="725">
        <f t="shared" si="5"/>
        <v>84976</v>
      </c>
      <c r="P51" s="723">
        <f t="shared" si="6"/>
        <v>0</v>
      </c>
      <c r="Q51" s="722" t="s">
        <v>1674</v>
      </c>
      <c r="R51" s="663"/>
    </row>
    <row r="52" spans="1:20" x14ac:dyDescent="0.25">
      <c r="A52" s="722">
        <f t="shared" si="3"/>
        <v>50</v>
      </c>
      <c r="B52" s="722" t="s">
        <v>1277</v>
      </c>
      <c r="C52" s="722" t="s">
        <v>583</v>
      </c>
      <c r="D52" s="722" t="s">
        <v>584</v>
      </c>
      <c r="E52" s="723">
        <f>'(PBSP-58)'!G98</f>
        <v>99005</v>
      </c>
      <c r="F52" s="723">
        <f>'(PBSP-58)'!G99</f>
        <v>99014</v>
      </c>
      <c r="G52" s="723">
        <f t="shared" si="4"/>
        <v>-9</v>
      </c>
      <c r="H52" s="722" t="s">
        <v>604</v>
      </c>
      <c r="I52" s="724" t="s">
        <v>742</v>
      </c>
      <c r="J52" s="724"/>
      <c r="K52" s="725">
        <v>34409</v>
      </c>
      <c r="L52" s="725">
        <v>21900</v>
      </c>
      <c r="M52" s="725">
        <v>24650</v>
      </c>
      <c r="N52" s="725">
        <f>VLOOKUP(D52,'Q4'!$C$316:$E$423,3,FALSE)</f>
        <v>18055</v>
      </c>
      <c r="O52" s="725">
        <f t="shared" si="5"/>
        <v>99014</v>
      </c>
      <c r="P52" s="723">
        <f t="shared" si="6"/>
        <v>0</v>
      </c>
      <c r="Q52" s="722" t="s">
        <v>1674</v>
      </c>
      <c r="R52" s="663"/>
    </row>
    <row r="53" spans="1:20" s="489" customFormat="1" x14ac:dyDescent="0.25">
      <c r="A53" s="722">
        <f t="shared" si="3"/>
        <v>51</v>
      </c>
      <c r="B53" s="722" t="s">
        <v>1278</v>
      </c>
      <c r="C53" s="722" t="s">
        <v>585</v>
      </c>
      <c r="D53" s="722" t="s">
        <v>586</v>
      </c>
      <c r="E53" s="723">
        <f>'(SAA-59)'!G98</f>
        <v>112689</v>
      </c>
      <c r="F53" s="723">
        <f>'(SAA-59)'!G99</f>
        <v>112696</v>
      </c>
      <c r="G53" s="723">
        <f t="shared" si="4"/>
        <v>-7</v>
      </c>
      <c r="H53" s="722" t="s">
        <v>604</v>
      </c>
      <c r="I53" s="724" t="s">
        <v>742</v>
      </c>
      <c r="J53" s="724"/>
      <c r="K53" s="725">
        <v>37176</v>
      </c>
      <c r="L53" s="725">
        <v>23800</v>
      </c>
      <c r="M53" s="725">
        <v>29350</v>
      </c>
      <c r="N53" s="725">
        <f>VLOOKUP(D53,'Q4'!$C$316:$E$423,3,FALSE)</f>
        <v>22370</v>
      </c>
      <c r="O53" s="725">
        <f t="shared" si="5"/>
        <v>112696</v>
      </c>
      <c r="P53" s="723">
        <f t="shared" si="6"/>
        <v>0</v>
      </c>
      <c r="Q53" s="722" t="s">
        <v>1674</v>
      </c>
      <c r="R53" s="663"/>
    </row>
    <row r="54" spans="1:20" x14ac:dyDescent="0.25">
      <c r="A54" s="722">
        <f t="shared" si="3"/>
        <v>52</v>
      </c>
      <c r="B54" s="722" t="s">
        <v>1342</v>
      </c>
      <c r="C54" s="722" t="s">
        <v>587</v>
      </c>
      <c r="D54" s="722" t="s">
        <v>588</v>
      </c>
      <c r="E54" s="723">
        <f>'(MHH-60)'!G97</f>
        <v>52850</v>
      </c>
      <c r="F54" s="723">
        <f>'(MHH-60)'!G98</f>
        <v>68082</v>
      </c>
      <c r="G54" s="723">
        <f t="shared" si="4"/>
        <v>-15232</v>
      </c>
      <c r="H54" s="722" t="s">
        <v>604</v>
      </c>
      <c r="I54" s="724" t="s">
        <v>742</v>
      </c>
      <c r="J54" s="724"/>
      <c r="K54" s="725">
        <v>37482</v>
      </c>
      <c r="L54" s="725">
        <v>23100</v>
      </c>
      <c r="M54" s="725">
        <v>7500</v>
      </c>
      <c r="N54" s="725">
        <v>0</v>
      </c>
      <c r="O54" s="725">
        <f t="shared" si="5"/>
        <v>68082</v>
      </c>
      <c r="P54" s="723">
        <f t="shared" si="6"/>
        <v>0</v>
      </c>
      <c r="Q54" s="722" t="s">
        <v>1676</v>
      </c>
      <c r="R54" s="663"/>
    </row>
    <row r="55" spans="1:20" s="738" customFormat="1" x14ac:dyDescent="0.25">
      <c r="A55" s="728">
        <f t="shared" si="3"/>
        <v>53</v>
      </c>
      <c r="B55" s="728" t="s">
        <v>1340</v>
      </c>
      <c r="C55" s="728" t="s">
        <v>589</v>
      </c>
      <c r="D55" s="728" t="s">
        <v>590</v>
      </c>
      <c r="E55" s="729">
        <f>'(HRM-61)'!G99</f>
        <v>7913</v>
      </c>
      <c r="F55" s="729">
        <f>'(HRM-61)'!G100</f>
        <v>99119</v>
      </c>
      <c r="G55" s="729">
        <f t="shared" si="4"/>
        <v>-91206</v>
      </c>
      <c r="H55" s="728" t="s">
        <v>604</v>
      </c>
      <c r="I55" s="731" t="s">
        <v>742</v>
      </c>
      <c r="J55" s="731"/>
      <c r="K55" s="736">
        <v>70569</v>
      </c>
      <c r="L55" s="736">
        <v>1500</v>
      </c>
      <c r="M55" s="736">
        <v>14000</v>
      </c>
      <c r="N55" s="736">
        <f>VLOOKUP(D55,'Q4'!$C$316:$E$423,3,FALSE)</f>
        <v>13050</v>
      </c>
      <c r="O55" s="736">
        <f t="shared" si="5"/>
        <v>99119</v>
      </c>
      <c r="P55" s="729">
        <f t="shared" si="6"/>
        <v>0</v>
      </c>
      <c r="Q55" s="728" t="s">
        <v>1676</v>
      </c>
      <c r="R55" s="712"/>
      <c r="S55" s="738" t="s">
        <v>1700</v>
      </c>
      <c r="T55" s="738" t="s">
        <v>1701</v>
      </c>
    </row>
    <row r="56" spans="1:20" x14ac:dyDescent="0.25">
      <c r="A56" s="722">
        <f t="shared" si="3"/>
        <v>54</v>
      </c>
      <c r="B56" s="722" t="s">
        <v>1339</v>
      </c>
      <c r="C56" s="722" t="s">
        <v>591</v>
      </c>
      <c r="D56" s="722" t="s">
        <v>592</v>
      </c>
      <c r="E56" s="723">
        <f>'(PPS-62)'!G101</f>
        <v>109321</v>
      </c>
      <c r="F56" s="723">
        <f>'(PPS-62)'!G102</f>
        <v>112520</v>
      </c>
      <c r="G56" s="723">
        <f t="shared" si="4"/>
        <v>-3199</v>
      </c>
      <c r="H56" s="722" t="s">
        <v>604</v>
      </c>
      <c r="I56" s="724" t="s">
        <v>742</v>
      </c>
      <c r="J56" s="724"/>
      <c r="K56" s="725">
        <v>79240</v>
      </c>
      <c r="L56" s="725">
        <v>7500</v>
      </c>
      <c r="M56" s="725">
        <v>14180</v>
      </c>
      <c r="N56" s="725">
        <f>VLOOKUP(D56,'Q4'!$C$316:$E$423,3,FALSE)</f>
        <v>11600</v>
      </c>
      <c r="O56" s="725">
        <f t="shared" si="5"/>
        <v>112520</v>
      </c>
      <c r="P56" s="723">
        <f t="shared" si="6"/>
        <v>0</v>
      </c>
      <c r="Q56" s="722" t="s">
        <v>1676</v>
      </c>
      <c r="R56" s="663"/>
    </row>
    <row r="57" spans="1:20" s="489" customFormat="1" x14ac:dyDescent="0.25">
      <c r="A57" s="722">
        <f t="shared" si="3"/>
        <v>55</v>
      </c>
      <c r="B57" s="722" t="s">
        <v>1337</v>
      </c>
      <c r="C57" s="722" t="s">
        <v>593</v>
      </c>
      <c r="D57" s="722" t="s">
        <v>594</v>
      </c>
      <c r="E57" s="723">
        <f>'(NAP-63)'!G100</f>
        <v>111589</v>
      </c>
      <c r="F57" s="723">
        <f>'(NAP-63)'!G101</f>
        <v>111597</v>
      </c>
      <c r="G57" s="723">
        <f t="shared" si="4"/>
        <v>-8</v>
      </c>
      <c r="H57" s="722" t="s">
        <v>604</v>
      </c>
      <c r="I57" s="724" t="s">
        <v>742</v>
      </c>
      <c r="J57" s="724"/>
      <c r="K57" s="725">
        <v>81352</v>
      </c>
      <c r="L57" s="725">
        <v>6000</v>
      </c>
      <c r="M57" s="725">
        <v>13000</v>
      </c>
      <c r="N57" s="725">
        <f>VLOOKUP(D57,'Q4'!$C$316:$E$423,3,FALSE)</f>
        <v>11245</v>
      </c>
      <c r="O57" s="725">
        <f t="shared" si="5"/>
        <v>111597</v>
      </c>
      <c r="P57" s="723">
        <f t="shared" si="6"/>
        <v>0</v>
      </c>
      <c r="Q57" s="722" t="s">
        <v>1674</v>
      </c>
      <c r="R57" s="663"/>
    </row>
    <row r="58" spans="1:20" s="737" customFormat="1" x14ac:dyDescent="0.25">
      <c r="A58" s="728">
        <f t="shared" si="3"/>
        <v>56</v>
      </c>
      <c r="B58" s="722" t="s">
        <v>1338</v>
      </c>
      <c r="C58" s="728" t="s">
        <v>595</v>
      </c>
      <c r="D58" s="728" t="s">
        <v>596</v>
      </c>
      <c r="E58" s="729">
        <f>'(BSS-64)'!G99</f>
        <v>76007</v>
      </c>
      <c r="F58" s="729">
        <f>'(BSS-64)'!G100</f>
        <v>86243</v>
      </c>
      <c r="G58" s="729">
        <f t="shared" si="4"/>
        <v>-10236</v>
      </c>
      <c r="H58" s="722" t="s">
        <v>604</v>
      </c>
      <c r="I58" s="724" t="s">
        <v>742</v>
      </c>
      <c r="J58" s="731"/>
      <c r="K58" s="736">
        <v>63888</v>
      </c>
      <c r="L58" s="736">
        <v>1500</v>
      </c>
      <c r="M58" s="736">
        <v>8000</v>
      </c>
      <c r="N58" s="736">
        <f>VLOOKUP(D58,'Q4'!$C$316:$E$423,3,FALSE)</f>
        <v>12855</v>
      </c>
      <c r="O58" s="736">
        <f t="shared" si="5"/>
        <v>86243</v>
      </c>
      <c r="P58" s="729">
        <f t="shared" si="6"/>
        <v>0</v>
      </c>
      <c r="Q58" s="722" t="s">
        <v>1676</v>
      </c>
      <c r="R58" s="663" t="s">
        <v>1680</v>
      </c>
    </row>
    <row r="59" spans="1:20" x14ac:dyDescent="0.25">
      <c r="A59" s="722">
        <f t="shared" si="3"/>
        <v>57</v>
      </c>
      <c r="B59" s="722" t="s">
        <v>1662</v>
      </c>
      <c r="C59" s="722" t="s">
        <v>597</v>
      </c>
      <c r="D59" s="722" t="s">
        <v>608</v>
      </c>
      <c r="E59" s="723">
        <f>'(SG-65)'!G97</f>
        <v>24078</v>
      </c>
      <c r="F59" s="723">
        <f>'(SG-65)'!G98</f>
        <v>24085</v>
      </c>
      <c r="G59" s="723">
        <f t="shared" si="4"/>
        <v>-7</v>
      </c>
      <c r="H59" s="722" t="s">
        <v>604</v>
      </c>
      <c r="I59" s="724" t="s">
        <v>742</v>
      </c>
      <c r="J59" s="724"/>
      <c r="K59" s="725">
        <v>4400</v>
      </c>
      <c r="L59" s="725">
        <v>3000</v>
      </c>
      <c r="M59" s="725">
        <v>8685</v>
      </c>
      <c r="N59" s="725">
        <f>VLOOKUP(D59,'Q4'!$C$316:$E$423,3,FALSE)</f>
        <v>8000</v>
      </c>
      <c r="O59" s="725">
        <f t="shared" si="5"/>
        <v>24085</v>
      </c>
      <c r="P59" s="723">
        <f t="shared" si="6"/>
        <v>0</v>
      </c>
      <c r="Q59" s="722" t="s">
        <v>1674</v>
      </c>
      <c r="R59" s="663"/>
    </row>
    <row r="60" spans="1:20" s="737" customFormat="1" x14ac:dyDescent="0.25">
      <c r="A60" s="728">
        <f t="shared" si="3"/>
        <v>58</v>
      </c>
      <c r="B60" s="722" t="s">
        <v>1282</v>
      </c>
      <c r="C60" s="728" t="s">
        <v>598</v>
      </c>
      <c r="D60" s="728" t="s">
        <v>599</v>
      </c>
      <c r="E60" s="729">
        <f>'(SNV-66)'!G97</f>
        <v>25717</v>
      </c>
      <c r="F60" s="729">
        <f>'(SNV-66)'!G98</f>
        <v>24725</v>
      </c>
      <c r="G60" s="729">
        <f t="shared" si="4"/>
        <v>992</v>
      </c>
      <c r="H60" s="722" t="s">
        <v>604</v>
      </c>
      <c r="I60" s="724" t="s">
        <v>742</v>
      </c>
      <c r="J60" s="731"/>
      <c r="K60" s="736">
        <v>2770</v>
      </c>
      <c r="L60" s="736">
        <v>3000</v>
      </c>
      <c r="M60" s="736">
        <v>7440</v>
      </c>
      <c r="N60" s="736">
        <f>VLOOKUP(D60,'Q4'!$C$316:$E$423,3,FALSE)</f>
        <v>11515</v>
      </c>
      <c r="O60" s="736">
        <f t="shared" si="5"/>
        <v>24725</v>
      </c>
      <c r="P60" s="729">
        <f t="shared" si="6"/>
        <v>0</v>
      </c>
      <c r="Q60" s="722" t="s">
        <v>1674</v>
      </c>
      <c r="R60" s="663"/>
    </row>
    <row r="61" spans="1:20" s="489" customFormat="1" x14ac:dyDescent="0.25">
      <c r="A61" s="722">
        <f t="shared" si="3"/>
        <v>59</v>
      </c>
      <c r="B61" s="722" t="s">
        <v>1276</v>
      </c>
      <c r="C61" s="722" t="s">
        <v>600</v>
      </c>
      <c r="D61" s="722" t="s">
        <v>601</v>
      </c>
      <c r="E61" s="723">
        <f>'(IAP-67)'!G98</f>
        <v>66330</v>
      </c>
      <c r="F61" s="723">
        <f>'(IAP-67)'!G99</f>
        <v>66335</v>
      </c>
      <c r="G61" s="723">
        <f t="shared" si="4"/>
        <v>-5</v>
      </c>
      <c r="H61" s="722" t="s">
        <v>604</v>
      </c>
      <c r="I61" s="724" t="s">
        <v>742</v>
      </c>
      <c r="J61" s="724"/>
      <c r="K61" s="725">
        <v>18200</v>
      </c>
      <c r="L61" s="725">
        <v>13500</v>
      </c>
      <c r="M61" s="725">
        <v>19500</v>
      </c>
      <c r="N61" s="725">
        <f>VLOOKUP(D61,'Q4'!$C$316:$E$423,3,FALSE)</f>
        <v>15135</v>
      </c>
      <c r="O61" s="725">
        <f t="shared" si="5"/>
        <v>66335</v>
      </c>
      <c r="P61" s="723">
        <f t="shared" si="6"/>
        <v>0</v>
      </c>
      <c r="Q61" s="722" t="s">
        <v>1674</v>
      </c>
      <c r="R61" s="663"/>
    </row>
    <row r="62" spans="1:20" x14ac:dyDescent="0.25">
      <c r="A62" s="722">
        <f t="shared" si="3"/>
        <v>60</v>
      </c>
      <c r="B62" s="722" t="s">
        <v>1281</v>
      </c>
      <c r="C62" s="722" t="s">
        <v>602</v>
      </c>
      <c r="D62" s="722" t="s">
        <v>603</v>
      </c>
      <c r="E62" s="723">
        <f>'(MBR-68)'!G99</f>
        <v>29485</v>
      </c>
      <c r="F62" s="723">
        <f>'(MBR-68)'!G100</f>
        <v>29490</v>
      </c>
      <c r="G62" s="723">
        <f t="shared" si="4"/>
        <v>-5</v>
      </c>
      <c r="H62" s="722" t="s">
        <v>604</v>
      </c>
      <c r="I62" s="724" t="s">
        <v>742</v>
      </c>
      <c r="J62" s="724"/>
      <c r="K62" s="725">
        <v>7900</v>
      </c>
      <c r="L62" s="725">
        <v>6000</v>
      </c>
      <c r="M62" s="725">
        <v>8640</v>
      </c>
      <c r="N62" s="725">
        <f>VLOOKUP(D62,'Q4'!$C$316:$E$423,3,FALSE)</f>
        <v>6950</v>
      </c>
      <c r="O62" s="725">
        <f t="shared" si="5"/>
        <v>29490</v>
      </c>
      <c r="P62" s="723">
        <f t="shared" si="6"/>
        <v>0</v>
      </c>
      <c r="Q62" s="722" t="s">
        <v>1674</v>
      </c>
      <c r="R62" s="663"/>
    </row>
    <row r="63" spans="1:20" x14ac:dyDescent="0.25">
      <c r="A63" s="722">
        <f t="shared" si="3"/>
        <v>61</v>
      </c>
      <c r="B63" s="722" t="s">
        <v>1323</v>
      </c>
      <c r="C63" s="722" t="s">
        <v>743</v>
      </c>
      <c r="D63" s="722" t="s">
        <v>744</v>
      </c>
      <c r="E63" s="723">
        <f>'(SSM-69)'!G97</f>
        <v>178782</v>
      </c>
      <c r="F63" s="723">
        <f>'(SSM-69)'!G98</f>
        <v>187480</v>
      </c>
      <c r="G63" s="723">
        <f t="shared" si="4"/>
        <v>-8698</v>
      </c>
      <c r="H63" s="722" t="s">
        <v>788</v>
      </c>
      <c r="I63" s="724" t="s">
        <v>742</v>
      </c>
      <c r="J63" s="724"/>
      <c r="K63" s="725">
        <v>48300</v>
      </c>
      <c r="L63" s="725">
        <v>36000</v>
      </c>
      <c r="M63" s="725">
        <v>49000</v>
      </c>
      <c r="N63" s="725">
        <f>VLOOKUP(D63,'Q4'!$C$316:$E$423,3,FALSE)</f>
        <v>54180</v>
      </c>
      <c r="O63" s="725">
        <f t="shared" si="5"/>
        <v>187480</v>
      </c>
      <c r="P63" s="723">
        <f t="shared" si="6"/>
        <v>0</v>
      </c>
      <c r="Q63" s="722" t="s">
        <v>1676</v>
      </c>
      <c r="R63" s="663"/>
    </row>
    <row r="64" spans="1:20" x14ac:dyDescent="0.25">
      <c r="A64" s="722">
        <f t="shared" si="3"/>
        <v>62</v>
      </c>
      <c r="B64" s="722" t="s">
        <v>1663</v>
      </c>
      <c r="C64" s="722" t="s">
        <v>747</v>
      </c>
      <c r="D64" s="722" t="s">
        <v>1447</v>
      </c>
      <c r="E64" s="723">
        <f>'(SS-71)'!G98</f>
        <v>17675</v>
      </c>
      <c r="F64" s="723">
        <f>'(SS-71)'!G99</f>
        <v>27000</v>
      </c>
      <c r="G64" s="723">
        <f t="shared" si="4"/>
        <v>-9325</v>
      </c>
      <c r="H64" s="722" t="s">
        <v>788</v>
      </c>
      <c r="I64" s="724" t="s">
        <v>742</v>
      </c>
      <c r="J64" s="724"/>
      <c r="K64" s="725">
        <v>19000</v>
      </c>
      <c r="L64" s="725">
        <v>6000</v>
      </c>
      <c r="M64" s="725">
        <v>2000</v>
      </c>
      <c r="N64" s="725">
        <v>0</v>
      </c>
      <c r="O64" s="725">
        <f t="shared" si="5"/>
        <v>27000</v>
      </c>
      <c r="P64" s="723">
        <f t="shared" si="6"/>
        <v>0</v>
      </c>
      <c r="Q64" s="722" t="s">
        <v>1676</v>
      </c>
      <c r="R64" s="663" t="s">
        <v>1681</v>
      </c>
    </row>
    <row r="65" spans="1:19" x14ac:dyDescent="0.25">
      <c r="A65" s="722">
        <f t="shared" si="3"/>
        <v>63</v>
      </c>
      <c r="B65" s="722" t="s">
        <v>1315</v>
      </c>
      <c r="C65" s="722" t="s">
        <v>751</v>
      </c>
      <c r="D65" s="722" t="s">
        <v>752</v>
      </c>
      <c r="E65" s="723">
        <f>'(BAD-73)'!G97</f>
        <v>28036</v>
      </c>
      <c r="F65" s="723">
        <f>'(BAD-73)'!G98</f>
        <v>28044</v>
      </c>
      <c r="G65" s="723">
        <f t="shared" si="4"/>
        <v>-8</v>
      </c>
      <c r="H65" s="722" t="s">
        <v>788</v>
      </c>
      <c r="I65" s="724" t="s">
        <v>742</v>
      </c>
      <c r="J65" s="724"/>
      <c r="K65" s="725">
        <v>6194</v>
      </c>
      <c r="L65" s="725">
        <v>4500</v>
      </c>
      <c r="M65" s="725">
        <v>9360</v>
      </c>
      <c r="N65" s="725">
        <f>VLOOKUP(D65,'Q4'!$C$316:$E$423,3,FALSE)</f>
        <v>7990</v>
      </c>
      <c r="O65" s="725">
        <f t="shared" si="5"/>
        <v>28044</v>
      </c>
      <c r="P65" s="723">
        <f t="shared" si="6"/>
        <v>0</v>
      </c>
      <c r="Q65" s="722" t="s">
        <v>1674</v>
      </c>
      <c r="R65" s="663"/>
    </row>
    <row r="66" spans="1:19" x14ac:dyDescent="0.25">
      <c r="A66" s="722">
        <f t="shared" si="3"/>
        <v>64</v>
      </c>
      <c r="B66" s="722" t="s">
        <v>1314</v>
      </c>
      <c r="C66" s="722" t="s">
        <v>753</v>
      </c>
      <c r="D66" s="722" t="s">
        <v>754</v>
      </c>
      <c r="E66" s="723">
        <f>'(CN-74)'!G97</f>
        <v>74320</v>
      </c>
      <c r="F66" s="723">
        <f>'(CN-74)'!G98</f>
        <v>74325</v>
      </c>
      <c r="G66" s="723">
        <f t="shared" si="4"/>
        <v>-5</v>
      </c>
      <c r="H66" s="722" t="s">
        <v>788</v>
      </c>
      <c r="I66" s="724" t="s">
        <v>742</v>
      </c>
      <c r="J66" s="724"/>
      <c r="K66" s="725">
        <v>24230</v>
      </c>
      <c r="L66" s="725">
        <v>18000</v>
      </c>
      <c r="M66" s="725">
        <v>20435</v>
      </c>
      <c r="N66" s="725">
        <f>VLOOKUP(D66,'Q4'!$C$316:$E$423,3,FALSE)</f>
        <v>11660</v>
      </c>
      <c r="O66" s="725">
        <f t="shared" si="5"/>
        <v>74325</v>
      </c>
      <c r="P66" s="723">
        <f t="shared" si="6"/>
        <v>0</v>
      </c>
      <c r="Q66" s="722" t="s">
        <v>1676</v>
      </c>
      <c r="R66" s="663"/>
    </row>
    <row r="67" spans="1:19" s="489" customFormat="1" x14ac:dyDescent="0.25">
      <c r="A67" s="722">
        <f t="shared" si="3"/>
        <v>65</v>
      </c>
      <c r="B67" s="722" t="s">
        <v>1316</v>
      </c>
      <c r="C67" s="722" t="s">
        <v>757</v>
      </c>
      <c r="D67" s="722" t="s">
        <v>758</v>
      </c>
      <c r="E67" s="723">
        <f>'(IH-76)'!G97</f>
        <v>11104</v>
      </c>
      <c r="F67" s="723">
        <f>'(IH-76)'!G98</f>
        <v>11110</v>
      </c>
      <c r="G67" s="723">
        <f t="shared" ref="G67:G98" si="7">E67-F67</f>
        <v>-6</v>
      </c>
      <c r="H67" s="722" t="s">
        <v>788</v>
      </c>
      <c r="I67" s="724" t="s">
        <v>742</v>
      </c>
      <c r="J67" s="724"/>
      <c r="K67" s="725">
        <v>3600</v>
      </c>
      <c r="L67" s="725">
        <v>1000</v>
      </c>
      <c r="M67" s="725">
        <v>3200</v>
      </c>
      <c r="N67" s="725">
        <f>VLOOKUP(D67,'Q4'!$C$316:$E$423,3,FALSE)</f>
        <v>3310</v>
      </c>
      <c r="O67" s="725">
        <f t="shared" ref="O67:O98" si="8">SUM(J67:N67)</f>
        <v>11110</v>
      </c>
      <c r="P67" s="723">
        <f t="shared" ref="P67:P98" si="9">F67-O67</f>
        <v>0</v>
      </c>
      <c r="Q67" s="722" t="s">
        <v>1674</v>
      </c>
      <c r="R67" s="663"/>
    </row>
    <row r="68" spans="1:19" s="489" customFormat="1" x14ac:dyDescent="0.25">
      <c r="A68" s="722">
        <f t="shared" si="3"/>
        <v>66</v>
      </c>
      <c r="B68" s="722" t="s">
        <v>1319</v>
      </c>
      <c r="C68" s="722" t="s">
        <v>759</v>
      </c>
      <c r="D68" s="722" t="s">
        <v>760</v>
      </c>
      <c r="E68" s="723">
        <f>'(LBB-77)'!G97</f>
        <v>12582</v>
      </c>
      <c r="F68" s="723">
        <f>'(LBB-77)'!G98</f>
        <v>13560</v>
      </c>
      <c r="G68" s="723">
        <f t="shared" si="7"/>
        <v>-978</v>
      </c>
      <c r="H68" s="722" t="s">
        <v>788</v>
      </c>
      <c r="I68" s="724" t="s">
        <v>742</v>
      </c>
      <c r="J68" s="724"/>
      <c r="K68" s="725">
        <v>970</v>
      </c>
      <c r="L68" s="725">
        <v>0</v>
      </c>
      <c r="M68" s="725">
        <v>6200</v>
      </c>
      <c r="N68" s="725">
        <f>VLOOKUP(D68,'Q4'!$C$316:$E$423,3,FALSE)</f>
        <v>6390</v>
      </c>
      <c r="O68" s="725">
        <f t="shared" si="8"/>
        <v>13560</v>
      </c>
      <c r="P68" s="723">
        <f t="shared" si="9"/>
        <v>0</v>
      </c>
      <c r="Q68" s="722" t="s">
        <v>1674</v>
      </c>
      <c r="R68" s="663"/>
      <c r="S68" s="710"/>
    </row>
    <row r="69" spans="1:19" s="489" customFormat="1" x14ac:dyDescent="0.25">
      <c r="A69" s="722">
        <f t="shared" ref="A69:A137" si="10">A68+1</f>
        <v>67</v>
      </c>
      <c r="B69" s="722"/>
      <c r="C69" s="722" t="s">
        <v>761</v>
      </c>
      <c r="D69" s="722" t="s">
        <v>762</v>
      </c>
      <c r="E69" s="723">
        <f>'(AN-78)'!G97</f>
        <v>7121</v>
      </c>
      <c r="F69" s="723">
        <f>'(AN-78)'!G98</f>
        <v>17200</v>
      </c>
      <c r="G69" s="723">
        <f t="shared" si="7"/>
        <v>-10079</v>
      </c>
      <c r="H69" s="722" t="s">
        <v>788</v>
      </c>
      <c r="I69" s="724" t="s">
        <v>742</v>
      </c>
      <c r="J69" s="724"/>
      <c r="K69" s="725">
        <v>9200</v>
      </c>
      <c r="L69" s="725">
        <v>6000</v>
      </c>
      <c r="M69" s="725">
        <v>2000</v>
      </c>
      <c r="N69" s="725">
        <v>0</v>
      </c>
      <c r="O69" s="725">
        <f t="shared" si="8"/>
        <v>17200</v>
      </c>
      <c r="P69" s="723">
        <f t="shared" si="9"/>
        <v>0</v>
      </c>
      <c r="Q69" s="722" t="s">
        <v>1678</v>
      </c>
      <c r="R69" s="663" t="s">
        <v>1685</v>
      </c>
    </row>
    <row r="70" spans="1:19" s="489" customFormat="1" x14ac:dyDescent="0.25">
      <c r="A70" s="722">
        <f t="shared" si="10"/>
        <v>68</v>
      </c>
      <c r="B70" s="722" t="s">
        <v>1317</v>
      </c>
      <c r="C70" s="722" t="s">
        <v>763</v>
      </c>
      <c r="D70" s="722" t="s">
        <v>764</v>
      </c>
      <c r="E70" s="723">
        <f>'(NVV-79)'!G97</f>
        <v>19945</v>
      </c>
      <c r="F70" s="723">
        <f>'(NVV-79)'!G98</f>
        <v>24280</v>
      </c>
      <c r="G70" s="723">
        <f t="shared" si="7"/>
        <v>-4335</v>
      </c>
      <c r="H70" s="722" t="s">
        <v>788</v>
      </c>
      <c r="I70" s="724" t="s">
        <v>742</v>
      </c>
      <c r="J70" s="724"/>
      <c r="K70" s="725">
        <v>5700</v>
      </c>
      <c r="L70" s="725">
        <v>4500</v>
      </c>
      <c r="M70" s="725">
        <v>7615</v>
      </c>
      <c r="N70" s="725">
        <f>VLOOKUP(D70,'Q4'!$C$316:$E$423,3,FALSE)</f>
        <v>6465</v>
      </c>
      <c r="O70" s="725">
        <f t="shared" si="8"/>
        <v>24280</v>
      </c>
      <c r="P70" s="723">
        <f t="shared" si="9"/>
        <v>0</v>
      </c>
      <c r="Q70" s="722" t="s">
        <v>1682</v>
      </c>
      <c r="R70" s="663" t="s">
        <v>1677</v>
      </c>
    </row>
    <row r="71" spans="1:19" s="489" customFormat="1" x14ac:dyDescent="0.25">
      <c r="A71" s="722">
        <f t="shared" si="10"/>
        <v>69</v>
      </c>
      <c r="B71" s="722" t="s">
        <v>1318</v>
      </c>
      <c r="C71" s="722" t="s">
        <v>765</v>
      </c>
      <c r="D71" s="722" t="s">
        <v>766</v>
      </c>
      <c r="E71" s="723">
        <f>'(RBR 80)'!G98</f>
        <v>10223</v>
      </c>
      <c r="F71" s="723">
        <f>'(RBR 80)'!G99</f>
        <v>10230</v>
      </c>
      <c r="G71" s="723">
        <f t="shared" si="7"/>
        <v>-7</v>
      </c>
      <c r="H71" s="722" t="s">
        <v>788</v>
      </c>
      <c r="I71" s="724" t="s">
        <v>742</v>
      </c>
      <c r="J71" s="724"/>
      <c r="K71" s="725">
        <v>3890</v>
      </c>
      <c r="L71" s="725">
        <v>3000</v>
      </c>
      <c r="M71" s="725">
        <v>3240</v>
      </c>
      <c r="N71" s="725">
        <f>VLOOKUP(D71,'Q4'!$C$316:$E$423,3,FALSE)</f>
        <v>100</v>
      </c>
      <c r="O71" s="725">
        <f t="shared" si="8"/>
        <v>10230</v>
      </c>
      <c r="P71" s="723">
        <f t="shared" si="9"/>
        <v>0</v>
      </c>
      <c r="Q71" s="722" t="s">
        <v>1674</v>
      </c>
      <c r="R71" s="663"/>
    </row>
    <row r="72" spans="1:19" x14ac:dyDescent="0.25">
      <c r="A72" s="722">
        <f t="shared" si="10"/>
        <v>70</v>
      </c>
      <c r="B72" s="722" t="s">
        <v>1313</v>
      </c>
      <c r="C72" s="722" t="s">
        <v>1687</v>
      </c>
      <c r="D72" s="722" t="s">
        <v>767</v>
      </c>
      <c r="E72" s="723">
        <f>'(JPT 81)'!G97</f>
        <v>40745</v>
      </c>
      <c r="F72" s="723">
        <f>'(JPT 81)'!G98</f>
        <v>45079</v>
      </c>
      <c r="G72" s="723">
        <f t="shared" si="7"/>
        <v>-4334</v>
      </c>
      <c r="H72" s="722" t="s">
        <v>788</v>
      </c>
      <c r="I72" s="724" t="s">
        <v>742</v>
      </c>
      <c r="J72" s="724"/>
      <c r="K72" s="725">
        <v>12000</v>
      </c>
      <c r="L72" s="725">
        <v>9000</v>
      </c>
      <c r="M72" s="725">
        <v>13882</v>
      </c>
      <c r="N72" s="725">
        <f>VLOOKUP(D72,'Q4'!$C$316:$E$423,3,FALSE)</f>
        <v>10197</v>
      </c>
      <c r="O72" s="725">
        <f t="shared" si="8"/>
        <v>45079</v>
      </c>
      <c r="P72" s="723">
        <f t="shared" si="9"/>
        <v>0</v>
      </c>
      <c r="Q72" s="722" t="s">
        <v>1682</v>
      </c>
      <c r="R72" s="663" t="s">
        <v>1677</v>
      </c>
    </row>
    <row r="73" spans="1:19" x14ac:dyDescent="0.25">
      <c r="A73" s="722">
        <f t="shared" si="10"/>
        <v>71</v>
      </c>
      <c r="B73" s="722" t="s">
        <v>1327</v>
      </c>
      <c r="C73" s="722" t="s">
        <v>770</v>
      </c>
      <c r="D73" s="722" t="s">
        <v>562</v>
      </c>
      <c r="E73" s="723">
        <f>'(VBS 83) '!G98</f>
        <v>6889</v>
      </c>
      <c r="F73" s="723">
        <f>'(VBS 83) '!G99</f>
        <v>6895</v>
      </c>
      <c r="G73" s="723">
        <f t="shared" si="7"/>
        <v>-6</v>
      </c>
      <c r="H73" s="722" t="s">
        <v>788</v>
      </c>
      <c r="I73" s="724" t="s">
        <v>742</v>
      </c>
      <c r="J73" s="724"/>
      <c r="K73" s="725">
        <v>0</v>
      </c>
      <c r="L73" s="725">
        <v>0</v>
      </c>
      <c r="M73" s="725">
        <v>1000</v>
      </c>
      <c r="N73" s="725">
        <f>VLOOKUP(D73,'Q4'!$C$316:$E$423,3,FALSE)</f>
        <v>5895</v>
      </c>
      <c r="O73" s="725">
        <f t="shared" si="8"/>
        <v>6895</v>
      </c>
      <c r="P73" s="723">
        <f t="shared" si="9"/>
        <v>0</v>
      </c>
      <c r="Q73" s="722" t="s">
        <v>1678</v>
      </c>
      <c r="R73" s="663" t="s">
        <v>1685</v>
      </c>
    </row>
    <row r="74" spans="1:19" x14ac:dyDescent="0.25">
      <c r="A74" s="722">
        <f t="shared" si="10"/>
        <v>72</v>
      </c>
      <c r="B74" s="722" t="s">
        <v>1321</v>
      </c>
      <c r="C74" s="722" t="s">
        <v>771</v>
      </c>
      <c r="D74" s="722" t="s">
        <v>772</v>
      </c>
      <c r="E74" s="723">
        <f>'(SR-84)'!G97</f>
        <v>54456</v>
      </c>
      <c r="F74" s="723">
        <f>'(SR-84)'!G98</f>
        <v>54465</v>
      </c>
      <c r="G74" s="723">
        <f t="shared" si="7"/>
        <v>-9</v>
      </c>
      <c r="H74" s="722" t="s">
        <v>788</v>
      </c>
      <c r="I74" s="724" t="s">
        <v>742</v>
      </c>
      <c r="J74" s="724"/>
      <c r="K74" s="725">
        <v>17000</v>
      </c>
      <c r="L74" s="725">
        <v>12000</v>
      </c>
      <c r="M74" s="725">
        <v>14400</v>
      </c>
      <c r="N74" s="725">
        <f>VLOOKUP(D74,'Q4'!$C$316:$E$423,3,FALSE)</f>
        <v>11065</v>
      </c>
      <c r="O74" s="725">
        <f t="shared" si="8"/>
        <v>54465</v>
      </c>
      <c r="P74" s="723">
        <f t="shared" si="9"/>
        <v>0</v>
      </c>
      <c r="Q74" s="722" t="s">
        <v>1674</v>
      </c>
      <c r="R74" s="663"/>
    </row>
    <row r="75" spans="1:19" s="489" customFormat="1" x14ac:dyDescent="0.25">
      <c r="A75" s="722">
        <f t="shared" si="10"/>
        <v>73</v>
      </c>
      <c r="B75" s="722" t="s">
        <v>1341</v>
      </c>
      <c r="C75" s="722" t="s">
        <v>773</v>
      </c>
      <c r="D75" s="722" t="s">
        <v>559</v>
      </c>
      <c r="E75" s="723">
        <f>'(KAB-85)'!G98</f>
        <v>77998</v>
      </c>
      <c r="F75" s="723">
        <f>'(KAB-85)'!G99</f>
        <v>94343</v>
      </c>
      <c r="G75" s="723">
        <f t="shared" si="7"/>
        <v>-16345</v>
      </c>
      <c r="H75" s="722" t="s">
        <v>788</v>
      </c>
      <c r="I75" s="724" t="s">
        <v>742</v>
      </c>
      <c r="J75" s="724"/>
      <c r="K75" s="725">
        <v>79343</v>
      </c>
      <c r="L75" s="725">
        <v>7500</v>
      </c>
      <c r="M75" s="725">
        <v>7500</v>
      </c>
      <c r="N75" s="725">
        <v>0</v>
      </c>
      <c r="O75" s="725">
        <f t="shared" si="8"/>
        <v>94343</v>
      </c>
      <c r="P75" s="723">
        <f t="shared" si="9"/>
        <v>0</v>
      </c>
      <c r="Q75" s="722" t="s">
        <v>1676</v>
      </c>
      <c r="R75" s="663"/>
    </row>
    <row r="76" spans="1:19" s="489" customFormat="1" x14ac:dyDescent="0.25">
      <c r="A76" s="722">
        <f t="shared" si="10"/>
        <v>74</v>
      </c>
      <c r="B76" s="722" t="s">
        <v>1320</v>
      </c>
      <c r="C76" s="722" t="s">
        <v>776</v>
      </c>
      <c r="D76" s="722" t="s">
        <v>777</v>
      </c>
      <c r="E76" s="723">
        <f>'(JPS-87)'!G97</f>
        <v>62714</v>
      </c>
      <c r="F76" s="723">
        <f>'(JPS-87)'!G98</f>
        <v>62720</v>
      </c>
      <c r="G76" s="723">
        <f t="shared" si="7"/>
        <v>-6</v>
      </c>
      <c r="H76" s="722" t="s">
        <v>788</v>
      </c>
      <c r="I76" s="724" t="s">
        <v>742</v>
      </c>
      <c r="J76" s="724"/>
      <c r="K76" s="725">
        <v>12300</v>
      </c>
      <c r="L76" s="725">
        <v>9000</v>
      </c>
      <c r="M76" s="725">
        <v>22275</v>
      </c>
      <c r="N76" s="725">
        <f>VLOOKUP(D76,'Q4'!$C$316:$E$423,3,FALSE)</f>
        <v>19145</v>
      </c>
      <c r="O76" s="725">
        <f t="shared" si="8"/>
        <v>62720</v>
      </c>
      <c r="P76" s="723">
        <f t="shared" si="9"/>
        <v>0</v>
      </c>
      <c r="Q76" s="722" t="s">
        <v>1674</v>
      </c>
      <c r="R76" s="663"/>
    </row>
    <row r="77" spans="1:19" x14ac:dyDescent="0.25">
      <c r="A77" s="722">
        <f t="shared" si="10"/>
        <v>75</v>
      </c>
      <c r="B77" s="722" t="s">
        <v>1322</v>
      </c>
      <c r="C77" s="722" t="s">
        <v>778</v>
      </c>
      <c r="D77" s="722" t="s">
        <v>779</v>
      </c>
      <c r="E77" s="723">
        <f>'(AM-88)'!G97</f>
        <v>10539</v>
      </c>
      <c r="F77" s="723">
        <f>'(AM-88)'!G98</f>
        <v>10545</v>
      </c>
      <c r="G77" s="723">
        <f t="shared" si="7"/>
        <v>-6</v>
      </c>
      <c r="H77" s="722" t="s">
        <v>788</v>
      </c>
      <c r="I77" s="724" t="s">
        <v>742</v>
      </c>
      <c r="J77" s="724"/>
      <c r="K77" s="725">
        <v>1600</v>
      </c>
      <c r="L77" s="725">
        <v>0</v>
      </c>
      <c r="M77" s="725">
        <v>4615</v>
      </c>
      <c r="N77" s="725">
        <f>VLOOKUP(D77,'Q4'!$C$316:$E$423,3,FALSE)</f>
        <v>4330</v>
      </c>
      <c r="O77" s="725">
        <f t="shared" si="8"/>
        <v>10545</v>
      </c>
      <c r="P77" s="723">
        <f t="shared" si="9"/>
        <v>0</v>
      </c>
      <c r="Q77" s="722" t="s">
        <v>1674</v>
      </c>
      <c r="R77" s="663"/>
    </row>
    <row r="78" spans="1:19" s="489" customFormat="1" x14ac:dyDescent="0.25">
      <c r="A78" s="722">
        <f t="shared" si="10"/>
        <v>76</v>
      </c>
      <c r="B78" s="722" t="s">
        <v>1324</v>
      </c>
      <c r="C78" s="722" t="s">
        <v>780</v>
      </c>
      <c r="D78" s="722" t="s">
        <v>781</v>
      </c>
      <c r="E78" s="723">
        <f>'(VSD-89)'!G97</f>
        <v>159922</v>
      </c>
      <c r="F78" s="723">
        <f>'(VSD-89)'!G98</f>
        <v>166420</v>
      </c>
      <c r="G78" s="723">
        <f t="shared" si="7"/>
        <v>-6498</v>
      </c>
      <c r="H78" s="722" t="s">
        <v>788</v>
      </c>
      <c r="I78" s="724" t="s">
        <v>742</v>
      </c>
      <c r="J78" s="724"/>
      <c r="K78" s="725">
        <v>40400</v>
      </c>
      <c r="L78" s="725">
        <v>36770</v>
      </c>
      <c r="M78" s="725">
        <v>49750</v>
      </c>
      <c r="N78" s="725">
        <f>VLOOKUP(D78,'Q4'!$C$316:$E$423,3,FALSE)</f>
        <v>39500</v>
      </c>
      <c r="O78" s="725">
        <f t="shared" si="8"/>
        <v>166420</v>
      </c>
      <c r="P78" s="723">
        <f t="shared" si="9"/>
        <v>0</v>
      </c>
      <c r="Q78" s="722" t="s">
        <v>1676</v>
      </c>
      <c r="R78" s="663" t="s">
        <v>1681</v>
      </c>
    </row>
    <row r="79" spans="1:19" s="489" customFormat="1" x14ac:dyDescent="0.25">
      <c r="A79" s="722">
        <f t="shared" si="10"/>
        <v>77</v>
      </c>
      <c r="B79" s="722" t="s">
        <v>1325</v>
      </c>
      <c r="C79" s="722" t="s">
        <v>786</v>
      </c>
      <c r="D79" s="722" t="s">
        <v>787</v>
      </c>
      <c r="E79" s="723">
        <f>'(JAU-92)'!G97</f>
        <v>19945</v>
      </c>
      <c r="F79" s="723">
        <f>'(JAU-92)'!G98</f>
        <v>24279</v>
      </c>
      <c r="G79" s="723">
        <f t="shared" si="7"/>
        <v>-4334</v>
      </c>
      <c r="H79" s="722" t="s">
        <v>788</v>
      </c>
      <c r="I79" s="724" t="s">
        <v>742</v>
      </c>
      <c r="J79" s="724"/>
      <c r="K79" s="725">
        <v>4700</v>
      </c>
      <c r="L79" s="725">
        <v>3000</v>
      </c>
      <c r="M79" s="725">
        <v>8448</v>
      </c>
      <c r="N79" s="725">
        <f>VLOOKUP(D79,'Q4'!$C$316:$E$423,3,FALSE)</f>
        <v>8131</v>
      </c>
      <c r="O79" s="725">
        <f t="shared" si="8"/>
        <v>24279</v>
      </c>
      <c r="P79" s="723">
        <f t="shared" si="9"/>
        <v>0</v>
      </c>
      <c r="Q79" s="722" t="s">
        <v>1676</v>
      </c>
      <c r="R79" s="663" t="s">
        <v>1681</v>
      </c>
    </row>
    <row r="80" spans="1:19" x14ac:dyDescent="0.25">
      <c r="A80" s="722">
        <f t="shared" si="10"/>
        <v>78</v>
      </c>
      <c r="B80" s="727" t="s">
        <v>1347</v>
      </c>
      <c r="C80" s="722" t="s">
        <v>917</v>
      </c>
      <c r="D80" s="727" t="s">
        <v>1346</v>
      </c>
      <c r="E80" s="723">
        <f>'(JPG-93)'!G98</f>
        <v>191844</v>
      </c>
      <c r="F80" s="723">
        <f>'(JPG-93)'!G99</f>
        <v>191850</v>
      </c>
      <c r="G80" s="723">
        <f t="shared" si="7"/>
        <v>-6</v>
      </c>
      <c r="H80" s="722" t="s">
        <v>970</v>
      </c>
      <c r="I80" s="722" t="s">
        <v>742</v>
      </c>
      <c r="J80" s="722"/>
      <c r="K80" s="725">
        <v>71800</v>
      </c>
      <c r="L80" s="725">
        <v>54000</v>
      </c>
      <c r="M80" s="725">
        <v>41400</v>
      </c>
      <c r="N80" s="725">
        <f>VLOOKUP(D80,'Q4'!$C$316:$E$423,3,FALSE)</f>
        <v>24650</v>
      </c>
      <c r="O80" s="725">
        <f t="shared" si="8"/>
        <v>191850</v>
      </c>
      <c r="P80" s="723">
        <f t="shared" si="9"/>
        <v>0</v>
      </c>
      <c r="Q80" s="722" t="s">
        <v>1674</v>
      </c>
      <c r="R80" s="663"/>
    </row>
    <row r="81" spans="1:18" s="489" customFormat="1" x14ac:dyDescent="0.25">
      <c r="A81" s="722">
        <f t="shared" si="10"/>
        <v>79</v>
      </c>
      <c r="B81" s="722" t="s">
        <v>1253</v>
      </c>
      <c r="C81" s="722" t="s">
        <v>920</v>
      </c>
      <c r="D81" s="722" t="s">
        <v>921</v>
      </c>
      <c r="E81" s="723">
        <f>'(SBB-95)'!G97</f>
        <v>122694</v>
      </c>
      <c r="F81" s="723">
        <f>'(SBB-95)'!G98</f>
        <v>122701</v>
      </c>
      <c r="G81" s="723">
        <f t="shared" si="7"/>
        <v>-7</v>
      </c>
      <c r="H81" s="722" t="s">
        <v>970</v>
      </c>
      <c r="I81" s="724" t="s">
        <v>742</v>
      </c>
      <c r="J81" s="724"/>
      <c r="K81" s="725">
        <v>38126</v>
      </c>
      <c r="L81" s="725">
        <v>24000</v>
      </c>
      <c r="M81" s="725">
        <v>34000</v>
      </c>
      <c r="N81" s="725">
        <f>VLOOKUP(D81,'Q4'!$C$316:$E$423,3,FALSE)</f>
        <v>26575</v>
      </c>
      <c r="O81" s="725">
        <f t="shared" si="8"/>
        <v>122701</v>
      </c>
      <c r="P81" s="723">
        <f t="shared" si="9"/>
        <v>0</v>
      </c>
      <c r="Q81" s="722" t="s">
        <v>1674</v>
      </c>
      <c r="R81" s="663"/>
    </row>
    <row r="82" spans="1:18" s="489" customFormat="1" x14ac:dyDescent="0.25">
      <c r="A82" s="722">
        <f t="shared" si="10"/>
        <v>80</v>
      </c>
      <c r="B82" s="722" t="s">
        <v>1271</v>
      </c>
      <c r="C82" s="722" t="s">
        <v>922</v>
      </c>
      <c r="D82" s="722" t="s">
        <v>785</v>
      </c>
      <c r="E82" s="723">
        <f>'(NHC-91)'!G97</f>
        <v>67221</v>
      </c>
      <c r="F82" s="723">
        <f>'(NHC-91)'!G98</f>
        <v>67228</v>
      </c>
      <c r="G82" s="723">
        <f t="shared" si="7"/>
        <v>-7</v>
      </c>
      <c r="H82" s="722" t="s">
        <v>970</v>
      </c>
      <c r="I82" s="724" t="s">
        <v>742</v>
      </c>
      <c r="J82" s="724"/>
      <c r="K82" s="725">
        <v>26083</v>
      </c>
      <c r="L82" s="725">
        <v>15000</v>
      </c>
      <c r="M82" s="725">
        <v>15165</v>
      </c>
      <c r="N82" s="725">
        <f>VLOOKUP(D82,'Q4'!$C$316:$E$423,3,FALSE)</f>
        <v>10980</v>
      </c>
      <c r="O82" s="725">
        <f t="shared" si="8"/>
        <v>67228</v>
      </c>
      <c r="P82" s="723">
        <f t="shared" si="9"/>
        <v>0</v>
      </c>
      <c r="Q82" s="722" t="s">
        <v>1674</v>
      </c>
      <c r="R82" s="663"/>
    </row>
    <row r="83" spans="1:18" s="489" customFormat="1" x14ac:dyDescent="0.25">
      <c r="A83" s="722">
        <f t="shared" si="10"/>
        <v>81</v>
      </c>
      <c r="B83" s="722" t="s">
        <v>1249</v>
      </c>
      <c r="C83" s="722" t="s">
        <v>923</v>
      </c>
      <c r="D83" s="722" t="s">
        <v>924</v>
      </c>
      <c r="E83" s="723">
        <f>'(PSG-97)'!G97</f>
        <v>249173</v>
      </c>
      <c r="F83" s="723">
        <f>'(PSG-97)'!G98</f>
        <v>249180</v>
      </c>
      <c r="G83" s="723">
        <f t="shared" si="7"/>
        <v>-7</v>
      </c>
      <c r="H83" s="722" t="s">
        <v>970</v>
      </c>
      <c r="I83" s="724" t="s">
        <v>742</v>
      </c>
      <c r="J83" s="724"/>
      <c r="K83" s="725">
        <v>75800</v>
      </c>
      <c r="L83" s="725">
        <v>57000</v>
      </c>
      <c r="M83" s="725">
        <v>66660</v>
      </c>
      <c r="N83" s="725">
        <f>VLOOKUP(D83,'Q4'!$C$316:$E$423,3,FALSE)</f>
        <v>49720</v>
      </c>
      <c r="O83" s="725">
        <f t="shared" si="8"/>
        <v>249180</v>
      </c>
      <c r="P83" s="723">
        <f t="shared" si="9"/>
        <v>0</v>
      </c>
      <c r="Q83" s="722" t="s">
        <v>1674</v>
      </c>
      <c r="R83" s="663"/>
    </row>
    <row r="84" spans="1:18" x14ac:dyDescent="0.25">
      <c r="A84" s="722">
        <f t="shared" si="10"/>
        <v>82</v>
      </c>
      <c r="B84" s="722"/>
      <c r="C84" s="722" t="s">
        <v>925</v>
      </c>
      <c r="D84" s="722" t="s">
        <v>926</v>
      </c>
      <c r="E84" s="723">
        <f>'(NRS-98)'!G97</f>
        <v>31245</v>
      </c>
      <c r="F84" s="723">
        <f>'(NRS-98)'!G98</f>
        <v>103800</v>
      </c>
      <c r="G84" s="723">
        <f t="shared" si="7"/>
        <v>-72555</v>
      </c>
      <c r="H84" s="722" t="s">
        <v>970</v>
      </c>
      <c r="I84" s="724" t="s">
        <v>742</v>
      </c>
      <c r="J84" s="724"/>
      <c r="K84" s="725">
        <v>83800</v>
      </c>
      <c r="L84" s="725">
        <v>20000</v>
      </c>
      <c r="M84" s="725">
        <v>0</v>
      </c>
      <c r="N84" s="725">
        <v>0</v>
      </c>
      <c r="O84" s="725">
        <f t="shared" si="8"/>
        <v>103800</v>
      </c>
      <c r="P84" s="723">
        <f t="shared" si="9"/>
        <v>0</v>
      </c>
      <c r="Q84" s="722" t="s">
        <v>1676</v>
      </c>
      <c r="R84" s="663" t="s">
        <v>1681</v>
      </c>
    </row>
    <row r="85" spans="1:18" s="489" customFormat="1" x14ac:dyDescent="0.25">
      <c r="A85" s="722">
        <f t="shared" si="10"/>
        <v>83</v>
      </c>
      <c r="B85" s="722" t="s">
        <v>1270</v>
      </c>
      <c r="C85" s="722" t="s">
        <v>927</v>
      </c>
      <c r="D85" s="722" t="s">
        <v>928</v>
      </c>
      <c r="E85" s="723">
        <f>'(SAS-99)'!G97</f>
        <v>130049</v>
      </c>
      <c r="F85" s="723">
        <f>'(SAS-99)'!G98</f>
        <v>145654</v>
      </c>
      <c r="G85" s="723">
        <f t="shared" si="7"/>
        <v>-15605</v>
      </c>
      <c r="H85" s="722" t="s">
        <v>970</v>
      </c>
      <c r="I85" s="724" t="s">
        <v>742</v>
      </c>
      <c r="J85" s="724"/>
      <c r="K85" s="725">
        <v>27800</v>
      </c>
      <c r="L85" s="725">
        <v>21000</v>
      </c>
      <c r="M85" s="725">
        <v>49000</v>
      </c>
      <c r="N85" s="725">
        <f>VLOOKUP(D85,'Q4'!$C$316:$E$423,3,FALSE)</f>
        <v>47854</v>
      </c>
      <c r="O85" s="725">
        <f t="shared" si="8"/>
        <v>145654</v>
      </c>
      <c r="P85" s="723">
        <f t="shared" si="9"/>
        <v>0</v>
      </c>
      <c r="Q85" s="722" t="s">
        <v>1674</v>
      </c>
      <c r="R85" s="663"/>
    </row>
    <row r="86" spans="1:18" s="489" customFormat="1" x14ac:dyDescent="0.25">
      <c r="A86" s="722">
        <f t="shared" si="10"/>
        <v>84</v>
      </c>
      <c r="B86" s="722" t="s">
        <v>1256</v>
      </c>
      <c r="C86" s="722" t="s">
        <v>929</v>
      </c>
      <c r="D86" s="722" t="s">
        <v>54</v>
      </c>
      <c r="E86" s="723">
        <f>'(DRS-100)'!G98</f>
        <v>63613</v>
      </c>
      <c r="F86" s="723">
        <f>'(DRS-100)'!G99</f>
        <v>63624</v>
      </c>
      <c r="G86" s="723">
        <f t="shared" si="7"/>
        <v>-11</v>
      </c>
      <c r="H86" s="722" t="s">
        <v>970</v>
      </c>
      <c r="I86" s="724" t="s">
        <v>742</v>
      </c>
      <c r="J86" s="724"/>
      <c r="K86" s="725">
        <v>17409</v>
      </c>
      <c r="L86" s="725">
        <v>9000</v>
      </c>
      <c r="M86" s="725">
        <v>16405</v>
      </c>
      <c r="N86" s="725">
        <f>VLOOKUP(D86,'Q4'!$C$316:$E$423,3,FALSE)</f>
        <v>20810</v>
      </c>
      <c r="O86" s="725">
        <f t="shared" si="8"/>
        <v>63624</v>
      </c>
      <c r="P86" s="723">
        <f t="shared" si="9"/>
        <v>0</v>
      </c>
      <c r="Q86" s="722" t="s">
        <v>1676</v>
      </c>
      <c r="R86" s="663"/>
    </row>
    <row r="87" spans="1:18" x14ac:dyDescent="0.25">
      <c r="A87" s="722">
        <f t="shared" si="10"/>
        <v>85</v>
      </c>
      <c r="B87" s="722" t="s">
        <v>1272</v>
      </c>
      <c r="C87" s="722" t="s">
        <v>930</v>
      </c>
      <c r="D87" s="722" t="s">
        <v>931</v>
      </c>
      <c r="E87" s="723">
        <f>'(NGC-101)'!G97</f>
        <v>247577</v>
      </c>
      <c r="F87" s="723">
        <f>'(NGC-101)'!G98</f>
        <v>247582</v>
      </c>
      <c r="G87" s="723">
        <f t="shared" si="7"/>
        <v>-5</v>
      </c>
      <c r="H87" s="722" t="s">
        <v>970</v>
      </c>
      <c r="I87" s="724" t="s">
        <v>742</v>
      </c>
      <c r="J87" s="724"/>
      <c r="K87" s="725">
        <v>75900</v>
      </c>
      <c r="L87" s="725">
        <v>57000</v>
      </c>
      <c r="M87" s="725">
        <v>69000</v>
      </c>
      <c r="N87" s="725">
        <f>VLOOKUP(D87,'Q4'!$C$316:$E$423,3,FALSE)</f>
        <v>45682</v>
      </c>
      <c r="O87" s="725">
        <f t="shared" si="8"/>
        <v>247582</v>
      </c>
      <c r="P87" s="723">
        <f t="shared" si="9"/>
        <v>0</v>
      </c>
      <c r="Q87" s="722" t="s">
        <v>1674</v>
      </c>
      <c r="R87" s="663"/>
    </row>
    <row r="88" spans="1:18" x14ac:dyDescent="0.25">
      <c r="A88" s="722">
        <f t="shared" si="10"/>
        <v>86</v>
      </c>
      <c r="B88" s="722" t="s">
        <v>1267</v>
      </c>
      <c r="C88" s="722" t="s">
        <v>65</v>
      </c>
      <c r="D88" s="722" t="s">
        <v>66</v>
      </c>
      <c r="E88" s="723">
        <f>'(JMS-102)'!G97</f>
        <v>7350</v>
      </c>
      <c r="F88" s="723">
        <f>'(JMS-102)'!G98</f>
        <v>12596</v>
      </c>
      <c r="G88" s="723">
        <f t="shared" si="7"/>
        <v>-5246</v>
      </c>
      <c r="H88" s="722" t="s">
        <v>970</v>
      </c>
      <c r="I88" s="724" t="s">
        <v>742</v>
      </c>
      <c r="J88" s="724"/>
      <c r="K88" s="725">
        <v>0</v>
      </c>
      <c r="L88" s="725">
        <v>0</v>
      </c>
      <c r="M88" s="725">
        <v>6680</v>
      </c>
      <c r="N88" s="725">
        <f>VLOOKUP(D88,'Q4'!$C$316:$E$423,3,FALSE)</f>
        <v>5916</v>
      </c>
      <c r="O88" s="725">
        <f t="shared" si="8"/>
        <v>12596</v>
      </c>
      <c r="P88" s="723">
        <f t="shared" si="9"/>
        <v>0</v>
      </c>
      <c r="Q88" s="722" t="s">
        <v>1678</v>
      </c>
      <c r="R88" s="663" t="s">
        <v>1685</v>
      </c>
    </row>
    <row r="89" spans="1:18" s="489" customFormat="1" x14ac:dyDescent="0.25">
      <c r="A89" s="722">
        <f t="shared" si="10"/>
        <v>87</v>
      </c>
      <c r="B89" s="722" t="s">
        <v>1262</v>
      </c>
      <c r="C89" s="722" t="s">
        <v>932</v>
      </c>
      <c r="D89" s="722" t="s">
        <v>933</v>
      </c>
      <c r="E89" s="723">
        <f>'(SSL-103)'!G97</f>
        <v>24140</v>
      </c>
      <c r="F89" s="723">
        <f>'(SSL-103)'!G98</f>
        <v>24145</v>
      </c>
      <c r="G89" s="723">
        <f t="shared" si="7"/>
        <v>-5</v>
      </c>
      <c r="H89" s="722" t="s">
        <v>970</v>
      </c>
      <c r="I89" s="724" t="s">
        <v>742</v>
      </c>
      <c r="J89" s="724"/>
      <c r="K89" s="725">
        <v>5900</v>
      </c>
      <c r="L89" s="725">
        <v>4500</v>
      </c>
      <c r="M89" s="725">
        <v>7505</v>
      </c>
      <c r="N89" s="725">
        <f>VLOOKUP(D89,'Q4'!$C$316:$E$423,3,FALSE)</f>
        <v>6240</v>
      </c>
      <c r="O89" s="725">
        <f t="shared" si="8"/>
        <v>24145</v>
      </c>
      <c r="P89" s="723">
        <f t="shared" si="9"/>
        <v>0</v>
      </c>
      <c r="Q89" s="722" t="s">
        <v>1674</v>
      </c>
      <c r="R89" s="663"/>
    </row>
    <row r="90" spans="1:18" s="489" customFormat="1" x14ac:dyDescent="0.25">
      <c r="A90" s="722">
        <f t="shared" si="10"/>
        <v>88</v>
      </c>
      <c r="B90" s="722" t="s">
        <v>1257</v>
      </c>
      <c r="C90" s="722" t="s">
        <v>934</v>
      </c>
      <c r="D90" s="722" t="s">
        <v>935</v>
      </c>
      <c r="E90" s="723">
        <f>'(SBP-104)'!G97</f>
        <v>114499</v>
      </c>
      <c r="F90" s="723">
        <f>'(SBP-104)'!G98</f>
        <v>114505</v>
      </c>
      <c r="G90" s="723">
        <f t="shared" si="7"/>
        <v>-6</v>
      </c>
      <c r="H90" s="722" t="s">
        <v>970</v>
      </c>
      <c r="I90" s="724" t="s">
        <v>742</v>
      </c>
      <c r="J90" s="724"/>
      <c r="K90" s="725">
        <v>35900</v>
      </c>
      <c r="L90" s="725">
        <v>35000</v>
      </c>
      <c r="M90" s="725">
        <v>27835</v>
      </c>
      <c r="N90" s="725">
        <f>VLOOKUP(D90,'Q4'!$C$316:$E$423,3,FALSE)</f>
        <v>15770</v>
      </c>
      <c r="O90" s="725">
        <f t="shared" si="8"/>
        <v>114505</v>
      </c>
      <c r="P90" s="723">
        <f t="shared" si="9"/>
        <v>0</v>
      </c>
      <c r="Q90" s="722" t="s">
        <v>1674</v>
      </c>
      <c r="R90" s="663"/>
    </row>
    <row r="91" spans="1:18" s="489" customFormat="1" x14ac:dyDescent="0.25">
      <c r="A91" s="722">
        <f t="shared" si="10"/>
        <v>89</v>
      </c>
      <c r="B91" s="722" t="s">
        <v>1264</v>
      </c>
      <c r="C91" s="722" t="s">
        <v>936</v>
      </c>
      <c r="D91" s="722" t="s">
        <v>937</v>
      </c>
      <c r="E91" s="723">
        <f>'(JDM-105)'!G98</f>
        <v>36506</v>
      </c>
      <c r="F91" s="723">
        <f>'(JDM-105)'!G99</f>
        <v>36515</v>
      </c>
      <c r="G91" s="723">
        <f t="shared" si="7"/>
        <v>-9</v>
      </c>
      <c r="H91" s="722" t="s">
        <v>970</v>
      </c>
      <c r="I91" s="724" t="s">
        <v>742</v>
      </c>
      <c r="J91" s="724"/>
      <c r="K91" s="725">
        <v>14800</v>
      </c>
      <c r="L91" s="725">
        <v>0</v>
      </c>
      <c r="M91" s="725">
        <v>10455</v>
      </c>
      <c r="N91" s="725">
        <f>VLOOKUP(D91,'Q4'!$C$316:$E$423,3,FALSE)</f>
        <v>11260</v>
      </c>
      <c r="O91" s="725">
        <f t="shared" si="8"/>
        <v>36515</v>
      </c>
      <c r="P91" s="723">
        <f t="shared" si="9"/>
        <v>0</v>
      </c>
      <c r="Q91" s="722" t="s">
        <v>1674</v>
      </c>
      <c r="R91" s="663"/>
    </row>
    <row r="92" spans="1:18" x14ac:dyDescent="0.25">
      <c r="A92" s="722">
        <f t="shared" si="10"/>
        <v>90</v>
      </c>
      <c r="B92" s="722"/>
      <c r="C92" s="722" t="s">
        <v>938</v>
      </c>
      <c r="D92" s="722" t="s">
        <v>939</v>
      </c>
      <c r="E92" s="723">
        <f>'(RNK-106)'!G98</f>
        <v>113221</v>
      </c>
      <c r="F92" s="723">
        <f>'(RNK-106)'!G99</f>
        <v>181800</v>
      </c>
      <c r="G92" s="723">
        <f t="shared" si="7"/>
        <v>-68579</v>
      </c>
      <c r="H92" s="722" t="s">
        <v>970</v>
      </c>
      <c r="I92" s="724" t="s">
        <v>742</v>
      </c>
      <c r="J92" s="724"/>
      <c r="K92" s="725">
        <v>79800</v>
      </c>
      <c r="L92" s="725">
        <v>60000</v>
      </c>
      <c r="M92" s="725">
        <v>42000</v>
      </c>
      <c r="N92" s="725">
        <v>0</v>
      </c>
      <c r="O92" s="725">
        <f t="shared" si="8"/>
        <v>181800</v>
      </c>
      <c r="P92" s="723">
        <f t="shared" si="9"/>
        <v>0</v>
      </c>
      <c r="Q92" s="722" t="s">
        <v>1676</v>
      </c>
      <c r="R92" s="663" t="s">
        <v>1681</v>
      </c>
    </row>
    <row r="93" spans="1:18" x14ac:dyDescent="0.25">
      <c r="A93" s="722">
        <f t="shared" si="10"/>
        <v>91</v>
      </c>
      <c r="B93" s="722" t="s">
        <v>1247</v>
      </c>
      <c r="C93" s="722" t="s">
        <v>940</v>
      </c>
      <c r="D93" s="722" t="s">
        <v>941</v>
      </c>
      <c r="E93" s="723">
        <f>'(DND-107)'!G99</f>
        <v>213898</v>
      </c>
      <c r="F93" s="723">
        <f>'(DND-107)'!G100</f>
        <v>213905</v>
      </c>
      <c r="G93" s="723">
        <f t="shared" si="7"/>
        <v>-7</v>
      </c>
      <c r="H93" s="722" t="s">
        <v>970</v>
      </c>
      <c r="I93" s="724" t="s">
        <v>742</v>
      </c>
      <c r="J93" s="724"/>
      <c r="K93" s="725">
        <v>63600</v>
      </c>
      <c r="L93" s="725">
        <v>48000</v>
      </c>
      <c r="M93" s="725">
        <v>58085</v>
      </c>
      <c r="N93" s="725">
        <f>VLOOKUP(D93,'Q4'!$C$316:$E$423,3,FALSE)</f>
        <v>44220</v>
      </c>
      <c r="O93" s="725">
        <f t="shared" si="8"/>
        <v>213905</v>
      </c>
      <c r="P93" s="723">
        <f t="shared" si="9"/>
        <v>0</v>
      </c>
      <c r="Q93" s="722" t="s">
        <v>1674</v>
      </c>
      <c r="R93" s="663"/>
    </row>
    <row r="94" spans="1:18" s="737" customFormat="1" x14ac:dyDescent="0.25">
      <c r="A94" s="728">
        <f t="shared" si="10"/>
        <v>92</v>
      </c>
      <c r="B94" s="722" t="s">
        <v>1285</v>
      </c>
      <c r="C94" s="728" t="s">
        <v>942</v>
      </c>
      <c r="D94" s="728" t="s">
        <v>943</v>
      </c>
      <c r="E94" s="729">
        <f>'(RP-108)'!G98</f>
        <v>103201</v>
      </c>
      <c r="F94" s="729">
        <f>'(RP-108)'!G99</f>
        <v>115090</v>
      </c>
      <c r="G94" s="729">
        <f t="shared" si="7"/>
        <v>-11889</v>
      </c>
      <c r="H94" s="722" t="s">
        <v>970</v>
      </c>
      <c r="I94" s="724" t="s">
        <v>742</v>
      </c>
      <c r="J94" s="731">
        <v>24000</v>
      </c>
      <c r="K94" s="736">
        <v>0</v>
      </c>
      <c r="L94" s="736">
        <v>18000</v>
      </c>
      <c r="M94" s="736">
        <v>35920</v>
      </c>
      <c r="N94" s="736">
        <f>VLOOKUP(D94,'Q4'!$C$316:$E$423,3,FALSE)</f>
        <v>37170</v>
      </c>
      <c r="O94" s="736">
        <f t="shared" si="8"/>
        <v>115090</v>
      </c>
      <c r="P94" s="729">
        <f t="shared" si="9"/>
        <v>0</v>
      </c>
      <c r="Q94" s="722" t="s">
        <v>1676</v>
      </c>
      <c r="R94" s="663" t="s">
        <v>1683</v>
      </c>
    </row>
    <row r="95" spans="1:18" s="489" customFormat="1" x14ac:dyDescent="0.25">
      <c r="A95" s="722">
        <f t="shared" si="10"/>
        <v>93</v>
      </c>
      <c r="B95" s="722" t="s">
        <v>1252</v>
      </c>
      <c r="C95" s="722" t="s">
        <v>944</v>
      </c>
      <c r="D95" s="722" t="s">
        <v>945</v>
      </c>
      <c r="E95" s="723">
        <f>'(MMM-109)'!G98</f>
        <v>233882</v>
      </c>
      <c r="F95" s="723">
        <f>'(MMM-109)'!G99</f>
        <v>233890</v>
      </c>
      <c r="G95" s="723">
        <f t="shared" si="7"/>
        <v>-8</v>
      </c>
      <c r="H95" s="722" t="s">
        <v>970</v>
      </c>
      <c r="I95" s="724" t="s">
        <v>742</v>
      </c>
      <c r="J95" s="724"/>
      <c r="K95" s="725">
        <v>69960</v>
      </c>
      <c r="L95" s="725">
        <v>52500</v>
      </c>
      <c r="M95" s="725">
        <v>66800</v>
      </c>
      <c r="N95" s="725">
        <f>VLOOKUP(D95,'Q4'!$C$316:$E$423,3,FALSE)</f>
        <v>44630</v>
      </c>
      <c r="O95" s="725">
        <f t="shared" si="8"/>
        <v>233890</v>
      </c>
      <c r="P95" s="723">
        <f t="shared" si="9"/>
        <v>0</v>
      </c>
      <c r="Q95" s="722" t="s">
        <v>1674</v>
      </c>
      <c r="R95" s="663"/>
    </row>
    <row r="96" spans="1:18" s="489" customFormat="1" x14ac:dyDescent="0.25">
      <c r="A96" s="722">
        <f t="shared" si="10"/>
        <v>94</v>
      </c>
      <c r="B96" s="722" t="s">
        <v>1273</v>
      </c>
      <c r="C96" s="722" t="s">
        <v>946</v>
      </c>
      <c r="D96" s="722" t="s">
        <v>947</v>
      </c>
      <c r="E96" s="723">
        <f>'(VPG-110)'!G97</f>
        <v>125751</v>
      </c>
      <c r="F96" s="723">
        <f>'(VPG-110)'!G98</f>
        <v>125758</v>
      </c>
      <c r="G96" s="723">
        <f t="shared" si="7"/>
        <v>-7</v>
      </c>
      <c r="H96" s="722" t="s">
        <v>970</v>
      </c>
      <c r="I96" s="724" t="s">
        <v>742</v>
      </c>
      <c r="J96" s="724"/>
      <c r="K96" s="725">
        <v>40808</v>
      </c>
      <c r="L96" s="725">
        <v>27000</v>
      </c>
      <c r="M96" s="725">
        <v>32500</v>
      </c>
      <c r="N96" s="725">
        <f>VLOOKUP(D96,'Q4'!$C$316:$E$423,3,FALSE)</f>
        <v>25450</v>
      </c>
      <c r="O96" s="725">
        <f t="shared" si="8"/>
        <v>125758</v>
      </c>
      <c r="P96" s="723">
        <f t="shared" si="9"/>
        <v>0</v>
      </c>
      <c r="Q96" s="722" t="s">
        <v>1674</v>
      </c>
      <c r="R96" s="663"/>
    </row>
    <row r="97" spans="1:18" s="489" customFormat="1" x14ac:dyDescent="0.25">
      <c r="A97" s="722">
        <f t="shared" si="10"/>
        <v>95</v>
      </c>
      <c r="B97" s="722" t="s">
        <v>1255</v>
      </c>
      <c r="C97" s="722" t="s">
        <v>948</v>
      </c>
      <c r="D97" s="722" t="s">
        <v>949</v>
      </c>
      <c r="E97" s="723">
        <f>'(NHK-111)'!G98</f>
        <v>283575</v>
      </c>
      <c r="F97" s="723">
        <f>'(NHK-111)'!G99</f>
        <v>283580</v>
      </c>
      <c r="G97" s="723">
        <f t="shared" si="7"/>
        <v>-5</v>
      </c>
      <c r="H97" s="722" t="s">
        <v>970</v>
      </c>
      <c r="I97" s="724" t="s">
        <v>742</v>
      </c>
      <c r="J97" s="724"/>
      <c r="K97" s="725">
        <v>84000</v>
      </c>
      <c r="L97" s="725">
        <v>63000</v>
      </c>
      <c r="M97" s="725">
        <v>77285</v>
      </c>
      <c r="N97" s="725">
        <f>VLOOKUP(D97,'Q4'!$C$316:$E$423,3,FALSE)</f>
        <v>59295</v>
      </c>
      <c r="O97" s="725">
        <f t="shared" si="8"/>
        <v>283580</v>
      </c>
      <c r="P97" s="723">
        <f t="shared" si="9"/>
        <v>0</v>
      </c>
      <c r="Q97" s="722" t="s">
        <v>1674</v>
      </c>
      <c r="R97" s="663"/>
    </row>
    <row r="98" spans="1:18" s="489" customFormat="1" x14ac:dyDescent="0.25">
      <c r="A98" s="722">
        <f t="shared" si="10"/>
        <v>96</v>
      </c>
      <c r="B98" s="722" t="s">
        <v>1266</v>
      </c>
      <c r="C98" s="722" t="s">
        <v>952</v>
      </c>
      <c r="D98" s="722" t="s">
        <v>953</v>
      </c>
      <c r="E98" s="723">
        <f>'(ASK-113)'!G97</f>
        <v>50900</v>
      </c>
      <c r="F98" s="723">
        <f>'(ASK-113)'!G98</f>
        <v>50905</v>
      </c>
      <c r="G98" s="723">
        <f t="shared" si="7"/>
        <v>-5</v>
      </c>
      <c r="H98" s="722" t="s">
        <v>970</v>
      </c>
      <c r="I98" s="724" t="s">
        <v>742</v>
      </c>
      <c r="J98" s="724"/>
      <c r="K98" s="725">
        <v>14055</v>
      </c>
      <c r="L98" s="725">
        <v>9000</v>
      </c>
      <c r="M98" s="725">
        <v>15455</v>
      </c>
      <c r="N98" s="725">
        <f>VLOOKUP(D98,'Q4'!$C$316:$E$423,3,FALSE)</f>
        <v>12395</v>
      </c>
      <c r="O98" s="725">
        <f t="shared" si="8"/>
        <v>50905</v>
      </c>
      <c r="P98" s="723">
        <f t="shared" si="9"/>
        <v>0</v>
      </c>
      <c r="Q98" s="722" t="s">
        <v>1674</v>
      </c>
      <c r="R98" s="663"/>
    </row>
    <row r="99" spans="1:18" s="489" customFormat="1" x14ac:dyDescent="0.25">
      <c r="A99" s="722">
        <f t="shared" si="10"/>
        <v>97</v>
      </c>
      <c r="B99" s="722" t="s">
        <v>1265</v>
      </c>
      <c r="C99" s="722" t="s">
        <v>954</v>
      </c>
      <c r="D99" s="722" t="s">
        <v>955</v>
      </c>
      <c r="E99" s="723">
        <f>'(RDB-114)'!G98</f>
        <v>29485</v>
      </c>
      <c r="F99" s="723">
        <f>'(RDB-114)'!G99</f>
        <v>29492</v>
      </c>
      <c r="G99" s="723">
        <f t="shared" ref="G99:G135" si="11">E99-F99</f>
        <v>-7</v>
      </c>
      <c r="H99" s="722" t="s">
        <v>970</v>
      </c>
      <c r="I99" s="724" t="s">
        <v>742</v>
      </c>
      <c r="J99" s="724"/>
      <c r="K99" s="725">
        <v>11400</v>
      </c>
      <c r="L99" s="725">
        <v>9000</v>
      </c>
      <c r="M99" s="725">
        <v>6269</v>
      </c>
      <c r="N99" s="725">
        <f>VLOOKUP(D99,'Q4'!$C$316:$E$423,3,FALSE)</f>
        <v>2823</v>
      </c>
      <c r="O99" s="725">
        <f t="shared" ref="O99:O130" si="12">SUM(J99:N99)</f>
        <v>29492</v>
      </c>
      <c r="P99" s="723">
        <f t="shared" ref="P99:P130" si="13">F99-O99</f>
        <v>0</v>
      </c>
      <c r="Q99" s="722" t="s">
        <v>1674</v>
      </c>
      <c r="R99" s="663"/>
    </row>
    <row r="100" spans="1:18" x14ac:dyDescent="0.25">
      <c r="A100" s="722">
        <f t="shared" si="10"/>
        <v>98</v>
      </c>
      <c r="B100" s="722" t="s">
        <v>1336</v>
      </c>
      <c r="C100" s="722" t="s">
        <v>956</v>
      </c>
      <c r="D100" s="722" t="s">
        <v>957</v>
      </c>
      <c r="E100" s="723">
        <f>'(BDY-115)'!G97</f>
        <v>803</v>
      </c>
      <c r="F100" s="723">
        <f>'(BDY-115)'!G98</f>
        <v>810</v>
      </c>
      <c r="G100" s="723">
        <f t="shared" si="11"/>
        <v>-7</v>
      </c>
      <c r="H100" s="722" t="s">
        <v>970</v>
      </c>
      <c r="I100" s="724" t="s">
        <v>742</v>
      </c>
      <c r="J100" s="724"/>
      <c r="K100" s="725">
        <v>0</v>
      </c>
      <c r="L100" s="725">
        <v>0</v>
      </c>
      <c r="M100" s="725">
        <v>100</v>
      </c>
      <c r="N100" s="725">
        <f>VLOOKUP(D100,'Q4'!$C$316:$E$423,3,FALSE)</f>
        <v>710</v>
      </c>
      <c r="O100" s="725">
        <f t="shared" si="12"/>
        <v>810</v>
      </c>
      <c r="P100" s="723">
        <f t="shared" si="13"/>
        <v>0</v>
      </c>
      <c r="Q100" s="722" t="s">
        <v>1678</v>
      </c>
      <c r="R100" s="663" t="s">
        <v>1685</v>
      </c>
    </row>
    <row r="101" spans="1:18" s="489" customFormat="1" x14ac:dyDescent="0.25">
      <c r="A101" s="722">
        <f t="shared" si="10"/>
        <v>99</v>
      </c>
      <c r="B101" s="722" t="s">
        <v>1274</v>
      </c>
      <c r="C101" s="722" t="s">
        <v>958</v>
      </c>
      <c r="D101" s="722" t="s">
        <v>959</v>
      </c>
      <c r="E101" s="723">
        <f>'(GSS-116)'!G97</f>
        <v>245238</v>
      </c>
      <c r="F101" s="723">
        <f>'(GSS-116)'!G98</f>
        <v>245245</v>
      </c>
      <c r="G101" s="723">
        <f t="shared" si="11"/>
        <v>-7</v>
      </c>
      <c r="H101" s="722" t="s">
        <v>970</v>
      </c>
      <c r="I101" s="724" t="s">
        <v>742</v>
      </c>
      <c r="J101" s="724"/>
      <c r="K101" s="725">
        <v>78400</v>
      </c>
      <c r="L101" s="725">
        <v>58500</v>
      </c>
      <c r="M101" s="725">
        <v>63000</v>
      </c>
      <c r="N101" s="725">
        <f>VLOOKUP(D101,'Q4'!$C$316:$E$423,3,FALSE)</f>
        <v>45345</v>
      </c>
      <c r="O101" s="725">
        <f t="shared" si="12"/>
        <v>245245</v>
      </c>
      <c r="P101" s="723">
        <f t="shared" si="13"/>
        <v>0</v>
      </c>
      <c r="Q101" s="722" t="s">
        <v>1674</v>
      </c>
      <c r="R101" s="663"/>
    </row>
    <row r="102" spans="1:18" s="489" customFormat="1" x14ac:dyDescent="0.25">
      <c r="A102" s="722">
        <f t="shared" si="10"/>
        <v>100</v>
      </c>
      <c r="B102" s="722" t="s">
        <v>1268</v>
      </c>
      <c r="C102" s="722" t="s">
        <v>960</v>
      </c>
      <c r="D102" s="722" t="s">
        <v>961</v>
      </c>
      <c r="E102" s="723">
        <f>'(JGV-117)'!G98</f>
        <v>10739</v>
      </c>
      <c r="F102" s="723">
        <f>'(JGV-117)'!G99</f>
        <v>10746</v>
      </c>
      <c r="G102" s="723">
        <f t="shared" si="11"/>
        <v>-7</v>
      </c>
      <c r="H102" s="722" t="s">
        <v>970</v>
      </c>
      <c r="I102" s="724" t="s">
        <v>742</v>
      </c>
      <c r="J102" s="724"/>
      <c r="K102" s="725">
        <v>0</v>
      </c>
      <c r="L102" s="725">
        <v>0</v>
      </c>
      <c r="M102" s="725">
        <v>5547</v>
      </c>
      <c r="N102" s="725">
        <f>VLOOKUP(D102,'Q4'!$C$316:$E$423,3,FALSE)</f>
        <v>5199</v>
      </c>
      <c r="O102" s="725">
        <f t="shared" si="12"/>
        <v>10746</v>
      </c>
      <c r="P102" s="723">
        <f t="shared" si="13"/>
        <v>0</v>
      </c>
      <c r="Q102" s="722" t="s">
        <v>1674</v>
      </c>
      <c r="R102" s="663"/>
    </row>
    <row r="103" spans="1:18" s="737" customFormat="1" x14ac:dyDescent="0.25">
      <c r="A103" s="728">
        <f t="shared" si="10"/>
        <v>101</v>
      </c>
      <c r="B103" s="722" t="s">
        <v>1248</v>
      </c>
      <c r="C103" s="728" t="s">
        <v>962</v>
      </c>
      <c r="D103" s="728" t="s">
        <v>963</v>
      </c>
      <c r="E103" s="729">
        <f>'(NPW-118)'!G97</f>
        <v>219723</v>
      </c>
      <c r="F103" s="729">
        <f>'(NPW-118)'!G98</f>
        <v>219730</v>
      </c>
      <c r="G103" s="729">
        <f t="shared" si="11"/>
        <v>-7</v>
      </c>
      <c r="H103" s="722" t="s">
        <v>970</v>
      </c>
      <c r="I103" s="724" t="s">
        <v>742</v>
      </c>
      <c r="J103" s="731"/>
      <c r="K103" s="736">
        <v>47600</v>
      </c>
      <c r="L103" s="736">
        <v>58800</v>
      </c>
      <c r="M103" s="736">
        <v>72340</v>
      </c>
      <c r="N103" s="736">
        <f>VLOOKUP(D103,'Q4'!$C$316:$E$423,3,FALSE)</f>
        <v>40990</v>
      </c>
      <c r="O103" s="736">
        <f t="shared" si="12"/>
        <v>219730</v>
      </c>
      <c r="P103" s="729">
        <f t="shared" si="13"/>
        <v>0</v>
      </c>
      <c r="Q103" s="722" t="s">
        <v>1674</v>
      </c>
      <c r="R103" s="663"/>
    </row>
    <row r="104" spans="1:18" s="489" customFormat="1" x14ac:dyDescent="0.25">
      <c r="A104" s="722">
        <f t="shared" si="10"/>
        <v>102</v>
      </c>
      <c r="B104" s="722" t="s">
        <v>1326</v>
      </c>
      <c r="C104" s="722" t="s">
        <v>907</v>
      </c>
      <c r="D104" s="722" t="s">
        <v>909</v>
      </c>
      <c r="E104" s="723">
        <f>'(LSM-119)'!G97</f>
        <v>7462</v>
      </c>
      <c r="F104" s="723">
        <f>'(LSM-119)'!G98</f>
        <v>7470</v>
      </c>
      <c r="G104" s="723">
        <f t="shared" si="11"/>
        <v>-8</v>
      </c>
      <c r="H104" s="722" t="s">
        <v>970</v>
      </c>
      <c r="I104" s="724" t="s">
        <v>742</v>
      </c>
      <c r="J104" s="724"/>
      <c r="K104" s="725">
        <v>500</v>
      </c>
      <c r="L104" s="725">
        <v>0</v>
      </c>
      <c r="M104" s="725">
        <v>4000</v>
      </c>
      <c r="N104" s="725">
        <f>VLOOKUP(D104,'Q4'!$C$316:$E$423,3,FALSE)</f>
        <v>2970</v>
      </c>
      <c r="O104" s="725">
        <f t="shared" si="12"/>
        <v>7470</v>
      </c>
      <c r="P104" s="723">
        <f t="shared" si="13"/>
        <v>0</v>
      </c>
      <c r="Q104" s="722" t="s">
        <v>1674</v>
      </c>
      <c r="R104" s="663"/>
    </row>
    <row r="105" spans="1:18" s="489" customFormat="1" x14ac:dyDescent="0.25">
      <c r="A105" s="722">
        <f t="shared" si="10"/>
        <v>103</v>
      </c>
      <c r="B105" s="722" t="s">
        <v>1269</v>
      </c>
      <c r="C105" s="722" t="s">
        <v>964</v>
      </c>
      <c r="D105" s="722" t="s">
        <v>965</v>
      </c>
      <c r="E105" s="723">
        <f>'(JGR-120)'!G98</f>
        <v>11176</v>
      </c>
      <c r="F105" s="723">
        <f>'(JGR-120)'!G99</f>
        <v>11181</v>
      </c>
      <c r="G105" s="723">
        <f t="shared" si="11"/>
        <v>-5</v>
      </c>
      <c r="H105" s="722" t="s">
        <v>970</v>
      </c>
      <c r="I105" s="724" t="s">
        <v>742</v>
      </c>
      <c r="J105" s="724"/>
      <c r="K105" s="725">
        <v>0</v>
      </c>
      <c r="L105" s="725">
        <v>0</v>
      </c>
      <c r="M105" s="725">
        <v>5692</v>
      </c>
      <c r="N105" s="725">
        <f>VLOOKUP(D105,'Q4'!$C$316:$E$423,3,FALSE)</f>
        <v>5489</v>
      </c>
      <c r="O105" s="725">
        <f t="shared" si="12"/>
        <v>11181</v>
      </c>
      <c r="P105" s="723">
        <f t="shared" si="13"/>
        <v>0</v>
      </c>
      <c r="Q105" s="722" t="s">
        <v>1674</v>
      </c>
      <c r="R105" s="663"/>
    </row>
    <row r="106" spans="1:18" s="489" customFormat="1" x14ac:dyDescent="0.25">
      <c r="A106" s="722">
        <f t="shared" si="10"/>
        <v>104</v>
      </c>
      <c r="B106" s="722" t="s">
        <v>1254</v>
      </c>
      <c r="C106" s="722" t="s">
        <v>966</v>
      </c>
      <c r="D106" s="722" t="s">
        <v>967</v>
      </c>
      <c r="E106" s="723">
        <f>'(MPI-121)'!G97</f>
        <v>157098</v>
      </c>
      <c r="F106" s="723">
        <f>'(MPI-121)'!G98</f>
        <v>157105</v>
      </c>
      <c r="G106" s="723">
        <f t="shared" si="11"/>
        <v>-7</v>
      </c>
      <c r="H106" s="722" t="s">
        <v>970</v>
      </c>
      <c r="I106" s="724" t="s">
        <v>742</v>
      </c>
      <c r="J106" s="724"/>
      <c r="K106" s="725">
        <v>55800</v>
      </c>
      <c r="L106" s="725">
        <v>42000</v>
      </c>
      <c r="M106" s="725">
        <v>36600</v>
      </c>
      <c r="N106" s="725">
        <f>VLOOKUP(D106,'Q4'!$C$316:$E$423,3,FALSE)</f>
        <v>22705</v>
      </c>
      <c r="O106" s="725">
        <f t="shared" si="12"/>
        <v>157105</v>
      </c>
      <c r="P106" s="723">
        <f t="shared" si="13"/>
        <v>0</v>
      </c>
      <c r="Q106" s="722" t="s">
        <v>1674</v>
      </c>
      <c r="R106" s="663"/>
    </row>
    <row r="107" spans="1:18" s="489" customFormat="1" x14ac:dyDescent="0.25">
      <c r="A107" s="722">
        <f t="shared" si="10"/>
        <v>105</v>
      </c>
      <c r="B107" s="722" t="s">
        <v>1250</v>
      </c>
      <c r="C107" s="722" t="s">
        <v>968</v>
      </c>
      <c r="D107" s="722" t="s">
        <v>969</v>
      </c>
      <c r="E107" s="723">
        <f>'(RBG-122)'!G97</f>
        <v>120576</v>
      </c>
      <c r="F107" s="723">
        <f>'(RBG-122)'!G98</f>
        <v>120582</v>
      </c>
      <c r="G107" s="723">
        <f t="shared" si="11"/>
        <v>-6</v>
      </c>
      <c r="H107" s="722" t="s">
        <v>970</v>
      </c>
      <c r="I107" s="724" t="s">
        <v>742</v>
      </c>
      <c r="J107" s="724"/>
      <c r="K107" s="725">
        <v>39917</v>
      </c>
      <c r="L107" s="725">
        <v>27000</v>
      </c>
      <c r="M107" s="725">
        <v>30835</v>
      </c>
      <c r="N107" s="725">
        <f>VLOOKUP(D107,'Q4'!$C$316:$E$423,3,FALSE)</f>
        <v>22830</v>
      </c>
      <c r="O107" s="725">
        <f t="shared" si="12"/>
        <v>120582</v>
      </c>
      <c r="P107" s="723">
        <f t="shared" si="13"/>
        <v>0</v>
      </c>
      <c r="Q107" s="722" t="s">
        <v>1674</v>
      </c>
      <c r="R107" s="663"/>
    </row>
    <row r="108" spans="1:18" x14ac:dyDescent="0.25">
      <c r="A108" s="722">
        <f t="shared" si="10"/>
        <v>106</v>
      </c>
      <c r="B108" s="722" t="s">
        <v>1329</v>
      </c>
      <c r="C108" s="722" t="s">
        <v>1183</v>
      </c>
      <c r="D108" s="722" t="s">
        <v>582</v>
      </c>
      <c r="E108" s="723">
        <f>'(SPT-57)'!G98</f>
        <v>115787</v>
      </c>
      <c r="F108" s="723">
        <f>'(SPT-57)'!G99</f>
        <v>115795</v>
      </c>
      <c r="G108" s="723">
        <f t="shared" si="11"/>
        <v>-8</v>
      </c>
      <c r="H108" s="722" t="s">
        <v>1201</v>
      </c>
      <c r="I108" s="724" t="s">
        <v>742</v>
      </c>
      <c r="J108" s="724"/>
      <c r="K108" s="725">
        <v>40000</v>
      </c>
      <c r="L108" s="725">
        <v>30000</v>
      </c>
      <c r="M108" s="725">
        <v>25725</v>
      </c>
      <c r="N108" s="725">
        <f>VLOOKUP(D108,'Q4'!$C$316:$E$423,3,FALSE)</f>
        <v>20070</v>
      </c>
      <c r="O108" s="725">
        <f t="shared" si="12"/>
        <v>115795</v>
      </c>
      <c r="P108" s="723">
        <f t="shared" si="13"/>
        <v>0</v>
      </c>
      <c r="Q108" s="722" t="s">
        <v>1674</v>
      </c>
      <c r="R108" s="663"/>
    </row>
    <row r="109" spans="1:18" s="489" customFormat="1" x14ac:dyDescent="0.25">
      <c r="A109" s="722">
        <f t="shared" si="10"/>
        <v>107</v>
      </c>
      <c r="B109" s="722" t="s">
        <v>1331</v>
      </c>
      <c r="C109" s="722" t="s">
        <v>1184</v>
      </c>
      <c r="D109" s="722" t="s">
        <v>1185</v>
      </c>
      <c r="E109" s="723">
        <f>'(DMB-124)'!G100</f>
        <v>129418</v>
      </c>
      <c r="F109" s="723">
        <f>'(DMB-124)'!G101</f>
        <v>129424</v>
      </c>
      <c r="G109" s="723">
        <f t="shared" si="11"/>
        <v>-6</v>
      </c>
      <c r="H109" s="722" t="s">
        <v>1201</v>
      </c>
      <c r="I109" s="724" t="s">
        <v>742</v>
      </c>
      <c r="J109" s="724"/>
      <c r="K109" s="725">
        <v>38149</v>
      </c>
      <c r="L109" s="725">
        <v>24000</v>
      </c>
      <c r="M109" s="725">
        <v>33000</v>
      </c>
      <c r="N109" s="725">
        <f>VLOOKUP(D109,'Q4'!$C$316:$E$423,3,FALSE)</f>
        <v>34275</v>
      </c>
      <c r="O109" s="725">
        <f t="shared" si="12"/>
        <v>129424</v>
      </c>
      <c r="P109" s="723">
        <f t="shared" si="13"/>
        <v>0</v>
      </c>
      <c r="Q109" s="722" t="s">
        <v>1674</v>
      </c>
      <c r="R109" s="663"/>
    </row>
    <row r="110" spans="1:18" s="489" customFormat="1" x14ac:dyDescent="0.25">
      <c r="A110" s="722">
        <f t="shared" si="10"/>
        <v>108</v>
      </c>
      <c r="B110" s="722" t="s">
        <v>1333</v>
      </c>
      <c r="C110" s="722" t="s">
        <v>1186</v>
      </c>
      <c r="D110" s="722" t="s">
        <v>1187</v>
      </c>
      <c r="E110" s="723">
        <f>'(GSK-125)'!G97</f>
        <v>16037</v>
      </c>
      <c r="F110" s="723">
        <f>'(GSK-125)'!G98</f>
        <v>16043</v>
      </c>
      <c r="G110" s="723">
        <f t="shared" si="11"/>
        <v>-6</v>
      </c>
      <c r="H110" s="722" t="s">
        <v>1201</v>
      </c>
      <c r="I110" s="724" t="s">
        <v>742</v>
      </c>
      <c r="J110" s="724"/>
      <c r="K110" s="725">
        <v>1000</v>
      </c>
      <c r="L110" s="725">
        <v>0</v>
      </c>
      <c r="M110" s="725">
        <v>8000</v>
      </c>
      <c r="N110" s="725">
        <f>VLOOKUP(D110,'Q4'!$C$316:$E$423,3,FALSE)</f>
        <v>7043</v>
      </c>
      <c r="O110" s="725">
        <f t="shared" si="12"/>
        <v>16043</v>
      </c>
      <c r="P110" s="723">
        <f t="shared" si="13"/>
        <v>0</v>
      </c>
      <c r="Q110" s="722" t="s">
        <v>1674</v>
      </c>
      <c r="R110" s="663"/>
    </row>
    <row r="111" spans="1:18" s="489" customFormat="1" x14ac:dyDescent="0.25">
      <c r="A111" s="722">
        <f t="shared" si="10"/>
        <v>109</v>
      </c>
      <c r="B111" s="722" t="s">
        <v>1330</v>
      </c>
      <c r="C111" s="722" t="s">
        <v>1188</v>
      </c>
      <c r="D111" s="722" t="s">
        <v>1189</v>
      </c>
      <c r="E111" s="723">
        <f>'(APT-126)'!G97</f>
        <v>196919</v>
      </c>
      <c r="F111" s="723">
        <f>'(APT-126)'!G98</f>
        <v>196925</v>
      </c>
      <c r="G111" s="723">
        <f t="shared" si="11"/>
        <v>-6</v>
      </c>
      <c r="H111" s="722" t="s">
        <v>1201</v>
      </c>
      <c r="I111" s="724" t="s">
        <v>742</v>
      </c>
      <c r="J111" s="724"/>
      <c r="K111" s="725">
        <v>67900</v>
      </c>
      <c r="L111" s="725">
        <v>51000</v>
      </c>
      <c r="M111" s="725">
        <v>46710</v>
      </c>
      <c r="N111" s="725">
        <f>VLOOKUP(D111,'Q4'!$C$316:$E$423,3,FALSE)</f>
        <v>31315</v>
      </c>
      <c r="O111" s="725">
        <f t="shared" si="12"/>
        <v>196925</v>
      </c>
      <c r="P111" s="723">
        <f t="shared" si="13"/>
        <v>0</v>
      </c>
      <c r="Q111" s="722" t="s">
        <v>1674</v>
      </c>
      <c r="R111" s="663"/>
    </row>
    <row r="112" spans="1:18" s="489" customFormat="1" x14ac:dyDescent="0.25">
      <c r="A112" s="722">
        <f t="shared" si="10"/>
        <v>110</v>
      </c>
      <c r="B112" s="722"/>
      <c r="C112" s="722" t="s">
        <v>1192</v>
      </c>
      <c r="D112" s="722" t="s">
        <v>1222</v>
      </c>
      <c r="E112" s="723">
        <f>'(PRP-128)'!G97</f>
        <v>45338</v>
      </c>
      <c r="F112" s="723">
        <f>'(PRP-128)'!G98</f>
        <v>82400</v>
      </c>
      <c r="G112" s="723">
        <f t="shared" si="11"/>
        <v>-37062</v>
      </c>
      <c r="H112" s="722" t="s">
        <v>1201</v>
      </c>
      <c r="I112" s="724" t="s">
        <v>742</v>
      </c>
      <c r="J112" s="724"/>
      <c r="K112" s="725">
        <v>35900</v>
      </c>
      <c r="L112" s="725">
        <v>27000</v>
      </c>
      <c r="M112" s="725">
        <v>19500</v>
      </c>
      <c r="N112" s="725">
        <v>0</v>
      </c>
      <c r="O112" s="725">
        <f t="shared" si="12"/>
        <v>82400</v>
      </c>
      <c r="P112" s="723">
        <f t="shared" si="13"/>
        <v>0</v>
      </c>
      <c r="Q112" s="722" t="s">
        <v>1676</v>
      </c>
      <c r="R112" s="663" t="s">
        <v>1681</v>
      </c>
    </row>
    <row r="113" spans="1:19" s="489" customFormat="1" x14ac:dyDescent="0.25">
      <c r="A113" s="722">
        <f t="shared" si="10"/>
        <v>111</v>
      </c>
      <c r="B113" s="722" t="s">
        <v>1332</v>
      </c>
      <c r="C113" s="722" t="s">
        <v>1193</v>
      </c>
      <c r="D113" s="722" t="s">
        <v>1194</v>
      </c>
      <c r="E113" s="723">
        <f>'(RSB-129)'!G97</f>
        <v>129655</v>
      </c>
      <c r="F113" s="723">
        <f>'(RSB-129)'!G98</f>
        <v>129660</v>
      </c>
      <c r="G113" s="723">
        <f t="shared" si="11"/>
        <v>-5</v>
      </c>
      <c r="H113" s="722" t="s">
        <v>1201</v>
      </c>
      <c r="I113" s="724" t="s">
        <v>742</v>
      </c>
      <c r="J113" s="724"/>
      <c r="K113" s="725">
        <v>43000</v>
      </c>
      <c r="L113" s="725">
        <v>33000</v>
      </c>
      <c r="M113" s="725">
        <v>35000</v>
      </c>
      <c r="N113" s="725">
        <f>VLOOKUP(D113,'Q4'!$C$316:$E$423,3,FALSE)</f>
        <v>18660</v>
      </c>
      <c r="O113" s="725">
        <f t="shared" si="12"/>
        <v>129660</v>
      </c>
      <c r="P113" s="723">
        <f t="shared" si="13"/>
        <v>0</v>
      </c>
      <c r="Q113" s="722" t="s">
        <v>1674</v>
      </c>
      <c r="R113" s="663"/>
    </row>
    <row r="114" spans="1:19" x14ac:dyDescent="0.25">
      <c r="A114" s="722">
        <f t="shared" si="10"/>
        <v>112</v>
      </c>
      <c r="B114" s="722" t="s">
        <v>1334</v>
      </c>
      <c r="C114" s="722" t="s">
        <v>1195</v>
      </c>
      <c r="D114" s="722" t="s">
        <v>1196</v>
      </c>
      <c r="E114" s="723">
        <f>'(RCW-130) '!G97</f>
        <v>6789</v>
      </c>
      <c r="F114" s="723">
        <f>'(RCW-130) '!G98</f>
        <v>6795</v>
      </c>
      <c r="G114" s="723">
        <f t="shared" si="11"/>
        <v>-6</v>
      </c>
      <c r="H114" s="722" t="s">
        <v>1201</v>
      </c>
      <c r="I114" s="724" t="s">
        <v>742</v>
      </c>
      <c r="J114" s="724"/>
      <c r="K114" s="725">
        <v>0</v>
      </c>
      <c r="L114" s="725">
        <v>0</v>
      </c>
      <c r="M114" s="725">
        <v>1200</v>
      </c>
      <c r="N114" s="725">
        <f>VLOOKUP(D114,'Q4'!$C$316:$E$423,3,FALSE)</f>
        <v>5595</v>
      </c>
      <c r="O114" s="725">
        <f t="shared" si="12"/>
        <v>6795</v>
      </c>
      <c r="P114" s="723">
        <f t="shared" si="13"/>
        <v>0</v>
      </c>
      <c r="Q114" s="722" t="s">
        <v>1678</v>
      </c>
      <c r="R114" s="663" t="s">
        <v>1685</v>
      </c>
    </row>
    <row r="115" spans="1:19" s="489" customFormat="1" x14ac:dyDescent="0.25">
      <c r="A115" s="722">
        <f t="shared" si="10"/>
        <v>113</v>
      </c>
      <c r="B115" s="722" t="s">
        <v>1335</v>
      </c>
      <c r="C115" s="722" t="s">
        <v>1197</v>
      </c>
      <c r="D115" s="722" t="s">
        <v>1198</v>
      </c>
      <c r="E115" s="723">
        <f>'(DVS-131)'!G97</f>
        <v>8032</v>
      </c>
      <c r="F115" s="723">
        <f>'(DVS-131)'!G98</f>
        <v>8040</v>
      </c>
      <c r="G115" s="723">
        <f t="shared" si="11"/>
        <v>-8</v>
      </c>
      <c r="H115" s="722" t="s">
        <v>1201</v>
      </c>
      <c r="I115" s="724" t="s">
        <v>742</v>
      </c>
      <c r="J115" s="724"/>
      <c r="K115" s="725">
        <v>0</v>
      </c>
      <c r="L115" s="725">
        <v>0</v>
      </c>
      <c r="M115" s="725">
        <v>3655</v>
      </c>
      <c r="N115" s="725">
        <f>VLOOKUP(D115,'Q4'!$C$316:$E$423,3,FALSE)</f>
        <v>4385</v>
      </c>
      <c r="O115" s="725">
        <f t="shared" si="12"/>
        <v>8040</v>
      </c>
      <c r="P115" s="723">
        <f t="shared" si="13"/>
        <v>0</v>
      </c>
      <c r="Q115" s="722" t="s">
        <v>1674</v>
      </c>
      <c r="R115" s="663"/>
    </row>
    <row r="116" spans="1:19" s="489" customFormat="1" x14ac:dyDescent="0.25">
      <c r="A116" s="722">
        <f t="shared" si="10"/>
        <v>114</v>
      </c>
      <c r="B116" s="722" t="s">
        <v>1664</v>
      </c>
      <c r="C116" s="722" t="s">
        <v>1199</v>
      </c>
      <c r="D116" s="722" t="s">
        <v>1200</v>
      </c>
      <c r="E116" s="723">
        <f>'(MMT-132)'!G97</f>
        <v>0</v>
      </c>
      <c r="F116" s="723">
        <f>'(MMT-132)'!G98</f>
        <v>500</v>
      </c>
      <c r="G116" s="723">
        <f t="shared" si="11"/>
        <v>-500</v>
      </c>
      <c r="H116" s="722" t="s">
        <v>1201</v>
      </c>
      <c r="I116" s="724" t="s">
        <v>742</v>
      </c>
      <c r="J116" s="724"/>
      <c r="K116" s="725">
        <v>0</v>
      </c>
      <c r="L116" s="725">
        <v>0</v>
      </c>
      <c r="M116" s="725">
        <v>0</v>
      </c>
      <c r="N116" s="725">
        <f>VLOOKUP(D116,'Q4'!$C$316:$E$423,3,FALSE)</f>
        <v>500</v>
      </c>
      <c r="O116" s="725">
        <f t="shared" si="12"/>
        <v>500</v>
      </c>
      <c r="P116" s="723">
        <f t="shared" si="13"/>
        <v>0</v>
      </c>
      <c r="Q116" s="722" t="s">
        <v>1684</v>
      </c>
      <c r="R116" s="663" t="s">
        <v>1685</v>
      </c>
    </row>
    <row r="117" spans="1:19" s="489" customFormat="1" x14ac:dyDescent="0.25">
      <c r="A117" s="722">
        <f t="shared" si="10"/>
        <v>115</v>
      </c>
      <c r="B117" s="722" t="s">
        <v>1665</v>
      </c>
      <c r="C117" s="722" t="s">
        <v>1159</v>
      </c>
      <c r="D117" s="722" t="s">
        <v>1348</v>
      </c>
      <c r="E117" s="723">
        <f>'(KSW-133)'!G97</f>
        <v>68938</v>
      </c>
      <c r="F117" s="723">
        <f>'(KSW-133)'!G98</f>
        <v>68946</v>
      </c>
      <c r="G117" s="723">
        <f t="shared" si="11"/>
        <v>-8</v>
      </c>
      <c r="H117" s="722" t="s">
        <v>970</v>
      </c>
      <c r="I117" s="724" t="s">
        <v>742</v>
      </c>
      <c r="J117" s="724">
        <v>13500</v>
      </c>
      <c r="K117" s="725">
        <v>0</v>
      </c>
      <c r="L117" s="725">
        <v>13500</v>
      </c>
      <c r="M117" s="725">
        <v>16761</v>
      </c>
      <c r="N117" s="725">
        <f>VLOOKUP(D117,'Q4'!$C$316:$E$423,3,FALSE)</f>
        <v>25185</v>
      </c>
      <c r="O117" s="725">
        <f t="shared" si="12"/>
        <v>68946</v>
      </c>
      <c r="P117" s="723">
        <f t="shared" si="13"/>
        <v>0</v>
      </c>
      <c r="Q117" s="722" t="s">
        <v>1674</v>
      </c>
      <c r="R117" s="663"/>
    </row>
    <row r="118" spans="1:19" s="489" customFormat="1" x14ac:dyDescent="0.25">
      <c r="A118" s="722">
        <f t="shared" si="10"/>
        <v>116</v>
      </c>
      <c r="B118" s="722" t="s">
        <v>1666</v>
      </c>
      <c r="C118" s="722" t="s">
        <v>1161</v>
      </c>
      <c r="D118" s="722" t="s">
        <v>1163</v>
      </c>
      <c r="E118" s="723">
        <f>'(SSJ-134)'!G97</f>
        <v>123745</v>
      </c>
      <c r="F118" s="723">
        <f>'(SSJ-134)'!G98</f>
        <v>125000</v>
      </c>
      <c r="G118" s="723">
        <f t="shared" si="11"/>
        <v>-1255</v>
      </c>
      <c r="H118" s="722" t="s">
        <v>970</v>
      </c>
      <c r="I118" s="724" t="s">
        <v>742</v>
      </c>
      <c r="J118" s="724">
        <v>45000</v>
      </c>
      <c r="K118" s="725">
        <v>15000</v>
      </c>
      <c r="L118" s="725">
        <v>45000</v>
      </c>
      <c r="M118" s="725">
        <v>20000</v>
      </c>
      <c r="N118" s="725">
        <v>0</v>
      </c>
      <c r="O118" s="725">
        <f t="shared" si="12"/>
        <v>125000</v>
      </c>
      <c r="P118" s="723">
        <f t="shared" si="13"/>
        <v>0</v>
      </c>
      <c r="Q118" s="722" t="s">
        <v>1676</v>
      </c>
      <c r="R118" s="663"/>
    </row>
    <row r="119" spans="1:19" s="489" customFormat="1" x14ac:dyDescent="0.25">
      <c r="A119" s="722">
        <f t="shared" si="10"/>
        <v>117</v>
      </c>
      <c r="B119" s="723" t="s">
        <v>1496</v>
      </c>
      <c r="C119" s="723" t="s">
        <v>1165</v>
      </c>
      <c r="D119" s="722" t="s">
        <v>1166</v>
      </c>
      <c r="E119" s="723">
        <f>'(BDR-135)'!G97</f>
        <v>297698</v>
      </c>
      <c r="F119" s="723">
        <f>'(BDR-135)'!G98</f>
        <v>297703</v>
      </c>
      <c r="G119" s="723">
        <f t="shared" si="11"/>
        <v>-5</v>
      </c>
      <c r="H119" s="722" t="s">
        <v>1351</v>
      </c>
      <c r="I119" s="724" t="s">
        <v>742</v>
      </c>
      <c r="J119" s="724"/>
      <c r="K119" s="725">
        <v>68000</v>
      </c>
      <c r="L119" s="725">
        <v>51000</v>
      </c>
      <c r="M119" s="725">
        <v>97000</v>
      </c>
      <c r="N119" s="725">
        <f>VLOOKUP(D119,'Q4'!$C$316:$E$423,3,FALSE)</f>
        <v>81703</v>
      </c>
      <c r="O119" s="725">
        <f t="shared" si="12"/>
        <v>297703</v>
      </c>
      <c r="P119" s="723">
        <f t="shared" si="13"/>
        <v>0</v>
      </c>
      <c r="Q119" s="722" t="s">
        <v>1674</v>
      </c>
      <c r="R119" s="663"/>
    </row>
    <row r="120" spans="1:19" s="489" customFormat="1" x14ac:dyDescent="0.25">
      <c r="A120" s="722">
        <f t="shared" si="10"/>
        <v>118</v>
      </c>
      <c r="B120" s="722" t="s">
        <v>1516</v>
      </c>
      <c r="C120" s="749" t="s">
        <v>1177</v>
      </c>
      <c r="D120" s="749" t="s">
        <v>1352</v>
      </c>
      <c r="E120" s="723">
        <f>'(DSJ-136)'!G97</f>
        <v>95060</v>
      </c>
      <c r="F120" s="723">
        <f>'(DSJ-136)'!G98</f>
        <v>95065</v>
      </c>
      <c r="G120" s="723">
        <f t="shared" si="11"/>
        <v>-5</v>
      </c>
      <c r="H120" s="722" t="s">
        <v>1351</v>
      </c>
      <c r="I120" s="724" t="s">
        <v>742</v>
      </c>
      <c r="J120" s="724">
        <v>42090</v>
      </c>
      <c r="K120" s="725">
        <v>0</v>
      </c>
      <c r="L120" s="725">
        <v>0</v>
      </c>
      <c r="M120" s="725">
        <v>13000</v>
      </c>
      <c r="N120" s="725">
        <f>VLOOKUP(D120,'Q4'!$C$316:$E$423,3,FALSE)</f>
        <v>39975</v>
      </c>
      <c r="O120" s="725">
        <f t="shared" si="12"/>
        <v>95065</v>
      </c>
      <c r="P120" s="723">
        <f t="shared" si="13"/>
        <v>0</v>
      </c>
      <c r="Q120" s="722" t="s">
        <v>1676</v>
      </c>
      <c r="R120" s="663"/>
    </row>
    <row r="121" spans="1:19" s="489" customFormat="1" x14ac:dyDescent="0.25">
      <c r="A121" s="722">
        <f t="shared" si="10"/>
        <v>119</v>
      </c>
      <c r="B121" s="723" t="s">
        <v>1529</v>
      </c>
      <c r="C121" s="722" t="s">
        <v>1178</v>
      </c>
      <c r="D121" s="722" t="s">
        <v>1182</v>
      </c>
      <c r="E121" s="723">
        <f>'(CSS-137)'!G97</f>
        <v>280645</v>
      </c>
      <c r="F121" s="723">
        <f>'(CSS-137)'!G98</f>
        <v>280650</v>
      </c>
      <c r="G121" s="723">
        <f t="shared" si="11"/>
        <v>-5</v>
      </c>
      <c r="H121" s="722" t="s">
        <v>1351</v>
      </c>
      <c r="I121" s="724" t="s">
        <v>742</v>
      </c>
      <c r="J121" s="724">
        <v>172460</v>
      </c>
      <c r="K121" s="725">
        <v>0</v>
      </c>
      <c r="L121" s="725">
        <v>0</v>
      </c>
      <c r="M121" s="725">
        <v>32500</v>
      </c>
      <c r="N121" s="725">
        <f>VLOOKUP(D121,'Q4'!$C$316:$E$423,3,FALSE)</f>
        <v>75690</v>
      </c>
      <c r="O121" s="725">
        <f t="shared" si="12"/>
        <v>280650</v>
      </c>
      <c r="P121" s="723">
        <f t="shared" si="13"/>
        <v>0</v>
      </c>
      <c r="Q121" s="722" t="s">
        <v>1676</v>
      </c>
      <c r="R121" s="663"/>
    </row>
    <row r="122" spans="1:19" s="489" customFormat="1" x14ac:dyDescent="0.25">
      <c r="A122" s="722">
        <f t="shared" si="10"/>
        <v>120</v>
      </c>
      <c r="B122" s="722" t="s">
        <v>1514</v>
      </c>
      <c r="C122" s="722" t="s">
        <v>914</v>
      </c>
      <c r="D122" s="722" t="s">
        <v>916</v>
      </c>
      <c r="E122" s="723">
        <f>'(AAM-138)'!G97</f>
        <v>81053</v>
      </c>
      <c r="F122" s="723">
        <f>'(AAM-138)'!G98</f>
        <v>81060</v>
      </c>
      <c r="G122" s="723">
        <f t="shared" si="11"/>
        <v>-7</v>
      </c>
      <c r="H122" s="722" t="s">
        <v>1350</v>
      </c>
      <c r="I122" s="724" t="s">
        <v>742</v>
      </c>
      <c r="J122" s="724">
        <v>33500</v>
      </c>
      <c r="K122" s="725">
        <v>0</v>
      </c>
      <c r="L122" s="725">
        <v>0</v>
      </c>
      <c r="M122" s="725">
        <v>13400</v>
      </c>
      <c r="N122" s="725">
        <f>VLOOKUP(D122,'Q4'!$C$316:$E$423,3,FALSE)</f>
        <v>34160</v>
      </c>
      <c r="O122" s="725">
        <f t="shared" si="12"/>
        <v>81060</v>
      </c>
      <c r="P122" s="723">
        <f t="shared" si="13"/>
        <v>0</v>
      </c>
      <c r="Q122" s="722" t="s">
        <v>1674</v>
      </c>
      <c r="R122" s="663"/>
    </row>
    <row r="123" spans="1:19" s="489" customFormat="1" x14ac:dyDescent="0.25">
      <c r="A123" s="722">
        <f t="shared" si="10"/>
        <v>121</v>
      </c>
      <c r="B123" s="722" t="s">
        <v>1659</v>
      </c>
      <c r="C123" s="722" t="s">
        <v>492</v>
      </c>
      <c r="D123" s="722" t="s">
        <v>497</v>
      </c>
      <c r="E123" s="723">
        <f>'(AS-140)'!G97</f>
        <v>192639</v>
      </c>
      <c r="F123" s="723">
        <f>'(AS-140)'!G98</f>
        <v>192645</v>
      </c>
      <c r="G123" s="723">
        <f t="shared" si="11"/>
        <v>-6</v>
      </c>
      <c r="H123" s="722" t="s">
        <v>1349</v>
      </c>
      <c r="I123" s="724" t="s">
        <v>742</v>
      </c>
      <c r="J123" s="724">
        <v>47000</v>
      </c>
      <c r="K123" s="725">
        <v>17000</v>
      </c>
      <c r="L123" s="725">
        <v>51000</v>
      </c>
      <c r="M123" s="725">
        <v>38965</v>
      </c>
      <c r="N123" s="725">
        <f>VLOOKUP(D123,'Q4'!$C$316:$E$423,3,FALSE)</f>
        <v>38680</v>
      </c>
      <c r="O123" s="725">
        <f t="shared" si="12"/>
        <v>192645</v>
      </c>
      <c r="P123" s="723">
        <f t="shared" si="13"/>
        <v>0</v>
      </c>
      <c r="Q123" s="722" t="s">
        <v>1676</v>
      </c>
      <c r="R123" s="663"/>
    </row>
    <row r="124" spans="1:19" s="489" customFormat="1" x14ac:dyDescent="0.25">
      <c r="A124" s="722">
        <f t="shared" si="10"/>
        <v>122</v>
      </c>
      <c r="B124" s="722" t="s">
        <v>1503</v>
      </c>
      <c r="C124" s="722" t="s">
        <v>1704</v>
      </c>
      <c r="D124" s="722" t="s">
        <v>545</v>
      </c>
      <c r="E124" s="723">
        <f>'(ANRG-141)'!G98</f>
        <v>131389</v>
      </c>
      <c r="F124" s="723">
        <f>'(ANRG-141)'!G99</f>
        <v>151407</v>
      </c>
      <c r="G124" s="723">
        <f t="shared" si="11"/>
        <v>-20018</v>
      </c>
      <c r="H124" s="722" t="s">
        <v>1349</v>
      </c>
      <c r="I124" s="724" t="s">
        <v>742</v>
      </c>
      <c r="J124" s="724">
        <v>51000</v>
      </c>
      <c r="K124" s="725">
        <v>17000</v>
      </c>
      <c r="L124" s="725">
        <v>51000</v>
      </c>
      <c r="M124" s="725">
        <v>32407</v>
      </c>
      <c r="N124" s="725">
        <v>0</v>
      </c>
      <c r="O124" s="725">
        <f t="shared" si="12"/>
        <v>151407</v>
      </c>
      <c r="P124" s="723">
        <f t="shared" si="13"/>
        <v>0</v>
      </c>
      <c r="Q124" s="722" t="s">
        <v>1676</v>
      </c>
      <c r="R124" s="663" t="s">
        <v>1679</v>
      </c>
    </row>
    <row r="125" spans="1:19" s="489" customFormat="1" x14ac:dyDescent="0.25">
      <c r="A125" s="722">
        <f t="shared" si="10"/>
        <v>123</v>
      </c>
      <c r="B125" s="722" t="s">
        <v>1667</v>
      </c>
      <c r="C125" s="722" t="s">
        <v>549</v>
      </c>
      <c r="D125" s="727" t="s">
        <v>1522</v>
      </c>
      <c r="E125" s="723">
        <f>'(RCD-142)'!G98</f>
        <v>280666</v>
      </c>
      <c r="F125" s="723">
        <f>'(RCD-142)'!G99</f>
        <v>291600</v>
      </c>
      <c r="G125" s="723">
        <f t="shared" si="11"/>
        <v>-10934</v>
      </c>
      <c r="H125" s="722" t="s">
        <v>1349</v>
      </c>
      <c r="I125" s="724" t="s">
        <v>742</v>
      </c>
      <c r="J125" s="724">
        <v>211600</v>
      </c>
      <c r="K125" s="725">
        <v>0</v>
      </c>
      <c r="L125" s="725">
        <v>0</v>
      </c>
      <c r="M125" s="725">
        <v>40000</v>
      </c>
      <c r="N125" s="725">
        <f>VLOOKUP(D125,'Q4'!$C$316:$E$423,3,FALSE)</f>
        <v>40000</v>
      </c>
      <c r="O125" s="725">
        <f t="shared" si="12"/>
        <v>291600</v>
      </c>
      <c r="P125" s="723">
        <f t="shared" si="13"/>
        <v>0</v>
      </c>
      <c r="Q125" s="722" t="s">
        <v>1676</v>
      </c>
      <c r="R125" s="663"/>
    </row>
    <row r="126" spans="1:19" s="489" customFormat="1" x14ac:dyDescent="0.25">
      <c r="A126" s="722">
        <v>124</v>
      </c>
      <c r="B126" s="722"/>
      <c r="C126" s="722" t="s">
        <v>1691</v>
      </c>
      <c r="D126" s="722" t="s">
        <v>1692</v>
      </c>
      <c r="E126" s="723">
        <f>'(VKS)'!G97</f>
        <v>209461</v>
      </c>
      <c r="F126" s="723">
        <f>'(VKS)'!G98</f>
        <v>209470</v>
      </c>
      <c r="G126" s="723">
        <f>E126-F126</f>
        <v>-9</v>
      </c>
      <c r="H126" s="722"/>
      <c r="I126" s="724"/>
      <c r="J126" s="724">
        <v>176000</v>
      </c>
      <c r="K126" s="725"/>
      <c r="L126" s="725"/>
      <c r="M126" s="725"/>
      <c r="N126" s="725">
        <f>VLOOKUP(D126,'Q4'!$C$316:$E$423,3,FALSE)</f>
        <v>33470</v>
      </c>
      <c r="O126" s="725">
        <f t="shared" si="12"/>
        <v>209470</v>
      </c>
      <c r="P126" s="723"/>
      <c r="Q126" s="722"/>
      <c r="R126" s="663"/>
    </row>
    <row r="127" spans="1:19" s="489" customFormat="1" x14ac:dyDescent="0.25">
      <c r="A127" s="722">
        <v>125</v>
      </c>
      <c r="B127" s="722"/>
      <c r="C127" s="722" t="s">
        <v>1688</v>
      </c>
      <c r="D127" s="722" t="s">
        <v>1689</v>
      </c>
      <c r="E127" s="723">
        <f>'(RJS)'!G98</f>
        <v>84701</v>
      </c>
      <c r="F127" s="723">
        <f>'(RJS)'!G99</f>
        <v>84706</v>
      </c>
      <c r="G127" s="723">
        <f>E127-F127</f>
        <v>-5</v>
      </c>
      <c r="H127" s="722"/>
      <c r="I127" s="724"/>
      <c r="J127" s="724">
        <v>63000</v>
      </c>
      <c r="K127" s="725"/>
      <c r="L127" s="725"/>
      <c r="M127" s="725"/>
      <c r="N127" s="725">
        <f>VLOOKUP(D127,'Q4'!$C$316:$E$423,3,FALSE)</f>
        <v>21706</v>
      </c>
      <c r="O127" s="725">
        <f t="shared" si="12"/>
        <v>84706</v>
      </c>
      <c r="P127" s="723"/>
      <c r="Q127" s="740"/>
      <c r="R127" s="663"/>
    </row>
    <row r="128" spans="1:19" s="682" customFormat="1" x14ac:dyDescent="0.25">
      <c r="E128" s="746"/>
      <c r="F128" s="746"/>
      <c r="G128" s="746"/>
      <c r="I128" s="747"/>
      <c r="J128" s="748">
        <f>SUM(J3:J127)</f>
        <v>963150</v>
      </c>
      <c r="K128" s="748"/>
      <c r="L128" s="748"/>
      <c r="M128" s="748"/>
      <c r="N128" s="748"/>
      <c r="O128" s="748">
        <f>SUM(O3:O127)</f>
        <v>11542450</v>
      </c>
      <c r="P128" s="746">
        <f>O128-J128</f>
        <v>10579300</v>
      </c>
      <c r="R128" s="746"/>
      <c r="S128" s="1229">
        <f>P128-O150</f>
        <v>-45000</v>
      </c>
    </row>
    <row r="129" spans="1:18" s="682" customFormat="1" x14ac:dyDescent="0.25">
      <c r="C129" s="681"/>
      <c r="D129" s="681"/>
      <c r="E129" s="746"/>
      <c r="F129" s="746"/>
      <c r="G129" s="746"/>
      <c r="I129" s="747"/>
      <c r="J129" s="747"/>
      <c r="K129" s="748"/>
      <c r="L129" s="748"/>
      <c r="M129" s="748"/>
      <c r="N129" s="748"/>
      <c r="O129" s="748"/>
      <c r="P129" s="746"/>
      <c r="R129" s="746"/>
    </row>
    <row r="130" spans="1:18" s="682" customFormat="1" x14ac:dyDescent="0.25">
      <c r="C130" s="681"/>
      <c r="D130" s="681"/>
      <c r="E130" s="746"/>
      <c r="F130" s="746"/>
      <c r="G130" s="746"/>
      <c r="I130" s="747"/>
      <c r="J130" s="747"/>
      <c r="K130" s="748"/>
      <c r="L130" s="748"/>
      <c r="M130" s="748"/>
      <c r="N130" s="748"/>
      <c r="O130" s="748"/>
      <c r="P130" s="746"/>
      <c r="R130" s="746"/>
    </row>
    <row r="131" spans="1:18" s="489" customFormat="1" x14ac:dyDescent="0.25">
      <c r="A131" s="741">
        <f>A125+1</f>
        <v>124</v>
      </c>
      <c r="B131" s="741"/>
      <c r="C131" s="742" t="s">
        <v>17</v>
      </c>
      <c r="D131" s="742" t="s">
        <v>18</v>
      </c>
      <c r="E131" s="743"/>
      <c r="F131" s="743"/>
      <c r="G131" s="743">
        <f t="shared" si="11"/>
        <v>0</v>
      </c>
      <c r="H131" s="742" t="s">
        <v>563</v>
      </c>
      <c r="I131" s="742" t="s">
        <v>742</v>
      </c>
      <c r="J131" s="742"/>
      <c r="K131" s="744">
        <v>0</v>
      </c>
      <c r="L131" s="744">
        <v>0</v>
      </c>
      <c r="M131" s="744">
        <v>0</v>
      </c>
      <c r="N131" s="744"/>
      <c r="O131" s="744">
        <f t="shared" ref="O131:O136" si="14">SUM(K131:N131)</f>
        <v>0</v>
      </c>
      <c r="P131" s="745">
        <f t="shared" ref="P131:P149" si="15">F131-O131</f>
        <v>0</v>
      </c>
      <c r="Q131" s="742"/>
      <c r="R131" s="712" t="s">
        <v>1670</v>
      </c>
    </row>
    <row r="132" spans="1:18" s="489" customFormat="1" x14ac:dyDescent="0.25">
      <c r="A132" s="722">
        <f t="shared" si="10"/>
        <v>125</v>
      </c>
      <c r="B132" s="722"/>
      <c r="C132" s="728" t="s">
        <v>49</v>
      </c>
      <c r="D132" s="728" t="s">
        <v>50</v>
      </c>
      <c r="E132" s="729"/>
      <c r="F132" s="729"/>
      <c r="G132" s="729">
        <f t="shared" si="11"/>
        <v>0</v>
      </c>
      <c r="H132" s="728" t="s">
        <v>563</v>
      </c>
      <c r="I132" s="728" t="s">
        <v>742</v>
      </c>
      <c r="J132" s="728"/>
      <c r="K132" s="725">
        <v>0</v>
      </c>
      <c r="L132" s="725">
        <v>0</v>
      </c>
      <c r="M132" s="725">
        <v>0</v>
      </c>
      <c r="N132" s="725"/>
      <c r="O132" s="725">
        <f t="shared" si="14"/>
        <v>0</v>
      </c>
      <c r="P132" s="723">
        <f t="shared" si="15"/>
        <v>0</v>
      </c>
      <c r="Q132" s="730"/>
      <c r="R132" s="712" t="s">
        <v>1670</v>
      </c>
    </row>
    <row r="133" spans="1:18" s="489" customFormat="1" x14ac:dyDescent="0.25">
      <c r="A133" s="722">
        <f t="shared" si="10"/>
        <v>126</v>
      </c>
      <c r="B133" s="722" t="s">
        <v>1267</v>
      </c>
      <c r="C133" s="728" t="s">
        <v>65</v>
      </c>
      <c r="D133" s="728" t="s">
        <v>66</v>
      </c>
      <c r="E133" s="729"/>
      <c r="F133" s="729"/>
      <c r="G133" s="729">
        <f t="shared" si="11"/>
        <v>0</v>
      </c>
      <c r="H133" s="728" t="s">
        <v>563</v>
      </c>
      <c r="I133" s="728" t="s">
        <v>742</v>
      </c>
      <c r="J133" s="728"/>
      <c r="K133" s="725">
        <v>0</v>
      </c>
      <c r="L133" s="725">
        <v>0</v>
      </c>
      <c r="M133" s="725">
        <v>0</v>
      </c>
      <c r="N133" s="725"/>
      <c r="O133" s="725">
        <f t="shared" si="14"/>
        <v>0</v>
      </c>
      <c r="P133" s="723">
        <f t="shared" si="15"/>
        <v>0</v>
      </c>
      <c r="Q133" s="728"/>
      <c r="R133" s="712" t="s">
        <v>1670</v>
      </c>
    </row>
    <row r="134" spans="1:18" x14ac:dyDescent="0.25">
      <c r="A134" s="722">
        <f t="shared" si="10"/>
        <v>127</v>
      </c>
      <c r="B134" s="722"/>
      <c r="C134" s="728" t="s">
        <v>69</v>
      </c>
      <c r="D134" s="728" t="s">
        <v>70</v>
      </c>
      <c r="E134" s="729"/>
      <c r="F134" s="729"/>
      <c r="G134" s="729">
        <f t="shared" si="11"/>
        <v>0</v>
      </c>
      <c r="H134" s="728" t="s">
        <v>563</v>
      </c>
      <c r="I134" s="728" t="s">
        <v>742</v>
      </c>
      <c r="J134" s="728"/>
      <c r="K134" s="725">
        <v>0</v>
      </c>
      <c r="L134" s="725">
        <v>0</v>
      </c>
      <c r="M134" s="725">
        <v>0</v>
      </c>
      <c r="N134" s="725"/>
      <c r="O134" s="725">
        <f t="shared" si="14"/>
        <v>0</v>
      </c>
      <c r="P134" s="723">
        <f t="shared" si="15"/>
        <v>0</v>
      </c>
      <c r="Q134" s="728"/>
      <c r="R134" s="712" t="s">
        <v>1670</v>
      </c>
    </row>
    <row r="135" spans="1:18" x14ac:dyDescent="0.25">
      <c r="A135" s="722">
        <f t="shared" si="10"/>
        <v>128</v>
      </c>
      <c r="B135" s="722"/>
      <c r="C135" s="728" t="s">
        <v>568</v>
      </c>
      <c r="D135" s="728" t="s">
        <v>569</v>
      </c>
      <c r="E135" s="729"/>
      <c r="F135" s="729"/>
      <c r="G135" s="729">
        <f t="shared" si="11"/>
        <v>0</v>
      </c>
      <c r="H135" s="728" t="s">
        <v>604</v>
      </c>
      <c r="I135" s="728" t="s">
        <v>742</v>
      </c>
      <c r="J135" s="728"/>
      <c r="K135" s="725">
        <v>0</v>
      </c>
      <c r="L135" s="725">
        <v>0</v>
      </c>
      <c r="M135" s="725">
        <v>0</v>
      </c>
      <c r="N135" s="725"/>
      <c r="O135" s="725">
        <f t="shared" si="14"/>
        <v>0</v>
      </c>
      <c r="P135" s="723">
        <f t="shared" si="15"/>
        <v>0</v>
      </c>
      <c r="Q135" s="728"/>
      <c r="R135" s="712" t="s">
        <v>1670</v>
      </c>
    </row>
    <row r="136" spans="1:18" s="489" customFormat="1" x14ac:dyDescent="0.25">
      <c r="A136" s="722">
        <f t="shared" si="10"/>
        <v>129</v>
      </c>
      <c r="B136" s="722" t="s">
        <v>1290</v>
      </c>
      <c r="C136" s="728" t="s">
        <v>574</v>
      </c>
      <c r="D136" s="728" t="s">
        <v>394</v>
      </c>
      <c r="E136" s="729"/>
      <c r="F136" s="729"/>
      <c r="G136" s="729">
        <f t="shared" ref="G136:G149" si="16">E136-F136</f>
        <v>0</v>
      </c>
      <c r="H136" s="728" t="s">
        <v>604</v>
      </c>
      <c r="I136" s="728" t="s">
        <v>742</v>
      </c>
      <c r="J136" s="728"/>
      <c r="K136" s="725">
        <v>0</v>
      </c>
      <c r="L136" s="725">
        <v>0</v>
      </c>
      <c r="M136" s="725">
        <v>0</v>
      </c>
      <c r="N136" s="725"/>
      <c r="O136" s="725">
        <f t="shared" si="14"/>
        <v>0</v>
      </c>
      <c r="P136" s="723">
        <f t="shared" si="15"/>
        <v>0</v>
      </c>
      <c r="Q136" s="728"/>
      <c r="R136" s="712" t="s">
        <v>1670</v>
      </c>
    </row>
    <row r="137" spans="1:18" s="489" customFormat="1" x14ac:dyDescent="0.25">
      <c r="A137" s="722">
        <f t="shared" si="10"/>
        <v>130</v>
      </c>
      <c r="B137" s="722"/>
      <c r="C137" s="728" t="s">
        <v>575</v>
      </c>
      <c r="D137" s="728" t="s">
        <v>576</v>
      </c>
      <c r="E137" s="729">
        <f>'(PBT-54)'!G97</f>
        <v>0</v>
      </c>
      <c r="F137" s="729">
        <f>'(PBT-54)'!G98</f>
        <v>0</v>
      </c>
      <c r="G137" s="729">
        <f t="shared" si="16"/>
        <v>0</v>
      </c>
      <c r="H137" s="728" t="s">
        <v>604</v>
      </c>
      <c r="I137" s="731" t="s">
        <v>742</v>
      </c>
      <c r="J137" s="731"/>
      <c r="K137" s="725">
        <v>0</v>
      </c>
      <c r="L137" s="725">
        <v>0</v>
      </c>
      <c r="M137" s="725">
        <v>0</v>
      </c>
      <c r="N137" s="725"/>
      <c r="O137" s="725">
        <f t="shared" ref="O137:O149" si="17">SUM(K137:N137)</f>
        <v>0</v>
      </c>
      <c r="P137" s="723">
        <f t="shared" si="15"/>
        <v>0</v>
      </c>
      <c r="Q137" s="728"/>
      <c r="R137" s="712" t="s">
        <v>1670</v>
      </c>
    </row>
    <row r="138" spans="1:18" s="489" customFormat="1" x14ac:dyDescent="0.25">
      <c r="A138" s="722">
        <f t="shared" ref="A138:A149" si="18">A137+1</f>
        <v>131</v>
      </c>
      <c r="B138" s="722" t="s">
        <v>1329</v>
      </c>
      <c r="C138" s="728" t="s">
        <v>581</v>
      </c>
      <c r="D138" s="728" t="s">
        <v>582</v>
      </c>
      <c r="E138" s="729"/>
      <c r="F138" s="729"/>
      <c r="G138" s="729">
        <f t="shared" si="16"/>
        <v>0</v>
      </c>
      <c r="H138" s="728" t="s">
        <v>604</v>
      </c>
      <c r="I138" s="731" t="s">
        <v>742</v>
      </c>
      <c r="J138" s="731"/>
      <c r="K138" s="725">
        <v>0</v>
      </c>
      <c r="L138" s="725">
        <v>0</v>
      </c>
      <c r="M138" s="725">
        <v>0</v>
      </c>
      <c r="N138" s="725"/>
      <c r="O138" s="725">
        <f t="shared" si="17"/>
        <v>0</v>
      </c>
      <c r="P138" s="723">
        <f t="shared" si="15"/>
        <v>0</v>
      </c>
      <c r="Q138" s="728"/>
      <c r="R138" s="712" t="s">
        <v>1670</v>
      </c>
    </row>
    <row r="139" spans="1:18" s="489" customFormat="1" x14ac:dyDescent="0.25">
      <c r="A139" s="722">
        <f t="shared" si="18"/>
        <v>132</v>
      </c>
      <c r="B139" s="722"/>
      <c r="C139" s="728" t="s">
        <v>745</v>
      </c>
      <c r="D139" s="728" t="s">
        <v>746</v>
      </c>
      <c r="E139" s="729"/>
      <c r="F139" s="729"/>
      <c r="G139" s="729">
        <f t="shared" si="16"/>
        <v>0</v>
      </c>
      <c r="H139" s="728" t="s">
        <v>788</v>
      </c>
      <c r="I139" s="728" t="s">
        <v>742</v>
      </c>
      <c r="J139" s="728"/>
      <c r="K139" s="725">
        <v>0</v>
      </c>
      <c r="L139" s="725">
        <v>0</v>
      </c>
      <c r="M139" s="725">
        <v>0</v>
      </c>
      <c r="N139" s="725"/>
      <c r="O139" s="725">
        <f t="shared" si="17"/>
        <v>0</v>
      </c>
      <c r="P139" s="723">
        <f t="shared" si="15"/>
        <v>0</v>
      </c>
      <c r="Q139" s="728"/>
      <c r="R139" s="712" t="s">
        <v>1670</v>
      </c>
    </row>
    <row r="140" spans="1:18" s="489" customFormat="1" x14ac:dyDescent="0.25">
      <c r="A140" s="722">
        <f t="shared" si="18"/>
        <v>133</v>
      </c>
      <c r="B140" s="722"/>
      <c r="C140" s="728" t="s">
        <v>749</v>
      </c>
      <c r="D140" s="728" t="s">
        <v>750</v>
      </c>
      <c r="E140" s="729"/>
      <c r="F140" s="729"/>
      <c r="G140" s="729">
        <f t="shared" si="16"/>
        <v>0</v>
      </c>
      <c r="H140" s="728" t="s">
        <v>788</v>
      </c>
      <c r="I140" s="728" t="s">
        <v>742</v>
      </c>
      <c r="J140" s="728"/>
      <c r="K140" s="725">
        <v>0</v>
      </c>
      <c r="L140" s="725">
        <v>0</v>
      </c>
      <c r="M140" s="725">
        <v>0</v>
      </c>
      <c r="N140" s="725"/>
      <c r="O140" s="725">
        <f t="shared" si="17"/>
        <v>0</v>
      </c>
      <c r="P140" s="723">
        <f t="shared" si="15"/>
        <v>0</v>
      </c>
      <c r="Q140" s="728"/>
      <c r="R140" s="712" t="s">
        <v>1670</v>
      </c>
    </row>
    <row r="141" spans="1:18" x14ac:dyDescent="0.25">
      <c r="A141" s="722">
        <f t="shared" si="18"/>
        <v>134</v>
      </c>
      <c r="B141" s="722"/>
      <c r="C141" s="728" t="s">
        <v>755</v>
      </c>
      <c r="D141" s="728" t="s">
        <v>756</v>
      </c>
      <c r="E141" s="729"/>
      <c r="F141" s="729"/>
      <c r="G141" s="729">
        <f t="shared" si="16"/>
        <v>0</v>
      </c>
      <c r="H141" s="728" t="s">
        <v>788</v>
      </c>
      <c r="I141" s="728" t="s">
        <v>742</v>
      </c>
      <c r="J141" s="728"/>
      <c r="K141" s="725">
        <v>0</v>
      </c>
      <c r="L141" s="725">
        <v>0</v>
      </c>
      <c r="M141" s="725">
        <v>0</v>
      </c>
      <c r="N141" s="725"/>
      <c r="O141" s="725">
        <f t="shared" si="17"/>
        <v>0</v>
      </c>
      <c r="P141" s="723">
        <f t="shared" si="15"/>
        <v>0</v>
      </c>
      <c r="Q141" s="728"/>
      <c r="R141" s="712" t="s">
        <v>1670</v>
      </c>
    </row>
    <row r="142" spans="1:18" s="489" customFormat="1" x14ac:dyDescent="0.25">
      <c r="A142" s="722">
        <f t="shared" si="18"/>
        <v>135</v>
      </c>
      <c r="B142" s="722"/>
      <c r="C142" s="728" t="s">
        <v>768</v>
      </c>
      <c r="D142" s="728" t="s">
        <v>769</v>
      </c>
      <c r="E142" s="729"/>
      <c r="F142" s="729"/>
      <c r="G142" s="729">
        <f t="shared" si="16"/>
        <v>0</v>
      </c>
      <c r="H142" s="728" t="s">
        <v>788</v>
      </c>
      <c r="I142" s="728" t="s">
        <v>742</v>
      </c>
      <c r="J142" s="728"/>
      <c r="K142" s="725">
        <v>0</v>
      </c>
      <c r="L142" s="725">
        <v>0</v>
      </c>
      <c r="M142" s="725">
        <v>0</v>
      </c>
      <c r="N142" s="725"/>
      <c r="O142" s="725">
        <f t="shared" si="17"/>
        <v>0</v>
      </c>
      <c r="P142" s="723">
        <f t="shared" si="15"/>
        <v>0</v>
      </c>
      <c r="Q142" s="728"/>
      <c r="R142" s="712" t="s">
        <v>1670</v>
      </c>
    </row>
    <row r="143" spans="1:18" x14ac:dyDescent="0.25">
      <c r="A143" s="722">
        <f t="shared" si="18"/>
        <v>136</v>
      </c>
      <c r="B143" s="722"/>
      <c r="C143" s="728" t="s">
        <v>774</v>
      </c>
      <c r="D143" s="728" t="s">
        <v>775</v>
      </c>
      <c r="E143" s="729"/>
      <c r="F143" s="729"/>
      <c r="G143" s="729">
        <f t="shared" si="16"/>
        <v>0</v>
      </c>
      <c r="H143" s="728" t="s">
        <v>788</v>
      </c>
      <c r="I143" s="728" t="s">
        <v>742</v>
      </c>
      <c r="J143" s="728"/>
      <c r="K143" s="725">
        <v>0</v>
      </c>
      <c r="L143" s="725">
        <v>0</v>
      </c>
      <c r="M143" s="725">
        <v>0</v>
      </c>
      <c r="N143" s="725"/>
      <c r="O143" s="725">
        <f t="shared" si="17"/>
        <v>0</v>
      </c>
      <c r="P143" s="723">
        <f t="shared" si="15"/>
        <v>0</v>
      </c>
      <c r="Q143" s="728"/>
      <c r="R143" s="712" t="s">
        <v>1670</v>
      </c>
    </row>
    <row r="144" spans="1:18" s="489" customFormat="1" x14ac:dyDescent="0.25">
      <c r="A144" s="722">
        <f t="shared" si="18"/>
        <v>137</v>
      </c>
      <c r="B144" s="722"/>
      <c r="C144" s="728" t="s">
        <v>782</v>
      </c>
      <c r="D144" s="728" t="s">
        <v>783</v>
      </c>
      <c r="E144" s="729"/>
      <c r="F144" s="729"/>
      <c r="G144" s="729">
        <f t="shared" si="16"/>
        <v>0</v>
      </c>
      <c r="H144" s="728" t="s">
        <v>788</v>
      </c>
      <c r="I144" s="728" t="s">
        <v>742</v>
      </c>
      <c r="J144" s="728"/>
      <c r="K144" s="725">
        <v>0</v>
      </c>
      <c r="L144" s="725">
        <v>0</v>
      </c>
      <c r="M144" s="725">
        <v>0</v>
      </c>
      <c r="N144" s="725"/>
      <c r="O144" s="725">
        <f t="shared" si="17"/>
        <v>0</v>
      </c>
      <c r="P144" s="723">
        <f t="shared" si="15"/>
        <v>0</v>
      </c>
      <c r="Q144" s="728"/>
      <c r="R144" s="712" t="s">
        <v>1670</v>
      </c>
    </row>
    <row r="145" spans="1:18" x14ac:dyDescent="0.25">
      <c r="A145" s="722">
        <f t="shared" si="18"/>
        <v>138</v>
      </c>
      <c r="B145" s="722" t="s">
        <v>1271</v>
      </c>
      <c r="C145" s="728" t="s">
        <v>784</v>
      </c>
      <c r="D145" s="728" t="s">
        <v>785</v>
      </c>
      <c r="E145" s="729"/>
      <c r="F145" s="729"/>
      <c r="G145" s="729">
        <f t="shared" si="16"/>
        <v>0</v>
      </c>
      <c r="H145" s="728" t="s">
        <v>788</v>
      </c>
      <c r="I145" s="731" t="s">
        <v>742</v>
      </c>
      <c r="J145" s="731"/>
      <c r="K145" s="725">
        <v>0</v>
      </c>
      <c r="L145" s="725">
        <v>0</v>
      </c>
      <c r="M145" s="725">
        <v>0</v>
      </c>
      <c r="N145" s="725"/>
      <c r="O145" s="725">
        <f t="shared" si="17"/>
        <v>0</v>
      </c>
      <c r="P145" s="723">
        <f t="shared" si="15"/>
        <v>0</v>
      </c>
      <c r="Q145" s="728"/>
      <c r="R145" s="712" t="s">
        <v>1670</v>
      </c>
    </row>
    <row r="146" spans="1:18" x14ac:dyDescent="0.25">
      <c r="A146" s="722">
        <f t="shared" si="18"/>
        <v>139</v>
      </c>
      <c r="B146" s="722"/>
      <c r="C146" s="728" t="s">
        <v>918</v>
      </c>
      <c r="D146" s="728" t="s">
        <v>919</v>
      </c>
      <c r="E146" s="729">
        <f>'(LBS-94)'!G98</f>
        <v>0</v>
      </c>
      <c r="F146" s="729">
        <f>'(LBS-94)'!G99</f>
        <v>0</v>
      </c>
      <c r="G146" s="729">
        <f t="shared" si="16"/>
        <v>0</v>
      </c>
      <c r="H146" s="728" t="s">
        <v>970</v>
      </c>
      <c r="I146" s="731" t="s">
        <v>742</v>
      </c>
      <c r="J146" s="731"/>
      <c r="K146" s="725">
        <v>0</v>
      </c>
      <c r="L146" s="725">
        <v>0</v>
      </c>
      <c r="M146" s="725">
        <v>0</v>
      </c>
      <c r="N146" s="725"/>
      <c r="O146" s="725">
        <f t="shared" si="17"/>
        <v>0</v>
      </c>
      <c r="P146" s="723">
        <f t="shared" si="15"/>
        <v>0</v>
      </c>
      <c r="Q146" s="728"/>
      <c r="R146" s="712" t="s">
        <v>1670</v>
      </c>
    </row>
    <row r="147" spans="1:18" s="489" customFormat="1" x14ac:dyDescent="0.25">
      <c r="A147" s="722">
        <f t="shared" si="18"/>
        <v>140</v>
      </c>
      <c r="B147" s="722"/>
      <c r="C147" s="728" t="s">
        <v>950</v>
      </c>
      <c r="D147" s="728" t="s">
        <v>951</v>
      </c>
      <c r="E147" s="729"/>
      <c r="F147" s="729"/>
      <c r="G147" s="729">
        <f t="shared" si="16"/>
        <v>0</v>
      </c>
      <c r="H147" s="728" t="s">
        <v>970</v>
      </c>
      <c r="I147" s="728" t="s">
        <v>742</v>
      </c>
      <c r="J147" s="728"/>
      <c r="K147" s="725">
        <v>0</v>
      </c>
      <c r="L147" s="725">
        <v>0</v>
      </c>
      <c r="M147" s="725">
        <v>0</v>
      </c>
      <c r="N147" s="725"/>
      <c r="O147" s="725">
        <f t="shared" si="17"/>
        <v>0</v>
      </c>
      <c r="P147" s="723">
        <f t="shared" si="15"/>
        <v>0</v>
      </c>
      <c r="Q147" s="728"/>
      <c r="R147" s="712" t="s">
        <v>1670</v>
      </c>
    </row>
    <row r="148" spans="1:18" x14ac:dyDescent="0.25">
      <c r="A148" s="722">
        <f t="shared" si="18"/>
        <v>141</v>
      </c>
      <c r="B148" s="722"/>
      <c r="C148" s="728" t="s">
        <v>1190</v>
      </c>
      <c r="D148" s="728" t="s">
        <v>1191</v>
      </c>
      <c r="E148" s="729"/>
      <c r="F148" s="729"/>
      <c r="G148" s="729">
        <f t="shared" si="16"/>
        <v>0</v>
      </c>
      <c r="H148" s="728" t="s">
        <v>1201</v>
      </c>
      <c r="I148" s="728" t="s">
        <v>742</v>
      </c>
      <c r="J148" s="728"/>
      <c r="K148" s="725">
        <v>0</v>
      </c>
      <c r="L148" s="725">
        <v>0</v>
      </c>
      <c r="M148" s="725">
        <v>0</v>
      </c>
      <c r="N148" s="725"/>
      <c r="O148" s="725">
        <f t="shared" si="17"/>
        <v>0</v>
      </c>
      <c r="P148" s="723">
        <f t="shared" si="15"/>
        <v>0</v>
      </c>
      <c r="Q148" s="728"/>
      <c r="R148" s="712" t="s">
        <v>1670</v>
      </c>
    </row>
    <row r="149" spans="1:18" ht="14.25" customHeight="1" x14ac:dyDescent="0.25">
      <c r="A149" s="722">
        <f t="shared" si="18"/>
        <v>142</v>
      </c>
      <c r="B149" s="722" t="s">
        <v>1669</v>
      </c>
      <c r="C149" s="728" t="s">
        <v>729</v>
      </c>
      <c r="D149" s="728" t="s">
        <v>731</v>
      </c>
      <c r="E149" s="729">
        <f>'(SSK-139)'!G97</f>
        <v>79974</v>
      </c>
      <c r="F149" s="729">
        <f>'(SSK-139)'!G98</f>
        <v>45000</v>
      </c>
      <c r="G149" s="729">
        <f t="shared" si="16"/>
        <v>34974</v>
      </c>
      <c r="H149" s="728" t="s">
        <v>1350</v>
      </c>
      <c r="I149" s="731" t="s">
        <v>742</v>
      </c>
      <c r="J149" s="731"/>
      <c r="K149" s="725">
        <v>0</v>
      </c>
      <c r="L149" s="725">
        <v>30000</v>
      </c>
      <c r="M149" s="725">
        <v>15000</v>
      </c>
      <c r="N149" s="725"/>
      <c r="O149" s="725">
        <f t="shared" si="17"/>
        <v>45000</v>
      </c>
      <c r="P149" s="723">
        <f t="shared" si="15"/>
        <v>0</v>
      </c>
      <c r="Q149" s="728" t="s">
        <v>1353</v>
      </c>
      <c r="R149" s="712" t="s">
        <v>1695</v>
      </c>
    </row>
    <row r="150" spans="1:18" ht="15.75" thickBot="1" x14ac:dyDescent="0.3">
      <c r="K150" s="720">
        <f>SUM(K3:K149)</f>
        <v>3315693</v>
      </c>
      <c r="L150" s="720">
        <f>SUM(L3:L149)</f>
        <v>2228165</v>
      </c>
      <c r="M150" s="720">
        <f>SUM(M3:M149)</f>
        <v>2815826</v>
      </c>
      <c r="N150" s="720">
        <f>SUM(N3:N149)</f>
        <v>2264616</v>
      </c>
      <c r="O150" s="720">
        <f>SUM(K150:N150)</f>
        <v>10624300</v>
      </c>
    </row>
    <row r="152" spans="1:18" ht="15.75" thickBot="1" x14ac:dyDescent="0.3">
      <c r="D152" s="489" t="s">
        <v>10</v>
      </c>
      <c r="K152" s="714">
        <f>'Q1'!F571</f>
        <v>3315693</v>
      </c>
      <c r="L152" s="714">
        <f>'Q2'!G444</f>
        <v>2228165</v>
      </c>
      <c r="M152" s="714">
        <f>'Q3'!E546</f>
        <v>2815826</v>
      </c>
      <c r="N152" s="714">
        <f>'Q4'!E424</f>
        <v>2264616</v>
      </c>
      <c r="O152" s="714">
        <f>SUM(K152:N152)</f>
        <v>10624300</v>
      </c>
    </row>
    <row r="153" spans="1:18" x14ac:dyDescent="0.25">
      <c r="D153" s="489" t="s">
        <v>943</v>
      </c>
    </row>
    <row r="154" spans="1:18" x14ac:dyDescent="0.25">
      <c r="D154" s="489" t="s">
        <v>1348</v>
      </c>
      <c r="K154" s="713">
        <f>K150-K152</f>
        <v>0</v>
      </c>
      <c r="L154" s="713">
        <f>L150-L152</f>
        <v>0</v>
      </c>
      <c r="M154" s="713">
        <f>M150-M152</f>
        <v>0</v>
      </c>
      <c r="N154" s="713">
        <f>N150-N152</f>
        <v>0</v>
      </c>
      <c r="O154" s="713">
        <f>O150-O152</f>
        <v>0</v>
      </c>
    </row>
    <row r="155" spans="1:18" x14ac:dyDescent="0.25">
      <c r="D155" s="489" t="s">
        <v>1163</v>
      </c>
    </row>
    <row r="156" spans="1:18" x14ac:dyDescent="0.25">
      <c r="D156" s="489" t="s">
        <v>1352</v>
      </c>
    </row>
    <row r="157" spans="1:18" x14ac:dyDescent="0.25">
      <c r="D157" s="489" t="s">
        <v>1182</v>
      </c>
    </row>
    <row r="158" spans="1:18" x14ac:dyDescent="0.25">
      <c r="D158" s="489" t="s">
        <v>916</v>
      </c>
    </row>
    <row r="159" spans="1:18" x14ac:dyDescent="0.25">
      <c r="D159" s="489" t="s">
        <v>497</v>
      </c>
    </row>
    <row r="160" spans="1:18" x14ac:dyDescent="0.25">
      <c r="D160" s="489" t="s">
        <v>545</v>
      </c>
    </row>
    <row r="161" spans="4:4" x14ac:dyDescent="0.25">
      <c r="D161" s="489" t="s">
        <v>1522</v>
      </c>
    </row>
    <row r="162" spans="4:4" x14ac:dyDescent="0.25">
      <c r="D162" s="489" t="s">
        <v>1692</v>
      </c>
    </row>
    <row r="163" spans="4:4" x14ac:dyDescent="0.25">
      <c r="D163" s="489" t="s">
        <v>1689</v>
      </c>
    </row>
  </sheetData>
  <autoFilter ref="A2:R150">
    <sortState ref="A3:Q144">
      <sortCondition sortBy="cellColor" ref="C2:C144" dxfId="2188"/>
    </sortState>
  </autoFilter>
  <hyperlinks>
    <hyperlink ref="I3" location="'18-19 (CKB-1)'!A1" display="Click here"/>
    <hyperlink ref="I4" location="'18-19 (MLM-2)'!A1" display="Click here"/>
    <hyperlink ref="I6" location="'(KSL-4)'!A1" display="Click here"/>
    <hyperlink ref="I7" location="'(VMK-5)'!A1" display="Click here"/>
    <hyperlink ref="I8" location="'(PMK-6)'!A1" display="Click here"/>
    <hyperlink ref="I9" location="'(RSM-8)'!A1" display="Click here"/>
    <hyperlink ref="I10" location="'(PR-9)'!A1" display="Click here"/>
    <hyperlink ref="I12:I19" location="'18-19 (PR-8)'!A1" display="Click here"/>
    <hyperlink ref="I11" location="'(ASK-10)'!A1" display="Click here"/>
    <hyperlink ref="I12" location="'(VKV) 11 '!A1" display="Click here"/>
    <hyperlink ref="I13" location="'(USS-12)'!A1" display="Click here"/>
    <hyperlink ref="I14" location="'(MS-13)'!A1" display="Click here"/>
    <hyperlink ref="I15" location="'(BRR-14)'!A1" display="Click here"/>
    <hyperlink ref="I16" location="'(RKL-15)'!A1" display="Click here"/>
    <hyperlink ref="I17" location="'(DBN-16)'!A1" display="Click here"/>
    <hyperlink ref="I18" location="'(VVT-17)'!A1" display="Click here"/>
    <hyperlink ref="I19" location="'(SSM-18)'!A1" display="Click here"/>
    <hyperlink ref="I20" location="'(SVR-19)'!A1" display="Click here"/>
    <hyperlink ref="I21" location="'(MPJ-20)'!A1" display="Click here"/>
    <hyperlink ref="I22" location="'(DPV-21)'!A1" display="Click here"/>
    <hyperlink ref="I23" location="'(SRP-22)'!A1" display="Click here"/>
    <hyperlink ref="I24" location="'(VNW-23)'!A1" display="Click here"/>
    <hyperlink ref="I28" location="'(MKP-28)'!A1" display="Click here"/>
    <hyperlink ref="I26" location="'(AYK-26)'!A1" display="Click here"/>
    <hyperlink ref="I27" location="'(KPK-27)'!A1" display="Click here"/>
    <hyperlink ref="I29" location="'(RSV-29)'!A1" display="Click here"/>
    <hyperlink ref="I30" location="'(ASG-30)'!A1" display="Click here"/>
    <hyperlink ref="I31" location="'(CDW-32)'!A1" display="Click here"/>
    <hyperlink ref="I33" location="'(AHJ-35)'!A1" display="Click here"/>
    <hyperlink ref="I34" location="'(DRM-36)'!A1" display="Click here"/>
    <hyperlink ref="I35" location="'(AMK-37)'!A1" display="Click here"/>
    <hyperlink ref="I36" location="'(VBB-38)'!A1" display="Click here"/>
    <hyperlink ref="I37" location="'(SPA-39)'!A1" display="Click here"/>
    <hyperlink ref="I39" location="'(PVG-41)'!A1" display="Click here"/>
    <hyperlink ref="I40" location="'(SJJ-42)'!A1" display="Click here"/>
    <hyperlink ref="I41" location="'(VKP-43)'!A1" display="Click here"/>
    <hyperlink ref="I42" location="'(STA-44)'!A1" display="Click here"/>
    <hyperlink ref="I43" location="'(HRK-45)'!A1" display="Click here"/>
    <hyperlink ref="I44" location="'(BJK-46)'!A1" display="Click here"/>
    <hyperlink ref="I45" location="'(RRD-47)'!A1" display="Click here"/>
    <hyperlink ref="I46" location="'(UMC-48) '!A1" display="Click here"/>
    <hyperlink ref="I47" location="'(SLT-49)'!A1" display="Click here"/>
    <hyperlink ref="I48" location="'(SSW-51)'!A1" display="Click here"/>
    <hyperlink ref="I49" location="'(VNK-52)'!A1" display="Click here"/>
    <hyperlink ref="I137" location="'(PBT-54)'!A1" display="Click here"/>
    <hyperlink ref="I50" location="' (HS-55)'!A1" display="Click here"/>
    <hyperlink ref="I51" location="'(PAP-56)'!A1" display="Click here"/>
    <hyperlink ref="I138" location="'(SPT-57)'!A1" display="Click here"/>
    <hyperlink ref="I52" location="'(PBSP-58)'!A1" display="Click here"/>
    <hyperlink ref="I53" location="'(SAA-59)'!A1" display="Click here"/>
    <hyperlink ref="I54" location="'(MHH-60)'!A1" display="Click here"/>
    <hyperlink ref="I55" location="'(HRM-61)'!A1" display="Click here"/>
    <hyperlink ref="I56" location="'(PPS-62)'!A1" display="Click here"/>
    <hyperlink ref="I57" location="'(NAP-63)'!A1" display="Click here"/>
    <hyperlink ref="I58" location="'(BSS-64)'!A1" display="Click here"/>
    <hyperlink ref="I59" location="'(SG-65)'!A1" display="Click here"/>
    <hyperlink ref="I60" location="'(SNV-66)'!A1" display="Click here"/>
    <hyperlink ref="I61" location="'(IAP-67)'!A1" display="Click here"/>
    <hyperlink ref="I62" location="'(MBR-68)'!A1" display="Click here"/>
    <hyperlink ref="I63" location="'(SSM-69)'!A1" display="Click here"/>
    <hyperlink ref="I64" location="'(SS-71)'!A1" display="Click here"/>
    <hyperlink ref="I65" location="'(BAD-73)'!A1" display="Click here"/>
    <hyperlink ref="I66" location="'(CN-74)'!A1" display="Click here"/>
    <hyperlink ref="I67" location="'(IH-76)'!A1" display="Click here"/>
    <hyperlink ref="I68" location="'(LBB-77)'!A1" display="Click here"/>
    <hyperlink ref="I69" location="'(AN-78)'!A1" display="Click here"/>
    <hyperlink ref="I70" location="'(NVV-79)'!A1" display="Click here"/>
    <hyperlink ref="I71" location="'(RBR 80)'!A1" display="Click here"/>
    <hyperlink ref="I72" location="'(JPT 81)'!A1" display="Click here"/>
    <hyperlink ref="I73" location="'(VBS 83) '!A1" display="Click here"/>
    <hyperlink ref="I74" location="'(SR-84)'!A1" display="Click here"/>
    <hyperlink ref="I75" location="'(KAB-85)'!A1" display="Click here"/>
    <hyperlink ref="I76" location="'(JPS-87)'!A1" display="Click here"/>
    <hyperlink ref="I77" location="'(AM-88)'!A1" display="Click here"/>
    <hyperlink ref="I78" location="'(VSD-89)'!A1" display="Click here"/>
    <hyperlink ref="I145" location="'(NHC-91)'!A1" display="Click here"/>
    <hyperlink ref="I79" location="'(JAU-92)'!A1" display="Click here"/>
    <hyperlink ref="I146" location="'(LBS-94)'!A1" display="Click here"/>
    <hyperlink ref="I81" location="'(SBB-95)'!A1" display="Click here"/>
    <hyperlink ref="I82" location="'(NHC-91)'!A1" display="Click here"/>
    <hyperlink ref="I83" location="'(PSG-97)'!A1" display="Click here"/>
    <hyperlink ref="I84" location="'(NRS-98)'!A1" display="Click here"/>
    <hyperlink ref="I85" location="'(SAS-99)'!A1" display="Click here"/>
    <hyperlink ref="I86" location="'(DRS-100)'!A1" display="Click here"/>
    <hyperlink ref="I87" location="'(NGC-101)'!A1" display="Click here"/>
    <hyperlink ref="I88" location="'(JMS-102)'!A1" display="Click here"/>
    <hyperlink ref="I89" location="'(SSL-103)'!A1" display="Click here"/>
    <hyperlink ref="I90" location="'(SBP-104)'!A1" display="Click here"/>
    <hyperlink ref="I91" location="'18-19 (DMB-2)'!A1" display="Click here"/>
    <hyperlink ref="I92" location="'(RNK-106)'!A1" display="Click here"/>
    <hyperlink ref="I93" location="'(DND-107)'!A1" display="Click here"/>
    <hyperlink ref="I94" location="'(RP-108)'!A1" display="Click here"/>
    <hyperlink ref="I95" location="'(MMM-109)'!A1" display="Click here"/>
    <hyperlink ref="I96" location="'(VPG-110)'!A1" display="Click here"/>
    <hyperlink ref="I97" location="'(NHK-111)'!A1" display="Click here"/>
    <hyperlink ref="I98" location="'(ASK-113)'!A1" display="Click here"/>
    <hyperlink ref="I99" location="'(RDB-114)'!A1" display="Click here"/>
    <hyperlink ref="I100" location="'(BDY-115)'!A1" display="Click here"/>
    <hyperlink ref="I101" location="'(GSS-116)'!A1" display="Click here"/>
    <hyperlink ref="I102" location="'(JGV-117)'!A1" display="Click here"/>
    <hyperlink ref="I103" location="'(NPW-118)'!A1" display="Click here"/>
    <hyperlink ref="I104" location="'(LSM-119)'!A1" display="Click here"/>
    <hyperlink ref="I105" location="'(JGR-120)'!A1" display="Click here"/>
    <hyperlink ref="I106" location="'(MPI-121)'!A1" display="Click here"/>
    <hyperlink ref="I107" location="'(RBG-122)'!A1" display="Click here"/>
    <hyperlink ref="I109" location="'(DMB-124)'!A1" display="Click here"/>
    <hyperlink ref="I110" location="'(GSK-125)'!A1" display="Click here"/>
    <hyperlink ref="I111" location="'(APT-126)'!A1" display="Click here"/>
    <hyperlink ref="I112" location="'(PRP-128)'!A1" display="Click here"/>
    <hyperlink ref="I113" location="'(RSB-129)'!A1" display="Click here"/>
    <hyperlink ref="I114" location="'(RCW-130) '!A1" display="Click here"/>
    <hyperlink ref="I115" location="'(DVS-131)'!A1" display="Click here"/>
    <hyperlink ref="I116" location="'(MMT-132)'!A1" display="Click here"/>
    <hyperlink ref="I38" location="'(SAS-40)'!A1" display="Click here"/>
    <hyperlink ref="I5" location="'(UCP-3)'!A1" display="Click here"/>
    <hyperlink ref="I32" location="'(PCS-34)'!A1" display="Click here"/>
    <hyperlink ref="I140:I142" location="'(MMT-132)'!A1" display="Click here"/>
    <hyperlink ref="I117" location="'(KSW-133)'!A1" display="Click here"/>
    <hyperlink ref="I118" location="'(SSJ-134)'!A1" display="Click here"/>
    <hyperlink ref="I119" location="'(BDR-135)'!A1" display="Click here"/>
    <hyperlink ref="I120" location="'(DSJ-136)'!A1" display="Click here"/>
    <hyperlink ref="I121" location="'(CSS-137)'!A1" display="Click here"/>
    <hyperlink ref="I122" location="'(AAM-138)'!A1" display="Click here"/>
    <hyperlink ref="I149" location="'(SSK-139)'!A1" display="Click here"/>
    <hyperlink ref="I123" location="'(AS-140)'!A1" display="Click here"/>
    <hyperlink ref="I124" location="'(ANRG-141)'!A1" display="Click here"/>
    <hyperlink ref="I125" location="'(RCD-142)'!A1" display="Click here"/>
    <hyperlink ref="I108" location="'(SPT-57)'!A1" display="Click here"/>
  </hyperlinks>
  <pageMargins left="0.70866141732283472" right="0.70866141732283472" top="0.74803149606299213" bottom="0.74803149606299213" header="0.31496062992125984" footer="0.31496062992125984"/>
  <pageSetup paperSize="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7"/>
  <sheetViews>
    <sheetView workbookViewId="0">
      <selection activeCell="D6" sqref="D6:F6"/>
    </sheetView>
  </sheetViews>
  <sheetFormatPr defaultRowHeight="12.75" x14ac:dyDescent="0.2"/>
  <cols>
    <col min="1" max="1" width="5" style="16" customWidth="1"/>
    <col min="2" max="2" width="18.5703125" style="37" customWidth="1"/>
    <col min="3" max="3" width="11.140625" style="16" bestFit="1" customWidth="1"/>
    <col min="4" max="4" width="6.7109375" style="16" bestFit="1" customWidth="1"/>
    <col min="5" max="5" width="8.5703125" style="16" bestFit="1" customWidth="1"/>
    <col min="6" max="6" width="9.28515625" style="16" bestFit="1" customWidth="1"/>
    <col min="7" max="7" width="10.42578125" style="16" bestFit="1" customWidth="1"/>
    <col min="8" max="8" width="10.28515625" style="16" bestFit="1" customWidth="1"/>
    <col min="9" max="9" width="7.140625" style="16" bestFit="1" customWidth="1"/>
    <col min="10" max="10" width="9.5703125" style="16" customWidth="1"/>
    <col min="11" max="12" width="7" style="16" bestFit="1" customWidth="1"/>
    <col min="13" max="13" width="6.85546875" style="16" bestFit="1" customWidth="1"/>
    <col min="14" max="14" width="7" style="16" bestFit="1" customWidth="1"/>
    <col min="15" max="15" width="8"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8.5703125" style="16" customWidth="1"/>
    <col min="259" max="259" width="11.140625" style="16" bestFit="1" customWidth="1"/>
    <col min="260" max="260" width="6.7109375" style="16" bestFit="1" customWidth="1"/>
    <col min="261" max="261" width="8.5703125" style="16" bestFit="1" customWidth="1"/>
    <col min="262" max="262" width="9.28515625" style="16" bestFit="1" customWidth="1"/>
    <col min="263" max="263" width="10.42578125" style="16" bestFit="1" customWidth="1"/>
    <col min="264" max="264" width="10.28515625" style="16" bestFit="1" customWidth="1"/>
    <col min="265" max="265" width="7.140625" style="16" bestFit="1" customWidth="1"/>
    <col min="266" max="266" width="9.5703125" style="16" customWidth="1"/>
    <col min="267" max="268" width="7" style="16" bestFit="1" customWidth="1"/>
    <col min="269" max="269" width="6.85546875" style="16" bestFit="1" customWidth="1"/>
    <col min="270" max="270" width="7" style="16" bestFit="1" customWidth="1"/>
    <col min="271" max="271" width="8"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8.5703125" style="16" customWidth="1"/>
    <col min="515" max="515" width="11.140625" style="16" bestFit="1" customWidth="1"/>
    <col min="516" max="516" width="6.7109375" style="16" bestFit="1" customWidth="1"/>
    <col min="517" max="517" width="8.5703125" style="16" bestFit="1" customWidth="1"/>
    <col min="518" max="518" width="9.28515625" style="16" bestFit="1" customWidth="1"/>
    <col min="519" max="519" width="10.42578125" style="16" bestFit="1" customWidth="1"/>
    <col min="520" max="520" width="10.28515625" style="16" bestFit="1" customWidth="1"/>
    <col min="521" max="521" width="7.140625" style="16" bestFit="1" customWidth="1"/>
    <col min="522" max="522" width="9.5703125" style="16" customWidth="1"/>
    <col min="523" max="524" width="7" style="16" bestFit="1" customWidth="1"/>
    <col min="525" max="525" width="6.85546875" style="16" bestFit="1" customWidth="1"/>
    <col min="526" max="526" width="7" style="16" bestFit="1" customWidth="1"/>
    <col min="527" max="527" width="8"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8.5703125" style="16" customWidth="1"/>
    <col min="771" max="771" width="11.140625" style="16" bestFit="1" customWidth="1"/>
    <col min="772" max="772" width="6.7109375" style="16" bestFit="1" customWidth="1"/>
    <col min="773" max="773" width="8.5703125" style="16" bestFit="1" customWidth="1"/>
    <col min="774" max="774" width="9.28515625" style="16" bestFit="1" customWidth="1"/>
    <col min="775" max="775" width="10.42578125" style="16" bestFit="1" customWidth="1"/>
    <col min="776" max="776" width="10.28515625" style="16" bestFit="1" customWidth="1"/>
    <col min="777" max="777" width="7.140625" style="16" bestFit="1" customWidth="1"/>
    <col min="778" max="778" width="9.5703125" style="16" customWidth="1"/>
    <col min="779" max="780" width="7" style="16" bestFit="1" customWidth="1"/>
    <col min="781" max="781" width="6.85546875" style="16" bestFit="1" customWidth="1"/>
    <col min="782" max="782" width="7" style="16" bestFit="1" customWidth="1"/>
    <col min="783" max="783" width="8"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8.5703125" style="16" customWidth="1"/>
    <col min="1027" max="1027" width="11.140625" style="16" bestFit="1" customWidth="1"/>
    <col min="1028" max="1028" width="6.7109375" style="16" bestFit="1" customWidth="1"/>
    <col min="1029" max="1029" width="8.5703125" style="16" bestFit="1" customWidth="1"/>
    <col min="1030" max="1030" width="9.28515625" style="16" bestFit="1" customWidth="1"/>
    <col min="1031" max="1031" width="10.42578125" style="16" bestFit="1" customWidth="1"/>
    <col min="1032" max="1032" width="10.28515625" style="16" bestFit="1" customWidth="1"/>
    <col min="1033" max="1033" width="7.140625" style="16" bestFit="1" customWidth="1"/>
    <col min="1034" max="1034" width="9.5703125" style="16" customWidth="1"/>
    <col min="1035" max="1036" width="7" style="16" bestFit="1" customWidth="1"/>
    <col min="1037" max="1037" width="6.85546875" style="16" bestFit="1" customWidth="1"/>
    <col min="1038" max="1038" width="7" style="16" bestFit="1" customWidth="1"/>
    <col min="1039" max="1039" width="8"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8.5703125" style="16" customWidth="1"/>
    <col min="1283" max="1283" width="11.140625" style="16" bestFit="1" customWidth="1"/>
    <col min="1284" max="1284" width="6.7109375" style="16" bestFit="1" customWidth="1"/>
    <col min="1285" max="1285" width="8.5703125" style="16" bestFit="1" customWidth="1"/>
    <col min="1286" max="1286" width="9.28515625" style="16" bestFit="1" customWidth="1"/>
    <col min="1287" max="1287" width="10.42578125" style="16" bestFit="1" customWidth="1"/>
    <col min="1288" max="1288" width="10.28515625" style="16" bestFit="1" customWidth="1"/>
    <col min="1289" max="1289" width="7.140625" style="16" bestFit="1" customWidth="1"/>
    <col min="1290" max="1290" width="9.5703125" style="16" customWidth="1"/>
    <col min="1291" max="1292" width="7" style="16" bestFit="1" customWidth="1"/>
    <col min="1293" max="1293" width="6.85546875" style="16" bestFit="1" customWidth="1"/>
    <col min="1294" max="1294" width="7" style="16" bestFit="1" customWidth="1"/>
    <col min="1295" max="1295" width="8"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8.5703125" style="16" customWidth="1"/>
    <col min="1539" max="1539" width="11.140625" style="16" bestFit="1" customWidth="1"/>
    <col min="1540" max="1540" width="6.7109375" style="16" bestFit="1" customWidth="1"/>
    <col min="1541" max="1541" width="8.5703125" style="16" bestFit="1" customWidth="1"/>
    <col min="1542" max="1542" width="9.28515625" style="16" bestFit="1" customWidth="1"/>
    <col min="1543" max="1543" width="10.42578125" style="16" bestFit="1" customWidth="1"/>
    <col min="1544" max="1544" width="10.28515625" style="16" bestFit="1" customWidth="1"/>
    <col min="1545" max="1545" width="7.140625" style="16" bestFit="1" customWidth="1"/>
    <col min="1546" max="1546" width="9.5703125" style="16" customWidth="1"/>
    <col min="1547" max="1548" width="7" style="16" bestFit="1" customWidth="1"/>
    <col min="1549" max="1549" width="6.85546875" style="16" bestFit="1" customWidth="1"/>
    <col min="1550" max="1550" width="7" style="16" bestFit="1" customWidth="1"/>
    <col min="1551" max="1551" width="8"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8.5703125" style="16" customWidth="1"/>
    <col min="1795" max="1795" width="11.140625" style="16" bestFit="1" customWidth="1"/>
    <col min="1796" max="1796" width="6.7109375" style="16" bestFit="1" customWidth="1"/>
    <col min="1797" max="1797" width="8.5703125" style="16" bestFit="1" customWidth="1"/>
    <col min="1798" max="1798" width="9.28515625" style="16" bestFit="1" customWidth="1"/>
    <col min="1799" max="1799" width="10.42578125" style="16" bestFit="1" customWidth="1"/>
    <col min="1800" max="1800" width="10.28515625" style="16" bestFit="1" customWidth="1"/>
    <col min="1801" max="1801" width="7.140625" style="16" bestFit="1" customWidth="1"/>
    <col min="1802" max="1802" width="9.5703125" style="16" customWidth="1"/>
    <col min="1803" max="1804" width="7" style="16" bestFit="1" customWidth="1"/>
    <col min="1805" max="1805" width="6.85546875" style="16" bestFit="1" customWidth="1"/>
    <col min="1806" max="1806" width="7" style="16" bestFit="1" customWidth="1"/>
    <col min="1807" max="1807" width="8"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8.5703125" style="16" customWidth="1"/>
    <col min="2051" max="2051" width="11.140625" style="16" bestFit="1" customWidth="1"/>
    <col min="2052" max="2052" width="6.7109375" style="16" bestFit="1" customWidth="1"/>
    <col min="2053" max="2053" width="8.5703125" style="16" bestFit="1" customWidth="1"/>
    <col min="2054" max="2054" width="9.28515625" style="16" bestFit="1" customWidth="1"/>
    <col min="2055" max="2055" width="10.42578125" style="16" bestFit="1" customWidth="1"/>
    <col min="2056" max="2056" width="10.28515625" style="16" bestFit="1" customWidth="1"/>
    <col min="2057" max="2057" width="7.140625" style="16" bestFit="1" customWidth="1"/>
    <col min="2058" max="2058" width="9.5703125" style="16" customWidth="1"/>
    <col min="2059" max="2060" width="7" style="16" bestFit="1" customWidth="1"/>
    <col min="2061" max="2061" width="6.85546875" style="16" bestFit="1" customWidth="1"/>
    <col min="2062" max="2062" width="7" style="16" bestFit="1" customWidth="1"/>
    <col min="2063" max="2063" width="8"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8.5703125" style="16" customWidth="1"/>
    <col min="2307" max="2307" width="11.140625" style="16" bestFit="1" customWidth="1"/>
    <col min="2308" max="2308" width="6.7109375" style="16" bestFit="1" customWidth="1"/>
    <col min="2309" max="2309" width="8.5703125" style="16" bestFit="1" customWidth="1"/>
    <col min="2310" max="2310" width="9.28515625" style="16" bestFit="1" customWidth="1"/>
    <col min="2311" max="2311" width="10.42578125" style="16" bestFit="1" customWidth="1"/>
    <col min="2312" max="2312" width="10.28515625" style="16" bestFit="1" customWidth="1"/>
    <col min="2313" max="2313" width="7.140625" style="16" bestFit="1" customWidth="1"/>
    <col min="2314" max="2314" width="9.5703125" style="16" customWidth="1"/>
    <col min="2315" max="2316" width="7" style="16" bestFit="1" customWidth="1"/>
    <col min="2317" max="2317" width="6.85546875" style="16" bestFit="1" customWidth="1"/>
    <col min="2318" max="2318" width="7" style="16" bestFit="1" customWidth="1"/>
    <col min="2319" max="2319" width="8"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8.5703125" style="16" customWidth="1"/>
    <col min="2563" max="2563" width="11.140625" style="16" bestFit="1" customWidth="1"/>
    <col min="2564" max="2564" width="6.7109375" style="16" bestFit="1" customWidth="1"/>
    <col min="2565" max="2565" width="8.5703125" style="16" bestFit="1" customWidth="1"/>
    <col min="2566" max="2566" width="9.28515625" style="16" bestFit="1" customWidth="1"/>
    <col min="2567" max="2567" width="10.42578125" style="16" bestFit="1" customWidth="1"/>
    <col min="2568" max="2568" width="10.28515625" style="16" bestFit="1" customWidth="1"/>
    <col min="2569" max="2569" width="7.140625" style="16" bestFit="1" customWidth="1"/>
    <col min="2570" max="2570" width="9.5703125" style="16" customWidth="1"/>
    <col min="2571" max="2572" width="7" style="16" bestFit="1" customWidth="1"/>
    <col min="2573" max="2573" width="6.85546875" style="16" bestFit="1" customWidth="1"/>
    <col min="2574" max="2574" width="7" style="16" bestFit="1" customWidth="1"/>
    <col min="2575" max="2575" width="8"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8.5703125" style="16" customWidth="1"/>
    <col min="2819" max="2819" width="11.140625" style="16" bestFit="1" customWidth="1"/>
    <col min="2820" max="2820" width="6.7109375" style="16" bestFit="1" customWidth="1"/>
    <col min="2821" max="2821" width="8.5703125" style="16" bestFit="1" customWidth="1"/>
    <col min="2822" max="2822" width="9.28515625" style="16" bestFit="1" customWidth="1"/>
    <col min="2823" max="2823" width="10.42578125" style="16" bestFit="1" customWidth="1"/>
    <col min="2824" max="2824" width="10.28515625" style="16" bestFit="1" customWidth="1"/>
    <col min="2825" max="2825" width="7.140625" style="16" bestFit="1" customWidth="1"/>
    <col min="2826" max="2826" width="9.5703125" style="16" customWidth="1"/>
    <col min="2827" max="2828" width="7" style="16" bestFit="1" customWidth="1"/>
    <col min="2829" max="2829" width="6.85546875" style="16" bestFit="1" customWidth="1"/>
    <col min="2830" max="2830" width="7" style="16" bestFit="1" customWidth="1"/>
    <col min="2831" max="2831" width="8"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8.5703125" style="16" customWidth="1"/>
    <col min="3075" max="3075" width="11.140625" style="16" bestFit="1" customWidth="1"/>
    <col min="3076" max="3076" width="6.7109375" style="16" bestFit="1" customWidth="1"/>
    <col min="3077" max="3077" width="8.5703125" style="16" bestFit="1" customWidth="1"/>
    <col min="3078" max="3078" width="9.28515625" style="16" bestFit="1" customWidth="1"/>
    <col min="3079" max="3079" width="10.42578125" style="16" bestFit="1" customWidth="1"/>
    <col min="3080" max="3080" width="10.28515625" style="16" bestFit="1" customWidth="1"/>
    <col min="3081" max="3081" width="7.140625" style="16" bestFit="1" customWidth="1"/>
    <col min="3082" max="3082" width="9.5703125" style="16" customWidth="1"/>
    <col min="3083" max="3084" width="7" style="16" bestFit="1" customWidth="1"/>
    <col min="3085" max="3085" width="6.85546875" style="16" bestFit="1" customWidth="1"/>
    <col min="3086" max="3086" width="7" style="16" bestFit="1" customWidth="1"/>
    <col min="3087" max="3087" width="8"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8.5703125" style="16" customWidth="1"/>
    <col min="3331" max="3331" width="11.140625" style="16" bestFit="1" customWidth="1"/>
    <col min="3332" max="3332" width="6.7109375" style="16" bestFit="1" customWidth="1"/>
    <col min="3333" max="3333" width="8.5703125" style="16" bestFit="1" customWidth="1"/>
    <col min="3334" max="3334" width="9.28515625" style="16" bestFit="1" customWidth="1"/>
    <col min="3335" max="3335" width="10.42578125" style="16" bestFit="1" customWidth="1"/>
    <col min="3336" max="3336" width="10.28515625" style="16" bestFit="1" customWidth="1"/>
    <col min="3337" max="3337" width="7.140625" style="16" bestFit="1" customWidth="1"/>
    <col min="3338" max="3338" width="9.5703125" style="16" customWidth="1"/>
    <col min="3339" max="3340" width="7" style="16" bestFit="1" customWidth="1"/>
    <col min="3341" max="3341" width="6.85546875" style="16" bestFit="1" customWidth="1"/>
    <col min="3342" max="3342" width="7" style="16" bestFit="1" customWidth="1"/>
    <col min="3343" max="3343" width="8"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8.5703125" style="16" customWidth="1"/>
    <col min="3587" max="3587" width="11.140625" style="16" bestFit="1" customWidth="1"/>
    <col min="3588" max="3588" width="6.7109375" style="16" bestFit="1" customWidth="1"/>
    <col min="3589" max="3589" width="8.5703125" style="16" bestFit="1" customWidth="1"/>
    <col min="3590" max="3590" width="9.28515625" style="16" bestFit="1" customWidth="1"/>
    <col min="3591" max="3591" width="10.42578125" style="16" bestFit="1" customWidth="1"/>
    <col min="3592" max="3592" width="10.28515625" style="16" bestFit="1" customWidth="1"/>
    <col min="3593" max="3593" width="7.140625" style="16" bestFit="1" customWidth="1"/>
    <col min="3594" max="3594" width="9.5703125" style="16" customWidth="1"/>
    <col min="3595" max="3596" width="7" style="16" bestFit="1" customWidth="1"/>
    <col min="3597" max="3597" width="6.85546875" style="16" bestFit="1" customWidth="1"/>
    <col min="3598" max="3598" width="7" style="16" bestFit="1" customWidth="1"/>
    <col min="3599" max="3599" width="8"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8.5703125" style="16" customWidth="1"/>
    <col min="3843" max="3843" width="11.140625" style="16" bestFit="1" customWidth="1"/>
    <col min="3844" max="3844" width="6.7109375" style="16" bestFit="1" customWidth="1"/>
    <col min="3845" max="3845" width="8.5703125" style="16" bestFit="1" customWidth="1"/>
    <col min="3846" max="3846" width="9.28515625" style="16" bestFit="1" customWidth="1"/>
    <col min="3847" max="3847" width="10.42578125" style="16" bestFit="1" customWidth="1"/>
    <col min="3848" max="3848" width="10.28515625" style="16" bestFit="1" customWidth="1"/>
    <col min="3849" max="3849" width="7.140625" style="16" bestFit="1" customWidth="1"/>
    <col min="3850" max="3850" width="9.5703125" style="16" customWidth="1"/>
    <col min="3851" max="3852" width="7" style="16" bestFit="1" customWidth="1"/>
    <col min="3853" max="3853" width="6.85546875" style="16" bestFit="1" customWidth="1"/>
    <col min="3854" max="3854" width="7" style="16" bestFit="1" customWidth="1"/>
    <col min="3855" max="3855" width="8"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8.5703125" style="16" customWidth="1"/>
    <col min="4099" max="4099" width="11.140625" style="16" bestFit="1" customWidth="1"/>
    <col min="4100" max="4100" width="6.7109375" style="16" bestFit="1" customWidth="1"/>
    <col min="4101" max="4101" width="8.5703125" style="16" bestFit="1" customWidth="1"/>
    <col min="4102" max="4102" width="9.28515625" style="16" bestFit="1" customWidth="1"/>
    <col min="4103" max="4103" width="10.42578125" style="16" bestFit="1" customWidth="1"/>
    <col min="4104" max="4104" width="10.28515625" style="16" bestFit="1" customWidth="1"/>
    <col min="4105" max="4105" width="7.140625" style="16" bestFit="1" customWidth="1"/>
    <col min="4106" max="4106" width="9.5703125" style="16" customWidth="1"/>
    <col min="4107" max="4108" width="7" style="16" bestFit="1" customWidth="1"/>
    <col min="4109" max="4109" width="6.85546875" style="16" bestFit="1" customWidth="1"/>
    <col min="4110" max="4110" width="7" style="16" bestFit="1" customWidth="1"/>
    <col min="4111" max="4111" width="8"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8.5703125" style="16" customWidth="1"/>
    <col min="4355" max="4355" width="11.140625" style="16" bestFit="1" customWidth="1"/>
    <col min="4356" max="4356" width="6.7109375" style="16" bestFit="1" customWidth="1"/>
    <col min="4357" max="4357" width="8.5703125" style="16" bestFit="1" customWidth="1"/>
    <col min="4358" max="4358" width="9.28515625" style="16" bestFit="1" customWidth="1"/>
    <col min="4359" max="4359" width="10.42578125" style="16" bestFit="1" customWidth="1"/>
    <col min="4360" max="4360" width="10.28515625" style="16" bestFit="1" customWidth="1"/>
    <col min="4361" max="4361" width="7.140625" style="16" bestFit="1" customWidth="1"/>
    <col min="4362" max="4362" width="9.5703125" style="16" customWidth="1"/>
    <col min="4363" max="4364" width="7" style="16" bestFit="1" customWidth="1"/>
    <col min="4365" max="4365" width="6.85546875" style="16" bestFit="1" customWidth="1"/>
    <col min="4366" max="4366" width="7" style="16" bestFit="1" customWidth="1"/>
    <col min="4367" max="4367" width="8"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8.5703125" style="16" customWidth="1"/>
    <col min="4611" max="4611" width="11.140625" style="16" bestFit="1" customWidth="1"/>
    <col min="4612" max="4612" width="6.7109375" style="16" bestFit="1" customWidth="1"/>
    <col min="4613" max="4613" width="8.5703125" style="16" bestFit="1" customWidth="1"/>
    <col min="4614" max="4614" width="9.28515625" style="16" bestFit="1" customWidth="1"/>
    <col min="4615" max="4615" width="10.42578125" style="16" bestFit="1" customWidth="1"/>
    <col min="4616" max="4616" width="10.28515625" style="16" bestFit="1" customWidth="1"/>
    <col min="4617" max="4617" width="7.140625" style="16" bestFit="1" customWidth="1"/>
    <col min="4618" max="4618" width="9.5703125" style="16" customWidth="1"/>
    <col min="4619" max="4620" width="7" style="16" bestFit="1" customWidth="1"/>
    <col min="4621" max="4621" width="6.85546875" style="16" bestFit="1" customWidth="1"/>
    <col min="4622" max="4622" width="7" style="16" bestFit="1" customWidth="1"/>
    <col min="4623" max="4623" width="8"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8.5703125" style="16" customWidth="1"/>
    <col min="4867" max="4867" width="11.140625" style="16" bestFit="1" customWidth="1"/>
    <col min="4868" max="4868" width="6.7109375" style="16" bestFit="1" customWidth="1"/>
    <col min="4869" max="4869" width="8.5703125" style="16" bestFit="1" customWidth="1"/>
    <col min="4870" max="4870" width="9.28515625" style="16" bestFit="1" customWidth="1"/>
    <col min="4871" max="4871" width="10.42578125" style="16" bestFit="1" customWidth="1"/>
    <col min="4872" max="4872" width="10.28515625" style="16" bestFit="1" customWidth="1"/>
    <col min="4873" max="4873" width="7.140625" style="16" bestFit="1" customWidth="1"/>
    <col min="4874" max="4874" width="9.5703125" style="16" customWidth="1"/>
    <col min="4875" max="4876" width="7" style="16" bestFit="1" customWidth="1"/>
    <col min="4877" max="4877" width="6.85546875" style="16" bestFit="1" customWidth="1"/>
    <col min="4878" max="4878" width="7" style="16" bestFit="1" customWidth="1"/>
    <col min="4879" max="4879" width="8"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8.5703125" style="16" customWidth="1"/>
    <col min="5123" max="5123" width="11.140625" style="16" bestFit="1" customWidth="1"/>
    <col min="5124" max="5124" width="6.7109375" style="16" bestFit="1" customWidth="1"/>
    <col min="5125" max="5125" width="8.5703125" style="16" bestFit="1" customWidth="1"/>
    <col min="5126" max="5126" width="9.28515625" style="16" bestFit="1" customWidth="1"/>
    <col min="5127" max="5127" width="10.42578125" style="16" bestFit="1" customWidth="1"/>
    <col min="5128" max="5128" width="10.28515625" style="16" bestFit="1" customWidth="1"/>
    <col min="5129" max="5129" width="7.140625" style="16" bestFit="1" customWidth="1"/>
    <col min="5130" max="5130" width="9.5703125" style="16" customWidth="1"/>
    <col min="5131" max="5132" width="7" style="16" bestFit="1" customWidth="1"/>
    <col min="5133" max="5133" width="6.85546875" style="16" bestFit="1" customWidth="1"/>
    <col min="5134" max="5134" width="7" style="16" bestFit="1" customWidth="1"/>
    <col min="5135" max="5135" width="8"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8.5703125" style="16" customWidth="1"/>
    <col min="5379" max="5379" width="11.140625" style="16" bestFit="1" customWidth="1"/>
    <col min="5380" max="5380" width="6.7109375" style="16" bestFit="1" customWidth="1"/>
    <col min="5381" max="5381" width="8.5703125" style="16" bestFit="1" customWidth="1"/>
    <col min="5382" max="5382" width="9.28515625" style="16" bestFit="1" customWidth="1"/>
    <col min="5383" max="5383" width="10.42578125" style="16" bestFit="1" customWidth="1"/>
    <col min="5384" max="5384" width="10.28515625" style="16" bestFit="1" customWidth="1"/>
    <col min="5385" max="5385" width="7.140625" style="16" bestFit="1" customWidth="1"/>
    <col min="5386" max="5386" width="9.5703125" style="16" customWidth="1"/>
    <col min="5387" max="5388" width="7" style="16" bestFit="1" customWidth="1"/>
    <col min="5389" max="5389" width="6.85546875" style="16" bestFit="1" customWidth="1"/>
    <col min="5390" max="5390" width="7" style="16" bestFit="1" customWidth="1"/>
    <col min="5391" max="5391" width="8"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8.5703125" style="16" customWidth="1"/>
    <col min="5635" max="5635" width="11.140625" style="16" bestFit="1" customWidth="1"/>
    <col min="5636" max="5636" width="6.7109375" style="16" bestFit="1" customWidth="1"/>
    <col min="5637" max="5637" width="8.5703125" style="16" bestFit="1" customWidth="1"/>
    <col min="5638" max="5638" width="9.28515625" style="16" bestFit="1" customWidth="1"/>
    <col min="5639" max="5639" width="10.42578125" style="16" bestFit="1" customWidth="1"/>
    <col min="5640" max="5640" width="10.28515625" style="16" bestFit="1" customWidth="1"/>
    <col min="5641" max="5641" width="7.140625" style="16" bestFit="1" customWidth="1"/>
    <col min="5642" max="5642" width="9.5703125" style="16" customWidth="1"/>
    <col min="5643" max="5644" width="7" style="16" bestFit="1" customWidth="1"/>
    <col min="5645" max="5645" width="6.85546875" style="16" bestFit="1" customWidth="1"/>
    <col min="5646" max="5646" width="7" style="16" bestFit="1" customWidth="1"/>
    <col min="5647" max="5647" width="8"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8.5703125" style="16" customWidth="1"/>
    <col min="5891" max="5891" width="11.140625" style="16" bestFit="1" customWidth="1"/>
    <col min="5892" max="5892" width="6.7109375" style="16" bestFit="1" customWidth="1"/>
    <col min="5893" max="5893" width="8.5703125" style="16" bestFit="1" customWidth="1"/>
    <col min="5894" max="5894" width="9.28515625" style="16" bestFit="1" customWidth="1"/>
    <col min="5895" max="5895" width="10.42578125" style="16" bestFit="1" customWidth="1"/>
    <col min="5896" max="5896" width="10.28515625" style="16" bestFit="1" customWidth="1"/>
    <col min="5897" max="5897" width="7.140625" style="16" bestFit="1" customWidth="1"/>
    <col min="5898" max="5898" width="9.5703125" style="16" customWidth="1"/>
    <col min="5899" max="5900" width="7" style="16" bestFit="1" customWidth="1"/>
    <col min="5901" max="5901" width="6.85546875" style="16" bestFit="1" customWidth="1"/>
    <col min="5902" max="5902" width="7" style="16" bestFit="1" customWidth="1"/>
    <col min="5903" max="5903" width="8"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8.5703125" style="16" customWidth="1"/>
    <col min="6147" max="6147" width="11.140625" style="16" bestFit="1" customWidth="1"/>
    <col min="6148" max="6148" width="6.7109375" style="16" bestFit="1" customWidth="1"/>
    <col min="6149" max="6149" width="8.5703125" style="16" bestFit="1" customWidth="1"/>
    <col min="6150" max="6150" width="9.28515625" style="16" bestFit="1" customWidth="1"/>
    <col min="6151" max="6151" width="10.42578125" style="16" bestFit="1" customWidth="1"/>
    <col min="6152" max="6152" width="10.28515625" style="16" bestFit="1" customWidth="1"/>
    <col min="6153" max="6153" width="7.140625" style="16" bestFit="1" customWidth="1"/>
    <col min="6154" max="6154" width="9.5703125" style="16" customWidth="1"/>
    <col min="6155" max="6156" width="7" style="16" bestFit="1" customWidth="1"/>
    <col min="6157" max="6157" width="6.85546875" style="16" bestFit="1" customWidth="1"/>
    <col min="6158" max="6158" width="7" style="16" bestFit="1" customWidth="1"/>
    <col min="6159" max="6159" width="8"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8.5703125" style="16" customWidth="1"/>
    <col min="6403" max="6403" width="11.140625" style="16" bestFit="1" customWidth="1"/>
    <col min="6404" max="6404" width="6.7109375" style="16" bestFit="1" customWidth="1"/>
    <col min="6405" max="6405" width="8.5703125" style="16" bestFit="1" customWidth="1"/>
    <col min="6406" max="6406" width="9.28515625" style="16" bestFit="1" customWidth="1"/>
    <col min="6407" max="6407" width="10.42578125" style="16" bestFit="1" customWidth="1"/>
    <col min="6408" max="6408" width="10.28515625" style="16" bestFit="1" customWidth="1"/>
    <col min="6409" max="6409" width="7.140625" style="16" bestFit="1" customWidth="1"/>
    <col min="6410" max="6410" width="9.5703125" style="16" customWidth="1"/>
    <col min="6411" max="6412" width="7" style="16" bestFit="1" customWidth="1"/>
    <col min="6413" max="6413" width="6.85546875" style="16" bestFit="1" customWidth="1"/>
    <col min="6414" max="6414" width="7" style="16" bestFit="1" customWidth="1"/>
    <col min="6415" max="6415" width="8"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8.5703125" style="16" customWidth="1"/>
    <col min="6659" max="6659" width="11.140625" style="16" bestFit="1" customWidth="1"/>
    <col min="6660" max="6660" width="6.7109375" style="16" bestFit="1" customWidth="1"/>
    <col min="6661" max="6661" width="8.5703125" style="16" bestFit="1" customWidth="1"/>
    <col min="6662" max="6662" width="9.28515625" style="16" bestFit="1" customWidth="1"/>
    <col min="6663" max="6663" width="10.42578125" style="16" bestFit="1" customWidth="1"/>
    <col min="6664" max="6664" width="10.28515625" style="16" bestFit="1" customWidth="1"/>
    <col min="6665" max="6665" width="7.140625" style="16" bestFit="1" customWidth="1"/>
    <col min="6666" max="6666" width="9.5703125" style="16" customWidth="1"/>
    <col min="6667" max="6668" width="7" style="16" bestFit="1" customWidth="1"/>
    <col min="6669" max="6669" width="6.85546875" style="16" bestFit="1" customWidth="1"/>
    <col min="6670" max="6670" width="7" style="16" bestFit="1" customWidth="1"/>
    <col min="6671" max="6671" width="8"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8.5703125" style="16" customWidth="1"/>
    <col min="6915" max="6915" width="11.140625" style="16" bestFit="1" customWidth="1"/>
    <col min="6916" max="6916" width="6.7109375" style="16" bestFit="1" customWidth="1"/>
    <col min="6917" max="6917" width="8.5703125" style="16" bestFit="1" customWidth="1"/>
    <col min="6918" max="6918" width="9.28515625" style="16" bestFit="1" customWidth="1"/>
    <col min="6919" max="6919" width="10.42578125" style="16" bestFit="1" customWidth="1"/>
    <col min="6920" max="6920" width="10.28515625" style="16" bestFit="1" customWidth="1"/>
    <col min="6921" max="6921" width="7.140625" style="16" bestFit="1" customWidth="1"/>
    <col min="6922" max="6922" width="9.5703125" style="16" customWidth="1"/>
    <col min="6923" max="6924" width="7" style="16" bestFit="1" customWidth="1"/>
    <col min="6925" max="6925" width="6.85546875" style="16" bestFit="1" customWidth="1"/>
    <col min="6926" max="6926" width="7" style="16" bestFit="1" customWidth="1"/>
    <col min="6927" max="6927" width="8"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8.5703125" style="16" customWidth="1"/>
    <col min="7171" max="7171" width="11.140625" style="16" bestFit="1" customWidth="1"/>
    <col min="7172" max="7172" width="6.7109375" style="16" bestFit="1" customWidth="1"/>
    <col min="7173" max="7173" width="8.5703125" style="16" bestFit="1" customWidth="1"/>
    <col min="7174" max="7174" width="9.28515625" style="16" bestFit="1" customWidth="1"/>
    <col min="7175" max="7175" width="10.42578125" style="16" bestFit="1" customWidth="1"/>
    <col min="7176" max="7176" width="10.28515625" style="16" bestFit="1" customWidth="1"/>
    <col min="7177" max="7177" width="7.140625" style="16" bestFit="1" customWidth="1"/>
    <col min="7178" max="7178" width="9.5703125" style="16" customWidth="1"/>
    <col min="7179" max="7180" width="7" style="16" bestFit="1" customWidth="1"/>
    <col min="7181" max="7181" width="6.85546875" style="16" bestFit="1" customWidth="1"/>
    <col min="7182" max="7182" width="7" style="16" bestFit="1" customWidth="1"/>
    <col min="7183" max="7183" width="8"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8.5703125" style="16" customWidth="1"/>
    <col min="7427" max="7427" width="11.140625" style="16" bestFit="1" customWidth="1"/>
    <col min="7428" max="7428" width="6.7109375" style="16" bestFit="1" customWidth="1"/>
    <col min="7429" max="7429" width="8.5703125" style="16" bestFit="1" customWidth="1"/>
    <col min="7430" max="7430" width="9.28515625" style="16" bestFit="1" customWidth="1"/>
    <col min="7431" max="7431" width="10.42578125" style="16" bestFit="1" customWidth="1"/>
    <col min="7432" max="7432" width="10.28515625" style="16" bestFit="1" customWidth="1"/>
    <col min="7433" max="7433" width="7.140625" style="16" bestFit="1" customWidth="1"/>
    <col min="7434" max="7434" width="9.5703125" style="16" customWidth="1"/>
    <col min="7435" max="7436" width="7" style="16" bestFit="1" customWidth="1"/>
    <col min="7437" max="7437" width="6.85546875" style="16" bestFit="1" customWidth="1"/>
    <col min="7438" max="7438" width="7" style="16" bestFit="1" customWidth="1"/>
    <col min="7439" max="7439" width="8"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8.5703125" style="16" customWidth="1"/>
    <col min="7683" max="7683" width="11.140625" style="16" bestFit="1" customWidth="1"/>
    <col min="7684" max="7684" width="6.7109375" style="16" bestFit="1" customWidth="1"/>
    <col min="7685" max="7685" width="8.5703125" style="16" bestFit="1" customWidth="1"/>
    <col min="7686" max="7686" width="9.28515625" style="16" bestFit="1" customWidth="1"/>
    <col min="7687" max="7687" width="10.42578125" style="16" bestFit="1" customWidth="1"/>
    <col min="7688" max="7688" width="10.28515625" style="16" bestFit="1" customWidth="1"/>
    <col min="7689" max="7689" width="7.140625" style="16" bestFit="1" customWidth="1"/>
    <col min="7690" max="7690" width="9.5703125" style="16" customWidth="1"/>
    <col min="7691" max="7692" width="7" style="16" bestFit="1" customWidth="1"/>
    <col min="7693" max="7693" width="6.85546875" style="16" bestFit="1" customWidth="1"/>
    <col min="7694" max="7694" width="7" style="16" bestFit="1" customWidth="1"/>
    <col min="7695" max="7695" width="8"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8.5703125" style="16" customWidth="1"/>
    <col min="7939" max="7939" width="11.140625" style="16" bestFit="1" customWidth="1"/>
    <col min="7940" max="7940" width="6.7109375" style="16" bestFit="1" customWidth="1"/>
    <col min="7941" max="7941" width="8.5703125" style="16" bestFit="1" customWidth="1"/>
    <col min="7942" max="7942" width="9.28515625" style="16" bestFit="1" customWidth="1"/>
    <col min="7943" max="7943" width="10.42578125" style="16" bestFit="1" customWidth="1"/>
    <col min="7944" max="7944" width="10.28515625" style="16" bestFit="1" customWidth="1"/>
    <col min="7945" max="7945" width="7.140625" style="16" bestFit="1" customWidth="1"/>
    <col min="7946" max="7946" width="9.5703125" style="16" customWidth="1"/>
    <col min="7947" max="7948" width="7" style="16" bestFit="1" customWidth="1"/>
    <col min="7949" max="7949" width="6.85546875" style="16" bestFit="1" customWidth="1"/>
    <col min="7950" max="7950" width="7" style="16" bestFit="1" customWidth="1"/>
    <col min="7951" max="7951" width="8"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8.5703125" style="16" customWidth="1"/>
    <col min="8195" max="8195" width="11.140625" style="16" bestFit="1" customWidth="1"/>
    <col min="8196" max="8196" width="6.7109375" style="16" bestFit="1" customWidth="1"/>
    <col min="8197" max="8197" width="8.5703125" style="16" bestFit="1" customWidth="1"/>
    <col min="8198" max="8198" width="9.28515625" style="16" bestFit="1" customWidth="1"/>
    <col min="8199" max="8199" width="10.42578125" style="16" bestFit="1" customWidth="1"/>
    <col min="8200" max="8200" width="10.28515625" style="16" bestFit="1" customWidth="1"/>
    <col min="8201" max="8201" width="7.140625" style="16" bestFit="1" customWidth="1"/>
    <col min="8202" max="8202" width="9.5703125" style="16" customWidth="1"/>
    <col min="8203" max="8204" width="7" style="16" bestFit="1" customWidth="1"/>
    <col min="8205" max="8205" width="6.85546875" style="16" bestFit="1" customWidth="1"/>
    <col min="8206" max="8206" width="7" style="16" bestFit="1" customWidth="1"/>
    <col min="8207" max="8207" width="8"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8.5703125" style="16" customWidth="1"/>
    <col min="8451" max="8451" width="11.140625" style="16" bestFit="1" customWidth="1"/>
    <col min="8452" max="8452" width="6.7109375" style="16" bestFit="1" customWidth="1"/>
    <col min="8453" max="8453" width="8.5703125" style="16" bestFit="1" customWidth="1"/>
    <col min="8454" max="8454" width="9.28515625" style="16" bestFit="1" customWidth="1"/>
    <col min="8455" max="8455" width="10.42578125" style="16" bestFit="1" customWidth="1"/>
    <col min="8456" max="8456" width="10.28515625" style="16" bestFit="1" customWidth="1"/>
    <col min="8457" max="8457" width="7.140625" style="16" bestFit="1" customWidth="1"/>
    <col min="8458" max="8458" width="9.5703125" style="16" customWidth="1"/>
    <col min="8459" max="8460" width="7" style="16" bestFit="1" customWidth="1"/>
    <col min="8461" max="8461" width="6.85546875" style="16" bestFit="1" customWidth="1"/>
    <col min="8462" max="8462" width="7" style="16" bestFit="1" customWidth="1"/>
    <col min="8463" max="8463" width="8"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8.5703125" style="16" customWidth="1"/>
    <col min="8707" max="8707" width="11.140625" style="16" bestFit="1" customWidth="1"/>
    <col min="8708" max="8708" width="6.7109375" style="16" bestFit="1" customWidth="1"/>
    <col min="8709" max="8709" width="8.5703125" style="16" bestFit="1" customWidth="1"/>
    <col min="8710" max="8710" width="9.28515625" style="16" bestFit="1" customWidth="1"/>
    <col min="8711" max="8711" width="10.42578125" style="16" bestFit="1" customWidth="1"/>
    <col min="8712" max="8712" width="10.28515625" style="16" bestFit="1" customWidth="1"/>
    <col min="8713" max="8713" width="7.140625" style="16" bestFit="1" customWidth="1"/>
    <col min="8714" max="8714" width="9.5703125" style="16" customWidth="1"/>
    <col min="8715" max="8716" width="7" style="16" bestFit="1" customWidth="1"/>
    <col min="8717" max="8717" width="6.85546875" style="16" bestFit="1" customWidth="1"/>
    <col min="8718" max="8718" width="7" style="16" bestFit="1" customWidth="1"/>
    <col min="8719" max="8719" width="8"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8.5703125" style="16" customWidth="1"/>
    <col min="8963" max="8963" width="11.140625" style="16" bestFit="1" customWidth="1"/>
    <col min="8964" max="8964" width="6.7109375" style="16" bestFit="1" customWidth="1"/>
    <col min="8965" max="8965" width="8.5703125" style="16" bestFit="1" customWidth="1"/>
    <col min="8966" max="8966" width="9.28515625" style="16" bestFit="1" customWidth="1"/>
    <col min="8967" max="8967" width="10.42578125" style="16" bestFit="1" customWidth="1"/>
    <col min="8968" max="8968" width="10.28515625" style="16" bestFit="1" customWidth="1"/>
    <col min="8969" max="8969" width="7.140625" style="16" bestFit="1" customWidth="1"/>
    <col min="8970" max="8970" width="9.5703125" style="16" customWidth="1"/>
    <col min="8971" max="8972" width="7" style="16" bestFit="1" customWidth="1"/>
    <col min="8973" max="8973" width="6.85546875" style="16" bestFit="1" customWidth="1"/>
    <col min="8974" max="8974" width="7" style="16" bestFit="1" customWidth="1"/>
    <col min="8975" max="8975" width="8"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8.5703125" style="16" customWidth="1"/>
    <col min="9219" max="9219" width="11.140625" style="16" bestFit="1" customWidth="1"/>
    <col min="9220" max="9220" width="6.7109375" style="16" bestFit="1" customWidth="1"/>
    <col min="9221" max="9221" width="8.5703125" style="16" bestFit="1" customWidth="1"/>
    <col min="9222" max="9222" width="9.28515625" style="16" bestFit="1" customWidth="1"/>
    <col min="9223" max="9223" width="10.42578125" style="16" bestFit="1" customWidth="1"/>
    <col min="9224" max="9224" width="10.28515625" style="16" bestFit="1" customWidth="1"/>
    <col min="9225" max="9225" width="7.140625" style="16" bestFit="1" customWidth="1"/>
    <col min="9226" max="9226" width="9.5703125" style="16" customWidth="1"/>
    <col min="9227" max="9228" width="7" style="16" bestFit="1" customWidth="1"/>
    <col min="9229" max="9229" width="6.85546875" style="16" bestFit="1" customWidth="1"/>
    <col min="9230" max="9230" width="7" style="16" bestFit="1" customWidth="1"/>
    <col min="9231" max="9231" width="8"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8.5703125" style="16" customWidth="1"/>
    <col min="9475" max="9475" width="11.140625" style="16" bestFit="1" customWidth="1"/>
    <col min="9476" max="9476" width="6.7109375" style="16" bestFit="1" customWidth="1"/>
    <col min="9477" max="9477" width="8.5703125" style="16" bestFit="1" customWidth="1"/>
    <col min="9478" max="9478" width="9.28515625" style="16" bestFit="1" customWidth="1"/>
    <col min="9479" max="9479" width="10.42578125" style="16" bestFit="1" customWidth="1"/>
    <col min="9480" max="9480" width="10.28515625" style="16" bestFit="1" customWidth="1"/>
    <col min="9481" max="9481" width="7.140625" style="16" bestFit="1" customWidth="1"/>
    <col min="9482" max="9482" width="9.5703125" style="16" customWidth="1"/>
    <col min="9483" max="9484" width="7" style="16" bestFit="1" customWidth="1"/>
    <col min="9485" max="9485" width="6.85546875" style="16" bestFit="1" customWidth="1"/>
    <col min="9486" max="9486" width="7" style="16" bestFit="1" customWidth="1"/>
    <col min="9487" max="9487" width="8"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8.5703125" style="16" customWidth="1"/>
    <col min="9731" max="9731" width="11.140625" style="16" bestFit="1" customWidth="1"/>
    <col min="9732" max="9732" width="6.7109375" style="16" bestFit="1" customWidth="1"/>
    <col min="9733" max="9733" width="8.5703125" style="16" bestFit="1" customWidth="1"/>
    <col min="9734" max="9734" width="9.28515625" style="16" bestFit="1" customWidth="1"/>
    <col min="9735" max="9735" width="10.42578125" style="16" bestFit="1" customWidth="1"/>
    <col min="9736" max="9736" width="10.28515625" style="16" bestFit="1" customWidth="1"/>
    <col min="9737" max="9737" width="7.140625" style="16" bestFit="1" customWidth="1"/>
    <col min="9738" max="9738" width="9.5703125" style="16" customWidth="1"/>
    <col min="9739" max="9740" width="7" style="16" bestFit="1" customWidth="1"/>
    <col min="9741" max="9741" width="6.85546875" style="16" bestFit="1" customWidth="1"/>
    <col min="9742" max="9742" width="7" style="16" bestFit="1" customWidth="1"/>
    <col min="9743" max="9743" width="8"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8.5703125" style="16" customWidth="1"/>
    <col min="9987" max="9987" width="11.140625" style="16" bestFit="1" customWidth="1"/>
    <col min="9988" max="9988" width="6.7109375" style="16" bestFit="1" customWidth="1"/>
    <col min="9989" max="9989" width="8.5703125" style="16" bestFit="1" customWidth="1"/>
    <col min="9990" max="9990" width="9.28515625" style="16" bestFit="1" customWidth="1"/>
    <col min="9991" max="9991" width="10.42578125" style="16" bestFit="1" customWidth="1"/>
    <col min="9992" max="9992" width="10.28515625" style="16" bestFit="1" customWidth="1"/>
    <col min="9993" max="9993" width="7.140625" style="16" bestFit="1" customWidth="1"/>
    <col min="9994" max="9994" width="9.5703125" style="16" customWidth="1"/>
    <col min="9995" max="9996" width="7" style="16" bestFit="1" customWidth="1"/>
    <col min="9997" max="9997" width="6.85546875" style="16" bestFit="1" customWidth="1"/>
    <col min="9998" max="9998" width="7" style="16" bestFit="1" customWidth="1"/>
    <col min="9999" max="9999" width="8"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8.5703125" style="16" customWidth="1"/>
    <col min="10243" max="10243" width="11.140625" style="16" bestFit="1" customWidth="1"/>
    <col min="10244" max="10244" width="6.7109375" style="16" bestFit="1" customWidth="1"/>
    <col min="10245" max="10245" width="8.5703125" style="16" bestFit="1" customWidth="1"/>
    <col min="10246" max="10246" width="9.28515625" style="16" bestFit="1" customWidth="1"/>
    <col min="10247" max="10247" width="10.42578125" style="16" bestFit="1" customWidth="1"/>
    <col min="10248" max="10248" width="10.28515625" style="16" bestFit="1" customWidth="1"/>
    <col min="10249" max="10249" width="7.140625" style="16" bestFit="1" customWidth="1"/>
    <col min="10250" max="10250" width="9.5703125" style="16" customWidth="1"/>
    <col min="10251" max="10252" width="7" style="16" bestFit="1" customWidth="1"/>
    <col min="10253" max="10253" width="6.85546875" style="16" bestFit="1" customWidth="1"/>
    <col min="10254" max="10254" width="7" style="16" bestFit="1" customWidth="1"/>
    <col min="10255" max="10255" width="8"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8.5703125" style="16" customWidth="1"/>
    <col min="10499" max="10499" width="11.140625" style="16" bestFit="1" customWidth="1"/>
    <col min="10500" max="10500" width="6.7109375" style="16" bestFit="1" customWidth="1"/>
    <col min="10501" max="10501" width="8.5703125" style="16" bestFit="1" customWidth="1"/>
    <col min="10502" max="10502" width="9.28515625" style="16" bestFit="1" customWidth="1"/>
    <col min="10503" max="10503" width="10.42578125" style="16" bestFit="1" customWidth="1"/>
    <col min="10504" max="10504" width="10.28515625" style="16" bestFit="1" customWidth="1"/>
    <col min="10505" max="10505" width="7.140625" style="16" bestFit="1" customWidth="1"/>
    <col min="10506" max="10506" width="9.5703125" style="16" customWidth="1"/>
    <col min="10507" max="10508" width="7" style="16" bestFit="1" customWidth="1"/>
    <col min="10509" max="10509" width="6.85546875" style="16" bestFit="1" customWidth="1"/>
    <col min="10510" max="10510" width="7" style="16" bestFit="1" customWidth="1"/>
    <col min="10511" max="10511" width="8"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8.5703125" style="16" customWidth="1"/>
    <col min="10755" max="10755" width="11.140625" style="16" bestFit="1" customWidth="1"/>
    <col min="10756" max="10756" width="6.7109375" style="16" bestFit="1" customWidth="1"/>
    <col min="10757" max="10757" width="8.5703125" style="16" bestFit="1" customWidth="1"/>
    <col min="10758" max="10758" width="9.28515625" style="16" bestFit="1" customWidth="1"/>
    <col min="10759" max="10759" width="10.42578125" style="16" bestFit="1" customWidth="1"/>
    <col min="10760" max="10760" width="10.28515625" style="16" bestFit="1" customWidth="1"/>
    <col min="10761" max="10761" width="7.140625" style="16" bestFit="1" customWidth="1"/>
    <col min="10762" max="10762" width="9.5703125" style="16" customWidth="1"/>
    <col min="10763" max="10764" width="7" style="16" bestFit="1" customWidth="1"/>
    <col min="10765" max="10765" width="6.85546875" style="16" bestFit="1" customWidth="1"/>
    <col min="10766" max="10766" width="7" style="16" bestFit="1" customWidth="1"/>
    <col min="10767" max="10767" width="8"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8.5703125" style="16" customWidth="1"/>
    <col min="11011" max="11011" width="11.140625" style="16" bestFit="1" customWidth="1"/>
    <col min="11012" max="11012" width="6.7109375" style="16" bestFit="1" customWidth="1"/>
    <col min="11013" max="11013" width="8.5703125" style="16" bestFit="1" customWidth="1"/>
    <col min="11014" max="11014" width="9.28515625" style="16" bestFit="1" customWidth="1"/>
    <col min="11015" max="11015" width="10.42578125" style="16" bestFit="1" customWidth="1"/>
    <col min="11016" max="11016" width="10.28515625" style="16" bestFit="1" customWidth="1"/>
    <col min="11017" max="11017" width="7.140625" style="16" bestFit="1" customWidth="1"/>
    <col min="11018" max="11018" width="9.5703125" style="16" customWidth="1"/>
    <col min="11019" max="11020" width="7" style="16" bestFit="1" customWidth="1"/>
    <col min="11021" max="11021" width="6.85546875" style="16" bestFit="1" customWidth="1"/>
    <col min="11022" max="11022" width="7" style="16" bestFit="1" customWidth="1"/>
    <col min="11023" max="11023" width="8"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8.5703125" style="16" customWidth="1"/>
    <col min="11267" max="11267" width="11.140625" style="16" bestFit="1" customWidth="1"/>
    <col min="11268" max="11268" width="6.7109375" style="16" bestFit="1" customWidth="1"/>
    <col min="11269" max="11269" width="8.5703125" style="16" bestFit="1" customWidth="1"/>
    <col min="11270" max="11270" width="9.28515625" style="16" bestFit="1" customWidth="1"/>
    <col min="11271" max="11271" width="10.42578125" style="16" bestFit="1" customWidth="1"/>
    <col min="11272" max="11272" width="10.28515625" style="16" bestFit="1" customWidth="1"/>
    <col min="11273" max="11273" width="7.140625" style="16" bestFit="1" customWidth="1"/>
    <col min="11274" max="11274" width="9.5703125" style="16" customWidth="1"/>
    <col min="11275" max="11276" width="7" style="16" bestFit="1" customWidth="1"/>
    <col min="11277" max="11277" width="6.85546875" style="16" bestFit="1" customWidth="1"/>
    <col min="11278" max="11278" width="7" style="16" bestFit="1" customWidth="1"/>
    <col min="11279" max="11279" width="8"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8.5703125" style="16" customWidth="1"/>
    <col min="11523" max="11523" width="11.140625" style="16" bestFit="1" customWidth="1"/>
    <col min="11524" max="11524" width="6.7109375" style="16" bestFit="1" customWidth="1"/>
    <col min="11525" max="11525" width="8.5703125" style="16" bestFit="1" customWidth="1"/>
    <col min="11526" max="11526" width="9.28515625" style="16" bestFit="1" customWidth="1"/>
    <col min="11527" max="11527" width="10.42578125" style="16" bestFit="1" customWidth="1"/>
    <col min="11528" max="11528" width="10.28515625" style="16" bestFit="1" customWidth="1"/>
    <col min="11529" max="11529" width="7.140625" style="16" bestFit="1" customWidth="1"/>
    <col min="11530" max="11530" width="9.5703125" style="16" customWidth="1"/>
    <col min="11531" max="11532" width="7" style="16" bestFit="1" customWidth="1"/>
    <col min="11533" max="11533" width="6.85546875" style="16" bestFit="1" customWidth="1"/>
    <col min="11534" max="11534" width="7" style="16" bestFit="1" customWidth="1"/>
    <col min="11535" max="11535" width="8"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8.5703125" style="16" customWidth="1"/>
    <col min="11779" max="11779" width="11.140625" style="16" bestFit="1" customWidth="1"/>
    <col min="11780" max="11780" width="6.7109375" style="16" bestFit="1" customWidth="1"/>
    <col min="11781" max="11781" width="8.5703125" style="16" bestFit="1" customWidth="1"/>
    <col min="11782" max="11782" width="9.28515625" style="16" bestFit="1" customWidth="1"/>
    <col min="11783" max="11783" width="10.42578125" style="16" bestFit="1" customWidth="1"/>
    <col min="11784" max="11784" width="10.28515625" style="16" bestFit="1" customWidth="1"/>
    <col min="11785" max="11785" width="7.140625" style="16" bestFit="1" customWidth="1"/>
    <col min="11786" max="11786" width="9.5703125" style="16" customWidth="1"/>
    <col min="11787" max="11788" width="7" style="16" bestFit="1" customWidth="1"/>
    <col min="11789" max="11789" width="6.85546875" style="16" bestFit="1" customWidth="1"/>
    <col min="11790" max="11790" width="7" style="16" bestFit="1" customWidth="1"/>
    <col min="11791" max="11791" width="8"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8.5703125" style="16" customWidth="1"/>
    <col min="12035" max="12035" width="11.140625" style="16" bestFit="1" customWidth="1"/>
    <col min="12036" max="12036" width="6.7109375" style="16" bestFit="1" customWidth="1"/>
    <col min="12037" max="12037" width="8.5703125" style="16" bestFit="1" customWidth="1"/>
    <col min="12038" max="12038" width="9.28515625" style="16" bestFit="1" customWidth="1"/>
    <col min="12039" max="12039" width="10.42578125" style="16" bestFit="1" customWidth="1"/>
    <col min="12040" max="12040" width="10.28515625" style="16" bestFit="1" customWidth="1"/>
    <col min="12041" max="12041" width="7.140625" style="16" bestFit="1" customWidth="1"/>
    <col min="12042" max="12042" width="9.5703125" style="16" customWidth="1"/>
    <col min="12043" max="12044" width="7" style="16" bestFit="1" customWidth="1"/>
    <col min="12045" max="12045" width="6.85546875" style="16" bestFit="1" customWidth="1"/>
    <col min="12046" max="12046" width="7" style="16" bestFit="1" customWidth="1"/>
    <col min="12047" max="12047" width="8"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8.5703125" style="16" customWidth="1"/>
    <col min="12291" max="12291" width="11.140625" style="16" bestFit="1" customWidth="1"/>
    <col min="12292" max="12292" width="6.7109375" style="16" bestFit="1" customWidth="1"/>
    <col min="12293" max="12293" width="8.5703125" style="16" bestFit="1" customWidth="1"/>
    <col min="12294" max="12294" width="9.28515625" style="16" bestFit="1" customWidth="1"/>
    <col min="12295" max="12295" width="10.42578125" style="16" bestFit="1" customWidth="1"/>
    <col min="12296" max="12296" width="10.28515625" style="16" bestFit="1" customWidth="1"/>
    <col min="12297" max="12297" width="7.140625" style="16" bestFit="1" customWidth="1"/>
    <col min="12298" max="12298" width="9.5703125" style="16" customWidth="1"/>
    <col min="12299" max="12300" width="7" style="16" bestFit="1" customWidth="1"/>
    <col min="12301" max="12301" width="6.85546875" style="16" bestFit="1" customWidth="1"/>
    <col min="12302" max="12302" width="7" style="16" bestFit="1" customWidth="1"/>
    <col min="12303" max="12303" width="8"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8.5703125" style="16" customWidth="1"/>
    <col min="12547" max="12547" width="11.140625" style="16" bestFit="1" customWidth="1"/>
    <col min="12548" max="12548" width="6.7109375" style="16" bestFit="1" customWidth="1"/>
    <col min="12549" max="12549" width="8.5703125" style="16" bestFit="1" customWidth="1"/>
    <col min="12550" max="12550" width="9.28515625" style="16" bestFit="1" customWidth="1"/>
    <col min="12551" max="12551" width="10.42578125" style="16" bestFit="1" customWidth="1"/>
    <col min="12552" max="12552" width="10.28515625" style="16" bestFit="1" customWidth="1"/>
    <col min="12553" max="12553" width="7.140625" style="16" bestFit="1" customWidth="1"/>
    <col min="12554" max="12554" width="9.5703125" style="16" customWidth="1"/>
    <col min="12555" max="12556" width="7" style="16" bestFit="1" customWidth="1"/>
    <col min="12557" max="12557" width="6.85546875" style="16" bestFit="1" customWidth="1"/>
    <col min="12558" max="12558" width="7" style="16" bestFit="1" customWidth="1"/>
    <col min="12559" max="12559" width="8"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8.5703125" style="16" customWidth="1"/>
    <col min="12803" max="12803" width="11.140625" style="16" bestFit="1" customWidth="1"/>
    <col min="12804" max="12804" width="6.7109375" style="16" bestFit="1" customWidth="1"/>
    <col min="12805" max="12805" width="8.5703125" style="16" bestFit="1" customWidth="1"/>
    <col min="12806" max="12806" width="9.28515625" style="16" bestFit="1" customWidth="1"/>
    <col min="12807" max="12807" width="10.42578125" style="16" bestFit="1" customWidth="1"/>
    <col min="12808" max="12808" width="10.28515625" style="16" bestFit="1" customWidth="1"/>
    <col min="12809" max="12809" width="7.140625" style="16" bestFit="1" customWidth="1"/>
    <col min="12810" max="12810" width="9.5703125" style="16" customWidth="1"/>
    <col min="12811" max="12812" width="7" style="16" bestFit="1" customWidth="1"/>
    <col min="12813" max="12813" width="6.85546875" style="16" bestFit="1" customWidth="1"/>
    <col min="12814" max="12814" width="7" style="16" bestFit="1" customWidth="1"/>
    <col min="12815" max="12815" width="8"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8.5703125" style="16" customWidth="1"/>
    <col min="13059" max="13059" width="11.140625" style="16" bestFit="1" customWidth="1"/>
    <col min="13060" max="13060" width="6.7109375" style="16" bestFit="1" customWidth="1"/>
    <col min="13061" max="13061" width="8.5703125" style="16" bestFit="1" customWidth="1"/>
    <col min="13062" max="13062" width="9.28515625" style="16" bestFit="1" customWidth="1"/>
    <col min="13063" max="13063" width="10.42578125" style="16" bestFit="1" customWidth="1"/>
    <col min="13064" max="13064" width="10.28515625" style="16" bestFit="1" customWidth="1"/>
    <col min="13065" max="13065" width="7.140625" style="16" bestFit="1" customWidth="1"/>
    <col min="13066" max="13066" width="9.5703125" style="16" customWidth="1"/>
    <col min="13067" max="13068" width="7" style="16" bestFit="1" customWidth="1"/>
    <col min="13069" max="13069" width="6.85546875" style="16" bestFit="1" customWidth="1"/>
    <col min="13070" max="13070" width="7" style="16" bestFit="1" customWidth="1"/>
    <col min="13071" max="13071" width="8"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8.5703125" style="16" customWidth="1"/>
    <col min="13315" max="13315" width="11.140625" style="16" bestFit="1" customWidth="1"/>
    <col min="13316" max="13316" width="6.7109375" style="16" bestFit="1" customWidth="1"/>
    <col min="13317" max="13317" width="8.5703125" style="16" bestFit="1" customWidth="1"/>
    <col min="13318" max="13318" width="9.28515625" style="16" bestFit="1" customWidth="1"/>
    <col min="13319" max="13319" width="10.42578125" style="16" bestFit="1" customWidth="1"/>
    <col min="13320" max="13320" width="10.28515625" style="16" bestFit="1" customWidth="1"/>
    <col min="13321" max="13321" width="7.140625" style="16" bestFit="1" customWidth="1"/>
    <col min="13322" max="13322" width="9.5703125" style="16" customWidth="1"/>
    <col min="13323" max="13324" width="7" style="16" bestFit="1" customWidth="1"/>
    <col min="13325" max="13325" width="6.85546875" style="16" bestFit="1" customWidth="1"/>
    <col min="13326" max="13326" width="7" style="16" bestFit="1" customWidth="1"/>
    <col min="13327" max="13327" width="8"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8.5703125" style="16" customWidth="1"/>
    <col min="13571" max="13571" width="11.140625" style="16" bestFit="1" customWidth="1"/>
    <col min="13572" max="13572" width="6.7109375" style="16" bestFit="1" customWidth="1"/>
    <col min="13573" max="13573" width="8.5703125" style="16" bestFit="1" customWidth="1"/>
    <col min="13574" max="13574" width="9.28515625" style="16" bestFit="1" customWidth="1"/>
    <col min="13575" max="13575" width="10.42578125" style="16" bestFit="1" customWidth="1"/>
    <col min="13576" max="13576" width="10.28515625" style="16" bestFit="1" customWidth="1"/>
    <col min="13577" max="13577" width="7.140625" style="16" bestFit="1" customWidth="1"/>
    <col min="13578" max="13578" width="9.5703125" style="16" customWidth="1"/>
    <col min="13579" max="13580" width="7" style="16" bestFit="1" customWidth="1"/>
    <col min="13581" max="13581" width="6.85546875" style="16" bestFit="1" customWidth="1"/>
    <col min="13582" max="13582" width="7" style="16" bestFit="1" customWidth="1"/>
    <col min="13583" max="13583" width="8"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8.5703125" style="16" customWidth="1"/>
    <col min="13827" max="13827" width="11.140625" style="16" bestFit="1" customWidth="1"/>
    <col min="13828" max="13828" width="6.7109375" style="16" bestFit="1" customWidth="1"/>
    <col min="13829" max="13829" width="8.5703125" style="16" bestFit="1" customWidth="1"/>
    <col min="13830" max="13830" width="9.28515625" style="16" bestFit="1" customWidth="1"/>
    <col min="13831" max="13831" width="10.42578125" style="16" bestFit="1" customWidth="1"/>
    <col min="13832" max="13832" width="10.28515625" style="16" bestFit="1" customWidth="1"/>
    <col min="13833" max="13833" width="7.140625" style="16" bestFit="1" customWidth="1"/>
    <col min="13834" max="13834" width="9.5703125" style="16" customWidth="1"/>
    <col min="13835" max="13836" width="7" style="16" bestFit="1" customWidth="1"/>
    <col min="13837" max="13837" width="6.85546875" style="16" bestFit="1" customWidth="1"/>
    <col min="13838" max="13838" width="7" style="16" bestFit="1" customWidth="1"/>
    <col min="13839" max="13839" width="8"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8.5703125" style="16" customWidth="1"/>
    <col min="14083" max="14083" width="11.140625" style="16" bestFit="1" customWidth="1"/>
    <col min="14084" max="14084" width="6.7109375" style="16" bestFit="1" customWidth="1"/>
    <col min="14085" max="14085" width="8.5703125" style="16" bestFit="1" customWidth="1"/>
    <col min="14086" max="14086" width="9.28515625" style="16" bestFit="1" customWidth="1"/>
    <col min="14087" max="14087" width="10.42578125" style="16" bestFit="1" customWidth="1"/>
    <col min="14088" max="14088" width="10.28515625" style="16" bestFit="1" customWidth="1"/>
    <col min="14089" max="14089" width="7.140625" style="16" bestFit="1" customWidth="1"/>
    <col min="14090" max="14090" width="9.5703125" style="16" customWidth="1"/>
    <col min="14091" max="14092" width="7" style="16" bestFit="1" customWidth="1"/>
    <col min="14093" max="14093" width="6.85546875" style="16" bestFit="1" customWidth="1"/>
    <col min="14094" max="14094" width="7" style="16" bestFit="1" customWidth="1"/>
    <col min="14095" max="14095" width="8"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8.5703125" style="16" customWidth="1"/>
    <col min="14339" max="14339" width="11.140625" style="16" bestFit="1" customWidth="1"/>
    <col min="14340" max="14340" width="6.7109375" style="16" bestFit="1" customWidth="1"/>
    <col min="14341" max="14341" width="8.5703125" style="16" bestFit="1" customWidth="1"/>
    <col min="14342" max="14342" width="9.28515625" style="16" bestFit="1" customWidth="1"/>
    <col min="14343" max="14343" width="10.42578125" style="16" bestFit="1" customWidth="1"/>
    <col min="14344" max="14344" width="10.28515625" style="16" bestFit="1" customWidth="1"/>
    <col min="14345" max="14345" width="7.140625" style="16" bestFit="1" customWidth="1"/>
    <col min="14346" max="14346" width="9.5703125" style="16" customWidth="1"/>
    <col min="14347" max="14348" width="7" style="16" bestFit="1" customWidth="1"/>
    <col min="14349" max="14349" width="6.85546875" style="16" bestFit="1" customWidth="1"/>
    <col min="14350" max="14350" width="7" style="16" bestFit="1" customWidth="1"/>
    <col min="14351" max="14351" width="8"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8.5703125" style="16" customWidth="1"/>
    <col min="14595" max="14595" width="11.140625" style="16" bestFit="1" customWidth="1"/>
    <col min="14596" max="14596" width="6.7109375" style="16" bestFit="1" customWidth="1"/>
    <col min="14597" max="14597" width="8.5703125" style="16" bestFit="1" customWidth="1"/>
    <col min="14598" max="14598" width="9.28515625" style="16" bestFit="1" customWidth="1"/>
    <col min="14599" max="14599" width="10.42578125" style="16" bestFit="1" customWidth="1"/>
    <col min="14600" max="14600" width="10.28515625" style="16" bestFit="1" customWidth="1"/>
    <col min="14601" max="14601" width="7.140625" style="16" bestFit="1" customWidth="1"/>
    <col min="14602" max="14602" width="9.5703125" style="16" customWidth="1"/>
    <col min="14603" max="14604" width="7" style="16" bestFit="1" customWidth="1"/>
    <col min="14605" max="14605" width="6.85546875" style="16" bestFit="1" customWidth="1"/>
    <col min="14606" max="14606" width="7" style="16" bestFit="1" customWidth="1"/>
    <col min="14607" max="14607" width="8"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8.5703125" style="16" customWidth="1"/>
    <col min="14851" max="14851" width="11.140625" style="16" bestFit="1" customWidth="1"/>
    <col min="14852" max="14852" width="6.7109375" style="16" bestFit="1" customWidth="1"/>
    <col min="14853" max="14853" width="8.5703125" style="16" bestFit="1" customWidth="1"/>
    <col min="14854" max="14854" width="9.28515625" style="16" bestFit="1" customWidth="1"/>
    <col min="14855" max="14855" width="10.42578125" style="16" bestFit="1" customWidth="1"/>
    <col min="14856" max="14856" width="10.28515625" style="16" bestFit="1" customWidth="1"/>
    <col min="14857" max="14857" width="7.140625" style="16" bestFit="1" customWidth="1"/>
    <col min="14858" max="14858" width="9.5703125" style="16" customWidth="1"/>
    <col min="14859" max="14860" width="7" style="16" bestFit="1" customWidth="1"/>
    <col min="14861" max="14861" width="6.85546875" style="16" bestFit="1" customWidth="1"/>
    <col min="14862" max="14862" width="7" style="16" bestFit="1" customWidth="1"/>
    <col min="14863" max="14863" width="8"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8.5703125" style="16" customWidth="1"/>
    <col min="15107" max="15107" width="11.140625" style="16" bestFit="1" customWidth="1"/>
    <col min="15108" max="15108" width="6.7109375" style="16" bestFit="1" customWidth="1"/>
    <col min="15109" max="15109" width="8.5703125" style="16" bestFit="1" customWidth="1"/>
    <col min="15110" max="15110" width="9.28515625" style="16" bestFit="1" customWidth="1"/>
    <col min="15111" max="15111" width="10.42578125" style="16" bestFit="1" customWidth="1"/>
    <col min="15112" max="15112" width="10.28515625" style="16" bestFit="1" customWidth="1"/>
    <col min="15113" max="15113" width="7.140625" style="16" bestFit="1" customWidth="1"/>
    <col min="15114" max="15114" width="9.5703125" style="16" customWidth="1"/>
    <col min="15115" max="15116" width="7" style="16" bestFit="1" customWidth="1"/>
    <col min="15117" max="15117" width="6.85546875" style="16" bestFit="1" customWidth="1"/>
    <col min="15118" max="15118" width="7" style="16" bestFit="1" customWidth="1"/>
    <col min="15119" max="15119" width="8"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8.5703125" style="16" customWidth="1"/>
    <col min="15363" max="15363" width="11.140625" style="16" bestFit="1" customWidth="1"/>
    <col min="15364" max="15364" width="6.7109375" style="16" bestFit="1" customWidth="1"/>
    <col min="15365" max="15365" width="8.5703125" style="16" bestFit="1" customWidth="1"/>
    <col min="15366" max="15366" width="9.28515625" style="16" bestFit="1" customWidth="1"/>
    <col min="15367" max="15367" width="10.42578125" style="16" bestFit="1" customWidth="1"/>
    <col min="15368" max="15368" width="10.28515625" style="16" bestFit="1" customWidth="1"/>
    <col min="15369" max="15369" width="7.140625" style="16" bestFit="1" customWidth="1"/>
    <col min="15370" max="15370" width="9.5703125" style="16" customWidth="1"/>
    <col min="15371" max="15372" width="7" style="16" bestFit="1" customWidth="1"/>
    <col min="15373" max="15373" width="6.85546875" style="16" bestFit="1" customWidth="1"/>
    <col min="15374" max="15374" width="7" style="16" bestFit="1" customWidth="1"/>
    <col min="15375" max="15375" width="8"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8.5703125" style="16" customWidth="1"/>
    <col min="15619" max="15619" width="11.140625" style="16" bestFit="1" customWidth="1"/>
    <col min="15620" max="15620" width="6.7109375" style="16" bestFit="1" customWidth="1"/>
    <col min="15621" max="15621" width="8.5703125" style="16" bestFit="1" customWidth="1"/>
    <col min="15622" max="15622" width="9.28515625" style="16" bestFit="1" customWidth="1"/>
    <col min="15623" max="15623" width="10.42578125" style="16" bestFit="1" customWidth="1"/>
    <col min="15624" max="15624" width="10.28515625" style="16" bestFit="1" customWidth="1"/>
    <col min="15625" max="15625" width="7.140625" style="16" bestFit="1" customWidth="1"/>
    <col min="15626" max="15626" width="9.5703125" style="16" customWidth="1"/>
    <col min="15627" max="15628" width="7" style="16" bestFit="1" customWidth="1"/>
    <col min="15629" max="15629" width="6.85546875" style="16" bestFit="1" customWidth="1"/>
    <col min="15630" max="15630" width="7" style="16" bestFit="1" customWidth="1"/>
    <col min="15631" max="15631" width="8"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8.5703125" style="16" customWidth="1"/>
    <col min="15875" max="15875" width="11.140625" style="16" bestFit="1" customWidth="1"/>
    <col min="15876" max="15876" width="6.7109375" style="16" bestFit="1" customWidth="1"/>
    <col min="15877" max="15877" width="8.5703125" style="16" bestFit="1" customWidth="1"/>
    <col min="15878" max="15878" width="9.28515625" style="16" bestFit="1" customWidth="1"/>
    <col min="15879" max="15879" width="10.42578125" style="16" bestFit="1" customWidth="1"/>
    <col min="15880" max="15880" width="10.28515625" style="16" bestFit="1" customWidth="1"/>
    <col min="15881" max="15881" width="7.140625" style="16" bestFit="1" customWidth="1"/>
    <col min="15882" max="15882" width="9.5703125" style="16" customWidth="1"/>
    <col min="15883" max="15884" width="7" style="16" bestFit="1" customWidth="1"/>
    <col min="15885" max="15885" width="6.85546875" style="16" bestFit="1" customWidth="1"/>
    <col min="15886" max="15886" width="7" style="16" bestFit="1" customWidth="1"/>
    <col min="15887" max="15887" width="8"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8.5703125" style="16" customWidth="1"/>
    <col min="16131" max="16131" width="11.140625" style="16" bestFit="1" customWidth="1"/>
    <col min="16132" max="16132" width="6.7109375" style="16" bestFit="1" customWidth="1"/>
    <col min="16133" max="16133" width="8.5703125" style="16" bestFit="1" customWidth="1"/>
    <col min="16134" max="16134" width="9.28515625" style="16" bestFit="1" customWidth="1"/>
    <col min="16135" max="16135" width="10.42578125" style="16" bestFit="1" customWidth="1"/>
    <col min="16136" max="16136" width="10.28515625" style="16" bestFit="1" customWidth="1"/>
    <col min="16137" max="16137" width="7.140625" style="16" bestFit="1" customWidth="1"/>
    <col min="16138" max="16138" width="9.5703125" style="16" customWidth="1"/>
    <col min="16139" max="16140" width="7" style="16" bestFit="1" customWidth="1"/>
    <col min="16141" max="16141" width="6.85546875" style="16" bestFit="1" customWidth="1"/>
    <col min="16142" max="16142" width="7" style="16" bestFit="1" customWidth="1"/>
    <col min="16143" max="16143" width="8"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67" t="s">
        <v>449</v>
      </c>
      <c r="B1" s="868"/>
      <c r="C1" s="868"/>
      <c r="D1" s="869"/>
      <c r="E1" s="868"/>
      <c r="F1" s="868"/>
      <c r="G1" s="867" t="s">
        <v>102</v>
      </c>
      <c r="H1" s="869"/>
      <c r="I1" s="869" t="s">
        <v>633</v>
      </c>
      <c r="J1" s="868"/>
      <c r="K1" s="868"/>
      <c r="L1" s="870"/>
      <c r="M1" s="870"/>
      <c r="N1" s="870"/>
      <c r="O1" s="870"/>
    </row>
    <row r="2" spans="1:15" s="1" customFormat="1" x14ac:dyDescent="0.2">
      <c r="A2" s="867" t="s">
        <v>103</v>
      </c>
      <c r="B2" s="868"/>
      <c r="C2" s="868"/>
      <c r="D2" s="869"/>
      <c r="E2" s="868"/>
      <c r="F2" s="868"/>
      <c r="G2" s="867" t="s">
        <v>104</v>
      </c>
      <c r="H2" s="869"/>
      <c r="I2" s="869" t="s">
        <v>105</v>
      </c>
      <c r="J2" s="868"/>
      <c r="K2" s="868"/>
      <c r="L2" s="870"/>
      <c r="M2" s="870"/>
      <c r="N2" s="870"/>
      <c r="O2" s="870"/>
    </row>
    <row r="3" spans="1:15" s="1" customFormat="1" x14ac:dyDescent="0.2">
      <c r="A3" s="867" t="s">
        <v>106</v>
      </c>
      <c r="B3" s="868"/>
      <c r="C3" s="868"/>
      <c r="D3" s="881">
        <v>23478</v>
      </c>
      <c r="E3" s="882"/>
      <c r="F3" s="882"/>
      <c r="G3" s="867" t="s">
        <v>107</v>
      </c>
      <c r="H3" s="869"/>
      <c r="I3" s="869" t="s">
        <v>108</v>
      </c>
      <c r="J3" s="868"/>
      <c r="K3" s="868"/>
      <c r="L3" s="870"/>
      <c r="M3" s="870"/>
      <c r="N3" s="870"/>
      <c r="O3" s="870"/>
    </row>
    <row r="4" spans="1:15" s="1" customFormat="1" x14ac:dyDescent="0.2">
      <c r="A4" s="867" t="s">
        <v>109</v>
      </c>
      <c r="B4" s="868"/>
      <c r="C4" s="868"/>
      <c r="D4" s="883"/>
      <c r="E4" s="868"/>
      <c r="F4" s="868"/>
      <c r="G4" s="867" t="s">
        <v>110</v>
      </c>
      <c r="H4" s="869"/>
      <c r="I4" s="869" t="s">
        <v>635</v>
      </c>
      <c r="J4" s="868"/>
      <c r="K4" s="868"/>
      <c r="L4" s="870"/>
      <c r="M4" s="870"/>
      <c r="N4" s="870"/>
      <c r="O4" s="870"/>
    </row>
    <row r="5" spans="1:15" s="1" customFormat="1" x14ac:dyDescent="0.2">
      <c r="A5" s="867" t="s">
        <v>112</v>
      </c>
      <c r="B5" s="868"/>
      <c r="C5" s="868"/>
      <c r="D5" s="869"/>
      <c r="E5" s="868"/>
      <c r="F5" s="868"/>
      <c r="G5" s="867"/>
      <c r="H5" s="868"/>
      <c r="I5" s="869" t="s">
        <v>113</v>
      </c>
      <c r="J5" s="868"/>
      <c r="K5" s="868"/>
      <c r="L5" s="870"/>
      <c r="M5" s="870"/>
      <c r="N5" s="870"/>
      <c r="O5" s="870"/>
    </row>
    <row r="6" spans="1:15" s="1" customFormat="1" x14ac:dyDescent="0.2">
      <c r="A6" s="871" t="s">
        <v>114</v>
      </c>
      <c r="B6" s="872"/>
      <c r="C6" s="872"/>
      <c r="D6" s="868" t="s">
        <v>571</v>
      </c>
      <c r="E6" s="868"/>
      <c r="F6" s="868"/>
      <c r="G6" s="871" t="s">
        <v>115</v>
      </c>
      <c r="H6" s="871"/>
      <c r="I6" s="2" t="s">
        <v>116</v>
      </c>
      <c r="J6" s="873" t="s">
        <v>1085</v>
      </c>
      <c r="K6" s="873"/>
      <c r="L6" s="873"/>
      <c r="M6" s="873"/>
      <c r="N6" s="873"/>
      <c r="O6" s="874"/>
    </row>
    <row r="7" spans="1:15" s="1" customFormat="1" ht="13.5" thickBot="1" x14ac:dyDescent="0.25">
      <c r="A7" s="3"/>
      <c r="B7" s="4"/>
      <c r="C7" s="5"/>
      <c r="D7" s="6"/>
      <c r="E7" s="6"/>
      <c r="F7" s="6"/>
      <c r="G7" s="6"/>
      <c r="H7" s="6"/>
      <c r="I7" s="6"/>
      <c r="J7" s="7"/>
      <c r="K7" s="8"/>
      <c r="L7" s="875" t="s">
        <v>223</v>
      </c>
      <c r="M7" s="875"/>
      <c r="N7" s="875"/>
      <c r="O7" s="875"/>
    </row>
    <row r="8" spans="1:15" s="11" customFormat="1" x14ac:dyDescent="0.2">
      <c r="A8" s="876" t="str">
        <f>I1</f>
        <v>Mr. Sanjay S. Wadikar</v>
      </c>
      <c r="B8" s="877"/>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0</v>
      </c>
      <c r="D9" s="14">
        <v>0</v>
      </c>
      <c r="E9" s="14">
        <v>0</v>
      </c>
      <c r="F9" s="14">
        <v>0</v>
      </c>
      <c r="G9" s="14">
        <v>0</v>
      </c>
      <c r="H9" s="14">
        <v>0</v>
      </c>
      <c r="I9" s="14">
        <v>0</v>
      </c>
      <c r="J9" s="14">
        <v>0</v>
      </c>
      <c r="K9" s="14">
        <v>0</v>
      </c>
      <c r="L9" s="14">
        <v>0</v>
      </c>
      <c r="M9" s="14">
        <v>0</v>
      </c>
      <c r="N9" s="14">
        <v>0</v>
      </c>
      <c r="O9" s="15">
        <f>SUM(C9:N9)</f>
        <v>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0</v>
      </c>
      <c r="D11" s="17">
        <v>0</v>
      </c>
      <c r="E11" s="17">
        <v>0</v>
      </c>
      <c r="F11" s="17">
        <v>0</v>
      </c>
      <c r="G11" s="17">
        <v>0</v>
      </c>
      <c r="H11" s="17">
        <v>0</v>
      </c>
      <c r="I11" s="17">
        <v>0</v>
      </c>
      <c r="J11" s="17">
        <v>0</v>
      </c>
      <c r="K11" s="17">
        <v>0</v>
      </c>
      <c r="L11" s="17">
        <v>0</v>
      </c>
      <c r="M11" s="17">
        <v>0</v>
      </c>
      <c r="N11" s="17">
        <v>0</v>
      </c>
      <c r="O11" s="18">
        <f>SUM(C11:N11)</f>
        <v>0</v>
      </c>
    </row>
    <row r="12" spans="1:15"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x14ac:dyDescent="0.2">
      <c r="A14" s="12"/>
      <c r="B14" s="13" t="s">
        <v>123</v>
      </c>
      <c r="C14" s="17">
        <v>0</v>
      </c>
      <c r="D14" s="17">
        <v>0</v>
      </c>
      <c r="E14" s="17">
        <v>0</v>
      </c>
      <c r="F14" s="17">
        <v>0</v>
      </c>
      <c r="G14" s="17">
        <v>0</v>
      </c>
      <c r="H14" s="17">
        <v>0</v>
      </c>
      <c r="I14" s="17">
        <v>0</v>
      </c>
      <c r="J14" s="17">
        <v>0</v>
      </c>
      <c r="K14" s="17">
        <v>0</v>
      </c>
      <c r="L14" s="17">
        <v>0</v>
      </c>
      <c r="M14" s="17">
        <v>0</v>
      </c>
      <c r="N14" s="17">
        <v>0</v>
      </c>
      <c r="O14" s="18">
        <f t="shared" si="0"/>
        <v>0</v>
      </c>
    </row>
    <row r="15" spans="1:15"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hidden="1"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0</v>
      </c>
      <c r="D19" s="17">
        <v>0</v>
      </c>
      <c r="E19" s="17">
        <v>0</v>
      </c>
      <c r="F19" s="17">
        <v>0</v>
      </c>
      <c r="G19" s="17">
        <v>0</v>
      </c>
      <c r="H19" s="17">
        <v>0</v>
      </c>
      <c r="I19" s="17">
        <v>0</v>
      </c>
      <c r="J19" s="17">
        <v>0</v>
      </c>
      <c r="K19" s="17">
        <v>0</v>
      </c>
      <c r="L19" s="17">
        <v>0</v>
      </c>
      <c r="M19" s="17">
        <v>0</v>
      </c>
      <c r="N19" s="17">
        <v>0</v>
      </c>
      <c r="O19" s="18">
        <f t="shared" si="0"/>
        <v>0</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78"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79"/>
      <c r="B22" s="19" t="s">
        <v>132</v>
      </c>
      <c r="C22" s="17">
        <v>0</v>
      </c>
      <c r="D22" s="17">
        <v>0</v>
      </c>
      <c r="E22" s="17">
        <v>0</v>
      </c>
      <c r="F22" s="17">
        <v>0</v>
      </c>
      <c r="G22" s="17">
        <v>0</v>
      </c>
      <c r="H22" s="17">
        <v>0</v>
      </c>
      <c r="I22" s="17">
        <v>0</v>
      </c>
      <c r="J22" s="17">
        <v>0</v>
      </c>
      <c r="K22" s="17">
        <v>0</v>
      </c>
      <c r="L22" s="17">
        <v>0</v>
      </c>
      <c r="M22" s="17">
        <v>0</v>
      </c>
      <c r="N22" s="17">
        <v>0</v>
      </c>
      <c r="O22" s="18">
        <f t="shared" si="0"/>
        <v>0</v>
      </c>
    </row>
    <row r="23" spans="1:15" ht="15" hidden="1" customHeight="1" x14ac:dyDescent="0.2">
      <c r="A23" s="879"/>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79"/>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79"/>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79"/>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79"/>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79"/>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79"/>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79"/>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79"/>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79"/>
      <c r="B32" s="21" t="s">
        <v>142</v>
      </c>
      <c r="C32" s="17">
        <v>0</v>
      </c>
      <c r="D32" s="17">
        <v>0</v>
      </c>
      <c r="E32" s="17">
        <v>0</v>
      </c>
      <c r="F32" s="17">
        <v>0</v>
      </c>
      <c r="G32" s="17">
        <v>0</v>
      </c>
      <c r="H32" s="17">
        <v>0</v>
      </c>
      <c r="I32" s="17">
        <v>0</v>
      </c>
      <c r="J32" s="17">
        <v>0</v>
      </c>
      <c r="K32" s="17">
        <v>0</v>
      </c>
      <c r="L32" s="17">
        <v>0</v>
      </c>
      <c r="M32" s="17">
        <v>0</v>
      </c>
      <c r="N32" s="17">
        <v>0</v>
      </c>
      <c r="O32" s="18">
        <f t="shared" si="0"/>
        <v>0</v>
      </c>
    </row>
    <row r="33" spans="1:17" ht="15" hidden="1" customHeight="1" x14ac:dyDescent="0.2">
      <c r="A33" s="880"/>
      <c r="B33" s="19" t="s">
        <v>226</v>
      </c>
      <c r="C33" s="17">
        <v>0</v>
      </c>
      <c r="D33" s="17">
        <v>0</v>
      </c>
      <c r="E33" s="17">
        <v>0</v>
      </c>
      <c r="F33" s="17">
        <v>0</v>
      </c>
      <c r="G33" s="17">
        <v>0</v>
      </c>
      <c r="H33" s="17">
        <v>0</v>
      </c>
      <c r="I33" s="17">
        <v>0</v>
      </c>
      <c r="J33" s="17">
        <v>0</v>
      </c>
      <c r="K33" s="17">
        <v>0</v>
      </c>
      <c r="L33" s="17">
        <v>0</v>
      </c>
      <c r="M33" s="17">
        <v>0</v>
      </c>
      <c r="N33" s="17">
        <v>0</v>
      </c>
      <c r="O33" s="18">
        <f t="shared" si="0"/>
        <v>0</v>
      </c>
    </row>
    <row r="34" spans="1:17" ht="15" customHeight="1" x14ac:dyDescent="0.2">
      <c r="A34" s="865" t="s">
        <v>144</v>
      </c>
      <c r="B34" s="866"/>
      <c r="C34" s="17">
        <v>0</v>
      </c>
      <c r="D34" s="17">
        <v>0</v>
      </c>
      <c r="E34" s="17">
        <v>0</v>
      </c>
      <c r="F34" s="17">
        <v>0</v>
      </c>
      <c r="G34" s="17">
        <v>0</v>
      </c>
      <c r="H34" s="17">
        <v>0</v>
      </c>
      <c r="I34" s="17">
        <v>0</v>
      </c>
      <c r="J34" s="17">
        <v>0</v>
      </c>
      <c r="K34" s="17">
        <v>0</v>
      </c>
      <c r="L34" s="17">
        <v>0</v>
      </c>
      <c r="M34" s="17">
        <v>0</v>
      </c>
      <c r="N34" s="17">
        <v>0</v>
      </c>
      <c r="O34" s="18">
        <f t="shared" si="0"/>
        <v>0</v>
      </c>
    </row>
    <row r="35" spans="1:17" ht="15" customHeight="1" x14ac:dyDescent="0.2">
      <c r="A35" s="865" t="s">
        <v>145</v>
      </c>
      <c r="B35" s="866"/>
      <c r="C35" s="17">
        <v>0</v>
      </c>
      <c r="D35" s="17">
        <v>0</v>
      </c>
      <c r="E35" s="17">
        <v>0</v>
      </c>
      <c r="F35" s="17">
        <v>0</v>
      </c>
      <c r="G35" s="17">
        <v>0</v>
      </c>
      <c r="H35" s="17">
        <v>0</v>
      </c>
      <c r="I35" s="17">
        <v>0</v>
      </c>
      <c r="J35" s="17">
        <v>0</v>
      </c>
      <c r="K35" s="17">
        <v>0</v>
      </c>
      <c r="L35" s="17">
        <v>0</v>
      </c>
      <c r="M35" s="17">
        <v>0</v>
      </c>
      <c r="N35" s="17">
        <v>0</v>
      </c>
      <c r="O35" s="18">
        <f t="shared" si="0"/>
        <v>0</v>
      </c>
    </row>
    <row r="36" spans="1:17" ht="15" customHeight="1" x14ac:dyDescent="0.2">
      <c r="A36" s="865" t="s">
        <v>146</v>
      </c>
      <c r="B36" s="866"/>
      <c r="C36" s="17">
        <v>0</v>
      </c>
      <c r="D36" s="17">
        <v>0</v>
      </c>
      <c r="E36" s="17">
        <v>0</v>
      </c>
      <c r="F36" s="17">
        <v>0</v>
      </c>
      <c r="G36" s="17">
        <v>0</v>
      </c>
      <c r="H36" s="17">
        <v>0</v>
      </c>
      <c r="I36" s="17">
        <v>0</v>
      </c>
      <c r="J36" s="17">
        <v>0</v>
      </c>
      <c r="K36" s="17">
        <v>0</v>
      </c>
      <c r="L36" s="17">
        <v>0</v>
      </c>
      <c r="M36" s="17">
        <v>0</v>
      </c>
      <c r="N36" s="17">
        <v>0</v>
      </c>
      <c r="O36" s="18">
        <f t="shared" si="0"/>
        <v>0</v>
      </c>
    </row>
    <row r="37" spans="1:17" ht="15" customHeight="1" x14ac:dyDescent="0.2">
      <c r="A37" s="22"/>
      <c r="B37" s="23" t="s">
        <v>147</v>
      </c>
      <c r="C37" s="24">
        <f t="shared" ref="C37:N37" si="1">SUM(C9:C36)</f>
        <v>0</v>
      </c>
      <c r="D37" s="24">
        <f t="shared" si="1"/>
        <v>0</v>
      </c>
      <c r="E37" s="24">
        <f t="shared" si="1"/>
        <v>0</v>
      </c>
      <c r="F37" s="24">
        <f t="shared" si="1"/>
        <v>0</v>
      </c>
      <c r="G37" s="24">
        <f t="shared" si="1"/>
        <v>0</v>
      </c>
      <c r="H37" s="24">
        <f t="shared" si="1"/>
        <v>0</v>
      </c>
      <c r="I37" s="24">
        <f t="shared" si="1"/>
        <v>0</v>
      </c>
      <c r="J37" s="24">
        <f t="shared" si="1"/>
        <v>0</v>
      </c>
      <c r="K37" s="24">
        <f t="shared" si="1"/>
        <v>0</v>
      </c>
      <c r="L37" s="24">
        <f t="shared" si="1"/>
        <v>0</v>
      </c>
      <c r="M37" s="24">
        <f t="shared" si="1"/>
        <v>0</v>
      </c>
      <c r="N37" s="24">
        <f t="shared" si="1"/>
        <v>0</v>
      </c>
      <c r="O37" s="25">
        <f>SUM(C37:N37)</f>
        <v>0</v>
      </c>
      <c r="Q37" s="16">
        <f>67094+67094+10780+69789+69789+71721*3+10383+3454+75182*5</f>
        <v>889456</v>
      </c>
    </row>
    <row r="38" spans="1:17" ht="15" customHeight="1" x14ac:dyDescent="0.2">
      <c r="A38" s="853" t="s">
        <v>148</v>
      </c>
      <c r="B38" s="27" t="s">
        <v>149</v>
      </c>
      <c r="C38" s="28">
        <v>0</v>
      </c>
      <c r="D38" s="28">
        <v>0</v>
      </c>
      <c r="E38" s="28">
        <v>0</v>
      </c>
      <c r="F38" s="28">
        <v>0</v>
      </c>
      <c r="G38" s="28">
        <v>0</v>
      </c>
      <c r="H38" s="28">
        <v>0</v>
      </c>
      <c r="I38" s="28">
        <v>0</v>
      </c>
      <c r="J38" s="28">
        <v>0</v>
      </c>
      <c r="K38" s="28">
        <v>0</v>
      </c>
      <c r="L38" s="28">
        <v>0</v>
      </c>
      <c r="M38" s="28">
        <v>0</v>
      </c>
      <c r="N38" s="28">
        <v>0</v>
      </c>
      <c r="O38" s="18">
        <f>SUM(C38:N38)</f>
        <v>0</v>
      </c>
    </row>
    <row r="39" spans="1:17" ht="15" x14ac:dyDescent="0.2">
      <c r="A39" s="854"/>
      <c r="B39" s="27" t="s">
        <v>150</v>
      </c>
      <c r="C39" s="28">
        <v>0</v>
      </c>
      <c r="D39" s="28">
        <v>0</v>
      </c>
      <c r="E39" s="28">
        <v>0</v>
      </c>
      <c r="F39" s="28">
        <v>0</v>
      </c>
      <c r="G39" s="28">
        <v>0</v>
      </c>
      <c r="H39" s="28">
        <v>0</v>
      </c>
      <c r="I39" s="28">
        <v>0</v>
      </c>
      <c r="J39" s="28">
        <v>0</v>
      </c>
      <c r="K39" s="28">
        <v>0</v>
      </c>
      <c r="L39" s="28">
        <v>0</v>
      </c>
      <c r="M39" s="28">
        <v>0</v>
      </c>
      <c r="N39" s="28">
        <v>0</v>
      </c>
      <c r="O39" s="18">
        <f>SUM(C39:N39)</f>
        <v>0</v>
      </c>
    </row>
    <row r="40" spans="1:17" ht="15" x14ac:dyDescent="0.2">
      <c r="A40" s="854"/>
      <c r="B40" s="27" t="s">
        <v>151</v>
      </c>
      <c r="C40" s="28">
        <v>0</v>
      </c>
      <c r="D40" s="28">
        <v>0</v>
      </c>
      <c r="E40" s="28">
        <v>0</v>
      </c>
      <c r="F40" s="28">
        <v>0</v>
      </c>
      <c r="G40" s="28">
        <v>0</v>
      </c>
      <c r="H40" s="28">
        <v>0</v>
      </c>
      <c r="I40" s="28">
        <v>0</v>
      </c>
      <c r="J40" s="28">
        <v>0</v>
      </c>
      <c r="K40" s="28">
        <v>0</v>
      </c>
      <c r="L40" s="28">
        <v>0</v>
      </c>
      <c r="M40" s="28">
        <v>0</v>
      </c>
      <c r="N40" s="28">
        <v>0</v>
      </c>
      <c r="O40" s="18">
        <f t="shared" ref="O40:O50" si="2">SUM(C40:N40)</f>
        <v>0</v>
      </c>
    </row>
    <row r="41" spans="1:17" ht="15" x14ac:dyDescent="0.2">
      <c r="A41" s="854"/>
      <c r="B41" s="27" t="s">
        <v>152</v>
      </c>
      <c r="C41" s="28">
        <v>0</v>
      </c>
      <c r="D41" s="28">
        <v>0</v>
      </c>
      <c r="E41" s="28">
        <v>0</v>
      </c>
      <c r="F41" s="28">
        <v>0</v>
      </c>
      <c r="G41" s="28">
        <v>0</v>
      </c>
      <c r="H41" s="28">
        <v>0</v>
      </c>
      <c r="I41" s="28">
        <v>0</v>
      </c>
      <c r="J41" s="28">
        <v>0</v>
      </c>
      <c r="K41" s="28">
        <v>0</v>
      </c>
      <c r="L41" s="28">
        <v>0</v>
      </c>
      <c r="M41" s="28">
        <v>0</v>
      </c>
      <c r="N41" s="28">
        <v>0</v>
      </c>
      <c r="O41" s="18">
        <f t="shared" si="2"/>
        <v>0</v>
      </c>
    </row>
    <row r="42" spans="1:17" ht="15" x14ac:dyDescent="0.2">
      <c r="A42" s="854"/>
      <c r="B42" s="27" t="s">
        <v>153</v>
      </c>
      <c r="C42" s="28">
        <v>0</v>
      </c>
      <c r="D42" s="28">
        <v>0</v>
      </c>
      <c r="E42" s="28">
        <v>0</v>
      </c>
      <c r="F42" s="28">
        <v>0</v>
      </c>
      <c r="G42" s="28">
        <v>0</v>
      </c>
      <c r="H42" s="28">
        <v>0</v>
      </c>
      <c r="I42" s="28">
        <v>0</v>
      </c>
      <c r="J42" s="28">
        <v>0</v>
      </c>
      <c r="K42" s="28">
        <v>0</v>
      </c>
      <c r="L42" s="28">
        <v>0</v>
      </c>
      <c r="M42" s="28">
        <v>0</v>
      </c>
      <c r="N42" s="28">
        <v>0</v>
      </c>
      <c r="O42" s="18">
        <f t="shared" si="2"/>
        <v>0</v>
      </c>
    </row>
    <row r="43" spans="1:17" ht="15" x14ac:dyDescent="0.2">
      <c r="A43" s="854"/>
      <c r="B43" s="27" t="s">
        <v>154</v>
      </c>
      <c r="C43" s="28">
        <v>0</v>
      </c>
      <c r="D43" s="28">
        <v>0</v>
      </c>
      <c r="E43" s="28">
        <v>0</v>
      </c>
      <c r="F43" s="28">
        <v>0</v>
      </c>
      <c r="G43" s="28">
        <v>0</v>
      </c>
      <c r="H43" s="28">
        <v>0</v>
      </c>
      <c r="I43" s="28">
        <v>0</v>
      </c>
      <c r="J43" s="28">
        <v>0</v>
      </c>
      <c r="K43" s="28">
        <v>0</v>
      </c>
      <c r="L43" s="28">
        <v>0</v>
      </c>
      <c r="M43" s="28">
        <v>0</v>
      </c>
      <c r="N43" s="28">
        <v>0</v>
      </c>
      <c r="O43" s="18">
        <f t="shared" si="2"/>
        <v>0</v>
      </c>
    </row>
    <row r="44" spans="1:17" ht="15" x14ac:dyDescent="0.2">
      <c r="A44" s="854"/>
      <c r="B44" s="27" t="s">
        <v>155</v>
      </c>
      <c r="C44" s="28">
        <v>0</v>
      </c>
      <c r="D44" s="28">
        <v>0</v>
      </c>
      <c r="E44" s="28">
        <v>0</v>
      </c>
      <c r="F44" s="28">
        <v>0</v>
      </c>
      <c r="G44" s="28">
        <v>0</v>
      </c>
      <c r="H44" s="28">
        <v>0</v>
      </c>
      <c r="I44" s="28">
        <v>0</v>
      </c>
      <c r="J44" s="28">
        <v>0</v>
      </c>
      <c r="K44" s="28">
        <v>0</v>
      </c>
      <c r="L44" s="28">
        <v>0</v>
      </c>
      <c r="M44" s="28">
        <v>0</v>
      </c>
      <c r="N44" s="28">
        <v>0</v>
      </c>
      <c r="O44" s="18">
        <f t="shared" si="2"/>
        <v>0</v>
      </c>
    </row>
    <row r="45" spans="1:17" ht="15" x14ac:dyDescent="0.2">
      <c r="A45" s="854"/>
      <c r="B45" s="27" t="s">
        <v>156</v>
      </c>
      <c r="C45" s="28">
        <v>0</v>
      </c>
      <c r="D45" s="28">
        <v>0</v>
      </c>
      <c r="E45" s="28">
        <v>0</v>
      </c>
      <c r="F45" s="28">
        <v>0</v>
      </c>
      <c r="G45" s="28">
        <v>0</v>
      </c>
      <c r="H45" s="28">
        <v>0</v>
      </c>
      <c r="I45" s="28">
        <v>0</v>
      </c>
      <c r="J45" s="28">
        <v>0</v>
      </c>
      <c r="K45" s="28">
        <v>0</v>
      </c>
      <c r="L45" s="28">
        <v>0</v>
      </c>
      <c r="M45" s="28">
        <v>0</v>
      </c>
      <c r="N45" s="28">
        <v>0</v>
      </c>
      <c r="O45" s="18">
        <f t="shared" si="2"/>
        <v>0</v>
      </c>
    </row>
    <row r="46" spans="1:17" ht="15" x14ac:dyDescent="0.2">
      <c r="A46" s="854"/>
      <c r="B46" s="27" t="s">
        <v>157</v>
      </c>
      <c r="C46" s="28">
        <v>0</v>
      </c>
      <c r="D46" s="28">
        <v>0</v>
      </c>
      <c r="E46" s="28">
        <v>0</v>
      </c>
      <c r="F46" s="28">
        <v>0</v>
      </c>
      <c r="G46" s="28">
        <v>0</v>
      </c>
      <c r="H46" s="28">
        <v>0</v>
      </c>
      <c r="I46" s="28">
        <v>0</v>
      </c>
      <c r="J46" s="28">
        <v>0</v>
      </c>
      <c r="K46" s="28">
        <v>0</v>
      </c>
      <c r="L46" s="28">
        <v>0</v>
      </c>
      <c r="M46" s="28">
        <v>0</v>
      </c>
      <c r="N46" s="28">
        <v>0</v>
      </c>
      <c r="O46" s="18">
        <f t="shared" si="2"/>
        <v>0</v>
      </c>
    </row>
    <row r="47" spans="1:17" ht="28.5" customHeight="1" x14ac:dyDescent="0.2">
      <c r="A47" s="855"/>
      <c r="B47" s="30" t="s">
        <v>158</v>
      </c>
      <c r="C47" s="28">
        <v>0</v>
      </c>
      <c r="D47" s="28">
        <v>0</v>
      </c>
      <c r="E47" s="28">
        <v>0</v>
      </c>
      <c r="F47" s="28">
        <v>0</v>
      </c>
      <c r="G47" s="28">
        <v>0</v>
      </c>
      <c r="H47" s="28">
        <v>0</v>
      </c>
      <c r="I47" s="28">
        <v>0</v>
      </c>
      <c r="J47" s="28">
        <v>0</v>
      </c>
      <c r="K47" s="28">
        <v>0</v>
      </c>
      <c r="L47" s="28">
        <v>0</v>
      </c>
      <c r="M47" s="28">
        <v>0</v>
      </c>
      <c r="N47" s="28">
        <v>0</v>
      </c>
      <c r="O47" s="31">
        <f t="shared" si="2"/>
        <v>0</v>
      </c>
    </row>
    <row r="48" spans="1:17" ht="15" x14ac:dyDescent="0.2">
      <c r="A48" s="856"/>
      <c r="B48" s="127" t="s">
        <v>479</v>
      </c>
      <c r="C48" s="28">
        <v>0</v>
      </c>
      <c r="D48" s="28">
        <v>0</v>
      </c>
      <c r="E48" s="28">
        <v>0</v>
      </c>
      <c r="F48" s="28">
        <v>0</v>
      </c>
      <c r="G48" s="28">
        <v>0</v>
      </c>
      <c r="H48" s="28">
        <v>0</v>
      </c>
      <c r="I48" s="28">
        <v>0</v>
      </c>
      <c r="J48" s="28">
        <v>0</v>
      </c>
      <c r="K48" s="28">
        <v>0</v>
      </c>
      <c r="L48" s="28">
        <v>0</v>
      </c>
      <c r="M48" s="28">
        <v>0</v>
      </c>
      <c r="N48" s="28">
        <v>0</v>
      </c>
      <c r="O48" s="31">
        <f t="shared" si="2"/>
        <v>0</v>
      </c>
    </row>
    <row r="49" spans="1:18" ht="15" x14ac:dyDescent="0.2">
      <c r="A49" s="857" t="s">
        <v>160</v>
      </c>
      <c r="B49" s="858"/>
      <c r="C49" s="33">
        <f t="shared" ref="C49:N49" si="3">SUM(C38:C48)</f>
        <v>0</v>
      </c>
      <c r="D49" s="33">
        <f t="shared" si="3"/>
        <v>0</v>
      </c>
      <c r="E49" s="33">
        <f t="shared" si="3"/>
        <v>0</v>
      </c>
      <c r="F49" s="33">
        <f t="shared" si="3"/>
        <v>0</v>
      </c>
      <c r="G49" s="33">
        <f t="shared" si="3"/>
        <v>0</v>
      </c>
      <c r="H49" s="33">
        <f t="shared" si="3"/>
        <v>0</v>
      </c>
      <c r="I49" s="33">
        <f t="shared" si="3"/>
        <v>0</v>
      </c>
      <c r="J49" s="33">
        <f t="shared" si="3"/>
        <v>0</v>
      </c>
      <c r="K49" s="33">
        <f t="shared" si="3"/>
        <v>0</v>
      </c>
      <c r="L49" s="33">
        <f t="shared" si="3"/>
        <v>0</v>
      </c>
      <c r="M49" s="33">
        <f t="shared" si="3"/>
        <v>0</v>
      </c>
      <c r="N49" s="33">
        <f t="shared" si="3"/>
        <v>0</v>
      </c>
      <c r="O49" s="34">
        <f t="shared" si="2"/>
        <v>0</v>
      </c>
    </row>
    <row r="50" spans="1:18" ht="15.75" thickBot="1" x14ac:dyDescent="0.25">
      <c r="A50" s="859" t="s">
        <v>161</v>
      </c>
      <c r="B50" s="860"/>
      <c r="C50" s="35">
        <f t="shared" ref="C50:N50" si="4">C37-C49</f>
        <v>0</v>
      </c>
      <c r="D50" s="35">
        <f t="shared" si="4"/>
        <v>0</v>
      </c>
      <c r="E50" s="35">
        <f t="shared" si="4"/>
        <v>0</v>
      </c>
      <c r="F50" s="35">
        <f t="shared" si="4"/>
        <v>0</v>
      </c>
      <c r="G50" s="35">
        <f t="shared" si="4"/>
        <v>0</v>
      </c>
      <c r="H50" s="35">
        <f t="shared" si="4"/>
        <v>0</v>
      </c>
      <c r="I50" s="35">
        <f t="shared" si="4"/>
        <v>0</v>
      </c>
      <c r="J50" s="35">
        <f t="shared" si="4"/>
        <v>0</v>
      </c>
      <c r="K50" s="35">
        <f t="shared" si="4"/>
        <v>0</v>
      </c>
      <c r="L50" s="35">
        <f t="shared" si="4"/>
        <v>0</v>
      </c>
      <c r="M50" s="35">
        <f t="shared" si="4"/>
        <v>0</v>
      </c>
      <c r="N50" s="35">
        <f t="shared" si="4"/>
        <v>0</v>
      </c>
      <c r="O50" s="36">
        <f t="shared" si="2"/>
        <v>0</v>
      </c>
      <c r="Q50" s="16">
        <f>61499+54299+10780+56884+57004+58936+61336*2+10383+3454+63397*2+62897+64997+64783</f>
        <v>755382</v>
      </c>
    </row>
    <row r="51" spans="1:18" x14ac:dyDescent="0.2">
      <c r="J51" s="300">
        <f>+J37-SUM(J22:J36)</f>
        <v>0</v>
      </c>
      <c r="Q51" s="38"/>
    </row>
    <row r="52" spans="1:18" ht="13.5" thickBot="1" x14ac:dyDescent="0.25">
      <c r="J52" s="38">
        <f>+J51-J49</f>
        <v>0</v>
      </c>
    </row>
    <row r="53" spans="1:18" ht="13.5" thickBot="1" x14ac:dyDescent="0.25">
      <c r="B53" s="789" t="s">
        <v>162</v>
      </c>
      <c r="C53" s="861"/>
      <c r="D53" s="861"/>
      <c r="E53" s="861"/>
      <c r="F53" s="862"/>
      <c r="G53" s="863">
        <f>O37</f>
        <v>0</v>
      </c>
      <c r="H53" s="864"/>
    </row>
    <row r="54" spans="1:18" ht="13.5" thickBot="1" x14ac:dyDescent="0.25"/>
    <row r="55" spans="1:18" x14ac:dyDescent="0.2">
      <c r="B55" s="830" t="s">
        <v>163</v>
      </c>
      <c r="C55" s="833" t="s">
        <v>164</v>
      </c>
      <c r="D55" s="836" t="s">
        <v>165</v>
      </c>
      <c r="E55" s="837"/>
      <c r="F55" s="838"/>
      <c r="G55" s="839">
        <f>1600*12</f>
        <v>19200</v>
      </c>
      <c r="H55" s="840"/>
    </row>
    <row r="56" spans="1:18" x14ac:dyDescent="0.2">
      <c r="B56" s="831"/>
      <c r="C56" s="834"/>
      <c r="D56" s="841" t="s">
        <v>166</v>
      </c>
      <c r="E56" s="842"/>
      <c r="F56" s="843"/>
      <c r="G56" s="844">
        <f>+O44</f>
        <v>0</v>
      </c>
      <c r="H56" s="845"/>
      <c r="I56" s="39"/>
      <c r="J56" s="846"/>
      <c r="K56" s="846"/>
      <c r="L56" s="846"/>
      <c r="M56" s="847"/>
      <c r="N56" s="847"/>
      <c r="O56" s="847"/>
    </row>
    <row r="57" spans="1:18" ht="13.5" thickBot="1" x14ac:dyDescent="0.25">
      <c r="B57" s="832"/>
      <c r="C57" s="835"/>
      <c r="D57" s="848" t="s">
        <v>243</v>
      </c>
      <c r="E57" s="849"/>
      <c r="F57" s="850"/>
      <c r="G57" s="851">
        <f>IF(O18&gt;15000,15000,+O18)</f>
        <v>0</v>
      </c>
      <c r="H57" s="852"/>
      <c r="J57" s="47"/>
      <c r="K57" s="47"/>
      <c r="L57" s="47"/>
      <c r="M57" s="47"/>
      <c r="N57" s="47"/>
      <c r="O57" s="47"/>
    </row>
    <row r="58" spans="1:18" ht="13.5" thickBot="1" x14ac:dyDescent="0.25">
      <c r="B58" s="48"/>
      <c r="J58" s="47"/>
      <c r="K58" s="47"/>
      <c r="L58" s="47"/>
      <c r="M58" s="47"/>
      <c r="N58" s="47"/>
      <c r="O58" s="47"/>
    </row>
    <row r="59" spans="1:18" ht="13.5" thickBot="1" x14ac:dyDescent="0.25">
      <c r="B59" s="789" t="s">
        <v>168</v>
      </c>
      <c r="C59" s="790"/>
      <c r="D59" s="790"/>
      <c r="E59" s="790"/>
      <c r="F59" s="791"/>
      <c r="G59" s="825">
        <f>+G53-SUM(G55:H57)</f>
        <v>-19200</v>
      </c>
      <c r="H59" s="826"/>
      <c r="J59" s="827" t="s">
        <v>169</v>
      </c>
      <c r="K59" s="828"/>
      <c r="L59" s="828"/>
      <c r="M59" s="828"/>
      <c r="N59" s="828"/>
      <c r="O59" s="829"/>
    </row>
    <row r="60" spans="1:18" ht="13.5" thickBot="1" x14ac:dyDescent="0.25">
      <c r="B60" s="49"/>
      <c r="C60" s="50"/>
      <c r="D60" s="50"/>
      <c r="E60" s="50"/>
      <c r="F60" s="50"/>
      <c r="G60" s="45"/>
      <c r="H60" s="50"/>
      <c r="J60" s="129"/>
      <c r="K60" s="130"/>
      <c r="L60" s="130"/>
      <c r="M60" s="130"/>
      <c r="N60" s="130"/>
      <c r="O60" s="131"/>
    </row>
    <row r="61" spans="1:18" ht="13.5" thickBot="1" x14ac:dyDescent="0.25">
      <c r="B61" s="789" t="s">
        <v>170</v>
      </c>
      <c r="C61" s="790"/>
      <c r="D61" s="790"/>
      <c r="E61" s="790"/>
      <c r="F61" s="791"/>
      <c r="G61" s="805"/>
      <c r="H61" s="791"/>
      <c r="J61" s="129"/>
      <c r="K61" s="130"/>
      <c r="L61" s="130"/>
      <c r="M61" s="130"/>
      <c r="N61" s="130"/>
      <c r="O61" s="131"/>
    </row>
    <row r="62" spans="1:18" ht="12.75" customHeight="1" x14ac:dyDescent="0.2">
      <c r="B62" s="57" t="s">
        <v>171</v>
      </c>
      <c r="C62" s="806" t="s">
        <v>172</v>
      </c>
      <c r="D62" s="807"/>
      <c r="E62" s="807"/>
      <c r="F62" s="808"/>
      <c r="G62" s="809">
        <v>81275</v>
      </c>
      <c r="H62" s="809"/>
      <c r="I62" s="58"/>
      <c r="J62" s="810" t="s">
        <v>173</v>
      </c>
      <c r="K62" s="811"/>
      <c r="L62" s="811"/>
      <c r="M62" s="811"/>
      <c r="N62" s="811"/>
      <c r="O62" s="812"/>
      <c r="Q62" s="59"/>
      <c r="R62" s="59"/>
    </row>
    <row r="63" spans="1:18" ht="13.5" thickBot="1" x14ac:dyDescent="0.25">
      <c r="D63" s="37"/>
      <c r="I63" s="58"/>
      <c r="J63" s="60" t="s">
        <v>1086</v>
      </c>
      <c r="K63" s="132"/>
      <c r="L63" s="132"/>
      <c r="M63" s="133"/>
      <c r="N63" s="133"/>
      <c r="O63" s="134"/>
      <c r="Q63" s="59"/>
      <c r="R63" s="59"/>
    </row>
    <row r="64" spans="1:18" ht="13.5" thickBot="1" x14ac:dyDescent="0.25">
      <c r="B64" s="789" t="s">
        <v>175</v>
      </c>
      <c r="C64" s="790"/>
      <c r="D64" s="790"/>
      <c r="E64" s="790"/>
      <c r="F64" s="791"/>
      <c r="G64" s="805">
        <f>+G59-G62</f>
        <v>-100475</v>
      </c>
      <c r="H64" s="791"/>
      <c r="I64" s="63"/>
      <c r="J64" s="64" t="s">
        <v>1087</v>
      </c>
      <c r="K64" s="39"/>
      <c r="L64" s="39"/>
      <c r="M64" s="39"/>
      <c r="N64" s="39"/>
      <c r="O64" s="65"/>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6.25" customHeight="1" thickBot="1" x14ac:dyDescent="0.25">
      <c r="B67" s="66"/>
      <c r="C67" s="48"/>
      <c r="G67" s="70" t="s">
        <v>177</v>
      </c>
      <c r="H67" s="70" t="s">
        <v>178</v>
      </c>
      <c r="I67" s="63"/>
      <c r="J67" s="810" t="s">
        <v>179</v>
      </c>
      <c r="K67" s="811"/>
      <c r="L67" s="71"/>
      <c r="M67" s="71"/>
      <c r="N67" s="71"/>
      <c r="O67" s="72"/>
      <c r="Q67" s="59"/>
      <c r="R67" s="59"/>
    </row>
    <row r="68" spans="2:18" ht="12.75" customHeight="1" x14ac:dyDescent="0.2">
      <c r="B68" s="802" t="s">
        <v>180</v>
      </c>
      <c r="C68" s="821" t="s">
        <v>181</v>
      </c>
      <c r="D68" s="823" t="s">
        <v>182</v>
      </c>
      <c r="E68" s="824"/>
      <c r="F68" s="824"/>
      <c r="G68" s="73">
        <f>+O43</f>
        <v>0</v>
      </c>
      <c r="H68" s="74">
        <f t="shared" ref="H68:H76" si="5">+G68</f>
        <v>0</v>
      </c>
      <c r="I68" s="63"/>
      <c r="J68" s="75" t="s">
        <v>446</v>
      </c>
      <c r="K68" s="58"/>
      <c r="L68" s="58"/>
      <c r="M68" s="58"/>
      <c r="N68" s="58"/>
      <c r="O68" s="76"/>
      <c r="Q68" s="59"/>
      <c r="R68" s="59"/>
    </row>
    <row r="69" spans="2:18" ht="12.75" customHeight="1" x14ac:dyDescent="0.2">
      <c r="B69" s="803"/>
      <c r="C69" s="822"/>
      <c r="D69" s="782" t="s">
        <v>184</v>
      </c>
      <c r="E69" s="783"/>
      <c r="F69" s="783"/>
      <c r="G69" s="77">
        <f>+O47+O69</f>
        <v>30927</v>
      </c>
      <c r="H69" s="78">
        <f t="shared" si="5"/>
        <v>30927</v>
      </c>
      <c r="I69" s="63"/>
      <c r="J69" s="282">
        <v>19033891</v>
      </c>
      <c r="K69" s="68"/>
      <c r="L69" s="283" t="s">
        <v>639</v>
      </c>
      <c r="M69" s="68"/>
      <c r="N69" s="68"/>
      <c r="O69" s="136">
        <v>30927</v>
      </c>
      <c r="P69" s="1" t="s">
        <v>1088</v>
      </c>
      <c r="Q69" s="59"/>
      <c r="R69" s="59"/>
    </row>
    <row r="70" spans="2:18" ht="12.75" customHeight="1" x14ac:dyDescent="0.2">
      <c r="B70" s="803"/>
      <c r="C70" s="822"/>
      <c r="D70" s="819" t="s">
        <v>185</v>
      </c>
      <c r="E70" s="820"/>
      <c r="F70" s="820"/>
      <c r="G70" s="80">
        <f>O40</f>
        <v>0</v>
      </c>
      <c r="H70" s="78">
        <f t="shared" si="5"/>
        <v>0</v>
      </c>
      <c r="I70" s="63"/>
      <c r="J70" s="67"/>
      <c r="K70" s="68"/>
      <c r="L70" s="68"/>
      <c r="M70" s="68"/>
      <c r="N70" s="68"/>
      <c r="O70" s="69"/>
    </row>
    <row r="71" spans="2:18" x14ac:dyDescent="0.2">
      <c r="B71" s="803"/>
      <c r="C71" s="822"/>
      <c r="D71" s="782" t="s">
        <v>186</v>
      </c>
      <c r="E71" s="783"/>
      <c r="F71" s="783"/>
      <c r="G71" s="81">
        <v>0</v>
      </c>
      <c r="H71" s="78">
        <f t="shared" si="5"/>
        <v>0</v>
      </c>
      <c r="I71" s="63"/>
      <c r="J71" s="82" t="s">
        <v>187</v>
      </c>
      <c r="K71" s="71"/>
      <c r="L71" s="71"/>
      <c r="M71" s="71"/>
      <c r="N71" s="71"/>
      <c r="O71" s="72"/>
    </row>
    <row r="72" spans="2:18" ht="12.75" customHeight="1" x14ac:dyDescent="0.2">
      <c r="B72" s="803"/>
      <c r="C72" s="822"/>
      <c r="D72" s="784" t="s">
        <v>188</v>
      </c>
      <c r="E72" s="783"/>
      <c r="F72" s="783"/>
      <c r="G72" s="80">
        <v>0</v>
      </c>
      <c r="H72" s="78">
        <f t="shared" si="5"/>
        <v>0</v>
      </c>
      <c r="I72" s="63"/>
      <c r="J72" s="75" t="s">
        <v>189</v>
      </c>
      <c r="K72" s="50"/>
      <c r="L72" s="50"/>
      <c r="M72" s="50"/>
      <c r="N72" s="50"/>
      <c r="O72" s="83">
        <v>3900</v>
      </c>
    </row>
    <row r="73" spans="2:18" ht="14.25" customHeight="1" x14ac:dyDescent="0.2">
      <c r="B73" s="803"/>
      <c r="C73" s="822"/>
      <c r="D73" s="782" t="s">
        <v>190</v>
      </c>
      <c r="E73" s="783"/>
      <c r="F73" s="783"/>
      <c r="G73" s="84">
        <v>0</v>
      </c>
      <c r="H73" s="78">
        <f t="shared" si="5"/>
        <v>0</v>
      </c>
      <c r="I73" s="63"/>
      <c r="J73" s="75" t="s">
        <v>641</v>
      </c>
      <c r="K73" s="39"/>
      <c r="L73" s="39"/>
      <c r="M73" s="39"/>
      <c r="N73" s="39"/>
      <c r="O73" s="65">
        <v>25002</v>
      </c>
    </row>
    <row r="74" spans="2:18" x14ac:dyDescent="0.2">
      <c r="B74" s="803"/>
      <c r="C74" s="822"/>
      <c r="D74" s="782" t="s">
        <v>191</v>
      </c>
      <c r="E74" s="783"/>
      <c r="F74" s="783"/>
      <c r="G74" s="81">
        <v>36541</v>
      </c>
      <c r="H74" s="78">
        <f t="shared" si="5"/>
        <v>36541</v>
      </c>
      <c r="I74" s="58"/>
      <c r="J74" s="137" t="s">
        <v>1089</v>
      </c>
      <c r="K74" s="50"/>
      <c r="L74" s="50"/>
      <c r="M74" s="50"/>
      <c r="N74" s="50"/>
      <c r="O74" s="83"/>
    </row>
    <row r="75" spans="2:18" x14ac:dyDescent="0.2">
      <c r="B75" s="803"/>
      <c r="C75" s="88" t="s">
        <v>192</v>
      </c>
      <c r="D75" s="813" t="s">
        <v>193</v>
      </c>
      <c r="E75" s="814"/>
      <c r="F75" s="814"/>
      <c r="G75" s="80">
        <v>0</v>
      </c>
      <c r="H75" s="78">
        <f t="shared" si="5"/>
        <v>0</v>
      </c>
      <c r="I75" s="58"/>
      <c r="J75" s="79"/>
      <c r="K75" s="39"/>
      <c r="L75" s="39"/>
      <c r="M75" s="39"/>
      <c r="N75" s="39"/>
      <c r="O75" s="65"/>
    </row>
    <row r="76" spans="2:18" ht="13.5" customHeight="1" thickBot="1" x14ac:dyDescent="0.25">
      <c r="B76" s="803"/>
      <c r="C76" s="88" t="s">
        <v>194</v>
      </c>
      <c r="D76" s="815" t="s">
        <v>195</v>
      </c>
      <c r="E76" s="815"/>
      <c r="F76" s="815"/>
      <c r="G76" s="89">
        <v>0</v>
      </c>
      <c r="H76" s="90">
        <f t="shared" si="5"/>
        <v>0</v>
      </c>
      <c r="I76" s="63"/>
      <c r="J76" s="67"/>
      <c r="K76" s="68"/>
      <c r="L76" s="68"/>
      <c r="M76" s="91"/>
      <c r="N76" s="91"/>
      <c r="O76" s="92"/>
    </row>
    <row r="77" spans="2:18" ht="13.5" thickBot="1" x14ac:dyDescent="0.25">
      <c r="B77" s="803"/>
      <c r="C77" s="93"/>
      <c r="D77" s="94"/>
      <c r="E77" s="816" t="s">
        <v>117</v>
      </c>
      <c r="F77" s="817"/>
      <c r="G77" s="95">
        <f>SUM(G68:G76)</f>
        <v>67468</v>
      </c>
      <c r="H77" s="96">
        <f>IF(SUM(G68:G74)&lt;100000,SUM(G68:G74),100000)+IF(+G75&lt;20000,+G75,20000)</f>
        <v>67468</v>
      </c>
      <c r="I77" s="63"/>
      <c r="J77" s="140"/>
      <c r="K77" s="141"/>
      <c r="L77" s="141"/>
      <c r="M77" s="142"/>
      <c r="N77" s="142"/>
      <c r="O77" s="143"/>
    </row>
    <row r="78" spans="2:18" ht="12.75" customHeight="1" x14ac:dyDescent="0.2">
      <c r="B78" s="803"/>
      <c r="C78" s="100" t="s">
        <v>196</v>
      </c>
      <c r="D78" s="782" t="s">
        <v>187</v>
      </c>
      <c r="E78" s="783"/>
      <c r="F78" s="818"/>
      <c r="G78" s="73">
        <f>+O42+O73</f>
        <v>25002</v>
      </c>
      <c r="H78" s="101">
        <f>+IF(+G78&lt;25000,+G78,25000)</f>
        <v>25000</v>
      </c>
      <c r="I78" s="87"/>
    </row>
    <row r="79" spans="2:18" x14ac:dyDescent="0.2">
      <c r="B79" s="803"/>
      <c r="C79" s="100" t="s">
        <v>197</v>
      </c>
      <c r="D79" s="784" t="s">
        <v>198</v>
      </c>
      <c r="E79" s="785"/>
      <c r="F79" s="786"/>
      <c r="G79" s="102"/>
      <c r="H79" s="103">
        <f>+IF(+G79&lt;40000,+G79,40000)</f>
        <v>0</v>
      </c>
      <c r="I79" s="63"/>
    </row>
    <row r="80" spans="2:18" x14ac:dyDescent="0.2">
      <c r="B80" s="803"/>
      <c r="C80" s="100" t="s">
        <v>199</v>
      </c>
      <c r="D80" s="784" t="s">
        <v>200</v>
      </c>
      <c r="E80" s="785"/>
      <c r="F80" s="786"/>
      <c r="G80" s="81"/>
      <c r="H80" s="104">
        <v>0</v>
      </c>
      <c r="I80" s="63"/>
    </row>
    <row r="81" spans="2:12" x14ac:dyDescent="0.2">
      <c r="B81" s="803"/>
      <c r="C81" s="100" t="s">
        <v>201</v>
      </c>
      <c r="D81" s="784" t="s">
        <v>202</v>
      </c>
      <c r="E81" s="785"/>
      <c r="F81" s="786"/>
      <c r="G81" s="81"/>
      <c r="H81" s="104">
        <v>0</v>
      </c>
      <c r="I81" s="63"/>
    </row>
    <row r="82" spans="2:12" ht="13.5" thickBot="1" x14ac:dyDescent="0.25">
      <c r="B82" s="804"/>
      <c r="C82" s="100" t="s">
        <v>203</v>
      </c>
      <c r="D82" s="784" t="s">
        <v>204</v>
      </c>
      <c r="E82" s="785"/>
      <c r="F82" s="786"/>
      <c r="G82" s="102"/>
      <c r="H82" s="103">
        <f>+IF(+G82&lt;100000,+G82,10000)</f>
        <v>0</v>
      </c>
      <c r="I82" s="63"/>
    </row>
    <row r="83" spans="2:12" ht="13.5" thickBot="1" x14ac:dyDescent="0.25">
      <c r="B83" s="787" t="s">
        <v>205</v>
      </c>
      <c r="C83" s="788"/>
      <c r="D83" s="788"/>
      <c r="E83" s="788"/>
      <c r="F83" s="788"/>
      <c r="G83" s="107">
        <f>SUM(G78:G82)</f>
        <v>25002</v>
      </c>
      <c r="H83" s="108">
        <f>SUM(H77:H82)</f>
        <v>92468</v>
      </c>
    </row>
    <row r="84" spans="2:12" ht="13.5" thickBot="1" x14ac:dyDescent="0.25"/>
    <row r="85" spans="2:12" ht="13.5" thickBot="1" x14ac:dyDescent="0.25">
      <c r="B85" s="789" t="s">
        <v>206</v>
      </c>
      <c r="C85" s="790"/>
      <c r="D85" s="790"/>
      <c r="E85" s="790"/>
      <c r="F85" s="791"/>
      <c r="G85" s="792">
        <f>+G64-H83</f>
        <v>-192943</v>
      </c>
      <c r="H85" s="791"/>
      <c r="J85" s="109">
        <f>C37+D37+E37+F37</f>
        <v>0</v>
      </c>
      <c r="K85" s="16" t="s">
        <v>235</v>
      </c>
    </row>
    <row r="86" spans="2:12" x14ac:dyDescent="0.2">
      <c r="B86" s="110"/>
      <c r="F86" s="105"/>
      <c r="J86" s="109">
        <f>G37+H37+I37</f>
        <v>0</v>
      </c>
      <c r="K86" s="16" t="s">
        <v>236</v>
      </c>
    </row>
    <row r="87" spans="2:12" x14ac:dyDescent="0.2">
      <c r="C87" s="793" t="s">
        <v>207</v>
      </c>
      <c r="D87" s="794"/>
      <c r="E87" s="111" t="s">
        <v>208</v>
      </c>
      <c r="F87" s="111" t="s">
        <v>209</v>
      </c>
      <c r="G87" s="111" t="s">
        <v>210</v>
      </c>
      <c r="H87" s="111" t="s">
        <v>211</v>
      </c>
      <c r="J87" s="206">
        <f>J37+K37+L37</f>
        <v>0</v>
      </c>
      <c r="K87" s="47" t="s">
        <v>237</v>
      </c>
    </row>
    <row r="88" spans="2:12" x14ac:dyDescent="0.2">
      <c r="C88" s="795" t="str">
        <f>IF(I6="M","0          - 250000","0          -  250000")</f>
        <v>0          - 250000</v>
      </c>
      <c r="D88" s="796"/>
      <c r="E88" s="112">
        <v>0</v>
      </c>
      <c r="F88" s="113">
        <f>IF(I6="M",(IF(G85&lt;250000,G85,250000)),(IF(G85&lt;250000,G85,250000)))</f>
        <v>-192943</v>
      </c>
      <c r="G88" s="113">
        <f>G85-F88</f>
        <v>0</v>
      </c>
      <c r="H88" s="113">
        <f>E88*F88</f>
        <v>0</v>
      </c>
      <c r="J88" s="207">
        <f>M37+N37</f>
        <v>0</v>
      </c>
      <c r="K88" s="1" t="s">
        <v>238</v>
      </c>
    </row>
    <row r="89" spans="2:12" x14ac:dyDescent="0.2">
      <c r="C89" s="795" t="str">
        <f>IF(I6="M","250001 - 500000","250001-500000")</f>
        <v>250001 - 500000</v>
      </c>
      <c r="D89" s="796"/>
      <c r="E89" s="112">
        <v>0.1</v>
      </c>
      <c r="F89" s="113">
        <f>IF(I6="M",(IF(G88&lt;250000,G88,250000)),(IF(G88&lt;250000,G88,250000)))</f>
        <v>0</v>
      </c>
      <c r="G89" s="113">
        <f>G88-F89</f>
        <v>0</v>
      </c>
      <c r="H89" s="114">
        <f>ROUND(E89*F89,0.1)</f>
        <v>0</v>
      </c>
      <c r="J89" s="115">
        <f>SUM(J85:J88)</f>
        <v>0</v>
      </c>
    </row>
    <row r="90" spans="2:12" x14ac:dyDescent="0.2">
      <c r="C90" s="797" t="s">
        <v>212</v>
      </c>
      <c r="D90" s="798"/>
      <c r="E90" s="112">
        <v>0.2</v>
      </c>
      <c r="F90" s="113">
        <f>IF(G89&lt;500000,G89,500000)</f>
        <v>0</v>
      </c>
      <c r="G90" s="113">
        <f>G89-F90</f>
        <v>0</v>
      </c>
      <c r="H90" s="114">
        <f>ROUND(E90*F90,0.1)</f>
        <v>0</v>
      </c>
      <c r="J90" s="16">
        <f>+G85</f>
        <v>-192943</v>
      </c>
    </row>
    <row r="91" spans="2:12" x14ac:dyDescent="0.2">
      <c r="C91" s="795" t="s">
        <v>289</v>
      </c>
      <c r="D91" s="796"/>
      <c r="E91" s="112">
        <v>0.3</v>
      </c>
      <c r="F91" s="113">
        <f>G90</f>
        <v>0</v>
      </c>
      <c r="G91" s="113">
        <f>G90-F91</f>
        <v>0</v>
      </c>
      <c r="H91" s="114">
        <f>ROUND(E91*F91,0.1)</f>
        <v>0</v>
      </c>
      <c r="J91" s="16">
        <f>+J89-J90</f>
        <v>192943</v>
      </c>
    </row>
    <row r="92" spans="2:12" ht="12.75" customHeight="1" thickBot="1" x14ac:dyDescent="0.25">
      <c r="B92" s="116"/>
      <c r="C92" s="117"/>
      <c r="D92" s="47"/>
      <c r="E92" s="47"/>
      <c r="F92" s="47"/>
    </row>
    <row r="93" spans="2:12" ht="13.5" thickBot="1" x14ac:dyDescent="0.25">
      <c r="B93" s="799" t="s">
        <v>239</v>
      </c>
      <c r="C93" s="800"/>
      <c r="D93" s="800"/>
      <c r="E93" s="800"/>
      <c r="F93" s="801"/>
      <c r="G93" s="771">
        <f>H88+H89+H90+H91</f>
        <v>0</v>
      </c>
      <c r="H93" s="772"/>
    </row>
    <row r="94" spans="2:12" ht="13.5" thickBot="1" x14ac:dyDescent="0.25">
      <c r="B94" s="171" t="s">
        <v>215</v>
      </c>
      <c r="C94" s="155"/>
      <c r="D94" s="155"/>
      <c r="E94" s="155"/>
      <c r="F94" s="155"/>
      <c r="G94" s="769">
        <f>IF(G85&lt;200000,0,IF(G85&lt;220000,((G85-200000)*10%),IF(G85&lt;=500000,2000,IF(G85&gt;=500000,0))))</f>
        <v>0</v>
      </c>
      <c r="H94" s="770">
        <f>IF(H92&lt;200000,0,IF(H92&lt;220000,((H92-200000)*10%),IF(H92&lt;=500000,2000,IF(H92&gt;=500000,0))))</f>
        <v>0</v>
      </c>
      <c r="J94" s="1"/>
      <c r="K94" s="121"/>
      <c r="L94" s="121"/>
    </row>
    <row r="95" spans="2:12" ht="13.5" thickBot="1" x14ac:dyDescent="0.25">
      <c r="B95" s="122" t="s">
        <v>216</v>
      </c>
      <c r="C95" s="123"/>
      <c r="D95" s="123"/>
      <c r="E95" s="123"/>
      <c r="F95" s="123"/>
      <c r="G95" s="771">
        <f>+G93-G94</f>
        <v>0</v>
      </c>
      <c r="H95" s="772"/>
      <c r="I95" s="37"/>
    </row>
    <row r="96" spans="2:12" ht="13.5" thickBot="1" x14ac:dyDescent="0.25">
      <c r="B96" s="773" t="s">
        <v>217</v>
      </c>
      <c r="C96" s="774"/>
      <c r="D96" s="774"/>
      <c r="E96" s="774"/>
      <c r="F96" s="775"/>
      <c r="G96" s="776">
        <f>ROUND((IF(G95&gt;0,(G95*3%),0)),0)</f>
        <v>0</v>
      </c>
      <c r="H96" s="777"/>
      <c r="I96" s="37"/>
    </row>
    <row r="97" spans="2:9" ht="13.5" thickBot="1" x14ac:dyDescent="0.25">
      <c r="B97" s="778" t="s">
        <v>218</v>
      </c>
      <c r="C97" s="779"/>
      <c r="D97" s="779"/>
      <c r="E97" s="779"/>
      <c r="F97" s="779"/>
      <c r="G97" s="780">
        <f>G95+G96</f>
        <v>0</v>
      </c>
      <c r="H97" s="781"/>
      <c r="I97" s="121"/>
    </row>
    <row r="98" spans="2:9" ht="13.5" thickBot="1" x14ac:dyDescent="0.25">
      <c r="B98" s="765" t="s">
        <v>219</v>
      </c>
      <c r="C98" s="766"/>
      <c r="D98" s="766"/>
      <c r="E98" s="766"/>
      <c r="F98" s="766"/>
      <c r="G98" s="767">
        <f>O38</f>
        <v>0</v>
      </c>
      <c r="H98" s="768"/>
      <c r="I98" s="121"/>
    </row>
    <row r="99" spans="2:9" ht="13.5" thickBot="1" x14ac:dyDescent="0.25">
      <c r="B99" s="765" t="str">
        <f>IF(G99&gt;0,"TAX PAYABLE","TAX REFUND")</f>
        <v>TAX REFUND</v>
      </c>
      <c r="C99" s="766"/>
      <c r="D99" s="766"/>
      <c r="E99" s="766"/>
      <c r="F99" s="766"/>
      <c r="G99" s="767">
        <f>+G97-G98</f>
        <v>0</v>
      </c>
      <c r="H99" s="768"/>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0:F90 B99:F99 B93:F97">
    <cfRule type="cellIs" dxfId="2187" priority="3" stopIfTrue="1" operator="equal">
      <formula>"TAX PAYABLE"</formula>
    </cfRule>
    <cfRule type="cellIs" dxfId="2186" priority="4" stopIfTrue="1" operator="equal">
      <formula>"TAX REFUND"</formula>
    </cfRule>
  </conditionalFormatting>
  <conditionalFormatting sqref="G99:H99">
    <cfRule type="cellIs" dxfId="2185" priority="1" stopIfTrue="1" operator="greaterThan">
      <formula>0</formula>
    </cfRule>
    <cfRule type="cellIs" dxfId="2184"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8"/>
  <sheetViews>
    <sheetView topLeftCell="A64" workbookViewId="0">
      <selection activeCell="C81" sqref="C81"/>
    </sheetView>
  </sheetViews>
  <sheetFormatPr defaultRowHeight="12.75" x14ac:dyDescent="0.2"/>
  <cols>
    <col min="1" max="1" width="5" style="16" customWidth="1"/>
    <col min="2" max="2" width="18.85546875" style="37" customWidth="1"/>
    <col min="3" max="3" width="10.7109375" style="16" bestFit="1" customWidth="1"/>
    <col min="4" max="4" width="6.7109375" style="16" bestFit="1" customWidth="1"/>
    <col min="5" max="5" width="8.5703125" style="16" bestFit="1" customWidth="1"/>
    <col min="6" max="6" width="9.28515625" style="16" bestFit="1" customWidth="1"/>
    <col min="7" max="7" width="10.42578125" style="16" bestFit="1" customWidth="1"/>
    <col min="8" max="8" width="10.28515625" style="16" bestFit="1" customWidth="1"/>
    <col min="9" max="9" width="7.140625" style="16" bestFit="1" customWidth="1"/>
    <col min="10" max="10" width="7.7109375" style="16" customWidth="1"/>
    <col min="11" max="12" width="7" style="16" bestFit="1" customWidth="1"/>
    <col min="13" max="13" width="6.85546875" style="16" bestFit="1" customWidth="1"/>
    <col min="14" max="14" width="7" style="16" bestFit="1" customWidth="1"/>
    <col min="15" max="15" width="8" style="16" bestFit="1"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8.85546875" style="16" customWidth="1"/>
    <col min="259" max="259" width="10.7109375" style="16" bestFit="1" customWidth="1"/>
    <col min="260" max="260" width="6.7109375" style="16" bestFit="1" customWidth="1"/>
    <col min="261" max="261" width="8.5703125" style="16" bestFit="1" customWidth="1"/>
    <col min="262" max="262" width="9.28515625" style="16" bestFit="1" customWidth="1"/>
    <col min="263" max="263" width="10.42578125" style="16" bestFit="1" customWidth="1"/>
    <col min="264" max="264" width="10.28515625" style="16" bestFit="1" customWidth="1"/>
    <col min="265" max="265" width="7.140625" style="16" bestFit="1" customWidth="1"/>
    <col min="266" max="266" width="7.7109375" style="16" customWidth="1"/>
    <col min="267" max="268" width="7" style="16" bestFit="1" customWidth="1"/>
    <col min="269" max="269" width="6.85546875" style="16" bestFit="1" customWidth="1"/>
    <col min="270" max="270" width="7" style="16" bestFit="1" customWidth="1"/>
    <col min="271" max="271" width="8" style="16" bestFit="1"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8.85546875" style="16" customWidth="1"/>
    <col min="515" max="515" width="10.7109375" style="16" bestFit="1" customWidth="1"/>
    <col min="516" max="516" width="6.7109375" style="16" bestFit="1" customWidth="1"/>
    <col min="517" max="517" width="8.5703125" style="16" bestFit="1" customWidth="1"/>
    <col min="518" max="518" width="9.28515625" style="16" bestFit="1" customWidth="1"/>
    <col min="519" max="519" width="10.42578125" style="16" bestFit="1" customWidth="1"/>
    <col min="520" max="520" width="10.28515625" style="16" bestFit="1" customWidth="1"/>
    <col min="521" max="521" width="7.140625" style="16" bestFit="1" customWidth="1"/>
    <col min="522" max="522" width="7.7109375" style="16" customWidth="1"/>
    <col min="523" max="524" width="7" style="16" bestFit="1" customWidth="1"/>
    <col min="525" max="525" width="6.85546875" style="16" bestFit="1" customWidth="1"/>
    <col min="526" max="526" width="7" style="16" bestFit="1" customWidth="1"/>
    <col min="527" max="527" width="8" style="16" bestFit="1"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8.85546875" style="16" customWidth="1"/>
    <col min="771" max="771" width="10.7109375" style="16" bestFit="1" customWidth="1"/>
    <col min="772" max="772" width="6.7109375" style="16" bestFit="1" customWidth="1"/>
    <col min="773" max="773" width="8.5703125" style="16" bestFit="1" customWidth="1"/>
    <col min="774" max="774" width="9.28515625" style="16" bestFit="1" customWidth="1"/>
    <col min="775" max="775" width="10.42578125" style="16" bestFit="1" customWidth="1"/>
    <col min="776" max="776" width="10.28515625" style="16" bestFit="1" customWidth="1"/>
    <col min="777" max="777" width="7.140625" style="16" bestFit="1" customWidth="1"/>
    <col min="778" max="778" width="7.7109375" style="16" customWidth="1"/>
    <col min="779" max="780" width="7" style="16" bestFit="1" customWidth="1"/>
    <col min="781" max="781" width="6.85546875" style="16" bestFit="1" customWidth="1"/>
    <col min="782" max="782" width="7" style="16" bestFit="1" customWidth="1"/>
    <col min="783" max="783" width="8" style="16" bestFit="1"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8.85546875" style="16" customWidth="1"/>
    <col min="1027" max="1027" width="10.7109375" style="16" bestFit="1" customWidth="1"/>
    <col min="1028" max="1028" width="6.7109375" style="16" bestFit="1" customWidth="1"/>
    <col min="1029" max="1029" width="8.5703125" style="16" bestFit="1" customWidth="1"/>
    <col min="1030" max="1030" width="9.28515625" style="16" bestFit="1" customWidth="1"/>
    <col min="1031" max="1031" width="10.42578125" style="16" bestFit="1" customWidth="1"/>
    <col min="1032" max="1032" width="10.28515625" style="16" bestFit="1" customWidth="1"/>
    <col min="1033" max="1033" width="7.140625" style="16" bestFit="1" customWidth="1"/>
    <col min="1034" max="1034" width="7.7109375" style="16" customWidth="1"/>
    <col min="1035" max="1036" width="7" style="16" bestFit="1" customWidth="1"/>
    <col min="1037" max="1037" width="6.85546875" style="16" bestFit="1" customWidth="1"/>
    <col min="1038" max="1038" width="7" style="16" bestFit="1" customWidth="1"/>
    <col min="1039" max="1039" width="8" style="16" bestFit="1"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8.85546875" style="16" customWidth="1"/>
    <col min="1283" max="1283" width="10.7109375" style="16" bestFit="1" customWidth="1"/>
    <col min="1284" max="1284" width="6.7109375" style="16" bestFit="1" customWidth="1"/>
    <col min="1285" max="1285" width="8.5703125" style="16" bestFit="1" customWidth="1"/>
    <col min="1286" max="1286" width="9.28515625" style="16" bestFit="1" customWidth="1"/>
    <col min="1287" max="1287" width="10.42578125" style="16" bestFit="1" customWidth="1"/>
    <col min="1288" max="1288" width="10.28515625" style="16" bestFit="1" customWidth="1"/>
    <col min="1289" max="1289" width="7.140625" style="16" bestFit="1" customWidth="1"/>
    <col min="1290" max="1290" width="7.7109375" style="16" customWidth="1"/>
    <col min="1291" max="1292" width="7" style="16" bestFit="1" customWidth="1"/>
    <col min="1293" max="1293" width="6.85546875" style="16" bestFit="1" customWidth="1"/>
    <col min="1294" max="1294" width="7" style="16" bestFit="1" customWidth="1"/>
    <col min="1295" max="1295" width="8" style="16" bestFit="1"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8.85546875" style="16" customWidth="1"/>
    <col min="1539" max="1539" width="10.7109375" style="16" bestFit="1" customWidth="1"/>
    <col min="1540" max="1540" width="6.7109375" style="16" bestFit="1" customWidth="1"/>
    <col min="1541" max="1541" width="8.5703125" style="16" bestFit="1" customWidth="1"/>
    <col min="1542" max="1542" width="9.28515625" style="16" bestFit="1" customWidth="1"/>
    <col min="1543" max="1543" width="10.42578125" style="16" bestFit="1" customWidth="1"/>
    <col min="1544" max="1544" width="10.28515625" style="16" bestFit="1" customWidth="1"/>
    <col min="1545" max="1545" width="7.140625" style="16" bestFit="1" customWidth="1"/>
    <col min="1546" max="1546" width="7.7109375" style="16" customWidth="1"/>
    <col min="1547" max="1548" width="7" style="16" bestFit="1" customWidth="1"/>
    <col min="1549" max="1549" width="6.85546875" style="16" bestFit="1" customWidth="1"/>
    <col min="1550" max="1550" width="7" style="16" bestFit="1" customWidth="1"/>
    <col min="1551" max="1551" width="8" style="16" bestFit="1"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8.85546875" style="16" customWidth="1"/>
    <col min="1795" max="1795" width="10.7109375" style="16" bestFit="1" customWidth="1"/>
    <col min="1796" max="1796" width="6.7109375" style="16" bestFit="1" customWidth="1"/>
    <col min="1797" max="1797" width="8.5703125" style="16" bestFit="1" customWidth="1"/>
    <col min="1798" max="1798" width="9.28515625" style="16" bestFit="1" customWidth="1"/>
    <col min="1799" max="1799" width="10.42578125" style="16" bestFit="1" customWidth="1"/>
    <col min="1800" max="1800" width="10.28515625" style="16" bestFit="1" customWidth="1"/>
    <col min="1801" max="1801" width="7.140625" style="16" bestFit="1" customWidth="1"/>
    <col min="1802" max="1802" width="7.7109375" style="16" customWidth="1"/>
    <col min="1803" max="1804" width="7" style="16" bestFit="1" customWidth="1"/>
    <col min="1805" max="1805" width="6.85546875" style="16" bestFit="1" customWidth="1"/>
    <col min="1806" max="1806" width="7" style="16" bestFit="1" customWidth="1"/>
    <col min="1807" max="1807" width="8" style="16" bestFit="1"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8.85546875" style="16" customWidth="1"/>
    <col min="2051" max="2051" width="10.7109375" style="16" bestFit="1" customWidth="1"/>
    <col min="2052" max="2052" width="6.7109375" style="16" bestFit="1" customWidth="1"/>
    <col min="2053" max="2053" width="8.5703125" style="16" bestFit="1" customWidth="1"/>
    <col min="2054" max="2054" width="9.28515625" style="16" bestFit="1" customWidth="1"/>
    <col min="2055" max="2055" width="10.42578125" style="16" bestFit="1" customWidth="1"/>
    <col min="2056" max="2056" width="10.28515625" style="16" bestFit="1" customWidth="1"/>
    <col min="2057" max="2057" width="7.140625" style="16" bestFit="1" customWidth="1"/>
    <col min="2058" max="2058" width="7.7109375" style="16" customWidth="1"/>
    <col min="2059" max="2060" width="7" style="16" bestFit="1" customWidth="1"/>
    <col min="2061" max="2061" width="6.85546875" style="16" bestFit="1" customWidth="1"/>
    <col min="2062" max="2062" width="7" style="16" bestFit="1" customWidth="1"/>
    <col min="2063" max="2063" width="8" style="16" bestFit="1"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8.85546875" style="16" customWidth="1"/>
    <col min="2307" max="2307" width="10.7109375" style="16" bestFit="1" customWidth="1"/>
    <col min="2308" max="2308" width="6.7109375" style="16" bestFit="1" customWidth="1"/>
    <col min="2309" max="2309" width="8.5703125" style="16" bestFit="1" customWidth="1"/>
    <col min="2310" max="2310" width="9.28515625" style="16" bestFit="1" customWidth="1"/>
    <col min="2311" max="2311" width="10.42578125" style="16" bestFit="1" customWidth="1"/>
    <col min="2312" max="2312" width="10.28515625" style="16" bestFit="1" customWidth="1"/>
    <col min="2313" max="2313" width="7.140625" style="16" bestFit="1" customWidth="1"/>
    <col min="2314" max="2314" width="7.7109375" style="16" customWidth="1"/>
    <col min="2315" max="2316" width="7" style="16" bestFit="1" customWidth="1"/>
    <col min="2317" max="2317" width="6.85546875" style="16" bestFit="1" customWidth="1"/>
    <col min="2318" max="2318" width="7" style="16" bestFit="1" customWidth="1"/>
    <col min="2319" max="2319" width="8" style="16" bestFit="1"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8.85546875" style="16" customWidth="1"/>
    <col min="2563" max="2563" width="10.7109375" style="16" bestFit="1" customWidth="1"/>
    <col min="2564" max="2564" width="6.7109375" style="16" bestFit="1" customWidth="1"/>
    <col min="2565" max="2565" width="8.5703125" style="16" bestFit="1" customWidth="1"/>
    <col min="2566" max="2566" width="9.28515625" style="16" bestFit="1" customWidth="1"/>
    <col min="2567" max="2567" width="10.42578125" style="16" bestFit="1" customWidth="1"/>
    <col min="2568" max="2568" width="10.28515625" style="16" bestFit="1" customWidth="1"/>
    <col min="2569" max="2569" width="7.140625" style="16" bestFit="1" customWidth="1"/>
    <col min="2570" max="2570" width="7.7109375" style="16" customWidth="1"/>
    <col min="2571" max="2572" width="7" style="16" bestFit="1" customWidth="1"/>
    <col min="2573" max="2573" width="6.85546875" style="16" bestFit="1" customWidth="1"/>
    <col min="2574" max="2574" width="7" style="16" bestFit="1" customWidth="1"/>
    <col min="2575" max="2575" width="8" style="16" bestFit="1"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8.85546875" style="16" customWidth="1"/>
    <col min="2819" max="2819" width="10.7109375" style="16" bestFit="1" customWidth="1"/>
    <col min="2820" max="2820" width="6.7109375" style="16" bestFit="1" customWidth="1"/>
    <col min="2821" max="2821" width="8.5703125" style="16" bestFit="1" customWidth="1"/>
    <col min="2822" max="2822" width="9.28515625" style="16" bestFit="1" customWidth="1"/>
    <col min="2823" max="2823" width="10.42578125" style="16" bestFit="1" customWidth="1"/>
    <col min="2824" max="2824" width="10.28515625" style="16" bestFit="1" customWidth="1"/>
    <col min="2825" max="2825" width="7.140625" style="16" bestFit="1" customWidth="1"/>
    <col min="2826" max="2826" width="7.7109375" style="16" customWidth="1"/>
    <col min="2827" max="2828" width="7" style="16" bestFit="1" customWidth="1"/>
    <col min="2829" max="2829" width="6.85546875" style="16" bestFit="1" customWidth="1"/>
    <col min="2830" max="2830" width="7" style="16" bestFit="1" customWidth="1"/>
    <col min="2831" max="2831" width="8" style="16" bestFit="1"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8.85546875" style="16" customWidth="1"/>
    <col min="3075" max="3075" width="10.7109375" style="16" bestFit="1" customWidth="1"/>
    <col min="3076" max="3076" width="6.7109375" style="16" bestFit="1" customWidth="1"/>
    <col min="3077" max="3077" width="8.5703125" style="16" bestFit="1" customWidth="1"/>
    <col min="3078" max="3078" width="9.28515625" style="16" bestFit="1" customWidth="1"/>
    <col min="3079" max="3079" width="10.42578125" style="16" bestFit="1" customWidth="1"/>
    <col min="3080" max="3080" width="10.28515625" style="16" bestFit="1" customWidth="1"/>
    <col min="3081" max="3081" width="7.140625" style="16" bestFit="1" customWidth="1"/>
    <col min="3082" max="3082" width="7.7109375" style="16" customWidth="1"/>
    <col min="3083" max="3084" width="7" style="16" bestFit="1" customWidth="1"/>
    <col min="3085" max="3085" width="6.85546875" style="16" bestFit="1" customWidth="1"/>
    <col min="3086" max="3086" width="7" style="16" bestFit="1" customWidth="1"/>
    <col min="3087" max="3087" width="8" style="16" bestFit="1"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8.85546875" style="16" customWidth="1"/>
    <col min="3331" max="3331" width="10.7109375" style="16" bestFit="1" customWidth="1"/>
    <col min="3332" max="3332" width="6.7109375" style="16" bestFit="1" customWidth="1"/>
    <col min="3333" max="3333" width="8.5703125" style="16" bestFit="1" customWidth="1"/>
    <col min="3334" max="3334" width="9.28515625" style="16" bestFit="1" customWidth="1"/>
    <col min="3335" max="3335" width="10.42578125" style="16" bestFit="1" customWidth="1"/>
    <col min="3336" max="3336" width="10.28515625" style="16" bestFit="1" customWidth="1"/>
    <col min="3337" max="3337" width="7.140625" style="16" bestFit="1" customWidth="1"/>
    <col min="3338" max="3338" width="7.7109375" style="16" customWidth="1"/>
    <col min="3339" max="3340" width="7" style="16" bestFit="1" customWidth="1"/>
    <col min="3341" max="3341" width="6.85546875" style="16" bestFit="1" customWidth="1"/>
    <col min="3342" max="3342" width="7" style="16" bestFit="1" customWidth="1"/>
    <col min="3343" max="3343" width="8" style="16" bestFit="1"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8.85546875" style="16" customWidth="1"/>
    <col min="3587" max="3587" width="10.7109375" style="16" bestFit="1" customWidth="1"/>
    <col min="3588" max="3588" width="6.7109375" style="16" bestFit="1" customWidth="1"/>
    <col min="3589" max="3589" width="8.5703125" style="16" bestFit="1" customWidth="1"/>
    <col min="3590" max="3590" width="9.28515625" style="16" bestFit="1" customWidth="1"/>
    <col min="3591" max="3591" width="10.42578125" style="16" bestFit="1" customWidth="1"/>
    <col min="3592" max="3592" width="10.28515625" style="16" bestFit="1" customWidth="1"/>
    <col min="3593" max="3593" width="7.140625" style="16" bestFit="1" customWidth="1"/>
    <col min="3594" max="3594" width="7.7109375" style="16" customWidth="1"/>
    <col min="3595" max="3596" width="7" style="16" bestFit="1" customWidth="1"/>
    <col min="3597" max="3597" width="6.85546875" style="16" bestFit="1" customWidth="1"/>
    <col min="3598" max="3598" width="7" style="16" bestFit="1" customWidth="1"/>
    <col min="3599" max="3599" width="8" style="16" bestFit="1"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8.85546875" style="16" customWidth="1"/>
    <col min="3843" max="3843" width="10.7109375" style="16" bestFit="1" customWidth="1"/>
    <col min="3844" max="3844" width="6.7109375" style="16" bestFit="1" customWidth="1"/>
    <col min="3845" max="3845" width="8.5703125" style="16" bestFit="1" customWidth="1"/>
    <col min="3846" max="3846" width="9.28515625" style="16" bestFit="1" customWidth="1"/>
    <col min="3847" max="3847" width="10.42578125" style="16" bestFit="1" customWidth="1"/>
    <col min="3848" max="3848" width="10.28515625" style="16" bestFit="1" customWidth="1"/>
    <col min="3849" max="3849" width="7.140625" style="16" bestFit="1" customWidth="1"/>
    <col min="3850" max="3850" width="7.7109375" style="16" customWidth="1"/>
    <col min="3851" max="3852" width="7" style="16" bestFit="1" customWidth="1"/>
    <col min="3853" max="3853" width="6.85546875" style="16" bestFit="1" customWidth="1"/>
    <col min="3854" max="3854" width="7" style="16" bestFit="1" customWidth="1"/>
    <col min="3855" max="3855" width="8" style="16" bestFit="1"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8.85546875" style="16" customWidth="1"/>
    <col min="4099" max="4099" width="10.7109375" style="16" bestFit="1" customWidth="1"/>
    <col min="4100" max="4100" width="6.7109375" style="16" bestFit="1" customWidth="1"/>
    <col min="4101" max="4101" width="8.5703125" style="16" bestFit="1" customWidth="1"/>
    <col min="4102" max="4102" width="9.28515625" style="16" bestFit="1" customWidth="1"/>
    <col min="4103" max="4103" width="10.42578125" style="16" bestFit="1" customWidth="1"/>
    <col min="4104" max="4104" width="10.28515625" style="16" bestFit="1" customWidth="1"/>
    <col min="4105" max="4105" width="7.140625" style="16" bestFit="1" customWidth="1"/>
    <col min="4106" max="4106" width="7.7109375" style="16" customWidth="1"/>
    <col min="4107" max="4108" width="7" style="16" bestFit="1" customWidth="1"/>
    <col min="4109" max="4109" width="6.85546875" style="16" bestFit="1" customWidth="1"/>
    <col min="4110" max="4110" width="7" style="16" bestFit="1" customWidth="1"/>
    <col min="4111" max="4111" width="8" style="16" bestFit="1"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8.85546875" style="16" customWidth="1"/>
    <col min="4355" max="4355" width="10.7109375" style="16" bestFit="1" customWidth="1"/>
    <col min="4356" max="4356" width="6.7109375" style="16" bestFit="1" customWidth="1"/>
    <col min="4357" max="4357" width="8.5703125" style="16" bestFit="1" customWidth="1"/>
    <col min="4358" max="4358" width="9.28515625" style="16" bestFit="1" customWidth="1"/>
    <col min="4359" max="4359" width="10.42578125" style="16" bestFit="1" customWidth="1"/>
    <col min="4360" max="4360" width="10.28515625" style="16" bestFit="1" customWidth="1"/>
    <col min="4361" max="4361" width="7.140625" style="16" bestFit="1" customWidth="1"/>
    <col min="4362" max="4362" width="7.7109375" style="16" customWidth="1"/>
    <col min="4363" max="4364" width="7" style="16" bestFit="1" customWidth="1"/>
    <col min="4365" max="4365" width="6.85546875" style="16" bestFit="1" customWidth="1"/>
    <col min="4366" max="4366" width="7" style="16" bestFit="1" customWidth="1"/>
    <col min="4367" max="4367" width="8" style="16" bestFit="1"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8.85546875" style="16" customWidth="1"/>
    <col min="4611" max="4611" width="10.7109375" style="16" bestFit="1" customWidth="1"/>
    <col min="4612" max="4612" width="6.7109375" style="16" bestFit="1" customWidth="1"/>
    <col min="4613" max="4613" width="8.5703125" style="16" bestFit="1" customWidth="1"/>
    <col min="4614" max="4614" width="9.28515625" style="16" bestFit="1" customWidth="1"/>
    <col min="4615" max="4615" width="10.42578125" style="16" bestFit="1" customWidth="1"/>
    <col min="4616" max="4616" width="10.28515625" style="16" bestFit="1" customWidth="1"/>
    <col min="4617" max="4617" width="7.140625" style="16" bestFit="1" customWidth="1"/>
    <col min="4618" max="4618" width="7.7109375" style="16" customWidth="1"/>
    <col min="4619" max="4620" width="7" style="16" bestFit="1" customWidth="1"/>
    <col min="4621" max="4621" width="6.85546875" style="16" bestFit="1" customWidth="1"/>
    <col min="4622" max="4622" width="7" style="16" bestFit="1" customWidth="1"/>
    <col min="4623" max="4623" width="8" style="16" bestFit="1"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8.85546875" style="16" customWidth="1"/>
    <col min="4867" max="4867" width="10.7109375" style="16" bestFit="1" customWidth="1"/>
    <col min="4868" max="4868" width="6.7109375" style="16" bestFit="1" customWidth="1"/>
    <col min="4869" max="4869" width="8.5703125" style="16" bestFit="1" customWidth="1"/>
    <col min="4870" max="4870" width="9.28515625" style="16" bestFit="1" customWidth="1"/>
    <col min="4871" max="4871" width="10.42578125" style="16" bestFit="1" customWidth="1"/>
    <col min="4872" max="4872" width="10.28515625" style="16" bestFit="1" customWidth="1"/>
    <col min="4873" max="4873" width="7.140625" style="16" bestFit="1" customWidth="1"/>
    <col min="4874" max="4874" width="7.7109375" style="16" customWidth="1"/>
    <col min="4875" max="4876" width="7" style="16" bestFit="1" customWidth="1"/>
    <col min="4877" max="4877" width="6.85546875" style="16" bestFit="1" customWidth="1"/>
    <col min="4878" max="4878" width="7" style="16" bestFit="1" customWidth="1"/>
    <col min="4879" max="4879" width="8" style="16" bestFit="1"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8.85546875" style="16" customWidth="1"/>
    <col min="5123" max="5123" width="10.7109375" style="16" bestFit="1" customWidth="1"/>
    <col min="5124" max="5124" width="6.7109375" style="16" bestFit="1" customWidth="1"/>
    <col min="5125" max="5125" width="8.5703125" style="16" bestFit="1" customWidth="1"/>
    <col min="5126" max="5126" width="9.28515625" style="16" bestFit="1" customWidth="1"/>
    <col min="5127" max="5127" width="10.42578125" style="16" bestFit="1" customWidth="1"/>
    <col min="5128" max="5128" width="10.28515625" style="16" bestFit="1" customWidth="1"/>
    <col min="5129" max="5129" width="7.140625" style="16" bestFit="1" customWidth="1"/>
    <col min="5130" max="5130" width="7.7109375" style="16" customWidth="1"/>
    <col min="5131" max="5132" width="7" style="16" bestFit="1" customWidth="1"/>
    <col min="5133" max="5133" width="6.85546875" style="16" bestFit="1" customWidth="1"/>
    <col min="5134" max="5134" width="7" style="16" bestFit="1" customWidth="1"/>
    <col min="5135" max="5135" width="8" style="16" bestFit="1"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8.85546875" style="16" customWidth="1"/>
    <col min="5379" max="5379" width="10.7109375" style="16" bestFit="1" customWidth="1"/>
    <col min="5380" max="5380" width="6.7109375" style="16" bestFit="1" customWidth="1"/>
    <col min="5381" max="5381" width="8.5703125" style="16" bestFit="1" customWidth="1"/>
    <col min="5382" max="5382" width="9.28515625" style="16" bestFit="1" customWidth="1"/>
    <col min="5383" max="5383" width="10.42578125" style="16" bestFit="1" customWidth="1"/>
    <col min="5384" max="5384" width="10.28515625" style="16" bestFit="1" customWidth="1"/>
    <col min="5385" max="5385" width="7.140625" style="16" bestFit="1" customWidth="1"/>
    <col min="5386" max="5386" width="7.7109375" style="16" customWidth="1"/>
    <col min="5387" max="5388" width="7" style="16" bestFit="1" customWidth="1"/>
    <col min="5389" max="5389" width="6.85546875" style="16" bestFit="1" customWidth="1"/>
    <col min="5390" max="5390" width="7" style="16" bestFit="1" customWidth="1"/>
    <col min="5391" max="5391" width="8" style="16" bestFit="1"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8.85546875" style="16" customWidth="1"/>
    <col min="5635" max="5635" width="10.7109375" style="16" bestFit="1" customWidth="1"/>
    <col min="5636" max="5636" width="6.7109375" style="16" bestFit="1" customWidth="1"/>
    <col min="5637" max="5637" width="8.5703125" style="16" bestFit="1" customWidth="1"/>
    <col min="5638" max="5638" width="9.28515625" style="16" bestFit="1" customWidth="1"/>
    <col min="5639" max="5639" width="10.42578125" style="16" bestFit="1" customWidth="1"/>
    <col min="5640" max="5640" width="10.28515625" style="16" bestFit="1" customWidth="1"/>
    <col min="5641" max="5641" width="7.140625" style="16" bestFit="1" customWidth="1"/>
    <col min="5642" max="5642" width="7.7109375" style="16" customWidth="1"/>
    <col min="5643" max="5644" width="7" style="16" bestFit="1" customWidth="1"/>
    <col min="5645" max="5645" width="6.85546875" style="16" bestFit="1" customWidth="1"/>
    <col min="5646" max="5646" width="7" style="16" bestFit="1" customWidth="1"/>
    <col min="5647" max="5647" width="8" style="16" bestFit="1"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8.85546875" style="16" customWidth="1"/>
    <col min="5891" max="5891" width="10.7109375" style="16" bestFit="1" customWidth="1"/>
    <col min="5892" max="5892" width="6.7109375" style="16" bestFit="1" customWidth="1"/>
    <col min="5893" max="5893" width="8.5703125" style="16" bestFit="1" customWidth="1"/>
    <col min="5894" max="5894" width="9.28515625" style="16" bestFit="1" customWidth="1"/>
    <col min="5895" max="5895" width="10.42578125" style="16" bestFit="1" customWidth="1"/>
    <col min="5896" max="5896" width="10.28515625" style="16" bestFit="1" customWidth="1"/>
    <col min="5897" max="5897" width="7.140625" style="16" bestFit="1" customWidth="1"/>
    <col min="5898" max="5898" width="7.7109375" style="16" customWidth="1"/>
    <col min="5899" max="5900" width="7" style="16" bestFit="1" customWidth="1"/>
    <col min="5901" max="5901" width="6.85546875" style="16" bestFit="1" customWidth="1"/>
    <col min="5902" max="5902" width="7" style="16" bestFit="1" customWidth="1"/>
    <col min="5903" max="5903" width="8" style="16" bestFit="1"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8.85546875" style="16" customWidth="1"/>
    <col min="6147" max="6147" width="10.7109375" style="16" bestFit="1" customWidth="1"/>
    <col min="6148" max="6148" width="6.7109375" style="16" bestFit="1" customWidth="1"/>
    <col min="6149" max="6149" width="8.5703125" style="16" bestFit="1" customWidth="1"/>
    <col min="6150" max="6150" width="9.28515625" style="16" bestFit="1" customWidth="1"/>
    <col min="6151" max="6151" width="10.42578125" style="16" bestFit="1" customWidth="1"/>
    <col min="6152" max="6152" width="10.28515625" style="16" bestFit="1" customWidth="1"/>
    <col min="6153" max="6153" width="7.140625" style="16" bestFit="1" customWidth="1"/>
    <col min="6154" max="6154" width="7.7109375" style="16" customWidth="1"/>
    <col min="6155" max="6156" width="7" style="16" bestFit="1" customWidth="1"/>
    <col min="6157" max="6157" width="6.85546875" style="16" bestFit="1" customWidth="1"/>
    <col min="6158" max="6158" width="7" style="16" bestFit="1" customWidth="1"/>
    <col min="6159" max="6159" width="8" style="16" bestFit="1"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8.85546875" style="16" customWidth="1"/>
    <col min="6403" max="6403" width="10.7109375" style="16" bestFit="1" customWidth="1"/>
    <col min="6404" max="6404" width="6.7109375" style="16" bestFit="1" customWidth="1"/>
    <col min="6405" max="6405" width="8.5703125" style="16" bestFit="1" customWidth="1"/>
    <col min="6406" max="6406" width="9.28515625" style="16" bestFit="1" customWidth="1"/>
    <col min="6407" max="6407" width="10.42578125" style="16" bestFit="1" customWidth="1"/>
    <col min="6408" max="6408" width="10.28515625" style="16" bestFit="1" customWidth="1"/>
    <col min="6409" max="6409" width="7.140625" style="16" bestFit="1" customWidth="1"/>
    <col min="6410" max="6410" width="7.7109375" style="16" customWidth="1"/>
    <col min="6411" max="6412" width="7" style="16" bestFit="1" customWidth="1"/>
    <col min="6413" max="6413" width="6.85546875" style="16" bestFit="1" customWidth="1"/>
    <col min="6414" max="6414" width="7" style="16" bestFit="1" customWidth="1"/>
    <col min="6415" max="6415" width="8" style="16" bestFit="1"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8.85546875" style="16" customWidth="1"/>
    <col min="6659" max="6659" width="10.7109375" style="16" bestFit="1" customWidth="1"/>
    <col min="6660" max="6660" width="6.7109375" style="16" bestFit="1" customWidth="1"/>
    <col min="6661" max="6661" width="8.5703125" style="16" bestFit="1" customWidth="1"/>
    <col min="6662" max="6662" width="9.28515625" style="16" bestFit="1" customWidth="1"/>
    <col min="6663" max="6663" width="10.42578125" style="16" bestFit="1" customWidth="1"/>
    <col min="6664" max="6664" width="10.28515625" style="16" bestFit="1" customWidth="1"/>
    <col min="6665" max="6665" width="7.140625" style="16" bestFit="1" customWidth="1"/>
    <col min="6666" max="6666" width="7.7109375" style="16" customWidth="1"/>
    <col min="6667" max="6668" width="7" style="16" bestFit="1" customWidth="1"/>
    <col min="6669" max="6669" width="6.85546875" style="16" bestFit="1" customWidth="1"/>
    <col min="6670" max="6670" width="7" style="16" bestFit="1" customWidth="1"/>
    <col min="6671" max="6671" width="8" style="16" bestFit="1"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8.85546875" style="16" customWidth="1"/>
    <col min="6915" max="6915" width="10.7109375" style="16" bestFit="1" customWidth="1"/>
    <col min="6916" max="6916" width="6.7109375" style="16" bestFit="1" customWidth="1"/>
    <col min="6917" max="6917" width="8.5703125" style="16" bestFit="1" customWidth="1"/>
    <col min="6918" max="6918" width="9.28515625" style="16" bestFit="1" customWidth="1"/>
    <col min="6919" max="6919" width="10.42578125" style="16" bestFit="1" customWidth="1"/>
    <col min="6920" max="6920" width="10.28515625" style="16" bestFit="1" customWidth="1"/>
    <col min="6921" max="6921" width="7.140625" style="16" bestFit="1" customWidth="1"/>
    <col min="6922" max="6922" width="7.7109375" style="16" customWidth="1"/>
    <col min="6923" max="6924" width="7" style="16" bestFit="1" customWidth="1"/>
    <col min="6925" max="6925" width="6.85546875" style="16" bestFit="1" customWidth="1"/>
    <col min="6926" max="6926" width="7" style="16" bestFit="1" customWidth="1"/>
    <col min="6927" max="6927" width="8" style="16" bestFit="1"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8.85546875" style="16" customWidth="1"/>
    <col min="7171" max="7171" width="10.7109375" style="16" bestFit="1" customWidth="1"/>
    <col min="7172" max="7172" width="6.7109375" style="16" bestFit="1" customWidth="1"/>
    <col min="7173" max="7173" width="8.5703125" style="16" bestFit="1" customWidth="1"/>
    <col min="7174" max="7174" width="9.28515625" style="16" bestFit="1" customWidth="1"/>
    <col min="7175" max="7175" width="10.42578125" style="16" bestFit="1" customWidth="1"/>
    <col min="7176" max="7176" width="10.28515625" style="16" bestFit="1" customWidth="1"/>
    <col min="7177" max="7177" width="7.140625" style="16" bestFit="1" customWidth="1"/>
    <col min="7178" max="7178" width="7.7109375" style="16" customWidth="1"/>
    <col min="7179" max="7180" width="7" style="16" bestFit="1" customWidth="1"/>
    <col min="7181" max="7181" width="6.85546875" style="16" bestFit="1" customWidth="1"/>
    <col min="7182" max="7182" width="7" style="16" bestFit="1" customWidth="1"/>
    <col min="7183" max="7183" width="8" style="16" bestFit="1"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8.85546875" style="16" customWidth="1"/>
    <col min="7427" max="7427" width="10.7109375" style="16" bestFit="1" customWidth="1"/>
    <col min="7428" max="7428" width="6.7109375" style="16" bestFit="1" customWidth="1"/>
    <col min="7429" max="7429" width="8.5703125" style="16" bestFit="1" customWidth="1"/>
    <col min="7430" max="7430" width="9.28515625" style="16" bestFit="1" customWidth="1"/>
    <col min="7431" max="7431" width="10.42578125" style="16" bestFit="1" customWidth="1"/>
    <col min="7432" max="7432" width="10.28515625" style="16" bestFit="1" customWidth="1"/>
    <col min="7433" max="7433" width="7.140625" style="16" bestFit="1" customWidth="1"/>
    <col min="7434" max="7434" width="7.7109375" style="16" customWidth="1"/>
    <col min="7435" max="7436" width="7" style="16" bestFit="1" customWidth="1"/>
    <col min="7437" max="7437" width="6.85546875" style="16" bestFit="1" customWidth="1"/>
    <col min="7438" max="7438" width="7" style="16" bestFit="1" customWidth="1"/>
    <col min="7439" max="7439" width="8" style="16" bestFit="1"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8.85546875" style="16" customWidth="1"/>
    <col min="7683" max="7683" width="10.7109375" style="16" bestFit="1" customWidth="1"/>
    <col min="7684" max="7684" width="6.7109375" style="16" bestFit="1" customWidth="1"/>
    <col min="7685" max="7685" width="8.5703125" style="16" bestFit="1" customWidth="1"/>
    <col min="7686" max="7686" width="9.28515625" style="16" bestFit="1" customWidth="1"/>
    <col min="7687" max="7687" width="10.42578125" style="16" bestFit="1" customWidth="1"/>
    <col min="7688" max="7688" width="10.28515625" style="16" bestFit="1" customWidth="1"/>
    <col min="7689" max="7689" width="7.140625" style="16" bestFit="1" customWidth="1"/>
    <col min="7690" max="7690" width="7.7109375" style="16" customWidth="1"/>
    <col min="7691" max="7692" width="7" style="16" bestFit="1" customWidth="1"/>
    <col min="7693" max="7693" width="6.85546875" style="16" bestFit="1" customWidth="1"/>
    <col min="7694" max="7694" width="7" style="16" bestFit="1" customWidth="1"/>
    <col min="7695" max="7695" width="8" style="16" bestFit="1"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8.85546875" style="16" customWidth="1"/>
    <col min="7939" max="7939" width="10.7109375" style="16" bestFit="1" customWidth="1"/>
    <col min="7940" max="7940" width="6.7109375" style="16" bestFit="1" customWidth="1"/>
    <col min="7941" max="7941" width="8.5703125" style="16" bestFit="1" customWidth="1"/>
    <col min="7942" max="7942" width="9.28515625" style="16" bestFit="1" customWidth="1"/>
    <col min="7943" max="7943" width="10.42578125" style="16" bestFit="1" customWidth="1"/>
    <col min="7944" max="7944" width="10.28515625" style="16" bestFit="1" customWidth="1"/>
    <col min="7945" max="7945" width="7.140625" style="16" bestFit="1" customWidth="1"/>
    <col min="7946" max="7946" width="7.7109375" style="16" customWidth="1"/>
    <col min="7947" max="7948" width="7" style="16" bestFit="1" customWidth="1"/>
    <col min="7949" max="7949" width="6.85546875" style="16" bestFit="1" customWidth="1"/>
    <col min="7950" max="7950" width="7" style="16" bestFit="1" customWidth="1"/>
    <col min="7951" max="7951" width="8" style="16" bestFit="1"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8.85546875" style="16" customWidth="1"/>
    <col min="8195" max="8195" width="10.7109375" style="16" bestFit="1" customWidth="1"/>
    <col min="8196" max="8196" width="6.7109375" style="16" bestFit="1" customWidth="1"/>
    <col min="8197" max="8197" width="8.5703125" style="16" bestFit="1" customWidth="1"/>
    <col min="8198" max="8198" width="9.28515625" style="16" bestFit="1" customWidth="1"/>
    <col min="8199" max="8199" width="10.42578125" style="16" bestFit="1" customWidth="1"/>
    <col min="8200" max="8200" width="10.28515625" style="16" bestFit="1" customWidth="1"/>
    <col min="8201" max="8201" width="7.140625" style="16" bestFit="1" customWidth="1"/>
    <col min="8202" max="8202" width="7.7109375" style="16" customWidth="1"/>
    <col min="8203" max="8204" width="7" style="16" bestFit="1" customWidth="1"/>
    <col min="8205" max="8205" width="6.85546875" style="16" bestFit="1" customWidth="1"/>
    <col min="8206" max="8206" width="7" style="16" bestFit="1" customWidth="1"/>
    <col min="8207" max="8207" width="8" style="16" bestFit="1"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8.85546875" style="16" customWidth="1"/>
    <col min="8451" max="8451" width="10.7109375" style="16" bestFit="1" customWidth="1"/>
    <col min="8452" max="8452" width="6.7109375" style="16" bestFit="1" customWidth="1"/>
    <col min="8453" max="8453" width="8.5703125" style="16" bestFit="1" customWidth="1"/>
    <col min="8454" max="8454" width="9.28515625" style="16" bestFit="1" customWidth="1"/>
    <col min="8455" max="8455" width="10.42578125" style="16" bestFit="1" customWidth="1"/>
    <col min="8456" max="8456" width="10.28515625" style="16" bestFit="1" customWidth="1"/>
    <col min="8457" max="8457" width="7.140625" style="16" bestFit="1" customWidth="1"/>
    <col min="8458" max="8458" width="7.7109375" style="16" customWidth="1"/>
    <col min="8459" max="8460" width="7" style="16" bestFit="1" customWidth="1"/>
    <col min="8461" max="8461" width="6.85546875" style="16" bestFit="1" customWidth="1"/>
    <col min="8462" max="8462" width="7" style="16" bestFit="1" customWidth="1"/>
    <col min="8463" max="8463" width="8" style="16" bestFit="1"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8.85546875" style="16" customWidth="1"/>
    <col min="8707" max="8707" width="10.7109375" style="16" bestFit="1" customWidth="1"/>
    <col min="8708" max="8708" width="6.7109375" style="16" bestFit="1" customWidth="1"/>
    <col min="8709" max="8709" width="8.5703125" style="16" bestFit="1" customWidth="1"/>
    <col min="8710" max="8710" width="9.28515625" style="16" bestFit="1" customWidth="1"/>
    <col min="8711" max="8711" width="10.42578125" style="16" bestFit="1" customWidth="1"/>
    <col min="8712" max="8712" width="10.28515625" style="16" bestFit="1" customWidth="1"/>
    <col min="8713" max="8713" width="7.140625" style="16" bestFit="1" customWidth="1"/>
    <col min="8714" max="8714" width="7.7109375" style="16" customWidth="1"/>
    <col min="8715" max="8716" width="7" style="16" bestFit="1" customWidth="1"/>
    <col min="8717" max="8717" width="6.85546875" style="16" bestFit="1" customWidth="1"/>
    <col min="8718" max="8718" width="7" style="16" bestFit="1" customWidth="1"/>
    <col min="8719" max="8719" width="8" style="16" bestFit="1"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8.85546875" style="16" customWidth="1"/>
    <col min="8963" max="8963" width="10.7109375" style="16" bestFit="1" customWidth="1"/>
    <col min="8964" max="8964" width="6.7109375" style="16" bestFit="1" customWidth="1"/>
    <col min="8965" max="8965" width="8.5703125" style="16" bestFit="1" customWidth="1"/>
    <col min="8966" max="8966" width="9.28515625" style="16" bestFit="1" customWidth="1"/>
    <col min="8967" max="8967" width="10.42578125" style="16" bestFit="1" customWidth="1"/>
    <col min="8968" max="8968" width="10.28515625" style="16" bestFit="1" customWidth="1"/>
    <col min="8969" max="8969" width="7.140625" style="16" bestFit="1" customWidth="1"/>
    <col min="8970" max="8970" width="7.7109375" style="16" customWidth="1"/>
    <col min="8971" max="8972" width="7" style="16" bestFit="1" customWidth="1"/>
    <col min="8973" max="8973" width="6.85546875" style="16" bestFit="1" customWidth="1"/>
    <col min="8974" max="8974" width="7" style="16" bestFit="1" customWidth="1"/>
    <col min="8975" max="8975" width="8" style="16" bestFit="1"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8.85546875" style="16" customWidth="1"/>
    <col min="9219" max="9219" width="10.7109375" style="16" bestFit="1" customWidth="1"/>
    <col min="9220" max="9220" width="6.7109375" style="16" bestFit="1" customWidth="1"/>
    <col min="9221" max="9221" width="8.5703125" style="16" bestFit="1" customWidth="1"/>
    <col min="9222" max="9222" width="9.28515625" style="16" bestFit="1" customWidth="1"/>
    <col min="9223" max="9223" width="10.42578125" style="16" bestFit="1" customWidth="1"/>
    <col min="9224" max="9224" width="10.28515625" style="16" bestFit="1" customWidth="1"/>
    <col min="9225" max="9225" width="7.140625" style="16" bestFit="1" customWidth="1"/>
    <col min="9226" max="9226" width="7.7109375" style="16" customWidth="1"/>
    <col min="9227" max="9228" width="7" style="16" bestFit="1" customWidth="1"/>
    <col min="9229" max="9229" width="6.85546875" style="16" bestFit="1" customWidth="1"/>
    <col min="9230" max="9230" width="7" style="16" bestFit="1" customWidth="1"/>
    <col min="9231" max="9231" width="8" style="16" bestFit="1"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8.85546875" style="16" customWidth="1"/>
    <col min="9475" max="9475" width="10.7109375" style="16" bestFit="1" customWidth="1"/>
    <col min="9476" max="9476" width="6.7109375" style="16" bestFit="1" customWidth="1"/>
    <col min="9477" max="9477" width="8.5703125" style="16" bestFit="1" customWidth="1"/>
    <col min="9478" max="9478" width="9.28515625" style="16" bestFit="1" customWidth="1"/>
    <col min="9479" max="9479" width="10.42578125" style="16" bestFit="1" customWidth="1"/>
    <col min="9480" max="9480" width="10.28515625" style="16" bestFit="1" customWidth="1"/>
    <col min="9481" max="9481" width="7.140625" style="16" bestFit="1" customWidth="1"/>
    <col min="9482" max="9482" width="7.7109375" style="16" customWidth="1"/>
    <col min="9483" max="9484" width="7" style="16" bestFit="1" customWidth="1"/>
    <col min="9485" max="9485" width="6.85546875" style="16" bestFit="1" customWidth="1"/>
    <col min="9486" max="9486" width="7" style="16" bestFit="1" customWidth="1"/>
    <col min="9487" max="9487" width="8" style="16" bestFit="1"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8.85546875" style="16" customWidth="1"/>
    <col min="9731" max="9731" width="10.7109375" style="16" bestFit="1" customWidth="1"/>
    <col min="9732" max="9732" width="6.7109375" style="16" bestFit="1" customWidth="1"/>
    <col min="9733" max="9733" width="8.5703125" style="16" bestFit="1" customWidth="1"/>
    <col min="9734" max="9734" width="9.28515625" style="16" bestFit="1" customWidth="1"/>
    <col min="9735" max="9735" width="10.42578125" style="16" bestFit="1" customWidth="1"/>
    <col min="9736" max="9736" width="10.28515625" style="16" bestFit="1" customWidth="1"/>
    <col min="9737" max="9737" width="7.140625" style="16" bestFit="1" customWidth="1"/>
    <col min="9738" max="9738" width="7.7109375" style="16" customWidth="1"/>
    <col min="9739" max="9740" width="7" style="16" bestFit="1" customWidth="1"/>
    <col min="9741" max="9741" width="6.85546875" style="16" bestFit="1" customWidth="1"/>
    <col min="9742" max="9742" width="7" style="16" bestFit="1" customWidth="1"/>
    <col min="9743" max="9743" width="8" style="16" bestFit="1"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8.85546875" style="16" customWidth="1"/>
    <col min="9987" max="9987" width="10.7109375" style="16" bestFit="1" customWidth="1"/>
    <col min="9988" max="9988" width="6.7109375" style="16" bestFit="1" customWidth="1"/>
    <col min="9989" max="9989" width="8.5703125" style="16" bestFit="1" customWidth="1"/>
    <col min="9990" max="9990" width="9.28515625" style="16" bestFit="1" customWidth="1"/>
    <col min="9991" max="9991" width="10.42578125" style="16" bestFit="1" customWidth="1"/>
    <col min="9992" max="9992" width="10.28515625" style="16" bestFit="1" customWidth="1"/>
    <col min="9993" max="9993" width="7.140625" style="16" bestFit="1" customWidth="1"/>
    <col min="9994" max="9994" width="7.7109375" style="16" customWidth="1"/>
    <col min="9995" max="9996" width="7" style="16" bestFit="1" customWidth="1"/>
    <col min="9997" max="9997" width="6.85546875" style="16" bestFit="1" customWidth="1"/>
    <col min="9998" max="9998" width="7" style="16" bestFit="1" customWidth="1"/>
    <col min="9999" max="9999" width="8" style="16" bestFit="1"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8.85546875" style="16" customWidth="1"/>
    <col min="10243" max="10243" width="10.7109375" style="16" bestFit="1" customWidth="1"/>
    <col min="10244" max="10244" width="6.7109375" style="16" bestFit="1" customWidth="1"/>
    <col min="10245" max="10245" width="8.5703125" style="16" bestFit="1" customWidth="1"/>
    <col min="10246" max="10246" width="9.28515625" style="16" bestFit="1" customWidth="1"/>
    <col min="10247" max="10247" width="10.42578125" style="16" bestFit="1" customWidth="1"/>
    <col min="10248" max="10248" width="10.28515625" style="16" bestFit="1" customWidth="1"/>
    <col min="10249" max="10249" width="7.140625" style="16" bestFit="1" customWidth="1"/>
    <col min="10250" max="10250" width="7.7109375" style="16" customWidth="1"/>
    <col min="10251" max="10252" width="7" style="16" bestFit="1" customWidth="1"/>
    <col min="10253" max="10253" width="6.85546875" style="16" bestFit="1" customWidth="1"/>
    <col min="10254" max="10254" width="7" style="16" bestFit="1" customWidth="1"/>
    <col min="10255" max="10255" width="8" style="16" bestFit="1"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8.85546875" style="16" customWidth="1"/>
    <col min="10499" max="10499" width="10.7109375" style="16" bestFit="1" customWidth="1"/>
    <col min="10500" max="10500" width="6.7109375" style="16" bestFit="1" customWidth="1"/>
    <col min="10501" max="10501" width="8.5703125" style="16" bestFit="1" customWidth="1"/>
    <col min="10502" max="10502" width="9.28515625" style="16" bestFit="1" customWidth="1"/>
    <col min="10503" max="10503" width="10.42578125" style="16" bestFit="1" customWidth="1"/>
    <col min="10504" max="10504" width="10.28515625" style="16" bestFit="1" customWidth="1"/>
    <col min="10505" max="10505" width="7.140625" style="16" bestFit="1" customWidth="1"/>
    <col min="10506" max="10506" width="7.7109375" style="16" customWidth="1"/>
    <col min="10507" max="10508" width="7" style="16" bestFit="1" customWidth="1"/>
    <col min="10509" max="10509" width="6.85546875" style="16" bestFit="1" customWidth="1"/>
    <col min="10510" max="10510" width="7" style="16" bestFit="1" customWidth="1"/>
    <col min="10511" max="10511" width="8" style="16" bestFit="1"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8.85546875" style="16" customWidth="1"/>
    <col min="10755" max="10755" width="10.7109375" style="16" bestFit="1" customWidth="1"/>
    <col min="10756" max="10756" width="6.7109375" style="16" bestFit="1" customWidth="1"/>
    <col min="10757" max="10757" width="8.5703125" style="16" bestFit="1" customWidth="1"/>
    <col min="10758" max="10758" width="9.28515625" style="16" bestFit="1" customWidth="1"/>
    <col min="10759" max="10759" width="10.42578125" style="16" bestFit="1" customWidth="1"/>
    <col min="10760" max="10760" width="10.28515625" style="16" bestFit="1" customWidth="1"/>
    <col min="10761" max="10761" width="7.140625" style="16" bestFit="1" customWidth="1"/>
    <col min="10762" max="10762" width="7.7109375" style="16" customWidth="1"/>
    <col min="10763" max="10764" width="7" style="16" bestFit="1" customWidth="1"/>
    <col min="10765" max="10765" width="6.85546875" style="16" bestFit="1" customWidth="1"/>
    <col min="10766" max="10766" width="7" style="16" bestFit="1" customWidth="1"/>
    <col min="10767" max="10767" width="8" style="16" bestFit="1"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8.85546875" style="16" customWidth="1"/>
    <col min="11011" max="11011" width="10.7109375" style="16" bestFit="1" customWidth="1"/>
    <col min="11012" max="11012" width="6.7109375" style="16" bestFit="1" customWidth="1"/>
    <col min="11013" max="11013" width="8.5703125" style="16" bestFit="1" customWidth="1"/>
    <col min="11014" max="11014" width="9.28515625" style="16" bestFit="1" customWidth="1"/>
    <col min="11015" max="11015" width="10.42578125" style="16" bestFit="1" customWidth="1"/>
    <col min="11016" max="11016" width="10.28515625" style="16" bestFit="1" customWidth="1"/>
    <col min="11017" max="11017" width="7.140625" style="16" bestFit="1" customWidth="1"/>
    <col min="11018" max="11018" width="7.7109375" style="16" customWidth="1"/>
    <col min="11019" max="11020" width="7" style="16" bestFit="1" customWidth="1"/>
    <col min="11021" max="11021" width="6.85546875" style="16" bestFit="1" customWidth="1"/>
    <col min="11022" max="11022" width="7" style="16" bestFit="1" customWidth="1"/>
    <col min="11023" max="11023" width="8" style="16" bestFit="1"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8.85546875" style="16" customWidth="1"/>
    <col min="11267" max="11267" width="10.7109375" style="16" bestFit="1" customWidth="1"/>
    <col min="11268" max="11268" width="6.7109375" style="16" bestFit="1" customWidth="1"/>
    <col min="11269" max="11269" width="8.5703125" style="16" bestFit="1" customWidth="1"/>
    <col min="11270" max="11270" width="9.28515625" style="16" bestFit="1" customWidth="1"/>
    <col min="11271" max="11271" width="10.42578125" style="16" bestFit="1" customWidth="1"/>
    <col min="11272" max="11272" width="10.28515625" style="16" bestFit="1" customWidth="1"/>
    <col min="11273" max="11273" width="7.140625" style="16" bestFit="1" customWidth="1"/>
    <col min="11274" max="11274" width="7.7109375" style="16" customWidth="1"/>
    <col min="11275" max="11276" width="7" style="16" bestFit="1" customWidth="1"/>
    <col min="11277" max="11277" width="6.85546875" style="16" bestFit="1" customWidth="1"/>
    <col min="11278" max="11278" width="7" style="16" bestFit="1" customWidth="1"/>
    <col min="11279" max="11279" width="8" style="16" bestFit="1"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8.85546875" style="16" customWidth="1"/>
    <col min="11523" max="11523" width="10.7109375" style="16" bestFit="1" customWidth="1"/>
    <col min="11524" max="11524" width="6.7109375" style="16" bestFit="1" customWidth="1"/>
    <col min="11525" max="11525" width="8.5703125" style="16" bestFit="1" customWidth="1"/>
    <col min="11526" max="11526" width="9.28515625" style="16" bestFit="1" customWidth="1"/>
    <col min="11527" max="11527" width="10.42578125" style="16" bestFit="1" customWidth="1"/>
    <col min="11528" max="11528" width="10.28515625" style="16" bestFit="1" customWidth="1"/>
    <col min="11529" max="11529" width="7.140625" style="16" bestFit="1" customWidth="1"/>
    <col min="11530" max="11530" width="7.7109375" style="16" customWidth="1"/>
    <col min="11531" max="11532" width="7" style="16" bestFit="1" customWidth="1"/>
    <col min="11533" max="11533" width="6.85546875" style="16" bestFit="1" customWidth="1"/>
    <col min="11534" max="11534" width="7" style="16" bestFit="1" customWidth="1"/>
    <col min="11535" max="11535" width="8" style="16" bestFit="1"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8.85546875" style="16" customWidth="1"/>
    <col min="11779" max="11779" width="10.7109375" style="16" bestFit="1" customWidth="1"/>
    <col min="11780" max="11780" width="6.7109375" style="16" bestFit="1" customWidth="1"/>
    <col min="11781" max="11781" width="8.5703125" style="16" bestFit="1" customWidth="1"/>
    <col min="11782" max="11782" width="9.28515625" style="16" bestFit="1" customWidth="1"/>
    <col min="11783" max="11783" width="10.42578125" style="16" bestFit="1" customWidth="1"/>
    <col min="11784" max="11784" width="10.28515625" style="16" bestFit="1" customWidth="1"/>
    <col min="11785" max="11785" width="7.140625" style="16" bestFit="1" customWidth="1"/>
    <col min="11786" max="11786" width="7.7109375" style="16" customWidth="1"/>
    <col min="11787" max="11788" width="7" style="16" bestFit="1" customWidth="1"/>
    <col min="11789" max="11789" width="6.85546875" style="16" bestFit="1" customWidth="1"/>
    <col min="11790" max="11790" width="7" style="16" bestFit="1" customWidth="1"/>
    <col min="11791" max="11791" width="8" style="16" bestFit="1"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8.85546875" style="16" customWidth="1"/>
    <col min="12035" max="12035" width="10.7109375" style="16" bestFit="1" customWidth="1"/>
    <col min="12036" max="12036" width="6.7109375" style="16" bestFit="1" customWidth="1"/>
    <col min="12037" max="12037" width="8.5703125" style="16" bestFit="1" customWidth="1"/>
    <col min="12038" max="12038" width="9.28515625" style="16" bestFit="1" customWidth="1"/>
    <col min="12039" max="12039" width="10.42578125" style="16" bestFit="1" customWidth="1"/>
    <col min="12040" max="12040" width="10.28515625" style="16" bestFit="1" customWidth="1"/>
    <col min="12041" max="12041" width="7.140625" style="16" bestFit="1" customWidth="1"/>
    <col min="12042" max="12042" width="7.7109375" style="16" customWidth="1"/>
    <col min="12043" max="12044" width="7" style="16" bestFit="1" customWidth="1"/>
    <col min="12045" max="12045" width="6.85546875" style="16" bestFit="1" customWidth="1"/>
    <col min="12046" max="12046" width="7" style="16" bestFit="1" customWidth="1"/>
    <col min="12047" max="12047" width="8" style="16" bestFit="1"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8.85546875" style="16" customWidth="1"/>
    <col min="12291" max="12291" width="10.7109375" style="16" bestFit="1" customWidth="1"/>
    <col min="12292" max="12292" width="6.7109375" style="16" bestFit="1" customWidth="1"/>
    <col min="12293" max="12293" width="8.5703125" style="16" bestFit="1" customWidth="1"/>
    <col min="12294" max="12294" width="9.28515625" style="16" bestFit="1" customWidth="1"/>
    <col min="12295" max="12295" width="10.42578125" style="16" bestFit="1" customWidth="1"/>
    <col min="12296" max="12296" width="10.28515625" style="16" bestFit="1" customWidth="1"/>
    <col min="12297" max="12297" width="7.140625" style="16" bestFit="1" customWidth="1"/>
    <col min="12298" max="12298" width="7.7109375" style="16" customWidth="1"/>
    <col min="12299" max="12300" width="7" style="16" bestFit="1" customWidth="1"/>
    <col min="12301" max="12301" width="6.85546875" style="16" bestFit="1" customWidth="1"/>
    <col min="12302" max="12302" width="7" style="16" bestFit="1" customWidth="1"/>
    <col min="12303" max="12303" width="8" style="16" bestFit="1"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8.85546875" style="16" customWidth="1"/>
    <col min="12547" max="12547" width="10.7109375" style="16" bestFit="1" customWidth="1"/>
    <col min="12548" max="12548" width="6.7109375" style="16" bestFit="1" customWidth="1"/>
    <col min="12549" max="12549" width="8.5703125" style="16" bestFit="1" customWidth="1"/>
    <col min="12550" max="12550" width="9.28515625" style="16" bestFit="1" customWidth="1"/>
    <col min="12551" max="12551" width="10.42578125" style="16" bestFit="1" customWidth="1"/>
    <col min="12552" max="12552" width="10.28515625" style="16" bestFit="1" customWidth="1"/>
    <col min="12553" max="12553" width="7.140625" style="16" bestFit="1" customWidth="1"/>
    <col min="12554" max="12554" width="7.7109375" style="16" customWidth="1"/>
    <col min="12555" max="12556" width="7" style="16" bestFit="1" customWidth="1"/>
    <col min="12557" max="12557" width="6.85546875" style="16" bestFit="1" customWidth="1"/>
    <col min="12558" max="12558" width="7" style="16" bestFit="1" customWidth="1"/>
    <col min="12559" max="12559" width="8" style="16" bestFit="1"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8.85546875" style="16" customWidth="1"/>
    <col min="12803" max="12803" width="10.7109375" style="16" bestFit="1" customWidth="1"/>
    <col min="12804" max="12804" width="6.7109375" style="16" bestFit="1" customWidth="1"/>
    <col min="12805" max="12805" width="8.5703125" style="16" bestFit="1" customWidth="1"/>
    <col min="12806" max="12806" width="9.28515625" style="16" bestFit="1" customWidth="1"/>
    <col min="12807" max="12807" width="10.42578125" style="16" bestFit="1" customWidth="1"/>
    <col min="12808" max="12808" width="10.28515625" style="16" bestFit="1" customWidth="1"/>
    <col min="12809" max="12809" width="7.140625" style="16" bestFit="1" customWidth="1"/>
    <col min="12810" max="12810" width="7.7109375" style="16" customWidth="1"/>
    <col min="12811" max="12812" width="7" style="16" bestFit="1" customWidth="1"/>
    <col min="12813" max="12813" width="6.85546875" style="16" bestFit="1" customWidth="1"/>
    <col min="12814" max="12814" width="7" style="16" bestFit="1" customWidth="1"/>
    <col min="12815" max="12815" width="8" style="16" bestFit="1"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8.85546875" style="16" customWidth="1"/>
    <col min="13059" max="13059" width="10.7109375" style="16" bestFit="1" customWidth="1"/>
    <col min="13060" max="13060" width="6.7109375" style="16" bestFit="1" customWidth="1"/>
    <col min="13061" max="13061" width="8.5703125" style="16" bestFit="1" customWidth="1"/>
    <col min="13062" max="13062" width="9.28515625" style="16" bestFit="1" customWidth="1"/>
    <col min="13063" max="13063" width="10.42578125" style="16" bestFit="1" customWidth="1"/>
    <col min="13064" max="13064" width="10.28515625" style="16" bestFit="1" customWidth="1"/>
    <col min="13065" max="13065" width="7.140625" style="16" bestFit="1" customWidth="1"/>
    <col min="13066" max="13066" width="7.7109375" style="16" customWidth="1"/>
    <col min="13067" max="13068" width="7" style="16" bestFit="1" customWidth="1"/>
    <col min="13069" max="13069" width="6.85546875" style="16" bestFit="1" customWidth="1"/>
    <col min="13070" max="13070" width="7" style="16" bestFit="1" customWidth="1"/>
    <col min="13071" max="13071" width="8" style="16" bestFit="1"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8.85546875" style="16" customWidth="1"/>
    <col min="13315" max="13315" width="10.7109375" style="16" bestFit="1" customWidth="1"/>
    <col min="13316" max="13316" width="6.7109375" style="16" bestFit="1" customWidth="1"/>
    <col min="13317" max="13317" width="8.5703125" style="16" bestFit="1" customWidth="1"/>
    <col min="13318" max="13318" width="9.28515625" style="16" bestFit="1" customWidth="1"/>
    <col min="13319" max="13319" width="10.42578125" style="16" bestFit="1" customWidth="1"/>
    <col min="13320" max="13320" width="10.28515625" style="16" bestFit="1" customWidth="1"/>
    <col min="13321" max="13321" width="7.140625" style="16" bestFit="1" customWidth="1"/>
    <col min="13322" max="13322" width="7.7109375" style="16" customWidth="1"/>
    <col min="13323" max="13324" width="7" style="16" bestFit="1" customWidth="1"/>
    <col min="13325" max="13325" width="6.85546875" style="16" bestFit="1" customWidth="1"/>
    <col min="13326" max="13326" width="7" style="16" bestFit="1" customWidth="1"/>
    <col min="13327" max="13327" width="8" style="16" bestFit="1"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8.85546875" style="16" customWidth="1"/>
    <col min="13571" max="13571" width="10.7109375" style="16" bestFit="1" customWidth="1"/>
    <col min="13572" max="13572" width="6.7109375" style="16" bestFit="1" customWidth="1"/>
    <col min="13573" max="13573" width="8.5703125" style="16" bestFit="1" customWidth="1"/>
    <col min="13574" max="13574" width="9.28515625" style="16" bestFit="1" customWidth="1"/>
    <col min="13575" max="13575" width="10.42578125" style="16" bestFit="1" customWidth="1"/>
    <col min="13576" max="13576" width="10.28515625" style="16" bestFit="1" customWidth="1"/>
    <col min="13577" max="13577" width="7.140625" style="16" bestFit="1" customWidth="1"/>
    <col min="13578" max="13578" width="7.7109375" style="16" customWidth="1"/>
    <col min="13579" max="13580" width="7" style="16" bestFit="1" customWidth="1"/>
    <col min="13581" max="13581" width="6.85546875" style="16" bestFit="1" customWidth="1"/>
    <col min="13582" max="13582" width="7" style="16" bestFit="1" customWidth="1"/>
    <col min="13583" max="13583" width="8" style="16" bestFit="1"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8.85546875" style="16" customWidth="1"/>
    <col min="13827" max="13827" width="10.7109375" style="16" bestFit="1" customWidth="1"/>
    <col min="13828" max="13828" width="6.7109375" style="16" bestFit="1" customWidth="1"/>
    <col min="13829" max="13829" width="8.5703125" style="16" bestFit="1" customWidth="1"/>
    <col min="13830" max="13830" width="9.28515625" style="16" bestFit="1" customWidth="1"/>
    <col min="13831" max="13831" width="10.42578125" style="16" bestFit="1" customWidth="1"/>
    <col min="13832" max="13832" width="10.28515625" style="16" bestFit="1" customWidth="1"/>
    <col min="13833" max="13833" width="7.140625" style="16" bestFit="1" customWidth="1"/>
    <col min="13834" max="13834" width="7.7109375" style="16" customWidth="1"/>
    <col min="13835" max="13836" width="7" style="16" bestFit="1" customWidth="1"/>
    <col min="13837" max="13837" width="6.85546875" style="16" bestFit="1" customWidth="1"/>
    <col min="13838" max="13838" width="7" style="16" bestFit="1" customWidth="1"/>
    <col min="13839" max="13839" width="8" style="16" bestFit="1"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8.85546875" style="16" customWidth="1"/>
    <col min="14083" max="14083" width="10.7109375" style="16" bestFit="1" customWidth="1"/>
    <col min="14084" max="14084" width="6.7109375" style="16" bestFit="1" customWidth="1"/>
    <col min="14085" max="14085" width="8.5703125" style="16" bestFit="1" customWidth="1"/>
    <col min="14086" max="14086" width="9.28515625" style="16" bestFit="1" customWidth="1"/>
    <col min="14087" max="14087" width="10.42578125" style="16" bestFit="1" customWidth="1"/>
    <col min="14088" max="14088" width="10.28515625" style="16" bestFit="1" customWidth="1"/>
    <col min="14089" max="14089" width="7.140625" style="16" bestFit="1" customWidth="1"/>
    <col min="14090" max="14090" width="7.7109375" style="16" customWidth="1"/>
    <col min="14091" max="14092" width="7" style="16" bestFit="1" customWidth="1"/>
    <col min="14093" max="14093" width="6.85546875" style="16" bestFit="1" customWidth="1"/>
    <col min="14094" max="14094" width="7" style="16" bestFit="1" customWidth="1"/>
    <col min="14095" max="14095" width="8" style="16" bestFit="1"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8.85546875" style="16" customWidth="1"/>
    <col min="14339" max="14339" width="10.7109375" style="16" bestFit="1" customWidth="1"/>
    <col min="14340" max="14340" width="6.7109375" style="16" bestFit="1" customWidth="1"/>
    <col min="14341" max="14341" width="8.5703125" style="16" bestFit="1" customWidth="1"/>
    <col min="14342" max="14342" width="9.28515625" style="16" bestFit="1" customWidth="1"/>
    <col min="14343" max="14343" width="10.42578125" style="16" bestFit="1" customWidth="1"/>
    <col min="14344" max="14344" width="10.28515625" style="16" bestFit="1" customWidth="1"/>
    <col min="14345" max="14345" width="7.140625" style="16" bestFit="1" customWidth="1"/>
    <col min="14346" max="14346" width="7.7109375" style="16" customWidth="1"/>
    <col min="14347" max="14348" width="7" style="16" bestFit="1" customWidth="1"/>
    <col min="14349" max="14349" width="6.85546875" style="16" bestFit="1" customWidth="1"/>
    <col min="14350" max="14350" width="7" style="16" bestFit="1" customWidth="1"/>
    <col min="14351" max="14351" width="8" style="16" bestFit="1"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8.85546875" style="16" customWidth="1"/>
    <col min="14595" max="14595" width="10.7109375" style="16" bestFit="1" customWidth="1"/>
    <col min="14596" max="14596" width="6.7109375" style="16" bestFit="1" customWidth="1"/>
    <col min="14597" max="14597" width="8.5703125" style="16" bestFit="1" customWidth="1"/>
    <col min="14598" max="14598" width="9.28515625" style="16" bestFit="1" customWidth="1"/>
    <col min="14599" max="14599" width="10.42578125" style="16" bestFit="1" customWidth="1"/>
    <col min="14600" max="14600" width="10.28515625" style="16" bestFit="1" customWidth="1"/>
    <col min="14601" max="14601" width="7.140625" style="16" bestFit="1" customWidth="1"/>
    <col min="14602" max="14602" width="7.7109375" style="16" customWidth="1"/>
    <col min="14603" max="14604" width="7" style="16" bestFit="1" customWidth="1"/>
    <col min="14605" max="14605" width="6.85546875" style="16" bestFit="1" customWidth="1"/>
    <col min="14606" max="14606" width="7" style="16" bestFit="1" customWidth="1"/>
    <col min="14607" max="14607" width="8" style="16" bestFit="1"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8.85546875" style="16" customWidth="1"/>
    <col min="14851" max="14851" width="10.7109375" style="16" bestFit="1" customWidth="1"/>
    <col min="14852" max="14852" width="6.7109375" style="16" bestFit="1" customWidth="1"/>
    <col min="14853" max="14853" width="8.5703125" style="16" bestFit="1" customWidth="1"/>
    <col min="14854" max="14854" width="9.28515625" style="16" bestFit="1" customWidth="1"/>
    <col min="14855" max="14855" width="10.42578125" style="16" bestFit="1" customWidth="1"/>
    <col min="14856" max="14856" width="10.28515625" style="16" bestFit="1" customWidth="1"/>
    <col min="14857" max="14857" width="7.140625" style="16" bestFit="1" customWidth="1"/>
    <col min="14858" max="14858" width="7.7109375" style="16" customWidth="1"/>
    <col min="14859" max="14860" width="7" style="16" bestFit="1" customWidth="1"/>
    <col min="14861" max="14861" width="6.85546875" style="16" bestFit="1" customWidth="1"/>
    <col min="14862" max="14862" width="7" style="16" bestFit="1" customWidth="1"/>
    <col min="14863" max="14863" width="8" style="16" bestFit="1"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8.85546875" style="16" customWidth="1"/>
    <col min="15107" max="15107" width="10.7109375" style="16" bestFit="1" customWidth="1"/>
    <col min="15108" max="15108" width="6.7109375" style="16" bestFit="1" customWidth="1"/>
    <col min="15109" max="15109" width="8.5703125" style="16" bestFit="1" customWidth="1"/>
    <col min="15110" max="15110" width="9.28515625" style="16" bestFit="1" customWidth="1"/>
    <col min="15111" max="15111" width="10.42578125" style="16" bestFit="1" customWidth="1"/>
    <col min="15112" max="15112" width="10.28515625" style="16" bestFit="1" customWidth="1"/>
    <col min="15113" max="15113" width="7.140625" style="16" bestFit="1" customWidth="1"/>
    <col min="15114" max="15114" width="7.7109375" style="16" customWidth="1"/>
    <col min="15115" max="15116" width="7" style="16" bestFit="1" customWidth="1"/>
    <col min="15117" max="15117" width="6.85546875" style="16" bestFit="1" customWidth="1"/>
    <col min="15118" max="15118" width="7" style="16" bestFit="1" customWidth="1"/>
    <col min="15119" max="15119" width="8" style="16" bestFit="1"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8.85546875" style="16" customWidth="1"/>
    <col min="15363" max="15363" width="10.7109375" style="16" bestFit="1" customWidth="1"/>
    <col min="15364" max="15364" width="6.7109375" style="16" bestFit="1" customWidth="1"/>
    <col min="15365" max="15365" width="8.5703125" style="16" bestFit="1" customWidth="1"/>
    <col min="15366" max="15366" width="9.28515625" style="16" bestFit="1" customWidth="1"/>
    <col min="15367" max="15367" width="10.42578125" style="16" bestFit="1" customWidth="1"/>
    <col min="15368" max="15368" width="10.28515625" style="16" bestFit="1" customWidth="1"/>
    <col min="15369" max="15369" width="7.140625" style="16" bestFit="1" customWidth="1"/>
    <col min="15370" max="15370" width="7.7109375" style="16" customWidth="1"/>
    <col min="15371" max="15372" width="7" style="16" bestFit="1" customWidth="1"/>
    <col min="15373" max="15373" width="6.85546875" style="16" bestFit="1" customWidth="1"/>
    <col min="15374" max="15374" width="7" style="16" bestFit="1" customWidth="1"/>
    <col min="15375" max="15375" width="8" style="16" bestFit="1"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8.85546875" style="16" customWidth="1"/>
    <col min="15619" max="15619" width="10.7109375" style="16" bestFit="1" customWidth="1"/>
    <col min="15620" max="15620" width="6.7109375" style="16" bestFit="1" customWidth="1"/>
    <col min="15621" max="15621" width="8.5703125" style="16" bestFit="1" customWidth="1"/>
    <col min="15622" max="15622" width="9.28515625" style="16" bestFit="1" customWidth="1"/>
    <col min="15623" max="15623" width="10.42578125" style="16" bestFit="1" customWidth="1"/>
    <col min="15624" max="15624" width="10.28515625" style="16" bestFit="1" customWidth="1"/>
    <col min="15625" max="15625" width="7.140625" style="16" bestFit="1" customWidth="1"/>
    <col min="15626" max="15626" width="7.7109375" style="16" customWidth="1"/>
    <col min="15627" max="15628" width="7" style="16" bestFit="1" customWidth="1"/>
    <col min="15629" max="15629" width="6.85546875" style="16" bestFit="1" customWidth="1"/>
    <col min="15630" max="15630" width="7" style="16" bestFit="1" customWidth="1"/>
    <col min="15631" max="15631" width="8" style="16" bestFit="1"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8.85546875" style="16" customWidth="1"/>
    <col min="15875" max="15875" width="10.7109375" style="16" bestFit="1" customWidth="1"/>
    <col min="15876" max="15876" width="6.7109375" style="16" bestFit="1" customWidth="1"/>
    <col min="15877" max="15877" width="8.5703125" style="16" bestFit="1" customWidth="1"/>
    <col min="15878" max="15878" width="9.28515625" style="16" bestFit="1" customWidth="1"/>
    <col min="15879" max="15879" width="10.42578125" style="16" bestFit="1" customWidth="1"/>
    <col min="15880" max="15880" width="10.28515625" style="16" bestFit="1" customWidth="1"/>
    <col min="15881" max="15881" width="7.140625" style="16" bestFit="1" customWidth="1"/>
    <col min="15882" max="15882" width="7.7109375" style="16" customWidth="1"/>
    <col min="15883" max="15884" width="7" style="16" bestFit="1" customWidth="1"/>
    <col min="15885" max="15885" width="6.85546875" style="16" bestFit="1" customWidth="1"/>
    <col min="15886" max="15886" width="7" style="16" bestFit="1" customWidth="1"/>
    <col min="15887" max="15887" width="8" style="16" bestFit="1"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8.85546875" style="16" customWidth="1"/>
    <col min="16131" max="16131" width="10.7109375" style="16" bestFit="1" customWidth="1"/>
    <col min="16132" max="16132" width="6.7109375" style="16" bestFit="1" customWidth="1"/>
    <col min="16133" max="16133" width="8.5703125" style="16" bestFit="1" customWidth="1"/>
    <col min="16134" max="16134" width="9.28515625" style="16" bestFit="1" customWidth="1"/>
    <col min="16135" max="16135" width="10.42578125" style="16" bestFit="1" customWidth="1"/>
    <col min="16136" max="16136" width="10.28515625" style="16" bestFit="1" customWidth="1"/>
    <col min="16137" max="16137" width="7.140625" style="16" bestFit="1" customWidth="1"/>
    <col min="16138" max="16138" width="7.7109375" style="16" customWidth="1"/>
    <col min="16139" max="16140" width="7" style="16" bestFit="1" customWidth="1"/>
    <col min="16141" max="16141" width="6.85546875" style="16" bestFit="1" customWidth="1"/>
    <col min="16142" max="16142" width="7" style="16" bestFit="1" customWidth="1"/>
    <col min="16143" max="16143" width="8" style="16" bestFit="1"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67" t="s">
        <v>100</v>
      </c>
      <c r="B1" s="868"/>
      <c r="C1" s="868"/>
      <c r="D1" s="892" t="s">
        <v>101</v>
      </c>
      <c r="E1" s="868"/>
      <c r="F1" s="868"/>
      <c r="G1" s="867" t="s">
        <v>102</v>
      </c>
      <c r="H1" s="869"/>
      <c r="I1" s="869" t="s">
        <v>5</v>
      </c>
      <c r="J1" s="868"/>
      <c r="K1" s="868"/>
      <c r="L1" s="870"/>
      <c r="M1" s="870"/>
      <c r="N1" s="870"/>
      <c r="O1" s="870"/>
    </row>
    <row r="2" spans="1:15" s="1" customFormat="1" x14ac:dyDescent="0.2">
      <c r="A2" s="867" t="s">
        <v>103</v>
      </c>
      <c r="B2" s="868"/>
      <c r="C2" s="868"/>
      <c r="D2" s="869"/>
      <c r="E2" s="868"/>
      <c r="F2" s="868"/>
      <c r="G2" s="867" t="s">
        <v>104</v>
      </c>
      <c r="H2" s="869"/>
      <c r="I2" s="869" t="s">
        <v>105</v>
      </c>
      <c r="J2" s="868"/>
      <c r="K2" s="868"/>
      <c r="L2" s="870"/>
      <c r="M2" s="870"/>
      <c r="N2" s="870"/>
      <c r="O2" s="870"/>
    </row>
    <row r="3" spans="1:15" s="1" customFormat="1" x14ac:dyDescent="0.2">
      <c r="A3" s="867" t="s">
        <v>106</v>
      </c>
      <c r="B3" s="868"/>
      <c r="C3" s="868"/>
      <c r="D3" s="890">
        <v>23177</v>
      </c>
      <c r="E3" s="891"/>
      <c r="F3" s="891"/>
      <c r="G3" s="867" t="s">
        <v>107</v>
      </c>
      <c r="H3" s="869"/>
      <c r="I3" s="869" t="s">
        <v>108</v>
      </c>
      <c r="J3" s="868"/>
      <c r="K3" s="868"/>
      <c r="L3" s="870"/>
      <c r="M3" s="870"/>
      <c r="N3" s="870"/>
      <c r="O3" s="870"/>
    </row>
    <row r="4" spans="1:15" s="1" customFormat="1" x14ac:dyDescent="0.2">
      <c r="A4" s="867" t="s">
        <v>109</v>
      </c>
      <c r="B4" s="868"/>
      <c r="C4" s="868"/>
      <c r="D4" s="869"/>
      <c r="E4" s="868"/>
      <c r="F4" s="868"/>
      <c r="G4" s="867" t="s">
        <v>110</v>
      </c>
      <c r="H4" s="869"/>
      <c r="I4" s="869" t="s">
        <v>111</v>
      </c>
      <c r="J4" s="868"/>
      <c r="K4" s="868"/>
      <c r="L4" s="870"/>
      <c r="M4" s="870"/>
      <c r="N4" s="870"/>
      <c r="O4" s="870"/>
    </row>
    <row r="5" spans="1:15" s="1" customFormat="1" x14ac:dyDescent="0.2">
      <c r="A5" s="867" t="s">
        <v>112</v>
      </c>
      <c r="B5" s="868"/>
      <c r="C5" s="868"/>
      <c r="D5" s="869"/>
      <c r="E5" s="868"/>
      <c r="F5" s="868"/>
      <c r="G5" s="867"/>
      <c r="H5" s="868"/>
      <c r="I5" s="869" t="s">
        <v>113</v>
      </c>
      <c r="J5" s="868"/>
      <c r="K5" s="868"/>
      <c r="L5" s="870"/>
      <c r="M5" s="870"/>
      <c r="N5" s="870"/>
      <c r="O5" s="870"/>
    </row>
    <row r="6" spans="1:15" s="1" customFormat="1" x14ac:dyDescent="0.2">
      <c r="A6" s="871" t="s">
        <v>114</v>
      </c>
      <c r="B6" s="872"/>
      <c r="C6" s="872"/>
      <c r="D6" s="868" t="s">
        <v>6</v>
      </c>
      <c r="E6" s="868"/>
      <c r="F6" s="868"/>
      <c r="G6" s="871" t="s">
        <v>115</v>
      </c>
      <c r="H6" s="871"/>
      <c r="I6" s="2" t="s">
        <v>116</v>
      </c>
      <c r="J6" s="888"/>
      <c r="K6" s="888"/>
      <c r="L6" s="888"/>
      <c r="M6" s="888"/>
      <c r="N6" s="888"/>
      <c r="O6" s="889"/>
    </row>
    <row r="7" spans="1:15" s="1" customFormat="1" ht="13.5" thickBot="1" x14ac:dyDescent="0.25">
      <c r="A7" s="3"/>
      <c r="B7" s="4"/>
      <c r="C7" s="5"/>
      <c r="D7" s="6"/>
      <c r="E7" s="6"/>
      <c r="F7" s="6"/>
      <c r="G7" s="6"/>
      <c r="H7" s="6"/>
      <c r="I7" s="6"/>
      <c r="J7" s="7"/>
      <c r="K7" s="8"/>
      <c r="L7" s="875"/>
      <c r="M7" s="875"/>
      <c r="N7" s="875"/>
      <c r="O7" s="875"/>
    </row>
    <row r="8" spans="1:15" s="11" customFormat="1" x14ac:dyDescent="0.2">
      <c r="A8" s="876" t="str">
        <f>I1</f>
        <v>Mr. C. K. Borikar</v>
      </c>
      <c r="B8" s="877"/>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42800</v>
      </c>
      <c r="D9" s="14">
        <v>42800</v>
      </c>
      <c r="E9" s="14">
        <v>42800</v>
      </c>
      <c r="F9" s="14">
        <v>42800</v>
      </c>
      <c r="G9" s="14">
        <v>42800</v>
      </c>
      <c r="H9" s="14">
        <v>42800</v>
      </c>
      <c r="I9" s="14">
        <v>0</v>
      </c>
      <c r="J9" s="14">
        <v>0</v>
      </c>
      <c r="K9" s="14">
        <v>0</v>
      </c>
      <c r="L9" s="14">
        <v>0</v>
      </c>
      <c r="M9" s="14">
        <v>0</v>
      </c>
      <c r="N9" s="14">
        <v>0</v>
      </c>
      <c r="O9" s="15">
        <f>SUM(C9:N9)</f>
        <v>256800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2140</v>
      </c>
      <c r="D11" s="17">
        <v>2996</v>
      </c>
      <c r="E11" s="17">
        <v>2996</v>
      </c>
      <c r="F11" s="17">
        <v>2996</v>
      </c>
      <c r="G11" s="17">
        <v>3087</v>
      </c>
      <c r="H11" s="17">
        <v>3087</v>
      </c>
      <c r="I11" s="17">
        <v>0</v>
      </c>
      <c r="J11" s="17">
        <v>0</v>
      </c>
      <c r="K11" s="17">
        <v>0</v>
      </c>
      <c r="L11" s="17">
        <v>0</v>
      </c>
      <c r="M11" s="17">
        <v>0</v>
      </c>
      <c r="N11" s="17">
        <v>0</v>
      </c>
      <c r="O11" s="18">
        <f>SUM(C11:N11)</f>
        <v>17302</v>
      </c>
    </row>
    <row r="12" spans="1:15"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6.5" customHeight="1" x14ac:dyDescent="0.2">
      <c r="A14" s="12"/>
      <c r="B14" s="13" t="s">
        <v>123</v>
      </c>
      <c r="C14" s="17">
        <v>3780</v>
      </c>
      <c r="D14" s="17">
        <v>3852</v>
      </c>
      <c r="E14" s="17">
        <v>3852</v>
      </c>
      <c r="F14" s="17">
        <v>3852</v>
      </c>
      <c r="G14" s="17">
        <v>3852</v>
      </c>
      <c r="H14" s="17">
        <v>3852</v>
      </c>
      <c r="I14" s="17">
        <v>0</v>
      </c>
      <c r="J14" s="17">
        <v>0</v>
      </c>
      <c r="K14" s="17">
        <v>0</v>
      </c>
      <c r="L14" s="17">
        <v>0</v>
      </c>
      <c r="M14" s="17">
        <v>0</v>
      </c>
      <c r="N14" s="17">
        <v>0</v>
      </c>
      <c r="O14" s="18">
        <f t="shared" si="0"/>
        <v>23040</v>
      </c>
    </row>
    <row r="15" spans="1:15" ht="15" customHeight="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6.5" hidden="1" customHeight="1"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row>
    <row r="17" spans="1:15" ht="15.75" hidden="1" customHeight="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127</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10272</v>
      </c>
      <c r="D19" s="17">
        <v>10272</v>
      </c>
      <c r="E19" s="17">
        <v>10272</v>
      </c>
      <c r="F19" s="17">
        <v>10272</v>
      </c>
      <c r="G19" s="17">
        <v>10584</v>
      </c>
      <c r="H19" s="17">
        <v>10584</v>
      </c>
      <c r="I19" s="17">
        <v>0</v>
      </c>
      <c r="J19" s="17">
        <v>0</v>
      </c>
      <c r="K19" s="17">
        <v>0</v>
      </c>
      <c r="L19" s="17">
        <v>0</v>
      </c>
      <c r="M19" s="17">
        <v>0</v>
      </c>
      <c r="N19" s="17">
        <v>0</v>
      </c>
      <c r="O19" s="18">
        <f t="shared" si="0"/>
        <v>62256</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customHeight="1" x14ac:dyDescent="0.2">
      <c r="A21" s="878"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79"/>
      <c r="B22" s="19" t="s">
        <v>132</v>
      </c>
      <c r="C22" s="17">
        <v>0</v>
      </c>
      <c r="D22" s="17">
        <v>0</v>
      </c>
      <c r="E22" s="17">
        <v>0</v>
      </c>
      <c r="F22" s="17">
        <v>0</v>
      </c>
      <c r="G22" s="17">
        <v>0</v>
      </c>
      <c r="H22" s="17">
        <v>0</v>
      </c>
      <c r="I22" s="17">
        <v>0</v>
      </c>
      <c r="J22" s="17">
        <v>0</v>
      </c>
      <c r="K22" s="17">
        <v>0</v>
      </c>
      <c r="L22" s="17">
        <v>0</v>
      </c>
      <c r="M22" s="17">
        <v>0</v>
      </c>
      <c r="N22" s="17">
        <v>0</v>
      </c>
      <c r="O22" s="18">
        <f t="shared" si="0"/>
        <v>0</v>
      </c>
    </row>
    <row r="23" spans="1:15" ht="15" hidden="1" customHeight="1" x14ac:dyDescent="0.2">
      <c r="A23" s="879"/>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79"/>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79"/>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79"/>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79"/>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79"/>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79"/>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79"/>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customHeight="1" x14ac:dyDescent="0.2">
      <c r="A31" s="879"/>
      <c r="B31" s="20" t="s">
        <v>141</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79"/>
      <c r="B32" s="21" t="s">
        <v>142</v>
      </c>
      <c r="C32" s="17">
        <v>0</v>
      </c>
      <c r="D32" s="17">
        <v>0</v>
      </c>
      <c r="E32" s="17">
        <v>0</v>
      </c>
      <c r="F32" s="17">
        <v>0</v>
      </c>
      <c r="G32" s="17">
        <v>0</v>
      </c>
      <c r="H32" s="17">
        <v>0</v>
      </c>
      <c r="I32" s="17">
        <v>0</v>
      </c>
      <c r="J32" s="17">
        <v>0</v>
      </c>
      <c r="K32" s="17">
        <v>0</v>
      </c>
      <c r="L32" s="17">
        <v>0</v>
      </c>
      <c r="M32" s="17">
        <v>0</v>
      </c>
      <c r="N32" s="17">
        <v>0</v>
      </c>
      <c r="O32" s="18">
        <f t="shared" si="0"/>
        <v>0</v>
      </c>
    </row>
    <row r="33" spans="1:17" ht="15" customHeight="1" x14ac:dyDescent="0.2">
      <c r="A33" s="880"/>
      <c r="B33" s="19" t="s">
        <v>143</v>
      </c>
      <c r="C33" s="17">
        <v>0</v>
      </c>
      <c r="D33" s="17">
        <v>0</v>
      </c>
      <c r="E33" s="17">
        <v>0</v>
      </c>
      <c r="F33" s="17">
        <v>0</v>
      </c>
      <c r="G33" s="17">
        <v>0</v>
      </c>
      <c r="H33" s="17">
        <v>0</v>
      </c>
      <c r="I33" s="17">
        <v>0</v>
      </c>
      <c r="J33" s="17">
        <v>0</v>
      </c>
      <c r="K33" s="17">
        <v>0</v>
      </c>
      <c r="L33" s="17">
        <v>0</v>
      </c>
      <c r="M33" s="17">
        <v>0</v>
      </c>
      <c r="N33" s="17">
        <v>0</v>
      </c>
      <c r="O33" s="18">
        <f t="shared" si="0"/>
        <v>0</v>
      </c>
    </row>
    <row r="34" spans="1:17" ht="15" customHeight="1" x14ac:dyDescent="0.2">
      <c r="A34" s="865" t="s">
        <v>144</v>
      </c>
      <c r="B34" s="866"/>
      <c r="C34" s="17">
        <v>0</v>
      </c>
      <c r="D34" s="17">
        <v>0</v>
      </c>
      <c r="E34" s="17">
        <v>0</v>
      </c>
      <c r="F34" s="17">
        <v>0</v>
      </c>
      <c r="G34" s="17">
        <v>0</v>
      </c>
      <c r="H34" s="17">
        <v>0</v>
      </c>
      <c r="I34" s="17">
        <v>0</v>
      </c>
      <c r="J34" s="17">
        <v>0</v>
      </c>
      <c r="K34" s="17">
        <v>0</v>
      </c>
      <c r="L34" s="17">
        <v>0</v>
      </c>
      <c r="M34" s="17">
        <v>0</v>
      </c>
      <c r="N34" s="17">
        <v>0</v>
      </c>
      <c r="O34" s="18">
        <f t="shared" si="0"/>
        <v>0</v>
      </c>
    </row>
    <row r="35" spans="1:17" ht="15" customHeight="1" x14ac:dyDescent="0.2">
      <c r="A35" s="865" t="s">
        <v>145</v>
      </c>
      <c r="B35" s="866"/>
      <c r="C35" s="17">
        <v>0</v>
      </c>
      <c r="D35" s="17">
        <v>216</v>
      </c>
      <c r="E35" s="17">
        <v>0</v>
      </c>
      <c r="F35" s="17">
        <v>0</v>
      </c>
      <c r="G35" s="17">
        <v>0</v>
      </c>
      <c r="H35" s="17">
        <v>0</v>
      </c>
      <c r="I35" s="17">
        <v>0</v>
      </c>
      <c r="J35" s="17">
        <v>0</v>
      </c>
      <c r="K35" s="17">
        <v>0</v>
      </c>
      <c r="L35" s="17">
        <v>0</v>
      </c>
      <c r="M35" s="17">
        <v>0</v>
      </c>
      <c r="N35" s="17">
        <v>0</v>
      </c>
      <c r="O35" s="18">
        <f t="shared" si="0"/>
        <v>216</v>
      </c>
    </row>
    <row r="36" spans="1:17" ht="15" customHeight="1" x14ac:dyDescent="0.2">
      <c r="A36" s="865" t="s">
        <v>146</v>
      </c>
      <c r="B36" s="866"/>
      <c r="C36" s="17">
        <v>0</v>
      </c>
      <c r="D36" s="17">
        <v>2568</v>
      </c>
      <c r="E36" s="17">
        <v>0</v>
      </c>
      <c r="F36" s="17">
        <v>0</v>
      </c>
      <c r="G36" s="17">
        <v>0</v>
      </c>
      <c r="H36" s="17">
        <v>0</v>
      </c>
      <c r="I36" s="17">
        <v>0</v>
      </c>
      <c r="J36" s="17">
        <v>0</v>
      </c>
      <c r="K36" s="17">
        <v>0</v>
      </c>
      <c r="L36" s="17">
        <v>0</v>
      </c>
      <c r="M36" s="17">
        <v>0</v>
      </c>
      <c r="N36" s="17">
        <v>0</v>
      </c>
      <c r="O36" s="18">
        <f t="shared" si="0"/>
        <v>2568</v>
      </c>
    </row>
    <row r="37" spans="1:17" ht="15" customHeight="1" x14ac:dyDescent="0.2">
      <c r="A37" s="22"/>
      <c r="B37" s="23" t="s">
        <v>147</v>
      </c>
      <c r="C37" s="24">
        <f t="shared" ref="C37:N37" si="1">SUM(C9:C36)</f>
        <v>58992</v>
      </c>
      <c r="D37" s="24">
        <f t="shared" si="1"/>
        <v>62704</v>
      </c>
      <c r="E37" s="24">
        <f t="shared" si="1"/>
        <v>59920</v>
      </c>
      <c r="F37" s="24">
        <f t="shared" si="1"/>
        <v>59920</v>
      </c>
      <c r="G37" s="24">
        <f t="shared" si="1"/>
        <v>60323</v>
      </c>
      <c r="H37" s="24">
        <f t="shared" si="1"/>
        <v>60323</v>
      </c>
      <c r="I37" s="24">
        <f t="shared" si="1"/>
        <v>0</v>
      </c>
      <c r="J37" s="24">
        <f t="shared" si="1"/>
        <v>0</v>
      </c>
      <c r="K37" s="24">
        <f t="shared" si="1"/>
        <v>0</v>
      </c>
      <c r="L37" s="24">
        <f t="shared" si="1"/>
        <v>0</v>
      </c>
      <c r="M37" s="24">
        <f t="shared" si="1"/>
        <v>0</v>
      </c>
      <c r="N37" s="24">
        <f t="shared" si="1"/>
        <v>0</v>
      </c>
      <c r="O37" s="25">
        <f>SUM(C37:N37)</f>
        <v>362182</v>
      </c>
      <c r="Q37" s="26"/>
    </row>
    <row r="38" spans="1:17" ht="15" customHeight="1" x14ac:dyDescent="0.2">
      <c r="A38" s="853" t="s">
        <v>148</v>
      </c>
      <c r="B38" s="27" t="s">
        <v>149</v>
      </c>
      <c r="C38" s="28">
        <v>900</v>
      </c>
      <c r="D38" s="28">
        <v>0</v>
      </c>
      <c r="E38" s="28">
        <v>0</v>
      </c>
      <c r="F38" s="28">
        <v>0</v>
      </c>
      <c r="G38" s="28">
        <v>0</v>
      </c>
      <c r="H38" s="28">
        <v>0</v>
      </c>
      <c r="I38" s="28">
        <v>0</v>
      </c>
      <c r="J38" s="28">
        <v>0</v>
      </c>
      <c r="K38" s="28">
        <v>0</v>
      </c>
      <c r="L38" s="28">
        <v>0</v>
      </c>
      <c r="M38" s="28">
        <v>0</v>
      </c>
      <c r="N38" s="28">
        <v>0</v>
      </c>
      <c r="O38" s="18">
        <f>SUM(C38:N38)</f>
        <v>900</v>
      </c>
      <c r="P38" s="29"/>
    </row>
    <row r="39" spans="1:17" ht="15" x14ac:dyDescent="0.2">
      <c r="A39" s="854"/>
      <c r="B39" s="27" t="s">
        <v>150</v>
      </c>
      <c r="C39" s="28">
        <v>0</v>
      </c>
      <c r="D39" s="28">
        <v>0</v>
      </c>
      <c r="E39" s="28">
        <v>0</v>
      </c>
      <c r="F39" s="28">
        <v>0</v>
      </c>
      <c r="G39" s="28">
        <v>0</v>
      </c>
      <c r="H39" s="28">
        <v>0</v>
      </c>
      <c r="I39" s="28">
        <v>0</v>
      </c>
      <c r="J39" s="28">
        <v>0</v>
      </c>
      <c r="K39" s="28">
        <v>0</v>
      </c>
      <c r="L39" s="28">
        <v>0</v>
      </c>
      <c r="M39" s="28">
        <v>0</v>
      </c>
      <c r="N39" s="28">
        <v>0</v>
      </c>
      <c r="O39" s="18">
        <f>SUM(C39:N39)</f>
        <v>0</v>
      </c>
    </row>
    <row r="40" spans="1:17" ht="15" x14ac:dyDescent="0.2">
      <c r="A40" s="854"/>
      <c r="B40" s="27" t="s">
        <v>151</v>
      </c>
      <c r="C40" s="28">
        <v>30</v>
      </c>
      <c r="D40" s="28">
        <v>30</v>
      </c>
      <c r="E40" s="28">
        <v>30</v>
      </c>
      <c r="F40" s="28">
        <v>30</v>
      </c>
      <c r="G40" s="28">
        <v>30</v>
      </c>
      <c r="H40" s="28">
        <v>30</v>
      </c>
      <c r="I40" s="28">
        <v>0</v>
      </c>
      <c r="J40" s="28">
        <v>0</v>
      </c>
      <c r="K40" s="28">
        <v>0</v>
      </c>
      <c r="L40" s="28">
        <v>0</v>
      </c>
      <c r="M40" s="28">
        <v>0</v>
      </c>
      <c r="N40" s="28">
        <v>0</v>
      </c>
      <c r="O40" s="18">
        <f t="shared" ref="O40:O50" si="2">SUM(C40:N40)</f>
        <v>180</v>
      </c>
    </row>
    <row r="41" spans="1:17" ht="15" x14ac:dyDescent="0.2">
      <c r="A41" s="854"/>
      <c r="B41" s="27" t="s">
        <v>152</v>
      </c>
      <c r="C41" s="28">
        <v>0</v>
      </c>
      <c r="D41" s="28">
        <v>0</v>
      </c>
      <c r="E41" s="28">
        <v>0</v>
      </c>
      <c r="F41" s="28">
        <v>0</v>
      </c>
      <c r="G41" s="28">
        <v>0</v>
      </c>
      <c r="H41" s="28">
        <v>0</v>
      </c>
      <c r="I41" s="28">
        <v>0</v>
      </c>
      <c r="J41" s="28">
        <v>0</v>
      </c>
      <c r="K41" s="28">
        <v>0</v>
      </c>
      <c r="L41" s="28">
        <v>0</v>
      </c>
      <c r="M41" s="28">
        <v>0</v>
      </c>
      <c r="N41" s="28">
        <v>0</v>
      </c>
      <c r="O41" s="18">
        <f t="shared" si="2"/>
        <v>0</v>
      </c>
    </row>
    <row r="42" spans="1:17" ht="15" x14ac:dyDescent="0.2">
      <c r="A42" s="854"/>
      <c r="B42" s="27" t="s">
        <v>153</v>
      </c>
      <c r="C42" s="28">
        <v>250</v>
      </c>
      <c r="D42" s="28">
        <v>250</v>
      </c>
      <c r="E42" s="28">
        <v>250</v>
      </c>
      <c r="F42" s="28">
        <v>250</v>
      </c>
      <c r="G42" s="28">
        <v>250</v>
      </c>
      <c r="H42" s="28">
        <v>250</v>
      </c>
      <c r="I42" s="28">
        <v>0</v>
      </c>
      <c r="J42" s="28">
        <v>0</v>
      </c>
      <c r="K42" s="28">
        <v>0</v>
      </c>
      <c r="L42" s="28">
        <v>0</v>
      </c>
      <c r="M42" s="28">
        <v>0</v>
      </c>
      <c r="N42" s="28">
        <v>0</v>
      </c>
      <c r="O42" s="18">
        <f t="shared" si="2"/>
        <v>1500</v>
      </c>
    </row>
    <row r="43" spans="1:17" ht="15" x14ac:dyDescent="0.2">
      <c r="A43" s="854"/>
      <c r="B43" s="27" t="s">
        <v>154</v>
      </c>
      <c r="C43" s="28">
        <v>20000</v>
      </c>
      <c r="D43" s="28">
        <v>20000</v>
      </c>
      <c r="E43" s="28">
        <v>20000</v>
      </c>
      <c r="F43" s="28">
        <v>20000</v>
      </c>
      <c r="G43" s="28">
        <v>20000</v>
      </c>
      <c r="H43" s="28">
        <v>20000</v>
      </c>
      <c r="I43" s="28">
        <v>0</v>
      </c>
      <c r="J43" s="28">
        <v>0</v>
      </c>
      <c r="K43" s="28">
        <v>0</v>
      </c>
      <c r="L43" s="28">
        <v>0</v>
      </c>
      <c r="M43" s="28">
        <v>0</v>
      </c>
      <c r="N43" s="28">
        <v>0</v>
      </c>
      <c r="O43" s="18">
        <f t="shared" si="2"/>
        <v>120000</v>
      </c>
    </row>
    <row r="44" spans="1:17" ht="15" x14ac:dyDescent="0.2">
      <c r="A44" s="854"/>
      <c r="B44" s="27" t="s">
        <v>155</v>
      </c>
      <c r="C44" s="28">
        <v>200</v>
      </c>
      <c r="D44" s="28">
        <v>200</v>
      </c>
      <c r="E44" s="28">
        <v>200</v>
      </c>
      <c r="F44" s="28">
        <v>200</v>
      </c>
      <c r="G44" s="28">
        <v>200</v>
      </c>
      <c r="H44" s="28">
        <v>200</v>
      </c>
      <c r="I44" s="28">
        <v>0</v>
      </c>
      <c r="J44" s="28">
        <v>0</v>
      </c>
      <c r="K44" s="28">
        <v>0</v>
      </c>
      <c r="L44" s="28">
        <v>0</v>
      </c>
      <c r="M44" s="28">
        <v>0</v>
      </c>
      <c r="N44" s="28">
        <v>0</v>
      </c>
      <c r="O44" s="18">
        <f t="shared" si="2"/>
        <v>1200</v>
      </c>
    </row>
    <row r="45" spans="1:17" ht="15" x14ac:dyDescent="0.2">
      <c r="A45" s="854"/>
      <c r="B45" s="27" t="s">
        <v>156</v>
      </c>
      <c r="C45" s="28">
        <v>0</v>
      </c>
      <c r="D45" s="28">
        <v>0</v>
      </c>
      <c r="E45" s="28">
        <v>0</v>
      </c>
      <c r="F45" s="28">
        <v>0</v>
      </c>
      <c r="G45" s="28">
        <v>0</v>
      </c>
      <c r="H45" s="28">
        <v>0</v>
      </c>
      <c r="I45" s="28">
        <v>0</v>
      </c>
      <c r="J45" s="28">
        <v>0</v>
      </c>
      <c r="K45" s="28">
        <v>0</v>
      </c>
      <c r="L45" s="28">
        <v>0</v>
      </c>
      <c r="M45" s="28">
        <v>0</v>
      </c>
      <c r="N45" s="28">
        <v>0</v>
      </c>
      <c r="O45" s="18">
        <f t="shared" si="2"/>
        <v>0</v>
      </c>
    </row>
    <row r="46" spans="1:17" ht="15" x14ac:dyDescent="0.2">
      <c r="A46" s="854"/>
      <c r="B46" s="27" t="s">
        <v>157</v>
      </c>
      <c r="C46" s="28">
        <v>4200</v>
      </c>
      <c r="D46" s="28">
        <v>4200</v>
      </c>
      <c r="E46" s="28">
        <v>4200</v>
      </c>
      <c r="F46" s="28">
        <v>4200</v>
      </c>
      <c r="G46" s="28">
        <v>4200</v>
      </c>
      <c r="H46" s="28">
        <v>4200</v>
      </c>
      <c r="I46" s="28">
        <v>0</v>
      </c>
      <c r="J46" s="28">
        <v>0</v>
      </c>
      <c r="K46" s="28">
        <v>0</v>
      </c>
      <c r="L46" s="28">
        <v>0</v>
      </c>
      <c r="M46" s="28">
        <v>0</v>
      </c>
      <c r="N46" s="28">
        <v>0</v>
      </c>
      <c r="O46" s="18">
        <f t="shared" si="2"/>
        <v>25200</v>
      </c>
    </row>
    <row r="47" spans="1:17" ht="28.5" customHeight="1" x14ac:dyDescent="0.2">
      <c r="A47" s="855"/>
      <c r="B47" s="30" t="s">
        <v>158</v>
      </c>
      <c r="C47" s="28">
        <v>0</v>
      </c>
      <c r="D47" s="28">
        <v>0</v>
      </c>
      <c r="E47" s="28">
        <v>0</v>
      </c>
      <c r="F47" s="28">
        <v>0</v>
      </c>
      <c r="G47" s="28">
        <v>0</v>
      </c>
      <c r="H47" s="28">
        <v>0</v>
      </c>
      <c r="I47" s="28">
        <v>0</v>
      </c>
      <c r="J47" s="28">
        <v>0</v>
      </c>
      <c r="K47" s="28">
        <v>0</v>
      </c>
      <c r="L47" s="28">
        <v>0</v>
      </c>
      <c r="M47" s="28">
        <v>0</v>
      </c>
      <c r="N47" s="28">
        <v>0</v>
      </c>
      <c r="O47" s="31">
        <f t="shared" si="2"/>
        <v>0</v>
      </c>
    </row>
    <row r="48" spans="1:17" ht="27.75" customHeight="1" x14ac:dyDescent="0.2">
      <c r="A48" s="856"/>
      <c r="B48" s="32" t="s">
        <v>159</v>
      </c>
      <c r="C48" s="28">
        <v>0</v>
      </c>
      <c r="D48" s="28">
        <v>0</v>
      </c>
      <c r="E48" s="28">
        <v>0</v>
      </c>
      <c r="F48" s="28">
        <v>0</v>
      </c>
      <c r="G48" s="28">
        <v>0</v>
      </c>
      <c r="H48" s="28">
        <v>0</v>
      </c>
      <c r="I48" s="28">
        <v>0</v>
      </c>
      <c r="J48" s="28">
        <v>0</v>
      </c>
      <c r="K48" s="28">
        <v>0</v>
      </c>
      <c r="L48" s="28">
        <v>0</v>
      </c>
      <c r="M48" s="28">
        <v>0</v>
      </c>
      <c r="N48" s="28">
        <v>0</v>
      </c>
      <c r="O48" s="31">
        <f t="shared" si="2"/>
        <v>0</v>
      </c>
    </row>
    <row r="49" spans="1:18" ht="15" x14ac:dyDescent="0.2">
      <c r="A49" s="857" t="s">
        <v>160</v>
      </c>
      <c r="B49" s="858"/>
      <c r="C49" s="33">
        <f t="shared" ref="C49:N49" si="3">SUM(C38:C48)</f>
        <v>25580</v>
      </c>
      <c r="D49" s="33">
        <f t="shared" si="3"/>
        <v>24680</v>
      </c>
      <c r="E49" s="33">
        <f t="shared" si="3"/>
        <v>24680</v>
      </c>
      <c r="F49" s="33">
        <f t="shared" si="3"/>
        <v>24680</v>
      </c>
      <c r="G49" s="33">
        <f t="shared" si="3"/>
        <v>24680</v>
      </c>
      <c r="H49" s="33">
        <f t="shared" si="3"/>
        <v>24680</v>
      </c>
      <c r="I49" s="33">
        <f t="shared" si="3"/>
        <v>0</v>
      </c>
      <c r="J49" s="33">
        <f t="shared" si="3"/>
        <v>0</v>
      </c>
      <c r="K49" s="33">
        <f t="shared" si="3"/>
        <v>0</v>
      </c>
      <c r="L49" s="33">
        <f t="shared" si="3"/>
        <v>0</v>
      </c>
      <c r="M49" s="33">
        <f t="shared" si="3"/>
        <v>0</v>
      </c>
      <c r="N49" s="33">
        <f t="shared" si="3"/>
        <v>0</v>
      </c>
      <c r="O49" s="34">
        <f t="shared" si="2"/>
        <v>148980</v>
      </c>
    </row>
    <row r="50" spans="1:18" ht="15.75" thickBot="1" x14ac:dyDescent="0.25">
      <c r="A50" s="859" t="s">
        <v>161</v>
      </c>
      <c r="B50" s="860"/>
      <c r="C50" s="35">
        <f t="shared" ref="C50:N50" si="4">C37-C49</f>
        <v>33412</v>
      </c>
      <c r="D50" s="35">
        <f t="shared" si="4"/>
        <v>38024</v>
      </c>
      <c r="E50" s="35">
        <f t="shared" si="4"/>
        <v>35240</v>
      </c>
      <c r="F50" s="35">
        <f t="shared" si="4"/>
        <v>35240</v>
      </c>
      <c r="G50" s="35">
        <f t="shared" si="4"/>
        <v>35643</v>
      </c>
      <c r="H50" s="35">
        <f t="shared" si="4"/>
        <v>35643</v>
      </c>
      <c r="I50" s="35">
        <f t="shared" si="4"/>
        <v>0</v>
      </c>
      <c r="J50" s="35">
        <f t="shared" si="4"/>
        <v>0</v>
      </c>
      <c r="K50" s="35">
        <f t="shared" si="4"/>
        <v>0</v>
      </c>
      <c r="L50" s="35">
        <f t="shared" si="4"/>
        <v>0</v>
      </c>
      <c r="M50" s="35">
        <f t="shared" si="4"/>
        <v>0</v>
      </c>
      <c r="N50" s="35">
        <f t="shared" si="4"/>
        <v>0</v>
      </c>
      <c r="O50" s="36">
        <f t="shared" si="2"/>
        <v>213202</v>
      </c>
    </row>
    <row r="51" spans="1:18" x14ac:dyDescent="0.2">
      <c r="J51" s="16">
        <f>+J37-J32-J35-J36</f>
        <v>0</v>
      </c>
      <c r="Q51" s="38"/>
    </row>
    <row r="52" spans="1:18" ht="13.5" thickBot="1" x14ac:dyDescent="0.25">
      <c r="J52" s="38">
        <f>+J51-J49</f>
        <v>0</v>
      </c>
    </row>
    <row r="53" spans="1:18" ht="13.5" thickBot="1" x14ac:dyDescent="0.25">
      <c r="B53" s="789" t="s">
        <v>162</v>
      </c>
      <c r="C53" s="861"/>
      <c r="D53" s="861"/>
      <c r="E53" s="861"/>
      <c r="F53" s="862"/>
      <c r="G53" s="863">
        <f>O37</f>
        <v>362182</v>
      </c>
      <c r="H53" s="864"/>
      <c r="J53" s="38">
        <f>+J52+21206</f>
        <v>21206</v>
      </c>
    </row>
    <row r="54" spans="1:18" ht="13.5" thickBot="1" x14ac:dyDescent="0.25"/>
    <row r="55" spans="1:18" x14ac:dyDescent="0.2">
      <c r="B55" s="830" t="s">
        <v>163</v>
      </c>
      <c r="C55" s="833" t="s">
        <v>164</v>
      </c>
      <c r="D55" s="836" t="s">
        <v>1673</v>
      </c>
      <c r="E55" s="837"/>
      <c r="F55" s="838"/>
      <c r="G55" s="839">
        <v>40000</v>
      </c>
      <c r="H55" s="840"/>
    </row>
    <row r="56" spans="1:18" x14ac:dyDescent="0.2">
      <c r="B56" s="831"/>
      <c r="C56" s="834"/>
      <c r="D56" s="841" t="s">
        <v>166</v>
      </c>
      <c r="E56" s="842"/>
      <c r="F56" s="843"/>
      <c r="G56" s="844">
        <f>+O44</f>
        <v>1200</v>
      </c>
      <c r="H56" s="845"/>
      <c r="I56" s="39"/>
      <c r="J56" s="846"/>
      <c r="K56" s="846"/>
      <c r="L56" s="846"/>
      <c r="M56" s="847"/>
      <c r="N56" s="847"/>
      <c r="O56" s="847"/>
    </row>
    <row r="57" spans="1:18" x14ac:dyDescent="0.2">
      <c r="B57" s="886"/>
      <c r="C57" s="887"/>
      <c r="D57" s="40" t="s">
        <v>129</v>
      </c>
      <c r="E57" s="41"/>
      <c r="F57" s="42"/>
      <c r="G57" s="43"/>
      <c r="H57" s="44">
        <v>2400</v>
      </c>
      <c r="I57" s="39"/>
      <c r="J57" s="45"/>
      <c r="K57" s="45"/>
      <c r="L57" s="45"/>
      <c r="M57" s="46"/>
      <c r="N57" s="46"/>
      <c r="O57" s="46"/>
    </row>
    <row r="58" spans="1:18" ht="13.5" thickBot="1" x14ac:dyDescent="0.25">
      <c r="B58" s="832"/>
      <c r="C58" s="835"/>
      <c r="D58" s="848"/>
      <c r="E58" s="849"/>
      <c r="F58" s="850"/>
      <c r="G58" s="851"/>
      <c r="H58" s="852"/>
      <c r="J58" s="47"/>
      <c r="K58" s="47"/>
      <c r="L58" s="47"/>
      <c r="M58" s="47"/>
      <c r="N58" s="47"/>
      <c r="O58" s="47"/>
    </row>
    <row r="59" spans="1:18" ht="13.5" thickBot="1" x14ac:dyDescent="0.25">
      <c r="B59" s="48"/>
      <c r="J59" s="47"/>
      <c r="K59" s="47"/>
      <c r="L59" s="47"/>
      <c r="M59" s="47"/>
      <c r="N59" s="47"/>
      <c r="O59" s="47"/>
    </row>
    <row r="60" spans="1:18" ht="13.5" thickBot="1" x14ac:dyDescent="0.25">
      <c r="B60" s="789" t="s">
        <v>168</v>
      </c>
      <c r="C60" s="790"/>
      <c r="D60" s="790"/>
      <c r="E60" s="790"/>
      <c r="F60" s="791"/>
      <c r="G60" s="825">
        <f>+G53-SUM(G55:H58)</f>
        <v>318582</v>
      </c>
      <c r="H60" s="826"/>
      <c r="J60" s="827" t="s">
        <v>169</v>
      </c>
      <c r="K60" s="828"/>
      <c r="L60" s="828"/>
      <c r="M60" s="828"/>
      <c r="N60" s="828"/>
      <c r="O60" s="829"/>
    </row>
    <row r="61" spans="1:18" ht="13.5" thickBot="1" x14ac:dyDescent="0.25">
      <c r="B61" s="49"/>
      <c r="C61" s="50"/>
      <c r="D61" s="50"/>
      <c r="E61" s="50"/>
      <c r="F61" s="50"/>
      <c r="G61" s="45"/>
      <c r="H61" s="50"/>
      <c r="J61" s="51"/>
      <c r="K61" s="52"/>
      <c r="L61" s="52"/>
      <c r="M61" s="52"/>
      <c r="N61" s="52"/>
      <c r="O61" s="53"/>
    </row>
    <row r="62" spans="1:18" ht="13.5" thickBot="1" x14ac:dyDescent="0.25">
      <c r="B62" s="789" t="s">
        <v>170</v>
      </c>
      <c r="C62" s="790"/>
      <c r="D62" s="790"/>
      <c r="E62" s="790"/>
      <c r="F62" s="791"/>
      <c r="G62" s="805"/>
      <c r="H62" s="791"/>
      <c r="J62" s="54"/>
      <c r="K62" s="55"/>
      <c r="L62" s="55"/>
      <c r="M62" s="55"/>
      <c r="N62" s="55"/>
      <c r="O62" s="56"/>
    </row>
    <row r="63" spans="1:18" ht="12.75" customHeight="1" x14ac:dyDescent="0.2">
      <c r="B63" s="57" t="s">
        <v>171</v>
      </c>
      <c r="C63" s="806" t="s">
        <v>172</v>
      </c>
      <c r="D63" s="807"/>
      <c r="E63" s="807"/>
      <c r="F63" s="808"/>
      <c r="G63" s="809">
        <v>35758</v>
      </c>
      <c r="H63" s="809"/>
      <c r="I63" s="58"/>
      <c r="J63" s="810" t="s">
        <v>173</v>
      </c>
      <c r="K63" s="811"/>
      <c r="L63" s="811"/>
      <c r="M63" s="811"/>
      <c r="N63" s="811"/>
      <c r="O63" s="812"/>
      <c r="Q63" s="59"/>
      <c r="R63" s="59"/>
    </row>
    <row r="64" spans="1:18" ht="13.5" thickBot="1" x14ac:dyDescent="0.25">
      <c r="D64" s="37"/>
      <c r="I64" s="58"/>
      <c r="J64" s="60" t="s">
        <v>174</v>
      </c>
      <c r="K64" s="61"/>
      <c r="L64" s="61"/>
      <c r="M64" s="61"/>
      <c r="N64" s="61"/>
      <c r="O64" s="62"/>
      <c r="Q64" s="59"/>
      <c r="R64" s="59"/>
    </row>
    <row r="65" spans="2:18" ht="13.5" thickBot="1" x14ac:dyDescent="0.25">
      <c r="B65" s="789" t="s">
        <v>175</v>
      </c>
      <c r="C65" s="790"/>
      <c r="D65" s="790"/>
      <c r="E65" s="790"/>
      <c r="F65" s="791"/>
      <c r="G65" s="805">
        <f>+G60-G63</f>
        <v>282824</v>
      </c>
      <c r="H65" s="791"/>
      <c r="I65" s="63"/>
      <c r="J65" s="64"/>
      <c r="K65" s="39"/>
      <c r="L65" s="39"/>
      <c r="M65" s="39"/>
      <c r="N65" s="39"/>
      <c r="O65" s="65"/>
      <c r="Q65" s="59"/>
      <c r="R65" s="59"/>
    </row>
    <row r="66" spans="2:18" ht="12.75" customHeight="1" x14ac:dyDescent="0.2">
      <c r="B66" s="48"/>
      <c r="C66" s="48"/>
      <c r="I66" s="63"/>
      <c r="J66" s="64"/>
      <c r="K66" s="39"/>
      <c r="L66" s="39"/>
      <c r="M66" s="39"/>
      <c r="N66" s="39"/>
      <c r="O66" s="65"/>
      <c r="Q66" s="59"/>
      <c r="R66" s="59"/>
    </row>
    <row r="67" spans="2:18" x14ac:dyDescent="0.2">
      <c r="B67" s="66" t="s">
        <v>176</v>
      </c>
      <c r="C67" s="48"/>
      <c r="I67" s="63"/>
      <c r="J67" s="67"/>
      <c r="K67" s="68"/>
      <c r="L67" s="68"/>
      <c r="M67" s="68"/>
      <c r="N67" s="68"/>
      <c r="O67" s="69"/>
      <c r="Q67" s="59"/>
      <c r="R67" s="59"/>
    </row>
    <row r="68" spans="2:18" ht="26.25" customHeight="1" thickBot="1" x14ac:dyDescent="0.25">
      <c r="B68" s="66"/>
      <c r="C68" s="48"/>
      <c r="G68" s="70" t="s">
        <v>177</v>
      </c>
      <c r="H68" s="70" t="s">
        <v>178</v>
      </c>
      <c r="I68" s="63"/>
      <c r="J68" s="810" t="s">
        <v>179</v>
      </c>
      <c r="K68" s="811"/>
      <c r="L68" s="71"/>
      <c r="M68" s="71"/>
      <c r="N68" s="71"/>
      <c r="O68" s="72"/>
      <c r="Q68" s="59"/>
      <c r="R68" s="59"/>
    </row>
    <row r="69" spans="2:18" ht="12.75" customHeight="1" x14ac:dyDescent="0.2">
      <c r="B69" s="802" t="s">
        <v>180</v>
      </c>
      <c r="C69" s="821" t="s">
        <v>181</v>
      </c>
      <c r="D69" s="823" t="s">
        <v>182</v>
      </c>
      <c r="E69" s="824"/>
      <c r="F69" s="824"/>
      <c r="G69" s="73">
        <f>+O43</f>
        <v>120000</v>
      </c>
      <c r="H69" s="74">
        <f t="shared" ref="H69:H77" si="5">+G69</f>
        <v>120000</v>
      </c>
      <c r="I69" s="63"/>
      <c r="J69" s="75" t="s">
        <v>183</v>
      </c>
      <c r="K69" s="58"/>
      <c r="L69" s="58"/>
      <c r="M69" s="58"/>
      <c r="N69" s="58"/>
      <c r="O69" s="76"/>
      <c r="Q69" s="59"/>
      <c r="R69" s="59"/>
    </row>
    <row r="70" spans="2:18" ht="12.75" customHeight="1" x14ac:dyDescent="0.2">
      <c r="B70" s="803"/>
      <c r="C70" s="822"/>
      <c r="D70" s="782" t="s">
        <v>184</v>
      </c>
      <c r="E70" s="783"/>
      <c r="F70" s="783"/>
      <c r="G70" s="77">
        <v>0</v>
      </c>
      <c r="H70" s="78">
        <f t="shared" si="5"/>
        <v>0</v>
      </c>
      <c r="I70" s="63"/>
      <c r="J70" s="79"/>
      <c r="K70" s="68"/>
      <c r="L70" s="68"/>
      <c r="M70" s="68"/>
      <c r="N70" s="68"/>
      <c r="O70" s="69"/>
      <c r="Q70" s="59"/>
      <c r="R70" s="59"/>
    </row>
    <row r="71" spans="2:18" ht="12.75" customHeight="1" x14ac:dyDescent="0.2">
      <c r="B71" s="803"/>
      <c r="C71" s="822"/>
      <c r="D71" s="819" t="s">
        <v>185</v>
      </c>
      <c r="E71" s="820"/>
      <c r="F71" s="820"/>
      <c r="G71" s="80">
        <f>O40</f>
        <v>180</v>
      </c>
      <c r="H71" s="78">
        <f t="shared" si="5"/>
        <v>180</v>
      </c>
      <c r="I71" s="63"/>
      <c r="J71" s="67"/>
      <c r="K71" s="68"/>
      <c r="L71" s="68"/>
      <c r="M71" s="68"/>
      <c r="N71" s="68"/>
      <c r="O71" s="69"/>
    </row>
    <row r="72" spans="2:18" x14ac:dyDescent="0.2">
      <c r="B72" s="803"/>
      <c r="C72" s="822"/>
      <c r="D72" s="782" t="s">
        <v>186</v>
      </c>
      <c r="E72" s="783"/>
      <c r="F72" s="783"/>
      <c r="G72" s="81">
        <v>0</v>
      </c>
      <c r="H72" s="78">
        <f t="shared" si="5"/>
        <v>0</v>
      </c>
      <c r="I72" s="63"/>
      <c r="J72" s="82" t="s">
        <v>187</v>
      </c>
      <c r="K72" s="71"/>
      <c r="L72" s="71"/>
      <c r="M72" s="71"/>
      <c r="N72" s="71"/>
      <c r="O72" s="72"/>
    </row>
    <row r="73" spans="2:18" ht="12.75" customHeight="1" x14ac:dyDescent="0.2">
      <c r="B73" s="803"/>
      <c r="C73" s="822"/>
      <c r="D73" s="784" t="s">
        <v>188</v>
      </c>
      <c r="E73" s="783"/>
      <c r="F73" s="783"/>
      <c r="G73" s="80">
        <v>0</v>
      </c>
      <c r="H73" s="78">
        <f t="shared" si="5"/>
        <v>0</v>
      </c>
      <c r="I73" s="63"/>
      <c r="J73" s="75" t="s">
        <v>189</v>
      </c>
      <c r="K73" s="50"/>
      <c r="L73" s="50"/>
      <c r="M73" s="50"/>
      <c r="N73" s="50"/>
      <c r="O73" s="83">
        <f>O42</f>
        <v>1500</v>
      </c>
    </row>
    <row r="74" spans="2:18" ht="14.25" customHeight="1" x14ac:dyDescent="0.2">
      <c r="B74" s="803"/>
      <c r="C74" s="822"/>
      <c r="D74" s="782" t="s">
        <v>190</v>
      </c>
      <c r="E74" s="783"/>
      <c r="F74" s="783"/>
      <c r="G74" s="84">
        <v>0</v>
      </c>
      <c r="H74" s="78">
        <f t="shared" si="5"/>
        <v>0</v>
      </c>
      <c r="I74" s="63"/>
      <c r="J74" s="64"/>
      <c r="K74" s="39"/>
      <c r="L74" s="39"/>
      <c r="M74" s="39"/>
      <c r="N74" s="39"/>
      <c r="O74" s="65"/>
    </row>
    <row r="75" spans="2:18" x14ac:dyDescent="0.2">
      <c r="B75" s="803"/>
      <c r="C75" s="822"/>
      <c r="D75" s="782" t="s">
        <v>191</v>
      </c>
      <c r="E75" s="783"/>
      <c r="F75" s="783"/>
      <c r="G75" s="84">
        <v>0</v>
      </c>
      <c r="H75" s="78">
        <f t="shared" si="5"/>
        <v>0</v>
      </c>
      <c r="I75" s="58"/>
      <c r="J75" s="85"/>
      <c r="K75" s="63"/>
      <c r="L75" s="63"/>
      <c r="M75" s="63"/>
      <c r="N75" s="63"/>
      <c r="O75" s="86"/>
      <c r="P75" s="87"/>
    </row>
    <row r="76" spans="2:18" x14ac:dyDescent="0.2">
      <c r="B76" s="803"/>
      <c r="C76" s="88" t="s">
        <v>192</v>
      </c>
      <c r="D76" s="813" t="s">
        <v>193</v>
      </c>
      <c r="E76" s="814"/>
      <c r="F76" s="814"/>
      <c r="G76" s="80">
        <v>0</v>
      </c>
      <c r="H76" s="78">
        <f t="shared" si="5"/>
        <v>0</v>
      </c>
      <c r="I76" s="58"/>
      <c r="J76" s="60"/>
      <c r="K76" s="68"/>
      <c r="L76" s="68"/>
      <c r="M76" s="50"/>
      <c r="N76" s="50"/>
      <c r="O76" s="83"/>
      <c r="P76" s="87"/>
    </row>
    <row r="77" spans="2:18" ht="13.5" customHeight="1" thickBot="1" x14ac:dyDescent="0.25">
      <c r="B77" s="803"/>
      <c r="C77" s="88" t="s">
        <v>194</v>
      </c>
      <c r="D77" s="815" t="s">
        <v>195</v>
      </c>
      <c r="E77" s="815"/>
      <c r="F77" s="815"/>
      <c r="G77" s="89">
        <v>0</v>
      </c>
      <c r="H77" s="90">
        <f t="shared" si="5"/>
        <v>0</v>
      </c>
      <c r="I77" s="63"/>
      <c r="J77" s="75"/>
      <c r="K77" s="68"/>
      <c r="L77" s="68"/>
      <c r="M77" s="91"/>
      <c r="N77" s="91"/>
      <c r="O77" s="92"/>
    </row>
    <row r="78" spans="2:18" ht="13.5" thickBot="1" x14ac:dyDescent="0.25">
      <c r="B78" s="803"/>
      <c r="C78" s="93"/>
      <c r="D78" s="94"/>
      <c r="E78" s="816" t="s">
        <v>117</v>
      </c>
      <c r="F78" s="817"/>
      <c r="G78" s="95">
        <f>SUM(G69:G77)</f>
        <v>120180</v>
      </c>
      <c r="H78" s="96">
        <f>IF(SUM(G69:G75)&lt;150000,SUM(G69:G75),150000)+IF(+G76&lt;20000,+G76,20000)</f>
        <v>120180</v>
      </c>
      <c r="I78" s="63"/>
      <c r="J78" s="97"/>
      <c r="K78" s="98"/>
      <c r="L78" s="98"/>
      <c r="M78" s="98"/>
      <c r="N78" s="98"/>
      <c r="O78" s="99"/>
    </row>
    <row r="79" spans="2:18" ht="12.75" customHeight="1" x14ac:dyDescent="0.2">
      <c r="B79" s="803"/>
      <c r="C79" s="100" t="s">
        <v>196</v>
      </c>
      <c r="D79" s="782" t="s">
        <v>187</v>
      </c>
      <c r="E79" s="783"/>
      <c r="F79" s="818"/>
      <c r="G79" s="73">
        <f>+O42</f>
        <v>1500</v>
      </c>
      <c r="H79" s="101">
        <f>+IF(+G79&lt;25000,+G79,25000)</f>
        <v>1500</v>
      </c>
      <c r="I79" s="87"/>
    </row>
    <row r="80" spans="2:18" x14ac:dyDescent="0.2">
      <c r="B80" s="803"/>
      <c r="C80" s="100" t="s">
        <v>197</v>
      </c>
      <c r="D80" s="784" t="s">
        <v>198</v>
      </c>
      <c r="E80" s="785"/>
      <c r="F80" s="786"/>
      <c r="G80" s="102"/>
      <c r="H80" s="103">
        <f>+IF(+G80&lt;40000,+G80,40000)</f>
        <v>0</v>
      </c>
      <c r="I80" s="63"/>
    </row>
    <row r="81" spans="2:12" x14ac:dyDescent="0.2">
      <c r="B81" s="803"/>
      <c r="C81" s="100" t="s">
        <v>199</v>
      </c>
      <c r="D81" s="784" t="s">
        <v>200</v>
      </c>
      <c r="E81" s="785"/>
      <c r="F81" s="786"/>
      <c r="G81" s="81">
        <v>35758</v>
      </c>
      <c r="H81" s="104">
        <f>+G81</f>
        <v>35758</v>
      </c>
      <c r="I81" s="63"/>
      <c r="J81" s="105"/>
      <c r="K81" s="106"/>
    </row>
    <row r="82" spans="2:12" x14ac:dyDescent="0.2">
      <c r="B82" s="803"/>
      <c r="C82" s="100" t="s">
        <v>201</v>
      </c>
      <c r="D82" s="784" t="s">
        <v>202</v>
      </c>
      <c r="E82" s="785"/>
      <c r="F82" s="786"/>
      <c r="G82" s="81"/>
      <c r="H82" s="104">
        <v>0</v>
      </c>
      <c r="I82" s="63"/>
    </row>
    <row r="83" spans="2:12" ht="13.5" thickBot="1" x14ac:dyDescent="0.25">
      <c r="B83" s="804"/>
      <c r="C83" s="100" t="s">
        <v>203</v>
      </c>
      <c r="D83" s="784" t="s">
        <v>204</v>
      </c>
      <c r="E83" s="785"/>
      <c r="F83" s="786"/>
      <c r="G83" s="102"/>
      <c r="H83" s="103">
        <f>+IF(+G83&lt;100000,+G83,10000)</f>
        <v>0</v>
      </c>
      <c r="I83" s="63"/>
    </row>
    <row r="84" spans="2:12" ht="13.5" thickBot="1" x14ac:dyDescent="0.25">
      <c r="B84" s="787" t="s">
        <v>205</v>
      </c>
      <c r="C84" s="788"/>
      <c r="D84" s="788"/>
      <c r="E84" s="788"/>
      <c r="F84" s="788"/>
      <c r="G84" s="107">
        <f>SUM(G79:G83)</f>
        <v>37258</v>
      </c>
      <c r="H84" s="108">
        <f>SUM(H78:H83)</f>
        <v>157438</v>
      </c>
    </row>
    <row r="85" spans="2:12" ht="13.5" thickBot="1" x14ac:dyDescent="0.25"/>
    <row r="86" spans="2:12" ht="13.5" thickBot="1" x14ac:dyDescent="0.25">
      <c r="B86" s="789" t="s">
        <v>206</v>
      </c>
      <c r="C86" s="790"/>
      <c r="D86" s="790"/>
      <c r="E86" s="790"/>
      <c r="F86" s="791"/>
      <c r="G86" s="792">
        <f>ROUND(+G65-H84,-1)</f>
        <v>125390</v>
      </c>
      <c r="H86" s="791"/>
      <c r="J86" s="109"/>
    </row>
    <row r="87" spans="2:12" x14ac:dyDescent="0.2">
      <c r="B87" s="110"/>
      <c r="F87" s="105"/>
      <c r="J87" s="109"/>
    </row>
    <row r="88" spans="2:12" x14ac:dyDescent="0.2">
      <c r="C88" s="793" t="s">
        <v>207</v>
      </c>
      <c r="D88" s="794"/>
      <c r="E88" s="111" t="s">
        <v>208</v>
      </c>
      <c r="F88" s="111" t="s">
        <v>209</v>
      </c>
      <c r="G88" s="111" t="s">
        <v>210</v>
      </c>
      <c r="H88" s="111" t="s">
        <v>211</v>
      </c>
      <c r="J88" s="109"/>
      <c r="K88" s="47"/>
    </row>
    <row r="89" spans="2:12" x14ac:dyDescent="0.2">
      <c r="C89" s="795" t="str">
        <f>IF(I6="M","0          - 250000","0          -  250000")</f>
        <v>0          - 250000</v>
      </c>
      <c r="D89" s="796"/>
      <c r="E89" s="112">
        <v>0</v>
      </c>
      <c r="F89" s="113">
        <f>IF(I6="M",(IF(G86&lt;250000,G86,250000)),(IF(G86&lt;250000,G86,250000)))</f>
        <v>125390</v>
      </c>
      <c r="G89" s="113">
        <f>G86-F89</f>
        <v>0</v>
      </c>
      <c r="H89" s="113">
        <f>E89*F89</f>
        <v>0</v>
      </c>
      <c r="K89" s="1"/>
    </row>
    <row r="90" spans="2:12" x14ac:dyDescent="0.2">
      <c r="C90" s="795" t="str">
        <f>IF(I6="M","250001 - 500000","250001-500000")</f>
        <v>250001 - 500000</v>
      </c>
      <c r="D90" s="796"/>
      <c r="E90" s="112">
        <v>0.05</v>
      </c>
      <c r="F90" s="113">
        <f>IF(I6="M",(IF(G89&lt;250000,G89,250000)),(IF(G89&lt;250000,G89,250000)))</f>
        <v>0</v>
      </c>
      <c r="G90" s="113">
        <f>G89-F90</f>
        <v>0</v>
      </c>
      <c r="H90" s="114">
        <f>ROUND(E90*F90,0.1)</f>
        <v>0</v>
      </c>
      <c r="J90" s="115"/>
    </row>
    <row r="91" spans="2:12" x14ac:dyDescent="0.2">
      <c r="C91" s="797" t="s">
        <v>212</v>
      </c>
      <c r="D91" s="798"/>
      <c r="E91" s="112">
        <v>0.2</v>
      </c>
      <c r="F91" s="113">
        <f>IF(G90&lt;500000,G90,500000)</f>
        <v>0</v>
      </c>
      <c r="G91" s="113">
        <f>G90-F91</f>
        <v>0</v>
      </c>
      <c r="H91" s="114">
        <f>ROUND(E91*F91,0.1)</f>
        <v>0</v>
      </c>
    </row>
    <row r="92" spans="2:12" x14ac:dyDescent="0.2">
      <c r="C92" s="795" t="s">
        <v>213</v>
      </c>
      <c r="D92" s="796"/>
      <c r="E92" s="112">
        <v>0.3</v>
      </c>
      <c r="F92" s="113">
        <f>G91</f>
        <v>0</v>
      </c>
      <c r="G92" s="113">
        <f>G91-F92</f>
        <v>0</v>
      </c>
      <c r="H92" s="114">
        <f>ROUND(E92*F92,0.1)</f>
        <v>0</v>
      </c>
    </row>
    <row r="93" spans="2:12" ht="12.75" customHeight="1" thickBot="1" x14ac:dyDescent="0.25">
      <c r="B93" s="116"/>
      <c r="C93" s="117"/>
      <c r="D93" s="47"/>
      <c r="E93" s="47"/>
      <c r="F93" s="47"/>
      <c r="J93" s="87"/>
      <c r="K93" s="118"/>
    </row>
    <row r="94" spans="2:12" ht="13.5" thickBot="1" x14ac:dyDescent="0.25">
      <c r="B94" s="799" t="s">
        <v>214</v>
      </c>
      <c r="C94" s="800"/>
      <c r="D94" s="800"/>
      <c r="E94" s="800"/>
      <c r="F94" s="801"/>
      <c r="G94" s="771">
        <f>H89+H90+H91+H92</f>
        <v>0</v>
      </c>
      <c r="H94" s="772"/>
    </row>
    <row r="95" spans="2:12" ht="13.5" thickBot="1" x14ac:dyDescent="0.25">
      <c r="B95" s="119" t="s">
        <v>215</v>
      </c>
      <c r="C95" s="120"/>
      <c r="D95" s="120"/>
      <c r="E95" s="120"/>
      <c r="F95" s="120"/>
      <c r="G95" s="884">
        <f>IF((G65&lt;500000),5000,0)</f>
        <v>5000</v>
      </c>
      <c r="H95" s="885">
        <f>IF(H93&lt;200000,0,IF(H93&lt;220000,((H93-200000)*10%),IF(H93&lt;=500000,2000,IF(H93&gt;=500000,0))))</f>
        <v>0</v>
      </c>
      <c r="J95" s="1"/>
      <c r="K95" s="121"/>
      <c r="L95" s="121"/>
    </row>
    <row r="96" spans="2:12" ht="13.5" thickBot="1" x14ac:dyDescent="0.25">
      <c r="B96" s="122" t="s">
        <v>216</v>
      </c>
      <c r="C96" s="123"/>
      <c r="D96" s="123"/>
      <c r="E96" s="123"/>
      <c r="F96" s="123"/>
      <c r="G96" s="771">
        <f>IF((G94-G95)&lt;0,0,(G94-G95))</f>
        <v>0</v>
      </c>
      <c r="H96" s="772"/>
      <c r="I96" s="37"/>
    </row>
    <row r="97" spans="2:9" ht="13.5" thickBot="1" x14ac:dyDescent="0.25">
      <c r="B97" s="773" t="s">
        <v>240</v>
      </c>
      <c r="C97" s="774"/>
      <c r="D97" s="774"/>
      <c r="E97" s="774"/>
      <c r="F97" s="775"/>
      <c r="G97" s="776">
        <f>ROUND((IF(G96&gt;0,(G96*4%),0)),0)</f>
        <v>0</v>
      </c>
      <c r="H97" s="777"/>
      <c r="I97" s="37"/>
    </row>
    <row r="98" spans="2:9" ht="13.5" thickBot="1" x14ac:dyDescent="0.25">
      <c r="B98" s="778" t="s">
        <v>218</v>
      </c>
      <c r="C98" s="779"/>
      <c r="D98" s="779"/>
      <c r="E98" s="779"/>
      <c r="F98" s="779"/>
      <c r="G98" s="780">
        <f>G96+G97</f>
        <v>0</v>
      </c>
      <c r="H98" s="781"/>
      <c r="I98" s="121"/>
    </row>
    <row r="99" spans="2:9" ht="13.5" thickBot="1" x14ac:dyDescent="0.25">
      <c r="B99" s="765" t="s">
        <v>219</v>
      </c>
      <c r="C99" s="766"/>
      <c r="D99" s="766"/>
      <c r="E99" s="766"/>
      <c r="F99" s="766"/>
      <c r="G99" s="767">
        <f>O38</f>
        <v>900</v>
      </c>
      <c r="H99" s="768"/>
      <c r="I99" s="121"/>
    </row>
    <row r="100" spans="2:9" ht="13.5" thickBot="1" x14ac:dyDescent="0.25">
      <c r="B100" s="765" t="str">
        <f>IF(G100&gt;0,"TAX PAYABLE","TAX REFUND")</f>
        <v>TAX REFUND</v>
      </c>
      <c r="C100" s="766"/>
      <c r="D100" s="766"/>
      <c r="E100" s="766"/>
      <c r="F100" s="766"/>
      <c r="G100" s="767">
        <f>+G98-G99</f>
        <v>-900</v>
      </c>
      <c r="H100" s="768"/>
      <c r="I100" s="37"/>
    </row>
    <row r="101" spans="2:9" x14ac:dyDescent="0.2">
      <c r="C101" s="124"/>
      <c r="D101" s="45"/>
      <c r="E101" s="118"/>
      <c r="F101" s="118"/>
      <c r="G101" s="118"/>
      <c r="H101" s="118"/>
      <c r="I101" s="125"/>
    </row>
    <row r="102" spans="2:9" x14ac:dyDescent="0.2">
      <c r="C102" s="47"/>
      <c r="D102" s="50"/>
      <c r="E102" s="117"/>
      <c r="F102" s="47"/>
      <c r="G102" s="47"/>
      <c r="H102" s="47"/>
      <c r="I102" s="125"/>
    </row>
    <row r="103" spans="2:9" x14ac:dyDescent="0.2">
      <c r="C103" s="39"/>
      <c r="D103" s="126"/>
      <c r="E103" s="126"/>
      <c r="F103" s="126"/>
      <c r="G103" s="39"/>
      <c r="H103" s="39"/>
      <c r="I103" s="37"/>
    </row>
    <row r="104" spans="2:9" x14ac:dyDescent="0.2">
      <c r="C104" s="39"/>
      <c r="D104" s="126"/>
      <c r="E104" s="126"/>
      <c r="F104" s="39"/>
      <c r="G104" s="39"/>
      <c r="H104" s="39"/>
      <c r="I104" s="37"/>
    </row>
    <row r="105" spans="2:9" x14ac:dyDescent="0.2">
      <c r="C105" s="39"/>
      <c r="D105" s="126"/>
      <c r="E105" s="126"/>
      <c r="F105" s="39"/>
      <c r="G105" s="39"/>
      <c r="H105" s="39"/>
      <c r="I105" s="37"/>
    </row>
    <row r="106" spans="2:9" x14ac:dyDescent="0.2">
      <c r="C106" s="39"/>
      <c r="D106" s="39"/>
      <c r="E106" s="39"/>
      <c r="F106" s="39"/>
      <c r="G106" s="39"/>
      <c r="H106" s="39"/>
      <c r="I106" s="37"/>
    </row>
    <row r="107" spans="2:9" x14ac:dyDescent="0.2">
      <c r="C107" s="39"/>
      <c r="D107" s="39"/>
      <c r="E107" s="39"/>
      <c r="F107" s="39"/>
      <c r="G107" s="39"/>
      <c r="H107" s="39"/>
    </row>
    <row r="108" spans="2:9" x14ac:dyDescent="0.2">
      <c r="C108" s="39"/>
      <c r="D108" s="39"/>
      <c r="E108" s="39"/>
      <c r="F108" s="39"/>
      <c r="G108" s="39"/>
      <c r="H108"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60:F60"/>
    <mergeCell ref="G60:H60"/>
    <mergeCell ref="J60:O60"/>
    <mergeCell ref="B55:B58"/>
    <mergeCell ref="C55:C58"/>
    <mergeCell ref="D55:F55"/>
    <mergeCell ref="G55:H55"/>
    <mergeCell ref="D56:F56"/>
    <mergeCell ref="G56:H56"/>
    <mergeCell ref="J56:L56"/>
    <mergeCell ref="M56:O56"/>
    <mergeCell ref="D58:F58"/>
    <mergeCell ref="G58:H58"/>
    <mergeCell ref="J63:O63"/>
    <mergeCell ref="D81:F81"/>
    <mergeCell ref="J68:K68"/>
    <mergeCell ref="B65:F65"/>
    <mergeCell ref="G65:H65"/>
    <mergeCell ref="D76:F76"/>
    <mergeCell ref="D77:F77"/>
    <mergeCell ref="E78:F78"/>
    <mergeCell ref="D79:F79"/>
    <mergeCell ref="D80:F80"/>
    <mergeCell ref="D71:F71"/>
    <mergeCell ref="D72:F72"/>
    <mergeCell ref="C69:C75"/>
    <mergeCell ref="D69:F69"/>
    <mergeCell ref="D70:F70"/>
    <mergeCell ref="D74:F74"/>
    <mergeCell ref="G62:H62"/>
    <mergeCell ref="C63:F63"/>
    <mergeCell ref="G63:H63"/>
    <mergeCell ref="B62:F62"/>
    <mergeCell ref="D73:F73"/>
    <mergeCell ref="D75:F75"/>
    <mergeCell ref="G94:H94"/>
    <mergeCell ref="D82:F82"/>
    <mergeCell ref="D83:F83"/>
    <mergeCell ref="B84:F84"/>
    <mergeCell ref="B86:F86"/>
    <mergeCell ref="G86:H86"/>
    <mergeCell ref="C88:D88"/>
    <mergeCell ref="C89:D89"/>
    <mergeCell ref="C90:D90"/>
    <mergeCell ref="C91:D91"/>
    <mergeCell ref="C92:D92"/>
    <mergeCell ref="B94:F94"/>
    <mergeCell ref="B69:B83"/>
    <mergeCell ref="B100:F100"/>
    <mergeCell ref="G100:H100"/>
    <mergeCell ref="G95:H95"/>
    <mergeCell ref="G96:H96"/>
    <mergeCell ref="B97:F97"/>
    <mergeCell ref="G97:H97"/>
    <mergeCell ref="B98:F98"/>
    <mergeCell ref="G98:H98"/>
    <mergeCell ref="B99:F99"/>
    <mergeCell ref="G99:H99"/>
  </mergeCells>
  <conditionalFormatting sqref="B100:F100 B94:F98">
    <cfRule type="cellIs" dxfId="2183" priority="3" stopIfTrue="1" operator="equal">
      <formula>"TAX PAYABLE"</formula>
    </cfRule>
    <cfRule type="cellIs" dxfId="2182" priority="4" stopIfTrue="1" operator="equal">
      <formula>"TAX REFUND"</formula>
    </cfRule>
  </conditionalFormatting>
  <conditionalFormatting sqref="G100:H100">
    <cfRule type="cellIs" dxfId="2181" priority="1" stopIfTrue="1" operator="greaterThan">
      <formula>0</formula>
    </cfRule>
    <cfRule type="cellIs" dxfId="2180" priority="2" stopIfTrue="1" operator="lessThanOrEqual">
      <formula>0</formula>
    </cfRule>
  </conditionalFormatting>
  <dataValidations disablePrompts="1"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7"/>
  <sheetViews>
    <sheetView topLeftCell="A59" workbookViewId="0">
      <selection activeCell="D78" sqref="D78:F78"/>
    </sheetView>
  </sheetViews>
  <sheetFormatPr defaultRowHeight="12.75" x14ac:dyDescent="0.2"/>
  <cols>
    <col min="1" max="1" width="5" style="16" customWidth="1"/>
    <col min="2" max="2" width="18.140625" style="37" customWidth="1"/>
    <col min="3" max="3" width="8.85546875" style="16" customWidth="1"/>
    <col min="4" max="4" width="6.7109375" style="16" bestFit="1" customWidth="1"/>
    <col min="5" max="5" width="8.5703125" style="16" bestFit="1" customWidth="1"/>
    <col min="6" max="6" width="8.140625" style="16" customWidth="1"/>
    <col min="7" max="7" width="9.42578125" style="16" customWidth="1"/>
    <col min="8" max="8" width="8.7109375" style="16" customWidth="1"/>
    <col min="9" max="9" width="8.42578125" style="16" customWidth="1"/>
    <col min="10" max="10" width="7.85546875" style="16" customWidth="1"/>
    <col min="11" max="14" width="7" style="16" bestFit="1" customWidth="1"/>
    <col min="15" max="19" width="9.140625" style="16"/>
    <col min="20" max="20" width="12.42578125" style="16" customWidth="1"/>
    <col min="21" max="21" width="9.140625" style="16"/>
    <col min="22" max="22" width="12" style="16" customWidth="1"/>
    <col min="23" max="256" width="9.140625" style="16"/>
    <col min="257" max="257" width="5" style="16" customWidth="1"/>
    <col min="258" max="258" width="18.140625" style="16" customWidth="1"/>
    <col min="259" max="259" width="8.85546875" style="16" customWidth="1"/>
    <col min="260" max="260" width="6.7109375" style="16" bestFit="1" customWidth="1"/>
    <col min="261" max="261" width="8.5703125" style="16" bestFit="1" customWidth="1"/>
    <col min="262" max="262" width="8.140625" style="16" customWidth="1"/>
    <col min="263" max="263" width="9.42578125" style="16" customWidth="1"/>
    <col min="264" max="264" width="8.7109375" style="16" customWidth="1"/>
    <col min="265" max="265" width="8.42578125" style="16" customWidth="1"/>
    <col min="266" max="266" width="7.85546875" style="16" customWidth="1"/>
    <col min="267" max="270" width="7" style="16" bestFit="1" customWidth="1"/>
    <col min="271" max="275" width="9.140625" style="16"/>
    <col min="276" max="276" width="12.42578125" style="16" customWidth="1"/>
    <col min="277" max="277" width="9.140625" style="16"/>
    <col min="278" max="278" width="12" style="16" customWidth="1"/>
    <col min="279" max="512" width="9.140625" style="16"/>
    <col min="513" max="513" width="5" style="16" customWidth="1"/>
    <col min="514" max="514" width="18.140625" style="16" customWidth="1"/>
    <col min="515" max="515" width="8.85546875" style="16" customWidth="1"/>
    <col min="516" max="516" width="6.7109375" style="16" bestFit="1" customWidth="1"/>
    <col min="517" max="517" width="8.5703125" style="16" bestFit="1" customWidth="1"/>
    <col min="518" max="518" width="8.140625" style="16" customWidth="1"/>
    <col min="519" max="519" width="9.42578125" style="16" customWidth="1"/>
    <col min="520" max="520" width="8.7109375" style="16" customWidth="1"/>
    <col min="521" max="521" width="8.42578125" style="16" customWidth="1"/>
    <col min="522" max="522" width="7.85546875" style="16" customWidth="1"/>
    <col min="523" max="526" width="7" style="16" bestFit="1" customWidth="1"/>
    <col min="527" max="531" width="9.140625" style="16"/>
    <col min="532" max="532" width="12.42578125" style="16" customWidth="1"/>
    <col min="533" max="533" width="9.140625" style="16"/>
    <col min="534" max="534" width="12" style="16" customWidth="1"/>
    <col min="535" max="768" width="9.140625" style="16"/>
    <col min="769" max="769" width="5" style="16" customWidth="1"/>
    <col min="770" max="770" width="18.140625" style="16" customWidth="1"/>
    <col min="771" max="771" width="8.85546875" style="16" customWidth="1"/>
    <col min="772" max="772" width="6.7109375" style="16" bestFit="1" customWidth="1"/>
    <col min="773" max="773" width="8.5703125" style="16" bestFit="1" customWidth="1"/>
    <col min="774" max="774" width="8.140625" style="16" customWidth="1"/>
    <col min="775" max="775" width="9.42578125" style="16" customWidth="1"/>
    <col min="776" max="776" width="8.7109375" style="16" customWidth="1"/>
    <col min="777" max="777" width="8.42578125" style="16" customWidth="1"/>
    <col min="778" max="778" width="7.85546875" style="16" customWidth="1"/>
    <col min="779" max="782" width="7" style="16" bestFit="1" customWidth="1"/>
    <col min="783"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8.140625" style="16" customWidth="1"/>
    <col min="1027" max="1027" width="8.85546875" style="16" customWidth="1"/>
    <col min="1028" max="1028" width="6.7109375" style="16" bestFit="1" customWidth="1"/>
    <col min="1029" max="1029" width="8.5703125" style="16" bestFit="1" customWidth="1"/>
    <col min="1030" max="1030" width="8.140625" style="16" customWidth="1"/>
    <col min="1031" max="1031" width="9.42578125" style="16" customWidth="1"/>
    <col min="1032" max="1032" width="8.7109375" style="16" customWidth="1"/>
    <col min="1033" max="1033" width="8.42578125" style="16" customWidth="1"/>
    <col min="1034" max="1034" width="7.85546875" style="16" customWidth="1"/>
    <col min="1035" max="1038" width="7" style="16" bestFit="1" customWidth="1"/>
    <col min="1039"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8.140625" style="16" customWidth="1"/>
    <col min="1283" max="1283" width="8.85546875" style="16" customWidth="1"/>
    <col min="1284" max="1284" width="6.7109375" style="16" bestFit="1" customWidth="1"/>
    <col min="1285" max="1285" width="8.5703125" style="16" bestFit="1" customWidth="1"/>
    <col min="1286" max="1286" width="8.140625" style="16" customWidth="1"/>
    <col min="1287" max="1287" width="9.42578125" style="16" customWidth="1"/>
    <col min="1288" max="1288" width="8.7109375" style="16" customWidth="1"/>
    <col min="1289" max="1289" width="8.42578125" style="16" customWidth="1"/>
    <col min="1290" max="1290" width="7.85546875" style="16" customWidth="1"/>
    <col min="1291" max="1294" width="7" style="16" bestFit="1" customWidth="1"/>
    <col min="1295"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8.140625" style="16" customWidth="1"/>
    <col min="1539" max="1539" width="8.85546875" style="16" customWidth="1"/>
    <col min="1540" max="1540" width="6.7109375" style="16" bestFit="1" customWidth="1"/>
    <col min="1541" max="1541" width="8.5703125" style="16" bestFit="1" customWidth="1"/>
    <col min="1542" max="1542" width="8.140625" style="16" customWidth="1"/>
    <col min="1543" max="1543" width="9.42578125" style="16" customWidth="1"/>
    <col min="1544" max="1544" width="8.7109375" style="16" customWidth="1"/>
    <col min="1545" max="1545" width="8.42578125" style="16" customWidth="1"/>
    <col min="1546" max="1546" width="7.85546875" style="16" customWidth="1"/>
    <col min="1547" max="1550" width="7" style="16" bestFit="1" customWidth="1"/>
    <col min="1551"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8.140625" style="16" customWidth="1"/>
    <col min="1795" max="1795" width="8.85546875" style="16" customWidth="1"/>
    <col min="1796" max="1796" width="6.7109375" style="16" bestFit="1" customWidth="1"/>
    <col min="1797" max="1797" width="8.5703125" style="16" bestFit="1" customWidth="1"/>
    <col min="1798" max="1798" width="8.140625" style="16" customWidth="1"/>
    <col min="1799" max="1799" width="9.42578125" style="16" customWidth="1"/>
    <col min="1800" max="1800" width="8.7109375" style="16" customWidth="1"/>
    <col min="1801" max="1801" width="8.42578125" style="16" customWidth="1"/>
    <col min="1802" max="1802" width="7.85546875" style="16" customWidth="1"/>
    <col min="1803" max="1806" width="7" style="16" bestFit="1" customWidth="1"/>
    <col min="1807"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8.140625" style="16" customWidth="1"/>
    <col min="2051" max="2051" width="8.85546875" style="16" customWidth="1"/>
    <col min="2052" max="2052" width="6.7109375" style="16" bestFit="1" customWidth="1"/>
    <col min="2053" max="2053" width="8.5703125" style="16" bestFit="1" customWidth="1"/>
    <col min="2054" max="2054" width="8.140625" style="16" customWidth="1"/>
    <col min="2055" max="2055" width="9.42578125" style="16" customWidth="1"/>
    <col min="2056" max="2056" width="8.7109375" style="16" customWidth="1"/>
    <col min="2057" max="2057" width="8.42578125" style="16" customWidth="1"/>
    <col min="2058" max="2058" width="7.85546875" style="16" customWidth="1"/>
    <col min="2059" max="2062" width="7" style="16" bestFit="1" customWidth="1"/>
    <col min="2063"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8.140625" style="16" customWidth="1"/>
    <col min="2307" max="2307" width="8.85546875" style="16" customWidth="1"/>
    <col min="2308" max="2308" width="6.7109375" style="16" bestFit="1" customWidth="1"/>
    <col min="2309" max="2309" width="8.5703125" style="16" bestFit="1" customWidth="1"/>
    <col min="2310" max="2310" width="8.140625" style="16" customWidth="1"/>
    <col min="2311" max="2311" width="9.42578125" style="16" customWidth="1"/>
    <col min="2312" max="2312" width="8.7109375" style="16" customWidth="1"/>
    <col min="2313" max="2313" width="8.42578125" style="16" customWidth="1"/>
    <col min="2314" max="2314" width="7.85546875" style="16" customWidth="1"/>
    <col min="2315" max="2318" width="7" style="16" bestFit="1" customWidth="1"/>
    <col min="2319"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8.140625" style="16" customWidth="1"/>
    <col min="2563" max="2563" width="8.85546875" style="16" customWidth="1"/>
    <col min="2564" max="2564" width="6.7109375" style="16" bestFit="1" customWidth="1"/>
    <col min="2565" max="2565" width="8.5703125" style="16" bestFit="1" customWidth="1"/>
    <col min="2566" max="2566" width="8.140625" style="16" customWidth="1"/>
    <col min="2567" max="2567" width="9.42578125" style="16" customWidth="1"/>
    <col min="2568" max="2568" width="8.7109375" style="16" customWidth="1"/>
    <col min="2569" max="2569" width="8.42578125" style="16" customWidth="1"/>
    <col min="2570" max="2570" width="7.85546875" style="16" customWidth="1"/>
    <col min="2571" max="2574" width="7" style="16" bestFit="1" customWidth="1"/>
    <col min="2575"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8.140625" style="16" customWidth="1"/>
    <col min="2819" max="2819" width="8.85546875" style="16" customWidth="1"/>
    <col min="2820" max="2820" width="6.7109375" style="16" bestFit="1" customWidth="1"/>
    <col min="2821" max="2821" width="8.5703125" style="16" bestFit="1" customWidth="1"/>
    <col min="2822" max="2822" width="8.140625" style="16" customWidth="1"/>
    <col min="2823" max="2823" width="9.42578125" style="16" customWidth="1"/>
    <col min="2824" max="2824" width="8.7109375" style="16" customWidth="1"/>
    <col min="2825" max="2825" width="8.42578125" style="16" customWidth="1"/>
    <col min="2826" max="2826" width="7.85546875" style="16" customWidth="1"/>
    <col min="2827" max="2830" width="7" style="16" bestFit="1" customWidth="1"/>
    <col min="2831"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8.140625" style="16" customWidth="1"/>
    <col min="3075" max="3075" width="8.85546875" style="16" customWidth="1"/>
    <col min="3076" max="3076" width="6.7109375" style="16" bestFit="1" customWidth="1"/>
    <col min="3077" max="3077" width="8.5703125" style="16" bestFit="1" customWidth="1"/>
    <col min="3078" max="3078" width="8.140625" style="16" customWidth="1"/>
    <col min="3079" max="3079" width="9.42578125" style="16" customWidth="1"/>
    <col min="3080" max="3080" width="8.7109375" style="16" customWidth="1"/>
    <col min="3081" max="3081" width="8.42578125" style="16" customWidth="1"/>
    <col min="3082" max="3082" width="7.85546875" style="16" customWidth="1"/>
    <col min="3083" max="3086" width="7" style="16" bestFit="1" customWidth="1"/>
    <col min="3087"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8.140625" style="16" customWidth="1"/>
    <col min="3331" max="3331" width="8.85546875" style="16" customWidth="1"/>
    <col min="3332" max="3332" width="6.7109375" style="16" bestFit="1" customWidth="1"/>
    <col min="3333" max="3333" width="8.5703125" style="16" bestFit="1" customWidth="1"/>
    <col min="3334" max="3334" width="8.140625" style="16" customWidth="1"/>
    <col min="3335" max="3335" width="9.42578125" style="16" customWidth="1"/>
    <col min="3336" max="3336" width="8.7109375" style="16" customWidth="1"/>
    <col min="3337" max="3337" width="8.42578125" style="16" customWidth="1"/>
    <col min="3338" max="3338" width="7.85546875" style="16" customWidth="1"/>
    <col min="3339" max="3342" width="7" style="16" bestFit="1" customWidth="1"/>
    <col min="3343"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8.140625" style="16" customWidth="1"/>
    <col min="3587" max="3587" width="8.85546875" style="16" customWidth="1"/>
    <col min="3588" max="3588" width="6.7109375" style="16" bestFit="1" customWidth="1"/>
    <col min="3589" max="3589" width="8.5703125" style="16" bestFit="1" customWidth="1"/>
    <col min="3590" max="3590" width="8.140625" style="16" customWidth="1"/>
    <col min="3591" max="3591" width="9.42578125" style="16" customWidth="1"/>
    <col min="3592" max="3592" width="8.7109375" style="16" customWidth="1"/>
    <col min="3593" max="3593" width="8.42578125" style="16" customWidth="1"/>
    <col min="3594" max="3594" width="7.85546875" style="16" customWidth="1"/>
    <col min="3595" max="3598" width="7" style="16" bestFit="1" customWidth="1"/>
    <col min="3599"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8.140625" style="16" customWidth="1"/>
    <col min="3843" max="3843" width="8.85546875" style="16" customWidth="1"/>
    <col min="3844" max="3844" width="6.7109375" style="16" bestFit="1" customWidth="1"/>
    <col min="3845" max="3845" width="8.5703125" style="16" bestFit="1" customWidth="1"/>
    <col min="3846" max="3846" width="8.140625" style="16" customWidth="1"/>
    <col min="3847" max="3847" width="9.42578125" style="16" customWidth="1"/>
    <col min="3848" max="3848" width="8.7109375" style="16" customWidth="1"/>
    <col min="3849" max="3849" width="8.42578125" style="16" customWidth="1"/>
    <col min="3850" max="3850" width="7.85546875" style="16" customWidth="1"/>
    <col min="3851" max="3854" width="7" style="16" bestFit="1" customWidth="1"/>
    <col min="3855"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8.140625" style="16" customWidth="1"/>
    <col min="4099" max="4099" width="8.85546875" style="16" customWidth="1"/>
    <col min="4100" max="4100" width="6.7109375" style="16" bestFit="1" customWidth="1"/>
    <col min="4101" max="4101" width="8.5703125" style="16" bestFit="1" customWidth="1"/>
    <col min="4102" max="4102" width="8.140625" style="16" customWidth="1"/>
    <col min="4103" max="4103" width="9.42578125" style="16" customWidth="1"/>
    <col min="4104" max="4104" width="8.7109375" style="16" customWidth="1"/>
    <col min="4105" max="4105" width="8.42578125" style="16" customWidth="1"/>
    <col min="4106" max="4106" width="7.85546875" style="16" customWidth="1"/>
    <col min="4107" max="4110" width="7" style="16" bestFit="1" customWidth="1"/>
    <col min="4111"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8.140625" style="16" customWidth="1"/>
    <col min="4355" max="4355" width="8.85546875" style="16" customWidth="1"/>
    <col min="4356" max="4356" width="6.7109375" style="16" bestFit="1" customWidth="1"/>
    <col min="4357" max="4357" width="8.5703125" style="16" bestFit="1" customWidth="1"/>
    <col min="4358" max="4358" width="8.140625" style="16" customWidth="1"/>
    <col min="4359" max="4359" width="9.42578125" style="16" customWidth="1"/>
    <col min="4360" max="4360" width="8.7109375" style="16" customWidth="1"/>
    <col min="4361" max="4361" width="8.42578125" style="16" customWidth="1"/>
    <col min="4362" max="4362" width="7.85546875" style="16" customWidth="1"/>
    <col min="4363" max="4366" width="7" style="16" bestFit="1" customWidth="1"/>
    <col min="4367"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8.140625" style="16" customWidth="1"/>
    <col min="4611" max="4611" width="8.85546875" style="16" customWidth="1"/>
    <col min="4612" max="4612" width="6.7109375" style="16" bestFit="1" customWidth="1"/>
    <col min="4613" max="4613" width="8.5703125" style="16" bestFit="1" customWidth="1"/>
    <col min="4614" max="4614" width="8.140625" style="16" customWidth="1"/>
    <col min="4615" max="4615" width="9.42578125" style="16" customWidth="1"/>
    <col min="4616" max="4616" width="8.7109375" style="16" customWidth="1"/>
    <col min="4617" max="4617" width="8.42578125" style="16" customWidth="1"/>
    <col min="4618" max="4618" width="7.85546875" style="16" customWidth="1"/>
    <col min="4619" max="4622" width="7" style="16" bestFit="1" customWidth="1"/>
    <col min="4623"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8.140625" style="16" customWidth="1"/>
    <col min="4867" max="4867" width="8.85546875" style="16" customWidth="1"/>
    <col min="4868" max="4868" width="6.7109375" style="16" bestFit="1" customWidth="1"/>
    <col min="4869" max="4869" width="8.5703125" style="16" bestFit="1" customWidth="1"/>
    <col min="4870" max="4870" width="8.140625" style="16" customWidth="1"/>
    <col min="4871" max="4871" width="9.42578125" style="16" customWidth="1"/>
    <col min="4872" max="4872" width="8.7109375" style="16" customWidth="1"/>
    <col min="4873" max="4873" width="8.42578125" style="16" customWidth="1"/>
    <col min="4874" max="4874" width="7.85546875" style="16" customWidth="1"/>
    <col min="4875" max="4878" width="7" style="16" bestFit="1" customWidth="1"/>
    <col min="4879"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8.140625" style="16" customWidth="1"/>
    <col min="5123" max="5123" width="8.85546875" style="16" customWidth="1"/>
    <col min="5124" max="5124" width="6.7109375" style="16" bestFit="1" customWidth="1"/>
    <col min="5125" max="5125" width="8.5703125" style="16" bestFit="1" customWidth="1"/>
    <col min="5126" max="5126" width="8.140625" style="16" customWidth="1"/>
    <col min="5127" max="5127" width="9.42578125" style="16" customWidth="1"/>
    <col min="5128" max="5128" width="8.7109375" style="16" customWidth="1"/>
    <col min="5129" max="5129" width="8.42578125" style="16" customWidth="1"/>
    <col min="5130" max="5130" width="7.85546875" style="16" customWidth="1"/>
    <col min="5131" max="5134" width="7" style="16" bestFit="1" customWidth="1"/>
    <col min="5135"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8.140625" style="16" customWidth="1"/>
    <col min="5379" max="5379" width="8.85546875" style="16" customWidth="1"/>
    <col min="5380" max="5380" width="6.7109375" style="16" bestFit="1" customWidth="1"/>
    <col min="5381" max="5381" width="8.5703125" style="16" bestFit="1" customWidth="1"/>
    <col min="5382" max="5382" width="8.140625" style="16" customWidth="1"/>
    <col min="5383" max="5383" width="9.42578125" style="16" customWidth="1"/>
    <col min="5384" max="5384" width="8.7109375" style="16" customWidth="1"/>
    <col min="5385" max="5385" width="8.42578125" style="16" customWidth="1"/>
    <col min="5386" max="5386" width="7.85546875" style="16" customWidth="1"/>
    <col min="5387" max="5390" width="7" style="16" bestFit="1" customWidth="1"/>
    <col min="5391"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8.140625" style="16" customWidth="1"/>
    <col min="5635" max="5635" width="8.85546875" style="16" customWidth="1"/>
    <col min="5636" max="5636" width="6.7109375" style="16" bestFit="1" customWidth="1"/>
    <col min="5637" max="5637" width="8.5703125" style="16" bestFit="1" customWidth="1"/>
    <col min="5638" max="5638" width="8.140625" style="16" customWidth="1"/>
    <col min="5639" max="5639" width="9.42578125" style="16" customWidth="1"/>
    <col min="5640" max="5640" width="8.7109375" style="16" customWidth="1"/>
    <col min="5641" max="5641" width="8.42578125" style="16" customWidth="1"/>
    <col min="5642" max="5642" width="7.85546875" style="16" customWidth="1"/>
    <col min="5643" max="5646" width="7" style="16" bestFit="1" customWidth="1"/>
    <col min="5647"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8.140625" style="16" customWidth="1"/>
    <col min="5891" max="5891" width="8.85546875" style="16" customWidth="1"/>
    <col min="5892" max="5892" width="6.7109375" style="16" bestFit="1" customWidth="1"/>
    <col min="5893" max="5893" width="8.5703125" style="16" bestFit="1" customWidth="1"/>
    <col min="5894" max="5894" width="8.140625" style="16" customWidth="1"/>
    <col min="5895" max="5895" width="9.42578125" style="16" customWidth="1"/>
    <col min="5896" max="5896" width="8.7109375" style="16" customWidth="1"/>
    <col min="5897" max="5897" width="8.42578125" style="16" customWidth="1"/>
    <col min="5898" max="5898" width="7.85546875" style="16" customWidth="1"/>
    <col min="5899" max="5902" width="7" style="16" bestFit="1" customWidth="1"/>
    <col min="5903"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8.140625" style="16" customWidth="1"/>
    <col min="6147" max="6147" width="8.85546875" style="16" customWidth="1"/>
    <col min="6148" max="6148" width="6.7109375" style="16" bestFit="1" customWidth="1"/>
    <col min="6149" max="6149" width="8.5703125" style="16" bestFit="1" customWidth="1"/>
    <col min="6150" max="6150" width="8.140625" style="16" customWidth="1"/>
    <col min="6151" max="6151" width="9.42578125" style="16" customWidth="1"/>
    <col min="6152" max="6152" width="8.7109375" style="16" customWidth="1"/>
    <col min="6153" max="6153" width="8.42578125" style="16" customWidth="1"/>
    <col min="6154" max="6154" width="7.85546875" style="16" customWidth="1"/>
    <col min="6155" max="6158" width="7" style="16" bestFit="1" customWidth="1"/>
    <col min="6159"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8.140625" style="16" customWidth="1"/>
    <col min="6403" max="6403" width="8.85546875" style="16" customWidth="1"/>
    <col min="6404" max="6404" width="6.7109375" style="16" bestFit="1" customWidth="1"/>
    <col min="6405" max="6405" width="8.5703125" style="16" bestFit="1" customWidth="1"/>
    <col min="6406" max="6406" width="8.140625" style="16" customWidth="1"/>
    <col min="6407" max="6407" width="9.42578125" style="16" customWidth="1"/>
    <col min="6408" max="6408" width="8.7109375" style="16" customWidth="1"/>
    <col min="6409" max="6409" width="8.42578125" style="16" customWidth="1"/>
    <col min="6410" max="6410" width="7.85546875" style="16" customWidth="1"/>
    <col min="6411" max="6414" width="7" style="16" bestFit="1" customWidth="1"/>
    <col min="6415"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8.140625" style="16" customWidth="1"/>
    <col min="6659" max="6659" width="8.85546875" style="16" customWidth="1"/>
    <col min="6660" max="6660" width="6.7109375" style="16" bestFit="1" customWidth="1"/>
    <col min="6661" max="6661" width="8.5703125" style="16" bestFit="1" customWidth="1"/>
    <col min="6662" max="6662" width="8.140625" style="16" customWidth="1"/>
    <col min="6663" max="6663" width="9.42578125" style="16" customWidth="1"/>
    <col min="6664" max="6664" width="8.7109375" style="16" customWidth="1"/>
    <col min="6665" max="6665" width="8.42578125" style="16" customWidth="1"/>
    <col min="6666" max="6666" width="7.85546875" style="16" customWidth="1"/>
    <col min="6667" max="6670" width="7" style="16" bestFit="1" customWidth="1"/>
    <col min="6671"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8.140625" style="16" customWidth="1"/>
    <col min="6915" max="6915" width="8.85546875" style="16" customWidth="1"/>
    <col min="6916" max="6916" width="6.7109375" style="16" bestFit="1" customWidth="1"/>
    <col min="6917" max="6917" width="8.5703125" style="16" bestFit="1" customWidth="1"/>
    <col min="6918" max="6918" width="8.140625" style="16" customWidth="1"/>
    <col min="6919" max="6919" width="9.42578125" style="16" customWidth="1"/>
    <col min="6920" max="6920" width="8.7109375" style="16" customWidth="1"/>
    <col min="6921" max="6921" width="8.42578125" style="16" customWidth="1"/>
    <col min="6922" max="6922" width="7.85546875" style="16" customWidth="1"/>
    <col min="6923" max="6926" width="7" style="16" bestFit="1" customWidth="1"/>
    <col min="6927"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8.140625" style="16" customWidth="1"/>
    <col min="7171" max="7171" width="8.85546875" style="16" customWidth="1"/>
    <col min="7172" max="7172" width="6.7109375" style="16" bestFit="1" customWidth="1"/>
    <col min="7173" max="7173" width="8.5703125" style="16" bestFit="1" customWidth="1"/>
    <col min="7174" max="7174" width="8.140625" style="16" customWidth="1"/>
    <col min="7175" max="7175" width="9.42578125" style="16" customWidth="1"/>
    <col min="7176" max="7176" width="8.7109375" style="16" customWidth="1"/>
    <col min="7177" max="7177" width="8.42578125" style="16" customWidth="1"/>
    <col min="7178" max="7178" width="7.85546875" style="16" customWidth="1"/>
    <col min="7179" max="7182" width="7" style="16" bestFit="1" customWidth="1"/>
    <col min="7183"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8.140625" style="16" customWidth="1"/>
    <col min="7427" max="7427" width="8.85546875" style="16" customWidth="1"/>
    <col min="7428" max="7428" width="6.7109375" style="16" bestFit="1" customWidth="1"/>
    <col min="7429" max="7429" width="8.5703125" style="16" bestFit="1" customWidth="1"/>
    <col min="7430" max="7430" width="8.140625" style="16" customWidth="1"/>
    <col min="7431" max="7431" width="9.42578125" style="16" customWidth="1"/>
    <col min="7432" max="7432" width="8.7109375" style="16" customWidth="1"/>
    <col min="7433" max="7433" width="8.42578125" style="16" customWidth="1"/>
    <col min="7434" max="7434" width="7.85546875" style="16" customWidth="1"/>
    <col min="7435" max="7438" width="7" style="16" bestFit="1" customWidth="1"/>
    <col min="7439"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8.140625" style="16" customWidth="1"/>
    <col min="7683" max="7683" width="8.85546875" style="16" customWidth="1"/>
    <col min="7684" max="7684" width="6.7109375" style="16" bestFit="1" customWidth="1"/>
    <col min="7685" max="7685" width="8.5703125" style="16" bestFit="1" customWidth="1"/>
    <col min="7686" max="7686" width="8.140625" style="16" customWidth="1"/>
    <col min="7687" max="7687" width="9.42578125" style="16" customWidth="1"/>
    <col min="7688" max="7688" width="8.7109375" style="16" customWidth="1"/>
    <col min="7689" max="7689" width="8.42578125" style="16" customWidth="1"/>
    <col min="7690" max="7690" width="7.85546875" style="16" customWidth="1"/>
    <col min="7691" max="7694" width="7" style="16" bestFit="1" customWidth="1"/>
    <col min="7695"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8.140625" style="16" customWidth="1"/>
    <col min="7939" max="7939" width="8.85546875" style="16" customWidth="1"/>
    <col min="7940" max="7940" width="6.7109375" style="16" bestFit="1" customWidth="1"/>
    <col min="7941" max="7941" width="8.5703125" style="16" bestFit="1" customWidth="1"/>
    <col min="7942" max="7942" width="8.140625" style="16" customWidth="1"/>
    <col min="7943" max="7943" width="9.42578125" style="16" customWidth="1"/>
    <col min="7944" max="7944" width="8.7109375" style="16" customWidth="1"/>
    <col min="7945" max="7945" width="8.42578125" style="16" customWidth="1"/>
    <col min="7946" max="7946" width="7.85546875" style="16" customWidth="1"/>
    <col min="7947" max="7950" width="7" style="16" bestFit="1" customWidth="1"/>
    <col min="7951"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8.140625" style="16" customWidth="1"/>
    <col min="8195" max="8195" width="8.85546875" style="16" customWidth="1"/>
    <col min="8196" max="8196" width="6.7109375" style="16" bestFit="1" customWidth="1"/>
    <col min="8197" max="8197" width="8.5703125" style="16" bestFit="1" customWidth="1"/>
    <col min="8198" max="8198" width="8.140625" style="16" customWidth="1"/>
    <col min="8199" max="8199" width="9.42578125" style="16" customWidth="1"/>
    <col min="8200" max="8200" width="8.7109375" style="16" customWidth="1"/>
    <col min="8201" max="8201" width="8.42578125" style="16" customWidth="1"/>
    <col min="8202" max="8202" width="7.85546875" style="16" customWidth="1"/>
    <col min="8203" max="8206" width="7" style="16" bestFit="1" customWidth="1"/>
    <col min="8207"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8.140625" style="16" customWidth="1"/>
    <col min="8451" max="8451" width="8.85546875" style="16" customWidth="1"/>
    <col min="8452" max="8452" width="6.7109375" style="16" bestFit="1" customWidth="1"/>
    <col min="8453" max="8453" width="8.5703125" style="16" bestFit="1" customWidth="1"/>
    <col min="8454" max="8454" width="8.140625" style="16" customWidth="1"/>
    <col min="8455" max="8455" width="9.42578125" style="16" customWidth="1"/>
    <col min="8456" max="8456" width="8.7109375" style="16" customWidth="1"/>
    <col min="8457" max="8457" width="8.42578125" style="16" customWidth="1"/>
    <col min="8458" max="8458" width="7.85546875" style="16" customWidth="1"/>
    <col min="8459" max="8462" width="7" style="16" bestFit="1" customWidth="1"/>
    <col min="8463"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8.140625" style="16" customWidth="1"/>
    <col min="8707" max="8707" width="8.85546875" style="16" customWidth="1"/>
    <col min="8708" max="8708" width="6.7109375" style="16" bestFit="1" customWidth="1"/>
    <col min="8709" max="8709" width="8.5703125" style="16" bestFit="1" customWidth="1"/>
    <col min="8710" max="8710" width="8.140625" style="16" customWidth="1"/>
    <col min="8711" max="8711" width="9.42578125" style="16" customWidth="1"/>
    <col min="8712" max="8712" width="8.7109375" style="16" customWidth="1"/>
    <col min="8713" max="8713" width="8.42578125" style="16" customWidth="1"/>
    <col min="8714" max="8714" width="7.85546875" style="16" customWidth="1"/>
    <col min="8715" max="8718" width="7" style="16" bestFit="1" customWidth="1"/>
    <col min="8719"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8.140625" style="16" customWidth="1"/>
    <col min="8963" max="8963" width="8.85546875" style="16" customWidth="1"/>
    <col min="8964" max="8964" width="6.7109375" style="16" bestFit="1" customWidth="1"/>
    <col min="8965" max="8965" width="8.5703125" style="16" bestFit="1" customWidth="1"/>
    <col min="8966" max="8966" width="8.140625" style="16" customWidth="1"/>
    <col min="8967" max="8967" width="9.42578125" style="16" customWidth="1"/>
    <col min="8968" max="8968" width="8.7109375" style="16" customWidth="1"/>
    <col min="8969" max="8969" width="8.42578125" style="16" customWidth="1"/>
    <col min="8970" max="8970" width="7.85546875" style="16" customWidth="1"/>
    <col min="8971" max="8974" width="7" style="16" bestFit="1" customWidth="1"/>
    <col min="8975"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8.140625" style="16" customWidth="1"/>
    <col min="9219" max="9219" width="8.85546875" style="16" customWidth="1"/>
    <col min="9220" max="9220" width="6.7109375" style="16" bestFit="1" customWidth="1"/>
    <col min="9221" max="9221" width="8.5703125" style="16" bestFit="1" customWidth="1"/>
    <col min="9222" max="9222" width="8.140625" style="16" customWidth="1"/>
    <col min="9223" max="9223" width="9.42578125" style="16" customWidth="1"/>
    <col min="9224" max="9224" width="8.7109375" style="16" customWidth="1"/>
    <col min="9225" max="9225" width="8.42578125" style="16" customWidth="1"/>
    <col min="9226" max="9226" width="7.85546875" style="16" customWidth="1"/>
    <col min="9227" max="9230" width="7" style="16" bestFit="1" customWidth="1"/>
    <col min="9231"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8.140625" style="16" customWidth="1"/>
    <col min="9475" max="9475" width="8.85546875" style="16" customWidth="1"/>
    <col min="9476" max="9476" width="6.7109375" style="16" bestFit="1" customWidth="1"/>
    <col min="9477" max="9477" width="8.5703125" style="16" bestFit="1" customWidth="1"/>
    <col min="9478" max="9478" width="8.140625" style="16" customWidth="1"/>
    <col min="9479" max="9479" width="9.42578125" style="16" customWidth="1"/>
    <col min="9480" max="9480" width="8.7109375" style="16" customWidth="1"/>
    <col min="9481" max="9481" width="8.42578125" style="16" customWidth="1"/>
    <col min="9482" max="9482" width="7.85546875" style="16" customWidth="1"/>
    <col min="9483" max="9486" width="7" style="16" bestFit="1" customWidth="1"/>
    <col min="9487"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8.140625" style="16" customWidth="1"/>
    <col min="9731" max="9731" width="8.85546875" style="16" customWidth="1"/>
    <col min="9732" max="9732" width="6.7109375" style="16" bestFit="1" customWidth="1"/>
    <col min="9733" max="9733" width="8.5703125" style="16" bestFit="1" customWidth="1"/>
    <col min="9734" max="9734" width="8.140625" style="16" customWidth="1"/>
    <col min="9735" max="9735" width="9.42578125" style="16" customWidth="1"/>
    <col min="9736" max="9736" width="8.7109375" style="16" customWidth="1"/>
    <col min="9737" max="9737" width="8.42578125" style="16" customWidth="1"/>
    <col min="9738" max="9738" width="7.85546875" style="16" customWidth="1"/>
    <col min="9739" max="9742" width="7" style="16" bestFit="1" customWidth="1"/>
    <col min="9743"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8.140625" style="16" customWidth="1"/>
    <col min="9987" max="9987" width="8.85546875" style="16" customWidth="1"/>
    <col min="9988" max="9988" width="6.7109375" style="16" bestFit="1" customWidth="1"/>
    <col min="9989" max="9989" width="8.5703125" style="16" bestFit="1" customWidth="1"/>
    <col min="9990" max="9990" width="8.140625" style="16" customWidth="1"/>
    <col min="9991" max="9991" width="9.42578125" style="16" customWidth="1"/>
    <col min="9992" max="9992" width="8.7109375" style="16" customWidth="1"/>
    <col min="9993" max="9993" width="8.42578125" style="16" customWidth="1"/>
    <col min="9994" max="9994" width="7.85546875" style="16" customWidth="1"/>
    <col min="9995" max="9998" width="7" style="16" bestFit="1" customWidth="1"/>
    <col min="9999"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8.140625" style="16" customWidth="1"/>
    <col min="10243" max="10243" width="8.85546875" style="16" customWidth="1"/>
    <col min="10244" max="10244" width="6.7109375" style="16" bestFit="1" customWidth="1"/>
    <col min="10245" max="10245" width="8.5703125" style="16" bestFit="1" customWidth="1"/>
    <col min="10246" max="10246" width="8.140625" style="16" customWidth="1"/>
    <col min="10247" max="10247" width="9.42578125" style="16" customWidth="1"/>
    <col min="10248" max="10248" width="8.7109375" style="16" customWidth="1"/>
    <col min="10249" max="10249" width="8.42578125" style="16" customWidth="1"/>
    <col min="10250" max="10250" width="7.85546875" style="16" customWidth="1"/>
    <col min="10251" max="10254" width="7" style="16" bestFit="1" customWidth="1"/>
    <col min="10255"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8.140625" style="16" customWidth="1"/>
    <col min="10499" max="10499" width="8.85546875" style="16" customWidth="1"/>
    <col min="10500" max="10500" width="6.7109375" style="16" bestFit="1" customWidth="1"/>
    <col min="10501" max="10501" width="8.5703125" style="16" bestFit="1" customWidth="1"/>
    <col min="10502" max="10502" width="8.140625" style="16" customWidth="1"/>
    <col min="10503" max="10503" width="9.42578125" style="16" customWidth="1"/>
    <col min="10504" max="10504" width="8.7109375" style="16" customWidth="1"/>
    <col min="10505" max="10505" width="8.42578125" style="16" customWidth="1"/>
    <col min="10506" max="10506" width="7.85546875" style="16" customWidth="1"/>
    <col min="10507" max="10510" width="7" style="16" bestFit="1" customWidth="1"/>
    <col min="10511"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8.140625" style="16" customWidth="1"/>
    <col min="10755" max="10755" width="8.85546875" style="16" customWidth="1"/>
    <col min="10756" max="10756" width="6.7109375" style="16" bestFit="1" customWidth="1"/>
    <col min="10757" max="10757" width="8.5703125" style="16" bestFit="1" customWidth="1"/>
    <col min="10758" max="10758" width="8.140625" style="16" customWidth="1"/>
    <col min="10759" max="10759" width="9.42578125" style="16" customWidth="1"/>
    <col min="10760" max="10760" width="8.7109375" style="16" customWidth="1"/>
    <col min="10761" max="10761" width="8.42578125" style="16" customWidth="1"/>
    <col min="10762" max="10762" width="7.85546875" style="16" customWidth="1"/>
    <col min="10763" max="10766" width="7" style="16" bestFit="1" customWidth="1"/>
    <col min="10767"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8.140625" style="16" customWidth="1"/>
    <col min="11011" max="11011" width="8.85546875" style="16" customWidth="1"/>
    <col min="11012" max="11012" width="6.7109375" style="16" bestFit="1" customWidth="1"/>
    <col min="11013" max="11013" width="8.5703125" style="16" bestFit="1" customWidth="1"/>
    <col min="11014" max="11014" width="8.140625" style="16" customWidth="1"/>
    <col min="11015" max="11015" width="9.42578125" style="16" customWidth="1"/>
    <col min="11016" max="11016" width="8.7109375" style="16" customWidth="1"/>
    <col min="11017" max="11017" width="8.42578125" style="16" customWidth="1"/>
    <col min="11018" max="11018" width="7.85546875" style="16" customWidth="1"/>
    <col min="11019" max="11022" width="7" style="16" bestFit="1" customWidth="1"/>
    <col min="11023"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8.140625" style="16" customWidth="1"/>
    <col min="11267" max="11267" width="8.85546875" style="16" customWidth="1"/>
    <col min="11268" max="11268" width="6.7109375" style="16" bestFit="1" customWidth="1"/>
    <col min="11269" max="11269" width="8.5703125" style="16" bestFit="1" customWidth="1"/>
    <col min="11270" max="11270" width="8.140625" style="16" customWidth="1"/>
    <col min="11271" max="11271" width="9.42578125" style="16" customWidth="1"/>
    <col min="11272" max="11272" width="8.7109375" style="16" customWidth="1"/>
    <col min="11273" max="11273" width="8.42578125" style="16" customWidth="1"/>
    <col min="11274" max="11274" width="7.85546875" style="16" customWidth="1"/>
    <col min="11275" max="11278" width="7" style="16" bestFit="1" customWidth="1"/>
    <col min="11279"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8.140625" style="16" customWidth="1"/>
    <col min="11523" max="11523" width="8.85546875" style="16" customWidth="1"/>
    <col min="11524" max="11524" width="6.7109375" style="16" bestFit="1" customWidth="1"/>
    <col min="11525" max="11525" width="8.5703125" style="16" bestFit="1" customWidth="1"/>
    <col min="11526" max="11526" width="8.140625" style="16" customWidth="1"/>
    <col min="11527" max="11527" width="9.42578125" style="16" customWidth="1"/>
    <col min="11528" max="11528" width="8.7109375" style="16" customWidth="1"/>
    <col min="11529" max="11529" width="8.42578125" style="16" customWidth="1"/>
    <col min="11530" max="11530" width="7.85546875" style="16" customWidth="1"/>
    <col min="11531" max="11534" width="7" style="16" bestFit="1" customWidth="1"/>
    <col min="11535"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8.140625" style="16" customWidth="1"/>
    <col min="11779" max="11779" width="8.85546875" style="16" customWidth="1"/>
    <col min="11780" max="11780" width="6.7109375" style="16" bestFit="1" customWidth="1"/>
    <col min="11781" max="11781" width="8.5703125" style="16" bestFit="1" customWidth="1"/>
    <col min="11782" max="11782" width="8.140625" style="16" customWidth="1"/>
    <col min="11783" max="11783" width="9.42578125" style="16" customWidth="1"/>
    <col min="11784" max="11784" width="8.7109375" style="16" customWidth="1"/>
    <col min="11785" max="11785" width="8.42578125" style="16" customWidth="1"/>
    <col min="11786" max="11786" width="7.85546875" style="16" customWidth="1"/>
    <col min="11787" max="11790" width="7" style="16" bestFit="1" customWidth="1"/>
    <col min="11791"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8.140625" style="16" customWidth="1"/>
    <col min="12035" max="12035" width="8.85546875" style="16" customWidth="1"/>
    <col min="12036" max="12036" width="6.7109375" style="16" bestFit="1" customWidth="1"/>
    <col min="12037" max="12037" width="8.5703125" style="16" bestFit="1" customWidth="1"/>
    <col min="12038" max="12038" width="8.140625" style="16" customWidth="1"/>
    <col min="12039" max="12039" width="9.42578125" style="16" customWidth="1"/>
    <col min="12040" max="12040" width="8.7109375" style="16" customWidth="1"/>
    <col min="12041" max="12041" width="8.42578125" style="16" customWidth="1"/>
    <col min="12042" max="12042" width="7.85546875" style="16" customWidth="1"/>
    <col min="12043" max="12046" width="7" style="16" bestFit="1" customWidth="1"/>
    <col min="12047"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8.140625" style="16" customWidth="1"/>
    <col min="12291" max="12291" width="8.85546875" style="16" customWidth="1"/>
    <col min="12292" max="12292" width="6.7109375" style="16" bestFit="1" customWidth="1"/>
    <col min="12293" max="12293" width="8.5703125" style="16" bestFit="1" customWidth="1"/>
    <col min="12294" max="12294" width="8.140625" style="16" customWidth="1"/>
    <col min="12295" max="12295" width="9.42578125" style="16" customWidth="1"/>
    <col min="12296" max="12296" width="8.7109375" style="16" customWidth="1"/>
    <col min="12297" max="12297" width="8.42578125" style="16" customWidth="1"/>
    <col min="12298" max="12298" width="7.85546875" style="16" customWidth="1"/>
    <col min="12299" max="12302" width="7" style="16" bestFit="1" customWidth="1"/>
    <col min="12303"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8.140625" style="16" customWidth="1"/>
    <col min="12547" max="12547" width="8.85546875" style="16" customWidth="1"/>
    <col min="12548" max="12548" width="6.7109375" style="16" bestFit="1" customWidth="1"/>
    <col min="12549" max="12549" width="8.5703125" style="16" bestFit="1" customWidth="1"/>
    <col min="12550" max="12550" width="8.140625" style="16" customWidth="1"/>
    <col min="12551" max="12551" width="9.42578125" style="16" customWidth="1"/>
    <col min="12552" max="12552" width="8.7109375" style="16" customWidth="1"/>
    <col min="12553" max="12553" width="8.42578125" style="16" customWidth="1"/>
    <col min="12554" max="12554" width="7.85546875" style="16" customWidth="1"/>
    <col min="12555" max="12558" width="7" style="16" bestFit="1" customWidth="1"/>
    <col min="12559"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8.140625" style="16" customWidth="1"/>
    <col min="12803" max="12803" width="8.85546875" style="16" customWidth="1"/>
    <col min="12804" max="12804" width="6.7109375" style="16" bestFit="1" customWidth="1"/>
    <col min="12805" max="12805" width="8.5703125" style="16" bestFit="1" customWidth="1"/>
    <col min="12806" max="12806" width="8.140625" style="16" customWidth="1"/>
    <col min="12807" max="12807" width="9.42578125" style="16" customWidth="1"/>
    <col min="12808" max="12808" width="8.7109375" style="16" customWidth="1"/>
    <col min="12809" max="12809" width="8.42578125" style="16" customWidth="1"/>
    <col min="12810" max="12810" width="7.85546875" style="16" customWidth="1"/>
    <col min="12811" max="12814" width="7" style="16" bestFit="1" customWidth="1"/>
    <col min="12815"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8.140625" style="16" customWidth="1"/>
    <col min="13059" max="13059" width="8.85546875" style="16" customWidth="1"/>
    <col min="13060" max="13060" width="6.7109375" style="16" bestFit="1" customWidth="1"/>
    <col min="13061" max="13061" width="8.5703125" style="16" bestFit="1" customWidth="1"/>
    <col min="13062" max="13062" width="8.140625" style="16" customWidth="1"/>
    <col min="13063" max="13063" width="9.42578125" style="16" customWidth="1"/>
    <col min="13064" max="13064" width="8.7109375" style="16" customWidth="1"/>
    <col min="13065" max="13065" width="8.42578125" style="16" customWidth="1"/>
    <col min="13066" max="13066" width="7.85546875" style="16" customWidth="1"/>
    <col min="13067" max="13070" width="7" style="16" bestFit="1" customWidth="1"/>
    <col min="13071"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8.140625" style="16" customWidth="1"/>
    <col min="13315" max="13315" width="8.85546875" style="16" customWidth="1"/>
    <col min="13316" max="13316" width="6.7109375" style="16" bestFit="1" customWidth="1"/>
    <col min="13317" max="13317" width="8.5703125" style="16" bestFit="1" customWidth="1"/>
    <col min="13318" max="13318" width="8.140625" style="16" customWidth="1"/>
    <col min="13319" max="13319" width="9.42578125" style="16" customWidth="1"/>
    <col min="13320" max="13320" width="8.7109375" style="16" customWidth="1"/>
    <col min="13321" max="13321" width="8.42578125" style="16" customWidth="1"/>
    <col min="13322" max="13322" width="7.85546875" style="16" customWidth="1"/>
    <col min="13323" max="13326" width="7" style="16" bestFit="1" customWidth="1"/>
    <col min="13327"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8.140625" style="16" customWidth="1"/>
    <col min="13571" max="13571" width="8.85546875" style="16" customWidth="1"/>
    <col min="13572" max="13572" width="6.7109375" style="16" bestFit="1" customWidth="1"/>
    <col min="13573" max="13573" width="8.5703125" style="16" bestFit="1" customWidth="1"/>
    <col min="13574" max="13574" width="8.140625" style="16" customWidth="1"/>
    <col min="13575" max="13575" width="9.42578125" style="16" customWidth="1"/>
    <col min="13576" max="13576" width="8.7109375" style="16" customWidth="1"/>
    <col min="13577" max="13577" width="8.42578125" style="16" customWidth="1"/>
    <col min="13578" max="13578" width="7.85546875" style="16" customWidth="1"/>
    <col min="13579" max="13582" width="7" style="16" bestFit="1" customWidth="1"/>
    <col min="13583"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8.140625" style="16" customWidth="1"/>
    <col min="13827" max="13827" width="8.85546875" style="16" customWidth="1"/>
    <col min="13828" max="13828" width="6.7109375" style="16" bestFit="1" customWidth="1"/>
    <col min="13829" max="13829" width="8.5703125" style="16" bestFit="1" customWidth="1"/>
    <col min="13830" max="13830" width="8.140625" style="16" customWidth="1"/>
    <col min="13831" max="13831" width="9.42578125" style="16" customWidth="1"/>
    <col min="13832" max="13832" width="8.7109375" style="16" customWidth="1"/>
    <col min="13833" max="13833" width="8.42578125" style="16" customWidth="1"/>
    <col min="13834" max="13834" width="7.85546875" style="16" customWidth="1"/>
    <col min="13835" max="13838" width="7" style="16" bestFit="1" customWidth="1"/>
    <col min="13839"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8.140625" style="16" customWidth="1"/>
    <col min="14083" max="14083" width="8.85546875" style="16" customWidth="1"/>
    <col min="14084" max="14084" width="6.7109375" style="16" bestFit="1" customWidth="1"/>
    <col min="14085" max="14085" width="8.5703125" style="16" bestFit="1" customWidth="1"/>
    <col min="14086" max="14086" width="8.140625" style="16" customWidth="1"/>
    <col min="14087" max="14087" width="9.42578125" style="16" customWidth="1"/>
    <col min="14088" max="14088" width="8.7109375" style="16" customWidth="1"/>
    <col min="14089" max="14089" width="8.42578125" style="16" customWidth="1"/>
    <col min="14090" max="14090" width="7.85546875" style="16" customWidth="1"/>
    <col min="14091" max="14094" width="7" style="16" bestFit="1" customWidth="1"/>
    <col min="14095"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8.140625" style="16" customWidth="1"/>
    <col min="14339" max="14339" width="8.85546875" style="16" customWidth="1"/>
    <col min="14340" max="14340" width="6.7109375" style="16" bestFit="1" customWidth="1"/>
    <col min="14341" max="14341" width="8.5703125" style="16" bestFit="1" customWidth="1"/>
    <col min="14342" max="14342" width="8.140625" style="16" customWidth="1"/>
    <col min="14343" max="14343" width="9.42578125" style="16" customWidth="1"/>
    <col min="14344" max="14344" width="8.7109375" style="16" customWidth="1"/>
    <col min="14345" max="14345" width="8.42578125" style="16" customWidth="1"/>
    <col min="14346" max="14346" width="7.85546875" style="16" customWidth="1"/>
    <col min="14347" max="14350" width="7" style="16" bestFit="1" customWidth="1"/>
    <col min="14351"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8.140625" style="16" customWidth="1"/>
    <col min="14595" max="14595" width="8.85546875" style="16" customWidth="1"/>
    <col min="14596" max="14596" width="6.7109375" style="16" bestFit="1" customWidth="1"/>
    <col min="14597" max="14597" width="8.5703125" style="16" bestFit="1" customWidth="1"/>
    <col min="14598" max="14598" width="8.140625" style="16" customWidth="1"/>
    <col min="14599" max="14599" width="9.42578125" style="16" customWidth="1"/>
    <col min="14600" max="14600" width="8.7109375" style="16" customWidth="1"/>
    <col min="14601" max="14601" width="8.42578125" style="16" customWidth="1"/>
    <col min="14602" max="14602" width="7.85546875" style="16" customWidth="1"/>
    <col min="14603" max="14606" width="7" style="16" bestFit="1" customWidth="1"/>
    <col min="14607"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8.140625" style="16" customWidth="1"/>
    <col min="14851" max="14851" width="8.85546875" style="16" customWidth="1"/>
    <col min="14852" max="14852" width="6.7109375" style="16" bestFit="1" customWidth="1"/>
    <col min="14853" max="14853" width="8.5703125" style="16" bestFit="1" customWidth="1"/>
    <col min="14854" max="14854" width="8.140625" style="16" customWidth="1"/>
    <col min="14855" max="14855" width="9.42578125" style="16" customWidth="1"/>
    <col min="14856" max="14856" width="8.7109375" style="16" customWidth="1"/>
    <col min="14857" max="14857" width="8.42578125" style="16" customWidth="1"/>
    <col min="14858" max="14858" width="7.85546875" style="16" customWidth="1"/>
    <col min="14859" max="14862" width="7" style="16" bestFit="1" customWidth="1"/>
    <col min="14863"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8.140625" style="16" customWidth="1"/>
    <col min="15107" max="15107" width="8.85546875" style="16" customWidth="1"/>
    <col min="15108" max="15108" width="6.7109375" style="16" bestFit="1" customWidth="1"/>
    <col min="15109" max="15109" width="8.5703125" style="16" bestFit="1" customWidth="1"/>
    <col min="15110" max="15110" width="8.140625" style="16" customWidth="1"/>
    <col min="15111" max="15111" width="9.42578125" style="16" customWidth="1"/>
    <col min="15112" max="15112" width="8.7109375" style="16" customWidth="1"/>
    <col min="15113" max="15113" width="8.42578125" style="16" customWidth="1"/>
    <col min="15114" max="15114" width="7.85546875" style="16" customWidth="1"/>
    <col min="15115" max="15118" width="7" style="16" bestFit="1" customWidth="1"/>
    <col min="15119"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8.140625" style="16" customWidth="1"/>
    <col min="15363" max="15363" width="8.85546875" style="16" customWidth="1"/>
    <col min="15364" max="15364" width="6.7109375" style="16" bestFit="1" customWidth="1"/>
    <col min="15365" max="15365" width="8.5703125" style="16" bestFit="1" customWidth="1"/>
    <col min="15366" max="15366" width="8.140625" style="16" customWidth="1"/>
    <col min="15367" max="15367" width="9.42578125" style="16" customWidth="1"/>
    <col min="15368" max="15368" width="8.7109375" style="16" customWidth="1"/>
    <col min="15369" max="15369" width="8.42578125" style="16" customWidth="1"/>
    <col min="15370" max="15370" width="7.85546875" style="16" customWidth="1"/>
    <col min="15371" max="15374" width="7" style="16" bestFit="1" customWidth="1"/>
    <col min="15375"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8.140625" style="16" customWidth="1"/>
    <col min="15619" max="15619" width="8.85546875" style="16" customWidth="1"/>
    <col min="15620" max="15620" width="6.7109375" style="16" bestFit="1" customWidth="1"/>
    <col min="15621" max="15621" width="8.5703125" style="16" bestFit="1" customWidth="1"/>
    <col min="15622" max="15622" width="8.140625" style="16" customWidth="1"/>
    <col min="15623" max="15623" width="9.42578125" style="16" customWidth="1"/>
    <col min="15624" max="15624" width="8.7109375" style="16" customWidth="1"/>
    <col min="15625" max="15625" width="8.42578125" style="16" customWidth="1"/>
    <col min="15626" max="15626" width="7.85546875" style="16" customWidth="1"/>
    <col min="15627" max="15630" width="7" style="16" bestFit="1" customWidth="1"/>
    <col min="15631"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8.140625" style="16" customWidth="1"/>
    <col min="15875" max="15875" width="8.85546875" style="16" customWidth="1"/>
    <col min="15876" max="15876" width="6.7109375" style="16" bestFit="1" customWidth="1"/>
    <col min="15877" max="15877" width="8.5703125" style="16" bestFit="1" customWidth="1"/>
    <col min="15878" max="15878" width="8.140625" style="16" customWidth="1"/>
    <col min="15879" max="15879" width="9.42578125" style="16" customWidth="1"/>
    <col min="15880" max="15880" width="8.7109375" style="16" customWidth="1"/>
    <col min="15881" max="15881" width="8.42578125" style="16" customWidth="1"/>
    <col min="15882" max="15882" width="7.85546875" style="16" customWidth="1"/>
    <col min="15883" max="15886" width="7" style="16" bestFit="1" customWidth="1"/>
    <col min="15887"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8.140625" style="16" customWidth="1"/>
    <col min="16131" max="16131" width="8.85546875" style="16" customWidth="1"/>
    <col min="16132" max="16132" width="6.7109375" style="16" bestFit="1" customWidth="1"/>
    <col min="16133" max="16133" width="8.5703125" style="16" bestFit="1" customWidth="1"/>
    <col min="16134" max="16134" width="8.140625" style="16" customWidth="1"/>
    <col min="16135" max="16135" width="9.42578125" style="16" customWidth="1"/>
    <col min="16136" max="16136" width="8.7109375" style="16" customWidth="1"/>
    <col min="16137" max="16137" width="8.42578125" style="16" customWidth="1"/>
    <col min="16138" max="16138" width="7.85546875" style="16" customWidth="1"/>
    <col min="16139" max="16142" width="7" style="16" bestFit="1" customWidth="1"/>
    <col min="16143" max="16147" width="9.140625" style="16"/>
    <col min="16148" max="16148" width="12.42578125" style="16" customWidth="1"/>
    <col min="16149" max="16149" width="9.140625" style="16"/>
    <col min="16150" max="16150" width="12" style="16" customWidth="1"/>
    <col min="16151" max="16384" width="9.140625" style="16"/>
  </cols>
  <sheetData>
    <row r="1" spans="1:15" s="1" customFormat="1" ht="12.75" customHeight="1" x14ac:dyDescent="0.2">
      <c r="A1" s="867" t="s">
        <v>100</v>
      </c>
      <c r="B1" s="868"/>
      <c r="C1" s="868"/>
      <c r="D1" s="892" t="s">
        <v>538</v>
      </c>
      <c r="E1" s="868"/>
      <c r="F1" s="868"/>
      <c r="G1" s="867" t="s">
        <v>102</v>
      </c>
      <c r="H1" s="869"/>
      <c r="I1" s="869" t="s">
        <v>7</v>
      </c>
      <c r="J1" s="868"/>
      <c r="K1" s="868"/>
      <c r="L1" s="870"/>
      <c r="M1" s="870"/>
      <c r="N1" s="870"/>
      <c r="O1" s="870"/>
    </row>
    <row r="2" spans="1:15" s="1" customFormat="1" x14ac:dyDescent="0.2">
      <c r="A2" s="867" t="s">
        <v>103</v>
      </c>
      <c r="B2" s="868"/>
      <c r="C2" s="868"/>
      <c r="D2" s="869" t="s">
        <v>539</v>
      </c>
      <c r="E2" s="868"/>
      <c r="F2" s="868"/>
      <c r="G2" s="867" t="s">
        <v>104</v>
      </c>
      <c r="H2" s="869"/>
      <c r="I2" s="869" t="s">
        <v>105</v>
      </c>
      <c r="J2" s="868"/>
      <c r="K2" s="868"/>
      <c r="L2" s="870"/>
      <c r="M2" s="870"/>
      <c r="N2" s="870"/>
      <c r="O2" s="870"/>
    </row>
    <row r="3" spans="1:15" s="1" customFormat="1" x14ac:dyDescent="0.2">
      <c r="A3" s="867" t="s">
        <v>106</v>
      </c>
      <c r="B3" s="868"/>
      <c r="C3" s="868"/>
      <c r="D3" s="890">
        <v>22494</v>
      </c>
      <c r="E3" s="891"/>
      <c r="F3" s="891"/>
      <c r="G3" s="867" t="s">
        <v>107</v>
      </c>
      <c r="H3" s="869"/>
      <c r="I3" s="869" t="s">
        <v>108</v>
      </c>
      <c r="J3" s="868"/>
      <c r="K3" s="868"/>
      <c r="L3" s="870"/>
      <c r="M3" s="870"/>
      <c r="N3" s="870"/>
      <c r="O3" s="870"/>
    </row>
    <row r="4" spans="1:15" s="1" customFormat="1" x14ac:dyDescent="0.2">
      <c r="A4" s="867" t="s">
        <v>530</v>
      </c>
      <c r="B4" s="868"/>
      <c r="C4" s="868"/>
      <c r="D4" s="869" t="s">
        <v>540</v>
      </c>
      <c r="E4" s="868"/>
      <c r="F4" s="868"/>
      <c r="G4" s="867" t="s">
        <v>110</v>
      </c>
      <c r="H4" s="869"/>
      <c r="I4" s="869" t="s">
        <v>478</v>
      </c>
      <c r="J4" s="868"/>
      <c r="K4" s="868"/>
      <c r="L4" s="870"/>
      <c r="M4" s="870"/>
      <c r="N4" s="870"/>
      <c r="O4" s="870"/>
    </row>
    <row r="5" spans="1:15" s="1" customFormat="1" x14ac:dyDescent="0.2">
      <c r="A5" s="867" t="s">
        <v>112</v>
      </c>
      <c r="B5" s="868"/>
      <c r="C5" s="868"/>
      <c r="D5" s="869"/>
      <c r="E5" s="868"/>
      <c r="F5" s="868"/>
      <c r="G5" s="867"/>
      <c r="H5" s="868"/>
      <c r="I5" s="869" t="s">
        <v>113</v>
      </c>
      <c r="J5" s="868"/>
      <c r="K5" s="868"/>
      <c r="L5" s="870"/>
      <c r="M5" s="870"/>
      <c r="N5" s="870"/>
      <c r="O5" s="870"/>
    </row>
    <row r="6" spans="1:15" s="1" customFormat="1" x14ac:dyDescent="0.2">
      <c r="A6" s="871" t="s">
        <v>114</v>
      </c>
      <c r="B6" s="872"/>
      <c r="C6" s="872"/>
      <c r="D6" s="868" t="s">
        <v>8</v>
      </c>
      <c r="E6" s="868"/>
      <c r="F6" s="868"/>
      <c r="G6" s="871" t="s">
        <v>115</v>
      </c>
      <c r="H6" s="871"/>
      <c r="I6" s="2" t="s">
        <v>116</v>
      </c>
      <c r="J6" s="888"/>
      <c r="K6" s="888"/>
      <c r="L6" s="888"/>
      <c r="M6" s="888"/>
      <c r="N6" s="888"/>
      <c r="O6" s="889"/>
    </row>
    <row r="7" spans="1:15" s="1" customFormat="1" ht="13.5" thickBot="1" x14ac:dyDescent="0.25">
      <c r="A7" s="3"/>
      <c r="B7" s="4"/>
      <c r="C7" s="5"/>
      <c r="D7" s="6"/>
      <c r="E7" s="6"/>
      <c r="F7" s="6"/>
      <c r="G7" s="6"/>
      <c r="H7" s="6"/>
      <c r="I7" s="6"/>
      <c r="J7" s="7"/>
      <c r="K7" s="8"/>
      <c r="L7" s="875" t="s">
        <v>223</v>
      </c>
      <c r="M7" s="875"/>
      <c r="N7" s="875"/>
      <c r="O7" s="875"/>
    </row>
    <row r="8" spans="1:15" s="11" customFormat="1" x14ac:dyDescent="0.2">
      <c r="A8" s="876" t="str">
        <f>I1</f>
        <v>Mr. M.L. Mane</v>
      </c>
      <c r="B8" s="877"/>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104400</v>
      </c>
      <c r="D9" s="14">
        <v>104400</v>
      </c>
      <c r="E9" s="14">
        <v>104400</v>
      </c>
      <c r="F9" s="14">
        <v>104400</v>
      </c>
      <c r="G9" s="14">
        <v>107500</v>
      </c>
      <c r="H9" s="14">
        <v>107500</v>
      </c>
      <c r="I9" s="14">
        <v>107500</v>
      </c>
      <c r="J9" s="14">
        <v>107500</v>
      </c>
      <c r="K9" s="14">
        <v>107500</v>
      </c>
      <c r="L9" s="14">
        <v>107500</v>
      </c>
      <c r="M9" s="14">
        <v>107500</v>
      </c>
      <c r="N9" s="14">
        <v>107500</v>
      </c>
      <c r="O9" s="15">
        <f>SUM(C9:N9)</f>
        <v>1277600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5220</v>
      </c>
      <c r="D11" s="17">
        <v>7308</v>
      </c>
      <c r="E11" s="17">
        <v>7308</v>
      </c>
      <c r="F11" s="17">
        <v>7308</v>
      </c>
      <c r="G11" s="17">
        <v>7525</v>
      </c>
      <c r="H11" s="17">
        <v>7525</v>
      </c>
      <c r="I11" s="17">
        <v>7525</v>
      </c>
      <c r="J11" s="17">
        <v>9675</v>
      </c>
      <c r="K11" s="17">
        <v>9675</v>
      </c>
      <c r="L11" s="17">
        <v>9675</v>
      </c>
      <c r="M11" s="17">
        <v>9675</v>
      </c>
      <c r="N11" s="17">
        <v>9675</v>
      </c>
      <c r="O11" s="18">
        <f>SUM(C11:N11)</f>
        <v>98094</v>
      </c>
    </row>
    <row r="12" spans="1:15" ht="15" hidden="1" customHeight="1" x14ac:dyDescent="0.25">
      <c r="A12" s="12"/>
      <c r="B12" s="263" t="s">
        <v>532</v>
      </c>
      <c r="C12" s="17">
        <v>0</v>
      </c>
      <c r="D12" s="17">
        <v>0</v>
      </c>
      <c r="E12" s="17">
        <v>0</v>
      </c>
      <c r="F12" s="17">
        <v>0</v>
      </c>
      <c r="G12" s="17">
        <v>0</v>
      </c>
      <c r="H12" s="17">
        <v>0</v>
      </c>
      <c r="I12" s="17">
        <v>0</v>
      </c>
      <c r="J12" s="17">
        <v>0</v>
      </c>
      <c r="K12" s="17">
        <v>0</v>
      </c>
      <c r="L12" s="17">
        <v>0</v>
      </c>
      <c r="M12" s="17">
        <v>0</v>
      </c>
      <c r="N12" s="17">
        <v>0</v>
      </c>
      <c r="O12" s="18">
        <f>SUM(C12:N12)</f>
        <v>0</v>
      </c>
    </row>
    <row r="13" spans="1:15" ht="14.25" hidden="1" customHeight="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x14ac:dyDescent="0.2">
      <c r="A14" s="12"/>
      <c r="B14" s="13" t="s">
        <v>123</v>
      </c>
      <c r="C14" s="17">
        <v>7560</v>
      </c>
      <c r="D14" s="17">
        <v>7704</v>
      </c>
      <c r="E14" s="17">
        <v>7704</v>
      </c>
      <c r="F14" s="17">
        <v>7704</v>
      </c>
      <c r="G14" s="17">
        <v>7704</v>
      </c>
      <c r="H14" s="17">
        <v>7704</v>
      </c>
      <c r="I14" s="17">
        <v>7704</v>
      </c>
      <c r="J14" s="17">
        <v>7848</v>
      </c>
      <c r="K14" s="17">
        <v>7848</v>
      </c>
      <c r="L14" s="17">
        <v>7848</v>
      </c>
      <c r="M14" s="17">
        <v>7848</v>
      </c>
      <c r="N14" s="17">
        <v>7848</v>
      </c>
      <c r="O14" s="18">
        <f t="shared" si="0"/>
        <v>93024</v>
      </c>
    </row>
    <row r="15" spans="1:15" ht="14.25" customHeight="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6.5" hidden="1" customHeight="1"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row>
    <row r="17" spans="1:15" ht="17.25" hidden="1" customHeight="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127</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0</v>
      </c>
      <c r="D19" s="17">
        <v>0</v>
      </c>
      <c r="E19" s="17">
        <v>0</v>
      </c>
      <c r="F19" s="17">
        <v>0</v>
      </c>
      <c r="G19" s="17">
        <v>0</v>
      </c>
      <c r="H19" s="17">
        <v>0</v>
      </c>
      <c r="I19" s="17">
        <v>0</v>
      </c>
      <c r="J19" s="17">
        <v>0</v>
      </c>
      <c r="K19" s="17">
        <v>0</v>
      </c>
      <c r="L19" s="17">
        <v>0</v>
      </c>
      <c r="M19" s="17">
        <v>0</v>
      </c>
      <c r="N19" s="17">
        <v>0</v>
      </c>
      <c r="O19" s="18">
        <f t="shared" si="0"/>
        <v>0</v>
      </c>
    </row>
    <row r="20" spans="1:15" ht="30.75" customHeight="1" x14ac:dyDescent="0.2">
      <c r="A20" s="12"/>
      <c r="B20" s="265" t="s">
        <v>246</v>
      </c>
      <c r="C20" s="17">
        <v>0</v>
      </c>
      <c r="D20" s="17">
        <v>0</v>
      </c>
      <c r="E20" s="17">
        <v>37236</v>
      </c>
      <c r="F20" s="17">
        <v>0</v>
      </c>
      <c r="G20" s="17">
        <v>0</v>
      </c>
      <c r="H20" s="17">
        <v>0</v>
      </c>
      <c r="I20" s="17">
        <v>0</v>
      </c>
      <c r="J20" s="17">
        <v>0</v>
      </c>
      <c r="K20" s="17">
        <v>0</v>
      </c>
      <c r="L20" s="17">
        <v>0</v>
      </c>
      <c r="M20" s="17">
        <v>0</v>
      </c>
      <c r="N20" s="17">
        <v>0</v>
      </c>
      <c r="O20" s="18">
        <f t="shared" si="0"/>
        <v>37236</v>
      </c>
    </row>
    <row r="21" spans="1:15" ht="25.5" hidden="1" customHeight="1" x14ac:dyDescent="0.2">
      <c r="A21" s="878"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79"/>
      <c r="B22" s="19" t="s">
        <v>132</v>
      </c>
      <c r="C22" s="17">
        <v>0</v>
      </c>
      <c r="D22" s="17">
        <v>0</v>
      </c>
      <c r="E22" s="17">
        <v>0</v>
      </c>
      <c r="F22" s="17">
        <v>0</v>
      </c>
      <c r="G22" s="17">
        <v>0</v>
      </c>
      <c r="H22" s="17">
        <v>0</v>
      </c>
      <c r="I22" s="17">
        <v>0</v>
      </c>
      <c r="J22" s="17">
        <v>0</v>
      </c>
      <c r="K22" s="17">
        <v>0</v>
      </c>
      <c r="L22" s="17">
        <v>0</v>
      </c>
      <c r="M22" s="17">
        <v>0</v>
      </c>
      <c r="N22" s="17">
        <v>0</v>
      </c>
      <c r="O22" s="18">
        <f t="shared" si="0"/>
        <v>0</v>
      </c>
    </row>
    <row r="23" spans="1:15" ht="15" hidden="1" customHeight="1" x14ac:dyDescent="0.2">
      <c r="A23" s="879"/>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79"/>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79"/>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79"/>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79"/>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79"/>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79"/>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79"/>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79"/>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79"/>
      <c r="B32" s="21" t="s">
        <v>142</v>
      </c>
      <c r="C32" s="17">
        <v>0</v>
      </c>
      <c r="D32" s="17">
        <v>0</v>
      </c>
      <c r="E32" s="17">
        <v>0</v>
      </c>
      <c r="F32" s="17">
        <v>0</v>
      </c>
      <c r="G32" s="17">
        <v>0</v>
      </c>
      <c r="H32" s="17">
        <v>0</v>
      </c>
      <c r="I32" s="17">
        <v>0</v>
      </c>
      <c r="J32" s="17">
        <v>0</v>
      </c>
      <c r="K32" s="17">
        <v>0</v>
      </c>
      <c r="L32" s="17">
        <v>0</v>
      </c>
      <c r="M32" s="17">
        <v>0</v>
      </c>
      <c r="N32" s="17">
        <v>0</v>
      </c>
      <c r="O32" s="18">
        <f t="shared" si="0"/>
        <v>0</v>
      </c>
    </row>
    <row r="33" spans="1:17" ht="15" hidden="1" customHeight="1" x14ac:dyDescent="0.2">
      <c r="A33" s="880"/>
      <c r="B33" s="19" t="s">
        <v>226</v>
      </c>
      <c r="C33" s="17">
        <v>0</v>
      </c>
      <c r="D33" s="17">
        <v>0</v>
      </c>
      <c r="E33" s="17">
        <v>0</v>
      </c>
      <c r="F33" s="17">
        <v>0</v>
      </c>
      <c r="G33" s="17">
        <v>0</v>
      </c>
      <c r="H33" s="17">
        <v>0</v>
      </c>
      <c r="I33" s="17">
        <v>0</v>
      </c>
      <c r="J33" s="17">
        <v>0</v>
      </c>
      <c r="K33" s="17">
        <v>0</v>
      </c>
      <c r="L33" s="17">
        <v>0</v>
      </c>
      <c r="M33" s="17">
        <v>0</v>
      </c>
      <c r="N33" s="17">
        <v>0</v>
      </c>
      <c r="O33" s="18">
        <f t="shared" si="0"/>
        <v>0</v>
      </c>
    </row>
    <row r="34" spans="1:17" ht="15" customHeight="1" x14ac:dyDescent="0.2">
      <c r="A34" s="865" t="s">
        <v>144</v>
      </c>
      <c r="B34" s="866"/>
      <c r="C34" s="17">
        <v>0</v>
      </c>
      <c r="D34" s="17">
        <v>0</v>
      </c>
      <c r="E34" s="17">
        <v>0</v>
      </c>
      <c r="F34" s="17">
        <v>0</v>
      </c>
      <c r="G34" s="17">
        <v>0</v>
      </c>
      <c r="H34" s="17">
        <v>0</v>
      </c>
      <c r="I34" s="17">
        <v>0</v>
      </c>
      <c r="J34" s="17">
        <v>0</v>
      </c>
      <c r="K34" s="17">
        <v>0</v>
      </c>
      <c r="L34" s="17">
        <v>0</v>
      </c>
      <c r="M34" s="17">
        <v>0</v>
      </c>
      <c r="N34" s="17">
        <v>0</v>
      </c>
      <c r="O34" s="18">
        <f t="shared" si="0"/>
        <v>0</v>
      </c>
    </row>
    <row r="35" spans="1:17" ht="15" customHeight="1" x14ac:dyDescent="0.2">
      <c r="A35" s="865" t="s">
        <v>145</v>
      </c>
      <c r="B35" s="866"/>
      <c r="C35" s="17">
        <v>0</v>
      </c>
      <c r="D35" s="17">
        <v>432</v>
      </c>
      <c r="E35" s="17">
        <v>0</v>
      </c>
      <c r="F35" s="17">
        <v>0</v>
      </c>
      <c r="G35" s="17">
        <v>0</v>
      </c>
      <c r="H35" s="17">
        <v>0</v>
      </c>
      <c r="I35" s="17">
        <v>0</v>
      </c>
      <c r="J35" s="17">
        <v>432</v>
      </c>
      <c r="K35" s="17">
        <v>0</v>
      </c>
      <c r="L35" s="17">
        <v>0</v>
      </c>
      <c r="M35" s="17">
        <v>0</v>
      </c>
      <c r="N35" s="17">
        <v>0</v>
      </c>
      <c r="O35" s="18">
        <f t="shared" si="0"/>
        <v>864</v>
      </c>
    </row>
    <row r="36" spans="1:17" ht="15" customHeight="1" x14ac:dyDescent="0.2">
      <c r="A36" s="865" t="s">
        <v>146</v>
      </c>
      <c r="B36" s="866"/>
      <c r="C36" s="17">
        <v>0</v>
      </c>
      <c r="D36" s="17">
        <v>6264</v>
      </c>
      <c r="E36" s="17">
        <v>0</v>
      </c>
      <c r="F36" s="17">
        <v>0</v>
      </c>
      <c r="G36" s="17">
        <v>0</v>
      </c>
      <c r="H36" s="17">
        <v>0</v>
      </c>
      <c r="I36" s="17">
        <v>0</v>
      </c>
      <c r="J36" s="17">
        <v>6450</v>
      </c>
      <c r="K36" s="17">
        <v>0</v>
      </c>
      <c r="L36" s="17">
        <v>0</v>
      </c>
      <c r="M36" s="17">
        <v>0</v>
      </c>
      <c r="N36" s="17">
        <v>0</v>
      </c>
      <c r="O36" s="18">
        <f t="shared" si="0"/>
        <v>12714</v>
      </c>
    </row>
    <row r="37" spans="1:17" ht="15" customHeight="1" x14ac:dyDescent="0.2">
      <c r="A37" s="22"/>
      <c r="B37" s="23" t="s">
        <v>147</v>
      </c>
      <c r="C37" s="24">
        <f t="shared" ref="C37:N37" si="1">SUM(C9:C36)</f>
        <v>117180</v>
      </c>
      <c r="D37" s="24">
        <f t="shared" si="1"/>
        <v>126108</v>
      </c>
      <c r="E37" s="24">
        <f t="shared" si="1"/>
        <v>156648</v>
      </c>
      <c r="F37" s="24">
        <f t="shared" si="1"/>
        <v>119412</v>
      </c>
      <c r="G37" s="24">
        <f t="shared" si="1"/>
        <v>122729</v>
      </c>
      <c r="H37" s="24">
        <f t="shared" si="1"/>
        <v>122729</v>
      </c>
      <c r="I37" s="24">
        <f t="shared" si="1"/>
        <v>122729</v>
      </c>
      <c r="J37" s="24">
        <f t="shared" si="1"/>
        <v>131905</v>
      </c>
      <c r="K37" s="24">
        <f t="shared" si="1"/>
        <v>125023</v>
      </c>
      <c r="L37" s="24">
        <f t="shared" si="1"/>
        <v>125023</v>
      </c>
      <c r="M37" s="24">
        <f t="shared" si="1"/>
        <v>125023</v>
      </c>
      <c r="N37" s="24">
        <f t="shared" si="1"/>
        <v>125023</v>
      </c>
      <c r="O37" s="25">
        <f>SUM(C37:N37)</f>
        <v>1519532</v>
      </c>
      <c r="Q37" s="16">
        <f>64278+64278+11864+67244*2+70970*3+84099+11745+74885*5</f>
        <v>958087</v>
      </c>
    </row>
    <row r="38" spans="1:17" ht="15" customHeight="1" x14ac:dyDescent="0.2">
      <c r="A38" s="853" t="s">
        <v>148</v>
      </c>
      <c r="B38" s="27" t="s">
        <v>149</v>
      </c>
      <c r="C38" s="147">
        <v>11800</v>
      </c>
      <c r="D38" s="147">
        <v>12000</v>
      </c>
      <c r="E38" s="147">
        <v>12000</v>
      </c>
      <c r="F38" s="147">
        <v>12000</v>
      </c>
      <c r="G38" s="147">
        <v>12000</v>
      </c>
      <c r="H38" s="147">
        <v>12000</v>
      </c>
      <c r="I38" s="147">
        <v>12000</v>
      </c>
      <c r="J38" s="147">
        <v>12000</v>
      </c>
      <c r="K38" s="147">
        <v>21000</v>
      </c>
      <c r="L38" s="147">
        <v>21000</v>
      </c>
      <c r="M38" s="147">
        <v>20528</v>
      </c>
      <c r="N38" s="147">
        <v>20528</v>
      </c>
      <c r="O38" s="18">
        <f>SUM(C38:N38)</f>
        <v>178856</v>
      </c>
      <c r="P38" s="248"/>
    </row>
    <row r="39" spans="1:17" ht="15" x14ac:dyDescent="0.2">
      <c r="A39" s="854"/>
      <c r="B39" s="27" t="s">
        <v>150</v>
      </c>
      <c r="C39" s="147">
        <v>0</v>
      </c>
      <c r="D39" s="147">
        <v>0</v>
      </c>
      <c r="E39" s="147">
        <v>0</v>
      </c>
      <c r="F39" s="147">
        <v>0</v>
      </c>
      <c r="G39" s="147">
        <v>0</v>
      </c>
      <c r="H39" s="147">
        <v>0</v>
      </c>
      <c r="I39" s="147">
        <v>0</v>
      </c>
      <c r="J39" s="147">
        <v>0</v>
      </c>
      <c r="K39" s="147">
        <v>0</v>
      </c>
      <c r="L39" s="147">
        <v>0</v>
      </c>
      <c r="M39" s="147">
        <v>0</v>
      </c>
      <c r="N39" s="147">
        <v>0</v>
      </c>
      <c r="O39" s="18">
        <f>SUM(C39:N39)</f>
        <v>0</v>
      </c>
    </row>
    <row r="40" spans="1:17" ht="15" x14ac:dyDescent="0.2">
      <c r="A40" s="854"/>
      <c r="B40" s="27" t="s">
        <v>151</v>
      </c>
      <c r="C40" s="147">
        <v>60</v>
      </c>
      <c r="D40" s="147">
        <v>60</v>
      </c>
      <c r="E40" s="147">
        <v>60</v>
      </c>
      <c r="F40" s="147">
        <v>60</v>
      </c>
      <c r="G40" s="147">
        <v>60</v>
      </c>
      <c r="H40" s="147">
        <v>60</v>
      </c>
      <c r="I40" s="147">
        <v>60</v>
      </c>
      <c r="J40" s="147">
        <v>60</v>
      </c>
      <c r="K40" s="147">
        <v>60</v>
      </c>
      <c r="L40" s="147">
        <v>60</v>
      </c>
      <c r="M40" s="147">
        <v>60</v>
      </c>
      <c r="N40" s="147">
        <v>60</v>
      </c>
      <c r="O40" s="18">
        <f t="shared" ref="O40:O50" si="2">SUM(C40:N40)</f>
        <v>720</v>
      </c>
    </row>
    <row r="41" spans="1:17" ht="15" x14ac:dyDescent="0.2">
      <c r="A41" s="854"/>
      <c r="B41" s="27" t="s">
        <v>152</v>
      </c>
      <c r="C41" s="147">
        <v>0</v>
      </c>
      <c r="D41" s="147">
        <v>0</v>
      </c>
      <c r="E41" s="147">
        <v>0</v>
      </c>
      <c r="F41" s="147">
        <v>0</v>
      </c>
      <c r="G41" s="147">
        <v>0</v>
      </c>
      <c r="H41" s="147">
        <v>0</v>
      </c>
      <c r="I41" s="147">
        <v>0</v>
      </c>
      <c r="J41" s="147">
        <v>0</v>
      </c>
      <c r="K41" s="147">
        <v>0</v>
      </c>
      <c r="L41" s="147">
        <v>0</v>
      </c>
      <c r="M41" s="147">
        <v>0</v>
      </c>
      <c r="N41" s="147">
        <v>0</v>
      </c>
      <c r="O41" s="18">
        <f t="shared" si="2"/>
        <v>0</v>
      </c>
    </row>
    <row r="42" spans="1:17" ht="15" x14ac:dyDescent="0.2">
      <c r="A42" s="854"/>
      <c r="B42" s="27" t="s">
        <v>153</v>
      </c>
      <c r="C42" s="147">
        <v>650</v>
      </c>
      <c r="D42" s="147">
        <v>650</v>
      </c>
      <c r="E42" s="147">
        <v>650</v>
      </c>
      <c r="F42" s="147">
        <v>650</v>
      </c>
      <c r="G42" s="147">
        <v>650</v>
      </c>
      <c r="H42" s="147">
        <v>650</v>
      </c>
      <c r="I42" s="147">
        <v>650</v>
      </c>
      <c r="J42" s="147">
        <v>650</v>
      </c>
      <c r="K42" s="147">
        <v>650</v>
      </c>
      <c r="L42" s="147">
        <v>650</v>
      </c>
      <c r="M42" s="147">
        <v>650</v>
      </c>
      <c r="N42" s="147">
        <v>650</v>
      </c>
      <c r="O42" s="18">
        <f t="shared" si="2"/>
        <v>7800</v>
      </c>
    </row>
    <row r="43" spans="1:17" ht="15" x14ac:dyDescent="0.2">
      <c r="A43" s="854"/>
      <c r="B43" s="27" t="s">
        <v>154</v>
      </c>
      <c r="C43" s="147">
        <v>30000</v>
      </c>
      <c r="D43" s="147">
        <v>30000</v>
      </c>
      <c r="E43" s="147">
        <v>30000</v>
      </c>
      <c r="F43" s="147">
        <v>30000</v>
      </c>
      <c r="G43" s="147">
        <v>30000</v>
      </c>
      <c r="H43" s="147">
        <v>30000</v>
      </c>
      <c r="I43" s="147">
        <v>30000</v>
      </c>
      <c r="J43" s="147">
        <v>30000</v>
      </c>
      <c r="K43" s="147">
        <v>30000</v>
      </c>
      <c r="L43" s="147">
        <v>30000</v>
      </c>
      <c r="M43" s="147">
        <v>30000</v>
      </c>
      <c r="N43" s="147">
        <v>30000</v>
      </c>
      <c r="O43" s="18">
        <f t="shared" si="2"/>
        <v>360000</v>
      </c>
    </row>
    <row r="44" spans="1:17" ht="15" x14ac:dyDescent="0.2">
      <c r="A44" s="854"/>
      <c r="B44" s="27" t="s">
        <v>155</v>
      </c>
      <c r="C44" s="147">
        <v>200</v>
      </c>
      <c r="D44" s="147">
        <v>200</v>
      </c>
      <c r="E44" s="147">
        <v>200</v>
      </c>
      <c r="F44" s="147">
        <v>200</v>
      </c>
      <c r="G44" s="147">
        <v>200</v>
      </c>
      <c r="H44" s="147">
        <v>200</v>
      </c>
      <c r="I44" s="147">
        <v>200</v>
      </c>
      <c r="J44" s="147">
        <v>200</v>
      </c>
      <c r="K44" s="147">
        <v>200</v>
      </c>
      <c r="L44" s="147">
        <v>200</v>
      </c>
      <c r="M44" s="147">
        <v>200</v>
      </c>
      <c r="N44" s="147">
        <v>300</v>
      </c>
      <c r="O44" s="18">
        <f t="shared" si="2"/>
        <v>2500</v>
      </c>
    </row>
    <row r="45" spans="1:17" ht="30" x14ac:dyDescent="0.2">
      <c r="A45" s="854"/>
      <c r="B45" s="27" t="s">
        <v>293</v>
      </c>
      <c r="C45" s="147">
        <v>713</v>
      </c>
      <c r="D45" s="147">
        <v>713</v>
      </c>
      <c r="E45" s="147">
        <v>713</v>
      </c>
      <c r="F45" s="147">
        <v>713</v>
      </c>
      <c r="G45" s="147">
        <v>713</v>
      </c>
      <c r="H45" s="147">
        <v>713</v>
      </c>
      <c r="I45" s="147">
        <v>713</v>
      </c>
      <c r="J45" s="147">
        <v>713</v>
      </c>
      <c r="K45" s="147">
        <v>713</v>
      </c>
      <c r="L45" s="147">
        <v>713</v>
      </c>
      <c r="M45" s="147">
        <v>713</v>
      </c>
      <c r="N45" s="147">
        <v>713</v>
      </c>
      <c r="O45" s="18">
        <f t="shared" si="2"/>
        <v>8556</v>
      </c>
    </row>
    <row r="46" spans="1:17" ht="15" x14ac:dyDescent="0.2">
      <c r="A46" s="854"/>
      <c r="B46" s="27" t="s">
        <v>157</v>
      </c>
      <c r="C46" s="147">
        <v>0</v>
      </c>
      <c r="D46" s="147">
        <v>0</v>
      </c>
      <c r="E46" s="147">
        <v>0</v>
      </c>
      <c r="F46" s="147">
        <v>0</v>
      </c>
      <c r="G46" s="147">
        <v>0</v>
      </c>
      <c r="H46" s="147">
        <v>0</v>
      </c>
      <c r="I46" s="147">
        <v>0</v>
      </c>
      <c r="J46" s="147">
        <v>0</v>
      </c>
      <c r="K46" s="147">
        <v>0</v>
      </c>
      <c r="L46" s="147">
        <v>0</v>
      </c>
      <c r="M46" s="147">
        <v>0</v>
      </c>
      <c r="N46" s="147">
        <v>0</v>
      </c>
      <c r="O46" s="18">
        <f t="shared" si="2"/>
        <v>0</v>
      </c>
    </row>
    <row r="47" spans="1:17" ht="28.5" customHeight="1" x14ac:dyDescent="0.2">
      <c r="A47" s="855"/>
      <c r="B47" s="30" t="s">
        <v>158</v>
      </c>
      <c r="C47" s="147">
        <v>0</v>
      </c>
      <c r="D47" s="147">
        <v>0</v>
      </c>
      <c r="E47" s="147">
        <v>0</v>
      </c>
      <c r="F47" s="147">
        <v>0</v>
      </c>
      <c r="G47" s="147">
        <v>0</v>
      </c>
      <c r="H47" s="147">
        <v>0</v>
      </c>
      <c r="I47" s="147">
        <v>0</v>
      </c>
      <c r="J47" s="147">
        <v>0</v>
      </c>
      <c r="K47" s="147">
        <v>0</v>
      </c>
      <c r="L47" s="147">
        <v>0</v>
      </c>
      <c r="M47" s="147">
        <v>0</v>
      </c>
      <c r="N47" s="147">
        <v>0</v>
      </c>
      <c r="O47" s="31">
        <f t="shared" si="2"/>
        <v>0</v>
      </c>
    </row>
    <row r="48" spans="1:17" ht="30" x14ac:dyDescent="0.2">
      <c r="A48" s="856"/>
      <c r="B48" s="127" t="s">
        <v>533</v>
      </c>
      <c r="C48" s="147">
        <v>0</v>
      </c>
      <c r="D48" s="147">
        <v>0</v>
      </c>
      <c r="E48" s="147">
        <v>0</v>
      </c>
      <c r="F48" s="147">
        <v>0</v>
      </c>
      <c r="G48" s="147">
        <v>0</v>
      </c>
      <c r="H48" s="147">
        <v>0</v>
      </c>
      <c r="I48" s="147">
        <v>0</v>
      </c>
      <c r="J48" s="147">
        <v>0</v>
      </c>
      <c r="K48" s="147">
        <v>0</v>
      </c>
      <c r="L48" s="147">
        <v>0</v>
      </c>
      <c r="M48" s="147">
        <v>0</v>
      </c>
      <c r="N48" s="147">
        <v>0</v>
      </c>
      <c r="O48" s="31">
        <f t="shared" si="2"/>
        <v>0</v>
      </c>
    </row>
    <row r="49" spans="1:18" ht="15" x14ac:dyDescent="0.2">
      <c r="A49" s="857" t="s">
        <v>160</v>
      </c>
      <c r="B49" s="858"/>
      <c r="C49" s="33">
        <f t="shared" ref="C49:N49" si="3">SUM(C38:C48)</f>
        <v>43423</v>
      </c>
      <c r="D49" s="33">
        <f t="shared" si="3"/>
        <v>43623</v>
      </c>
      <c r="E49" s="33">
        <f t="shared" si="3"/>
        <v>43623</v>
      </c>
      <c r="F49" s="33">
        <f t="shared" si="3"/>
        <v>43623</v>
      </c>
      <c r="G49" s="33">
        <f t="shared" si="3"/>
        <v>43623</v>
      </c>
      <c r="H49" s="33">
        <f t="shared" si="3"/>
        <v>43623</v>
      </c>
      <c r="I49" s="33">
        <f t="shared" si="3"/>
        <v>43623</v>
      </c>
      <c r="J49" s="33">
        <f t="shared" si="3"/>
        <v>43623</v>
      </c>
      <c r="K49" s="33">
        <f t="shared" si="3"/>
        <v>52623</v>
      </c>
      <c r="L49" s="33">
        <f t="shared" si="3"/>
        <v>52623</v>
      </c>
      <c r="M49" s="33">
        <f t="shared" si="3"/>
        <v>52151</v>
      </c>
      <c r="N49" s="33">
        <f t="shared" si="3"/>
        <v>52251</v>
      </c>
      <c r="O49" s="34">
        <f t="shared" si="2"/>
        <v>558432</v>
      </c>
    </row>
    <row r="50" spans="1:18" ht="15.75" thickBot="1" x14ac:dyDescent="0.25">
      <c r="A50" s="859" t="s">
        <v>161</v>
      </c>
      <c r="B50" s="860"/>
      <c r="C50" s="35">
        <f t="shared" ref="C50:N50" si="4">C37-C49</f>
        <v>73757</v>
      </c>
      <c r="D50" s="35">
        <f t="shared" si="4"/>
        <v>82485</v>
      </c>
      <c r="E50" s="35">
        <f t="shared" si="4"/>
        <v>113025</v>
      </c>
      <c r="F50" s="35">
        <f t="shared" si="4"/>
        <v>75789</v>
      </c>
      <c r="G50" s="35">
        <f t="shared" si="4"/>
        <v>79106</v>
      </c>
      <c r="H50" s="35">
        <f t="shared" si="4"/>
        <v>79106</v>
      </c>
      <c r="I50" s="35">
        <f t="shared" si="4"/>
        <v>79106</v>
      </c>
      <c r="J50" s="35">
        <f t="shared" si="4"/>
        <v>88282</v>
      </c>
      <c r="K50" s="35">
        <f t="shared" si="4"/>
        <v>72400</v>
      </c>
      <c r="L50" s="35">
        <f t="shared" si="4"/>
        <v>72400</v>
      </c>
      <c r="M50" s="35">
        <f t="shared" si="4"/>
        <v>72872</v>
      </c>
      <c r="N50" s="35">
        <f t="shared" si="4"/>
        <v>72772</v>
      </c>
      <c r="O50" s="36">
        <f t="shared" si="2"/>
        <v>961100</v>
      </c>
      <c r="Q50" s="16">
        <f>48070+42570+11864+45426+55546+59272+56772+56772+67280+11745+59087+58987+58987+58987+58825</f>
        <v>750190</v>
      </c>
    </row>
    <row r="51" spans="1:18" x14ac:dyDescent="0.2">
      <c r="E51" s="16">
        <f>11864+45426</f>
        <v>57290</v>
      </c>
      <c r="J51" s="128">
        <f>+J37-SUM(J22:J36)</f>
        <v>125023</v>
      </c>
    </row>
    <row r="52" spans="1:18" ht="13.5" thickBot="1" x14ac:dyDescent="0.25">
      <c r="J52" s="38">
        <f>+J51-J49</f>
        <v>81400</v>
      </c>
    </row>
    <row r="53" spans="1:18" ht="13.5" thickBot="1" x14ac:dyDescent="0.25">
      <c r="B53" s="789" t="s">
        <v>162</v>
      </c>
      <c r="C53" s="861"/>
      <c r="D53" s="861"/>
      <c r="E53" s="861"/>
      <c r="F53" s="862"/>
      <c r="G53" s="863">
        <f>O37</f>
        <v>1519532</v>
      </c>
      <c r="H53" s="864"/>
      <c r="J53" s="38">
        <f>+J52+16819</f>
        <v>98219</v>
      </c>
    </row>
    <row r="54" spans="1:18" ht="13.5" thickBot="1" x14ac:dyDescent="0.25"/>
    <row r="55" spans="1:18" x14ac:dyDescent="0.2">
      <c r="B55" s="830" t="s">
        <v>163</v>
      </c>
      <c r="C55" s="833" t="s">
        <v>164</v>
      </c>
      <c r="D55" s="836" t="s">
        <v>425</v>
      </c>
      <c r="E55" s="837"/>
      <c r="F55" s="838"/>
      <c r="G55" s="839">
        <v>40000</v>
      </c>
      <c r="H55" s="840"/>
    </row>
    <row r="56" spans="1:18" x14ac:dyDescent="0.2">
      <c r="B56" s="831"/>
      <c r="C56" s="834"/>
      <c r="D56" s="841" t="s">
        <v>166</v>
      </c>
      <c r="E56" s="842"/>
      <c r="F56" s="843"/>
      <c r="G56" s="844">
        <f>+O44</f>
        <v>2500</v>
      </c>
      <c r="H56" s="845"/>
      <c r="I56" s="39"/>
      <c r="J56" s="846"/>
      <c r="K56" s="846"/>
      <c r="L56" s="846"/>
      <c r="M56" s="847"/>
      <c r="N56" s="847"/>
      <c r="O56" s="847"/>
    </row>
    <row r="57" spans="1:18" ht="13.5" thickBot="1" x14ac:dyDescent="0.25">
      <c r="B57" s="832"/>
      <c r="C57" s="835"/>
      <c r="D57" s="848" t="s">
        <v>266</v>
      </c>
      <c r="E57" s="849"/>
      <c r="F57" s="850"/>
      <c r="G57" s="851">
        <v>0</v>
      </c>
      <c r="H57" s="852"/>
      <c r="J57" s="47"/>
      <c r="K57" s="47"/>
      <c r="L57" s="47"/>
      <c r="M57" s="47"/>
      <c r="N57" s="47"/>
      <c r="O57" s="47"/>
    </row>
    <row r="58" spans="1:18" ht="13.5" thickBot="1" x14ac:dyDescent="0.25">
      <c r="B58" s="48"/>
      <c r="J58" s="47"/>
      <c r="K58" s="47"/>
      <c r="L58" s="47"/>
      <c r="M58" s="47"/>
      <c r="N58" s="47"/>
      <c r="O58" s="47"/>
    </row>
    <row r="59" spans="1:18" ht="13.5" thickBot="1" x14ac:dyDescent="0.25">
      <c r="B59" s="789" t="s">
        <v>168</v>
      </c>
      <c r="C59" s="790"/>
      <c r="D59" s="790"/>
      <c r="E59" s="790"/>
      <c r="F59" s="791"/>
      <c r="G59" s="825">
        <f>+G53-SUM(G55:H57)</f>
        <v>1477032</v>
      </c>
      <c r="H59" s="826"/>
      <c r="J59" s="827" t="s">
        <v>169</v>
      </c>
      <c r="K59" s="828"/>
      <c r="L59" s="828"/>
      <c r="M59" s="828"/>
      <c r="N59" s="828"/>
      <c r="O59" s="829"/>
    </row>
    <row r="60" spans="1:18" ht="13.5" thickBot="1" x14ac:dyDescent="0.25">
      <c r="B60" s="49"/>
      <c r="C60" s="50"/>
      <c r="D60" s="50"/>
      <c r="E60" s="50"/>
      <c r="F60" s="50"/>
      <c r="G60" s="45"/>
      <c r="H60" s="50"/>
      <c r="J60" s="51"/>
      <c r="K60" s="52"/>
      <c r="L60" s="52"/>
      <c r="M60" s="52"/>
      <c r="N60" s="52"/>
      <c r="O60" s="53"/>
    </row>
    <row r="61" spans="1:18" ht="13.5" thickBot="1" x14ac:dyDescent="0.25">
      <c r="B61" s="789" t="s">
        <v>170</v>
      </c>
      <c r="C61" s="790"/>
      <c r="D61" s="790"/>
      <c r="E61" s="790"/>
      <c r="F61" s="791"/>
      <c r="G61" s="805"/>
      <c r="H61" s="791"/>
      <c r="J61" s="54"/>
      <c r="K61" s="55"/>
      <c r="L61" s="55"/>
      <c r="M61" s="55"/>
      <c r="N61" s="55"/>
      <c r="O61" s="56"/>
    </row>
    <row r="62" spans="1:18" ht="12.75" customHeight="1" x14ac:dyDescent="0.2">
      <c r="B62" s="57" t="s">
        <v>171</v>
      </c>
      <c r="C62" s="806" t="s">
        <v>172</v>
      </c>
      <c r="D62" s="807"/>
      <c r="E62" s="807"/>
      <c r="F62" s="808"/>
      <c r="G62" s="809">
        <v>121000</v>
      </c>
      <c r="H62" s="809"/>
      <c r="I62" s="58"/>
      <c r="J62" s="810" t="s">
        <v>173</v>
      </c>
      <c r="K62" s="811"/>
      <c r="L62" s="811"/>
      <c r="M62" s="811"/>
      <c r="N62" s="811"/>
      <c r="O62" s="812"/>
      <c r="Q62" s="59"/>
      <c r="R62" s="59"/>
    </row>
    <row r="63" spans="1:18" ht="13.5" thickBot="1" x14ac:dyDescent="0.25">
      <c r="D63" s="37"/>
      <c r="I63" s="58"/>
      <c r="J63" s="60" t="s">
        <v>534</v>
      </c>
      <c r="K63" s="61"/>
      <c r="L63" s="61"/>
      <c r="M63" s="61"/>
      <c r="N63" s="61" t="s">
        <v>535</v>
      </c>
      <c r="O63" s="62"/>
      <c r="Q63" s="59"/>
      <c r="R63" s="59"/>
    </row>
    <row r="64" spans="1:18" ht="13.5" thickBot="1" x14ac:dyDescent="0.25">
      <c r="B64" s="789" t="s">
        <v>175</v>
      </c>
      <c r="C64" s="790"/>
      <c r="D64" s="790"/>
      <c r="E64" s="790"/>
      <c r="F64" s="791"/>
      <c r="G64" s="805">
        <f>+G59-G62</f>
        <v>1356032</v>
      </c>
      <c r="H64" s="791"/>
      <c r="I64" s="63"/>
      <c r="J64" s="64" t="s">
        <v>536</v>
      </c>
      <c r="K64" s="39"/>
      <c r="L64" s="39"/>
      <c r="M64" s="39"/>
      <c r="N64" s="39" t="s">
        <v>315</v>
      </c>
      <c r="O64" s="65"/>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6.25" customHeight="1" thickBot="1" x14ac:dyDescent="0.25">
      <c r="B67" s="66"/>
      <c r="C67" s="48"/>
      <c r="G67" s="70" t="s">
        <v>177</v>
      </c>
      <c r="H67" s="70" t="s">
        <v>178</v>
      </c>
      <c r="I67" s="63"/>
      <c r="J67" s="810" t="s">
        <v>179</v>
      </c>
      <c r="K67" s="811"/>
      <c r="L67" s="71"/>
      <c r="M67" s="71"/>
      <c r="N67" s="71"/>
      <c r="O67" s="72"/>
      <c r="Q67" s="59"/>
      <c r="R67" s="59"/>
    </row>
    <row r="68" spans="2:18" ht="12.75" customHeight="1" x14ac:dyDescent="0.2">
      <c r="B68" s="802" t="s">
        <v>180</v>
      </c>
      <c r="C68" s="821" t="s">
        <v>181</v>
      </c>
      <c r="D68" s="823" t="s">
        <v>182</v>
      </c>
      <c r="E68" s="824"/>
      <c r="F68" s="824"/>
      <c r="G68" s="73">
        <f>+O43</f>
        <v>360000</v>
      </c>
      <c r="H68" s="74">
        <f t="shared" ref="H68:H76" si="5">+G68</f>
        <v>360000</v>
      </c>
      <c r="I68" s="63"/>
      <c r="J68" s="75" t="s">
        <v>537</v>
      </c>
      <c r="K68" s="58"/>
      <c r="L68" s="58"/>
      <c r="M68" s="58"/>
      <c r="N68" s="58"/>
      <c r="O68" s="76"/>
      <c r="Q68" s="59"/>
      <c r="R68" s="59"/>
    </row>
    <row r="69" spans="2:18" ht="12.75" customHeight="1" x14ac:dyDescent="0.2">
      <c r="B69" s="803"/>
      <c r="C69" s="822"/>
      <c r="D69" s="782" t="s">
        <v>184</v>
      </c>
      <c r="E69" s="783"/>
      <c r="F69" s="783"/>
      <c r="G69" s="77">
        <f>+O47</f>
        <v>0</v>
      </c>
      <c r="H69" s="78">
        <f t="shared" si="5"/>
        <v>0</v>
      </c>
      <c r="I69" s="63"/>
      <c r="J69" s="79"/>
      <c r="K69" s="68"/>
      <c r="L69" s="68"/>
      <c r="M69" s="68"/>
      <c r="N69" s="68"/>
      <c r="O69" s="69"/>
      <c r="Q69" s="59"/>
      <c r="R69" s="59"/>
    </row>
    <row r="70" spans="2:18" ht="12.75" customHeight="1" x14ac:dyDescent="0.2">
      <c r="B70" s="803"/>
      <c r="C70" s="822"/>
      <c r="D70" s="819" t="s">
        <v>185</v>
      </c>
      <c r="E70" s="820"/>
      <c r="F70" s="820"/>
      <c r="G70" s="80">
        <f>O40</f>
        <v>720</v>
      </c>
      <c r="H70" s="78">
        <f t="shared" si="5"/>
        <v>720</v>
      </c>
      <c r="I70" s="63"/>
      <c r="J70" s="67"/>
      <c r="K70" s="68"/>
      <c r="L70" s="68"/>
      <c r="M70" s="68"/>
      <c r="N70" s="68"/>
      <c r="O70" s="69"/>
    </row>
    <row r="71" spans="2:18" x14ac:dyDescent="0.2">
      <c r="B71" s="803"/>
      <c r="C71" s="822"/>
      <c r="D71" s="782" t="s">
        <v>186</v>
      </c>
      <c r="E71" s="783"/>
      <c r="F71" s="783"/>
      <c r="G71" s="81">
        <v>0</v>
      </c>
      <c r="H71" s="78">
        <f t="shared" si="5"/>
        <v>0</v>
      </c>
      <c r="I71" s="63"/>
      <c r="J71" s="82" t="s">
        <v>187</v>
      </c>
      <c r="K71" s="71"/>
      <c r="L71" s="71"/>
      <c r="M71" s="71"/>
      <c r="N71" s="71"/>
      <c r="O71" s="72"/>
    </row>
    <row r="72" spans="2:18" ht="12.75" customHeight="1" x14ac:dyDescent="0.2">
      <c r="B72" s="803"/>
      <c r="C72" s="822"/>
      <c r="D72" s="784" t="s">
        <v>188</v>
      </c>
      <c r="E72" s="783"/>
      <c r="F72" s="783"/>
      <c r="G72" s="80">
        <v>0</v>
      </c>
      <c r="H72" s="78">
        <f t="shared" si="5"/>
        <v>0</v>
      </c>
      <c r="I72" s="63"/>
      <c r="J72" s="75" t="s">
        <v>189</v>
      </c>
      <c r="K72" s="50"/>
      <c r="L72" s="50"/>
      <c r="M72" s="50"/>
      <c r="N72" s="50"/>
      <c r="O72" s="83">
        <f>O42</f>
        <v>7800</v>
      </c>
    </row>
    <row r="73" spans="2:18" ht="14.25" customHeight="1" x14ac:dyDescent="0.2">
      <c r="B73" s="803"/>
      <c r="C73" s="822"/>
      <c r="D73" s="782" t="s">
        <v>190</v>
      </c>
      <c r="E73" s="783"/>
      <c r="F73" s="783"/>
      <c r="G73" s="84">
        <v>0</v>
      </c>
      <c r="H73" s="78">
        <f t="shared" si="5"/>
        <v>0</v>
      </c>
      <c r="I73" s="63"/>
      <c r="J73" s="64"/>
      <c r="K73" s="39"/>
      <c r="L73" s="39"/>
      <c r="M73" s="39"/>
      <c r="N73" s="39"/>
      <c r="O73" s="65"/>
    </row>
    <row r="74" spans="2:18" x14ac:dyDescent="0.2">
      <c r="B74" s="803"/>
      <c r="C74" s="822"/>
      <c r="D74" s="782" t="s">
        <v>191</v>
      </c>
      <c r="E74" s="783"/>
      <c r="F74" s="783"/>
      <c r="G74" s="81">
        <v>0</v>
      </c>
      <c r="H74" s="78">
        <f t="shared" si="5"/>
        <v>0</v>
      </c>
      <c r="I74" s="58"/>
      <c r="J74" s="85"/>
      <c r="K74" s="63"/>
      <c r="L74" s="63"/>
      <c r="M74" s="63"/>
      <c r="N74" s="63"/>
      <c r="O74" s="86"/>
    </row>
    <row r="75" spans="2:18" x14ac:dyDescent="0.2">
      <c r="B75" s="803"/>
      <c r="C75" s="88" t="s">
        <v>192</v>
      </c>
      <c r="D75" s="813" t="s">
        <v>193</v>
      </c>
      <c r="E75" s="814"/>
      <c r="F75" s="814"/>
      <c r="G75" s="80">
        <v>0</v>
      </c>
      <c r="H75" s="78">
        <f t="shared" si="5"/>
        <v>0</v>
      </c>
      <c r="I75" s="58"/>
      <c r="J75" s="60"/>
      <c r="K75" s="68"/>
      <c r="L75" s="68"/>
      <c r="M75" s="50"/>
      <c r="N75" s="50"/>
      <c r="O75" s="83"/>
    </row>
    <row r="76" spans="2:18" ht="13.5" customHeight="1" thickBot="1" x14ac:dyDescent="0.25">
      <c r="B76" s="803"/>
      <c r="C76" s="88" t="s">
        <v>194</v>
      </c>
      <c r="D76" s="815" t="s">
        <v>195</v>
      </c>
      <c r="E76" s="815"/>
      <c r="F76" s="815"/>
      <c r="G76" s="89">
        <v>0</v>
      </c>
      <c r="H76" s="90">
        <f t="shared" si="5"/>
        <v>0</v>
      </c>
      <c r="I76" s="63"/>
      <c r="J76" s="75"/>
      <c r="K76" s="68"/>
      <c r="L76" s="68"/>
      <c r="M76" s="91"/>
      <c r="N76" s="91"/>
      <c r="O76" s="92"/>
    </row>
    <row r="77" spans="2:18" ht="13.5" thickBot="1" x14ac:dyDescent="0.25">
      <c r="B77" s="803"/>
      <c r="C77" s="93"/>
      <c r="D77" s="94"/>
      <c r="E77" s="816" t="s">
        <v>117</v>
      </c>
      <c r="F77" s="817"/>
      <c r="G77" s="95">
        <f>SUM(G68:G76)</f>
        <v>360720</v>
      </c>
      <c r="H77" s="96">
        <f>IF(SUM(G68:G74)&lt;150000,SUM(G68:G74),150000)+IF(+G75&lt;20000,+G75,20000)</f>
        <v>150000</v>
      </c>
      <c r="I77" s="63"/>
      <c r="J77" s="97"/>
      <c r="K77" s="98"/>
      <c r="L77" s="98"/>
      <c r="M77" s="98"/>
      <c r="N77" s="98"/>
      <c r="O77" s="99"/>
    </row>
    <row r="78" spans="2:18" ht="12.75" customHeight="1" x14ac:dyDescent="0.2">
      <c r="B78" s="803"/>
      <c r="C78" s="100" t="s">
        <v>196</v>
      </c>
      <c r="D78" s="782" t="s">
        <v>187</v>
      </c>
      <c r="E78" s="783"/>
      <c r="F78" s="818"/>
      <c r="G78" s="73">
        <f>+O42</f>
        <v>7800</v>
      </c>
      <c r="H78" s="101">
        <f>+IF(+G78&lt;25000,+G78,25000)</f>
        <v>7800</v>
      </c>
      <c r="I78" s="87"/>
    </row>
    <row r="79" spans="2:18" x14ac:dyDescent="0.2">
      <c r="B79" s="803"/>
      <c r="C79" s="100" t="s">
        <v>197</v>
      </c>
      <c r="D79" s="784" t="s">
        <v>198</v>
      </c>
      <c r="E79" s="785"/>
      <c r="F79" s="786"/>
      <c r="G79" s="102"/>
      <c r="H79" s="103">
        <f>+IF(+G79&lt;40000,+G79,40000)</f>
        <v>0</v>
      </c>
      <c r="I79" s="63"/>
    </row>
    <row r="80" spans="2:18" ht="15" x14ac:dyDescent="0.25">
      <c r="B80" s="803"/>
      <c r="C80" s="100" t="s">
        <v>199</v>
      </c>
      <c r="D80" s="784" t="s">
        <v>200</v>
      </c>
      <c r="E80" s="785"/>
      <c r="F80" s="786"/>
      <c r="G80" s="81"/>
      <c r="H80" s="104">
        <v>0</v>
      </c>
      <c r="I80" s="63"/>
      <c r="J80" s="264"/>
      <c r="K80" s="264"/>
      <c r="L80" s="264"/>
    </row>
    <row r="81" spans="2:12" x14ac:dyDescent="0.2">
      <c r="B81" s="803"/>
      <c r="C81" s="100" t="s">
        <v>201</v>
      </c>
      <c r="D81" s="784" t="s">
        <v>202</v>
      </c>
      <c r="E81" s="785"/>
      <c r="F81" s="786"/>
      <c r="G81" s="81"/>
      <c r="H81" s="104">
        <v>0</v>
      </c>
      <c r="I81" s="63"/>
    </row>
    <row r="82" spans="2:12" ht="13.5" thickBot="1" x14ac:dyDescent="0.25">
      <c r="B82" s="804"/>
      <c r="C82" s="100" t="s">
        <v>203</v>
      </c>
      <c r="D82" s="784" t="s">
        <v>204</v>
      </c>
      <c r="E82" s="785"/>
      <c r="F82" s="786"/>
      <c r="G82" s="102"/>
      <c r="H82" s="103">
        <f>+IF(+G82&lt;100000,+G82,10000)</f>
        <v>0</v>
      </c>
      <c r="I82" s="63"/>
      <c r="J82" s="106"/>
    </row>
    <row r="83" spans="2:12" ht="13.5" thickBot="1" x14ac:dyDescent="0.25">
      <c r="B83" s="787" t="s">
        <v>205</v>
      </c>
      <c r="C83" s="788"/>
      <c r="D83" s="788"/>
      <c r="E83" s="788"/>
      <c r="F83" s="788"/>
      <c r="G83" s="107">
        <f>SUM(G78:G82)</f>
        <v>7800</v>
      </c>
      <c r="H83" s="108">
        <f>SUM(H77:H82)</f>
        <v>157800</v>
      </c>
    </row>
    <row r="84" spans="2:12" ht="13.5" thickBot="1" x14ac:dyDescent="0.25"/>
    <row r="85" spans="2:12" ht="13.5" thickBot="1" x14ac:dyDescent="0.25">
      <c r="B85" s="789" t="s">
        <v>206</v>
      </c>
      <c r="C85" s="790"/>
      <c r="D85" s="790"/>
      <c r="E85" s="790"/>
      <c r="F85" s="791"/>
      <c r="G85" s="792">
        <f>+G64-H83</f>
        <v>1198232</v>
      </c>
      <c r="H85" s="791"/>
      <c r="J85" s="109">
        <f>C37+D37+E37+F37</f>
        <v>519348</v>
      </c>
      <c r="K85" s="16" t="s">
        <v>235</v>
      </c>
    </row>
    <row r="86" spans="2:12" x14ac:dyDescent="0.2">
      <c r="B86" s="110"/>
      <c r="F86" s="105"/>
      <c r="J86" s="109">
        <f>G37+H37+I37</f>
        <v>368187</v>
      </c>
      <c r="K86" s="16" t="s">
        <v>236</v>
      </c>
    </row>
    <row r="87" spans="2:12" x14ac:dyDescent="0.2">
      <c r="C87" s="793" t="s">
        <v>207</v>
      </c>
      <c r="D87" s="794"/>
      <c r="E87" s="111" t="s">
        <v>208</v>
      </c>
      <c r="F87" s="111" t="s">
        <v>209</v>
      </c>
      <c r="G87" s="111" t="s">
        <v>210</v>
      </c>
      <c r="H87" s="111" t="s">
        <v>211</v>
      </c>
      <c r="J87" s="109">
        <f>J37+K37+L37</f>
        <v>381951</v>
      </c>
      <c r="K87" s="47" t="s">
        <v>237</v>
      </c>
    </row>
    <row r="88" spans="2:12" x14ac:dyDescent="0.2">
      <c r="C88" s="795" t="str">
        <f>IF(I6="M","0          - 250000","0          -  250000")</f>
        <v>0          - 250000</v>
      </c>
      <c r="D88" s="796"/>
      <c r="E88" s="112">
        <v>0</v>
      </c>
      <c r="F88" s="113">
        <f>IF(I6="M",(IF(G85&lt;250000,G85,250000)),(IF(G85&lt;250000,G85,250000)))</f>
        <v>250000</v>
      </c>
      <c r="G88" s="113">
        <f>G85-F88</f>
        <v>948232</v>
      </c>
      <c r="H88" s="113">
        <f>E88*F88</f>
        <v>0</v>
      </c>
      <c r="J88" s="16">
        <f>M37+N37</f>
        <v>250046</v>
      </c>
      <c r="K88" s="1" t="s">
        <v>238</v>
      </c>
    </row>
    <row r="89" spans="2:12" x14ac:dyDescent="0.2">
      <c r="C89" s="795" t="str">
        <f>IF(I6="M","250001 - 500000","250001-500000")</f>
        <v>250001 - 500000</v>
      </c>
      <c r="D89" s="796"/>
      <c r="E89" s="112">
        <v>0.05</v>
      </c>
      <c r="F89" s="113">
        <f>IF(I6="M",(IF(G88&lt;250000,G88,250000)),(IF(G88&lt;250000,G88,250000)))</f>
        <v>250000</v>
      </c>
      <c r="G89" s="113">
        <f>G88-F89</f>
        <v>698232</v>
      </c>
      <c r="H89" s="114">
        <f>ROUND(E89*F89,0.1)</f>
        <v>12500</v>
      </c>
      <c r="J89" s="115">
        <f>SUM(J85:J88)</f>
        <v>1519532</v>
      </c>
    </row>
    <row r="90" spans="2:12" x14ac:dyDescent="0.2">
      <c r="C90" s="797" t="s">
        <v>212</v>
      </c>
      <c r="D90" s="798"/>
      <c r="E90" s="112">
        <v>0.2</v>
      </c>
      <c r="F90" s="113">
        <f>IF(G89&lt;500000,G89,500000)</f>
        <v>500000</v>
      </c>
      <c r="G90" s="113">
        <f>G89-F90</f>
        <v>198232</v>
      </c>
      <c r="H90" s="114">
        <f>ROUND(E90*F90,0.1)</f>
        <v>100000</v>
      </c>
      <c r="J90" s="16">
        <f>+G85</f>
        <v>1198232</v>
      </c>
    </row>
    <row r="91" spans="2:12" x14ac:dyDescent="0.2">
      <c r="C91" s="795" t="s">
        <v>213</v>
      </c>
      <c r="D91" s="796"/>
      <c r="E91" s="112">
        <v>0.3</v>
      </c>
      <c r="F91" s="113">
        <f>G90</f>
        <v>198232</v>
      </c>
      <c r="G91" s="113">
        <f>G90-F91</f>
        <v>0</v>
      </c>
      <c r="H91" s="114">
        <f>ROUND(E91*F91,0.1)</f>
        <v>59470</v>
      </c>
      <c r="J91" s="16">
        <f>+J89-J90</f>
        <v>321300</v>
      </c>
    </row>
    <row r="92" spans="2:12" ht="12.75" customHeight="1" thickBot="1" x14ac:dyDescent="0.25">
      <c r="B92" s="116"/>
      <c r="C92" s="117"/>
      <c r="D92" s="47"/>
      <c r="E92" s="47"/>
      <c r="F92" s="47"/>
      <c r="J92" s="87"/>
      <c r="K92" s="118"/>
    </row>
    <row r="93" spans="2:12" ht="13.5" thickBot="1" x14ac:dyDescent="0.25">
      <c r="B93" s="799" t="s">
        <v>239</v>
      </c>
      <c r="C93" s="800"/>
      <c r="D93" s="800"/>
      <c r="E93" s="800"/>
      <c r="F93" s="801"/>
      <c r="G93" s="771">
        <f>H88+H89+H90+H91</f>
        <v>171970</v>
      </c>
      <c r="H93" s="772"/>
    </row>
    <row r="94" spans="2:12" ht="13.5" thickBot="1" x14ac:dyDescent="0.25">
      <c r="B94" s="119" t="s">
        <v>215</v>
      </c>
      <c r="C94" s="120"/>
      <c r="D94" s="120"/>
      <c r="E94" s="120"/>
      <c r="F94" s="120"/>
      <c r="G94" s="884">
        <f>IF((G64&lt;500000),5000,0)</f>
        <v>0</v>
      </c>
      <c r="H94" s="885">
        <f>IF(H92&lt;200000,0,IF(H92&lt;220000,((H92-200000)*10%),IF(H92&lt;=500000,2000,IF(H92&gt;=500000,0))))</f>
        <v>0</v>
      </c>
      <c r="J94" s="1"/>
      <c r="K94" s="121"/>
      <c r="L94" s="121"/>
    </row>
    <row r="95" spans="2:12" ht="13.5" thickBot="1" x14ac:dyDescent="0.25">
      <c r="B95" s="122" t="s">
        <v>216</v>
      </c>
      <c r="C95" s="123"/>
      <c r="D95" s="123"/>
      <c r="E95" s="123"/>
      <c r="F95" s="123"/>
      <c r="G95" s="771">
        <f>IF((G93-G94)&lt;0,0,(G93-G94))</f>
        <v>171970</v>
      </c>
      <c r="H95" s="772"/>
      <c r="I95" s="37"/>
    </row>
    <row r="96" spans="2:12" ht="13.5" thickBot="1" x14ac:dyDescent="0.25">
      <c r="B96" s="773" t="s">
        <v>240</v>
      </c>
      <c r="C96" s="774"/>
      <c r="D96" s="774"/>
      <c r="E96" s="774"/>
      <c r="F96" s="775"/>
      <c r="G96" s="776">
        <f>ROUND((IF(G95&gt;0,(G95*4%),0)),0)</f>
        <v>6879</v>
      </c>
      <c r="H96" s="777"/>
      <c r="I96" s="37"/>
    </row>
    <row r="97" spans="2:9" ht="13.5" thickBot="1" x14ac:dyDescent="0.25">
      <c r="B97" s="778" t="s">
        <v>218</v>
      </c>
      <c r="C97" s="779"/>
      <c r="D97" s="779"/>
      <c r="E97" s="779"/>
      <c r="F97" s="779"/>
      <c r="G97" s="780">
        <f>G95+G96</f>
        <v>178849</v>
      </c>
      <c r="H97" s="781"/>
      <c r="I97" s="121"/>
    </row>
    <row r="98" spans="2:9" ht="13.5" thickBot="1" x14ac:dyDescent="0.25">
      <c r="B98" s="765" t="s">
        <v>219</v>
      </c>
      <c r="C98" s="766"/>
      <c r="D98" s="766"/>
      <c r="E98" s="766"/>
      <c r="F98" s="766"/>
      <c r="G98" s="767">
        <f>O38</f>
        <v>178856</v>
      </c>
      <c r="H98" s="768"/>
      <c r="I98" s="121"/>
    </row>
    <row r="99" spans="2:9" ht="13.5" thickBot="1" x14ac:dyDescent="0.25">
      <c r="B99" s="765" t="str">
        <f>IF(G99&gt;0,"TAX PAYABLE","TAX REFUND")</f>
        <v>TAX REFUND</v>
      </c>
      <c r="C99" s="766"/>
      <c r="D99" s="766"/>
      <c r="E99" s="766"/>
      <c r="F99" s="766"/>
      <c r="G99" s="767">
        <f>+G97-G98</f>
        <v>-7</v>
      </c>
      <c r="H99" s="768"/>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9:F99 B93:F97">
    <cfRule type="cellIs" dxfId="2179" priority="3" stopIfTrue="1" operator="equal">
      <formula>"TAX PAYABLE"</formula>
    </cfRule>
    <cfRule type="cellIs" dxfId="2178" priority="4" stopIfTrue="1" operator="equal">
      <formula>"TAX REFUND"</formula>
    </cfRule>
  </conditionalFormatting>
  <conditionalFormatting sqref="G99:H99">
    <cfRule type="cellIs" dxfId="2177" priority="1" stopIfTrue="1" operator="greaterThan">
      <formula>0</formula>
    </cfRule>
    <cfRule type="cellIs" dxfId="2176"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hyperlinks>
    <hyperlink ref="J51" r:id="rId1" display="+J37-@sum(J22:J36)"/>
  </hyperlinks>
  <pageMargins left="0.7" right="0.7" top="0.75" bottom="0.75" header="0.3" footer="0.3"/>
  <pageSetup paperSize="5" orientation="landscape" horizontalDpi="300" verticalDpi="300" r:id="rId2"/>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R107"/>
  <sheetViews>
    <sheetView topLeftCell="A5" workbookViewId="0">
      <selection activeCell="L39" sqref="L39"/>
    </sheetView>
  </sheetViews>
  <sheetFormatPr defaultRowHeight="12.75" x14ac:dyDescent="0.2"/>
  <cols>
    <col min="1" max="1" width="5" style="16" customWidth="1"/>
    <col min="2" max="2" width="20" style="37" customWidth="1"/>
    <col min="3" max="3" width="9.140625" style="16"/>
    <col min="4" max="4" width="7.42578125" style="16" customWidth="1"/>
    <col min="5" max="5" width="8.5703125" style="16" bestFit="1" customWidth="1"/>
    <col min="6" max="8" width="8.140625" style="16" customWidth="1"/>
    <col min="9" max="9" width="7.140625" style="16" bestFit="1" customWidth="1"/>
    <col min="10" max="10" width="8.42578125" style="16" customWidth="1"/>
    <col min="11" max="15" width="7.8554687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20" style="16" customWidth="1"/>
    <col min="259" max="259" width="9.140625" style="16"/>
    <col min="260" max="260" width="7.42578125" style="16" customWidth="1"/>
    <col min="261" max="261" width="8.5703125" style="16" bestFit="1" customWidth="1"/>
    <col min="262" max="264" width="8.140625" style="16" customWidth="1"/>
    <col min="265" max="265" width="7.140625" style="16" bestFit="1" customWidth="1"/>
    <col min="266" max="266" width="8.42578125" style="16" customWidth="1"/>
    <col min="267" max="271" width="7.8554687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20" style="16" customWidth="1"/>
    <col min="515" max="515" width="9.140625" style="16"/>
    <col min="516" max="516" width="7.42578125" style="16" customWidth="1"/>
    <col min="517" max="517" width="8.5703125" style="16" bestFit="1" customWidth="1"/>
    <col min="518" max="520" width="8.140625" style="16" customWidth="1"/>
    <col min="521" max="521" width="7.140625" style="16" bestFit="1" customWidth="1"/>
    <col min="522" max="522" width="8.42578125" style="16" customWidth="1"/>
    <col min="523" max="527" width="7.8554687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20" style="16" customWidth="1"/>
    <col min="771" max="771" width="9.140625" style="16"/>
    <col min="772" max="772" width="7.42578125" style="16" customWidth="1"/>
    <col min="773" max="773" width="8.5703125" style="16" bestFit="1" customWidth="1"/>
    <col min="774" max="776" width="8.140625" style="16" customWidth="1"/>
    <col min="777" max="777" width="7.140625" style="16" bestFit="1" customWidth="1"/>
    <col min="778" max="778" width="8.42578125" style="16" customWidth="1"/>
    <col min="779" max="783" width="7.8554687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20" style="16" customWidth="1"/>
    <col min="1027" max="1027" width="9.140625" style="16"/>
    <col min="1028" max="1028" width="7.42578125" style="16" customWidth="1"/>
    <col min="1029" max="1029" width="8.5703125" style="16" bestFit="1" customWidth="1"/>
    <col min="1030" max="1032" width="8.140625" style="16" customWidth="1"/>
    <col min="1033" max="1033" width="7.140625" style="16" bestFit="1" customWidth="1"/>
    <col min="1034" max="1034" width="8.42578125" style="16" customWidth="1"/>
    <col min="1035" max="1039" width="7.8554687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20" style="16" customWidth="1"/>
    <col min="1283" max="1283" width="9.140625" style="16"/>
    <col min="1284" max="1284" width="7.42578125" style="16" customWidth="1"/>
    <col min="1285" max="1285" width="8.5703125" style="16" bestFit="1" customWidth="1"/>
    <col min="1286" max="1288" width="8.140625" style="16" customWidth="1"/>
    <col min="1289" max="1289" width="7.140625" style="16" bestFit="1" customWidth="1"/>
    <col min="1290" max="1290" width="8.42578125" style="16" customWidth="1"/>
    <col min="1291" max="1295" width="7.8554687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20" style="16" customWidth="1"/>
    <col min="1539" max="1539" width="9.140625" style="16"/>
    <col min="1540" max="1540" width="7.42578125" style="16" customWidth="1"/>
    <col min="1541" max="1541" width="8.5703125" style="16" bestFit="1" customWidth="1"/>
    <col min="1542" max="1544" width="8.140625" style="16" customWidth="1"/>
    <col min="1545" max="1545" width="7.140625" style="16" bestFit="1" customWidth="1"/>
    <col min="1546" max="1546" width="8.42578125" style="16" customWidth="1"/>
    <col min="1547" max="1551" width="7.8554687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20" style="16" customWidth="1"/>
    <col min="1795" max="1795" width="9.140625" style="16"/>
    <col min="1796" max="1796" width="7.42578125" style="16" customWidth="1"/>
    <col min="1797" max="1797" width="8.5703125" style="16" bestFit="1" customWidth="1"/>
    <col min="1798" max="1800" width="8.140625" style="16" customWidth="1"/>
    <col min="1801" max="1801" width="7.140625" style="16" bestFit="1" customWidth="1"/>
    <col min="1802" max="1802" width="8.42578125" style="16" customWidth="1"/>
    <col min="1803" max="1807" width="7.8554687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20" style="16" customWidth="1"/>
    <col min="2051" max="2051" width="9.140625" style="16"/>
    <col min="2052" max="2052" width="7.42578125" style="16" customWidth="1"/>
    <col min="2053" max="2053" width="8.5703125" style="16" bestFit="1" customWidth="1"/>
    <col min="2054" max="2056" width="8.140625" style="16" customWidth="1"/>
    <col min="2057" max="2057" width="7.140625" style="16" bestFit="1" customWidth="1"/>
    <col min="2058" max="2058" width="8.42578125" style="16" customWidth="1"/>
    <col min="2059" max="2063" width="7.8554687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20" style="16" customWidth="1"/>
    <col min="2307" max="2307" width="9.140625" style="16"/>
    <col min="2308" max="2308" width="7.42578125" style="16" customWidth="1"/>
    <col min="2309" max="2309" width="8.5703125" style="16" bestFit="1" customWidth="1"/>
    <col min="2310" max="2312" width="8.140625" style="16" customWidth="1"/>
    <col min="2313" max="2313" width="7.140625" style="16" bestFit="1" customWidth="1"/>
    <col min="2314" max="2314" width="8.42578125" style="16" customWidth="1"/>
    <col min="2315" max="2319" width="7.8554687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20" style="16" customWidth="1"/>
    <col min="2563" max="2563" width="9.140625" style="16"/>
    <col min="2564" max="2564" width="7.42578125" style="16" customWidth="1"/>
    <col min="2565" max="2565" width="8.5703125" style="16" bestFit="1" customWidth="1"/>
    <col min="2566" max="2568" width="8.140625" style="16" customWidth="1"/>
    <col min="2569" max="2569" width="7.140625" style="16" bestFit="1" customWidth="1"/>
    <col min="2570" max="2570" width="8.42578125" style="16" customWidth="1"/>
    <col min="2571" max="2575" width="7.8554687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20" style="16" customWidth="1"/>
    <col min="2819" max="2819" width="9.140625" style="16"/>
    <col min="2820" max="2820" width="7.42578125" style="16" customWidth="1"/>
    <col min="2821" max="2821" width="8.5703125" style="16" bestFit="1" customWidth="1"/>
    <col min="2822" max="2824" width="8.140625" style="16" customWidth="1"/>
    <col min="2825" max="2825" width="7.140625" style="16" bestFit="1" customWidth="1"/>
    <col min="2826" max="2826" width="8.42578125" style="16" customWidth="1"/>
    <col min="2827" max="2831" width="7.8554687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20" style="16" customWidth="1"/>
    <col min="3075" max="3075" width="9.140625" style="16"/>
    <col min="3076" max="3076" width="7.42578125" style="16" customWidth="1"/>
    <col min="3077" max="3077" width="8.5703125" style="16" bestFit="1" customWidth="1"/>
    <col min="3078" max="3080" width="8.140625" style="16" customWidth="1"/>
    <col min="3081" max="3081" width="7.140625" style="16" bestFit="1" customWidth="1"/>
    <col min="3082" max="3082" width="8.42578125" style="16" customWidth="1"/>
    <col min="3083" max="3087" width="7.8554687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20" style="16" customWidth="1"/>
    <col min="3331" max="3331" width="9.140625" style="16"/>
    <col min="3332" max="3332" width="7.42578125" style="16" customWidth="1"/>
    <col min="3333" max="3333" width="8.5703125" style="16" bestFit="1" customWidth="1"/>
    <col min="3334" max="3336" width="8.140625" style="16" customWidth="1"/>
    <col min="3337" max="3337" width="7.140625" style="16" bestFit="1" customWidth="1"/>
    <col min="3338" max="3338" width="8.42578125" style="16" customWidth="1"/>
    <col min="3339" max="3343" width="7.8554687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20" style="16" customWidth="1"/>
    <col min="3587" max="3587" width="9.140625" style="16"/>
    <col min="3588" max="3588" width="7.42578125" style="16" customWidth="1"/>
    <col min="3589" max="3589" width="8.5703125" style="16" bestFit="1" customWidth="1"/>
    <col min="3590" max="3592" width="8.140625" style="16" customWidth="1"/>
    <col min="3593" max="3593" width="7.140625" style="16" bestFit="1" customWidth="1"/>
    <col min="3594" max="3594" width="8.42578125" style="16" customWidth="1"/>
    <col min="3595" max="3599" width="7.8554687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20" style="16" customWidth="1"/>
    <col min="3843" max="3843" width="9.140625" style="16"/>
    <col min="3844" max="3844" width="7.42578125" style="16" customWidth="1"/>
    <col min="3845" max="3845" width="8.5703125" style="16" bestFit="1" customWidth="1"/>
    <col min="3846" max="3848" width="8.140625" style="16" customWidth="1"/>
    <col min="3849" max="3849" width="7.140625" style="16" bestFit="1" customWidth="1"/>
    <col min="3850" max="3850" width="8.42578125" style="16" customWidth="1"/>
    <col min="3851" max="3855" width="7.8554687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20" style="16" customWidth="1"/>
    <col min="4099" max="4099" width="9.140625" style="16"/>
    <col min="4100" max="4100" width="7.42578125" style="16" customWidth="1"/>
    <col min="4101" max="4101" width="8.5703125" style="16" bestFit="1" customWidth="1"/>
    <col min="4102" max="4104" width="8.140625" style="16" customWidth="1"/>
    <col min="4105" max="4105" width="7.140625" style="16" bestFit="1" customWidth="1"/>
    <col min="4106" max="4106" width="8.42578125" style="16" customWidth="1"/>
    <col min="4107" max="4111" width="7.8554687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20" style="16" customWidth="1"/>
    <col min="4355" max="4355" width="9.140625" style="16"/>
    <col min="4356" max="4356" width="7.42578125" style="16" customWidth="1"/>
    <col min="4357" max="4357" width="8.5703125" style="16" bestFit="1" customWidth="1"/>
    <col min="4358" max="4360" width="8.140625" style="16" customWidth="1"/>
    <col min="4361" max="4361" width="7.140625" style="16" bestFit="1" customWidth="1"/>
    <col min="4362" max="4362" width="8.42578125" style="16" customWidth="1"/>
    <col min="4363" max="4367" width="7.8554687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20" style="16" customWidth="1"/>
    <col min="4611" max="4611" width="9.140625" style="16"/>
    <col min="4612" max="4612" width="7.42578125" style="16" customWidth="1"/>
    <col min="4613" max="4613" width="8.5703125" style="16" bestFit="1" customWidth="1"/>
    <col min="4614" max="4616" width="8.140625" style="16" customWidth="1"/>
    <col min="4617" max="4617" width="7.140625" style="16" bestFit="1" customWidth="1"/>
    <col min="4618" max="4618" width="8.42578125" style="16" customWidth="1"/>
    <col min="4619" max="4623" width="7.8554687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20" style="16" customWidth="1"/>
    <col min="4867" max="4867" width="9.140625" style="16"/>
    <col min="4868" max="4868" width="7.42578125" style="16" customWidth="1"/>
    <col min="4869" max="4869" width="8.5703125" style="16" bestFit="1" customWidth="1"/>
    <col min="4870" max="4872" width="8.140625" style="16" customWidth="1"/>
    <col min="4873" max="4873" width="7.140625" style="16" bestFit="1" customWidth="1"/>
    <col min="4874" max="4874" width="8.42578125" style="16" customWidth="1"/>
    <col min="4875" max="4879" width="7.8554687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20" style="16" customWidth="1"/>
    <col min="5123" max="5123" width="9.140625" style="16"/>
    <col min="5124" max="5124" width="7.42578125" style="16" customWidth="1"/>
    <col min="5125" max="5125" width="8.5703125" style="16" bestFit="1" customWidth="1"/>
    <col min="5126" max="5128" width="8.140625" style="16" customWidth="1"/>
    <col min="5129" max="5129" width="7.140625" style="16" bestFit="1" customWidth="1"/>
    <col min="5130" max="5130" width="8.42578125" style="16" customWidth="1"/>
    <col min="5131" max="5135" width="7.8554687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20" style="16" customWidth="1"/>
    <col min="5379" max="5379" width="9.140625" style="16"/>
    <col min="5380" max="5380" width="7.42578125" style="16" customWidth="1"/>
    <col min="5381" max="5381" width="8.5703125" style="16" bestFit="1" customWidth="1"/>
    <col min="5382" max="5384" width="8.140625" style="16" customWidth="1"/>
    <col min="5385" max="5385" width="7.140625" style="16" bestFit="1" customWidth="1"/>
    <col min="5386" max="5386" width="8.42578125" style="16" customWidth="1"/>
    <col min="5387" max="5391" width="7.8554687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20" style="16" customWidth="1"/>
    <col min="5635" max="5635" width="9.140625" style="16"/>
    <col min="5636" max="5636" width="7.42578125" style="16" customWidth="1"/>
    <col min="5637" max="5637" width="8.5703125" style="16" bestFit="1" customWidth="1"/>
    <col min="5638" max="5640" width="8.140625" style="16" customWidth="1"/>
    <col min="5641" max="5641" width="7.140625" style="16" bestFit="1" customWidth="1"/>
    <col min="5642" max="5642" width="8.42578125" style="16" customWidth="1"/>
    <col min="5643" max="5647" width="7.8554687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20" style="16" customWidth="1"/>
    <col min="5891" max="5891" width="9.140625" style="16"/>
    <col min="5892" max="5892" width="7.42578125" style="16" customWidth="1"/>
    <col min="5893" max="5893" width="8.5703125" style="16" bestFit="1" customWidth="1"/>
    <col min="5894" max="5896" width="8.140625" style="16" customWidth="1"/>
    <col min="5897" max="5897" width="7.140625" style="16" bestFit="1" customWidth="1"/>
    <col min="5898" max="5898" width="8.42578125" style="16" customWidth="1"/>
    <col min="5899" max="5903" width="7.8554687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20" style="16" customWidth="1"/>
    <col min="6147" max="6147" width="9.140625" style="16"/>
    <col min="6148" max="6148" width="7.42578125" style="16" customWidth="1"/>
    <col min="6149" max="6149" width="8.5703125" style="16" bestFit="1" customWidth="1"/>
    <col min="6150" max="6152" width="8.140625" style="16" customWidth="1"/>
    <col min="6153" max="6153" width="7.140625" style="16" bestFit="1" customWidth="1"/>
    <col min="6154" max="6154" width="8.42578125" style="16" customWidth="1"/>
    <col min="6155" max="6159" width="7.8554687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20" style="16" customWidth="1"/>
    <col min="6403" max="6403" width="9.140625" style="16"/>
    <col min="6404" max="6404" width="7.42578125" style="16" customWidth="1"/>
    <col min="6405" max="6405" width="8.5703125" style="16" bestFit="1" customWidth="1"/>
    <col min="6406" max="6408" width="8.140625" style="16" customWidth="1"/>
    <col min="6409" max="6409" width="7.140625" style="16" bestFit="1" customWidth="1"/>
    <col min="6410" max="6410" width="8.42578125" style="16" customWidth="1"/>
    <col min="6411" max="6415" width="7.8554687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20" style="16" customWidth="1"/>
    <col min="6659" max="6659" width="9.140625" style="16"/>
    <col min="6660" max="6660" width="7.42578125" style="16" customWidth="1"/>
    <col min="6661" max="6661" width="8.5703125" style="16" bestFit="1" customWidth="1"/>
    <col min="6662" max="6664" width="8.140625" style="16" customWidth="1"/>
    <col min="6665" max="6665" width="7.140625" style="16" bestFit="1" customWidth="1"/>
    <col min="6666" max="6666" width="8.42578125" style="16" customWidth="1"/>
    <col min="6667" max="6671" width="7.8554687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20" style="16" customWidth="1"/>
    <col min="6915" max="6915" width="9.140625" style="16"/>
    <col min="6916" max="6916" width="7.42578125" style="16" customWidth="1"/>
    <col min="6917" max="6917" width="8.5703125" style="16" bestFit="1" customWidth="1"/>
    <col min="6918" max="6920" width="8.140625" style="16" customWidth="1"/>
    <col min="6921" max="6921" width="7.140625" style="16" bestFit="1" customWidth="1"/>
    <col min="6922" max="6922" width="8.42578125" style="16" customWidth="1"/>
    <col min="6923" max="6927" width="7.8554687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20" style="16" customWidth="1"/>
    <col min="7171" max="7171" width="9.140625" style="16"/>
    <col min="7172" max="7172" width="7.42578125" style="16" customWidth="1"/>
    <col min="7173" max="7173" width="8.5703125" style="16" bestFit="1" customWidth="1"/>
    <col min="7174" max="7176" width="8.140625" style="16" customWidth="1"/>
    <col min="7177" max="7177" width="7.140625" style="16" bestFit="1" customWidth="1"/>
    <col min="7178" max="7178" width="8.42578125" style="16" customWidth="1"/>
    <col min="7179" max="7183" width="7.8554687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20" style="16" customWidth="1"/>
    <col min="7427" max="7427" width="9.140625" style="16"/>
    <col min="7428" max="7428" width="7.42578125" style="16" customWidth="1"/>
    <col min="7429" max="7429" width="8.5703125" style="16" bestFit="1" customWidth="1"/>
    <col min="7430" max="7432" width="8.140625" style="16" customWidth="1"/>
    <col min="7433" max="7433" width="7.140625" style="16" bestFit="1" customWidth="1"/>
    <col min="7434" max="7434" width="8.42578125" style="16" customWidth="1"/>
    <col min="7435" max="7439" width="7.8554687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20" style="16" customWidth="1"/>
    <col min="7683" max="7683" width="9.140625" style="16"/>
    <col min="7684" max="7684" width="7.42578125" style="16" customWidth="1"/>
    <col min="7685" max="7685" width="8.5703125" style="16" bestFit="1" customWidth="1"/>
    <col min="7686" max="7688" width="8.140625" style="16" customWidth="1"/>
    <col min="7689" max="7689" width="7.140625" style="16" bestFit="1" customWidth="1"/>
    <col min="7690" max="7690" width="8.42578125" style="16" customWidth="1"/>
    <col min="7691" max="7695" width="7.8554687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20" style="16" customWidth="1"/>
    <col min="7939" max="7939" width="9.140625" style="16"/>
    <col min="7940" max="7940" width="7.42578125" style="16" customWidth="1"/>
    <col min="7941" max="7941" width="8.5703125" style="16" bestFit="1" customWidth="1"/>
    <col min="7942" max="7944" width="8.140625" style="16" customWidth="1"/>
    <col min="7945" max="7945" width="7.140625" style="16" bestFit="1" customWidth="1"/>
    <col min="7946" max="7946" width="8.42578125" style="16" customWidth="1"/>
    <col min="7947" max="7951" width="7.8554687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20" style="16" customWidth="1"/>
    <col min="8195" max="8195" width="9.140625" style="16"/>
    <col min="8196" max="8196" width="7.42578125" style="16" customWidth="1"/>
    <col min="8197" max="8197" width="8.5703125" style="16" bestFit="1" customWidth="1"/>
    <col min="8198" max="8200" width="8.140625" style="16" customWidth="1"/>
    <col min="8201" max="8201" width="7.140625" style="16" bestFit="1" customWidth="1"/>
    <col min="8202" max="8202" width="8.42578125" style="16" customWidth="1"/>
    <col min="8203" max="8207" width="7.8554687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20" style="16" customWidth="1"/>
    <col min="8451" max="8451" width="9.140625" style="16"/>
    <col min="8452" max="8452" width="7.42578125" style="16" customWidth="1"/>
    <col min="8453" max="8453" width="8.5703125" style="16" bestFit="1" customWidth="1"/>
    <col min="8454" max="8456" width="8.140625" style="16" customWidth="1"/>
    <col min="8457" max="8457" width="7.140625" style="16" bestFit="1" customWidth="1"/>
    <col min="8458" max="8458" width="8.42578125" style="16" customWidth="1"/>
    <col min="8459" max="8463" width="7.8554687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20" style="16" customWidth="1"/>
    <col min="8707" max="8707" width="9.140625" style="16"/>
    <col min="8708" max="8708" width="7.42578125" style="16" customWidth="1"/>
    <col min="8709" max="8709" width="8.5703125" style="16" bestFit="1" customWidth="1"/>
    <col min="8710" max="8712" width="8.140625" style="16" customWidth="1"/>
    <col min="8713" max="8713" width="7.140625" style="16" bestFit="1" customWidth="1"/>
    <col min="8714" max="8714" width="8.42578125" style="16" customWidth="1"/>
    <col min="8715" max="8719" width="7.8554687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20" style="16" customWidth="1"/>
    <col min="8963" max="8963" width="9.140625" style="16"/>
    <col min="8964" max="8964" width="7.42578125" style="16" customWidth="1"/>
    <col min="8965" max="8965" width="8.5703125" style="16" bestFit="1" customWidth="1"/>
    <col min="8966" max="8968" width="8.140625" style="16" customWidth="1"/>
    <col min="8969" max="8969" width="7.140625" style="16" bestFit="1" customWidth="1"/>
    <col min="8970" max="8970" width="8.42578125" style="16" customWidth="1"/>
    <col min="8971" max="8975" width="7.8554687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20" style="16" customWidth="1"/>
    <col min="9219" max="9219" width="9.140625" style="16"/>
    <col min="9220" max="9220" width="7.42578125" style="16" customWidth="1"/>
    <col min="9221" max="9221" width="8.5703125" style="16" bestFit="1" customWidth="1"/>
    <col min="9222" max="9224" width="8.140625" style="16" customWidth="1"/>
    <col min="9225" max="9225" width="7.140625" style="16" bestFit="1" customWidth="1"/>
    <col min="9226" max="9226" width="8.42578125" style="16" customWidth="1"/>
    <col min="9227" max="9231" width="7.8554687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20" style="16" customWidth="1"/>
    <col min="9475" max="9475" width="9.140625" style="16"/>
    <col min="9476" max="9476" width="7.42578125" style="16" customWidth="1"/>
    <col min="9477" max="9477" width="8.5703125" style="16" bestFit="1" customWidth="1"/>
    <col min="9478" max="9480" width="8.140625" style="16" customWidth="1"/>
    <col min="9481" max="9481" width="7.140625" style="16" bestFit="1" customWidth="1"/>
    <col min="9482" max="9482" width="8.42578125" style="16" customWidth="1"/>
    <col min="9483" max="9487" width="7.8554687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20" style="16" customWidth="1"/>
    <col min="9731" max="9731" width="9.140625" style="16"/>
    <col min="9732" max="9732" width="7.42578125" style="16" customWidth="1"/>
    <col min="9733" max="9733" width="8.5703125" style="16" bestFit="1" customWidth="1"/>
    <col min="9734" max="9736" width="8.140625" style="16" customWidth="1"/>
    <col min="9737" max="9737" width="7.140625" style="16" bestFit="1" customWidth="1"/>
    <col min="9738" max="9738" width="8.42578125" style="16" customWidth="1"/>
    <col min="9739" max="9743" width="7.8554687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20" style="16" customWidth="1"/>
    <col min="9987" max="9987" width="9.140625" style="16"/>
    <col min="9988" max="9988" width="7.42578125" style="16" customWidth="1"/>
    <col min="9989" max="9989" width="8.5703125" style="16" bestFit="1" customWidth="1"/>
    <col min="9990" max="9992" width="8.140625" style="16" customWidth="1"/>
    <col min="9993" max="9993" width="7.140625" style="16" bestFit="1" customWidth="1"/>
    <col min="9994" max="9994" width="8.42578125" style="16" customWidth="1"/>
    <col min="9995" max="9999" width="7.8554687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20" style="16" customWidth="1"/>
    <col min="10243" max="10243" width="9.140625" style="16"/>
    <col min="10244" max="10244" width="7.42578125" style="16" customWidth="1"/>
    <col min="10245" max="10245" width="8.5703125" style="16" bestFit="1" customWidth="1"/>
    <col min="10246" max="10248" width="8.140625" style="16" customWidth="1"/>
    <col min="10249" max="10249" width="7.140625" style="16" bestFit="1" customWidth="1"/>
    <col min="10250" max="10250" width="8.42578125" style="16" customWidth="1"/>
    <col min="10251" max="10255" width="7.8554687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20" style="16" customWidth="1"/>
    <col min="10499" max="10499" width="9.140625" style="16"/>
    <col min="10500" max="10500" width="7.42578125" style="16" customWidth="1"/>
    <col min="10501" max="10501" width="8.5703125" style="16" bestFit="1" customWidth="1"/>
    <col min="10502" max="10504" width="8.140625" style="16" customWidth="1"/>
    <col min="10505" max="10505" width="7.140625" style="16" bestFit="1" customWidth="1"/>
    <col min="10506" max="10506" width="8.42578125" style="16" customWidth="1"/>
    <col min="10507" max="10511" width="7.8554687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20" style="16" customWidth="1"/>
    <col min="10755" max="10755" width="9.140625" style="16"/>
    <col min="10756" max="10756" width="7.42578125" style="16" customWidth="1"/>
    <col min="10757" max="10757" width="8.5703125" style="16" bestFit="1" customWidth="1"/>
    <col min="10758" max="10760" width="8.140625" style="16" customWidth="1"/>
    <col min="10761" max="10761" width="7.140625" style="16" bestFit="1" customWidth="1"/>
    <col min="10762" max="10762" width="8.42578125" style="16" customWidth="1"/>
    <col min="10763" max="10767" width="7.8554687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20" style="16" customWidth="1"/>
    <col min="11011" max="11011" width="9.140625" style="16"/>
    <col min="11012" max="11012" width="7.42578125" style="16" customWidth="1"/>
    <col min="11013" max="11013" width="8.5703125" style="16" bestFit="1" customWidth="1"/>
    <col min="11014" max="11016" width="8.140625" style="16" customWidth="1"/>
    <col min="11017" max="11017" width="7.140625" style="16" bestFit="1" customWidth="1"/>
    <col min="11018" max="11018" width="8.42578125" style="16" customWidth="1"/>
    <col min="11019" max="11023" width="7.8554687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20" style="16" customWidth="1"/>
    <col min="11267" max="11267" width="9.140625" style="16"/>
    <col min="11268" max="11268" width="7.42578125" style="16" customWidth="1"/>
    <col min="11269" max="11269" width="8.5703125" style="16" bestFit="1" customWidth="1"/>
    <col min="11270" max="11272" width="8.140625" style="16" customWidth="1"/>
    <col min="11273" max="11273" width="7.140625" style="16" bestFit="1" customWidth="1"/>
    <col min="11274" max="11274" width="8.42578125" style="16" customWidth="1"/>
    <col min="11275" max="11279" width="7.8554687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20" style="16" customWidth="1"/>
    <col min="11523" max="11523" width="9.140625" style="16"/>
    <col min="11524" max="11524" width="7.42578125" style="16" customWidth="1"/>
    <col min="11525" max="11525" width="8.5703125" style="16" bestFit="1" customWidth="1"/>
    <col min="11526" max="11528" width="8.140625" style="16" customWidth="1"/>
    <col min="11529" max="11529" width="7.140625" style="16" bestFit="1" customWidth="1"/>
    <col min="11530" max="11530" width="8.42578125" style="16" customWidth="1"/>
    <col min="11531" max="11535" width="7.8554687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20" style="16" customWidth="1"/>
    <col min="11779" max="11779" width="9.140625" style="16"/>
    <col min="11780" max="11780" width="7.42578125" style="16" customWidth="1"/>
    <col min="11781" max="11781" width="8.5703125" style="16" bestFit="1" customWidth="1"/>
    <col min="11782" max="11784" width="8.140625" style="16" customWidth="1"/>
    <col min="11785" max="11785" width="7.140625" style="16" bestFit="1" customWidth="1"/>
    <col min="11786" max="11786" width="8.42578125" style="16" customWidth="1"/>
    <col min="11787" max="11791" width="7.8554687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20" style="16" customWidth="1"/>
    <col min="12035" max="12035" width="9.140625" style="16"/>
    <col min="12036" max="12036" width="7.42578125" style="16" customWidth="1"/>
    <col min="12037" max="12037" width="8.5703125" style="16" bestFit="1" customWidth="1"/>
    <col min="12038" max="12040" width="8.140625" style="16" customWidth="1"/>
    <col min="12041" max="12041" width="7.140625" style="16" bestFit="1" customWidth="1"/>
    <col min="12042" max="12042" width="8.42578125" style="16" customWidth="1"/>
    <col min="12043" max="12047" width="7.8554687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20" style="16" customWidth="1"/>
    <col min="12291" max="12291" width="9.140625" style="16"/>
    <col min="12292" max="12292" width="7.42578125" style="16" customWidth="1"/>
    <col min="12293" max="12293" width="8.5703125" style="16" bestFit="1" customWidth="1"/>
    <col min="12294" max="12296" width="8.140625" style="16" customWidth="1"/>
    <col min="12297" max="12297" width="7.140625" style="16" bestFit="1" customWidth="1"/>
    <col min="12298" max="12298" width="8.42578125" style="16" customWidth="1"/>
    <col min="12299" max="12303" width="7.8554687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20" style="16" customWidth="1"/>
    <col min="12547" max="12547" width="9.140625" style="16"/>
    <col min="12548" max="12548" width="7.42578125" style="16" customWidth="1"/>
    <col min="12549" max="12549" width="8.5703125" style="16" bestFit="1" customWidth="1"/>
    <col min="12550" max="12552" width="8.140625" style="16" customWidth="1"/>
    <col min="12553" max="12553" width="7.140625" style="16" bestFit="1" customWidth="1"/>
    <col min="12554" max="12554" width="8.42578125" style="16" customWidth="1"/>
    <col min="12555" max="12559" width="7.8554687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20" style="16" customWidth="1"/>
    <col min="12803" max="12803" width="9.140625" style="16"/>
    <col min="12804" max="12804" width="7.42578125" style="16" customWidth="1"/>
    <col min="12805" max="12805" width="8.5703125" style="16" bestFit="1" customWidth="1"/>
    <col min="12806" max="12808" width="8.140625" style="16" customWidth="1"/>
    <col min="12809" max="12809" width="7.140625" style="16" bestFit="1" customWidth="1"/>
    <col min="12810" max="12810" width="8.42578125" style="16" customWidth="1"/>
    <col min="12811" max="12815" width="7.8554687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20" style="16" customWidth="1"/>
    <col min="13059" max="13059" width="9.140625" style="16"/>
    <col min="13060" max="13060" width="7.42578125" style="16" customWidth="1"/>
    <col min="13061" max="13061" width="8.5703125" style="16" bestFit="1" customWidth="1"/>
    <col min="13062" max="13064" width="8.140625" style="16" customWidth="1"/>
    <col min="13065" max="13065" width="7.140625" style="16" bestFit="1" customWidth="1"/>
    <col min="13066" max="13066" width="8.42578125" style="16" customWidth="1"/>
    <col min="13067" max="13071" width="7.8554687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20" style="16" customWidth="1"/>
    <col min="13315" max="13315" width="9.140625" style="16"/>
    <col min="13316" max="13316" width="7.42578125" style="16" customWidth="1"/>
    <col min="13317" max="13317" width="8.5703125" style="16" bestFit="1" customWidth="1"/>
    <col min="13318" max="13320" width="8.140625" style="16" customWidth="1"/>
    <col min="13321" max="13321" width="7.140625" style="16" bestFit="1" customWidth="1"/>
    <col min="13322" max="13322" width="8.42578125" style="16" customWidth="1"/>
    <col min="13323" max="13327" width="7.8554687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20" style="16" customWidth="1"/>
    <col min="13571" max="13571" width="9.140625" style="16"/>
    <col min="13572" max="13572" width="7.42578125" style="16" customWidth="1"/>
    <col min="13573" max="13573" width="8.5703125" style="16" bestFit="1" customWidth="1"/>
    <col min="13574" max="13576" width="8.140625" style="16" customWidth="1"/>
    <col min="13577" max="13577" width="7.140625" style="16" bestFit="1" customWidth="1"/>
    <col min="13578" max="13578" width="8.42578125" style="16" customWidth="1"/>
    <col min="13579" max="13583" width="7.8554687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20" style="16" customWidth="1"/>
    <col min="13827" max="13827" width="9.140625" style="16"/>
    <col min="13828" max="13828" width="7.42578125" style="16" customWidth="1"/>
    <col min="13829" max="13829" width="8.5703125" style="16" bestFit="1" customWidth="1"/>
    <col min="13830" max="13832" width="8.140625" style="16" customWidth="1"/>
    <col min="13833" max="13833" width="7.140625" style="16" bestFit="1" customWidth="1"/>
    <col min="13834" max="13834" width="8.42578125" style="16" customWidth="1"/>
    <col min="13835" max="13839" width="7.8554687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20" style="16" customWidth="1"/>
    <col min="14083" max="14083" width="9.140625" style="16"/>
    <col min="14084" max="14084" width="7.42578125" style="16" customWidth="1"/>
    <col min="14085" max="14085" width="8.5703125" style="16" bestFit="1" customWidth="1"/>
    <col min="14086" max="14088" width="8.140625" style="16" customWidth="1"/>
    <col min="14089" max="14089" width="7.140625" style="16" bestFit="1" customWidth="1"/>
    <col min="14090" max="14090" width="8.42578125" style="16" customWidth="1"/>
    <col min="14091" max="14095" width="7.8554687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20" style="16" customWidth="1"/>
    <col min="14339" max="14339" width="9.140625" style="16"/>
    <col min="14340" max="14340" width="7.42578125" style="16" customWidth="1"/>
    <col min="14341" max="14341" width="8.5703125" style="16" bestFit="1" customWidth="1"/>
    <col min="14342" max="14344" width="8.140625" style="16" customWidth="1"/>
    <col min="14345" max="14345" width="7.140625" style="16" bestFit="1" customWidth="1"/>
    <col min="14346" max="14346" width="8.42578125" style="16" customWidth="1"/>
    <col min="14347" max="14351" width="7.8554687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20" style="16" customWidth="1"/>
    <col min="14595" max="14595" width="9.140625" style="16"/>
    <col min="14596" max="14596" width="7.42578125" style="16" customWidth="1"/>
    <col min="14597" max="14597" width="8.5703125" style="16" bestFit="1" customWidth="1"/>
    <col min="14598" max="14600" width="8.140625" style="16" customWidth="1"/>
    <col min="14601" max="14601" width="7.140625" style="16" bestFit="1" customWidth="1"/>
    <col min="14602" max="14602" width="8.42578125" style="16" customWidth="1"/>
    <col min="14603" max="14607" width="7.8554687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20" style="16" customWidth="1"/>
    <col min="14851" max="14851" width="9.140625" style="16"/>
    <col min="14852" max="14852" width="7.42578125" style="16" customWidth="1"/>
    <col min="14853" max="14853" width="8.5703125" style="16" bestFit="1" customWidth="1"/>
    <col min="14854" max="14856" width="8.140625" style="16" customWidth="1"/>
    <col min="14857" max="14857" width="7.140625" style="16" bestFit="1" customWidth="1"/>
    <col min="14858" max="14858" width="8.42578125" style="16" customWidth="1"/>
    <col min="14859" max="14863" width="7.8554687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20" style="16" customWidth="1"/>
    <col min="15107" max="15107" width="9.140625" style="16"/>
    <col min="15108" max="15108" width="7.42578125" style="16" customWidth="1"/>
    <col min="15109" max="15109" width="8.5703125" style="16" bestFit="1" customWidth="1"/>
    <col min="15110" max="15112" width="8.140625" style="16" customWidth="1"/>
    <col min="15113" max="15113" width="7.140625" style="16" bestFit="1" customWidth="1"/>
    <col min="15114" max="15114" width="8.42578125" style="16" customWidth="1"/>
    <col min="15115" max="15119" width="7.8554687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20" style="16" customWidth="1"/>
    <col min="15363" max="15363" width="9.140625" style="16"/>
    <col min="15364" max="15364" width="7.42578125" style="16" customWidth="1"/>
    <col min="15365" max="15365" width="8.5703125" style="16" bestFit="1" customWidth="1"/>
    <col min="15366" max="15368" width="8.140625" style="16" customWidth="1"/>
    <col min="15369" max="15369" width="7.140625" style="16" bestFit="1" customWidth="1"/>
    <col min="15370" max="15370" width="8.42578125" style="16" customWidth="1"/>
    <col min="15371" max="15375" width="7.8554687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20" style="16" customWidth="1"/>
    <col min="15619" max="15619" width="9.140625" style="16"/>
    <col min="15620" max="15620" width="7.42578125" style="16" customWidth="1"/>
    <col min="15621" max="15621" width="8.5703125" style="16" bestFit="1" customWidth="1"/>
    <col min="15622" max="15624" width="8.140625" style="16" customWidth="1"/>
    <col min="15625" max="15625" width="7.140625" style="16" bestFit="1" customWidth="1"/>
    <col min="15626" max="15626" width="8.42578125" style="16" customWidth="1"/>
    <col min="15627" max="15631" width="7.8554687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20" style="16" customWidth="1"/>
    <col min="15875" max="15875" width="9.140625" style="16"/>
    <col min="15876" max="15876" width="7.42578125" style="16" customWidth="1"/>
    <col min="15877" max="15877" width="8.5703125" style="16" bestFit="1" customWidth="1"/>
    <col min="15878" max="15880" width="8.140625" style="16" customWidth="1"/>
    <col min="15881" max="15881" width="7.140625" style="16" bestFit="1" customWidth="1"/>
    <col min="15882" max="15882" width="8.42578125" style="16" customWidth="1"/>
    <col min="15883" max="15887" width="7.8554687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20" style="16" customWidth="1"/>
    <col min="16131" max="16131" width="9.140625" style="16"/>
    <col min="16132" max="16132" width="7.42578125" style="16" customWidth="1"/>
    <col min="16133" max="16133" width="8.5703125" style="16" bestFit="1" customWidth="1"/>
    <col min="16134" max="16136" width="8.140625" style="16" customWidth="1"/>
    <col min="16137" max="16137" width="7.140625" style="16" bestFit="1" customWidth="1"/>
    <col min="16138" max="16138" width="8.42578125" style="16" customWidth="1"/>
    <col min="16139" max="16143" width="7.8554687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67" t="s">
        <v>100</v>
      </c>
      <c r="B1" s="868"/>
      <c r="C1" s="868"/>
      <c r="D1" s="869"/>
      <c r="E1" s="868"/>
      <c r="F1" s="868"/>
      <c r="G1" s="867" t="s">
        <v>102</v>
      </c>
      <c r="H1" s="869"/>
      <c r="I1" s="869" t="s">
        <v>1164</v>
      </c>
      <c r="J1" s="868"/>
      <c r="K1" s="868"/>
      <c r="L1" s="870"/>
      <c r="M1" s="870"/>
      <c r="N1" s="870"/>
      <c r="O1" s="870"/>
    </row>
    <row r="2" spans="1:15" s="1" customFormat="1" x14ac:dyDescent="0.2">
      <c r="A2" s="867" t="s">
        <v>103</v>
      </c>
      <c r="B2" s="868"/>
      <c r="C2" s="868"/>
      <c r="D2" s="869"/>
      <c r="E2" s="868"/>
      <c r="F2" s="868"/>
      <c r="G2" s="867" t="s">
        <v>104</v>
      </c>
      <c r="H2" s="869"/>
      <c r="I2" s="869" t="s">
        <v>105</v>
      </c>
      <c r="J2" s="868"/>
      <c r="K2" s="868"/>
      <c r="L2" s="870"/>
      <c r="M2" s="870"/>
      <c r="N2" s="870"/>
      <c r="O2" s="870"/>
    </row>
    <row r="3" spans="1:15" s="1" customFormat="1" x14ac:dyDescent="0.2">
      <c r="A3" s="867" t="s">
        <v>106</v>
      </c>
      <c r="B3" s="868"/>
      <c r="C3" s="868"/>
      <c r="D3" s="883"/>
      <c r="E3" s="868"/>
      <c r="F3" s="868"/>
      <c r="G3" s="867" t="s">
        <v>107</v>
      </c>
      <c r="H3" s="869"/>
      <c r="I3" s="869" t="s">
        <v>108</v>
      </c>
      <c r="J3" s="868"/>
      <c r="K3" s="868"/>
      <c r="L3" s="870"/>
      <c r="M3" s="870"/>
      <c r="N3" s="870"/>
      <c r="O3" s="870"/>
    </row>
    <row r="4" spans="1:15" s="1" customFormat="1" x14ac:dyDescent="0.2">
      <c r="A4" s="867" t="s">
        <v>109</v>
      </c>
      <c r="B4" s="868"/>
      <c r="C4" s="868"/>
      <c r="D4" s="869"/>
      <c r="E4" s="868"/>
      <c r="F4" s="868"/>
      <c r="G4" s="867" t="s">
        <v>110</v>
      </c>
      <c r="H4" s="869"/>
      <c r="I4" s="869" t="s">
        <v>478</v>
      </c>
      <c r="J4" s="868"/>
      <c r="K4" s="868"/>
      <c r="L4" s="870"/>
      <c r="M4" s="870"/>
      <c r="N4" s="870"/>
      <c r="O4" s="870"/>
    </row>
    <row r="5" spans="1:15" s="1" customFormat="1" x14ac:dyDescent="0.2">
      <c r="A5" s="867" t="s">
        <v>112</v>
      </c>
      <c r="B5" s="868"/>
      <c r="C5" s="868"/>
      <c r="D5" s="869"/>
      <c r="E5" s="868"/>
      <c r="F5" s="868"/>
      <c r="G5" s="867"/>
      <c r="H5" s="868"/>
      <c r="I5" s="869" t="s">
        <v>113</v>
      </c>
      <c r="J5" s="868"/>
      <c r="K5" s="868"/>
      <c r="L5" s="870"/>
      <c r="M5" s="870"/>
      <c r="N5" s="870"/>
      <c r="O5" s="870"/>
    </row>
    <row r="6" spans="1:15" s="1" customFormat="1" x14ac:dyDescent="0.2">
      <c r="A6" s="871" t="s">
        <v>114</v>
      </c>
      <c r="B6" s="872"/>
      <c r="C6" s="872"/>
      <c r="D6" s="868" t="s">
        <v>10</v>
      </c>
      <c r="E6" s="868"/>
      <c r="F6" s="868"/>
      <c r="G6" s="871" t="s">
        <v>115</v>
      </c>
      <c r="H6" s="871"/>
      <c r="I6" s="2" t="s">
        <v>116</v>
      </c>
      <c r="J6" s="888"/>
      <c r="K6" s="888"/>
      <c r="L6" s="888"/>
      <c r="M6" s="888"/>
      <c r="N6" s="888"/>
      <c r="O6" s="889"/>
    </row>
    <row r="7" spans="1:15" s="1" customFormat="1" ht="13.5" thickBot="1" x14ac:dyDescent="0.25">
      <c r="A7" s="3"/>
      <c r="B7" s="4"/>
      <c r="C7" s="5"/>
      <c r="D7" s="6"/>
      <c r="E7" s="6"/>
      <c r="F7" s="6"/>
      <c r="G7" s="6"/>
      <c r="H7" s="6"/>
      <c r="I7" s="6"/>
      <c r="J7" s="7"/>
      <c r="K7" s="8"/>
      <c r="L7" s="875" t="s">
        <v>223</v>
      </c>
      <c r="M7" s="875"/>
      <c r="N7" s="875"/>
      <c r="O7" s="875"/>
    </row>
    <row r="8" spans="1:15" s="11" customFormat="1" x14ac:dyDescent="0.2">
      <c r="A8" s="876" t="str">
        <f>I1</f>
        <v>Mr.U.C.Pradhan</v>
      </c>
      <c r="B8" s="877"/>
      <c r="C8" s="144">
        <v>43160</v>
      </c>
      <c r="D8" s="144">
        <v>43191</v>
      </c>
      <c r="E8" s="144">
        <v>43221</v>
      </c>
      <c r="F8" s="144">
        <v>43252</v>
      </c>
      <c r="G8" s="144">
        <v>43282</v>
      </c>
      <c r="H8" s="144">
        <v>43313</v>
      </c>
      <c r="I8" s="144">
        <v>43344</v>
      </c>
      <c r="J8" s="144">
        <v>43374</v>
      </c>
      <c r="K8" s="144">
        <v>43405</v>
      </c>
      <c r="L8" s="144">
        <v>43435</v>
      </c>
      <c r="M8" s="144">
        <v>43466</v>
      </c>
      <c r="N8" s="144">
        <v>43497</v>
      </c>
      <c r="O8" s="10" t="s">
        <v>117</v>
      </c>
    </row>
    <row r="9" spans="1:15" ht="15" x14ac:dyDescent="0.2">
      <c r="A9" s="12"/>
      <c r="B9" s="13" t="s">
        <v>118</v>
      </c>
      <c r="C9" s="14">
        <v>101700</v>
      </c>
      <c r="D9" s="14">
        <v>101700</v>
      </c>
      <c r="E9" s="14">
        <v>101700</v>
      </c>
      <c r="F9" s="14">
        <v>101700</v>
      </c>
      <c r="G9" s="14">
        <v>104800</v>
      </c>
      <c r="H9" s="14">
        <v>104800</v>
      </c>
      <c r="I9" s="14">
        <v>104800</v>
      </c>
      <c r="J9" s="14">
        <v>104800</v>
      </c>
      <c r="K9" s="14">
        <v>104800</v>
      </c>
      <c r="L9" s="14">
        <v>104800</v>
      </c>
      <c r="M9" s="14">
        <v>104800</v>
      </c>
      <c r="N9" s="14">
        <v>104800</v>
      </c>
      <c r="O9" s="15">
        <f t="shared" ref="O9:O50" si="0">SUM(C9:N9)</f>
        <v>1245200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 t="shared" si="0"/>
        <v>0</v>
      </c>
    </row>
    <row r="11" spans="1:15" ht="15" x14ac:dyDescent="0.2">
      <c r="A11" s="12"/>
      <c r="B11" s="13" t="s">
        <v>120</v>
      </c>
      <c r="C11" s="17">
        <v>5085</v>
      </c>
      <c r="D11" s="17">
        <v>5085</v>
      </c>
      <c r="E11" s="17">
        <v>7119</v>
      </c>
      <c r="F11" s="17">
        <v>7119</v>
      </c>
      <c r="G11" s="17">
        <v>7336</v>
      </c>
      <c r="H11" s="17">
        <v>7336</v>
      </c>
      <c r="I11" s="17">
        <v>7336</v>
      </c>
      <c r="J11" s="17">
        <v>9432</v>
      </c>
      <c r="K11" s="17">
        <v>9432</v>
      </c>
      <c r="L11" s="17">
        <v>9432</v>
      </c>
      <c r="M11" s="17">
        <v>9432</v>
      </c>
      <c r="N11" s="17">
        <v>9432</v>
      </c>
      <c r="O11" s="18">
        <f t="shared" si="0"/>
        <v>93576</v>
      </c>
    </row>
    <row r="12" spans="1:15"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 t="shared" si="0"/>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si="0"/>
        <v>0</v>
      </c>
    </row>
    <row r="14" spans="1:15" ht="15" x14ac:dyDescent="0.2">
      <c r="A14" s="12"/>
      <c r="B14" s="13" t="s">
        <v>123</v>
      </c>
      <c r="C14" s="17">
        <v>3780</v>
      </c>
      <c r="D14" s="17">
        <v>3780</v>
      </c>
      <c r="E14" s="17">
        <v>3852</v>
      </c>
      <c r="F14" s="17">
        <v>3852</v>
      </c>
      <c r="G14" s="17">
        <v>3924</v>
      </c>
      <c r="H14" s="17">
        <v>3924</v>
      </c>
      <c r="I14" s="17">
        <v>3924</v>
      </c>
      <c r="J14" s="17">
        <v>7848</v>
      </c>
      <c r="K14" s="17">
        <v>7848</v>
      </c>
      <c r="L14" s="17">
        <v>7848</v>
      </c>
      <c r="M14" s="17">
        <v>7848</v>
      </c>
      <c r="N14" s="17">
        <v>7848</v>
      </c>
      <c r="O14" s="18">
        <f t="shared" si="0"/>
        <v>66276</v>
      </c>
    </row>
    <row r="15" spans="1:15"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0</v>
      </c>
      <c r="D19" s="17">
        <v>0</v>
      </c>
      <c r="E19" s="17">
        <v>0</v>
      </c>
      <c r="F19" s="17">
        <v>0</v>
      </c>
      <c r="G19" s="17">
        <v>0</v>
      </c>
      <c r="H19" s="17">
        <v>0</v>
      </c>
      <c r="I19" s="17">
        <v>0</v>
      </c>
      <c r="J19" s="17">
        <v>25152</v>
      </c>
      <c r="K19" s="17">
        <v>25152</v>
      </c>
      <c r="L19" s="17">
        <v>25152</v>
      </c>
      <c r="M19" s="17">
        <v>25152</v>
      </c>
      <c r="N19" s="17">
        <v>25152</v>
      </c>
      <c r="O19" s="18">
        <f t="shared" si="0"/>
        <v>125760</v>
      </c>
    </row>
    <row r="20" spans="1:15" ht="15" customHeight="1" x14ac:dyDescent="0.2">
      <c r="A20" s="12"/>
      <c r="B20" s="13" t="s">
        <v>141</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78"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79"/>
      <c r="B22" s="19" t="s">
        <v>132</v>
      </c>
      <c r="C22" s="17">
        <v>0</v>
      </c>
      <c r="D22" s="17">
        <v>0</v>
      </c>
      <c r="E22" s="17">
        <v>0</v>
      </c>
      <c r="F22" s="17">
        <v>0</v>
      </c>
      <c r="G22" s="17">
        <v>0</v>
      </c>
      <c r="H22" s="17">
        <v>0</v>
      </c>
      <c r="I22" s="17">
        <v>0</v>
      </c>
      <c r="J22" s="17">
        <v>0</v>
      </c>
      <c r="K22" s="17">
        <v>0</v>
      </c>
      <c r="L22" s="17">
        <v>0</v>
      </c>
      <c r="M22" s="17">
        <v>0</v>
      </c>
      <c r="N22" s="17">
        <v>0</v>
      </c>
      <c r="O22" s="18">
        <f t="shared" si="0"/>
        <v>0</v>
      </c>
    </row>
    <row r="23" spans="1:15" ht="15" hidden="1" customHeight="1" x14ac:dyDescent="0.2">
      <c r="A23" s="879"/>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79"/>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79"/>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79"/>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79"/>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79"/>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79"/>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79"/>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79"/>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79"/>
      <c r="B32" s="21" t="s">
        <v>142</v>
      </c>
      <c r="C32" s="17">
        <v>0</v>
      </c>
      <c r="D32" s="17">
        <v>0</v>
      </c>
      <c r="E32" s="17">
        <v>0</v>
      </c>
      <c r="F32" s="17">
        <v>0</v>
      </c>
      <c r="G32" s="17">
        <v>0</v>
      </c>
      <c r="H32" s="17">
        <v>0</v>
      </c>
      <c r="I32" s="17">
        <v>0</v>
      </c>
      <c r="J32" s="17">
        <v>0</v>
      </c>
      <c r="K32" s="17">
        <v>0</v>
      </c>
      <c r="L32" s="17">
        <v>0</v>
      </c>
      <c r="M32" s="17">
        <v>0</v>
      </c>
      <c r="N32" s="17">
        <v>0</v>
      </c>
      <c r="O32" s="18">
        <f t="shared" si="0"/>
        <v>0</v>
      </c>
    </row>
    <row r="33" spans="1:16" ht="15" hidden="1" customHeight="1" x14ac:dyDescent="0.2">
      <c r="A33" s="880"/>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865" t="s">
        <v>144</v>
      </c>
      <c r="B34" s="866"/>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865" t="s">
        <v>145</v>
      </c>
      <c r="B35" s="866"/>
      <c r="C35" s="17">
        <v>0</v>
      </c>
      <c r="D35" s="17">
        <v>0</v>
      </c>
      <c r="E35" s="17">
        <v>0</v>
      </c>
      <c r="F35" s="17">
        <v>0</v>
      </c>
      <c r="G35" s="17">
        <v>0</v>
      </c>
      <c r="H35" s="17">
        <v>0</v>
      </c>
      <c r="I35" s="17">
        <v>0</v>
      </c>
      <c r="J35" s="17">
        <v>0</v>
      </c>
      <c r="K35" s="17">
        <v>0</v>
      </c>
      <c r="L35" s="17">
        <v>0</v>
      </c>
      <c r="M35" s="17">
        <v>0</v>
      </c>
      <c r="N35" s="17">
        <v>0</v>
      </c>
      <c r="O35" s="18">
        <f t="shared" si="0"/>
        <v>0</v>
      </c>
    </row>
    <row r="36" spans="1:16" ht="15" customHeight="1" x14ac:dyDescent="0.2">
      <c r="A36" s="865" t="s">
        <v>146</v>
      </c>
      <c r="B36" s="866"/>
      <c r="C36" s="17">
        <v>0</v>
      </c>
      <c r="D36" s="17">
        <v>6318</v>
      </c>
      <c r="E36" s="17">
        <v>0</v>
      </c>
      <c r="F36" s="17">
        <v>0</v>
      </c>
      <c r="G36" s="17">
        <v>0</v>
      </c>
      <c r="H36" s="17">
        <v>0</v>
      </c>
      <c r="I36" s="17">
        <v>4336</v>
      </c>
      <c r="J36" s="17">
        <v>0</v>
      </c>
      <c r="K36" s="17">
        <v>0</v>
      </c>
      <c r="L36" s="17">
        <v>0</v>
      </c>
      <c r="M36" s="17">
        <v>0</v>
      </c>
      <c r="N36" s="17">
        <v>0</v>
      </c>
      <c r="O36" s="18">
        <f t="shared" si="0"/>
        <v>10654</v>
      </c>
    </row>
    <row r="37" spans="1:16" ht="15" customHeight="1" x14ac:dyDescent="0.2">
      <c r="A37" s="22"/>
      <c r="B37" s="23" t="s">
        <v>147</v>
      </c>
      <c r="C37" s="24">
        <f t="shared" ref="C37:N37" si="1">SUM(C9:C36)</f>
        <v>110565</v>
      </c>
      <c r="D37" s="24">
        <f t="shared" si="1"/>
        <v>116883</v>
      </c>
      <c r="E37" s="24">
        <f t="shared" si="1"/>
        <v>112671</v>
      </c>
      <c r="F37" s="24">
        <f t="shared" si="1"/>
        <v>112671</v>
      </c>
      <c r="G37" s="24">
        <f t="shared" si="1"/>
        <v>116060</v>
      </c>
      <c r="H37" s="24">
        <f t="shared" si="1"/>
        <v>116060</v>
      </c>
      <c r="I37" s="24">
        <f t="shared" si="1"/>
        <v>120396</v>
      </c>
      <c r="J37" s="24">
        <f t="shared" si="1"/>
        <v>147232</v>
      </c>
      <c r="K37" s="24">
        <f t="shared" si="1"/>
        <v>147232</v>
      </c>
      <c r="L37" s="24">
        <f t="shared" si="1"/>
        <v>147232</v>
      </c>
      <c r="M37" s="24">
        <f t="shared" si="1"/>
        <v>147232</v>
      </c>
      <c r="N37" s="24">
        <f t="shared" si="1"/>
        <v>147232</v>
      </c>
      <c r="O37" s="25">
        <f t="shared" si="0"/>
        <v>1541466</v>
      </c>
    </row>
    <row r="38" spans="1:16" ht="15" customHeight="1" x14ac:dyDescent="0.2">
      <c r="A38" s="853" t="s">
        <v>148</v>
      </c>
      <c r="B38" s="27" t="s">
        <v>149</v>
      </c>
      <c r="C38" s="147">
        <v>12000</v>
      </c>
      <c r="D38" s="147">
        <v>12000</v>
      </c>
      <c r="E38" s="147">
        <v>12000</v>
      </c>
      <c r="F38" s="147">
        <v>12000</v>
      </c>
      <c r="G38" s="147">
        <v>12000</v>
      </c>
      <c r="H38" s="147">
        <v>12000</v>
      </c>
      <c r="I38" s="147">
        <v>12000</v>
      </c>
      <c r="J38" s="147">
        <v>14000</v>
      </c>
      <c r="K38" s="147">
        <v>5000</v>
      </c>
      <c r="L38" s="147">
        <v>15200</v>
      </c>
      <c r="M38" s="147">
        <v>15200</v>
      </c>
      <c r="N38" s="147">
        <v>34585</v>
      </c>
      <c r="O38" s="18">
        <f t="shared" si="0"/>
        <v>167985</v>
      </c>
      <c r="P38" s="29"/>
    </row>
    <row r="39" spans="1:16" ht="15" x14ac:dyDescent="0.2">
      <c r="A39" s="854"/>
      <c r="B39" s="27" t="s">
        <v>150</v>
      </c>
      <c r="C39" s="147">
        <v>0</v>
      </c>
      <c r="D39" s="147">
        <v>0</v>
      </c>
      <c r="E39" s="147">
        <v>0</v>
      </c>
      <c r="F39" s="147">
        <v>0</v>
      </c>
      <c r="G39" s="147">
        <v>0</v>
      </c>
      <c r="H39" s="147">
        <v>0</v>
      </c>
      <c r="I39" s="147">
        <v>0</v>
      </c>
      <c r="J39" s="147">
        <v>0</v>
      </c>
      <c r="K39" s="147">
        <v>0</v>
      </c>
      <c r="L39" s="147">
        <v>0</v>
      </c>
      <c r="M39" s="147">
        <v>0</v>
      </c>
      <c r="N39" s="147">
        <v>0</v>
      </c>
      <c r="O39" s="18">
        <f t="shared" si="0"/>
        <v>0</v>
      </c>
    </row>
    <row r="40" spans="1:16" ht="15" x14ac:dyDescent="0.2">
      <c r="A40" s="854"/>
      <c r="B40" s="27" t="s">
        <v>151</v>
      </c>
      <c r="C40" s="147">
        <v>60</v>
      </c>
      <c r="D40" s="147">
        <v>60</v>
      </c>
      <c r="E40" s="147">
        <v>60</v>
      </c>
      <c r="F40" s="147">
        <v>60</v>
      </c>
      <c r="G40" s="147">
        <v>60</v>
      </c>
      <c r="H40" s="147">
        <v>60</v>
      </c>
      <c r="I40" s="147">
        <v>60</v>
      </c>
      <c r="J40" s="147">
        <v>60</v>
      </c>
      <c r="K40" s="147">
        <v>60</v>
      </c>
      <c r="L40" s="147">
        <v>60</v>
      </c>
      <c r="M40" s="147">
        <v>60</v>
      </c>
      <c r="N40" s="147">
        <v>60</v>
      </c>
      <c r="O40" s="18">
        <f t="shared" si="0"/>
        <v>720</v>
      </c>
    </row>
    <row r="41" spans="1:16" ht="15" x14ac:dyDescent="0.2">
      <c r="A41" s="854"/>
      <c r="B41" s="27" t="s">
        <v>152</v>
      </c>
      <c r="C41" s="147">
        <v>0</v>
      </c>
      <c r="D41" s="147">
        <v>0</v>
      </c>
      <c r="E41" s="147">
        <v>0</v>
      </c>
      <c r="F41" s="147">
        <v>0</v>
      </c>
      <c r="G41" s="147">
        <v>0</v>
      </c>
      <c r="H41" s="147">
        <v>0</v>
      </c>
      <c r="I41" s="147">
        <v>0</v>
      </c>
      <c r="J41" s="147">
        <v>0</v>
      </c>
      <c r="K41" s="147">
        <v>0</v>
      </c>
      <c r="L41" s="147">
        <v>0</v>
      </c>
      <c r="M41" s="147">
        <v>0</v>
      </c>
      <c r="N41" s="147">
        <v>0</v>
      </c>
      <c r="O41" s="18">
        <f t="shared" si="0"/>
        <v>0</v>
      </c>
    </row>
    <row r="42" spans="1:16" ht="15" x14ac:dyDescent="0.2">
      <c r="A42" s="854"/>
      <c r="B42" s="27" t="s">
        <v>153</v>
      </c>
      <c r="C42" s="147">
        <v>0</v>
      </c>
      <c r="D42" s="147">
        <v>0</v>
      </c>
      <c r="E42" s="147">
        <v>0</v>
      </c>
      <c r="F42" s="147">
        <v>0</v>
      </c>
      <c r="G42" s="147">
        <v>0</v>
      </c>
      <c r="H42" s="147">
        <v>0</v>
      </c>
      <c r="I42" s="147">
        <v>0</v>
      </c>
      <c r="J42" s="147">
        <v>0</v>
      </c>
      <c r="K42" s="147">
        <v>0</v>
      </c>
      <c r="L42" s="147">
        <v>0</v>
      </c>
      <c r="M42" s="147">
        <v>0</v>
      </c>
      <c r="N42" s="147">
        <v>0</v>
      </c>
      <c r="O42" s="18">
        <f t="shared" si="0"/>
        <v>0</v>
      </c>
    </row>
    <row r="43" spans="1:16" ht="15" x14ac:dyDescent="0.2">
      <c r="A43" s="854"/>
      <c r="B43" s="27" t="s">
        <v>154</v>
      </c>
      <c r="C43" s="147">
        <v>20000</v>
      </c>
      <c r="D43" s="147">
        <v>20000</v>
      </c>
      <c r="E43" s="147">
        <v>20000</v>
      </c>
      <c r="F43" s="147">
        <v>20000</v>
      </c>
      <c r="G43" s="147">
        <v>20000</v>
      </c>
      <c r="H43" s="147">
        <v>20000</v>
      </c>
      <c r="I43" s="147">
        <v>20000</v>
      </c>
      <c r="J43" s="147">
        <v>20000</v>
      </c>
      <c r="K43" s="147">
        <v>20000</v>
      </c>
      <c r="L43" s="147">
        <v>20000</v>
      </c>
      <c r="M43" s="147">
        <v>20000</v>
      </c>
      <c r="N43" s="147">
        <v>20000</v>
      </c>
      <c r="O43" s="18">
        <f t="shared" si="0"/>
        <v>240000</v>
      </c>
      <c r="P43" s="170"/>
    </row>
    <row r="44" spans="1:16" ht="15" x14ac:dyDescent="0.2">
      <c r="A44" s="854"/>
      <c r="B44" s="27" t="s">
        <v>155</v>
      </c>
      <c r="C44" s="147">
        <v>200</v>
      </c>
      <c r="D44" s="147">
        <v>200</v>
      </c>
      <c r="E44" s="147">
        <v>200</v>
      </c>
      <c r="F44" s="147">
        <v>200</v>
      </c>
      <c r="G44" s="147">
        <v>200</v>
      </c>
      <c r="H44" s="147">
        <v>200</v>
      </c>
      <c r="I44" s="147">
        <v>200</v>
      </c>
      <c r="J44" s="147">
        <v>200</v>
      </c>
      <c r="K44" s="147">
        <v>200</v>
      </c>
      <c r="L44" s="147">
        <v>200</v>
      </c>
      <c r="M44" s="147">
        <v>200</v>
      </c>
      <c r="N44" s="147">
        <v>300</v>
      </c>
      <c r="O44" s="18">
        <f t="shared" si="0"/>
        <v>2500</v>
      </c>
    </row>
    <row r="45" spans="1:16" ht="15" x14ac:dyDescent="0.2">
      <c r="A45" s="854"/>
      <c r="B45" s="27" t="s">
        <v>156</v>
      </c>
      <c r="C45" s="147">
        <v>0</v>
      </c>
      <c r="D45" s="147">
        <v>0</v>
      </c>
      <c r="E45" s="147">
        <v>0</v>
      </c>
      <c r="F45" s="147">
        <v>0</v>
      </c>
      <c r="G45" s="147">
        <v>0</v>
      </c>
      <c r="H45" s="147">
        <v>0</v>
      </c>
      <c r="I45" s="147">
        <v>0</v>
      </c>
      <c r="J45" s="147">
        <v>0</v>
      </c>
      <c r="K45" s="147">
        <v>0</v>
      </c>
      <c r="L45" s="147">
        <v>0</v>
      </c>
      <c r="M45" s="147">
        <v>0</v>
      </c>
      <c r="N45" s="147">
        <v>0</v>
      </c>
      <c r="O45" s="18">
        <f t="shared" si="0"/>
        <v>0</v>
      </c>
    </row>
    <row r="46" spans="1:16" ht="15" x14ac:dyDescent="0.2">
      <c r="A46" s="854"/>
      <c r="B46" s="27" t="s">
        <v>157</v>
      </c>
      <c r="C46" s="147">
        <v>0</v>
      </c>
      <c r="D46" s="147">
        <v>0</v>
      </c>
      <c r="E46" s="147">
        <v>0</v>
      </c>
      <c r="F46" s="147">
        <v>0</v>
      </c>
      <c r="G46" s="147">
        <v>0</v>
      </c>
      <c r="H46" s="147">
        <v>0</v>
      </c>
      <c r="I46" s="147">
        <v>0</v>
      </c>
      <c r="J46" s="147">
        <v>0</v>
      </c>
      <c r="K46" s="147">
        <v>0</v>
      </c>
      <c r="L46" s="147">
        <v>0</v>
      </c>
      <c r="M46" s="147">
        <v>0</v>
      </c>
      <c r="N46" s="147">
        <v>0</v>
      </c>
      <c r="O46" s="18">
        <f t="shared" si="0"/>
        <v>0</v>
      </c>
    </row>
    <row r="47" spans="1:16" ht="28.5" customHeight="1" x14ac:dyDescent="0.2">
      <c r="A47" s="855"/>
      <c r="B47" s="30" t="s">
        <v>158</v>
      </c>
      <c r="C47" s="147">
        <v>0</v>
      </c>
      <c r="D47" s="147">
        <v>0</v>
      </c>
      <c r="E47" s="147">
        <v>0</v>
      </c>
      <c r="F47" s="147">
        <v>0</v>
      </c>
      <c r="G47" s="147">
        <v>0</v>
      </c>
      <c r="H47" s="147">
        <v>0</v>
      </c>
      <c r="I47" s="147">
        <v>0</v>
      </c>
      <c r="J47" s="147">
        <v>0</v>
      </c>
      <c r="K47" s="147">
        <v>0</v>
      </c>
      <c r="L47" s="147">
        <v>0</v>
      </c>
      <c r="M47" s="147">
        <v>0</v>
      </c>
      <c r="N47" s="147">
        <v>0</v>
      </c>
      <c r="O47" s="31">
        <f t="shared" si="0"/>
        <v>0</v>
      </c>
    </row>
    <row r="48" spans="1:16" ht="23.25" x14ac:dyDescent="0.2">
      <c r="A48" s="856"/>
      <c r="B48" s="160" t="s">
        <v>1156</v>
      </c>
      <c r="C48" s="147">
        <v>0</v>
      </c>
      <c r="D48" s="147">
        <v>0</v>
      </c>
      <c r="E48" s="147">
        <v>0</v>
      </c>
      <c r="F48" s="147">
        <v>0</v>
      </c>
      <c r="G48" s="147">
        <v>0</v>
      </c>
      <c r="H48" s="147">
        <v>0</v>
      </c>
      <c r="I48" s="147">
        <v>0</v>
      </c>
      <c r="J48" s="147">
        <v>0</v>
      </c>
      <c r="K48" s="147">
        <v>0</v>
      </c>
      <c r="L48" s="147">
        <v>0</v>
      </c>
      <c r="M48" s="147">
        <v>0</v>
      </c>
      <c r="N48" s="147">
        <v>0</v>
      </c>
      <c r="O48" s="31">
        <f t="shared" si="0"/>
        <v>0</v>
      </c>
    </row>
    <row r="49" spans="1:18" ht="15" x14ac:dyDescent="0.2">
      <c r="A49" s="857" t="s">
        <v>160</v>
      </c>
      <c r="B49" s="858"/>
      <c r="C49" s="33">
        <f t="shared" ref="C49:N49" si="2">SUM(C37:C48)</f>
        <v>142825</v>
      </c>
      <c r="D49" s="33">
        <f t="shared" si="2"/>
        <v>149143</v>
      </c>
      <c r="E49" s="33">
        <f t="shared" si="2"/>
        <v>144931</v>
      </c>
      <c r="F49" s="33">
        <f t="shared" si="2"/>
        <v>144931</v>
      </c>
      <c r="G49" s="33">
        <f t="shared" si="2"/>
        <v>148320</v>
      </c>
      <c r="H49" s="33">
        <f t="shared" si="2"/>
        <v>148320</v>
      </c>
      <c r="I49" s="33">
        <f t="shared" si="2"/>
        <v>152656</v>
      </c>
      <c r="J49" s="33">
        <f t="shared" si="2"/>
        <v>181492</v>
      </c>
      <c r="K49" s="33">
        <f t="shared" si="2"/>
        <v>172492</v>
      </c>
      <c r="L49" s="33">
        <f t="shared" si="2"/>
        <v>182692</v>
      </c>
      <c r="M49" s="33">
        <f t="shared" si="2"/>
        <v>182692</v>
      </c>
      <c r="N49" s="33">
        <f t="shared" si="2"/>
        <v>202177</v>
      </c>
      <c r="O49" s="34">
        <f t="shared" si="0"/>
        <v>1952671</v>
      </c>
    </row>
    <row r="50" spans="1:18" ht="15.75" thickBot="1" x14ac:dyDescent="0.25">
      <c r="A50" s="859" t="s">
        <v>161</v>
      </c>
      <c r="B50" s="860"/>
      <c r="C50" s="35">
        <f t="shared" ref="C50:N50" si="3">C37-C49</f>
        <v>-32260</v>
      </c>
      <c r="D50" s="35">
        <f t="shared" si="3"/>
        <v>-32260</v>
      </c>
      <c r="E50" s="35">
        <f t="shared" si="3"/>
        <v>-32260</v>
      </c>
      <c r="F50" s="35">
        <f t="shared" si="3"/>
        <v>-32260</v>
      </c>
      <c r="G50" s="35">
        <f t="shared" si="3"/>
        <v>-32260</v>
      </c>
      <c r="H50" s="35">
        <f t="shared" si="3"/>
        <v>-32260</v>
      </c>
      <c r="I50" s="35">
        <f t="shared" si="3"/>
        <v>-32260</v>
      </c>
      <c r="J50" s="35">
        <f t="shared" si="3"/>
        <v>-34260</v>
      </c>
      <c r="K50" s="35">
        <f t="shared" si="3"/>
        <v>-25260</v>
      </c>
      <c r="L50" s="35">
        <f t="shared" si="3"/>
        <v>-35460</v>
      </c>
      <c r="M50" s="35">
        <f t="shared" si="3"/>
        <v>-35460</v>
      </c>
      <c r="N50" s="35">
        <f t="shared" si="3"/>
        <v>-54945</v>
      </c>
      <c r="O50" s="36">
        <f t="shared" si="0"/>
        <v>-411205</v>
      </c>
      <c r="Q50" s="16">
        <f>15681+15381+3832+16229+16349+17321*2+2300+17321+3690+3454+18551+18176*3+18076</f>
        <v>220034</v>
      </c>
    </row>
    <row r="51" spans="1:18" x14ac:dyDescent="0.2">
      <c r="J51" s="409">
        <f>+J37-SUM(J22:J36)</f>
        <v>147232</v>
      </c>
    </row>
    <row r="52" spans="1:18" ht="13.5" thickBot="1" x14ac:dyDescent="0.25">
      <c r="J52" s="38">
        <f>+J51-J49</f>
        <v>-34260</v>
      </c>
    </row>
    <row r="53" spans="1:18" ht="13.5" thickBot="1" x14ac:dyDescent="0.25">
      <c r="B53" s="789" t="s">
        <v>162</v>
      </c>
      <c r="C53" s="861"/>
      <c r="D53" s="861"/>
      <c r="E53" s="861"/>
      <c r="F53" s="862"/>
      <c r="G53" s="863">
        <f>O37</f>
        <v>1541466</v>
      </c>
      <c r="H53" s="864"/>
    </row>
    <row r="54" spans="1:18" ht="13.5" thickBot="1" x14ac:dyDescent="0.25"/>
    <row r="55" spans="1:18" x14ac:dyDescent="0.2">
      <c r="B55" s="830" t="s">
        <v>163</v>
      </c>
      <c r="C55" s="833" t="s">
        <v>164</v>
      </c>
      <c r="D55" s="836" t="s">
        <v>811</v>
      </c>
      <c r="E55" s="837"/>
      <c r="F55" s="838"/>
      <c r="G55" s="839">
        <v>40000</v>
      </c>
      <c r="H55" s="840"/>
    </row>
    <row r="56" spans="1:18" x14ac:dyDescent="0.2">
      <c r="B56" s="831"/>
      <c r="C56" s="834"/>
      <c r="D56" s="841" t="s">
        <v>166</v>
      </c>
      <c r="E56" s="842"/>
      <c r="F56" s="843"/>
      <c r="G56" s="844">
        <f>+O44</f>
        <v>2500</v>
      </c>
      <c r="H56" s="845"/>
      <c r="I56" s="39"/>
      <c r="J56" s="846"/>
      <c r="K56" s="846"/>
      <c r="L56" s="846"/>
      <c r="M56" s="847"/>
      <c r="N56" s="847"/>
      <c r="O56" s="847"/>
    </row>
    <row r="57" spans="1:18" ht="13.5" thickBot="1" x14ac:dyDescent="0.25">
      <c r="B57" s="832"/>
      <c r="C57" s="835"/>
      <c r="D57" s="848" t="s">
        <v>266</v>
      </c>
      <c r="E57" s="849"/>
      <c r="F57" s="850"/>
      <c r="G57" s="851">
        <v>0</v>
      </c>
      <c r="H57" s="852"/>
      <c r="J57" s="47"/>
      <c r="K57" s="47"/>
      <c r="L57" s="47"/>
      <c r="M57" s="47"/>
      <c r="N57" s="47"/>
      <c r="O57" s="47"/>
    </row>
    <row r="58" spans="1:18" ht="13.5" thickBot="1" x14ac:dyDescent="0.25">
      <c r="B58" s="48"/>
      <c r="J58" s="47"/>
      <c r="K58" s="47"/>
      <c r="L58" s="47"/>
      <c r="M58" s="47"/>
      <c r="N58" s="47"/>
      <c r="O58" s="47"/>
    </row>
    <row r="59" spans="1:18" ht="13.5" thickBot="1" x14ac:dyDescent="0.25">
      <c r="B59" s="789" t="s">
        <v>168</v>
      </c>
      <c r="C59" s="790"/>
      <c r="D59" s="790"/>
      <c r="E59" s="790"/>
      <c r="F59" s="791"/>
      <c r="G59" s="825">
        <f>+G53-SUM(G55:H57)</f>
        <v>1498966</v>
      </c>
      <c r="H59" s="826"/>
      <c r="J59" s="827" t="s">
        <v>169</v>
      </c>
      <c r="K59" s="828"/>
      <c r="L59" s="828"/>
      <c r="M59" s="828"/>
      <c r="N59" s="828"/>
      <c r="O59" s="829"/>
    </row>
    <row r="60" spans="1:18" ht="13.5" thickBot="1" x14ac:dyDescent="0.25">
      <c r="B60" s="49"/>
      <c r="C60" s="50"/>
      <c r="D60" s="50"/>
      <c r="E60" s="50"/>
      <c r="F60" s="50"/>
      <c r="G60" s="45"/>
      <c r="H60" s="50"/>
      <c r="J60" s="129"/>
      <c r="K60" s="130"/>
      <c r="L60" s="130"/>
      <c r="M60" s="130"/>
      <c r="N60" s="130"/>
      <c r="O60" s="131"/>
    </row>
    <row r="61" spans="1:18" ht="13.5" thickBot="1" x14ac:dyDescent="0.25">
      <c r="B61" s="789" t="s">
        <v>170</v>
      </c>
      <c r="C61" s="790"/>
      <c r="D61" s="790"/>
      <c r="E61" s="790"/>
      <c r="F61" s="791"/>
      <c r="G61" s="805"/>
      <c r="H61" s="791"/>
      <c r="J61" s="129"/>
      <c r="K61" s="130"/>
      <c r="L61" s="130"/>
      <c r="M61" s="130"/>
      <c r="N61" s="130"/>
      <c r="O61" s="131"/>
    </row>
    <row r="62" spans="1:18" ht="12.75" customHeight="1" x14ac:dyDescent="0.2">
      <c r="B62" s="57" t="s">
        <v>171</v>
      </c>
      <c r="C62" s="806" t="s">
        <v>172</v>
      </c>
      <c r="D62" s="807"/>
      <c r="E62" s="807"/>
      <c r="F62" s="808"/>
      <c r="G62" s="809">
        <v>232316</v>
      </c>
      <c r="H62" s="809"/>
      <c r="I62" s="58"/>
      <c r="J62" s="810" t="s">
        <v>173</v>
      </c>
      <c r="K62" s="811"/>
      <c r="L62" s="811"/>
      <c r="M62" s="811"/>
      <c r="N62" s="811"/>
      <c r="O62" s="812"/>
      <c r="Q62" s="59"/>
      <c r="R62" s="59"/>
    </row>
    <row r="63" spans="1:18" ht="13.5" thickBot="1" x14ac:dyDescent="0.25">
      <c r="D63" s="37"/>
      <c r="I63" s="58"/>
      <c r="J63" s="60" t="s">
        <v>254</v>
      </c>
      <c r="K63" s="132"/>
      <c r="L63" s="132"/>
      <c r="M63" s="133"/>
      <c r="N63" s="133"/>
      <c r="O63" s="134"/>
      <c r="Q63" s="59"/>
      <c r="R63" s="59"/>
    </row>
    <row r="64" spans="1:18" ht="13.5" thickBot="1" x14ac:dyDescent="0.25">
      <c r="B64" s="789" t="s">
        <v>175</v>
      </c>
      <c r="C64" s="790"/>
      <c r="D64" s="790"/>
      <c r="E64" s="790"/>
      <c r="F64" s="791"/>
      <c r="G64" s="805">
        <f>+G59-G62</f>
        <v>1266650</v>
      </c>
      <c r="H64" s="791"/>
      <c r="I64" s="63"/>
      <c r="J64" s="75"/>
      <c r="K64" s="39"/>
      <c r="L64" s="39"/>
      <c r="M64" s="39"/>
      <c r="N64" s="39"/>
      <c r="O64" s="65"/>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6.25" customHeight="1" thickBot="1" x14ac:dyDescent="0.25">
      <c r="B67" s="66"/>
      <c r="C67" s="48"/>
      <c r="G67" s="70" t="s">
        <v>177</v>
      </c>
      <c r="H67" s="70" t="s">
        <v>178</v>
      </c>
      <c r="I67" s="63"/>
      <c r="J67" s="810" t="s">
        <v>179</v>
      </c>
      <c r="K67" s="811"/>
      <c r="L67" s="71"/>
      <c r="M67" s="71"/>
      <c r="N67" s="71"/>
      <c r="O67" s="72"/>
      <c r="Q67" s="59"/>
      <c r="R67" s="59"/>
    </row>
    <row r="68" spans="2:18" ht="12.75" customHeight="1" x14ac:dyDescent="0.2">
      <c r="B68" s="802" t="s">
        <v>180</v>
      </c>
      <c r="C68" s="821" t="s">
        <v>181</v>
      </c>
      <c r="D68" s="823" t="s">
        <v>182</v>
      </c>
      <c r="E68" s="824"/>
      <c r="F68" s="824"/>
      <c r="G68" s="73">
        <f>+O43</f>
        <v>240000</v>
      </c>
      <c r="H68" s="74">
        <f t="shared" ref="H68:H76" si="4">+G68</f>
        <v>240000</v>
      </c>
      <c r="I68" s="63"/>
      <c r="J68" s="75" t="s">
        <v>231</v>
      </c>
      <c r="K68" s="58"/>
      <c r="L68" s="58"/>
      <c r="M68" s="58" t="s">
        <v>232</v>
      </c>
      <c r="N68" s="58" t="s">
        <v>233</v>
      </c>
      <c r="O68" s="76">
        <v>8988</v>
      </c>
      <c r="Q68" s="59"/>
      <c r="R68" s="59"/>
    </row>
    <row r="69" spans="2:18" ht="12.75" customHeight="1" x14ac:dyDescent="0.2">
      <c r="B69" s="803"/>
      <c r="C69" s="822"/>
      <c r="D69" s="782" t="s">
        <v>184</v>
      </c>
      <c r="E69" s="783"/>
      <c r="F69" s="783"/>
      <c r="G69" s="77">
        <f>+O47</f>
        <v>0</v>
      </c>
      <c r="H69" s="78">
        <f t="shared" si="4"/>
        <v>0</v>
      </c>
      <c r="I69" s="63"/>
      <c r="J69" s="79"/>
      <c r="K69" s="68"/>
      <c r="L69" s="68"/>
      <c r="M69" s="68"/>
      <c r="N69" s="68"/>
      <c r="O69" s="69"/>
      <c r="Q69" s="59"/>
      <c r="R69" s="59"/>
    </row>
    <row r="70" spans="2:18" ht="12.75" customHeight="1" x14ac:dyDescent="0.2">
      <c r="B70" s="803"/>
      <c r="C70" s="822"/>
      <c r="D70" s="819" t="s">
        <v>185</v>
      </c>
      <c r="E70" s="820"/>
      <c r="F70" s="820"/>
      <c r="G70" s="80">
        <f>O40</f>
        <v>720</v>
      </c>
      <c r="H70" s="78">
        <f t="shared" si="4"/>
        <v>720</v>
      </c>
      <c r="I70" s="63"/>
      <c r="J70" s="67"/>
      <c r="K70" s="68"/>
      <c r="L70" s="68"/>
      <c r="M70" s="68"/>
      <c r="N70" s="68"/>
      <c r="O70" s="69"/>
    </row>
    <row r="71" spans="2:18" x14ac:dyDescent="0.2">
      <c r="B71" s="803"/>
      <c r="C71" s="822"/>
      <c r="D71" s="782" t="s">
        <v>186</v>
      </c>
      <c r="E71" s="783"/>
      <c r="F71" s="783"/>
      <c r="G71" s="81">
        <v>0</v>
      </c>
      <c r="H71" s="78">
        <f t="shared" si="4"/>
        <v>0</v>
      </c>
      <c r="I71" s="63"/>
      <c r="J71" s="82" t="s">
        <v>187</v>
      </c>
      <c r="K71" s="71"/>
      <c r="L71" s="71"/>
      <c r="M71" s="71"/>
      <c r="N71" s="71"/>
      <c r="O71" s="72"/>
    </row>
    <row r="72" spans="2:18" ht="12.75" customHeight="1" x14ac:dyDescent="0.2">
      <c r="B72" s="803"/>
      <c r="C72" s="822"/>
      <c r="D72" s="784" t="s">
        <v>188</v>
      </c>
      <c r="E72" s="783"/>
      <c r="F72" s="783"/>
      <c r="G72" s="80">
        <v>0</v>
      </c>
      <c r="H72" s="78">
        <f t="shared" si="4"/>
        <v>0</v>
      </c>
      <c r="I72" s="63"/>
      <c r="J72" s="75" t="s">
        <v>189</v>
      </c>
      <c r="K72" s="50"/>
      <c r="L72" s="50"/>
      <c r="M72" s="50"/>
      <c r="N72" s="50"/>
      <c r="O72" s="83">
        <f>O42</f>
        <v>0</v>
      </c>
    </row>
    <row r="73" spans="2:18" ht="14.25" customHeight="1" x14ac:dyDescent="0.2">
      <c r="B73" s="803"/>
      <c r="C73" s="822"/>
      <c r="D73" s="782" t="s">
        <v>190</v>
      </c>
      <c r="E73" s="783"/>
      <c r="F73" s="783"/>
      <c r="G73" s="84">
        <v>0</v>
      </c>
      <c r="H73" s="78">
        <f t="shared" si="4"/>
        <v>0</v>
      </c>
      <c r="I73" s="63"/>
      <c r="J73" s="75" t="s">
        <v>1157</v>
      </c>
      <c r="K73" s="39"/>
      <c r="L73" s="39"/>
      <c r="M73" s="39"/>
      <c r="N73" s="39"/>
      <c r="O73" s="65">
        <v>10948</v>
      </c>
    </row>
    <row r="74" spans="2:18" x14ac:dyDescent="0.2">
      <c r="B74" s="803"/>
      <c r="C74" s="822"/>
      <c r="D74" s="784" t="s">
        <v>191</v>
      </c>
      <c r="E74" s="783"/>
      <c r="F74" s="783"/>
      <c r="G74" s="81">
        <v>373202</v>
      </c>
      <c r="H74" s="78">
        <f t="shared" si="4"/>
        <v>373202</v>
      </c>
      <c r="I74" s="58"/>
      <c r="J74" s="137" t="s">
        <v>1158</v>
      </c>
      <c r="K74" s="50"/>
      <c r="L74" s="50"/>
      <c r="M74" s="50"/>
      <c r="N74" s="50"/>
      <c r="O74" s="83"/>
    </row>
    <row r="75" spans="2:18" x14ac:dyDescent="0.2">
      <c r="B75" s="803"/>
      <c r="C75" s="88" t="s">
        <v>192</v>
      </c>
      <c r="D75" s="813" t="s">
        <v>193</v>
      </c>
      <c r="E75" s="814"/>
      <c r="F75" s="814"/>
      <c r="G75" s="80">
        <v>0</v>
      </c>
      <c r="H75" s="78">
        <f t="shared" si="4"/>
        <v>0</v>
      </c>
      <c r="I75" s="58"/>
      <c r="J75" s="85"/>
      <c r="K75" s="138"/>
      <c r="L75" s="138"/>
      <c r="M75" s="138"/>
      <c r="N75" s="138"/>
      <c r="O75" s="139"/>
    </row>
    <row r="76" spans="2:18" ht="13.5" customHeight="1" thickBot="1" x14ac:dyDescent="0.25">
      <c r="B76" s="803"/>
      <c r="C76" s="88" t="s">
        <v>194</v>
      </c>
      <c r="D76" s="815" t="s">
        <v>195</v>
      </c>
      <c r="E76" s="815"/>
      <c r="F76" s="815"/>
      <c r="G76" s="89">
        <v>0</v>
      </c>
      <c r="H76" s="90">
        <f t="shared" si="4"/>
        <v>0</v>
      </c>
      <c r="I76" s="63"/>
      <c r="J76" s="75"/>
      <c r="K76" s="68"/>
      <c r="L76" s="68"/>
      <c r="M76" s="91"/>
      <c r="N76" s="91"/>
      <c r="O76" s="92"/>
    </row>
    <row r="77" spans="2:18" ht="13.5" thickBot="1" x14ac:dyDescent="0.25">
      <c r="B77" s="803"/>
      <c r="C77" s="93"/>
      <c r="D77" s="94"/>
      <c r="E77" s="816" t="s">
        <v>117</v>
      </c>
      <c r="F77" s="817"/>
      <c r="G77" s="95">
        <f>SUM(G68:G76)</f>
        <v>613922</v>
      </c>
      <c r="H77" s="96">
        <f>IF(SUM(G68:G74)&lt;150000,SUM(G68:G74),150000)+IF(+G75&lt;20000,+G75,20000)</f>
        <v>150000</v>
      </c>
      <c r="I77" s="63"/>
      <c r="J77" s="140"/>
      <c r="K77" s="141"/>
      <c r="L77" s="141"/>
      <c r="M77" s="142"/>
      <c r="N77" s="142"/>
      <c r="O77" s="143"/>
    </row>
    <row r="78" spans="2:18" ht="12.75" customHeight="1" x14ac:dyDescent="0.2">
      <c r="B78" s="803"/>
      <c r="C78" s="100" t="s">
        <v>196</v>
      </c>
      <c r="D78" s="782" t="s">
        <v>187</v>
      </c>
      <c r="E78" s="783"/>
      <c r="F78" s="818"/>
      <c r="G78" s="73">
        <f>+O42+O73</f>
        <v>10948</v>
      </c>
      <c r="H78" s="101">
        <f>+IF(+G78&lt;25000,+G78,25000)</f>
        <v>10948</v>
      </c>
      <c r="I78" s="87"/>
    </row>
    <row r="79" spans="2:18" x14ac:dyDescent="0.2">
      <c r="B79" s="803"/>
      <c r="C79" s="100" t="s">
        <v>197</v>
      </c>
      <c r="D79" s="784" t="s">
        <v>198</v>
      </c>
      <c r="E79" s="785"/>
      <c r="F79" s="786"/>
      <c r="G79" s="102"/>
      <c r="H79" s="103">
        <f>+IF(+G79&lt;40000,+G79,40000)</f>
        <v>0</v>
      </c>
      <c r="I79" s="63"/>
    </row>
    <row r="80" spans="2:18" x14ac:dyDescent="0.2">
      <c r="B80" s="803"/>
      <c r="C80" s="100" t="s">
        <v>199</v>
      </c>
      <c r="D80" s="784" t="s">
        <v>200</v>
      </c>
      <c r="E80" s="785"/>
      <c r="F80" s="786"/>
      <c r="G80" s="81"/>
      <c r="H80" s="104">
        <v>0</v>
      </c>
      <c r="I80" s="63"/>
      <c r="J80" s="106"/>
    </row>
    <row r="81" spans="2:12" x14ac:dyDescent="0.2">
      <c r="B81" s="803"/>
      <c r="C81" s="100" t="s">
        <v>201</v>
      </c>
      <c r="D81" s="784" t="s">
        <v>202</v>
      </c>
      <c r="E81" s="785"/>
      <c r="F81" s="786"/>
      <c r="G81" s="81"/>
      <c r="H81" s="104">
        <v>0</v>
      </c>
      <c r="I81" s="63"/>
    </row>
    <row r="82" spans="2:12" ht="13.5" thickBot="1" x14ac:dyDescent="0.25">
      <c r="B82" s="804"/>
      <c r="C82" s="100" t="s">
        <v>203</v>
      </c>
      <c r="D82" s="784" t="s">
        <v>204</v>
      </c>
      <c r="E82" s="785"/>
      <c r="F82" s="786"/>
      <c r="G82" s="102"/>
      <c r="H82" s="103">
        <f>+IF(+G82&lt;100000,+G82,10000)</f>
        <v>0</v>
      </c>
      <c r="I82" s="63"/>
    </row>
    <row r="83" spans="2:12" ht="13.5" thickBot="1" x14ac:dyDescent="0.25">
      <c r="B83" s="787" t="s">
        <v>205</v>
      </c>
      <c r="C83" s="788"/>
      <c r="D83" s="788"/>
      <c r="E83" s="788"/>
      <c r="F83" s="788"/>
      <c r="G83" s="107">
        <f>SUM(G78:G82)</f>
        <v>10948</v>
      </c>
      <c r="H83" s="108">
        <f>SUM(H77:H82)</f>
        <v>160948</v>
      </c>
    </row>
    <row r="84" spans="2:12" ht="13.5" thickBot="1" x14ac:dyDescent="0.25"/>
    <row r="85" spans="2:12" ht="13.5" thickBot="1" x14ac:dyDescent="0.25">
      <c r="B85" s="789" t="s">
        <v>206</v>
      </c>
      <c r="C85" s="790"/>
      <c r="D85" s="790"/>
      <c r="E85" s="790"/>
      <c r="F85" s="791"/>
      <c r="G85" s="792">
        <f>+G64-H83</f>
        <v>1105702</v>
      </c>
      <c r="H85" s="791"/>
      <c r="J85" s="109">
        <f>C37+D37+E37+F37</f>
        <v>452790</v>
      </c>
      <c r="K85" s="16" t="s">
        <v>235</v>
      </c>
    </row>
    <row r="86" spans="2:12" x14ac:dyDescent="0.2">
      <c r="B86" s="110"/>
      <c r="F86" s="105"/>
      <c r="J86" s="109">
        <f>G37+H37+I37</f>
        <v>352516</v>
      </c>
      <c r="K86" s="16" t="s">
        <v>236</v>
      </c>
    </row>
    <row r="87" spans="2:12" x14ac:dyDescent="0.2">
      <c r="C87" s="793" t="s">
        <v>207</v>
      </c>
      <c r="D87" s="794"/>
      <c r="E87" s="111" t="s">
        <v>208</v>
      </c>
      <c r="F87" s="111" t="s">
        <v>209</v>
      </c>
      <c r="G87" s="111" t="s">
        <v>210</v>
      </c>
      <c r="H87" s="111" t="s">
        <v>211</v>
      </c>
      <c r="J87" s="109">
        <f>J37+K37+L37</f>
        <v>441696</v>
      </c>
      <c r="K87" s="47" t="s">
        <v>237</v>
      </c>
    </row>
    <row r="88" spans="2:12" x14ac:dyDescent="0.2">
      <c r="C88" s="795" t="str">
        <f>IF(I6="M","0          - 250000","0          -  250000")</f>
        <v>0          - 250000</v>
      </c>
      <c r="D88" s="796"/>
      <c r="E88" s="112">
        <v>0</v>
      </c>
      <c r="F88" s="113">
        <f>IF(I6="M",(IF(G85&lt;250000,G85,250000)),(IF(G85&lt;250000,G85,250000)))</f>
        <v>250000</v>
      </c>
      <c r="G88" s="113">
        <f>G85-F88</f>
        <v>855702</v>
      </c>
      <c r="H88" s="113">
        <f>E88*F88</f>
        <v>0</v>
      </c>
      <c r="J88" s="16">
        <f>M37+N37</f>
        <v>294464</v>
      </c>
      <c r="K88" s="1" t="s">
        <v>238</v>
      </c>
    </row>
    <row r="89" spans="2:12" x14ac:dyDescent="0.2">
      <c r="C89" s="795" t="str">
        <f>IF(I6="M","250001 - 500000","250001-500000")</f>
        <v>250001 - 500000</v>
      </c>
      <c r="D89" s="796"/>
      <c r="E89" s="112">
        <v>0.05</v>
      </c>
      <c r="F89" s="113">
        <f>IF(I6="M",(IF(G88&lt;250000,G88,250000)),(IF(G88&lt;250000,G88,250000)))</f>
        <v>250000</v>
      </c>
      <c r="G89" s="113">
        <f>G88-F89</f>
        <v>605702</v>
      </c>
      <c r="H89" s="114">
        <f>ROUND(E89*F89,0.1)</f>
        <v>12500</v>
      </c>
      <c r="J89" s="115">
        <f>SUM(J85:J88)</f>
        <v>1541466</v>
      </c>
    </row>
    <row r="90" spans="2:12" x14ac:dyDescent="0.2">
      <c r="C90" s="797" t="s">
        <v>212</v>
      </c>
      <c r="D90" s="798"/>
      <c r="E90" s="112">
        <v>0.2</v>
      </c>
      <c r="F90" s="113">
        <f>IF(G89&lt;500000,G89,500000)</f>
        <v>500000</v>
      </c>
      <c r="G90" s="113">
        <f>G89-F90</f>
        <v>105702</v>
      </c>
      <c r="H90" s="114">
        <f>ROUND(E90*F90,0.1)</f>
        <v>100000</v>
      </c>
      <c r="J90" s="16">
        <f>+G85</f>
        <v>1105702</v>
      </c>
    </row>
    <row r="91" spans="2:12" x14ac:dyDescent="0.2">
      <c r="C91" s="795" t="s">
        <v>213</v>
      </c>
      <c r="D91" s="796"/>
      <c r="E91" s="112">
        <v>0.3</v>
      </c>
      <c r="F91" s="113">
        <f>G90</f>
        <v>105702</v>
      </c>
      <c r="G91" s="113">
        <f>G90-F91</f>
        <v>0</v>
      </c>
      <c r="H91" s="114">
        <f>ROUND(E91*F91,0.1)</f>
        <v>31711</v>
      </c>
      <c r="J91" s="16">
        <f>+J89-J90</f>
        <v>435764</v>
      </c>
    </row>
    <row r="92" spans="2:12" ht="12.75" customHeight="1" thickBot="1" x14ac:dyDescent="0.25">
      <c r="B92" s="116"/>
      <c r="C92" s="117"/>
      <c r="D92" s="47"/>
      <c r="E92" s="47"/>
      <c r="F92" s="47"/>
      <c r="J92" s="87"/>
      <c r="K92" s="118"/>
    </row>
    <row r="93" spans="2:12" ht="13.5" thickBot="1" x14ac:dyDescent="0.25">
      <c r="B93" s="799" t="s">
        <v>239</v>
      </c>
      <c r="C93" s="800"/>
      <c r="D93" s="800"/>
      <c r="E93" s="800"/>
      <c r="F93" s="801"/>
      <c r="G93" s="771">
        <f>H88+H89+H90+H91</f>
        <v>144211</v>
      </c>
      <c r="H93" s="772"/>
      <c r="J93" s="87"/>
      <c r="K93" s="87"/>
    </row>
    <row r="94" spans="2:12" ht="13.5" thickBot="1" x14ac:dyDescent="0.25">
      <c r="B94" s="119" t="s">
        <v>215</v>
      </c>
      <c r="C94" s="120"/>
      <c r="D94" s="120"/>
      <c r="E94" s="120"/>
      <c r="F94" s="120"/>
      <c r="G94" s="895">
        <f>IF((G64&lt;500000),5000,0)</f>
        <v>0</v>
      </c>
      <c r="H94" s="896">
        <f>IF(H92&lt;200000,0,IF(H92&lt;220000,((H92-200000)*10%),IF(H92&lt;=500000,2000,IF(H92&gt;=500000,0))))</f>
        <v>0</v>
      </c>
      <c r="J94" s="1"/>
      <c r="K94" s="121"/>
      <c r="L94" s="121"/>
    </row>
    <row r="95" spans="2:12" ht="13.5" thickBot="1" x14ac:dyDescent="0.25">
      <c r="B95" s="122" t="s">
        <v>216</v>
      </c>
      <c r="C95" s="123"/>
      <c r="D95" s="123"/>
      <c r="E95" s="123"/>
      <c r="F95" s="123"/>
      <c r="G95" s="897">
        <f>IF((G93-G94)&lt;0,0,(G93-G94))</f>
        <v>144211</v>
      </c>
      <c r="H95" s="898"/>
      <c r="I95" s="37"/>
    </row>
    <row r="96" spans="2:12" ht="13.5" thickBot="1" x14ac:dyDescent="0.25">
      <c r="B96" s="773" t="s">
        <v>240</v>
      </c>
      <c r="C96" s="774"/>
      <c r="D96" s="774"/>
      <c r="E96" s="774"/>
      <c r="F96" s="775"/>
      <c r="G96" s="899">
        <f>ROUND((IF(G95&gt;0,(G95*4%),0)),0)</f>
        <v>5768</v>
      </c>
      <c r="H96" s="900"/>
      <c r="I96" s="37"/>
    </row>
    <row r="97" spans="2:9" ht="13.5" thickBot="1" x14ac:dyDescent="0.25">
      <c r="B97" s="778" t="s">
        <v>218</v>
      </c>
      <c r="C97" s="779"/>
      <c r="D97" s="779"/>
      <c r="E97" s="779"/>
      <c r="F97" s="779"/>
      <c r="G97" s="901">
        <f>G95+G96</f>
        <v>149979</v>
      </c>
      <c r="H97" s="902"/>
      <c r="I97" s="121"/>
    </row>
    <row r="98" spans="2:9" ht="13.5" thickBot="1" x14ac:dyDescent="0.25">
      <c r="B98" s="765" t="s">
        <v>219</v>
      </c>
      <c r="C98" s="766"/>
      <c r="D98" s="766"/>
      <c r="E98" s="766"/>
      <c r="F98" s="766"/>
      <c r="G98" s="893">
        <f>O38</f>
        <v>167985</v>
      </c>
      <c r="H98" s="894"/>
      <c r="I98" s="121"/>
    </row>
    <row r="99" spans="2:9" ht="13.5" thickBot="1" x14ac:dyDescent="0.25">
      <c r="B99" s="765" t="str">
        <f>IF(G99&gt;0,"TAX PAYABLE","TAX REFUND")</f>
        <v>TAX REFUND</v>
      </c>
      <c r="C99" s="766"/>
      <c r="D99" s="766"/>
      <c r="E99" s="766"/>
      <c r="F99" s="766"/>
      <c r="G99" s="893">
        <f>+G97-G98</f>
        <v>-18006</v>
      </c>
      <c r="H99" s="894"/>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0:F90 B99:F99 B93:F97">
    <cfRule type="cellIs" dxfId="2175" priority="1" stopIfTrue="1" operator="equal">
      <formula>"TAX PAYABLE"</formula>
    </cfRule>
    <cfRule type="cellIs" dxfId="2174" priority="2" stopIfTrue="1" operator="equal">
      <formula>"TAX REFUND"</formula>
    </cfRule>
  </conditionalFormatting>
  <conditionalFormatting sqref="G90:H90">
    <cfRule type="cellIs" dxfId="2173" priority="3" stopIfTrue="1" operator="lessThan">
      <formula>0</formula>
    </cfRule>
    <cfRule type="cellIs" dxfId="2172" priority="4" stopIfTrue="1" operator="greaterThan">
      <formula>0</formula>
    </cfRule>
  </conditionalFormatting>
  <conditionalFormatting sqref="G99:H99">
    <cfRule type="cellIs" dxfId="2171" priority="5" stopIfTrue="1" operator="greaterThan">
      <formula>0</formula>
    </cfRule>
    <cfRule type="cellIs" dxfId="2170" priority="6"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5" right="0.75" top="1" bottom="1" header="0.5" footer="0.5"/>
  <pageSetup orientation="portrait" verticalDpi="0" r:id="rId1"/>
  <headerFooter alignWithMargins="0"/>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T107"/>
  <sheetViews>
    <sheetView topLeftCell="A14" workbookViewId="0">
      <selection activeCell="D6" sqref="D6:F6"/>
    </sheetView>
  </sheetViews>
  <sheetFormatPr defaultRowHeight="12.75" x14ac:dyDescent="0.2"/>
  <cols>
    <col min="1" max="1" width="5" style="16" customWidth="1"/>
    <col min="2" max="2" width="18.7109375" style="37" customWidth="1"/>
    <col min="3" max="6" width="7.85546875" style="16" customWidth="1"/>
    <col min="7" max="7" width="8.42578125" style="16" customWidth="1"/>
    <col min="8" max="15" width="7.8554687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8.7109375" style="16" customWidth="1"/>
    <col min="259" max="262" width="7.85546875" style="16" customWidth="1"/>
    <col min="263" max="263" width="8.42578125" style="16" customWidth="1"/>
    <col min="264" max="271" width="7.8554687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8.7109375" style="16" customWidth="1"/>
    <col min="515" max="518" width="7.85546875" style="16" customWidth="1"/>
    <col min="519" max="519" width="8.42578125" style="16" customWidth="1"/>
    <col min="520" max="527" width="7.8554687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8.7109375" style="16" customWidth="1"/>
    <col min="771" max="774" width="7.85546875" style="16" customWidth="1"/>
    <col min="775" max="775" width="8.42578125" style="16" customWidth="1"/>
    <col min="776" max="783" width="7.8554687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8.7109375" style="16" customWidth="1"/>
    <col min="1027" max="1030" width="7.85546875" style="16" customWidth="1"/>
    <col min="1031" max="1031" width="8.42578125" style="16" customWidth="1"/>
    <col min="1032" max="1039" width="7.8554687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8.7109375" style="16" customWidth="1"/>
    <col min="1283" max="1286" width="7.85546875" style="16" customWidth="1"/>
    <col min="1287" max="1287" width="8.42578125" style="16" customWidth="1"/>
    <col min="1288" max="1295" width="7.8554687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8.7109375" style="16" customWidth="1"/>
    <col min="1539" max="1542" width="7.85546875" style="16" customWidth="1"/>
    <col min="1543" max="1543" width="8.42578125" style="16" customWidth="1"/>
    <col min="1544" max="1551" width="7.8554687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8.7109375" style="16" customWidth="1"/>
    <col min="1795" max="1798" width="7.85546875" style="16" customWidth="1"/>
    <col min="1799" max="1799" width="8.42578125" style="16" customWidth="1"/>
    <col min="1800" max="1807" width="7.8554687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8.7109375" style="16" customWidth="1"/>
    <col min="2051" max="2054" width="7.85546875" style="16" customWidth="1"/>
    <col min="2055" max="2055" width="8.42578125" style="16" customWidth="1"/>
    <col min="2056" max="2063" width="7.8554687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8.7109375" style="16" customWidth="1"/>
    <col min="2307" max="2310" width="7.85546875" style="16" customWidth="1"/>
    <col min="2311" max="2311" width="8.42578125" style="16" customWidth="1"/>
    <col min="2312" max="2319" width="7.8554687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8.7109375" style="16" customWidth="1"/>
    <col min="2563" max="2566" width="7.85546875" style="16" customWidth="1"/>
    <col min="2567" max="2567" width="8.42578125" style="16" customWidth="1"/>
    <col min="2568" max="2575" width="7.8554687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8.7109375" style="16" customWidth="1"/>
    <col min="2819" max="2822" width="7.85546875" style="16" customWidth="1"/>
    <col min="2823" max="2823" width="8.42578125" style="16" customWidth="1"/>
    <col min="2824" max="2831" width="7.8554687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8.7109375" style="16" customWidth="1"/>
    <col min="3075" max="3078" width="7.85546875" style="16" customWidth="1"/>
    <col min="3079" max="3079" width="8.42578125" style="16" customWidth="1"/>
    <col min="3080" max="3087" width="7.8554687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8.7109375" style="16" customWidth="1"/>
    <col min="3331" max="3334" width="7.85546875" style="16" customWidth="1"/>
    <col min="3335" max="3335" width="8.42578125" style="16" customWidth="1"/>
    <col min="3336" max="3343" width="7.8554687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8.7109375" style="16" customWidth="1"/>
    <col min="3587" max="3590" width="7.85546875" style="16" customWidth="1"/>
    <col min="3591" max="3591" width="8.42578125" style="16" customWidth="1"/>
    <col min="3592" max="3599" width="7.8554687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8.7109375" style="16" customWidth="1"/>
    <col min="3843" max="3846" width="7.85546875" style="16" customWidth="1"/>
    <col min="3847" max="3847" width="8.42578125" style="16" customWidth="1"/>
    <col min="3848" max="3855" width="7.8554687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8.7109375" style="16" customWidth="1"/>
    <col min="4099" max="4102" width="7.85546875" style="16" customWidth="1"/>
    <col min="4103" max="4103" width="8.42578125" style="16" customWidth="1"/>
    <col min="4104" max="4111" width="7.8554687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8.7109375" style="16" customWidth="1"/>
    <col min="4355" max="4358" width="7.85546875" style="16" customWidth="1"/>
    <col min="4359" max="4359" width="8.42578125" style="16" customWidth="1"/>
    <col min="4360" max="4367" width="7.8554687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8.7109375" style="16" customWidth="1"/>
    <col min="4611" max="4614" width="7.85546875" style="16" customWidth="1"/>
    <col min="4615" max="4615" width="8.42578125" style="16" customWidth="1"/>
    <col min="4616" max="4623" width="7.8554687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8.7109375" style="16" customWidth="1"/>
    <col min="4867" max="4870" width="7.85546875" style="16" customWidth="1"/>
    <col min="4871" max="4871" width="8.42578125" style="16" customWidth="1"/>
    <col min="4872" max="4879" width="7.8554687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8.7109375" style="16" customWidth="1"/>
    <col min="5123" max="5126" width="7.85546875" style="16" customWidth="1"/>
    <col min="5127" max="5127" width="8.42578125" style="16" customWidth="1"/>
    <col min="5128" max="5135" width="7.8554687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8.7109375" style="16" customWidth="1"/>
    <col min="5379" max="5382" width="7.85546875" style="16" customWidth="1"/>
    <col min="5383" max="5383" width="8.42578125" style="16" customWidth="1"/>
    <col min="5384" max="5391" width="7.8554687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8.7109375" style="16" customWidth="1"/>
    <col min="5635" max="5638" width="7.85546875" style="16" customWidth="1"/>
    <col min="5639" max="5639" width="8.42578125" style="16" customWidth="1"/>
    <col min="5640" max="5647" width="7.8554687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8.7109375" style="16" customWidth="1"/>
    <col min="5891" max="5894" width="7.85546875" style="16" customWidth="1"/>
    <col min="5895" max="5895" width="8.42578125" style="16" customWidth="1"/>
    <col min="5896" max="5903" width="7.8554687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8.7109375" style="16" customWidth="1"/>
    <col min="6147" max="6150" width="7.85546875" style="16" customWidth="1"/>
    <col min="6151" max="6151" width="8.42578125" style="16" customWidth="1"/>
    <col min="6152" max="6159" width="7.8554687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8.7109375" style="16" customWidth="1"/>
    <col min="6403" max="6406" width="7.85546875" style="16" customWidth="1"/>
    <col min="6407" max="6407" width="8.42578125" style="16" customWidth="1"/>
    <col min="6408" max="6415" width="7.8554687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8.7109375" style="16" customWidth="1"/>
    <col min="6659" max="6662" width="7.85546875" style="16" customWidth="1"/>
    <col min="6663" max="6663" width="8.42578125" style="16" customWidth="1"/>
    <col min="6664" max="6671" width="7.8554687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8.7109375" style="16" customWidth="1"/>
    <col min="6915" max="6918" width="7.85546875" style="16" customWidth="1"/>
    <col min="6919" max="6919" width="8.42578125" style="16" customWidth="1"/>
    <col min="6920" max="6927" width="7.8554687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8.7109375" style="16" customWidth="1"/>
    <col min="7171" max="7174" width="7.85546875" style="16" customWidth="1"/>
    <col min="7175" max="7175" width="8.42578125" style="16" customWidth="1"/>
    <col min="7176" max="7183" width="7.8554687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8.7109375" style="16" customWidth="1"/>
    <col min="7427" max="7430" width="7.85546875" style="16" customWidth="1"/>
    <col min="7431" max="7431" width="8.42578125" style="16" customWidth="1"/>
    <col min="7432" max="7439" width="7.8554687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8.7109375" style="16" customWidth="1"/>
    <col min="7683" max="7686" width="7.85546875" style="16" customWidth="1"/>
    <col min="7687" max="7687" width="8.42578125" style="16" customWidth="1"/>
    <col min="7688" max="7695" width="7.8554687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8.7109375" style="16" customWidth="1"/>
    <col min="7939" max="7942" width="7.85546875" style="16" customWidth="1"/>
    <col min="7943" max="7943" width="8.42578125" style="16" customWidth="1"/>
    <col min="7944" max="7951" width="7.8554687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8.7109375" style="16" customWidth="1"/>
    <col min="8195" max="8198" width="7.85546875" style="16" customWidth="1"/>
    <col min="8199" max="8199" width="8.42578125" style="16" customWidth="1"/>
    <col min="8200" max="8207" width="7.8554687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8.7109375" style="16" customWidth="1"/>
    <col min="8451" max="8454" width="7.85546875" style="16" customWidth="1"/>
    <col min="8455" max="8455" width="8.42578125" style="16" customWidth="1"/>
    <col min="8456" max="8463" width="7.8554687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8.7109375" style="16" customWidth="1"/>
    <col min="8707" max="8710" width="7.85546875" style="16" customWidth="1"/>
    <col min="8711" max="8711" width="8.42578125" style="16" customWidth="1"/>
    <col min="8712" max="8719" width="7.8554687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8.7109375" style="16" customWidth="1"/>
    <col min="8963" max="8966" width="7.85546875" style="16" customWidth="1"/>
    <col min="8967" max="8967" width="8.42578125" style="16" customWidth="1"/>
    <col min="8968" max="8975" width="7.8554687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8.7109375" style="16" customWidth="1"/>
    <col min="9219" max="9222" width="7.85546875" style="16" customWidth="1"/>
    <col min="9223" max="9223" width="8.42578125" style="16" customWidth="1"/>
    <col min="9224" max="9231" width="7.8554687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8.7109375" style="16" customWidth="1"/>
    <col min="9475" max="9478" width="7.85546875" style="16" customWidth="1"/>
    <col min="9479" max="9479" width="8.42578125" style="16" customWidth="1"/>
    <col min="9480" max="9487" width="7.8554687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8.7109375" style="16" customWidth="1"/>
    <col min="9731" max="9734" width="7.85546875" style="16" customWidth="1"/>
    <col min="9735" max="9735" width="8.42578125" style="16" customWidth="1"/>
    <col min="9736" max="9743" width="7.8554687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8.7109375" style="16" customWidth="1"/>
    <col min="9987" max="9990" width="7.85546875" style="16" customWidth="1"/>
    <col min="9991" max="9991" width="8.42578125" style="16" customWidth="1"/>
    <col min="9992" max="9999" width="7.8554687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8.7109375" style="16" customWidth="1"/>
    <col min="10243" max="10246" width="7.85546875" style="16" customWidth="1"/>
    <col min="10247" max="10247" width="8.42578125" style="16" customWidth="1"/>
    <col min="10248" max="10255" width="7.8554687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8.7109375" style="16" customWidth="1"/>
    <col min="10499" max="10502" width="7.85546875" style="16" customWidth="1"/>
    <col min="10503" max="10503" width="8.42578125" style="16" customWidth="1"/>
    <col min="10504" max="10511" width="7.8554687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8.7109375" style="16" customWidth="1"/>
    <col min="10755" max="10758" width="7.85546875" style="16" customWidth="1"/>
    <col min="10759" max="10759" width="8.42578125" style="16" customWidth="1"/>
    <col min="10760" max="10767" width="7.8554687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8.7109375" style="16" customWidth="1"/>
    <col min="11011" max="11014" width="7.85546875" style="16" customWidth="1"/>
    <col min="11015" max="11015" width="8.42578125" style="16" customWidth="1"/>
    <col min="11016" max="11023" width="7.8554687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8.7109375" style="16" customWidth="1"/>
    <col min="11267" max="11270" width="7.85546875" style="16" customWidth="1"/>
    <col min="11271" max="11271" width="8.42578125" style="16" customWidth="1"/>
    <col min="11272" max="11279" width="7.8554687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8.7109375" style="16" customWidth="1"/>
    <col min="11523" max="11526" width="7.85546875" style="16" customWidth="1"/>
    <col min="11527" max="11527" width="8.42578125" style="16" customWidth="1"/>
    <col min="11528" max="11535" width="7.8554687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8.7109375" style="16" customWidth="1"/>
    <col min="11779" max="11782" width="7.85546875" style="16" customWidth="1"/>
    <col min="11783" max="11783" width="8.42578125" style="16" customWidth="1"/>
    <col min="11784" max="11791" width="7.8554687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8.7109375" style="16" customWidth="1"/>
    <col min="12035" max="12038" width="7.85546875" style="16" customWidth="1"/>
    <col min="12039" max="12039" width="8.42578125" style="16" customWidth="1"/>
    <col min="12040" max="12047" width="7.8554687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8.7109375" style="16" customWidth="1"/>
    <col min="12291" max="12294" width="7.85546875" style="16" customWidth="1"/>
    <col min="12295" max="12295" width="8.42578125" style="16" customWidth="1"/>
    <col min="12296" max="12303" width="7.8554687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8.7109375" style="16" customWidth="1"/>
    <col min="12547" max="12550" width="7.85546875" style="16" customWidth="1"/>
    <col min="12551" max="12551" width="8.42578125" style="16" customWidth="1"/>
    <col min="12552" max="12559" width="7.8554687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8.7109375" style="16" customWidth="1"/>
    <col min="12803" max="12806" width="7.85546875" style="16" customWidth="1"/>
    <col min="12807" max="12807" width="8.42578125" style="16" customWidth="1"/>
    <col min="12808" max="12815" width="7.8554687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8.7109375" style="16" customWidth="1"/>
    <col min="13059" max="13062" width="7.85546875" style="16" customWidth="1"/>
    <col min="13063" max="13063" width="8.42578125" style="16" customWidth="1"/>
    <col min="13064" max="13071" width="7.8554687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8.7109375" style="16" customWidth="1"/>
    <col min="13315" max="13318" width="7.85546875" style="16" customWidth="1"/>
    <col min="13319" max="13319" width="8.42578125" style="16" customWidth="1"/>
    <col min="13320" max="13327" width="7.8554687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8.7109375" style="16" customWidth="1"/>
    <col min="13571" max="13574" width="7.85546875" style="16" customWidth="1"/>
    <col min="13575" max="13575" width="8.42578125" style="16" customWidth="1"/>
    <col min="13576" max="13583" width="7.8554687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8.7109375" style="16" customWidth="1"/>
    <col min="13827" max="13830" width="7.85546875" style="16" customWidth="1"/>
    <col min="13831" max="13831" width="8.42578125" style="16" customWidth="1"/>
    <col min="13832" max="13839" width="7.8554687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8.7109375" style="16" customWidth="1"/>
    <col min="14083" max="14086" width="7.85546875" style="16" customWidth="1"/>
    <col min="14087" max="14087" width="8.42578125" style="16" customWidth="1"/>
    <col min="14088" max="14095" width="7.8554687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8.7109375" style="16" customWidth="1"/>
    <col min="14339" max="14342" width="7.85546875" style="16" customWidth="1"/>
    <col min="14343" max="14343" width="8.42578125" style="16" customWidth="1"/>
    <col min="14344" max="14351" width="7.8554687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8.7109375" style="16" customWidth="1"/>
    <col min="14595" max="14598" width="7.85546875" style="16" customWidth="1"/>
    <col min="14599" max="14599" width="8.42578125" style="16" customWidth="1"/>
    <col min="14600" max="14607" width="7.8554687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8.7109375" style="16" customWidth="1"/>
    <col min="14851" max="14854" width="7.85546875" style="16" customWidth="1"/>
    <col min="14855" max="14855" width="8.42578125" style="16" customWidth="1"/>
    <col min="14856" max="14863" width="7.8554687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8.7109375" style="16" customWidth="1"/>
    <col min="15107" max="15110" width="7.85546875" style="16" customWidth="1"/>
    <col min="15111" max="15111" width="8.42578125" style="16" customWidth="1"/>
    <col min="15112" max="15119" width="7.8554687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8.7109375" style="16" customWidth="1"/>
    <col min="15363" max="15366" width="7.85546875" style="16" customWidth="1"/>
    <col min="15367" max="15367" width="8.42578125" style="16" customWidth="1"/>
    <col min="15368" max="15375" width="7.8554687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8.7109375" style="16" customWidth="1"/>
    <col min="15619" max="15622" width="7.85546875" style="16" customWidth="1"/>
    <col min="15623" max="15623" width="8.42578125" style="16" customWidth="1"/>
    <col min="15624" max="15631" width="7.8554687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8.7109375" style="16" customWidth="1"/>
    <col min="15875" max="15878" width="7.85546875" style="16" customWidth="1"/>
    <col min="15879" max="15879" width="8.42578125" style="16" customWidth="1"/>
    <col min="15880" max="15887" width="7.8554687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8.7109375" style="16" customWidth="1"/>
    <col min="16131" max="16134" width="7.85546875" style="16" customWidth="1"/>
    <col min="16135" max="16135" width="8.42578125" style="16" customWidth="1"/>
    <col min="16136" max="16143" width="7.8554687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67" t="s">
        <v>100</v>
      </c>
      <c r="B1" s="868"/>
      <c r="C1" s="868"/>
      <c r="D1" s="869"/>
      <c r="E1" s="868"/>
      <c r="F1" s="868"/>
      <c r="G1" s="867" t="s">
        <v>102</v>
      </c>
      <c r="H1" s="869"/>
      <c r="I1" s="869" t="s">
        <v>1174</v>
      </c>
      <c r="J1" s="868"/>
      <c r="K1" s="868"/>
      <c r="L1" s="870"/>
      <c r="M1" s="870"/>
      <c r="N1" s="870"/>
      <c r="O1" s="870"/>
    </row>
    <row r="2" spans="1:15" s="1" customFormat="1" x14ac:dyDescent="0.2">
      <c r="A2" s="867" t="s">
        <v>103</v>
      </c>
      <c r="B2" s="868"/>
      <c r="C2" s="868"/>
      <c r="D2" s="869"/>
      <c r="E2" s="868"/>
      <c r="F2" s="868"/>
      <c r="G2" s="867" t="s">
        <v>104</v>
      </c>
      <c r="H2" s="869"/>
      <c r="I2" s="869" t="s">
        <v>105</v>
      </c>
      <c r="J2" s="868"/>
      <c r="K2" s="868"/>
      <c r="L2" s="870"/>
      <c r="M2" s="870"/>
      <c r="N2" s="870"/>
      <c r="O2" s="870"/>
    </row>
    <row r="3" spans="1:15" s="1" customFormat="1" x14ac:dyDescent="0.2">
      <c r="A3" s="867" t="s">
        <v>106</v>
      </c>
      <c r="B3" s="868"/>
      <c r="C3" s="868"/>
      <c r="D3" s="883" t="s">
        <v>1175</v>
      </c>
      <c r="E3" s="868"/>
      <c r="F3" s="868"/>
      <c r="G3" s="867" t="s">
        <v>107</v>
      </c>
      <c r="H3" s="869"/>
      <c r="I3" s="869" t="s">
        <v>108</v>
      </c>
      <c r="J3" s="868"/>
      <c r="K3" s="868"/>
      <c r="L3" s="870"/>
      <c r="M3" s="870"/>
      <c r="N3" s="870"/>
      <c r="O3" s="870"/>
    </row>
    <row r="4" spans="1:15" s="1" customFormat="1" x14ac:dyDescent="0.2">
      <c r="A4" s="867" t="s">
        <v>109</v>
      </c>
      <c r="B4" s="868"/>
      <c r="C4" s="868"/>
      <c r="D4" s="869"/>
      <c r="E4" s="868"/>
      <c r="F4" s="868"/>
      <c r="G4" s="867" t="s">
        <v>110</v>
      </c>
      <c r="H4" s="869"/>
      <c r="I4" s="869" t="s">
        <v>1176</v>
      </c>
      <c r="J4" s="868"/>
      <c r="K4" s="868"/>
      <c r="L4" s="870"/>
      <c r="M4" s="870"/>
      <c r="N4" s="870"/>
      <c r="O4" s="870"/>
    </row>
    <row r="5" spans="1:15" s="1" customFormat="1" x14ac:dyDescent="0.2">
      <c r="A5" s="867" t="s">
        <v>278</v>
      </c>
      <c r="B5" s="868"/>
      <c r="C5" s="868"/>
      <c r="D5" s="883">
        <v>43353</v>
      </c>
      <c r="E5" s="868"/>
      <c r="F5" s="868"/>
      <c r="G5" s="867"/>
      <c r="H5" s="868"/>
      <c r="I5" s="869" t="s">
        <v>113</v>
      </c>
      <c r="J5" s="868"/>
      <c r="K5" s="868"/>
      <c r="L5" s="870"/>
      <c r="M5" s="870"/>
      <c r="N5" s="870"/>
      <c r="O5" s="870"/>
    </row>
    <row r="6" spans="1:15" s="1" customFormat="1" x14ac:dyDescent="0.2">
      <c r="A6" s="871" t="s">
        <v>114</v>
      </c>
      <c r="B6" s="872"/>
      <c r="C6" s="872"/>
      <c r="D6" s="868" t="s">
        <v>10</v>
      </c>
      <c r="E6" s="868"/>
      <c r="F6" s="868"/>
      <c r="G6" s="871" t="s">
        <v>115</v>
      </c>
      <c r="H6" s="871"/>
      <c r="I6" s="2" t="s">
        <v>116</v>
      </c>
      <c r="J6" s="888"/>
      <c r="K6" s="888"/>
      <c r="L6" s="888"/>
      <c r="M6" s="888"/>
      <c r="N6" s="888"/>
      <c r="O6" s="889"/>
    </row>
    <row r="7" spans="1:15" s="1" customFormat="1" ht="13.5" thickBot="1" x14ac:dyDescent="0.25">
      <c r="A7" s="3"/>
      <c r="B7" s="4"/>
      <c r="C7" s="5"/>
      <c r="D7" s="6"/>
      <c r="E7" s="6"/>
      <c r="F7" s="6"/>
      <c r="G7" s="6"/>
      <c r="H7" s="6"/>
      <c r="I7" s="6"/>
      <c r="J7" s="7"/>
      <c r="K7" s="8"/>
      <c r="L7" s="875" t="s">
        <v>223</v>
      </c>
      <c r="M7" s="875"/>
      <c r="N7" s="875"/>
      <c r="O7" s="875"/>
    </row>
    <row r="8" spans="1:15" s="11" customFormat="1" x14ac:dyDescent="0.2">
      <c r="A8" s="876" t="str">
        <f>I1</f>
        <v>Mr. U.C.Pradhan</v>
      </c>
      <c r="B8" s="877"/>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0</v>
      </c>
      <c r="D9" s="14">
        <v>0</v>
      </c>
      <c r="E9" s="14">
        <v>0</v>
      </c>
      <c r="F9" s="14">
        <v>0</v>
      </c>
      <c r="G9" s="14">
        <v>0</v>
      </c>
      <c r="H9" s="14">
        <v>0</v>
      </c>
      <c r="I9" s="14">
        <v>0</v>
      </c>
      <c r="J9" s="14">
        <v>104800</v>
      </c>
      <c r="K9" s="14">
        <v>104800</v>
      </c>
      <c r="L9" s="14">
        <v>104800</v>
      </c>
      <c r="M9" s="14">
        <v>104800</v>
      </c>
      <c r="N9" s="14">
        <v>104800</v>
      </c>
      <c r="O9" s="15">
        <f t="shared" ref="O9:O50" si="0">SUM(C9:N9)</f>
        <v>524000</v>
      </c>
    </row>
    <row r="10" spans="1:15" ht="15" x14ac:dyDescent="0.2">
      <c r="A10" s="12"/>
      <c r="B10" s="13" t="s">
        <v>119</v>
      </c>
      <c r="C10" s="17">
        <v>0</v>
      </c>
      <c r="D10" s="17">
        <f>+C10</f>
        <v>0</v>
      </c>
      <c r="E10" s="17">
        <f>+D10</f>
        <v>0</v>
      </c>
      <c r="F10" s="17">
        <f>+E10</f>
        <v>0</v>
      </c>
      <c r="G10" s="17">
        <f t="shared" ref="G10:G22" si="1">+F10</f>
        <v>0</v>
      </c>
      <c r="H10" s="17">
        <v>0</v>
      </c>
      <c r="I10" s="17">
        <f t="shared" ref="I10:N22" si="2">+H10</f>
        <v>0</v>
      </c>
      <c r="J10" s="17">
        <f t="shared" si="2"/>
        <v>0</v>
      </c>
      <c r="K10" s="17">
        <f t="shared" si="2"/>
        <v>0</v>
      </c>
      <c r="L10" s="17">
        <f t="shared" si="2"/>
        <v>0</v>
      </c>
      <c r="M10" s="17">
        <f t="shared" si="2"/>
        <v>0</v>
      </c>
      <c r="N10" s="17">
        <f t="shared" si="2"/>
        <v>0</v>
      </c>
      <c r="O10" s="18">
        <f t="shared" si="0"/>
        <v>0</v>
      </c>
    </row>
    <row r="11" spans="1:15" ht="15" x14ac:dyDescent="0.2">
      <c r="A11" s="12"/>
      <c r="B11" s="13" t="s">
        <v>120</v>
      </c>
      <c r="C11" s="17">
        <v>0</v>
      </c>
      <c r="D11" s="17">
        <f t="shared" ref="D11:F22" si="3">+C11</f>
        <v>0</v>
      </c>
      <c r="E11" s="17">
        <f t="shared" si="3"/>
        <v>0</v>
      </c>
      <c r="F11" s="17">
        <f t="shared" si="3"/>
        <v>0</v>
      </c>
      <c r="G11" s="17">
        <f t="shared" si="1"/>
        <v>0</v>
      </c>
      <c r="H11" s="17">
        <v>0</v>
      </c>
      <c r="I11" s="17">
        <f t="shared" si="2"/>
        <v>0</v>
      </c>
      <c r="J11" s="17">
        <v>9432</v>
      </c>
      <c r="K11" s="17">
        <f t="shared" si="2"/>
        <v>9432</v>
      </c>
      <c r="L11" s="17">
        <f t="shared" si="2"/>
        <v>9432</v>
      </c>
      <c r="M11" s="17">
        <f t="shared" si="2"/>
        <v>9432</v>
      </c>
      <c r="N11" s="17">
        <f t="shared" si="2"/>
        <v>9432</v>
      </c>
      <c r="O11" s="18">
        <f t="shared" si="0"/>
        <v>47160</v>
      </c>
    </row>
    <row r="12" spans="1:15" ht="15" hidden="1" x14ac:dyDescent="0.2">
      <c r="A12" s="12"/>
      <c r="B12" s="13" t="s">
        <v>121</v>
      </c>
      <c r="C12" s="17">
        <v>0</v>
      </c>
      <c r="D12" s="17">
        <f t="shared" si="3"/>
        <v>0</v>
      </c>
      <c r="E12" s="17">
        <f t="shared" si="3"/>
        <v>0</v>
      </c>
      <c r="F12" s="17">
        <f t="shared" si="3"/>
        <v>0</v>
      </c>
      <c r="G12" s="17">
        <f t="shared" si="1"/>
        <v>0</v>
      </c>
      <c r="H12" s="17">
        <v>0</v>
      </c>
      <c r="I12" s="17">
        <f t="shared" si="2"/>
        <v>0</v>
      </c>
      <c r="J12" s="17">
        <f t="shared" si="2"/>
        <v>0</v>
      </c>
      <c r="K12" s="17">
        <f t="shared" si="2"/>
        <v>0</v>
      </c>
      <c r="L12" s="17">
        <f t="shared" si="2"/>
        <v>0</v>
      </c>
      <c r="M12" s="17">
        <f t="shared" si="2"/>
        <v>0</v>
      </c>
      <c r="N12" s="17">
        <f t="shared" si="2"/>
        <v>0</v>
      </c>
      <c r="O12" s="18">
        <f t="shared" si="0"/>
        <v>0</v>
      </c>
    </row>
    <row r="13" spans="1:15" ht="15" hidden="1" x14ac:dyDescent="0.2">
      <c r="A13" s="12"/>
      <c r="B13" s="13" t="s">
        <v>122</v>
      </c>
      <c r="C13" s="17">
        <v>0</v>
      </c>
      <c r="D13" s="17">
        <f t="shared" si="3"/>
        <v>0</v>
      </c>
      <c r="E13" s="17">
        <f t="shared" si="3"/>
        <v>0</v>
      </c>
      <c r="F13" s="17">
        <f t="shared" si="3"/>
        <v>0</v>
      </c>
      <c r="G13" s="17">
        <f t="shared" si="1"/>
        <v>0</v>
      </c>
      <c r="H13" s="17">
        <v>0</v>
      </c>
      <c r="I13" s="17">
        <f t="shared" si="2"/>
        <v>0</v>
      </c>
      <c r="J13" s="17">
        <f t="shared" si="2"/>
        <v>0</v>
      </c>
      <c r="K13" s="17">
        <f t="shared" si="2"/>
        <v>0</v>
      </c>
      <c r="L13" s="17">
        <f t="shared" si="2"/>
        <v>0</v>
      </c>
      <c r="M13" s="17">
        <f t="shared" si="2"/>
        <v>0</v>
      </c>
      <c r="N13" s="17">
        <f t="shared" si="2"/>
        <v>0</v>
      </c>
      <c r="O13" s="18">
        <f t="shared" si="0"/>
        <v>0</v>
      </c>
    </row>
    <row r="14" spans="1:15" ht="15" x14ac:dyDescent="0.2">
      <c r="A14" s="12"/>
      <c r="B14" s="13" t="s">
        <v>123</v>
      </c>
      <c r="C14" s="17">
        <v>0</v>
      </c>
      <c r="D14" s="17">
        <f t="shared" si="3"/>
        <v>0</v>
      </c>
      <c r="E14" s="17">
        <f t="shared" si="3"/>
        <v>0</v>
      </c>
      <c r="F14" s="17">
        <f t="shared" si="3"/>
        <v>0</v>
      </c>
      <c r="G14" s="17">
        <f t="shared" si="1"/>
        <v>0</v>
      </c>
      <c r="H14" s="17">
        <v>0</v>
      </c>
      <c r="I14" s="17">
        <f t="shared" si="2"/>
        <v>0</v>
      </c>
      <c r="J14" s="17">
        <v>7848</v>
      </c>
      <c r="K14" s="17">
        <f t="shared" si="2"/>
        <v>7848</v>
      </c>
      <c r="L14" s="17">
        <f t="shared" si="2"/>
        <v>7848</v>
      </c>
      <c r="M14" s="17">
        <f t="shared" si="2"/>
        <v>7848</v>
      </c>
      <c r="N14" s="17">
        <f t="shared" si="2"/>
        <v>7848</v>
      </c>
      <c r="O14" s="18">
        <f t="shared" si="0"/>
        <v>39240</v>
      </c>
    </row>
    <row r="15" spans="1:15" ht="15" hidden="1" x14ac:dyDescent="0.2">
      <c r="A15" s="12"/>
      <c r="B15" s="13" t="s">
        <v>124</v>
      </c>
      <c r="C15" s="17">
        <v>0</v>
      </c>
      <c r="D15" s="17">
        <f t="shared" si="3"/>
        <v>0</v>
      </c>
      <c r="E15" s="17">
        <f t="shared" si="3"/>
        <v>0</v>
      </c>
      <c r="F15" s="17">
        <f t="shared" si="3"/>
        <v>0</v>
      </c>
      <c r="G15" s="17">
        <f t="shared" si="1"/>
        <v>0</v>
      </c>
      <c r="H15" s="17">
        <v>0</v>
      </c>
      <c r="I15" s="17">
        <f t="shared" si="2"/>
        <v>0</v>
      </c>
      <c r="J15" s="17">
        <f t="shared" si="2"/>
        <v>0</v>
      </c>
      <c r="K15" s="17">
        <f t="shared" si="2"/>
        <v>0</v>
      </c>
      <c r="L15" s="17">
        <f t="shared" si="2"/>
        <v>0</v>
      </c>
      <c r="M15" s="17">
        <f t="shared" si="2"/>
        <v>0</v>
      </c>
      <c r="N15" s="17">
        <f t="shared" si="2"/>
        <v>0</v>
      </c>
      <c r="O15" s="18">
        <f t="shared" si="0"/>
        <v>0</v>
      </c>
    </row>
    <row r="16" spans="1:15" ht="15" hidden="1" x14ac:dyDescent="0.2">
      <c r="A16" s="12"/>
      <c r="B16" s="13" t="s">
        <v>125</v>
      </c>
      <c r="C16" s="17">
        <v>0</v>
      </c>
      <c r="D16" s="17">
        <f t="shared" si="3"/>
        <v>0</v>
      </c>
      <c r="E16" s="17">
        <f t="shared" si="3"/>
        <v>0</v>
      </c>
      <c r="F16" s="17">
        <f t="shared" si="3"/>
        <v>0</v>
      </c>
      <c r="G16" s="17">
        <f t="shared" si="1"/>
        <v>0</v>
      </c>
      <c r="H16" s="17">
        <v>0</v>
      </c>
      <c r="I16" s="17">
        <f t="shared" si="2"/>
        <v>0</v>
      </c>
      <c r="J16" s="17">
        <f t="shared" si="2"/>
        <v>0</v>
      </c>
      <c r="K16" s="17">
        <f t="shared" si="2"/>
        <v>0</v>
      </c>
      <c r="L16" s="17">
        <f t="shared" si="2"/>
        <v>0</v>
      </c>
      <c r="M16" s="17">
        <f t="shared" si="2"/>
        <v>0</v>
      </c>
      <c r="N16" s="17">
        <f t="shared" si="2"/>
        <v>0</v>
      </c>
      <c r="O16" s="18">
        <f t="shared" si="0"/>
        <v>0</v>
      </c>
    </row>
    <row r="17" spans="1:16" ht="15" hidden="1" x14ac:dyDescent="0.2">
      <c r="A17" s="12"/>
      <c r="B17" s="13" t="s">
        <v>126</v>
      </c>
      <c r="C17" s="17">
        <v>0</v>
      </c>
      <c r="D17" s="17">
        <f t="shared" si="3"/>
        <v>0</v>
      </c>
      <c r="E17" s="17">
        <f t="shared" si="3"/>
        <v>0</v>
      </c>
      <c r="F17" s="17">
        <f t="shared" si="3"/>
        <v>0</v>
      </c>
      <c r="G17" s="17">
        <f t="shared" si="1"/>
        <v>0</v>
      </c>
      <c r="H17" s="17">
        <v>0</v>
      </c>
      <c r="I17" s="17">
        <f t="shared" si="2"/>
        <v>0</v>
      </c>
      <c r="J17" s="17">
        <f t="shared" si="2"/>
        <v>0</v>
      </c>
      <c r="K17" s="17">
        <f t="shared" si="2"/>
        <v>0</v>
      </c>
      <c r="L17" s="17">
        <f t="shared" si="2"/>
        <v>0</v>
      </c>
      <c r="M17" s="17">
        <f t="shared" si="2"/>
        <v>0</v>
      </c>
      <c r="N17" s="17">
        <f t="shared" si="2"/>
        <v>0</v>
      </c>
      <c r="O17" s="18">
        <f t="shared" si="0"/>
        <v>0</v>
      </c>
    </row>
    <row r="18" spans="1:16" ht="15" x14ac:dyDescent="0.2">
      <c r="A18" s="12"/>
      <c r="B18" s="13" t="s">
        <v>127</v>
      </c>
      <c r="C18" s="17">
        <v>0</v>
      </c>
      <c r="D18" s="17">
        <f t="shared" si="3"/>
        <v>0</v>
      </c>
      <c r="E18" s="17">
        <f t="shared" si="3"/>
        <v>0</v>
      </c>
      <c r="F18" s="17">
        <f t="shared" si="3"/>
        <v>0</v>
      </c>
      <c r="G18" s="17">
        <f t="shared" si="1"/>
        <v>0</v>
      </c>
      <c r="H18" s="17">
        <v>0</v>
      </c>
      <c r="I18" s="17">
        <f t="shared" si="2"/>
        <v>0</v>
      </c>
      <c r="J18" s="17">
        <f t="shared" si="2"/>
        <v>0</v>
      </c>
      <c r="K18" s="17">
        <f t="shared" si="2"/>
        <v>0</v>
      </c>
      <c r="L18" s="17">
        <f t="shared" si="2"/>
        <v>0</v>
      </c>
      <c r="M18" s="17">
        <f t="shared" si="2"/>
        <v>0</v>
      </c>
      <c r="N18" s="17">
        <f t="shared" si="2"/>
        <v>0</v>
      </c>
      <c r="O18" s="18">
        <f t="shared" si="0"/>
        <v>0</v>
      </c>
    </row>
    <row r="19" spans="1:16" ht="15" x14ac:dyDescent="0.2">
      <c r="A19" s="12"/>
      <c r="B19" s="13" t="s">
        <v>128</v>
      </c>
      <c r="C19" s="17">
        <v>0</v>
      </c>
      <c r="D19" s="17">
        <f t="shared" si="3"/>
        <v>0</v>
      </c>
      <c r="E19" s="17">
        <f t="shared" si="3"/>
        <v>0</v>
      </c>
      <c r="F19" s="17">
        <f t="shared" si="3"/>
        <v>0</v>
      </c>
      <c r="G19" s="17">
        <f t="shared" si="1"/>
        <v>0</v>
      </c>
      <c r="H19" s="17">
        <v>0</v>
      </c>
      <c r="I19" s="17">
        <f t="shared" si="2"/>
        <v>0</v>
      </c>
      <c r="J19" s="17">
        <v>25152</v>
      </c>
      <c r="K19" s="17">
        <f t="shared" si="2"/>
        <v>25152</v>
      </c>
      <c r="L19" s="17">
        <f t="shared" si="2"/>
        <v>25152</v>
      </c>
      <c r="M19" s="17">
        <f t="shared" si="2"/>
        <v>25152</v>
      </c>
      <c r="N19" s="17">
        <f t="shared" si="2"/>
        <v>25152</v>
      </c>
      <c r="O19" s="18">
        <f t="shared" si="0"/>
        <v>125760</v>
      </c>
    </row>
    <row r="20" spans="1:16" ht="15" customHeight="1" x14ac:dyDescent="0.2">
      <c r="A20" s="12"/>
      <c r="B20" s="13" t="s">
        <v>129</v>
      </c>
      <c r="C20" s="17">
        <v>0</v>
      </c>
      <c r="D20" s="17">
        <f t="shared" si="3"/>
        <v>0</v>
      </c>
      <c r="E20" s="17">
        <f t="shared" si="3"/>
        <v>0</v>
      </c>
      <c r="F20" s="17">
        <f t="shared" si="3"/>
        <v>0</v>
      </c>
      <c r="G20" s="17">
        <f t="shared" si="1"/>
        <v>0</v>
      </c>
      <c r="H20" s="17">
        <v>0</v>
      </c>
      <c r="I20" s="17">
        <f t="shared" si="2"/>
        <v>0</v>
      </c>
      <c r="J20" s="17">
        <f t="shared" si="2"/>
        <v>0</v>
      </c>
      <c r="K20" s="17">
        <f t="shared" si="2"/>
        <v>0</v>
      </c>
      <c r="L20" s="17">
        <f t="shared" si="2"/>
        <v>0</v>
      </c>
      <c r="M20" s="17">
        <f t="shared" si="2"/>
        <v>0</v>
      </c>
      <c r="N20" s="17">
        <f t="shared" si="2"/>
        <v>0</v>
      </c>
      <c r="O20" s="18">
        <f t="shared" si="0"/>
        <v>0</v>
      </c>
    </row>
    <row r="21" spans="1:16" ht="15" hidden="1" customHeight="1" x14ac:dyDescent="0.2">
      <c r="A21" s="878" t="s">
        <v>130</v>
      </c>
      <c r="B21" s="19" t="s">
        <v>131</v>
      </c>
      <c r="C21" s="17">
        <v>0</v>
      </c>
      <c r="D21" s="17">
        <f t="shared" si="3"/>
        <v>0</v>
      </c>
      <c r="E21" s="17">
        <f t="shared" si="3"/>
        <v>0</v>
      </c>
      <c r="F21" s="17">
        <f t="shared" si="3"/>
        <v>0</v>
      </c>
      <c r="G21" s="17">
        <f t="shared" si="1"/>
        <v>0</v>
      </c>
      <c r="H21" s="17">
        <v>0</v>
      </c>
      <c r="I21" s="17">
        <f t="shared" si="2"/>
        <v>0</v>
      </c>
      <c r="J21" s="17">
        <f t="shared" si="2"/>
        <v>0</v>
      </c>
      <c r="K21" s="17">
        <f t="shared" si="2"/>
        <v>0</v>
      </c>
      <c r="L21" s="17">
        <f t="shared" si="2"/>
        <v>0</v>
      </c>
      <c r="M21" s="17">
        <f t="shared" si="2"/>
        <v>0</v>
      </c>
      <c r="N21" s="17">
        <f t="shared" si="2"/>
        <v>0</v>
      </c>
      <c r="O21" s="18">
        <f t="shared" si="0"/>
        <v>0</v>
      </c>
    </row>
    <row r="22" spans="1:16" ht="15" customHeight="1" x14ac:dyDescent="0.2">
      <c r="A22" s="879"/>
      <c r="B22" s="19" t="s">
        <v>132</v>
      </c>
      <c r="C22" s="17">
        <v>0</v>
      </c>
      <c r="D22" s="17">
        <f t="shared" si="3"/>
        <v>0</v>
      </c>
      <c r="E22" s="17">
        <f t="shared" si="3"/>
        <v>0</v>
      </c>
      <c r="F22" s="17">
        <f t="shared" si="3"/>
        <v>0</v>
      </c>
      <c r="G22" s="17">
        <f t="shared" si="1"/>
        <v>0</v>
      </c>
      <c r="H22" s="17">
        <v>0</v>
      </c>
      <c r="I22" s="17">
        <f t="shared" si="2"/>
        <v>0</v>
      </c>
      <c r="J22" s="17">
        <f t="shared" si="2"/>
        <v>0</v>
      </c>
      <c r="K22" s="17">
        <f t="shared" si="2"/>
        <v>0</v>
      </c>
      <c r="L22" s="17">
        <f t="shared" si="2"/>
        <v>0</v>
      </c>
      <c r="M22" s="17">
        <f t="shared" si="2"/>
        <v>0</v>
      </c>
      <c r="N22" s="17">
        <f t="shared" si="2"/>
        <v>0</v>
      </c>
      <c r="O22" s="18">
        <f t="shared" si="0"/>
        <v>0</v>
      </c>
    </row>
    <row r="23" spans="1:16" ht="15" hidden="1" customHeight="1" x14ac:dyDescent="0.2">
      <c r="A23" s="879"/>
      <c r="B23" s="19" t="s">
        <v>133</v>
      </c>
      <c r="C23" s="147">
        <v>0</v>
      </c>
      <c r="D23" s="147">
        <v>0</v>
      </c>
      <c r="E23" s="147">
        <v>0</v>
      </c>
      <c r="F23" s="147">
        <v>0</v>
      </c>
      <c r="G23" s="147">
        <v>0</v>
      </c>
      <c r="H23" s="147">
        <v>0</v>
      </c>
      <c r="I23" s="147">
        <v>0</v>
      </c>
      <c r="J23" s="147">
        <v>0</v>
      </c>
      <c r="K23" s="147">
        <v>0</v>
      </c>
      <c r="L23" s="147">
        <v>0</v>
      </c>
      <c r="M23" s="147">
        <v>0</v>
      </c>
      <c r="N23" s="147">
        <v>0</v>
      </c>
      <c r="O23" s="18">
        <f t="shared" si="0"/>
        <v>0</v>
      </c>
    </row>
    <row r="24" spans="1:16" ht="15" hidden="1" customHeight="1" x14ac:dyDescent="0.2">
      <c r="A24" s="879"/>
      <c r="B24" s="19" t="s">
        <v>134</v>
      </c>
      <c r="C24" s="147">
        <v>0</v>
      </c>
      <c r="D24" s="147">
        <v>0</v>
      </c>
      <c r="E24" s="147">
        <v>0</v>
      </c>
      <c r="F24" s="147">
        <v>0</v>
      </c>
      <c r="G24" s="147">
        <v>0</v>
      </c>
      <c r="H24" s="147">
        <v>0</v>
      </c>
      <c r="I24" s="147">
        <v>0</v>
      </c>
      <c r="J24" s="147">
        <v>0</v>
      </c>
      <c r="K24" s="147">
        <v>0</v>
      </c>
      <c r="L24" s="147">
        <v>0</v>
      </c>
      <c r="M24" s="147">
        <v>0</v>
      </c>
      <c r="N24" s="147">
        <v>0</v>
      </c>
      <c r="O24" s="18">
        <f t="shared" si="0"/>
        <v>0</v>
      </c>
    </row>
    <row r="25" spans="1:16" ht="15" hidden="1" customHeight="1" x14ac:dyDescent="0.2">
      <c r="A25" s="879"/>
      <c r="B25" s="19" t="s">
        <v>135</v>
      </c>
      <c r="C25" s="147">
        <v>0</v>
      </c>
      <c r="D25" s="147">
        <v>0</v>
      </c>
      <c r="E25" s="147">
        <v>0</v>
      </c>
      <c r="F25" s="147">
        <v>0</v>
      </c>
      <c r="G25" s="147">
        <v>0</v>
      </c>
      <c r="H25" s="147">
        <v>0</v>
      </c>
      <c r="I25" s="147">
        <v>0</v>
      </c>
      <c r="J25" s="147">
        <v>0</v>
      </c>
      <c r="K25" s="147">
        <v>0</v>
      </c>
      <c r="L25" s="147">
        <v>0</v>
      </c>
      <c r="M25" s="147">
        <v>0</v>
      </c>
      <c r="N25" s="147">
        <v>0</v>
      </c>
      <c r="O25" s="18">
        <f t="shared" si="0"/>
        <v>0</v>
      </c>
    </row>
    <row r="26" spans="1:16" ht="15" hidden="1" customHeight="1" x14ac:dyDescent="0.2">
      <c r="A26" s="879"/>
      <c r="B26" s="19" t="s">
        <v>136</v>
      </c>
      <c r="C26" s="147">
        <v>0</v>
      </c>
      <c r="D26" s="147">
        <v>0</v>
      </c>
      <c r="E26" s="147">
        <v>0</v>
      </c>
      <c r="F26" s="147">
        <v>0</v>
      </c>
      <c r="G26" s="147">
        <v>0</v>
      </c>
      <c r="H26" s="147">
        <v>0</v>
      </c>
      <c r="I26" s="147">
        <v>0</v>
      </c>
      <c r="J26" s="147">
        <v>0</v>
      </c>
      <c r="K26" s="147">
        <v>0</v>
      </c>
      <c r="L26" s="147">
        <v>0</v>
      </c>
      <c r="M26" s="147">
        <v>0</v>
      </c>
      <c r="N26" s="147">
        <v>0</v>
      </c>
      <c r="O26" s="18">
        <f t="shared" si="0"/>
        <v>0</v>
      </c>
    </row>
    <row r="27" spans="1:16" ht="15" hidden="1" customHeight="1" x14ac:dyDescent="0.2">
      <c r="A27" s="879"/>
      <c r="B27" s="19" t="s">
        <v>137</v>
      </c>
      <c r="C27" s="147">
        <v>0</v>
      </c>
      <c r="D27" s="147">
        <v>0</v>
      </c>
      <c r="E27" s="147">
        <v>0</v>
      </c>
      <c r="F27" s="147">
        <v>0</v>
      </c>
      <c r="G27" s="147">
        <v>0</v>
      </c>
      <c r="H27" s="147">
        <v>0</v>
      </c>
      <c r="I27" s="147">
        <v>0</v>
      </c>
      <c r="J27" s="147">
        <v>0</v>
      </c>
      <c r="K27" s="147">
        <v>0</v>
      </c>
      <c r="L27" s="147">
        <v>0</v>
      </c>
      <c r="M27" s="147">
        <v>0</v>
      </c>
      <c r="N27" s="147">
        <v>0</v>
      </c>
      <c r="O27" s="18">
        <f t="shared" si="0"/>
        <v>0</v>
      </c>
    </row>
    <row r="28" spans="1:16" ht="15" hidden="1" customHeight="1" x14ac:dyDescent="0.2">
      <c r="A28" s="879"/>
      <c r="B28" s="19" t="s">
        <v>138</v>
      </c>
      <c r="C28" s="147">
        <v>0</v>
      </c>
      <c r="D28" s="147">
        <v>0</v>
      </c>
      <c r="E28" s="147">
        <v>0</v>
      </c>
      <c r="F28" s="147">
        <v>0</v>
      </c>
      <c r="G28" s="147">
        <v>0</v>
      </c>
      <c r="H28" s="147">
        <v>0</v>
      </c>
      <c r="I28" s="147">
        <v>0</v>
      </c>
      <c r="J28" s="147">
        <v>0</v>
      </c>
      <c r="K28" s="147">
        <v>0</v>
      </c>
      <c r="L28" s="147">
        <v>0</v>
      </c>
      <c r="M28" s="147">
        <v>0</v>
      </c>
      <c r="N28" s="147">
        <v>0</v>
      </c>
      <c r="O28" s="18">
        <f t="shared" si="0"/>
        <v>0</v>
      </c>
    </row>
    <row r="29" spans="1:16" ht="15" hidden="1" customHeight="1" x14ac:dyDescent="0.2">
      <c r="A29" s="879"/>
      <c r="B29" s="19" t="s">
        <v>139</v>
      </c>
      <c r="C29" s="147">
        <v>0</v>
      </c>
      <c r="D29" s="147">
        <v>0</v>
      </c>
      <c r="E29" s="147">
        <v>0</v>
      </c>
      <c r="F29" s="147">
        <v>0</v>
      </c>
      <c r="G29" s="147">
        <v>0</v>
      </c>
      <c r="H29" s="147">
        <v>0</v>
      </c>
      <c r="I29" s="147">
        <v>0</v>
      </c>
      <c r="J29" s="147">
        <v>0</v>
      </c>
      <c r="K29" s="147">
        <v>0</v>
      </c>
      <c r="L29" s="147">
        <v>0</v>
      </c>
      <c r="M29" s="147">
        <v>0</v>
      </c>
      <c r="N29" s="147">
        <v>0</v>
      </c>
      <c r="O29" s="18">
        <f t="shared" si="0"/>
        <v>0</v>
      </c>
    </row>
    <row r="30" spans="1:16" ht="15" hidden="1" customHeight="1" x14ac:dyDescent="0.2">
      <c r="A30" s="879"/>
      <c r="B30" s="19" t="s">
        <v>140</v>
      </c>
      <c r="C30" s="147">
        <v>0</v>
      </c>
      <c r="D30" s="147">
        <v>0</v>
      </c>
      <c r="E30" s="147">
        <v>0</v>
      </c>
      <c r="F30" s="147">
        <v>0</v>
      </c>
      <c r="G30" s="147">
        <v>0</v>
      </c>
      <c r="H30" s="147">
        <v>0</v>
      </c>
      <c r="I30" s="147">
        <v>0</v>
      </c>
      <c r="J30" s="147">
        <v>0</v>
      </c>
      <c r="K30" s="147">
        <v>0</v>
      </c>
      <c r="L30" s="147">
        <v>0</v>
      </c>
      <c r="M30" s="147">
        <v>0</v>
      </c>
      <c r="N30" s="147">
        <v>0</v>
      </c>
      <c r="O30" s="18">
        <f t="shared" si="0"/>
        <v>0</v>
      </c>
    </row>
    <row r="31" spans="1:16" ht="15" customHeight="1" x14ac:dyDescent="0.2">
      <c r="A31" s="879"/>
      <c r="B31" s="19" t="s">
        <v>1170</v>
      </c>
      <c r="C31" s="410">
        <v>0</v>
      </c>
      <c r="D31" s="410">
        <v>0</v>
      </c>
      <c r="E31" s="410">
        <v>0</v>
      </c>
      <c r="F31" s="410">
        <v>0</v>
      </c>
      <c r="G31" s="410">
        <v>0</v>
      </c>
      <c r="H31" s="410">
        <v>0</v>
      </c>
      <c r="I31" s="410">
        <v>0</v>
      </c>
      <c r="J31" s="410">
        <v>0</v>
      </c>
      <c r="K31" s="410">
        <v>0</v>
      </c>
      <c r="L31" s="410">
        <v>0</v>
      </c>
      <c r="M31" s="410">
        <v>0</v>
      </c>
      <c r="N31" s="410">
        <v>0</v>
      </c>
      <c r="O31" s="411">
        <f t="shared" si="0"/>
        <v>0</v>
      </c>
      <c r="P31" s="1"/>
    </row>
    <row r="32" spans="1:16" ht="15" customHeight="1" x14ac:dyDescent="0.2">
      <c r="A32" s="879"/>
      <c r="B32" s="21" t="s">
        <v>142</v>
      </c>
      <c r="C32" s="28">
        <v>0</v>
      </c>
      <c r="D32" s="28">
        <v>0</v>
      </c>
      <c r="E32" s="28">
        <v>0</v>
      </c>
      <c r="F32" s="28">
        <v>0</v>
      </c>
      <c r="G32" s="28">
        <v>0</v>
      </c>
      <c r="H32" s="28">
        <v>0</v>
      </c>
      <c r="I32" s="28">
        <v>0</v>
      </c>
      <c r="J32" s="28">
        <v>0</v>
      </c>
      <c r="K32" s="28">
        <v>0</v>
      </c>
      <c r="L32" s="28">
        <v>0</v>
      </c>
      <c r="M32" s="28">
        <v>0</v>
      </c>
      <c r="N32" s="28">
        <v>0</v>
      </c>
      <c r="O32" s="18">
        <f t="shared" si="0"/>
        <v>0</v>
      </c>
    </row>
    <row r="33" spans="1:17" ht="15" hidden="1" customHeight="1" x14ac:dyDescent="0.2">
      <c r="A33" s="880"/>
      <c r="B33" s="19" t="s">
        <v>226</v>
      </c>
      <c r="C33" s="28">
        <v>0</v>
      </c>
      <c r="D33" s="28">
        <v>0</v>
      </c>
      <c r="E33" s="28">
        <v>0</v>
      </c>
      <c r="F33" s="28">
        <v>0</v>
      </c>
      <c r="G33" s="28">
        <v>0</v>
      </c>
      <c r="H33" s="28">
        <v>0</v>
      </c>
      <c r="I33" s="28">
        <v>0</v>
      </c>
      <c r="J33" s="28">
        <v>0</v>
      </c>
      <c r="K33" s="28">
        <v>0</v>
      </c>
      <c r="L33" s="28">
        <v>0</v>
      </c>
      <c r="M33" s="28">
        <v>0</v>
      </c>
      <c r="N33" s="28">
        <v>0</v>
      </c>
      <c r="O33" s="18">
        <f t="shared" si="0"/>
        <v>0</v>
      </c>
    </row>
    <row r="34" spans="1:17" ht="15" customHeight="1" x14ac:dyDescent="0.2">
      <c r="A34" s="865" t="s">
        <v>143</v>
      </c>
      <c r="B34" s="866"/>
      <c r="C34" s="28">
        <v>0</v>
      </c>
      <c r="D34" s="28">
        <v>0</v>
      </c>
      <c r="E34" s="28">
        <v>0</v>
      </c>
      <c r="F34" s="28">
        <v>0</v>
      </c>
      <c r="G34" s="28">
        <v>0</v>
      </c>
      <c r="H34" s="28">
        <v>0</v>
      </c>
      <c r="I34" s="28">
        <v>0</v>
      </c>
      <c r="J34" s="28">
        <v>0</v>
      </c>
      <c r="K34" s="28">
        <v>0</v>
      </c>
      <c r="L34" s="28">
        <v>0</v>
      </c>
      <c r="M34" s="28">
        <v>0</v>
      </c>
      <c r="N34" s="28">
        <v>0</v>
      </c>
      <c r="O34" s="18">
        <f t="shared" si="0"/>
        <v>0</v>
      </c>
    </row>
    <row r="35" spans="1:17" ht="15" customHeight="1" x14ac:dyDescent="0.2">
      <c r="A35" s="865" t="s">
        <v>145</v>
      </c>
      <c r="B35" s="866"/>
      <c r="C35" s="28">
        <v>0</v>
      </c>
      <c r="D35" s="28">
        <v>0</v>
      </c>
      <c r="E35" s="28">
        <v>0</v>
      </c>
      <c r="F35" s="28">
        <v>0</v>
      </c>
      <c r="G35" s="28">
        <v>0</v>
      </c>
      <c r="H35" s="28">
        <v>0</v>
      </c>
      <c r="I35" s="28">
        <v>0</v>
      </c>
      <c r="J35" s="28">
        <v>0</v>
      </c>
      <c r="K35" s="28">
        <v>0</v>
      </c>
      <c r="L35" s="28">
        <v>0</v>
      </c>
      <c r="M35" s="28">
        <v>0</v>
      </c>
      <c r="N35" s="28">
        <v>0</v>
      </c>
      <c r="O35" s="18">
        <f t="shared" si="0"/>
        <v>0</v>
      </c>
    </row>
    <row r="36" spans="1:17" ht="15" customHeight="1" x14ac:dyDescent="0.2">
      <c r="A36" s="865" t="s">
        <v>146</v>
      </c>
      <c r="B36" s="866"/>
      <c r="C36" s="28">
        <v>0</v>
      </c>
      <c r="D36" s="28">
        <v>0</v>
      </c>
      <c r="E36" s="28">
        <v>0</v>
      </c>
      <c r="F36" s="28">
        <v>0</v>
      </c>
      <c r="G36" s="28">
        <v>0</v>
      </c>
      <c r="H36" s="28">
        <v>0</v>
      </c>
      <c r="I36" s="28">
        <v>0</v>
      </c>
      <c r="J36" s="28">
        <v>0</v>
      </c>
      <c r="K36" s="28">
        <v>0</v>
      </c>
      <c r="L36" s="28">
        <v>0</v>
      </c>
      <c r="M36" s="28">
        <v>0</v>
      </c>
      <c r="N36" s="28">
        <v>0</v>
      </c>
      <c r="O36" s="18">
        <f t="shared" si="0"/>
        <v>0</v>
      </c>
    </row>
    <row r="37" spans="1:17" ht="15" customHeight="1" x14ac:dyDescent="0.2">
      <c r="A37" s="22"/>
      <c r="B37" s="23" t="s">
        <v>147</v>
      </c>
      <c r="C37" s="24">
        <f t="shared" ref="C37:N37" si="4">SUM(C9:C36)</f>
        <v>0</v>
      </c>
      <c r="D37" s="24">
        <f t="shared" si="4"/>
        <v>0</v>
      </c>
      <c r="E37" s="24">
        <f t="shared" si="4"/>
        <v>0</v>
      </c>
      <c r="F37" s="24">
        <f t="shared" si="4"/>
        <v>0</v>
      </c>
      <c r="G37" s="24">
        <f t="shared" si="4"/>
        <v>0</v>
      </c>
      <c r="H37" s="24">
        <f t="shared" si="4"/>
        <v>0</v>
      </c>
      <c r="I37" s="24">
        <f t="shared" si="4"/>
        <v>0</v>
      </c>
      <c r="J37" s="24">
        <f t="shared" si="4"/>
        <v>147232</v>
      </c>
      <c r="K37" s="24">
        <f t="shared" si="4"/>
        <v>147232</v>
      </c>
      <c r="L37" s="24">
        <f t="shared" si="4"/>
        <v>147232</v>
      </c>
      <c r="M37" s="24">
        <f t="shared" si="4"/>
        <v>147232</v>
      </c>
      <c r="N37" s="24">
        <f t="shared" si="4"/>
        <v>147232</v>
      </c>
      <c r="O37" s="25">
        <f t="shared" si="0"/>
        <v>736160</v>
      </c>
    </row>
    <row r="38" spans="1:17" ht="15" customHeight="1" x14ac:dyDescent="0.2">
      <c r="A38" s="853" t="s">
        <v>148</v>
      </c>
      <c r="B38" s="27" t="s">
        <v>149</v>
      </c>
      <c r="C38" s="28">
        <v>0</v>
      </c>
      <c r="D38" s="28">
        <v>0</v>
      </c>
      <c r="E38" s="28">
        <v>0</v>
      </c>
      <c r="F38" s="28">
        <v>0</v>
      </c>
      <c r="G38" s="28">
        <v>0</v>
      </c>
      <c r="H38" s="28">
        <v>0</v>
      </c>
      <c r="I38" s="28">
        <v>0</v>
      </c>
      <c r="J38" s="28">
        <v>14000</v>
      </c>
      <c r="K38" s="28">
        <v>0</v>
      </c>
      <c r="L38" s="28">
        <v>0</v>
      </c>
      <c r="M38" s="28">
        <v>0</v>
      </c>
      <c r="N38" s="28">
        <v>0</v>
      </c>
      <c r="O38" s="18">
        <f t="shared" si="0"/>
        <v>14000</v>
      </c>
      <c r="P38" s="29"/>
    </row>
    <row r="39" spans="1:17" ht="15" x14ac:dyDescent="0.2">
      <c r="A39" s="854"/>
      <c r="B39" s="27" t="s">
        <v>150</v>
      </c>
      <c r="C39" s="28">
        <v>0</v>
      </c>
      <c r="D39" s="28">
        <v>0</v>
      </c>
      <c r="E39" s="28">
        <v>0</v>
      </c>
      <c r="F39" s="28">
        <v>0</v>
      </c>
      <c r="G39" s="28">
        <v>0</v>
      </c>
      <c r="H39" s="28">
        <v>0</v>
      </c>
      <c r="I39" s="28">
        <v>0</v>
      </c>
      <c r="J39" s="28">
        <v>0</v>
      </c>
      <c r="K39" s="28">
        <v>0</v>
      </c>
      <c r="L39" s="28">
        <v>0</v>
      </c>
      <c r="M39" s="28">
        <v>0</v>
      </c>
      <c r="N39" s="28">
        <v>0</v>
      </c>
      <c r="O39" s="18">
        <f t="shared" si="0"/>
        <v>0</v>
      </c>
      <c r="Q39" s="16">
        <f>+Q37+Q38</f>
        <v>0</v>
      </c>
    </row>
    <row r="40" spans="1:17" ht="15" x14ac:dyDescent="0.2">
      <c r="A40" s="854"/>
      <c r="B40" s="27" t="s">
        <v>151</v>
      </c>
      <c r="C40" s="28">
        <v>0</v>
      </c>
      <c r="D40" s="28">
        <v>0</v>
      </c>
      <c r="E40" s="28">
        <v>0</v>
      </c>
      <c r="F40" s="28">
        <v>0</v>
      </c>
      <c r="G40" s="28">
        <v>0</v>
      </c>
      <c r="H40" s="28">
        <v>0</v>
      </c>
      <c r="I40" s="28">
        <v>0</v>
      </c>
      <c r="J40" s="28">
        <v>60</v>
      </c>
      <c r="K40" s="28">
        <v>60</v>
      </c>
      <c r="L40" s="28">
        <v>60</v>
      </c>
      <c r="M40" s="28">
        <v>60</v>
      </c>
      <c r="N40" s="28">
        <v>60</v>
      </c>
      <c r="O40" s="18">
        <f t="shared" si="0"/>
        <v>300</v>
      </c>
    </row>
    <row r="41" spans="1:17" ht="15" x14ac:dyDescent="0.2">
      <c r="A41" s="854"/>
      <c r="B41" s="27" t="s">
        <v>152</v>
      </c>
      <c r="C41" s="28">
        <v>0</v>
      </c>
      <c r="D41" s="28">
        <v>0</v>
      </c>
      <c r="E41" s="28">
        <v>0</v>
      </c>
      <c r="F41" s="28">
        <v>0</v>
      </c>
      <c r="G41" s="28">
        <v>0</v>
      </c>
      <c r="H41" s="28">
        <v>0</v>
      </c>
      <c r="I41" s="28">
        <v>0</v>
      </c>
      <c r="J41" s="28">
        <v>0</v>
      </c>
      <c r="K41" s="28">
        <v>0</v>
      </c>
      <c r="L41" s="28">
        <v>0</v>
      </c>
      <c r="M41" s="28">
        <v>0</v>
      </c>
      <c r="N41" s="28">
        <v>0</v>
      </c>
      <c r="O41" s="18">
        <f t="shared" si="0"/>
        <v>0</v>
      </c>
    </row>
    <row r="42" spans="1:17" ht="15" x14ac:dyDescent="0.2">
      <c r="A42" s="854"/>
      <c r="B42" s="27" t="s">
        <v>153</v>
      </c>
      <c r="C42" s="28">
        <v>0</v>
      </c>
      <c r="D42" s="28">
        <v>0</v>
      </c>
      <c r="E42" s="28">
        <v>0</v>
      </c>
      <c r="F42" s="28">
        <v>0</v>
      </c>
      <c r="G42" s="28">
        <v>0</v>
      </c>
      <c r="H42" s="28">
        <v>0</v>
      </c>
      <c r="I42" s="28">
        <v>0</v>
      </c>
      <c r="J42" s="28">
        <v>0</v>
      </c>
      <c r="K42" s="28">
        <v>0</v>
      </c>
      <c r="L42" s="28">
        <v>0</v>
      </c>
      <c r="M42" s="28">
        <v>0</v>
      </c>
      <c r="N42" s="28">
        <v>0</v>
      </c>
      <c r="O42" s="18">
        <f t="shared" si="0"/>
        <v>0</v>
      </c>
    </row>
    <row r="43" spans="1:17" ht="15" x14ac:dyDescent="0.2">
      <c r="A43" s="854"/>
      <c r="B43" s="27" t="s">
        <v>154</v>
      </c>
      <c r="C43" s="28">
        <v>0</v>
      </c>
      <c r="D43" s="28">
        <v>0</v>
      </c>
      <c r="E43" s="28">
        <v>0</v>
      </c>
      <c r="F43" s="28">
        <v>0</v>
      </c>
      <c r="G43" s="28">
        <v>0</v>
      </c>
      <c r="H43" s="28">
        <v>0</v>
      </c>
      <c r="I43" s="28">
        <v>0</v>
      </c>
      <c r="J43" s="28">
        <v>20000</v>
      </c>
      <c r="K43" s="28">
        <v>20000</v>
      </c>
      <c r="L43" s="28">
        <v>20000</v>
      </c>
      <c r="M43" s="28">
        <v>20000</v>
      </c>
      <c r="N43" s="28">
        <v>20000</v>
      </c>
      <c r="O43" s="18">
        <f t="shared" si="0"/>
        <v>100000</v>
      </c>
      <c r="P43" s="170"/>
    </row>
    <row r="44" spans="1:17" ht="15" x14ac:dyDescent="0.2">
      <c r="A44" s="854"/>
      <c r="B44" s="27" t="s">
        <v>155</v>
      </c>
      <c r="C44" s="28">
        <v>0</v>
      </c>
      <c r="D44" s="28">
        <v>0</v>
      </c>
      <c r="E44" s="28">
        <v>0</v>
      </c>
      <c r="F44" s="28">
        <v>0</v>
      </c>
      <c r="G44" s="28">
        <v>0</v>
      </c>
      <c r="H44" s="28">
        <v>0</v>
      </c>
      <c r="I44" s="28">
        <v>0</v>
      </c>
      <c r="J44" s="28">
        <v>200</v>
      </c>
      <c r="K44" s="28">
        <v>200</v>
      </c>
      <c r="L44" s="28">
        <v>200</v>
      </c>
      <c r="M44" s="28">
        <v>200</v>
      </c>
      <c r="N44" s="28">
        <v>300</v>
      </c>
      <c r="O44" s="18">
        <f t="shared" si="0"/>
        <v>1100</v>
      </c>
    </row>
    <row r="45" spans="1:17" ht="15" x14ac:dyDescent="0.2">
      <c r="A45" s="854"/>
      <c r="B45" s="27" t="s">
        <v>156</v>
      </c>
      <c r="C45" s="28">
        <v>0</v>
      </c>
      <c r="D45" s="28">
        <v>0</v>
      </c>
      <c r="E45" s="28">
        <v>0</v>
      </c>
      <c r="F45" s="28">
        <v>0</v>
      </c>
      <c r="G45" s="28">
        <v>0</v>
      </c>
      <c r="H45" s="28">
        <v>0</v>
      </c>
      <c r="I45" s="28">
        <v>0</v>
      </c>
      <c r="J45" s="28">
        <v>0</v>
      </c>
      <c r="K45" s="28">
        <v>0</v>
      </c>
      <c r="L45" s="28">
        <v>0</v>
      </c>
      <c r="M45" s="28">
        <v>0</v>
      </c>
      <c r="N45" s="28">
        <v>0</v>
      </c>
      <c r="O45" s="18">
        <f t="shared" si="0"/>
        <v>0</v>
      </c>
    </row>
    <row r="46" spans="1:17" ht="15" x14ac:dyDescent="0.2">
      <c r="A46" s="854"/>
      <c r="B46" s="27" t="s">
        <v>157</v>
      </c>
      <c r="C46" s="28">
        <v>0</v>
      </c>
      <c r="D46" s="28">
        <v>0</v>
      </c>
      <c r="E46" s="28">
        <v>0</v>
      </c>
      <c r="F46" s="28">
        <v>0</v>
      </c>
      <c r="G46" s="28">
        <v>0</v>
      </c>
      <c r="H46" s="28">
        <v>0</v>
      </c>
      <c r="I46" s="28">
        <v>0</v>
      </c>
      <c r="J46" s="28">
        <v>0</v>
      </c>
      <c r="K46" s="28">
        <v>0</v>
      </c>
      <c r="L46" s="28">
        <v>0</v>
      </c>
      <c r="M46" s="28">
        <v>0</v>
      </c>
      <c r="N46" s="28">
        <v>0</v>
      </c>
      <c r="O46" s="18">
        <f t="shared" si="0"/>
        <v>0</v>
      </c>
    </row>
    <row r="47" spans="1:17" ht="28.5" customHeight="1" x14ac:dyDescent="0.2">
      <c r="A47" s="855"/>
      <c r="B47" s="30" t="s">
        <v>158</v>
      </c>
      <c r="C47" s="28">
        <v>0</v>
      </c>
      <c r="D47" s="28">
        <v>0</v>
      </c>
      <c r="E47" s="28">
        <v>0</v>
      </c>
      <c r="F47" s="28">
        <v>0</v>
      </c>
      <c r="G47" s="28">
        <v>0</v>
      </c>
      <c r="H47" s="28">
        <v>0</v>
      </c>
      <c r="I47" s="28">
        <v>0</v>
      </c>
      <c r="J47" s="28">
        <v>0</v>
      </c>
      <c r="K47" s="28">
        <v>0</v>
      </c>
      <c r="L47" s="28">
        <v>0</v>
      </c>
      <c r="M47" s="28">
        <v>0</v>
      </c>
      <c r="N47" s="28">
        <v>0</v>
      </c>
      <c r="O47" s="31">
        <f t="shared" si="0"/>
        <v>0</v>
      </c>
    </row>
    <row r="48" spans="1:17" ht="15" x14ac:dyDescent="0.2">
      <c r="A48" s="856"/>
      <c r="B48" s="127" t="s">
        <v>434</v>
      </c>
      <c r="C48" s="28">
        <v>0</v>
      </c>
      <c r="D48" s="28">
        <v>0</v>
      </c>
      <c r="E48" s="28">
        <v>0</v>
      </c>
      <c r="F48" s="28">
        <v>0</v>
      </c>
      <c r="G48" s="28">
        <v>0</v>
      </c>
      <c r="H48" s="28">
        <v>0</v>
      </c>
      <c r="I48" s="28">
        <v>0</v>
      </c>
      <c r="J48" s="28">
        <v>0</v>
      </c>
      <c r="K48" s="28">
        <v>0</v>
      </c>
      <c r="L48" s="28">
        <v>0</v>
      </c>
      <c r="M48" s="28">
        <v>0</v>
      </c>
      <c r="N48" s="28">
        <v>0</v>
      </c>
      <c r="O48" s="31">
        <f t="shared" si="0"/>
        <v>0</v>
      </c>
    </row>
    <row r="49" spans="1:18" ht="15" x14ac:dyDescent="0.2">
      <c r="A49" s="857" t="s">
        <v>160</v>
      </c>
      <c r="B49" s="858"/>
      <c r="C49" s="33">
        <f t="shared" ref="C49:N49" si="5">SUM(C38:C48)</f>
        <v>0</v>
      </c>
      <c r="D49" s="33">
        <f t="shared" si="5"/>
        <v>0</v>
      </c>
      <c r="E49" s="33">
        <f t="shared" si="5"/>
        <v>0</v>
      </c>
      <c r="F49" s="33">
        <f t="shared" si="5"/>
        <v>0</v>
      </c>
      <c r="G49" s="33">
        <f t="shared" si="5"/>
        <v>0</v>
      </c>
      <c r="H49" s="33">
        <f t="shared" si="5"/>
        <v>0</v>
      </c>
      <c r="I49" s="33">
        <f t="shared" si="5"/>
        <v>0</v>
      </c>
      <c r="J49" s="33">
        <f t="shared" si="5"/>
        <v>34260</v>
      </c>
      <c r="K49" s="33">
        <f t="shared" si="5"/>
        <v>20260</v>
      </c>
      <c r="L49" s="33">
        <f t="shared" si="5"/>
        <v>20260</v>
      </c>
      <c r="M49" s="33">
        <f t="shared" si="5"/>
        <v>20260</v>
      </c>
      <c r="N49" s="33">
        <f t="shared" si="5"/>
        <v>20360</v>
      </c>
      <c r="O49" s="34">
        <f t="shared" si="0"/>
        <v>115400</v>
      </c>
    </row>
    <row r="50" spans="1:18" ht="15.75" thickBot="1" x14ac:dyDescent="0.25">
      <c r="A50" s="859" t="s">
        <v>161</v>
      </c>
      <c r="B50" s="860"/>
      <c r="C50" s="35">
        <f t="shared" ref="C50:N50" si="6">C37-C49</f>
        <v>0</v>
      </c>
      <c r="D50" s="35">
        <f t="shared" si="6"/>
        <v>0</v>
      </c>
      <c r="E50" s="35">
        <f t="shared" si="6"/>
        <v>0</v>
      </c>
      <c r="F50" s="35">
        <f t="shared" si="6"/>
        <v>0</v>
      </c>
      <c r="G50" s="35">
        <f t="shared" si="6"/>
        <v>0</v>
      </c>
      <c r="H50" s="35">
        <f t="shared" si="6"/>
        <v>0</v>
      </c>
      <c r="I50" s="35">
        <f t="shared" si="6"/>
        <v>0</v>
      </c>
      <c r="J50" s="35">
        <f t="shared" si="6"/>
        <v>112972</v>
      </c>
      <c r="K50" s="35">
        <f t="shared" si="6"/>
        <v>126972</v>
      </c>
      <c r="L50" s="35">
        <f t="shared" si="6"/>
        <v>126972</v>
      </c>
      <c r="M50" s="35">
        <f t="shared" si="6"/>
        <v>126972</v>
      </c>
      <c r="N50" s="35">
        <f t="shared" si="6"/>
        <v>126872</v>
      </c>
      <c r="O50" s="36">
        <f t="shared" si="0"/>
        <v>620760</v>
      </c>
    </row>
    <row r="51" spans="1:18" x14ac:dyDescent="0.2">
      <c r="C51" s="38"/>
      <c r="D51" s="38"/>
      <c r="E51" s="38"/>
      <c r="F51" s="38"/>
      <c r="G51" s="38"/>
      <c r="H51" s="38"/>
      <c r="I51" s="38"/>
      <c r="J51" s="409">
        <f>+J37-SUM(J22:J36)</f>
        <v>147232</v>
      </c>
      <c r="K51" s="38"/>
      <c r="L51" s="38"/>
      <c r="M51" s="38"/>
      <c r="N51" s="38"/>
    </row>
    <row r="52" spans="1:18" ht="13.5" thickBot="1" x14ac:dyDescent="0.25">
      <c r="J52" s="38">
        <f>+J51-J49</f>
        <v>112972</v>
      </c>
      <c r="M52" s="38"/>
      <c r="Q52" s="16">
        <f>+Q50+Q51</f>
        <v>0</v>
      </c>
    </row>
    <row r="53" spans="1:18" ht="13.5" thickBot="1" x14ac:dyDescent="0.25">
      <c r="B53" s="789" t="s">
        <v>162</v>
      </c>
      <c r="C53" s="861"/>
      <c r="D53" s="861"/>
      <c r="E53" s="861"/>
      <c r="F53" s="862"/>
      <c r="G53" s="863">
        <f>O37</f>
        <v>736160</v>
      </c>
      <c r="H53" s="864"/>
      <c r="M53" s="38"/>
      <c r="Q53" s="38"/>
    </row>
    <row r="54" spans="1:18" ht="13.5" thickBot="1" x14ac:dyDescent="0.25"/>
    <row r="55" spans="1:18" x14ac:dyDescent="0.2">
      <c r="B55" s="830" t="s">
        <v>163</v>
      </c>
      <c r="C55" s="833" t="s">
        <v>164</v>
      </c>
      <c r="D55" s="836" t="s">
        <v>229</v>
      </c>
      <c r="E55" s="837"/>
      <c r="F55" s="838"/>
      <c r="G55" s="839">
        <v>40000</v>
      </c>
      <c r="H55" s="840"/>
    </row>
    <row r="56" spans="1:18" x14ac:dyDescent="0.2">
      <c r="B56" s="831"/>
      <c r="C56" s="834"/>
      <c r="D56" s="841" t="s">
        <v>166</v>
      </c>
      <c r="E56" s="842"/>
      <c r="F56" s="843"/>
      <c r="G56" s="844">
        <f>+O44</f>
        <v>1100</v>
      </c>
      <c r="H56" s="845"/>
      <c r="I56" s="39"/>
      <c r="J56" s="45"/>
      <c r="K56" s="45"/>
      <c r="L56" s="45"/>
      <c r="M56" s="45"/>
      <c r="N56" s="45"/>
      <c r="O56" s="45"/>
    </row>
    <row r="57" spans="1:18" ht="13.5" thickBot="1" x14ac:dyDescent="0.25">
      <c r="B57" s="832"/>
      <c r="C57" s="835"/>
      <c r="D57" s="848" t="s">
        <v>266</v>
      </c>
      <c r="E57" s="849"/>
      <c r="F57" s="850"/>
      <c r="G57" s="851">
        <v>0</v>
      </c>
      <c r="H57" s="852"/>
      <c r="J57" s="47"/>
      <c r="K57" s="47"/>
      <c r="L57" s="47"/>
      <c r="M57" s="47"/>
      <c r="N57" s="47"/>
      <c r="O57" s="47"/>
    </row>
    <row r="58" spans="1:18" ht="13.5" thickBot="1" x14ac:dyDescent="0.25">
      <c r="B58" s="48"/>
      <c r="J58" s="47"/>
      <c r="K58" s="47"/>
      <c r="L58" s="47"/>
      <c r="M58" s="47"/>
      <c r="N58" s="47"/>
      <c r="O58" s="47"/>
    </row>
    <row r="59" spans="1:18" ht="13.5" thickBot="1" x14ac:dyDescent="0.25">
      <c r="B59" s="789" t="s">
        <v>168</v>
      </c>
      <c r="C59" s="790"/>
      <c r="D59" s="790"/>
      <c r="E59" s="790"/>
      <c r="F59" s="791"/>
      <c r="G59" s="825">
        <f>+G53-SUM(G55:H57)</f>
        <v>695060</v>
      </c>
      <c r="H59" s="826"/>
      <c r="J59" s="827" t="s">
        <v>169</v>
      </c>
      <c r="K59" s="828"/>
      <c r="L59" s="828"/>
      <c r="M59" s="828"/>
      <c r="N59" s="828"/>
      <c r="O59" s="829"/>
    </row>
    <row r="60" spans="1:18" ht="13.5" thickBot="1" x14ac:dyDescent="0.25">
      <c r="B60" s="49"/>
      <c r="C60" s="50"/>
      <c r="D60" s="50"/>
      <c r="E60" s="50"/>
      <c r="F60" s="50"/>
      <c r="G60" s="45"/>
      <c r="H60" s="50"/>
      <c r="J60" s="129"/>
      <c r="K60" s="130"/>
      <c r="L60" s="130"/>
      <c r="M60" s="130"/>
      <c r="N60" s="130"/>
      <c r="O60" s="131"/>
    </row>
    <row r="61" spans="1:18" ht="13.5" thickBot="1" x14ac:dyDescent="0.25">
      <c r="B61" s="789" t="s">
        <v>170</v>
      </c>
      <c r="C61" s="790"/>
      <c r="D61" s="790"/>
      <c r="E61" s="790"/>
      <c r="F61" s="791"/>
      <c r="G61" s="805"/>
      <c r="H61" s="791"/>
      <c r="J61" s="129"/>
      <c r="K61" s="130"/>
      <c r="L61" s="130"/>
      <c r="M61" s="130"/>
      <c r="N61" s="130"/>
      <c r="O61" s="131"/>
    </row>
    <row r="62" spans="1:18" ht="12.75" customHeight="1" x14ac:dyDescent="0.2">
      <c r="B62" s="57" t="s">
        <v>171</v>
      </c>
      <c r="C62" s="806" t="s">
        <v>172</v>
      </c>
      <c r="D62" s="807"/>
      <c r="E62" s="807"/>
      <c r="F62" s="808"/>
      <c r="G62" s="809">
        <v>0</v>
      </c>
      <c r="H62" s="809"/>
      <c r="I62" s="58"/>
      <c r="J62" s="810" t="s">
        <v>173</v>
      </c>
      <c r="K62" s="811"/>
      <c r="L62" s="811"/>
      <c r="M62" s="811"/>
      <c r="N62" s="811"/>
      <c r="O62" s="812"/>
      <c r="Q62" s="59"/>
      <c r="R62" s="59"/>
    </row>
    <row r="63" spans="1:18" ht="13.5" thickBot="1" x14ac:dyDescent="0.25">
      <c r="D63" s="37"/>
      <c r="G63" s="16" t="s">
        <v>1123</v>
      </c>
      <c r="I63" s="58"/>
      <c r="J63" s="60" t="s">
        <v>1171</v>
      </c>
      <c r="K63" s="61"/>
      <c r="L63" s="61"/>
      <c r="M63" s="61"/>
      <c r="N63" s="61"/>
      <c r="O63" s="62"/>
      <c r="Q63" s="59"/>
      <c r="R63" s="59"/>
    </row>
    <row r="64" spans="1:18" ht="13.5" thickBot="1" x14ac:dyDescent="0.25">
      <c r="B64" s="789" t="s">
        <v>175</v>
      </c>
      <c r="C64" s="790"/>
      <c r="D64" s="790"/>
      <c r="E64" s="790"/>
      <c r="F64" s="791"/>
      <c r="G64" s="805">
        <f>+G59-G62</f>
        <v>695060</v>
      </c>
      <c r="H64" s="791"/>
      <c r="I64" s="63"/>
      <c r="J64" s="75" t="s">
        <v>1172</v>
      </c>
      <c r="K64" s="39"/>
      <c r="L64" s="39"/>
      <c r="M64" s="39"/>
      <c r="N64" s="39"/>
      <c r="O64" s="65"/>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6.25" customHeight="1" thickBot="1" x14ac:dyDescent="0.25">
      <c r="B67" s="66"/>
      <c r="C67" s="48"/>
      <c r="G67" s="70" t="s">
        <v>177</v>
      </c>
      <c r="H67" s="70" t="s">
        <v>178</v>
      </c>
      <c r="I67" s="63"/>
      <c r="J67" s="810" t="s">
        <v>179</v>
      </c>
      <c r="K67" s="811"/>
      <c r="L67" s="71"/>
      <c r="M67" s="71"/>
      <c r="N67" s="71"/>
      <c r="O67" s="72"/>
      <c r="Q67" s="59"/>
      <c r="R67" s="59"/>
    </row>
    <row r="68" spans="2:18" ht="12.75" customHeight="1" x14ac:dyDescent="0.2">
      <c r="B68" s="802" t="s">
        <v>180</v>
      </c>
      <c r="C68" s="821" t="s">
        <v>181</v>
      </c>
      <c r="D68" s="823" t="s">
        <v>182</v>
      </c>
      <c r="E68" s="824"/>
      <c r="F68" s="824"/>
      <c r="G68" s="73">
        <f>+O43</f>
        <v>100000</v>
      </c>
      <c r="H68" s="74">
        <f t="shared" ref="H68:H76" si="7">+G68</f>
        <v>100000</v>
      </c>
      <c r="I68" s="63"/>
      <c r="J68" s="75" t="s">
        <v>183</v>
      </c>
      <c r="K68" s="58"/>
      <c r="L68" s="58"/>
      <c r="M68" s="135"/>
      <c r="N68" s="135"/>
      <c r="O68" s="76"/>
      <c r="Q68" s="59"/>
      <c r="R68" s="59"/>
    </row>
    <row r="69" spans="2:18" ht="12.75" customHeight="1" x14ac:dyDescent="0.2">
      <c r="B69" s="803"/>
      <c r="C69" s="822"/>
      <c r="D69" s="782" t="s">
        <v>184</v>
      </c>
      <c r="E69" s="783"/>
      <c r="F69" s="783"/>
      <c r="G69" s="77">
        <f>+O47</f>
        <v>0</v>
      </c>
      <c r="H69" s="78">
        <f t="shared" si="7"/>
        <v>0</v>
      </c>
      <c r="I69" s="63"/>
      <c r="J69" s="181"/>
      <c r="K69" s="135"/>
      <c r="L69" s="135"/>
      <c r="M69" s="135"/>
      <c r="N69" s="135"/>
      <c r="O69" s="136"/>
      <c r="Q69" s="59"/>
      <c r="R69" s="59"/>
    </row>
    <row r="70" spans="2:18" ht="12.75" customHeight="1" x14ac:dyDescent="0.2">
      <c r="B70" s="803"/>
      <c r="C70" s="822"/>
      <c r="D70" s="819" t="s">
        <v>185</v>
      </c>
      <c r="E70" s="820"/>
      <c r="F70" s="820"/>
      <c r="G70" s="80">
        <f>O40</f>
        <v>300</v>
      </c>
      <c r="H70" s="78">
        <f t="shared" si="7"/>
        <v>300</v>
      </c>
      <c r="I70" s="63"/>
      <c r="J70" s="181"/>
      <c r="K70" s="182"/>
      <c r="L70" s="135"/>
      <c r="M70" s="135"/>
      <c r="N70" s="135"/>
      <c r="O70" s="136"/>
    </row>
    <row r="71" spans="2:18" x14ac:dyDescent="0.2">
      <c r="B71" s="803"/>
      <c r="C71" s="822"/>
      <c r="D71" s="782" t="s">
        <v>186</v>
      </c>
      <c r="E71" s="783"/>
      <c r="F71" s="783"/>
      <c r="G71" s="81">
        <v>0</v>
      </c>
      <c r="H71" s="78">
        <f t="shared" si="7"/>
        <v>0</v>
      </c>
      <c r="I71" s="63"/>
      <c r="J71" s="181"/>
      <c r="K71" s="183"/>
      <c r="L71" s="183"/>
      <c r="M71" s="135"/>
      <c r="N71" s="135"/>
      <c r="O71" s="184"/>
    </row>
    <row r="72" spans="2:18" ht="12.75" customHeight="1" x14ac:dyDescent="0.2">
      <c r="B72" s="803"/>
      <c r="C72" s="822"/>
      <c r="D72" s="784" t="s">
        <v>188</v>
      </c>
      <c r="E72" s="783"/>
      <c r="F72" s="783"/>
      <c r="G72" s="80">
        <v>0</v>
      </c>
      <c r="H72" s="78">
        <f t="shared" si="7"/>
        <v>0</v>
      </c>
      <c r="I72" s="63"/>
      <c r="J72" s="181"/>
      <c r="K72" s="183"/>
      <c r="L72" s="183"/>
      <c r="M72" s="135"/>
      <c r="N72" s="135"/>
      <c r="O72" s="184"/>
    </row>
    <row r="73" spans="2:18" ht="14.25" customHeight="1" x14ac:dyDescent="0.2">
      <c r="B73" s="803"/>
      <c r="C73" s="822"/>
      <c r="D73" s="782" t="s">
        <v>190</v>
      </c>
      <c r="E73" s="783"/>
      <c r="F73" s="783"/>
      <c r="G73" s="84">
        <v>0</v>
      </c>
      <c r="H73" s="78">
        <f t="shared" si="7"/>
        <v>0</v>
      </c>
      <c r="I73" s="63"/>
      <c r="J73" s="181"/>
      <c r="K73" s="183"/>
      <c r="L73" s="183"/>
      <c r="M73" s="183"/>
      <c r="N73" s="183"/>
      <c r="O73" s="184"/>
    </row>
    <row r="74" spans="2:18" x14ac:dyDescent="0.2">
      <c r="B74" s="803"/>
      <c r="C74" s="822"/>
      <c r="D74" s="782" t="s">
        <v>191</v>
      </c>
      <c r="E74" s="783"/>
      <c r="F74" s="783"/>
      <c r="G74" s="81">
        <v>0</v>
      </c>
      <c r="H74" s="78">
        <f t="shared" si="7"/>
        <v>0</v>
      </c>
      <c r="I74" s="58"/>
      <c r="J74" s="150"/>
      <c r="K74" s="50"/>
      <c r="L74" s="50"/>
      <c r="M74" s="50"/>
      <c r="N74" s="50"/>
      <c r="O74" s="83"/>
    </row>
    <row r="75" spans="2:18" x14ac:dyDescent="0.2">
      <c r="B75" s="803"/>
      <c r="C75" s="88" t="s">
        <v>192</v>
      </c>
      <c r="D75" s="813" t="s">
        <v>193</v>
      </c>
      <c r="E75" s="814"/>
      <c r="F75" s="814"/>
      <c r="G75" s="80">
        <v>0</v>
      </c>
      <c r="H75" s="78">
        <f t="shared" si="7"/>
        <v>0</v>
      </c>
      <c r="I75" s="58"/>
      <c r="J75" s="82" t="s">
        <v>187</v>
      </c>
      <c r="K75" s="71"/>
      <c r="L75" s="71"/>
      <c r="M75" s="71"/>
      <c r="N75" s="71"/>
      <c r="O75" s="72"/>
    </row>
    <row r="76" spans="2:18" ht="13.5" customHeight="1" thickBot="1" x14ac:dyDescent="0.25">
      <c r="B76" s="803"/>
      <c r="C76" s="88" t="s">
        <v>194</v>
      </c>
      <c r="D76" s="815" t="s">
        <v>195</v>
      </c>
      <c r="E76" s="815"/>
      <c r="F76" s="815"/>
      <c r="G76" s="89">
        <v>0</v>
      </c>
      <c r="H76" s="90">
        <f t="shared" si="7"/>
        <v>0</v>
      </c>
      <c r="I76" s="63"/>
      <c r="J76" s="75" t="s">
        <v>189</v>
      </c>
      <c r="K76" s="50"/>
      <c r="L76" s="50"/>
      <c r="M76" s="50"/>
      <c r="N76" s="50"/>
      <c r="O76" s="83">
        <f>O42</f>
        <v>0</v>
      </c>
    </row>
    <row r="77" spans="2:18" ht="13.5" thickBot="1" x14ac:dyDescent="0.25">
      <c r="B77" s="803"/>
      <c r="C77" s="93"/>
      <c r="D77" s="94"/>
      <c r="E77" s="816" t="s">
        <v>117</v>
      </c>
      <c r="F77" s="817"/>
      <c r="G77" s="95">
        <f>SUM(G68:G76)</f>
        <v>100300</v>
      </c>
      <c r="H77" s="96">
        <f>IF(SUM(G68:G74)&lt;150000,SUM(G68:G74),150000)+IF(+G75&lt;20000,+G75,20000)</f>
        <v>100300</v>
      </c>
      <c r="I77" s="63"/>
      <c r="J77" s="140"/>
      <c r="K77" s="141"/>
      <c r="L77" s="141"/>
      <c r="M77" s="142"/>
      <c r="N77" s="142"/>
      <c r="O77" s="143"/>
    </row>
    <row r="78" spans="2:18" ht="12.75" customHeight="1" x14ac:dyDescent="0.2">
      <c r="B78" s="803"/>
      <c r="C78" s="100" t="s">
        <v>196</v>
      </c>
      <c r="D78" s="782" t="s">
        <v>187</v>
      </c>
      <c r="E78" s="783"/>
      <c r="F78" s="818"/>
      <c r="G78" s="73">
        <f>+O42</f>
        <v>0</v>
      </c>
      <c r="H78" s="101">
        <f>+IF(+G78&lt;25000,+G78,25000)</f>
        <v>0</v>
      </c>
      <c r="I78" s="87"/>
    </row>
    <row r="79" spans="2:18" ht="15" customHeight="1" x14ac:dyDescent="0.2">
      <c r="B79" s="803"/>
      <c r="C79" s="100" t="s">
        <v>197</v>
      </c>
      <c r="D79" s="784" t="s">
        <v>198</v>
      </c>
      <c r="E79" s="785"/>
      <c r="F79" s="786"/>
      <c r="G79" s="102"/>
      <c r="H79" s="103">
        <f>+IF(+G79&lt;40000,+G79,40000)</f>
        <v>0</v>
      </c>
      <c r="I79" s="63"/>
    </row>
    <row r="80" spans="2:18" ht="15" x14ac:dyDescent="0.25">
      <c r="B80" s="803"/>
      <c r="C80" s="100" t="s">
        <v>199</v>
      </c>
      <c r="D80" s="784" t="s">
        <v>200</v>
      </c>
      <c r="E80" s="785"/>
      <c r="F80" s="786"/>
      <c r="G80" s="81"/>
      <c r="H80" s="104">
        <v>0</v>
      </c>
      <c r="I80" s="63"/>
      <c r="J80" s="264"/>
      <c r="K80" s="264"/>
      <c r="L80" s="264"/>
    </row>
    <row r="81" spans="2:20" x14ac:dyDescent="0.2">
      <c r="B81" s="803"/>
      <c r="C81" s="100" t="s">
        <v>201</v>
      </c>
      <c r="D81" s="784" t="s">
        <v>202</v>
      </c>
      <c r="E81" s="785"/>
      <c r="F81" s="786"/>
      <c r="G81" s="81"/>
      <c r="H81" s="104">
        <v>0</v>
      </c>
      <c r="I81" s="63"/>
    </row>
    <row r="82" spans="2:20" ht="13.5" thickBot="1" x14ac:dyDescent="0.25">
      <c r="B82" s="804"/>
      <c r="C82" s="100" t="s">
        <v>203</v>
      </c>
      <c r="D82" s="784" t="s">
        <v>204</v>
      </c>
      <c r="E82" s="785"/>
      <c r="F82" s="786"/>
      <c r="G82" s="102"/>
      <c r="H82" s="103">
        <f>+IF(+G82&lt;100000,+G82,10000)</f>
        <v>0</v>
      </c>
      <c r="I82" s="63"/>
      <c r="J82" s="106"/>
    </row>
    <row r="83" spans="2:20" ht="13.5" thickBot="1" x14ac:dyDescent="0.25">
      <c r="B83" s="787" t="s">
        <v>205</v>
      </c>
      <c r="C83" s="788"/>
      <c r="D83" s="788"/>
      <c r="E83" s="788"/>
      <c r="F83" s="788"/>
      <c r="G83" s="107">
        <f>SUM(G78:G82)</f>
        <v>0</v>
      </c>
      <c r="H83" s="108">
        <f>SUM(H77:H82)</f>
        <v>100300</v>
      </c>
    </row>
    <row r="84" spans="2:20" ht="13.5" thickBot="1" x14ac:dyDescent="0.25"/>
    <row r="85" spans="2:20" ht="13.5" thickBot="1" x14ac:dyDescent="0.25">
      <c r="B85" s="789" t="s">
        <v>206</v>
      </c>
      <c r="C85" s="790"/>
      <c r="D85" s="790"/>
      <c r="E85" s="790"/>
      <c r="F85" s="791"/>
      <c r="G85" s="792">
        <f>+G64-H83</f>
        <v>594760</v>
      </c>
      <c r="H85" s="791"/>
      <c r="J85" s="105">
        <f>C37+D37+E37+F37</f>
        <v>0</v>
      </c>
      <c r="K85" s="16" t="s">
        <v>235</v>
      </c>
      <c r="L85" s="87"/>
    </row>
    <row r="86" spans="2:20" x14ac:dyDescent="0.2">
      <c r="B86" s="110"/>
      <c r="F86" s="105"/>
      <c r="J86" s="105">
        <f>G37+H37+I37</f>
        <v>0</v>
      </c>
      <c r="K86" s="16" t="s">
        <v>236</v>
      </c>
      <c r="L86" s="87"/>
    </row>
    <row r="87" spans="2:20" x14ac:dyDescent="0.2">
      <c r="C87" s="793" t="s">
        <v>207</v>
      </c>
      <c r="D87" s="794"/>
      <c r="E87" s="111" t="s">
        <v>208</v>
      </c>
      <c r="F87" s="111" t="s">
        <v>209</v>
      </c>
      <c r="G87" s="111" t="s">
        <v>210</v>
      </c>
      <c r="H87" s="111" t="s">
        <v>211</v>
      </c>
      <c r="J87" s="213">
        <f>J37+K37+L37</f>
        <v>441696</v>
      </c>
      <c r="K87" s="47" t="s">
        <v>237</v>
      </c>
      <c r="L87" s="87"/>
    </row>
    <row r="88" spans="2:20" x14ac:dyDescent="0.2">
      <c r="C88" s="795" t="str">
        <f>IF(I6="M","0          - 250000","0          -  250000")</f>
        <v>0          - 250000</v>
      </c>
      <c r="D88" s="796"/>
      <c r="E88" s="112">
        <v>0</v>
      </c>
      <c r="F88" s="113">
        <f>IF(I6="M",(IF(G85&lt;250000,G85,250000)),(IF(G85&lt;250000,G85,250000)))</f>
        <v>250000</v>
      </c>
      <c r="G88" s="113">
        <f>G85-F88</f>
        <v>344760</v>
      </c>
      <c r="H88" s="113">
        <f>E88*F88</f>
        <v>0</v>
      </c>
      <c r="J88" s="207">
        <f>M37+N37</f>
        <v>294464</v>
      </c>
      <c r="K88" s="1" t="s">
        <v>238</v>
      </c>
      <c r="L88" s="87"/>
    </row>
    <row r="89" spans="2:20" x14ac:dyDescent="0.2">
      <c r="C89" s="795" t="str">
        <f>IF(I6="M","250001 - 500000","250001-500000")</f>
        <v>250001 - 500000</v>
      </c>
      <c r="D89" s="796"/>
      <c r="E89" s="112">
        <v>0.05</v>
      </c>
      <c r="F89" s="113">
        <f>IF(I6="M",(IF(G88&lt;250000,G88,250000)),(IF(G88&lt;250000,G88,250000)))</f>
        <v>250000</v>
      </c>
      <c r="G89" s="113">
        <f>G88-F89</f>
        <v>94760</v>
      </c>
      <c r="H89" s="114">
        <f>ROUND(E89*F89,0.1)</f>
        <v>12500</v>
      </c>
      <c r="J89" s="115">
        <f>SUM(J85:J88)</f>
        <v>736160</v>
      </c>
      <c r="L89" s="87"/>
    </row>
    <row r="90" spans="2:20" x14ac:dyDescent="0.2">
      <c r="C90" s="797" t="s">
        <v>212</v>
      </c>
      <c r="D90" s="798"/>
      <c r="E90" s="112">
        <v>0.2</v>
      </c>
      <c r="F90" s="113">
        <f>IF(G89&lt;500000,G89,500000)</f>
        <v>94760</v>
      </c>
      <c r="G90" s="113">
        <f>G89-F90</f>
        <v>0</v>
      </c>
      <c r="H90" s="114">
        <f>ROUND(E90*F90,0.1)</f>
        <v>18952</v>
      </c>
      <c r="J90" s="16">
        <f>+G85</f>
        <v>594760</v>
      </c>
      <c r="L90" s="87"/>
    </row>
    <row r="91" spans="2:20" x14ac:dyDescent="0.2">
      <c r="C91" s="795" t="s">
        <v>213</v>
      </c>
      <c r="D91" s="796"/>
      <c r="E91" s="112">
        <v>0.3</v>
      </c>
      <c r="F91" s="113">
        <f>G90</f>
        <v>0</v>
      </c>
      <c r="G91" s="113">
        <f>G90-F91</f>
        <v>0</v>
      </c>
      <c r="H91" s="114">
        <f>ROUND(E91*F91,0.1)</f>
        <v>0</v>
      </c>
      <c r="J91" s="16">
        <f>+J89-J90</f>
        <v>141400</v>
      </c>
      <c r="L91" s="87"/>
    </row>
    <row r="92" spans="2:20" ht="12.75" customHeight="1" thickBot="1" x14ac:dyDescent="0.25">
      <c r="B92" s="116"/>
      <c r="C92" s="117"/>
      <c r="D92" s="47"/>
      <c r="E92" s="47"/>
      <c r="F92" s="47"/>
      <c r="J92" s="87"/>
      <c r="K92" s="118"/>
      <c r="L92" s="87"/>
      <c r="N92" s="109" t="s">
        <v>1173</v>
      </c>
      <c r="O92" s="109"/>
      <c r="P92" s="109"/>
      <c r="Q92" s="109"/>
      <c r="R92" s="109"/>
      <c r="S92" s="109"/>
      <c r="T92" s="109"/>
    </row>
    <row r="93" spans="2:20" ht="13.5" thickBot="1" x14ac:dyDescent="0.25">
      <c r="B93" s="799" t="s">
        <v>239</v>
      </c>
      <c r="C93" s="800"/>
      <c r="D93" s="800"/>
      <c r="E93" s="800"/>
      <c r="F93" s="801"/>
      <c r="G93" s="897">
        <f>H88+H89+H90+H91</f>
        <v>31452</v>
      </c>
      <c r="H93" s="898"/>
    </row>
    <row r="94" spans="2:20" ht="13.5" thickBot="1" x14ac:dyDescent="0.25">
      <c r="B94" s="119" t="s">
        <v>215</v>
      </c>
      <c r="C94" s="120"/>
      <c r="D94" s="120"/>
      <c r="E94" s="120"/>
      <c r="F94" s="120"/>
      <c r="G94" s="895">
        <f>IF((G64&lt;500000),5000,0)</f>
        <v>0</v>
      </c>
      <c r="H94" s="896">
        <f>IF(H92&lt;200000,0,IF(H92&lt;220000,((H92-200000)*10%),IF(H92&lt;=500000,2000,IF(H92&gt;=500000,0))))</f>
        <v>0</v>
      </c>
      <c r="J94" s="1"/>
      <c r="K94" s="121"/>
      <c r="L94" s="121"/>
    </row>
    <row r="95" spans="2:20" ht="13.5" thickBot="1" x14ac:dyDescent="0.25">
      <c r="B95" s="122" t="s">
        <v>216</v>
      </c>
      <c r="C95" s="123"/>
      <c r="D95" s="123"/>
      <c r="E95" s="123"/>
      <c r="F95" s="123"/>
      <c r="G95" s="897">
        <f>IF((G93-G94)&lt;0,0,(G93-G94))</f>
        <v>31452</v>
      </c>
      <c r="H95" s="898"/>
      <c r="I95" s="37"/>
    </row>
    <row r="96" spans="2:20" ht="13.5" thickBot="1" x14ac:dyDescent="0.25">
      <c r="B96" s="773" t="s">
        <v>217</v>
      </c>
      <c r="C96" s="774"/>
      <c r="D96" s="774"/>
      <c r="E96" s="774"/>
      <c r="F96" s="775"/>
      <c r="G96" s="899">
        <f>ROUND((IF(G95&gt;0,(G95*3%),0)),0)</f>
        <v>944</v>
      </c>
      <c r="H96" s="900"/>
      <c r="I96" s="37"/>
    </row>
    <row r="97" spans="2:9" ht="13.5" thickBot="1" x14ac:dyDescent="0.25">
      <c r="B97" s="778" t="s">
        <v>218</v>
      </c>
      <c r="C97" s="779"/>
      <c r="D97" s="779"/>
      <c r="E97" s="779"/>
      <c r="F97" s="779"/>
      <c r="G97" s="901">
        <f>G95+G96</f>
        <v>32396</v>
      </c>
      <c r="H97" s="902"/>
      <c r="I97" s="121"/>
    </row>
    <row r="98" spans="2:9" ht="13.5" thickBot="1" x14ac:dyDescent="0.25">
      <c r="B98" s="765" t="s">
        <v>219</v>
      </c>
      <c r="C98" s="766"/>
      <c r="D98" s="766"/>
      <c r="E98" s="766"/>
      <c r="F98" s="766"/>
      <c r="G98" s="893">
        <f>O38</f>
        <v>14000</v>
      </c>
      <c r="H98" s="894"/>
      <c r="I98" s="121"/>
    </row>
    <row r="99" spans="2:9" ht="13.5" thickBot="1" x14ac:dyDescent="0.25">
      <c r="B99" s="765" t="str">
        <f>IF(G99&gt;0,"TAX PAYABLE","TAX REFUND")</f>
        <v>TAX PAYABLE</v>
      </c>
      <c r="C99" s="766"/>
      <c r="D99" s="766"/>
      <c r="E99" s="766"/>
      <c r="F99" s="766"/>
      <c r="G99" s="893">
        <f>+G97-G98</f>
        <v>18396</v>
      </c>
      <c r="H99" s="894"/>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1">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J59:O59"/>
    <mergeCell ref="A38:A48"/>
    <mergeCell ref="A49:B49"/>
    <mergeCell ref="A50:B50"/>
    <mergeCell ref="B53:F53"/>
    <mergeCell ref="G53:H53"/>
    <mergeCell ref="B55:B57"/>
    <mergeCell ref="C55:C57"/>
    <mergeCell ref="D55:F55"/>
    <mergeCell ref="G55:H55"/>
    <mergeCell ref="D56:F56"/>
    <mergeCell ref="B64:F64"/>
    <mergeCell ref="G64:H64"/>
    <mergeCell ref="G56:H56"/>
    <mergeCell ref="D57:F57"/>
    <mergeCell ref="G57:H57"/>
    <mergeCell ref="B59:F59"/>
    <mergeCell ref="G59:H59"/>
    <mergeCell ref="B61:F61"/>
    <mergeCell ref="G61:H61"/>
    <mergeCell ref="C62:F62"/>
    <mergeCell ref="G62:H62"/>
    <mergeCell ref="J62:O62"/>
    <mergeCell ref="D80:F80"/>
    <mergeCell ref="J67:K67"/>
    <mergeCell ref="B68:B82"/>
    <mergeCell ref="C68:C74"/>
    <mergeCell ref="D68:F68"/>
    <mergeCell ref="D69:F69"/>
    <mergeCell ref="D70:F70"/>
    <mergeCell ref="D71:F71"/>
    <mergeCell ref="D72:F72"/>
    <mergeCell ref="D73:F73"/>
    <mergeCell ref="D74:F74"/>
    <mergeCell ref="D75:F75"/>
    <mergeCell ref="D76:F76"/>
    <mergeCell ref="E77:F77"/>
    <mergeCell ref="D78:F78"/>
    <mergeCell ref="D79:F79"/>
    <mergeCell ref="G93:H93"/>
    <mergeCell ref="D81:F81"/>
    <mergeCell ref="D82:F82"/>
    <mergeCell ref="B83:F83"/>
    <mergeCell ref="B85:F85"/>
    <mergeCell ref="G85:H85"/>
    <mergeCell ref="C87:D87"/>
    <mergeCell ref="C88:D88"/>
    <mergeCell ref="C89:D89"/>
    <mergeCell ref="C90:D90"/>
    <mergeCell ref="C91:D91"/>
    <mergeCell ref="B93:F93"/>
    <mergeCell ref="B98:F98"/>
    <mergeCell ref="G98:H98"/>
    <mergeCell ref="B99:F99"/>
    <mergeCell ref="G99:H99"/>
    <mergeCell ref="G94:H94"/>
    <mergeCell ref="G95:H95"/>
    <mergeCell ref="B96:F96"/>
    <mergeCell ref="G96:H96"/>
    <mergeCell ref="B97:F97"/>
    <mergeCell ref="G97:H97"/>
  </mergeCells>
  <conditionalFormatting sqref="B90:F90 B99:F99 B93:F97">
    <cfRule type="cellIs" dxfId="2169" priority="1" stopIfTrue="1" operator="equal">
      <formula>"TAX PAYABLE"</formula>
    </cfRule>
    <cfRule type="cellIs" dxfId="2168" priority="2" stopIfTrue="1" operator="equal">
      <formula>"TAX REFUND"</formula>
    </cfRule>
  </conditionalFormatting>
  <conditionalFormatting sqref="G90:H90">
    <cfRule type="cellIs" dxfId="2167" priority="3" stopIfTrue="1" operator="lessThan">
      <formula>0</formula>
    </cfRule>
    <cfRule type="cellIs" dxfId="2166" priority="4" stopIfTrue="1" operator="greaterThan">
      <formula>0</formula>
    </cfRule>
  </conditionalFormatting>
  <conditionalFormatting sqref="G99:H99">
    <cfRule type="cellIs" dxfId="2165" priority="5" stopIfTrue="1" operator="greaterThan">
      <formula>0</formula>
    </cfRule>
    <cfRule type="cellIs" dxfId="2164" priority="6"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5" right="0.75" top="1" bottom="1" header="0.5" footer="0.5"/>
  <headerFooter alignWithMargins="0"/>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7"/>
  <sheetViews>
    <sheetView topLeftCell="A62" workbookViewId="0">
      <selection activeCell="P19" sqref="P19"/>
    </sheetView>
  </sheetViews>
  <sheetFormatPr defaultRowHeight="12.75" x14ac:dyDescent="0.2"/>
  <cols>
    <col min="1" max="1" width="5" style="16" customWidth="1"/>
    <col min="2" max="2" width="18.140625" style="37" customWidth="1"/>
    <col min="3" max="3" width="10.7109375" style="16" bestFit="1" customWidth="1"/>
    <col min="4" max="4" width="6.7109375" style="16" bestFit="1" customWidth="1"/>
    <col min="5" max="5" width="8.5703125" style="16" bestFit="1" customWidth="1"/>
    <col min="6" max="6" width="9.28515625" style="16" bestFit="1" customWidth="1"/>
    <col min="7" max="7" width="10.42578125" style="16" bestFit="1" customWidth="1"/>
    <col min="8" max="8" width="10.28515625" style="16" bestFit="1" customWidth="1"/>
    <col min="9" max="9" width="7.140625" style="16" bestFit="1" customWidth="1"/>
    <col min="10" max="10" width="7.85546875" style="16" customWidth="1"/>
    <col min="11" max="14" width="7" style="16" bestFit="1" customWidth="1"/>
    <col min="15" max="19" width="9.140625" style="16"/>
    <col min="20" max="20" width="12.42578125" style="16" customWidth="1"/>
    <col min="21" max="21" width="9.140625" style="16"/>
    <col min="22" max="22" width="12" style="16" customWidth="1"/>
    <col min="23" max="256" width="9.140625" style="16"/>
    <col min="257" max="257" width="5" style="16" customWidth="1"/>
    <col min="258" max="258" width="18.140625" style="16" customWidth="1"/>
    <col min="259" max="259" width="10.7109375" style="16" bestFit="1" customWidth="1"/>
    <col min="260" max="260" width="6.7109375" style="16" bestFit="1" customWidth="1"/>
    <col min="261" max="261" width="8.5703125" style="16" bestFit="1" customWidth="1"/>
    <col min="262" max="262" width="9.28515625" style="16" bestFit="1" customWidth="1"/>
    <col min="263" max="263" width="10.42578125" style="16" bestFit="1" customWidth="1"/>
    <col min="264" max="264" width="10.28515625" style="16" bestFit="1" customWidth="1"/>
    <col min="265" max="265" width="7.140625" style="16" bestFit="1" customWidth="1"/>
    <col min="266" max="266" width="7.85546875" style="16" customWidth="1"/>
    <col min="267" max="270" width="7" style="16" bestFit="1" customWidth="1"/>
    <col min="271" max="275" width="9.140625" style="16"/>
    <col min="276" max="276" width="12.42578125" style="16" customWidth="1"/>
    <col min="277" max="277" width="9.140625" style="16"/>
    <col min="278" max="278" width="12" style="16" customWidth="1"/>
    <col min="279" max="512" width="9.140625" style="16"/>
    <col min="513" max="513" width="5" style="16" customWidth="1"/>
    <col min="514" max="514" width="18.140625" style="16" customWidth="1"/>
    <col min="515" max="515" width="10.7109375" style="16" bestFit="1" customWidth="1"/>
    <col min="516" max="516" width="6.7109375" style="16" bestFit="1" customWidth="1"/>
    <col min="517" max="517" width="8.5703125" style="16" bestFit="1" customWidth="1"/>
    <col min="518" max="518" width="9.28515625" style="16" bestFit="1" customWidth="1"/>
    <col min="519" max="519" width="10.42578125" style="16" bestFit="1" customWidth="1"/>
    <col min="520" max="520" width="10.28515625" style="16" bestFit="1" customWidth="1"/>
    <col min="521" max="521" width="7.140625" style="16" bestFit="1" customWidth="1"/>
    <col min="522" max="522" width="7.85546875" style="16" customWidth="1"/>
    <col min="523" max="526" width="7" style="16" bestFit="1" customWidth="1"/>
    <col min="527" max="531" width="9.140625" style="16"/>
    <col min="532" max="532" width="12.42578125" style="16" customWidth="1"/>
    <col min="533" max="533" width="9.140625" style="16"/>
    <col min="534" max="534" width="12" style="16" customWidth="1"/>
    <col min="535" max="768" width="9.140625" style="16"/>
    <col min="769" max="769" width="5" style="16" customWidth="1"/>
    <col min="770" max="770" width="18.140625" style="16" customWidth="1"/>
    <col min="771" max="771" width="10.7109375" style="16" bestFit="1" customWidth="1"/>
    <col min="772" max="772" width="6.7109375" style="16" bestFit="1" customWidth="1"/>
    <col min="773" max="773" width="8.5703125" style="16" bestFit="1" customWidth="1"/>
    <col min="774" max="774" width="9.28515625" style="16" bestFit="1" customWidth="1"/>
    <col min="775" max="775" width="10.42578125" style="16" bestFit="1" customWidth="1"/>
    <col min="776" max="776" width="10.28515625" style="16" bestFit="1" customWidth="1"/>
    <col min="777" max="777" width="7.140625" style="16" bestFit="1" customWidth="1"/>
    <col min="778" max="778" width="7.85546875" style="16" customWidth="1"/>
    <col min="779" max="782" width="7" style="16" bestFit="1" customWidth="1"/>
    <col min="783"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8.140625" style="16" customWidth="1"/>
    <col min="1027" max="1027" width="10.7109375" style="16" bestFit="1" customWidth="1"/>
    <col min="1028" max="1028" width="6.7109375" style="16" bestFit="1" customWidth="1"/>
    <col min="1029" max="1029" width="8.5703125" style="16" bestFit="1" customWidth="1"/>
    <col min="1030" max="1030" width="9.28515625" style="16" bestFit="1" customWidth="1"/>
    <col min="1031" max="1031" width="10.42578125" style="16" bestFit="1" customWidth="1"/>
    <col min="1032" max="1032" width="10.28515625" style="16" bestFit="1" customWidth="1"/>
    <col min="1033" max="1033" width="7.140625" style="16" bestFit="1" customWidth="1"/>
    <col min="1034" max="1034" width="7.85546875" style="16" customWidth="1"/>
    <col min="1035" max="1038" width="7" style="16" bestFit="1" customWidth="1"/>
    <col min="1039"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8.140625" style="16" customWidth="1"/>
    <col min="1283" max="1283" width="10.7109375" style="16" bestFit="1" customWidth="1"/>
    <col min="1284" max="1284" width="6.7109375" style="16" bestFit="1" customWidth="1"/>
    <col min="1285" max="1285" width="8.5703125" style="16" bestFit="1" customWidth="1"/>
    <col min="1286" max="1286" width="9.28515625" style="16" bestFit="1" customWidth="1"/>
    <col min="1287" max="1287" width="10.42578125" style="16" bestFit="1" customWidth="1"/>
    <col min="1288" max="1288" width="10.28515625" style="16" bestFit="1" customWidth="1"/>
    <col min="1289" max="1289" width="7.140625" style="16" bestFit="1" customWidth="1"/>
    <col min="1290" max="1290" width="7.85546875" style="16" customWidth="1"/>
    <col min="1291" max="1294" width="7" style="16" bestFit="1" customWidth="1"/>
    <col min="1295"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8.140625" style="16" customWidth="1"/>
    <col min="1539" max="1539" width="10.7109375" style="16" bestFit="1" customWidth="1"/>
    <col min="1540" max="1540" width="6.7109375" style="16" bestFit="1" customWidth="1"/>
    <col min="1541" max="1541" width="8.5703125" style="16" bestFit="1" customWidth="1"/>
    <col min="1542" max="1542" width="9.28515625" style="16" bestFit="1" customWidth="1"/>
    <col min="1543" max="1543" width="10.42578125" style="16" bestFit="1" customWidth="1"/>
    <col min="1544" max="1544" width="10.28515625" style="16" bestFit="1" customWidth="1"/>
    <col min="1545" max="1545" width="7.140625" style="16" bestFit="1" customWidth="1"/>
    <col min="1546" max="1546" width="7.85546875" style="16" customWidth="1"/>
    <col min="1547" max="1550" width="7" style="16" bestFit="1" customWidth="1"/>
    <col min="1551"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8.140625" style="16" customWidth="1"/>
    <col min="1795" max="1795" width="10.7109375" style="16" bestFit="1" customWidth="1"/>
    <col min="1796" max="1796" width="6.7109375" style="16" bestFit="1" customWidth="1"/>
    <col min="1797" max="1797" width="8.5703125" style="16" bestFit="1" customWidth="1"/>
    <col min="1798" max="1798" width="9.28515625" style="16" bestFit="1" customWidth="1"/>
    <col min="1799" max="1799" width="10.42578125" style="16" bestFit="1" customWidth="1"/>
    <col min="1800" max="1800" width="10.28515625" style="16" bestFit="1" customWidth="1"/>
    <col min="1801" max="1801" width="7.140625" style="16" bestFit="1" customWidth="1"/>
    <col min="1802" max="1802" width="7.85546875" style="16" customWidth="1"/>
    <col min="1803" max="1806" width="7" style="16" bestFit="1" customWidth="1"/>
    <col min="1807"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8.140625" style="16" customWidth="1"/>
    <col min="2051" max="2051" width="10.7109375" style="16" bestFit="1" customWidth="1"/>
    <col min="2052" max="2052" width="6.7109375" style="16" bestFit="1" customWidth="1"/>
    <col min="2053" max="2053" width="8.5703125" style="16" bestFit="1" customWidth="1"/>
    <col min="2054" max="2054" width="9.28515625" style="16" bestFit="1" customWidth="1"/>
    <col min="2055" max="2055" width="10.42578125" style="16" bestFit="1" customWidth="1"/>
    <col min="2056" max="2056" width="10.28515625" style="16" bestFit="1" customWidth="1"/>
    <col min="2057" max="2057" width="7.140625" style="16" bestFit="1" customWidth="1"/>
    <col min="2058" max="2058" width="7.85546875" style="16" customWidth="1"/>
    <col min="2059" max="2062" width="7" style="16" bestFit="1" customWidth="1"/>
    <col min="2063"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8.140625" style="16" customWidth="1"/>
    <col min="2307" max="2307" width="10.7109375" style="16" bestFit="1" customWidth="1"/>
    <col min="2308" max="2308" width="6.7109375" style="16" bestFit="1" customWidth="1"/>
    <col min="2309" max="2309" width="8.5703125" style="16" bestFit="1" customWidth="1"/>
    <col min="2310" max="2310" width="9.28515625" style="16" bestFit="1" customWidth="1"/>
    <col min="2311" max="2311" width="10.42578125" style="16" bestFit="1" customWidth="1"/>
    <col min="2312" max="2312" width="10.28515625" style="16" bestFit="1" customWidth="1"/>
    <col min="2313" max="2313" width="7.140625" style="16" bestFit="1" customWidth="1"/>
    <col min="2314" max="2314" width="7.85546875" style="16" customWidth="1"/>
    <col min="2315" max="2318" width="7" style="16" bestFit="1" customWidth="1"/>
    <col min="2319"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8.140625" style="16" customWidth="1"/>
    <col min="2563" max="2563" width="10.7109375" style="16" bestFit="1" customWidth="1"/>
    <col min="2564" max="2564" width="6.7109375" style="16" bestFit="1" customWidth="1"/>
    <col min="2565" max="2565" width="8.5703125" style="16" bestFit="1" customWidth="1"/>
    <col min="2566" max="2566" width="9.28515625" style="16" bestFit="1" customWidth="1"/>
    <col min="2567" max="2567" width="10.42578125" style="16" bestFit="1" customWidth="1"/>
    <col min="2568" max="2568" width="10.28515625" style="16" bestFit="1" customWidth="1"/>
    <col min="2569" max="2569" width="7.140625" style="16" bestFit="1" customWidth="1"/>
    <col min="2570" max="2570" width="7.85546875" style="16" customWidth="1"/>
    <col min="2571" max="2574" width="7" style="16" bestFit="1" customWidth="1"/>
    <col min="2575"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8.140625" style="16" customWidth="1"/>
    <col min="2819" max="2819" width="10.7109375" style="16" bestFit="1" customWidth="1"/>
    <col min="2820" max="2820" width="6.7109375" style="16" bestFit="1" customWidth="1"/>
    <col min="2821" max="2821" width="8.5703125" style="16" bestFit="1" customWidth="1"/>
    <col min="2822" max="2822" width="9.28515625" style="16" bestFit="1" customWidth="1"/>
    <col min="2823" max="2823" width="10.42578125" style="16" bestFit="1" customWidth="1"/>
    <col min="2824" max="2824" width="10.28515625" style="16" bestFit="1" customWidth="1"/>
    <col min="2825" max="2825" width="7.140625" style="16" bestFit="1" customWidth="1"/>
    <col min="2826" max="2826" width="7.85546875" style="16" customWidth="1"/>
    <col min="2827" max="2830" width="7" style="16" bestFit="1" customWidth="1"/>
    <col min="2831"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8.140625" style="16" customWidth="1"/>
    <col min="3075" max="3075" width="10.7109375" style="16" bestFit="1" customWidth="1"/>
    <col min="3076" max="3076" width="6.7109375" style="16" bestFit="1" customWidth="1"/>
    <col min="3077" max="3077" width="8.5703125" style="16" bestFit="1" customWidth="1"/>
    <col min="3078" max="3078" width="9.28515625" style="16" bestFit="1" customWidth="1"/>
    <col min="3079" max="3079" width="10.42578125" style="16" bestFit="1" customWidth="1"/>
    <col min="3080" max="3080" width="10.28515625" style="16" bestFit="1" customWidth="1"/>
    <col min="3081" max="3081" width="7.140625" style="16" bestFit="1" customWidth="1"/>
    <col min="3082" max="3082" width="7.85546875" style="16" customWidth="1"/>
    <col min="3083" max="3086" width="7" style="16" bestFit="1" customWidth="1"/>
    <col min="3087"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8.140625" style="16" customWidth="1"/>
    <col min="3331" max="3331" width="10.7109375" style="16" bestFit="1" customWidth="1"/>
    <col min="3332" max="3332" width="6.7109375" style="16" bestFit="1" customWidth="1"/>
    <col min="3333" max="3333" width="8.5703125" style="16" bestFit="1" customWidth="1"/>
    <col min="3334" max="3334" width="9.28515625" style="16" bestFit="1" customWidth="1"/>
    <col min="3335" max="3335" width="10.42578125" style="16" bestFit="1" customWidth="1"/>
    <col min="3336" max="3336" width="10.28515625" style="16" bestFit="1" customWidth="1"/>
    <col min="3337" max="3337" width="7.140625" style="16" bestFit="1" customWidth="1"/>
    <col min="3338" max="3338" width="7.85546875" style="16" customWidth="1"/>
    <col min="3339" max="3342" width="7" style="16" bestFit="1" customWidth="1"/>
    <col min="3343"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8.140625" style="16" customWidth="1"/>
    <col min="3587" max="3587" width="10.7109375" style="16" bestFit="1" customWidth="1"/>
    <col min="3588" max="3588" width="6.7109375" style="16" bestFit="1" customWidth="1"/>
    <col min="3589" max="3589" width="8.5703125" style="16" bestFit="1" customWidth="1"/>
    <col min="3590" max="3590" width="9.28515625" style="16" bestFit="1" customWidth="1"/>
    <col min="3591" max="3591" width="10.42578125" style="16" bestFit="1" customWidth="1"/>
    <col min="3592" max="3592" width="10.28515625" style="16" bestFit="1" customWidth="1"/>
    <col min="3593" max="3593" width="7.140625" style="16" bestFit="1" customWidth="1"/>
    <col min="3594" max="3594" width="7.85546875" style="16" customWidth="1"/>
    <col min="3595" max="3598" width="7" style="16" bestFit="1" customWidth="1"/>
    <col min="3599"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8.140625" style="16" customWidth="1"/>
    <col min="3843" max="3843" width="10.7109375" style="16" bestFit="1" customWidth="1"/>
    <col min="3844" max="3844" width="6.7109375" style="16" bestFit="1" customWidth="1"/>
    <col min="3845" max="3845" width="8.5703125" style="16" bestFit="1" customWidth="1"/>
    <col min="3846" max="3846" width="9.28515625" style="16" bestFit="1" customWidth="1"/>
    <col min="3847" max="3847" width="10.42578125" style="16" bestFit="1" customWidth="1"/>
    <col min="3848" max="3848" width="10.28515625" style="16" bestFit="1" customWidth="1"/>
    <col min="3849" max="3849" width="7.140625" style="16" bestFit="1" customWidth="1"/>
    <col min="3850" max="3850" width="7.85546875" style="16" customWidth="1"/>
    <col min="3851" max="3854" width="7" style="16" bestFit="1" customWidth="1"/>
    <col min="3855"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8.140625" style="16" customWidth="1"/>
    <col min="4099" max="4099" width="10.7109375" style="16" bestFit="1" customWidth="1"/>
    <col min="4100" max="4100" width="6.7109375" style="16" bestFit="1" customWidth="1"/>
    <col min="4101" max="4101" width="8.5703125" style="16" bestFit="1" customWidth="1"/>
    <col min="4102" max="4102" width="9.28515625" style="16" bestFit="1" customWidth="1"/>
    <col min="4103" max="4103" width="10.42578125" style="16" bestFit="1" customWidth="1"/>
    <col min="4104" max="4104" width="10.28515625" style="16" bestFit="1" customWidth="1"/>
    <col min="4105" max="4105" width="7.140625" style="16" bestFit="1" customWidth="1"/>
    <col min="4106" max="4106" width="7.85546875" style="16" customWidth="1"/>
    <col min="4107" max="4110" width="7" style="16" bestFit="1" customWidth="1"/>
    <col min="4111"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8.140625" style="16" customWidth="1"/>
    <col min="4355" max="4355" width="10.7109375" style="16" bestFit="1" customWidth="1"/>
    <col min="4356" max="4356" width="6.7109375" style="16" bestFit="1" customWidth="1"/>
    <col min="4357" max="4357" width="8.5703125" style="16" bestFit="1" customWidth="1"/>
    <col min="4358" max="4358" width="9.28515625" style="16" bestFit="1" customWidth="1"/>
    <col min="4359" max="4359" width="10.42578125" style="16" bestFit="1" customWidth="1"/>
    <col min="4360" max="4360" width="10.28515625" style="16" bestFit="1" customWidth="1"/>
    <col min="4361" max="4361" width="7.140625" style="16" bestFit="1" customWidth="1"/>
    <col min="4362" max="4362" width="7.85546875" style="16" customWidth="1"/>
    <col min="4363" max="4366" width="7" style="16" bestFit="1" customWidth="1"/>
    <col min="4367"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8.140625" style="16" customWidth="1"/>
    <col min="4611" max="4611" width="10.7109375" style="16" bestFit="1" customWidth="1"/>
    <col min="4612" max="4612" width="6.7109375" style="16" bestFit="1" customWidth="1"/>
    <col min="4613" max="4613" width="8.5703125" style="16" bestFit="1" customWidth="1"/>
    <col min="4614" max="4614" width="9.28515625" style="16" bestFit="1" customWidth="1"/>
    <col min="4615" max="4615" width="10.42578125" style="16" bestFit="1" customWidth="1"/>
    <col min="4616" max="4616" width="10.28515625" style="16" bestFit="1" customWidth="1"/>
    <col min="4617" max="4617" width="7.140625" style="16" bestFit="1" customWidth="1"/>
    <col min="4618" max="4618" width="7.85546875" style="16" customWidth="1"/>
    <col min="4619" max="4622" width="7" style="16" bestFit="1" customWidth="1"/>
    <col min="4623"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8.140625" style="16" customWidth="1"/>
    <col min="4867" max="4867" width="10.7109375" style="16" bestFit="1" customWidth="1"/>
    <col min="4868" max="4868" width="6.7109375" style="16" bestFit="1" customWidth="1"/>
    <col min="4869" max="4869" width="8.5703125" style="16" bestFit="1" customWidth="1"/>
    <col min="4870" max="4870" width="9.28515625" style="16" bestFit="1" customWidth="1"/>
    <col min="4871" max="4871" width="10.42578125" style="16" bestFit="1" customWidth="1"/>
    <col min="4872" max="4872" width="10.28515625" style="16" bestFit="1" customWidth="1"/>
    <col min="4873" max="4873" width="7.140625" style="16" bestFit="1" customWidth="1"/>
    <col min="4874" max="4874" width="7.85546875" style="16" customWidth="1"/>
    <col min="4875" max="4878" width="7" style="16" bestFit="1" customWidth="1"/>
    <col min="4879"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8.140625" style="16" customWidth="1"/>
    <col min="5123" max="5123" width="10.7109375" style="16" bestFit="1" customWidth="1"/>
    <col min="5124" max="5124" width="6.7109375" style="16" bestFit="1" customWidth="1"/>
    <col min="5125" max="5125" width="8.5703125" style="16" bestFit="1" customWidth="1"/>
    <col min="5126" max="5126" width="9.28515625" style="16" bestFit="1" customWidth="1"/>
    <col min="5127" max="5127" width="10.42578125" style="16" bestFit="1" customWidth="1"/>
    <col min="5128" max="5128" width="10.28515625" style="16" bestFit="1" customWidth="1"/>
    <col min="5129" max="5129" width="7.140625" style="16" bestFit="1" customWidth="1"/>
    <col min="5130" max="5130" width="7.85546875" style="16" customWidth="1"/>
    <col min="5131" max="5134" width="7" style="16" bestFit="1" customWidth="1"/>
    <col min="5135"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8.140625" style="16" customWidth="1"/>
    <col min="5379" max="5379" width="10.7109375" style="16" bestFit="1" customWidth="1"/>
    <col min="5380" max="5380" width="6.7109375" style="16" bestFit="1" customWidth="1"/>
    <col min="5381" max="5381" width="8.5703125" style="16" bestFit="1" customWidth="1"/>
    <col min="5382" max="5382" width="9.28515625" style="16" bestFit="1" customWidth="1"/>
    <col min="5383" max="5383" width="10.42578125" style="16" bestFit="1" customWidth="1"/>
    <col min="5384" max="5384" width="10.28515625" style="16" bestFit="1" customWidth="1"/>
    <col min="5385" max="5385" width="7.140625" style="16" bestFit="1" customWidth="1"/>
    <col min="5386" max="5386" width="7.85546875" style="16" customWidth="1"/>
    <col min="5387" max="5390" width="7" style="16" bestFit="1" customWidth="1"/>
    <col min="5391"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8.140625" style="16" customWidth="1"/>
    <col min="5635" max="5635" width="10.7109375" style="16" bestFit="1" customWidth="1"/>
    <col min="5636" max="5636" width="6.7109375" style="16" bestFit="1" customWidth="1"/>
    <col min="5637" max="5637" width="8.5703125" style="16" bestFit="1" customWidth="1"/>
    <col min="5638" max="5638" width="9.28515625" style="16" bestFit="1" customWidth="1"/>
    <col min="5639" max="5639" width="10.42578125" style="16" bestFit="1" customWidth="1"/>
    <col min="5640" max="5640" width="10.28515625" style="16" bestFit="1" customWidth="1"/>
    <col min="5641" max="5641" width="7.140625" style="16" bestFit="1" customWidth="1"/>
    <col min="5642" max="5642" width="7.85546875" style="16" customWidth="1"/>
    <col min="5643" max="5646" width="7" style="16" bestFit="1" customWidth="1"/>
    <col min="5647"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8.140625" style="16" customWidth="1"/>
    <col min="5891" max="5891" width="10.7109375" style="16" bestFit="1" customWidth="1"/>
    <col min="5892" max="5892" width="6.7109375" style="16" bestFit="1" customWidth="1"/>
    <col min="5893" max="5893" width="8.5703125" style="16" bestFit="1" customWidth="1"/>
    <col min="5894" max="5894" width="9.28515625" style="16" bestFit="1" customWidth="1"/>
    <col min="5895" max="5895" width="10.42578125" style="16" bestFit="1" customWidth="1"/>
    <col min="5896" max="5896" width="10.28515625" style="16" bestFit="1" customWidth="1"/>
    <col min="5897" max="5897" width="7.140625" style="16" bestFit="1" customWidth="1"/>
    <col min="5898" max="5898" width="7.85546875" style="16" customWidth="1"/>
    <col min="5899" max="5902" width="7" style="16" bestFit="1" customWidth="1"/>
    <col min="5903"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8.140625" style="16" customWidth="1"/>
    <col min="6147" max="6147" width="10.7109375" style="16" bestFit="1" customWidth="1"/>
    <col min="6148" max="6148" width="6.7109375" style="16" bestFit="1" customWidth="1"/>
    <col min="6149" max="6149" width="8.5703125" style="16" bestFit="1" customWidth="1"/>
    <col min="6150" max="6150" width="9.28515625" style="16" bestFit="1" customWidth="1"/>
    <col min="6151" max="6151" width="10.42578125" style="16" bestFit="1" customWidth="1"/>
    <col min="6152" max="6152" width="10.28515625" style="16" bestFit="1" customWidth="1"/>
    <col min="6153" max="6153" width="7.140625" style="16" bestFit="1" customWidth="1"/>
    <col min="6154" max="6154" width="7.85546875" style="16" customWidth="1"/>
    <col min="6155" max="6158" width="7" style="16" bestFit="1" customWidth="1"/>
    <col min="6159"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8.140625" style="16" customWidth="1"/>
    <col min="6403" max="6403" width="10.7109375" style="16" bestFit="1" customWidth="1"/>
    <col min="6404" max="6404" width="6.7109375" style="16" bestFit="1" customWidth="1"/>
    <col min="6405" max="6405" width="8.5703125" style="16" bestFit="1" customWidth="1"/>
    <col min="6406" max="6406" width="9.28515625" style="16" bestFit="1" customWidth="1"/>
    <col min="6407" max="6407" width="10.42578125" style="16" bestFit="1" customWidth="1"/>
    <col min="6408" max="6408" width="10.28515625" style="16" bestFit="1" customWidth="1"/>
    <col min="6409" max="6409" width="7.140625" style="16" bestFit="1" customWidth="1"/>
    <col min="6410" max="6410" width="7.85546875" style="16" customWidth="1"/>
    <col min="6411" max="6414" width="7" style="16" bestFit="1" customWidth="1"/>
    <col min="6415"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8.140625" style="16" customWidth="1"/>
    <col min="6659" max="6659" width="10.7109375" style="16" bestFit="1" customWidth="1"/>
    <col min="6660" max="6660" width="6.7109375" style="16" bestFit="1" customWidth="1"/>
    <col min="6661" max="6661" width="8.5703125" style="16" bestFit="1" customWidth="1"/>
    <col min="6662" max="6662" width="9.28515625" style="16" bestFit="1" customWidth="1"/>
    <col min="6663" max="6663" width="10.42578125" style="16" bestFit="1" customWidth="1"/>
    <col min="6664" max="6664" width="10.28515625" style="16" bestFit="1" customWidth="1"/>
    <col min="6665" max="6665" width="7.140625" style="16" bestFit="1" customWidth="1"/>
    <col min="6666" max="6666" width="7.85546875" style="16" customWidth="1"/>
    <col min="6667" max="6670" width="7" style="16" bestFit="1" customWidth="1"/>
    <col min="6671"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8.140625" style="16" customWidth="1"/>
    <col min="6915" max="6915" width="10.7109375" style="16" bestFit="1" customWidth="1"/>
    <col min="6916" max="6916" width="6.7109375" style="16" bestFit="1" customWidth="1"/>
    <col min="6917" max="6917" width="8.5703125" style="16" bestFit="1" customWidth="1"/>
    <col min="6918" max="6918" width="9.28515625" style="16" bestFit="1" customWidth="1"/>
    <col min="6919" max="6919" width="10.42578125" style="16" bestFit="1" customWidth="1"/>
    <col min="6920" max="6920" width="10.28515625" style="16" bestFit="1" customWidth="1"/>
    <col min="6921" max="6921" width="7.140625" style="16" bestFit="1" customWidth="1"/>
    <col min="6922" max="6922" width="7.85546875" style="16" customWidth="1"/>
    <col min="6923" max="6926" width="7" style="16" bestFit="1" customWidth="1"/>
    <col min="6927"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8.140625" style="16" customWidth="1"/>
    <col min="7171" max="7171" width="10.7109375" style="16" bestFit="1" customWidth="1"/>
    <col min="7172" max="7172" width="6.7109375" style="16" bestFit="1" customWidth="1"/>
    <col min="7173" max="7173" width="8.5703125" style="16" bestFit="1" customWidth="1"/>
    <col min="7174" max="7174" width="9.28515625" style="16" bestFit="1" customWidth="1"/>
    <col min="7175" max="7175" width="10.42578125" style="16" bestFit="1" customWidth="1"/>
    <col min="7176" max="7176" width="10.28515625" style="16" bestFit="1" customWidth="1"/>
    <col min="7177" max="7177" width="7.140625" style="16" bestFit="1" customWidth="1"/>
    <col min="7178" max="7178" width="7.85546875" style="16" customWidth="1"/>
    <col min="7179" max="7182" width="7" style="16" bestFit="1" customWidth="1"/>
    <col min="7183"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8.140625" style="16" customWidth="1"/>
    <col min="7427" max="7427" width="10.7109375" style="16" bestFit="1" customWidth="1"/>
    <col min="7428" max="7428" width="6.7109375" style="16" bestFit="1" customWidth="1"/>
    <col min="7429" max="7429" width="8.5703125" style="16" bestFit="1" customWidth="1"/>
    <col min="7430" max="7430" width="9.28515625" style="16" bestFit="1" customWidth="1"/>
    <col min="7431" max="7431" width="10.42578125" style="16" bestFit="1" customWidth="1"/>
    <col min="7432" max="7432" width="10.28515625" style="16" bestFit="1" customWidth="1"/>
    <col min="7433" max="7433" width="7.140625" style="16" bestFit="1" customWidth="1"/>
    <col min="7434" max="7434" width="7.85546875" style="16" customWidth="1"/>
    <col min="7435" max="7438" width="7" style="16" bestFit="1" customWidth="1"/>
    <col min="7439"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8.140625" style="16" customWidth="1"/>
    <col min="7683" max="7683" width="10.7109375" style="16" bestFit="1" customWidth="1"/>
    <col min="7684" max="7684" width="6.7109375" style="16" bestFit="1" customWidth="1"/>
    <col min="7685" max="7685" width="8.5703125" style="16" bestFit="1" customWidth="1"/>
    <col min="7686" max="7686" width="9.28515625" style="16" bestFit="1" customWidth="1"/>
    <col min="7687" max="7687" width="10.42578125" style="16" bestFit="1" customWidth="1"/>
    <col min="7688" max="7688" width="10.28515625" style="16" bestFit="1" customWidth="1"/>
    <col min="7689" max="7689" width="7.140625" style="16" bestFit="1" customWidth="1"/>
    <col min="7690" max="7690" width="7.85546875" style="16" customWidth="1"/>
    <col min="7691" max="7694" width="7" style="16" bestFit="1" customWidth="1"/>
    <col min="7695"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8.140625" style="16" customWidth="1"/>
    <col min="7939" max="7939" width="10.7109375" style="16" bestFit="1" customWidth="1"/>
    <col min="7940" max="7940" width="6.7109375" style="16" bestFit="1" customWidth="1"/>
    <col min="7941" max="7941" width="8.5703125" style="16" bestFit="1" customWidth="1"/>
    <col min="7942" max="7942" width="9.28515625" style="16" bestFit="1" customWidth="1"/>
    <col min="7943" max="7943" width="10.42578125" style="16" bestFit="1" customWidth="1"/>
    <col min="7944" max="7944" width="10.28515625" style="16" bestFit="1" customWidth="1"/>
    <col min="7945" max="7945" width="7.140625" style="16" bestFit="1" customWidth="1"/>
    <col min="7946" max="7946" width="7.85546875" style="16" customWidth="1"/>
    <col min="7947" max="7950" width="7" style="16" bestFit="1" customWidth="1"/>
    <col min="7951"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8.140625" style="16" customWidth="1"/>
    <col min="8195" max="8195" width="10.7109375" style="16" bestFit="1" customWidth="1"/>
    <col min="8196" max="8196" width="6.7109375" style="16" bestFit="1" customWidth="1"/>
    <col min="8197" max="8197" width="8.5703125" style="16" bestFit="1" customWidth="1"/>
    <col min="8198" max="8198" width="9.28515625" style="16" bestFit="1" customWidth="1"/>
    <col min="8199" max="8199" width="10.42578125" style="16" bestFit="1" customWidth="1"/>
    <col min="8200" max="8200" width="10.28515625" style="16" bestFit="1" customWidth="1"/>
    <col min="8201" max="8201" width="7.140625" style="16" bestFit="1" customWidth="1"/>
    <col min="8202" max="8202" width="7.85546875" style="16" customWidth="1"/>
    <col min="8203" max="8206" width="7" style="16" bestFit="1" customWidth="1"/>
    <col min="8207"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8.140625" style="16" customWidth="1"/>
    <col min="8451" max="8451" width="10.7109375" style="16" bestFit="1" customWidth="1"/>
    <col min="8452" max="8452" width="6.7109375" style="16" bestFit="1" customWidth="1"/>
    <col min="8453" max="8453" width="8.5703125" style="16" bestFit="1" customWidth="1"/>
    <col min="8454" max="8454" width="9.28515625" style="16" bestFit="1" customWidth="1"/>
    <col min="8455" max="8455" width="10.42578125" style="16" bestFit="1" customWidth="1"/>
    <col min="8456" max="8456" width="10.28515625" style="16" bestFit="1" customWidth="1"/>
    <col min="8457" max="8457" width="7.140625" style="16" bestFit="1" customWidth="1"/>
    <col min="8458" max="8458" width="7.85546875" style="16" customWidth="1"/>
    <col min="8459" max="8462" width="7" style="16" bestFit="1" customWidth="1"/>
    <col min="8463"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8.140625" style="16" customWidth="1"/>
    <col min="8707" max="8707" width="10.7109375" style="16" bestFit="1" customWidth="1"/>
    <col min="8708" max="8708" width="6.7109375" style="16" bestFit="1" customWidth="1"/>
    <col min="8709" max="8709" width="8.5703125" style="16" bestFit="1" customWidth="1"/>
    <col min="8710" max="8710" width="9.28515625" style="16" bestFit="1" customWidth="1"/>
    <col min="8711" max="8711" width="10.42578125" style="16" bestFit="1" customWidth="1"/>
    <col min="8712" max="8712" width="10.28515625" style="16" bestFit="1" customWidth="1"/>
    <col min="8713" max="8713" width="7.140625" style="16" bestFit="1" customWidth="1"/>
    <col min="8714" max="8714" width="7.85546875" style="16" customWidth="1"/>
    <col min="8715" max="8718" width="7" style="16" bestFit="1" customWidth="1"/>
    <col min="8719"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8.140625" style="16" customWidth="1"/>
    <col min="8963" max="8963" width="10.7109375" style="16" bestFit="1" customWidth="1"/>
    <col min="8964" max="8964" width="6.7109375" style="16" bestFit="1" customWidth="1"/>
    <col min="8965" max="8965" width="8.5703125" style="16" bestFit="1" customWidth="1"/>
    <col min="8966" max="8966" width="9.28515625" style="16" bestFit="1" customWidth="1"/>
    <col min="8967" max="8967" width="10.42578125" style="16" bestFit="1" customWidth="1"/>
    <col min="8968" max="8968" width="10.28515625" style="16" bestFit="1" customWidth="1"/>
    <col min="8969" max="8969" width="7.140625" style="16" bestFit="1" customWidth="1"/>
    <col min="8970" max="8970" width="7.85546875" style="16" customWidth="1"/>
    <col min="8971" max="8974" width="7" style="16" bestFit="1" customWidth="1"/>
    <col min="8975"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8.140625" style="16" customWidth="1"/>
    <col min="9219" max="9219" width="10.7109375" style="16" bestFit="1" customWidth="1"/>
    <col min="9220" max="9220" width="6.7109375" style="16" bestFit="1" customWidth="1"/>
    <col min="9221" max="9221" width="8.5703125" style="16" bestFit="1" customWidth="1"/>
    <col min="9222" max="9222" width="9.28515625" style="16" bestFit="1" customWidth="1"/>
    <col min="9223" max="9223" width="10.42578125" style="16" bestFit="1" customWidth="1"/>
    <col min="9224" max="9224" width="10.28515625" style="16" bestFit="1" customWidth="1"/>
    <col min="9225" max="9225" width="7.140625" style="16" bestFit="1" customWidth="1"/>
    <col min="9226" max="9226" width="7.85546875" style="16" customWidth="1"/>
    <col min="9227" max="9230" width="7" style="16" bestFit="1" customWidth="1"/>
    <col min="9231"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8.140625" style="16" customWidth="1"/>
    <col min="9475" max="9475" width="10.7109375" style="16" bestFit="1" customWidth="1"/>
    <col min="9476" max="9476" width="6.7109375" style="16" bestFit="1" customWidth="1"/>
    <col min="9477" max="9477" width="8.5703125" style="16" bestFit="1" customWidth="1"/>
    <col min="9478" max="9478" width="9.28515625" style="16" bestFit="1" customWidth="1"/>
    <col min="9479" max="9479" width="10.42578125" style="16" bestFit="1" customWidth="1"/>
    <col min="9480" max="9480" width="10.28515625" style="16" bestFit="1" customWidth="1"/>
    <col min="9481" max="9481" width="7.140625" style="16" bestFit="1" customWidth="1"/>
    <col min="9482" max="9482" width="7.85546875" style="16" customWidth="1"/>
    <col min="9483" max="9486" width="7" style="16" bestFit="1" customWidth="1"/>
    <col min="9487"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8.140625" style="16" customWidth="1"/>
    <col min="9731" max="9731" width="10.7109375" style="16" bestFit="1" customWidth="1"/>
    <col min="9732" max="9732" width="6.7109375" style="16" bestFit="1" customWidth="1"/>
    <col min="9733" max="9733" width="8.5703125" style="16" bestFit="1" customWidth="1"/>
    <col min="9734" max="9734" width="9.28515625" style="16" bestFit="1" customWidth="1"/>
    <col min="9735" max="9735" width="10.42578125" style="16" bestFit="1" customWidth="1"/>
    <col min="9736" max="9736" width="10.28515625" style="16" bestFit="1" customWidth="1"/>
    <col min="9737" max="9737" width="7.140625" style="16" bestFit="1" customWidth="1"/>
    <col min="9738" max="9738" width="7.85546875" style="16" customWidth="1"/>
    <col min="9739" max="9742" width="7" style="16" bestFit="1" customWidth="1"/>
    <col min="9743"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8.140625" style="16" customWidth="1"/>
    <col min="9987" max="9987" width="10.7109375" style="16" bestFit="1" customWidth="1"/>
    <col min="9988" max="9988" width="6.7109375" style="16" bestFit="1" customWidth="1"/>
    <col min="9989" max="9989" width="8.5703125" style="16" bestFit="1" customWidth="1"/>
    <col min="9990" max="9990" width="9.28515625" style="16" bestFit="1" customWidth="1"/>
    <col min="9991" max="9991" width="10.42578125" style="16" bestFit="1" customWidth="1"/>
    <col min="9992" max="9992" width="10.28515625" style="16" bestFit="1" customWidth="1"/>
    <col min="9993" max="9993" width="7.140625" style="16" bestFit="1" customWidth="1"/>
    <col min="9994" max="9994" width="7.85546875" style="16" customWidth="1"/>
    <col min="9995" max="9998" width="7" style="16" bestFit="1" customWidth="1"/>
    <col min="9999"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8.140625" style="16" customWidth="1"/>
    <col min="10243" max="10243" width="10.7109375" style="16" bestFit="1" customWidth="1"/>
    <col min="10244" max="10244" width="6.7109375" style="16" bestFit="1" customWidth="1"/>
    <col min="10245" max="10245" width="8.5703125" style="16" bestFit="1" customWidth="1"/>
    <col min="10246" max="10246" width="9.28515625" style="16" bestFit="1" customWidth="1"/>
    <col min="10247" max="10247" width="10.42578125" style="16" bestFit="1" customWidth="1"/>
    <col min="10248" max="10248" width="10.28515625" style="16" bestFit="1" customWidth="1"/>
    <col min="10249" max="10249" width="7.140625" style="16" bestFit="1" customWidth="1"/>
    <col min="10250" max="10250" width="7.85546875" style="16" customWidth="1"/>
    <col min="10251" max="10254" width="7" style="16" bestFit="1" customWidth="1"/>
    <col min="10255"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8.140625" style="16" customWidth="1"/>
    <col min="10499" max="10499" width="10.7109375" style="16" bestFit="1" customWidth="1"/>
    <col min="10500" max="10500" width="6.7109375" style="16" bestFit="1" customWidth="1"/>
    <col min="10501" max="10501" width="8.5703125" style="16" bestFit="1" customWidth="1"/>
    <col min="10502" max="10502" width="9.28515625" style="16" bestFit="1" customWidth="1"/>
    <col min="10503" max="10503" width="10.42578125" style="16" bestFit="1" customWidth="1"/>
    <col min="10504" max="10504" width="10.28515625" style="16" bestFit="1" customWidth="1"/>
    <col min="10505" max="10505" width="7.140625" style="16" bestFit="1" customWidth="1"/>
    <col min="10506" max="10506" width="7.85546875" style="16" customWidth="1"/>
    <col min="10507" max="10510" width="7" style="16" bestFit="1" customWidth="1"/>
    <col min="10511"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8.140625" style="16" customWidth="1"/>
    <col min="10755" max="10755" width="10.7109375" style="16" bestFit="1" customWidth="1"/>
    <col min="10756" max="10756" width="6.7109375" style="16" bestFit="1" customWidth="1"/>
    <col min="10757" max="10757" width="8.5703125" style="16" bestFit="1" customWidth="1"/>
    <col min="10758" max="10758" width="9.28515625" style="16" bestFit="1" customWidth="1"/>
    <col min="10759" max="10759" width="10.42578125" style="16" bestFit="1" customWidth="1"/>
    <col min="10760" max="10760" width="10.28515625" style="16" bestFit="1" customWidth="1"/>
    <col min="10761" max="10761" width="7.140625" style="16" bestFit="1" customWidth="1"/>
    <col min="10762" max="10762" width="7.85546875" style="16" customWidth="1"/>
    <col min="10763" max="10766" width="7" style="16" bestFit="1" customWidth="1"/>
    <col min="10767"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8.140625" style="16" customWidth="1"/>
    <col min="11011" max="11011" width="10.7109375" style="16" bestFit="1" customWidth="1"/>
    <col min="11012" max="11012" width="6.7109375" style="16" bestFit="1" customWidth="1"/>
    <col min="11013" max="11013" width="8.5703125" style="16" bestFit="1" customWidth="1"/>
    <col min="11014" max="11014" width="9.28515625" style="16" bestFit="1" customWidth="1"/>
    <col min="11015" max="11015" width="10.42578125" style="16" bestFit="1" customWidth="1"/>
    <col min="11016" max="11016" width="10.28515625" style="16" bestFit="1" customWidth="1"/>
    <col min="11017" max="11017" width="7.140625" style="16" bestFit="1" customWidth="1"/>
    <col min="11018" max="11018" width="7.85546875" style="16" customWidth="1"/>
    <col min="11019" max="11022" width="7" style="16" bestFit="1" customWidth="1"/>
    <col min="11023"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8.140625" style="16" customWidth="1"/>
    <col min="11267" max="11267" width="10.7109375" style="16" bestFit="1" customWidth="1"/>
    <col min="11268" max="11268" width="6.7109375" style="16" bestFit="1" customWidth="1"/>
    <col min="11269" max="11269" width="8.5703125" style="16" bestFit="1" customWidth="1"/>
    <col min="11270" max="11270" width="9.28515625" style="16" bestFit="1" customWidth="1"/>
    <col min="11271" max="11271" width="10.42578125" style="16" bestFit="1" customWidth="1"/>
    <col min="11272" max="11272" width="10.28515625" style="16" bestFit="1" customWidth="1"/>
    <col min="11273" max="11273" width="7.140625" style="16" bestFit="1" customWidth="1"/>
    <col min="11274" max="11274" width="7.85546875" style="16" customWidth="1"/>
    <col min="11275" max="11278" width="7" style="16" bestFit="1" customWidth="1"/>
    <col min="11279"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8.140625" style="16" customWidth="1"/>
    <col min="11523" max="11523" width="10.7109375" style="16" bestFit="1" customWidth="1"/>
    <col min="11524" max="11524" width="6.7109375" style="16" bestFit="1" customWidth="1"/>
    <col min="11525" max="11525" width="8.5703125" style="16" bestFit="1" customWidth="1"/>
    <col min="11526" max="11526" width="9.28515625" style="16" bestFit="1" customWidth="1"/>
    <col min="11527" max="11527" width="10.42578125" style="16" bestFit="1" customWidth="1"/>
    <col min="11528" max="11528" width="10.28515625" style="16" bestFit="1" customWidth="1"/>
    <col min="11529" max="11529" width="7.140625" style="16" bestFit="1" customWidth="1"/>
    <col min="11530" max="11530" width="7.85546875" style="16" customWidth="1"/>
    <col min="11531" max="11534" width="7" style="16" bestFit="1" customWidth="1"/>
    <col min="11535"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8.140625" style="16" customWidth="1"/>
    <col min="11779" max="11779" width="10.7109375" style="16" bestFit="1" customWidth="1"/>
    <col min="11780" max="11780" width="6.7109375" style="16" bestFit="1" customWidth="1"/>
    <col min="11781" max="11781" width="8.5703125" style="16" bestFit="1" customWidth="1"/>
    <col min="11782" max="11782" width="9.28515625" style="16" bestFit="1" customWidth="1"/>
    <col min="11783" max="11783" width="10.42578125" style="16" bestFit="1" customWidth="1"/>
    <col min="11784" max="11784" width="10.28515625" style="16" bestFit="1" customWidth="1"/>
    <col min="11785" max="11785" width="7.140625" style="16" bestFit="1" customWidth="1"/>
    <col min="11786" max="11786" width="7.85546875" style="16" customWidth="1"/>
    <col min="11787" max="11790" width="7" style="16" bestFit="1" customWidth="1"/>
    <col min="11791"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8.140625" style="16" customWidth="1"/>
    <col min="12035" max="12035" width="10.7109375" style="16" bestFit="1" customWidth="1"/>
    <col min="12036" max="12036" width="6.7109375" style="16" bestFit="1" customWidth="1"/>
    <col min="12037" max="12037" width="8.5703125" style="16" bestFit="1" customWidth="1"/>
    <col min="12038" max="12038" width="9.28515625" style="16" bestFit="1" customWidth="1"/>
    <col min="12039" max="12039" width="10.42578125" style="16" bestFit="1" customWidth="1"/>
    <col min="12040" max="12040" width="10.28515625" style="16" bestFit="1" customWidth="1"/>
    <col min="12041" max="12041" width="7.140625" style="16" bestFit="1" customWidth="1"/>
    <col min="12042" max="12042" width="7.85546875" style="16" customWidth="1"/>
    <col min="12043" max="12046" width="7" style="16" bestFit="1" customWidth="1"/>
    <col min="12047"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8.140625" style="16" customWidth="1"/>
    <col min="12291" max="12291" width="10.7109375" style="16" bestFit="1" customWidth="1"/>
    <col min="12292" max="12292" width="6.7109375" style="16" bestFit="1" customWidth="1"/>
    <col min="12293" max="12293" width="8.5703125" style="16" bestFit="1" customWidth="1"/>
    <col min="12294" max="12294" width="9.28515625" style="16" bestFit="1" customWidth="1"/>
    <col min="12295" max="12295" width="10.42578125" style="16" bestFit="1" customWidth="1"/>
    <col min="12296" max="12296" width="10.28515625" style="16" bestFit="1" customWidth="1"/>
    <col min="12297" max="12297" width="7.140625" style="16" bestFit="1" customWidth="1"/>
    <col min="12298" max="12298" width="7.85546875" style="16" customWidth="1"/>
    <col min="12299" max="12302" width="7" style="16" bestFit="1" customWidth="1"/>
    <col min="12303"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8.140625" style="16" customWidth="1"/>
    <col min="12547" max="12547" width="10.7109375" style="16" bestFit="1" customWidth="1"/>
    <col min="12548" max="12548" width="6.7109375" style="16" bestFit="1" customWidth="1"/>
    <col min="12549" max="12549" width="8.5703125" style="16" bestFit="1" customWidth="1"/>
    <col min="12550" max="12550" width="9.28515625" style="16" bestFit="1" customWidth="1"/>
    <col min="12551" max="12551" width="10.42578125" style="16" bestFit="1" customWidth="1"/>
    <col min="12552" max="12552" width="10.28515625" style="16" bestFit="1" customWidth="1"/>
    <col min="12553" max="12553" width="7.140625" style="16" bestFit="1" customWidth="1"/>
    <col min="12554" max="12554" width="7.85546875" style="16" customWidth="1"/>
    <col min="12555" max="12558" width="7" style="16" bestFit="1" customWidth="1"/>
    <col min="12559"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8.140625" style="16" customWidth="1"/>
    <col min="12803" max="12803" width="10.7109375" style="16" bestFit="1" customWidth="1"/>
    <col min="12804" max="12804" width="6.7109375" style="16" bestFit="1" customWidth="1"/>
    <col min="12805" max="12805" width="8.5703125" style="16" bestFit="1" customWidth="1"/>
    <col min="12806" max="12806" width="9.28515625" style="16" bestFit="1" customWidth="1"/>
    <col min="12807" max="12807" width="10.42578125" style="16" bestFit="1" customWidth="1"/>
    <col min="12808" max="12808" width="10.28515625" style="16" bestFit="1" customWidth="1"/>
    <col min="12809" max="12809" width="7.140625" style="16" bestFit="1" customWidth="1"/>
    <col min="12810" max="12810" width="7.85546875" style="16" customWidth="1"/>
    <col min="12811" max="12814" width="7" style="16" bestFit="1" customWidth="1"/>
    <col min="12815"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8.140625" style="16" customWidth="1"/>
    <col min="13059" max="13059" width="10.7109375" style="16" bestFit="1" customWidth="1"/>
    <col min="13060" max="13060" width="6.7109375" style="16" bestFit="1" customWidth="1"/>
    <col min="13061" max="13061" width="8.5703125" style="16" bestFit="1" customWidth="1"/>
    <col min="13062" max="13062" width="9.28515625" style="16" bestFit="1" customWidth="1"/>
    <col min="13063" max="13063" width="10.42578125" style="16" bestFit="1" customWidth="1"/>
    <col min="13064" max="13064" width="10.28515625" style="16" bestFit="1" customWidth="1"/>
    <col min="13065" max="13065" width="7.140625" style="16" bestFit="1" customWidth="1"/>
    <col min="13066" max="13066" width="7.85546875" style="16" customWidth="1"/>
    <col min="13067" max="13070" width="7" style="16" bestFit="1" customWidth="1"/>
    <col min="13071"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8.140625" style="16" customWidth="1"/>
    <col min="13315" max="13315" width="10.7109375" style="16" bestFit="1" customWidth="1"/>
    <col min="13316" max="13316" width="6.7109375" style="16" bestFit="1" customWidth="1"/>
    <col min="13317" max="13317" width="8.5703125" style="16" bestFit="1" customWidth="1"/>
    <col min="13318" max="13318" width="9.28515625" style="16" bestFit="1" customWidth="1"/>
    <col min="13319" max="13319" width="10.42578125" style="16" bestFit="1" customWidth="1"/>
    <col min="13320" max="13320" width="10.28515625" style="16" bestFit="1" customWidth="1"/>
    <col min="13321" max="13321" width="7.140625" style="16" bestFit="1" customWidth="1"/>
    <col min="13322" max="13322" width="7.85546875" style="16" customWidth="1"/>
    <col min="13323" max="13326" width="7" style="16" bestFit="1" customWidth="1"/>
    <col min="13327"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8.140625" style="16" customWidth="1"/>
    <col min="13571" max="13571" width="10.7109375" style="16" bestFit="1" customWidth="1"/>
    <col min="13572" max="13572" width="6.7109375" style="16" bestFit="1" customWidth="1"/>
    <col min="13573" max="13573" width="8.5703125" style="16" bestFit="1" customWidth="1"/>
    <col min="13574" max="13574" width="9.28515625" style="16" bestFit="1" customWidth="1"/>
    <col min="13575" max="13575" width="10.42578125" style="16" bestFit="1" customWidth="1"/>
    <col min="13576" max="13576" width="10.28515625" style="16" bestFit="1" customWidth="1"/>
    <col min="13577" max="13577" width="7.140625" style="16" bestFit="1" customWidth="1"/>
    <col min="13578" max="13578" width="7.85546875" style="16" customWidth="1"/>
    <col min="13579" max="13582" width="7" style="16" bestFit="1" customWidth="1"/>
    <col min="13583"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8.140625" style="16" customWidth="1"/>
    <col min="13827" max="13827" width="10.7109375" style="16" bestFit="1" customWidth="1"/>
    <col min="13828" max="13828" width="6.7109375" style="16" bestFit="1" customWidth="1"/>
    <col min="13829" max="13829" width="8.5703125" style="16" bestFit="1" customWidth="1"/>
    <col min="13830" max="13830" width="9.28515625" style="16" bestFit="1" customWidth="1"/>
    <col min="13831" max="13831" width="10.42578125" style="16" bestFit="1" customWidth="1"/>
    <col min="13832" max="13832" width="10.28515625" style="16" bestFit="1" customWidth="1"/>
    <col min="13833" max="13833" width="7.140625" style="16" bestFit="1" customWidth="1"/>
    <col min="13834" max="13834" width="7.85546875" style="16" customWidth="1"/>
    <col min="13835" max="13838" width="7" style="16" bestFit="1" customWidth="1"/>
    <col min="13839"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8.140625" style="16" customWidth="1"/>
    <col min="14083" max="14083" width="10.7109375" style="16" bestFit="1" customWidth="1"/>
    <col min="14084" max="14084" width="6.7109375" style="16" bestFit="1" customWidth="1"/>
    <col min="14085" max="14085" width="8.5703125" style="16" bestFit="1" customWidth="1"/>
    <col min="14086" max="14086" width="9.28515625" style="16" bestFit="1" customWidth="1"/>
    <col min="14087" max="14087" width="10.42578125" style="16" bestFit="1" customWidth="1"/>
    <col min="14088" max="14088" width="10.28515625" style="16" bestFit="1" customWidth="1"/>
    <col min="14089" max="14089" width="7.140625" style="16" bestFit="1" customWidth="1"/>
    <col min="14090" max="14090" width="7.85546875" style="16" customWidth="1"/>
    <col min="14091" max="14094" width="7" style="16" bestFit="1" customWidth="1"/>
    <col min="14095"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8.140625" style="16" customWidth="1"/>
    <col min="14339" max="14339" width="10.7109375" style="16" bestFit="1" customWidth="1"/>
    <col min="14340" max="14340" width="6.7109375" style="16" bestFit="1" customWidth="1"/>
    <col min="14341" max="14341" width="8.5703125" style="16" bestFit="1" customWidth="1"/>
    <col min="14342" max="14342" width="9.28515625" style="16" bestFit="1" customWidth="1"/>
    <col min="14343" max="14343" width="10.42578125" style="16" bestFit="1" customWidth="1"/>
    <col min="14344" max="14344" width="10.28515625" style="16" bestFit="1" customWidth="1"/>
    <col min="14345" max="14345" width="7.140625" style="16" bestFit="1" customWidth="1"/>
    <col min="14346" max="14346" width="7.85546875" style="16" customWidth="1"/>
    <col min="14347" max="14350" width="7" style="16" bestFit="1" customWidth="1"/>
    <col min="14351"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8.140625" style="16" customWidth="1"/>
    <col min="14595" max="14595" width="10.7109375" style="16" bestFit="1" customWidth="1"/>
    <col min="14596" max="14596" width="6.7109375" style="16" bestFit="1" customWidth="1"/>
    <col min="14597" max="14597" width="8.5703125" style="16" bestFit="1" customWidth="1"/>
    <col min="14598" max="14598" width="9.28515625" style="16" bestFit="1" customWidth="1"/>
    <col min="14599" max="14599" width="10.42578125" style="16" bestFit="1" customWidth="1"/>
    <col min="14600" max="14600" width="10.28515625" style="16" bestFit="1" customWidth="1"/>
    <col min="14601" max="14601" width="7.140625" style="16" bestFit="1" customWidth="1"/>
    <col min="14602" max="14602" width="7.85546875" style="16" customWidth="1"/>
    <col min="14603" max="14606" width="7" style="16" bestFit="1" customWidth="1"/>
    <col min="14607"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8.140625" style="16" customWidth="1"/>
    <col min="14851" max="14851" width="10.7109375" style="16" bestFit="1" customWidth="1"/>
    <col min="14852" max="14852" width="6.7109375" style="16" bestFit="1" customWidth="1"/>
    <col min="14853" max="14853" width="8.5703125" style="16" bestFit="1" customWidth="1"/>
    <col min="14854" max="14854" width="9.28515625" style="16" bestFit="1" customWidth="1"/>
    <col min="14855" max="14855" width="10.42578125" style="16" bestFit="1" customWidth="1"/>
    <col min="14856" max="14856" width="10.28515625" style="16" bestFit="1" customWidth="1"/>
    <col min="14857" max="14857" width="7.140625" style="16" bestFit="1" customWidth="1"/>
    <col min="14858" max="14858" width="7.85546875" style="16" customWidth="1"/>
    <col min="14859" max="14862" width="7" style="16" bestFit="1" customWidth="1"/>
    <col min="14863"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8.140625" style="16" customWidth="1"/>
    <col min="15107" max="15107" width="10.7109375" style="16" bestFit="1" customWidth="1"/>
    <col min="15108" max="15108" width="6.7109375" style="16" bestFit="1" customWidth="1"/>
    <col min="15109" max="15109" width="8.5703125" style="16" bestFit="1" customWidth="1"/>
    <col min="15110" max="15110" width="9.28515625" style="16" bestFit="1" customWidth="1"/>
    <col min="15111" max="15111" width="10.42578125" style="16" bestFit="1" customWidth="1"/>
    <col min="15112" max="15112" width="10.28515625" style="16" bestFit="1" customWidth="1"/>
    <col min="15113" max="15113" width="7.140625" style="16" bestFit="1" customWidth="1"/>
    <col min="15114" max="15114" width="7.85546875" style="16" customWidth="1"/>
    <col min="15115" max="15118" width="7" style="16" bestFit="1" customWidth="1"/>
    <col min="15119"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8.140625" style="16" customWidth="1"/>
    <col min="15363" max="15363" width="10.7109375" style="16" bestFit="1" customWidth="1"/>
    <col min="15364" max="15364" width="6.7109375" style="16" bestFit="1" customWidth="1"/>
    <col min="15365" max="15365" width="8.5703125" style="16" bestFit="1" customWidth="1"/>
    <col min="15366" max="15366" width="9.28515625" style="16" bestFit="1" customWidth="1"/>
    <col min="15367" max="15367" width="10.42578125" style="16" bestFit="1" customWidth="1"/>
    <col min="15368" max="15368" width="10.28515625" style="16" bestFit="1" customWidth="1"/>
    <col min="15369" max="15369" width="7.140625" style="16" bestFit="1" customWidth="1"/>
    <col min="15370" max="15370" width="7.85546875" style="16" customWidth="1"/>
    <col min="15371" max="15374" width="7" style="16" bestFit="1" customWidth="1"/>
    <col min="15375"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8.140625" style="16" customWidth="1"/>
    <col min="15619" max="15619" width="10.7109375" style="16" bestFit="1" customWidth="1"/>
    <col min="15620" max="15620" width="6.7109375" style="16" bestFit="1" customWidth="1"/>
    <col min="15621" max="15621" width="8.5703125" style="16" bestFit="1" customWidth="1"/>
    <col min="15622" max="15622" width="9.28515625" style="16" bestFit="1" customWidth="1"/>
    <col min="15623" max="15623" width="10.42578125" style="16" bestFit="1" customWidth="1"/>
    <col min="15624" max="15624" width="10.28515625" style="16" bestFit="1" customWidth="1"/>
    <col min="15625" max="15625" width="7.140625" style="16" bestFit="1" customWidth="1"/>
    <col min="15626" max="15626" width="7.85546875" style="16" customWidth="1"/>
    <col min="15627" max="15630" width="7" style="16" bestFit="1" customWidth="1"/>
    <col min="15631"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8.140625" style="16" customWidth="1"/>
    <col min="15875" max="15875" width="10.7109375" style="16" bestFit="1" customWidth="1"/>
    <col min="15876" max="15876" width="6.7109375" style="16" bestFit="1" customWidth="1"/>
    <col min="15877" max="15877" width="8.5703125" style="16" bestFit="1" customWidth="1"/>
    <col min="15878" max="15878" width="9.28515625" style="16" bestFit="1" customWidth="1"/>
    <col min="15879" max="15879" width="10.42578125" style="16" bestFit="1" customWidth="1"/>
    <col min="15880" max="15880" width="10.28515625" style="16" bestFit="1" customWidth="1"/>
    <col min="15881" max="15881" width="7.140625" style="16" bestFit="1" customWidth="1"/>
    <col min="15882" max="15882" width="7.85546875" style="16" customWidth="1"/>
    <col min="15883" max="15886" width="7" style="16" bestFit="1" customWidth="1"/>
    <col min="15887"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8.140625" style="16" customWidth="1"/>
    <col min="16131" max="16131" width="10.7109375" style="16" bestFit="1" customWidth="1"/>
    <col min="16132" max="16132" width="6.7109375" style="16" bestFit="1" customWidth="1"/>
    <col min="16133" max="16133" width="8.5703125" style="16" bestFit="1" customWidth="1"/>
    <col min="16134" max="16134" width="9.28515625" style="16" bestFit="1" customWidth="1"/>
    <col min="16135" max="16135" width="10.42578125" style="16" bestFit="1" customWidth="1"/>
    <col min="16136" max="16136" width="10.28515625" style="16" bestFit="1" customWidth="1"/>
    <col min="16137" max="16137" width="7.140625" style="16" bestFit="1" customWidth="1"/>
    <col min="16138" max="16138" width="7.85546875" style="16" customWidth="1"/>
    <col min="16139" max="16142" width="7" style="16" bestFit="1" customWidth="1"/>
    <col min="16143" max="16147" width="9.140625" style="16"/>
    <col min="16148" max="16148" width="12.42578125" style="16" customWidth="1"/>
    <col min="16149" max="16149" width="9.140625" style="16"/>
    <col min="16150" max="16150" width="12" style="16" customWidth="1"/>
    <col min="16151" max="16384" width="9.140625" style="16"/>
  </cols>
  <sheetData>
    <row r="1" spans="1:15" s="1" customFormat="1" ht="12.75" customHeight="1" x14ac:dyDescent="0.2">
      <c r="A1" s="867" t="s">
        <v>100</v>
      </c>
      <c r="B1" s="868"/>
      <c r="C1" s="868"/>
      <c r="D1" s="892" t="s">
        <v>526</v>
      </c>
      <c r="E1" s="868"/>
      <c r="F1" s="868"/>
      <c r="G1" s="867" t="s">
        <v>102</v>
      </c>
      <c r="H1" s="869"/>
      <c r="I1" s="869" t="s">
        <v>527</v>
      </c>
      <c r="J1" s="868"/>
      <c r="K1" s="868"/>
      <c r="L1" s="870"/>
      <c r="M1" s="870"/>
      <c r="N1" s="870"/>
      <c r="O1" s="870"/>
    </row>
    <row r="2" spans="1:15" s="1" customFormat="1" x14ac:dyDescent="0.2">
      <c r="A2" s="867" t="s">
        <v>103</v>
      </c>
      <c r="B2" s="868"/>
      <c r="C2" s="868"/>
      <c r="D2" s="869" t="s">
        <v>528</v>
      </c>
      <c r="E2" s="868"/>
      <c r="F2" s="868"/>
      <c r="G2" s="867" t="s">
        <v>104</v>
      </c>
      <c r="H2" s="869"/>
      <c r="I2" s="869" t="s">
        <v>105</v>
      </c>
      <c r="J2" s="868"/>
      <c r="K2" s="868"/>
      <c r="L2" s="870"/>
      <c r="M2" s="870"/>
      <c r="N2" s="870"/>
      <c r="O2" s="870"/>
    </row>
    <row r="3" spans="1:15" s="1" customFormat="1" x14ac:dyDescent="0.2">
      <c r="A3" s="867" t="s">
        <v>106</v>
      </c>
      <c r="B3" s="868"/>
      <c r="C3" s="868"/>
      <c r="D3" s="890" t="s">
        <v>529</v>
      </c>
      <c r="E3" s="891"/>
      <c r="F3" s="891"/>
      <c r="G3" s="867" t="s">
        <v>107</v>
      </c>
      <c r="H3" s="869"/>
      <c r="I3" s="869" t="s">
        <v>108</v>
      </c>
      <c r="J3" s="868"/>
      <c r="K3" s="868"/>
      <c r="L3" s="870"/>
      <c r="M3" s="870"/>
      <c r="N3" s="870"/>
      <c r="O3" s="870"/>
    </row>
    <row r="4" spans="1:15" s="1" customFormat="1" x14ac:dyDescent="0.2">
      <c r="A4" s="867" t="s">
        <v>530</v>
      </c>
      <c r="B4" s="868"/>
      <c r="C4" s="868"/>
      <c r="D4" s="869" t="s">
        <v>531</v>
      </c>
      <c r="E4" s="868"/>
      <c r="F4" s="868"/>
      <c r="G4" s="867" t="s">
        <v>110</v>
      </c>
      <c r="H4" s="869"/>
      <c r="I4" s="869" t="s">
        <v>478</v>
      </c>
      <c r="J4" s="868"/>
      <c r="K4" s="868"/>
      <c r="L4" s="870"/>
      <c r="M4" s="870"/>
      <c r="N4" s="870"/>
      <c r="O4" s="870"/>
    </row>
    <row r="5" spans="1:15" s="1" customFormat="1" x14ac:dyDescent="0.2">
      <c r="A5" s="867" t="s">
        <v>112</v>
      </c>
      <c r="B5" s="868"/>
      <c r="C5" s="868"/>
      <c r="D5" s="869"/>
      <c r="E5" s="868"/>
      <c r="F5" s="868"/>
      <c r="G5" s="867"/>
      <c r="H5" s="868"/>
      <c r="I5" s="869" t="s">
        <v>113</v>
      </c>
      <c r="J5" s="868"/>
      <c r="K5" s="868"/>
      <c r="L5" s="870"/>
      <c r="M5" s="870"/>
      <c r="N5" s="870"/>
      <c r="O5" s="870"/>
    </row>
    <row r="6" spans="1:15" s="1" customFormat="1" x14ac:dyDescent="0.2">
      <c r="A6" s="871" t="s">
        <v>114</v>
      </c>
      <c r="B6" s="872"/>
      <c r="C6" s="872"/>
      <c r="D6" s="868" t="s">
        <v>12</v>
      </c>
      <c r="E6" s="868"/>
      <c r="F6" s="868"/>
      <c r="G6" s="871" t="s">
        <v>115</v>
      </c>
      <c r="H6" s="871"/>
      <c r="I6" s="2" t="s">
        <v>116</v>
      </c>
      <c r="J6" s="888"/>
      <c r="K6" s="888"/>
      <c r="L6" s="888"/>
      <c r="M6" s="888"/>
      <c r="N6" s="888"/>
      <c r="O6" s="889"/>
    </row>
    <row r="7" spans="1:15" s="1" customFormat="1" ht="13.5" thickBot="1" x14ac:dyDescent="0.25">
      <c r="A7" s="3"/>
      <c r="B7" s="4"/>
      <c r="C7" s="5"/>
      <c r="D7" s="6"/>
      <c r="E7" s="6"/>
      <c r="F7" s="6"/>
      <c r="G7" s="6"/>
      <c r="H7" s="6"/>
      <c r="I7" s="6"/>
      <c r="J7" s="7"/>
      <c r="K7" s="8"/>
      <c r="L7" s="875" t="s">
        <v>223</v>
      </c>
      <c r="M7" s="875"/>
      <c r="N7" s="875"/>
      <c r="O7" s="875"/>
    </row>
    <row r="8" spans="1:15" s="11" customFormat="1" x14ac:dyDescent="0.2">
      <c r="A8" s="876" t="str">
        <f>I1</f>
        <v>Mr. K.S. LAKHANE</v>
      </c>
      <c r="B8" s="877"/>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93000</v>
      </c>
      <c r="D9" s="14">
        <v>93000</v>
      </c>
      <c r="E9" s="14">
        <v>93000</v>
      </c>
      <c r="F9" s="14">
        <v>93000</v>
      </c>
      <c r="G9" s="14">
        <v>95800</v>
      </c>
      <c r="H9" s="14">
        <v>95800</v>
      </c>
      <c r="I9" s="14">
        <v>95800</v>
      </c>
      <c r="J9" s="14">
        <v>95800</v>
      </c>
      <c r="K9" s="14">
        <v>95800</v>
      </c>
      <c r="L9" s="14">
        <v>95800</v>
      </c>
      <c r="M9" s="14">
        <v>95800</v>
      </c>
      <c r="N9" s="14">
        <v>95800</v>
      </c>
      <c r="O9" s="15">
        <f>SUM(C9:N9)</f>
        <v>1138400</v>
      </c>
    </row>
    <row r="10" spans="1:15" ht="15" x14ac:dyDescent="0.2">
      <c r="A10" s="12"/>
      <c r="B10" s="13" t="s">
        <v>119</v>
      </c>
      <c r="C10" s="17">
        <v>0</v>
      </c>
      <c r="D10" s="17">
        <f t="shared" ref="D10:N34" si="0">+C10</f>
        <v>0</v>
      </c>
      <c r="E10" s="17">
        <f t="shared" si="0"/>
        <v>0</v>
      </c>
      <c r="F10" s="17">
        <f t="shared" si="0"/>
        <v>0</v>
      </c>
      <c r="G10" s="17">
        <f t="shared" si="0"/>
        <v>0</v>
      </c>
      <c r="H10" s="17">
        <v>0</v>
      </c>
      <c r="I10" s="17">
        <f t="shared" si="0"/>
        <v>0</v>
      </c>
      <c r="J10" s="17">
        <f t="shared" si="0"/>
        <v>0</v>
      </c>
      <c r="K10" s="17">
        <f t="shared" si="0"/>
        <v>0</v>
      </c>
      <c r="L10" s="17">
        <f t="shared" si="0"/>
        <v>0</v>
      </c>
      <c r="M10" s="17">
        <f t="shared" si="0"/>
        <v>0</v>
      </c>
      <c r="N10" s="17">
        <f t="shared" si="0"/>
        <v>0</v>
      </c>
      <c r="O10" s="18">
        <f>SUM(C10:N10)</f>
        <v>0</v>
      </c>
    </row>
    <row r="11" spans="1:15" ht="15" x14ac:dyDescent="0.2">
      <c r="A11" s="12"/>
      <c r="B11" s="13" t="s">
        <v>120</v>
      </c>
      <c r="C11" s="17">
        <v>4650</v>
      </c>
      <c r="D11" s="17">
        <v>6510</v>
      </c>
      <c r="E11" s="17">
        <f t="shared" si="0"/>
        <v>6510</v>
      </c>
      <c r="F11" s="17">
        <f t="shared" si="0"/>
        <v>6510</v>
      </c>
      <c r="G11" s="17">
        <v>6706</v>
      </c>
      <c r="H11" s="17">
        <v>6706</v>
      </c>
      <c r="I11" s="17">
        <v>6706</v>
      </c>
      <c r="J11" s="17">
        <v>8622</v>
      </c>
      <c r="K11" s="17">
        <f>+J11</f>
        <v>8622</v>
      </c>
      <c r="L11" s="17">
        <f>+K11</f>
        <v>8622</v>
      </c>
      <c r="M11" s="17">
        <f>+L11</f>
        <v>8622</v>
      </c>
      <c r="N11" s="17">
        <f>+M11</f>
        <v>8622</v>
      </c>
      <c r="O11" s="18">
        <f>SUM(C11:N11)</f>
        <v>87408</v>
      </c>
    </row>
    <row r="12" spans="1:15" ht="15" hidden="1" customHeight="1" x14ac:dyDescent="0.25">
      <c r="A12" s="12"/>
      <c r="B12" s="263" t="s">
        <v>532</v>
      </c>
      <c r="C12" s="17">
        <v>0</v>
      </c>
      <c r="D12" s="17">
        <f t="shared" si="0"/>
        <v>0</v>
      </c>
      <c r="E12" s="17">
        <f t="shared" si="0"/>
        <v>0</v>
      </c>
      <c r="F12" s="17">
        <f t="shared" si="0"/>
        <v>0</v>
      </c>
      <c r="G12" s="17">
        <f t="shared" si="0"/>
        <v>0</v>
      </c>
      <c r="H12" s="17">
        <v>0</v>
      </c>
      <c r="I12" s="17">
        <f t="shared" ref="I12:N13" si="1">+H12</f>
        <v>0</v>
      </c>
      <c r="J12" s="17">
        <f t="shared" si="1"/>
        <v>0</v>
      </c>
      <c r="K12" s="17">
        <f t="shared" si="1"/>
        <v>0</v>
      </c>
      <c r="L12" s="17">
        <f t="shared" si="1"/>
        <v>0</v>
      </c>
      <c r="M12" s="17">
        <f t="shared" si="1"/>
        <v>0</v>
      </c>
      <c r="N12" s="17">
        <f t="shared" si="1"/>
        <v>0</v>
      </c>
      <c r="O12" s="18">
        <f>SUM(C12:N12)</f>
        <v>0</v>
      </c>
    </row>
    <row r="13" spans="1:15" ht="14.25" hidden="1" customHeight="1" x14ac:dyDescent="0.2">
      <c r="A13" s="12"/>
      <c r="B13" s="13" t="s">
        <v>122</v>
      </c>
      <c r="C13" s="17">
        <v>0</v>
      </c>
      <c r="D13" s="17">
        <f t="shared" si="0"/>
        <v>0</v>
      </c>
      <c r="E13" s="17">
        <f t="shared" si="0"/>
        <v>0</v>
      </c>
      <c r="F13" s="17">
        <f t="shared" si="0"/>
        <v>0</v>
      </c>
      <c r="G13" s="17">
        <f t="shared" si="0"/>
        <v>0</v>
      </c>
      <c r="H13" s="17">
        <v>0</v>
      </c>
      <c r="I13" s="17">
        <f t="shared" si="1"/>
        <v>0</v>
      </c>
      <c r="J13" s="17">
        <f t="shared" si="1"/>
        <v>0</v>
      </c>
      <c r="K13" s="17">
        <f t="shared" si="1"/>
        <v>0</v>
      </c>
      <c r="L13" s="17">
        <f t="shared" si="1"/>
        <v>0</v>
      </c>
      <c r="M13" s="17">
        <f t="shared" si="1"/>
        <v>0</v>
      </c>
      <c r="N13" s="17">
        <f t="shared" si="1"/>
        <v>0</v>
      </c>
      <c r="O13" s="18">
        <f t="shared" ref="O13:O36" si="2">SUM(C13:N13)</f>
        <v>0</v>
      </c>
    </row>
    <row r="14" spans="1:15" ht="15" x14ac:dyDescent="0.2">
      <c r="A14" s="12"/>
      <c r="B14" s="13" t="s">
        <v>123</v>
      </c>
      <c r="C14" s="17">
        <v>7560</v>
      </c>
      <c r="D14" s="17">
        <v>7704</v>
      </c>
      <c r="E14" s="17">
        <f t="shared" si="0"/>
        <v>7704</v>
      </c>
      <c r="F14" s="17">
        <f t="shared" si="0"/>
        <v>7704</v>
      </c>
      <c r="G14" s="17">
        <f t="shared" si="0"/>
        <v>7704</v>
      </c>
      <c r="H14" s="17">
        <f t="shared" si="0"/>
        <v>7704</v>
      </c>
      <c r="I14" s="17">
        <f t="shared" si="0"/>
        <v>7704</v>
      </c>
      <c r="J14" s="17">
        <v>7848</v>
      </c>
      <c r="K14" s="17">
        <f>+J14</f>
        <v>7848</v>
      </c>
      <c r="L14" s="17">
        <f>+K14</f>
        <v>7848</v>
      </c>
      <c r="M14" s="17">
        <f>+L14</f>
        <v>7848</v>
      </c>
      <c r="N14" s="17">
        <f>+M14</f>
        <v>7848</v>
      </c>
      <c r="O14" s="18">
        <f t="shared" si="2"/>
        <v>93024</v>
      </c>
    </row>
    <row r="15" spans="1:15" ht="14.25" customHeight="1" x14ac:dyDescent="0.2">
      <c r="A15" s="12"/>
      <c r="B15" s="13" t="s">
        <v>124</v>
      </c>
      <c r="C15" s="17">
        <v>0</v>
      </c>
      <c r="D15" s="17">
        <f t="shared" si="0"/>
        <v>0</v>
      </c>
      <c r="E15" s="17">
        <f t="shared" si="0"/>
        <v>0</v>
      </c>
      <c r="F15" s="17">
        <f t="shared" si="0"/>
        <v>0</v>
      </c>
      <c r="G15" s="17">
        <f t="shared" si="0"/>
        <v>0</v>
      </c>
      <c r="H15" s="17">
        <v>0</v>
      </c>
      <c r="I15" s="17">
        <f t="shared" si="0"/>
        <v>0</v>
      </c>
      <c r="J15" s="17">
        <f t="shared" si="0"/>
        <v>0</v>
      </c>
      <c r="K15" s="17">
        <f t="shared" si="0"/>
        <v>0</v>
      </c>
      <c r="L15" s="17">
        <f t="shared" si="0"/>
        <v>0</v>
      </c>
      <c r="M15" s="17">
        <f t="shared" si="0"/>
        <v>0</v>
      </c>
      <c r="N15" s="17">
        <f t="shared" si="0"/>
        <v>0</v>
      </c>
      <c r="O15" s="18">
        <f t="shared" si="2"/>
        <v>0</v>
      </c>
    </row>
    <row r="16" spans="1:15" ht="16.5" hidden="1" customHeight="1" x14ac:dyDescent="0.2">
      <c r="A16" s="12"/>
      <c r="B16" s="13" t="s">
        <v>125</v>
      </c>
      <c r="C16" s="17">
        <v>0</v>
      </c>
      <c r="D16" s="17">
        <f t="shared" si="0"/>
        <v>0</v>
      </c>
      <c r="E16" s="17">
        <f t="shared" si="0"/>
        <v>0</v>
      </c>
      <c r="F16" s="17">
        <f t="shared" si="0"/>
        <v>0</v>
      </c>
      <c r="G16" s="17">
        <f t="shared" si="0"/>
        <v>0</v>
      </c>
      <c r="H16" s="17">
        <v>0</v>
      </c>
      <c r="I16" s="17">
        <f t="shared" si="0"/>
        <v>0</v>
      </c>
      <c r="J16" s="17">
        <f t="shared" si="0"/>
        <v>0</v>
      </c>
      <c r="K16" s="17">
        <f t="shared" si="0"/>
        <v>0</v>
      </c>
      <c r="L16" s="17">
        <f t="shared" si="0"/>
        <v>0</v>
      </c>
      <c r="M16" s="17">
        <f t="shared" si="0"/>
        <v>0</v>
      </c>
      <c r="N16" s="17">
        <f t="shared" si="0"/>
        <v>0</v>
      </c>
      <c r="O16" s="18">
        <f t="shared" si="2"/>
        <v>0</v>
      </c>
    </row>
    <row r="17" spans="1:15" ht="17.25" hidden="1" customHeight="1" x14ac:dyDescent="0.2">
      <c r="A17" s="12"/>
      <c r="B17" s="13" t="s">
        <v>126</v>
      </c>
      <c r="C17" s="17">
        <v>0</v>
      </c>
      <c r="D17" s="17">
        <f t="shared" si="0"/>
        <v>0</v>
      </c>
      <c r="E17" s="17">
        <f t="shared" si="0"/>
        <v>0</v>
      </c>
      <c r="F17" s="17">
        <f t="shared" si="0"/>
        <v>0</v>
      </c>
      <c r="G17" s="17">
        <f t="shared" si="0"/>
        <v>0</v>
      </c>
      <c r="H17" s="17">
        <v>0</v>
      </c>
      <c r="I17" s="17">
        <f t="shared" si="0"/>
        <v>0</v>
      </c>
      <c r="J17" s="17">
        <f t="shared" si="0"/>
        <v>0</v>
      </c>
      <c r="K17" s="17">
        <f t="shared" si="0"/>
        <v>0</v>
      </c>
      <c r="L17" s="17">
        <f t="shared" si="0"/>
        <v>0</v>
      </c>
      <c r="M17" s="17">
        <f t="shared" si="0"/>
        <v>0</v>
      </c>
      <c r="N17" s="17">
        <f t="shared" si="0"/>
        <v>0</v>
      </c>
      <c r="O17" s="18">
        <f t="shared" si="2"/>
        <v>0</v>
      </c>
    </row>
    <row r="18" spans="1:15" ht="15" x14ac:dyDescent="0.2">
      <c r="A18" s="12"/>
      <c r="B18" s="13" t="s">
        <v>127</v>
      </c>
      <c r="C18" s="17">
        <v>0</v>
      </c>
      <c r="D18" s="17">
        <f t="shared" si="0"/>
        <v>0</v>
      </c>
      <c r="E18" s="17">
        <f t="shared" si="0"/>
        <v>0</v>
      </c>
      <c r="F18" s="17">
        <f t="shared" si="0"/>
        <v>0</v>
      </c>
      <c r="G18" s="17">
        <f t="shared" si="0"/>
        <v>0</v>
      </c>
      <c r="H18" s="17">
        <v>0</v>
      </c>
      <c r="I18" s="17">
        <f t="shared" si="0"/>
        <v>0</v>
      </c>
      <c r="J18" s="17">
        <f t="shared" si="0"/>
        <v>0</v>
      </c>
      <c r="K18" s="17">
        <f t="shared" si="0"/>
        <v>0</v>
      </c>
      <c r="L18" s="17">
        <f t="shared" si="0"/>
        <v>0</v>
      </c>
      <c r="M18" s="17">
        <f t="shared" si="0"/>
        <v>0</v>
      </c>
      <c r="N18" s="17">
        <f t="shared" si="0"/>
        <v>0</v>
      </c>
      <c r="O18" s="18">
        <f t="shared" si="2"/>
        <v>0</v>
      </c>
    </row>
    <row r="19" spans="1:15" ht="15" x14ac:dyDescent="0.2">
      <c r="A19" s="12"/>
      <c r="B19" s="13" t="s">
        <v>128</v>
      </c>
      <c r="C19" s="17">
        <v>0</v>
      </c>
      <c r="D19" s="17">
        <f t="shared" si="0"/>
        <v>0</v>
      </c>
      <c r="E19" s="17">
        <f t="shared" si="0"/>
        <v>0</v>
      </c>
      <c r="F19" s="17">
        <f t="shared" si="0"/>
        <v>0</v>
      </c>
      <c r="G19" s="17">
        <f t="shared" si="0"/>
        <v>0</v>
      </c>
      <c r="H19" s="17">
        <v>0</v>
      </c>
      <c r="I19" s="17">
        <f t="shared" si="0"/>
        <v>0</v>
      </c>
      <c r="J19" s="17">
        <f t="shared" si="0"/>
        <v>0</v>
      </c>
      <c r="K19" s="17">
        <f t="shared" si="0"/>
        <v>0</v>
      </c>
      <c r="L19" s="17">
        <f t="shared" si="0"/>
        <v>0</v>
      </c>
      <c r="M19" s="17">
        <f t="shared" si="0"/>
        <v>0</v>
      </c>
      <c r="N19" s="17">
        <f t="shared" si="0"/>
        <v>0</v>
      </c>
      <c r="O19" s="18">
        <f t="shared" si="2"/>
        <v>0</v>
      </c>
    </row>
    <row r="20" spans="1:15" ht="15" customHeight="1" x14ac:dyDescent="0.2">
      <c r="A20" s="12"/>
      <c r="B20" s="13" t="s">
        <v>129</v>
      </c>
      <c r="C20" s="17">
        <v>0</v>
      </c>
      <c r="D20" s="17">
        <f t="shared" si="0"/>
        <v>0</v>
      </c>
      <c r="E20" s="17">
        <f t="shared" si="0"/>
        <v>0</v>
      </c>
      <c r="F20" s="17">
        <f t="shared" si="0"/>
        <v>0</v>
      </c>
      <c r="G20" s="17">
        <f t="shared" si="0"/>
        <v>0</v>
      </c>
      <c r="H20" s="17">
        <v>0</v>
      </c>
      <c r="I20" s="17">
        <f t="shared" si="0"/>
        <v>0</v>
      </c>
      <c r="J20" s="17">
        <f t="shared" si="0"/>
        <v>0</v>
      </c>
      <c r="K20" s="17">
        <f t="shared" si="0"/>
        <v>0</v>
      </c>
      <c r="L20" s="17">
        <f t="shared" si="0"/>
        <v>0</v>
      </c>
      <c r="M20" s="17">
        <f t="shared" si="0"/>
        <v>0</v>
      </c>
      <c r="N20" s="17">
        <f t="shared" si="0"/>
        <v>0</v>
      </c>
      <c r="O20" s="18">
        <f t="shared" si="2"/>
        <v>0</v>
      </c>
    </row>
    <row r="21" spans="1:15" ht="15" hidden="1" customHeight="1" x14ac:dyDescent="0.2">
      <c r="A21" s="878" t="s">
        <v>130</v>
      </c>
      <c r="B21" s="19" t="s">
        <v>131</v>
      </c>
      <c r="C21" s="17">
        <v>0</v>
      </c>
      <c r="D21" s="17">
        <f t="shared" si="0"/>
        <v>0</v>
      </c>
      <c r="E21" s="17">
        <f t="shared" si="0"/>
        <v>0</v>
      </c>
      <c r="F21" s="17">
        <f t="shared" si="0"/>
        <v>0</v>
      </c>
      <c r="G21" s="17">
        <f t="shared" si="0"/>
        <v>0</v>
      </c>
      <c r="H21" s="17">
        <v>0</v>
      </c>
      <c r="I21" s="17">
        <f t="shared" si="0"/>
        <v>0</v>
      </c>
      <c r="J21" s="17">
        <f t="shared" si="0"/>
        <v>0</v>
      </c>
      <c r="K21" s="17">
        <f t="shared" si="0"/>
        <v>0</v>
      </c>
      <c r="L21" s="17">
        <f t="shared" si="0"/>
        <v>0</v>
      </c>
      <c r="M21" s="17">
        <f t="shared" si="0"/>
        <v>0</v>
      </c>
      <c r="N21" s="17">
        <f t="shared" si="0"/>
        <v>0</v>
      </c>
      <c r="O21" s="18">
        <f t="shared" si="2"/>
        <v>0</v>
      </c>
    </row>
    <row r="22" spans="1:15" ht="15" customHeight="1" x14ac:dyDescent="0.2">
      <c r="A22" s="879"/>
      <c r="B22" s="19" t="s">
        <v>132</v>
      </c>
      <c r="C22" s="17">
        <v>0</v>
      </c>
      <c r="D22" s="17">
        <f t="shared" si="0"/>
        <v>0</v>
      </c>
      <c r="E22" s="17">
        <f t="shared" si="0"/>
        <v>0</v>
      </c>
      <c r="F22" s="17">
        <f t="shared" si="0"/>
        <v>0</v>
      </c>
      <c r="G22" s="17">
        <f t="shared" si="0"/>
        <v>0</v>
      </c>
      <c r="H22" s="17">
        <v>0</v>
      </c>
      <c r="I22" s="17">
        <f t="shared" si="0"/>
        <v>0</v>
      </c>
      <c r="J22" s="17">
        <f t="shared" si="0"/>
        <v>0</v>
      </c>
      <c r="K22" s="17">
        <f t="shared" si="0"/>
        <v>0</v>
      </c>
      <c r="L22" s="17">
        <f t="shared" si="0"/>
        <v>0</v>
      </c>
      <c r="M22" s="17">
        <f t="shared" si="0"/>
        <v>0</v>
      </c>
      <c r="N22" s="17">
        <f t="shared" si="0"/>
        <v>0</v>
      </c>
      <c r="O22" s="18">
        <f t="shared" si="2"/>
        <v>0</v>
      </c>
    </row>
    <row r="23" spans="1:15" ht="15" hidden="1" customHeight="1" x14ac:dyDescent="0.2">
      <c r="A23" s="879"/>
      <c r="B23" s="19" t="s">
        <v>133</v>
      </c>
      <c r="C23" s="17">
        <v>0</v>
      </c>
      <c r="D23" s="17">
        <f t="shared" si="0"/>
        <v>0</v>
      </c>
      <c r="E23" s="17">
        <f t="shared" si="0"/>
        <v>0</v>
      </c>
      <c r="F23" s="17">
        <f t="shared" si="0"/>
        <v>0</v>
      </c>
      <c r="G23" s="17">
        <f t="shared" si="0"/>
        <v>0</v>
      </c>
      <c r="H23" s="17">
        <v>0</v>
      </c>
      <c r="I23" s="17">
        <f t="shared" si="0"/>
        <v>0</v>
      </c>
      <c r="J23" s="17">
        <f t="shared" si="0"/>
        <v>0</v>
      </c>
      <c r="K23" s="17">
        <f t="shared" si="0"/>
        <v>0</v>
      </c>
      <c r="L23" s="17">
        <f t="shared" si="0"/>
        <v>0</v>
      </c>
      <c r="M23" s="17">
        <f t="shared" si="0"/>
        <v>0</v>
      </c>
      <c r="N23" s="17">
        <f t="shared" si="0"/>
        <v>0</v>
      </c>
      <c r="O23" s="18">
        <f t="shared" si="2"/>
        <v>0</v>
      </c>
    </row>
    <row r="24" spans="1:15" ht="15" hidden="1" customHeight="1" x14ac:dyDescent="0.2">
      <c r="A24" s="879"/>
      <c r="B24" s="19" t="s">
        <v>134</v>
      </c>
      <c r="C24" s="17">
        <v>0</v>
      </c>
      <c r="D24" s="17">
        <f t="shared" si="0"/>
        <v>0</v>
      </c>
      <c r="E24" s="17">
        <f t="shared" si="0"/>
        <v>0</v>
      </c>
      <c r="F24" s="17">
        <f t="shared" si="0"/>
        <v>0</v>
      </c>
      <c r="G24" s="17">
        <f t="shared" si="0"/>
        <v>0</v>
      </c>
      <c r="H24" s="17">
        <v>0</v>
      </c>
      <c r="I24" s="17">
        <f t="shared" si="0"/>
        <v>0</v>
      </c>
      <c r="J24" s="17">
        <f t="shared" si="0"/>
        <v>0</v>
      </c>
      <c r="K24" s="17">
        <f t="shared" si="0"/>
        <v>0</v>
      </c>
      <c r="L24" s="17">
        <f t="shared" si="0"/>
        <v>0</v>
      </c>
      <c r="M24" s="17">
        <f t="shared" si="0"/>
        <v>0</v>
      </c>
      <c r="N24" s="17">
        <f t="shared" si="0"/>
        <v>0</v>
      </c>
      <c r="O24" s="18">
        <f t="shared" si="2"/>
        <v>0</v>
      </c>
    </row>
    <row r="25" spans="1:15" ht="15" hidden="1" customHeight="1" x14ac:dyDescent="0.2">
      <c r="A25" s="879"/>
      <c r="B25" s="19" t="s">
        <v>135</v>
      </c>
      <c r="C25" s="17">
        <v>0</v>
      </c>
      <c r="D25" s="17">
        <f t="shared" si="0"/>
        <v>0</v>
      </c>
      <c r="E25" s="17">
        <f t="shared" si="0"/>
        <v>0</v>
      </c>
      <c r="F25" s="17">
        <f t="shared" si="0"/>
        <v>0</v>
      </c>
      <c r="G25" s="17">
        <f t="shared" si="0"/>
        <v>0</v>
      </c>
      <c r="H25" s="17">
        <v>0</v>
      </c>
      <c r="I25" s="17">
        <f t="shared" si="0"/>
        <v>0</v>
      </c>
      <c r="J25" s="17">
        <f t="shared" si="0"/>
        <v>0</v>
      </c>
      <c r="K25" s="17">
        <f t="shared" si="0"/>
        <v>0</v>
      </c>
      <c r="L25" s="17">
        <f t="shared" si="0"/>
        <v>0</v>
      </c>
      <c r="M25" s="17">
        <f t="shared" si="0"/>
        <v>0</v>
      </c>
      <c r="N25" s="17">
        <f t="shared" si="0"/>
        <v>0</v>
      </c>
      <c r="O25" s="18">
        <f t="shared" si="2"/>
        <v>0</v>
      </c>
    </row>
    <row r="26" spans="1:15" ht="15" hidden="1" customHeight="1" x14ac:dyDescent="0.2">
      <c r="A26" s="879"/>
      <c r="B26" s="19" t="s">
        <v>136</v>
      </c>
      <c r="C26" s="17">
        <v>0</v>
      </c>
      <c r="D26" s="17">
        <f t="shared" si="0"/>
        <v>0</v>
      </c>
      <c r="E26" s="17">
        <f t="shared" si="0"/>
        <v>0</v>
      </c>
      <c r="F26" s="17">
        <f t="shared" si="0"/>
        <v>0</v>
      </c>
      <c r="G26" s="17">
        <f t="shared" si="0"/>
        <v>0</v>
      </c>
      <c r="H26" s="17">
        <v>0</v>
      </c>
      <c r="I26" s="17">
        <f t="shared" si="0"/>
        <v>0</v>
      </c>
      <c r="J26" s="17">
        <f t="shared" si="0"/>
        <v>0</v>
      </c>
      <c r="K26" s="17">
        <f t="shared" si="0"/>
        <v>0</v>
      </c>
      <c r="L26" s="17">
        <f t="shared" si="0"/>
        <v>0</v>
      </c>
      <c r="M26" s="17">
        <f t="shared" si="0"/>
        <v>0</v>
      </c>
      <c r="N26" s="17">
        <f t="shared" si="0"/>
        <v>0</v>
      </c>
      <c r="O26" s="18">
        <f t="shared" si="2"/>
        <v>0</v>
      </c>
    </row>
    <row r="27" spans="1:15" ht="15" hidden="1" customHeight="1" x14ac:dyDescent="0.2">
      <c r="A27" s="879"/>
      <c r="B27" s="19" t="s">
        <v>137</v>
      </c>
      <c r="C27" s="17">
        <v>0</v>
      </c>
      <c r="D27" s="17">
        <f t="shared" si="0"/>
        <v>0</v>
      </c>
      <c r="E27" s="17">
        <f t="shared" si="0"/>
        <v>0</v>
      </c>
      <c r="F27" s="17">
        <f t="shared" si="0"/>
        <v>0</v>
      </c>
      <c r="G27" s="17">
        <f t="shared" si="0"/>
        <v>0</v>
      </c>
      <c r="H27" s="17">
        <v>0</v>
      </c>
      <c r="I27" s="17">
        <f t="shared" si="0"/>
        <v>0</v>
      </c>
      <c r="J27" s="17">
        <f t="shared" si="0"/>
        <v>0</v>
      </c>
      <c r="K27" s="17">
        <f t="shared" si="0"/>
        <v>0</v>
      </c>
      <c r="L27" s="17">
        <f t="shared" si="0"/>
        <v>0</v>
      </c>
      <c r="M27" s="17">
        <f t="shared" si="0"/>
        <v>0</v>
      </c>
      <c r="N27" s="17">
        <f t="shared" si="0"/>
        <v>0</v>
      </c>
      <c r="O27" s="18">
        <f t="shared" si="2"/>
        <v>0</v>
      </c>
    </row>
    <row r="28" spans="1:15" ht="15" hidden="1" customHeight="1" x14ac:dyDescent="0.2">
      <c r="A28" s="879"/>
      <c r="B28" s="19" t="s">
        <v>138</v>
      </c>
      <c r="C28" s="17">
        <v>0</v>
      </c>
      <c r="D28" s="17">
        <f t="shared" si="0"/>
        <v>0</v>
      </c>
      <c r="E28" s="17">
        <f t="shared" si="0"/>
        <v>0</v>
      </c>
      <c r="F28" s="17">
        <f t="shared" si="0"/>
        <v>0</v>
      </c>
      <c r="G28" s="17">
        <f t="shared" si="0"/>
        <v>0</v>
      </c>
      <c r="H28" s="17">
        <v>0</v>
      </c>
      <c r="I28" s="17">
        <f t="shared" si="0"/>
        <v>0</v>
      </c>
      <c r="J28" s="17">
        <f t="shared" si="0"/>
        <v>0</v>
      </c>
      <c r="K28" s="17">
        <f t="shared" si="0"/>
        <v>0</v>
      </c>
      <c r="L28" s="17">
        <f t="shared" si="0"/>
        <v>0</v>
      </c>
      <c r="M28" s="17">
        <f t="shared" si="0"/>
        <v>0</v>
      </c>
      <c r="N28" s="17">
        <f t="shared" si="0"/>
        <v>0</v>
      </c>
      <c r="O28" s="18">
        <f t="shared" si="2"/>
        <v>0</v>
      </c>
    </row>
    <row r="29" spans="1:15" ht="15" hidden="1" customHeight="1" x14ac:dyDescent="0.2">
      <c r="A29" s="879"/>
      <c r="B29" s="19" t="s">
        <v>139</v>
      </c>
      <c r="C29" s="17">
        <v>0</v>
      </c>
      <c r="D29" s="17">
        <f t="shared" si="0"/>
        <v>0</v>
      </c>
      <c r="E29" s="17">
        <f t="shared" si="0"/>
        <v>0</v>
      </c>
      <c r="F29" s="17">
        <f t="shared" si="0"/>
        <v>0</v>
      </c>
      <c r="G29" s="17">
        <f t="shared" si="0"/>
        <v>0</v>
      </c>
      <c r="H29" s="17">
        <v>0</v>
      </c>
      <c r="I29" s="17">
        <f t="shared" si="0"/>
        <v>0</v>
      </c>
      <c r="J29" s="17">
        <f t="shared" si="0"/>
        <v>0</v>
      </c>
      <c r="K29" s="17">
        <f t="shared" si="0"/>
        <v>0</v>
      </c>
      <c r="L29" s="17">
        <f t="shared" si="0"/>
        <v>0</v>
      </c>
      <c r="M29" s="17">
        <f t="shared" si="0"/>
        <v>0</v>
      </c>
      <c r="N29" s="17">
        <f t="shared" si="0"/>
        <v>0</v>
      </c>
      <c r="O29" s="18">
        <f t="shared" si="2"/>
        <v>0</v>
      </c>
    </row>
    <row r="30" spans="1:15" ht="15" hidden="1" customHeight="1" x14ac:dyDescent="0.2">
      <c r="A30" s="879"/>
      <c r="B30" s="19" t="s">
        <v>140</v>
      </c>
      <c r="C30" s="17">
        <v>0</v>
      </c>
      <c r="D30" s="17">
        <f t="shared" si="0"/>
        <v>0</v>
      </c>
      <c r="E30" s="17">
        <f t="shared" si="0"/>
        <v>0</v>
      </c>
      <c r="F30" s="17">
        <f t="shared" si="0"/>
        <v>0</v>
      </c>
      <c r="G30" s="17">
        <f t="shared" si="0"/>
        <v>0</v>
      </c>
      <c r="H30" s="17">
        <v>0</v>
      </c>
      <c r="I30" s="17">
        <f t="shared" si="0"/>
        <v>0</v>
      </c>
      <c r="J30" s="17">
        <f t="shared" si="0"/>
        <v>0</v>
      </c>
      <c r="K30" s="17">
        <f t="shared" si="0"/>
        <v>0</v>
      </c>
      <c r="L30" s="17">
        <f t="shared" si="0"/>
        <v>0</v>
      </c>
      <c r="M30" s="17">
        <f t="shared" si="0"/>
        <v>0</v>
      </c>
      <c r="N30" s="17">
        <f t="shared" si="0"/>
        <v>0</v>
      </c>
      <c r="O30" s="18">
        <f t="shared" si="2"/>
        <v>0</v>
      </c>
    </row>
    <row r="31" spans="1:15" ht="15" hidden="1" customHeight="1" x14ac:dyDescent="0.2">
      <c r="A31" s="879"/>
      <c r="B31" s="19" t="s">
        <v>225</v>
      </c>
      <c r="C31" s="17">
        <v>0</v>
      </c>
      <c r="D31" s="17">
        <f t="shared" si="0"/>
        <v>0</v>
      </c>
      <c r="E31" s="17">
        <f t="shared" si="0"/>
        <v>0</v>
      </c>
      <c r="F31" s="17">
        <f t="shared" si="0"/>
        <v>0</v>
      </c>
      <c r="G31" s="17">
        <f t="shared" si="0"/>
        <v>0</v>
      </c>
      <c r="H31" s="17">
        <v>0</v>
      </c>
      <c r="I31" s="17">
        <f t="shared" si="0"/>
        <v>0</v>
      </c>
      <c r="J31" s="17">
        <f t="shared" si="0"/>
        <v>0</v>
      </c>
      <c r="K31" s="17">
        <f t="shared" si="0"/>
        <v>0</v>
      </c>
      <c r="L31" s="17">
        <f t="shared" si="0"/>
        <v>0</v>
      </c>
      <c r="M31" s="17">
        <f t="shared" si="0"/>
        <v>0</v>
      </c>
      <c r="N31" s="17">
        <f t="shared" si="0"/>
        <v>0</v>
      </c>
      <c r="O31" s="18">
        <f t="shared" si="2"/>
        <v>0</v>
      </c>
    </row>
    <row r="32" spans="1:15" ht="15" customHeight="1" x14ac:dyDescent="0.2">
      <c r="A32" s="879"/>
      <c r="B32" s="21" t="s">
        <v>142</v>
      </c>
      <c r="C32" s="17">
        <v>0</v>
      </c>
      <c r="D32" s="17">
        <f t="shared" si="0"/>
        <v>0</v>
      </c>
      <c r="E32" s="17">
        <f t="shared" si="0"/>
        <v>0</v>
      </c>
      <c r="F32" s="17">
        <f t="shared" si="0"/>
        <v>0</v>
      </c>
      <c r="G32" s="17">
        <f t="shared" si="0"/>
        <v>0</v>
      </c>
      <c r="H32" s="17">
        <v>0</v>
      </c>
      <c r="I32" s="17">
        <f t="shared" si="0"/>
        <v>0</v>
      </c>
      <c r="J32" s="17">
        <f t="shared" si="0"/>
        <v>0</v>
      </c>
      <c r="K32" s="17">
        <f t="shared" si="0"/>
        <v>0</v>
      </c>
      <c r="L32" s="17">
        <f t="shared" si="0"/>
        <v>0</v>
      </c>
      <c r="M32" s="17">
        <f t="shared" si="0"/>
        <v>0</v>
      </c>
      <c r="N32" s="17">
        <f t="shared" si="0"/>
        <v>0</v>
      </c>
      <c r="O32" s="18">
        <f t="shared" si="2"/>
        <v>0</v>
      </c>
    </row>
    <row r="33" spans="1:17" ht="15" hidden="1" customHeight="1" x14ac:dyDescent="0.2">
      <c r="A33" s="880"/>
      <c r="B33" s="19" t="s">
        <v>226</v>
      </c>
      <c r="C33" s="17">
        <v>0</v>
      </c>
      <c r="D33" s="17">
        <f t="shared" si="0"/>
        <v>0</v>
      </c>
      <c r="E33" s="17">
        <f t="shared" si="0"/>
        <v>0</v>
      </c>
      <c r="F33" s="17">
        <f t="shared" si="0"/>
        <v>0</v>
      </c>
      <c r="G33" s="17">
        <f t="shared" si="0"/>
        <v>0</v>
      </c>
      <c r="H33" s="17">
        <v>0</v>
      </c>
      <c r="I33" s="17">
        <f t="shared" si="0"/>
        <v>0</v>
      </c>
      <c r="J33" s="17">
        <f t="shared" si="0"/>
        <v>0</v>
      </c>
      <c r="K33" s="17">
        <f t="shared" si="0"/>
        <v>0</v>
      </c>
      <c r="L33" s="17">
        <f t="shared" si="0"/>
        <v>0</v>
      </c>
      <c r="M33" s="17">
        <f t="shared" si="0"/>
        <v>0</v>
      </c>
      <c r="N33" s="17">
        <f t="shared" si="0"/>
        <v>0</v>
      </c>
      <c r="O33" s="18">
        <f t="shared" si="2"/>
        <v>0</v>
      </c>
    </row>
    <row r="34" spans="1:17" ht="15" customHeight="1" x14ac:dyDescent="0.2">
      <c r="A34" s="865" t="s">
        <v>144</v>
      </c>
      <c r="B34" s="866"/>
      <c r="C34" s="17">
        <v>0</v>
      </c>
      <c r="D34" s="17">
        <f t="shared" si="0"/>
        <v>0</v>
      </c>
      <c r="E34" s="17">
        <f t="shared" si="0"/>
        <v>0</v>
      </c>
      <c r="F34" s="17">
        <f t="shared" si="0"/>
        <v>0</v>
      </c>
      <c r="G34" s="17">
        <f t="shared" si="0"/>
        <v>0</v>
      </c>
      <c r="H34" s="17">
        <v>0</v>
      </c>
      <c r="I34" s="17">
        <f t="shared" si="0"/>
        <v>0</v>
      </c>
      <c r="J34" s="17">
        <f t="shared" si="0"/>
        <v>0</v>
      </c>
      <c r="K34" s="17">
        <f t="shared" si="0"/>
        <v>0</v>
      </c>
      <c r="L34" s="17">
        <f t="shared" si="0"/>
        <v>0</v>
      </c>
      <c r="M34" s="17">
        <f t="shared" si="0"/>
        <v>0</v>
      </c>
      <c r="N34" s="17">
        <f t="shared" si="0"/>
        <v>0</v>
      </c>
      <c r="O34" s="18">
        <f t="shared" si="2"/>
        <v>0</v>
      </c>
    </row>
    <row r="35" spans="1:17" ht="15" customHeight="1" x14ac:dyDescent="0.2">
      <c r="A35" s="865" t="s">
        <v>145</v>
      </c>
      <c r="B35" s="866"/>
      <c r="C35" s="17">
        <v>0</v>
      </c>
      <c r="D35" s="17">
        <v>432</v>
      </c>
      <c r="E35" s="17">
        <v>0</v>
      </c>
      <c r="F35" s="17">
        <f>+E35</f>
        <v>0</v>
      </c>
      <c r="G35" s="17">
        <f>+F35</f>
        <v>0</v>
      </c>
      <c r="H35" s="17">
        <v>0</v>
      </c>
      <c r="I35" s="17">
        <f t="shared" ref="I35:N36" si="3">+H35</f>
        <v>0</v>
      </c>
      <c r="J35" s="17">
        <v>432</v>
      </c>
      <c r="K35" s="17">
        <v>0</v>
      </c>
      <c r="L35" s="17">
        <f t="shared" si="3"/>
        <v>0</v>
      </c>
      <c r="M35" s="17">
        <f t="shared" si="3"/>
        <v>0</v>
      </c>
      <c r="N35" s="17">
        <f t="shared" si="3"/>
        <v>0</v>
      </c>
      <c r="O35" s="18">
        <f t="shared" si="2"/>
        <v>864</v>
      </c>
    </row>
    <row r="36" spans="1:17" ht="15" customHeight="1" x14ac:dyDescent="0.2">
      <c r="A36" s="865" t="s">
        <v>146</v>
      </c>
      <c r="B36" s="866"/>
      <c r="C36" s="17">
        <v>0</v>
      </c>
      <c r="D36" s="17">
        <v>5580</v>
      </c>
      <c r="E36" s="17">
        <v>0</v>
      </c>
      <c r="F36" s="17">
        <f>+E36</f>
        <v>0</v>
      </c>
      <c r="G36" s="17">
        <f>+F36</f>
        <v>0</v>
      </c>
      <c r="H36" s="17">
        <v>0</v>
      </c>
      <c r="I36" s="17">
        <f t="shared" si="3"/>
        <v>0</v>
      </c>
      <c r="J36" s="17">
        <v>5748</v>
      </c>
      <c r="K36" s="17">
        <v>0</v>
      </c>
      <c r="L36" s="17">
        <f t="shared" si="3"/>
        <v>0</v>
      </c>
      <c r="M36" s="17">
        <f t="shared" si="3"/>
        <v>0</v>
      </c>
      <c r="N36" s="17">
        <f t="shared" si="3"/>
        <v>0</v>
      </c>
      <c r="O36" s="18">
        <f t="shared" si="2"/>
        <v>11328</v>
      </c>
    </row>
    <row r="37" spans="1:17" ht="15" customHeight="1" x14ac:dyDescent="0.2">
      <c r="A37" s="22"/>
      <c r="B37" s="23" t="s">
        <v>147</v>
      </c>
      <c r="C37" s="24">
        <f t="shared" ref="C37:N37" si="4">SUM(C9:C36)</f>
        <v>105210</v>
      </c>
      <c r="D37" s="24">
        <f t="shared" si="4"/>
        <v>113226</v>
      </c>
      <c r="E37" s="24">
        <f t="shared" si="4"/>
        <v>107214</v>
      </c>
      <c r="F37" s="24">
        <f t="shared" si="4"/>
        <v>107214</v>
      </c>
      <c r="G37" s="24">
        <f t="shared" si="4"/>
        <v>110210</v>
      </c>
      <c r="H37" s="24">
        <f t="shared" si="4"/>
        <v>110210</v>
      </c>
      <c r="I37" s="24">
        <f t="shared" si="4"/>
        <v>110210</v>
      </c>
      <c r="J37" s="24">
        <f t="shared" si="4"/>
        <v>118450</v>
      </c>
      <c r="K37" s="24">
        <f t="shared" si="4"/>
        <v>112270</v>
      </c>
      <c r="L37" s="24">
        <f t="shared" si="4"/>
        <v>112270</v>
      </c>
      <c r="M37" s="24">
        <f t="shared" si="4"/>
        <v>112270</v>
      </c>
      <c r="N37" s="24">
        <f t="shared" si="4"/>
        <v>112270</v>
      </c>
      <c r="O37" s="25">
        <f>SUM(C37:N37)</f>
        <v>1331024</v>
      </c>
      <c r="Q37" s="16">
        <f>64278+64278+11864+67244*2+70970*3+84099+11745+74885*5</f>
        <v>958087</v>
      </c>
    </row>
    <row r="38" spans="1:17" ht="15" customHeight="1" x14ac:dyDescent="0.2">
      <c r="A38" s="853" t="s">
        <v>148</v>
      </c>
      <c r="B38" s="27" t="s">
        <v>149</v>
      </c>
      <c r="C38" s="147">
        <v>9400</v>
      </c>
      <c r="D38" s="147">
        <v>9500</v>
      </c>
      <c r="E38" s="147">
        <v>10000</v>
      </c>
      <c r="F38" s="147">
        <v>10000</v>
      </c>
      <c r="G38" s="147">
        <v>10000</v>
      </c>
      <c r="H38" s="147">
        <v>10000</v>
      </c>
      <c r="I38" s="147">
        <v>10000</v>
      </c>
      <c r="J38" s="147">
        <v>10000</v>
      </c>
      <c r="K38" s="147">
        <v>20000</v>
      </c>
      <c r="L38" s="147">
        <v>19630</v>
      </c>
      <c r="M38" s="147">
        <v>19630</v>
      </c>
      <c r="N38" s="147">
        <v>0</v>
      </c>
      <c r="O38" s="18">
        <f>SUM(C38:N38)</f>
        <v>138160</v>
      </c>
      <c r="P38" s="248"/>
    </row>
    <row r="39" spans="1:17" ht="15" x14ac:dyDescent="0.2">
      <c r="A39" s="854"/>
      <c r="B39" s="27" t="s">
        <v>150</v>
      </c>
      <c r="C39" s="147">
        <v>0</v>
      </c>
      <c r="D39" s="147">
        <v>0</v>
      </c>
      <c r="E39" s="147">
        <v>0</v>
      </c>
      <c r="F39" s="147">
        <v>0</v>
      </c>
      <c r="G39" s="147">
        <v>0</v>
      </c>
      <c r="H39" s="147">
        <v>0</v>
      </c>
      <c r="I39" s="147">
        <v>0</v>
      </c>
      <c r="J39" s="147">
        <v>0</v>
      </c>
      <c r="K39" s="147">
        <v>0</v>
      </c>
      <c r="L39" s="147">
        <v>0</v>
      </c>
      <c r="M39" s="147">
        <v>0</v>
      </c>
      <c r="N39" s="147">
        <v>0</v>
      </c>
      <c r="O39" s="18">
        <f>SUM(C39:N39)</f>
        <v>0</v>
      </c>
    </row>
    <row r="40" spans="1:17" ht="15" x14ac:dyDescent="0.2">
      <c r="A40" s="854"/>
      <c r="B40" s="27" t="s">
        <v>151</v>
      </c>
      <c r="C40" s="147">
        <v>60</v>
      </c>
      <c r="D40" s="147">
        <v>60</v>
      </c>
      <c r="E40" s="147">
        <v>60</v>
      </c>
      <c r="F40" s="147">
        <v>60</v>
      </c>
      <c r="G40" s="147">
        <v>60</v>
      </c>
      <c r="H40" s="147">
        <v>60</v>
      </c>
      <c r="I40" s="147">
        <v>60</v>
      </c>
      <c r="J40" s="147">
        <v>60</v>
      </c>
      <c r="K40" s="147">
        <v>60</v>
      </c>
      <c r="L40" s="147">
        <v>60</v>
      </c>
      <c r="M40" s="147">
        <v>60</v>
      </c>
      <c r="N40" s="147">
        <v>60</v>
      </c>
      <c r="O40" s="18">
        <f t="shared" ref="O40:O50" si="5">SUM(C40:N40)</f>
        <v>720</v>
      </c>
    </row>
    <row r="41" spans="1:17" ht="15" x14ac:dyDescent="0.2">
      <c r="A41" s="854"/>
      <c r="B41" s="27" t="s">
        <v>152</v>
      </c>
      <c r="C41" s="147">
        <v>0</v>
      </c>
      <c r="D41" s="147">
        <v>0</v>
      </c>
      <c r="E41" s="147">
        <v>0</v>
      </c>
      <c r="F41" s="147">
        <v>0</v>
      </c>
      <c r="G41" s="147">
        <v>0</v>
      </c>
      <c r="H41" s="147">
        <v>0</v>
      </c>
      <c r="I41" s="147">
        <v>0</v>
      </c>
      <c r="J41" s="147">
        <v>0</v>
      </c>
      <c r="K41" s="147">
        <v>0</v>
      </c>
      <c r="L41" s="147">
        <v>0</v>
      </c>
      <c r="M41" s="147">
        <v>0</v>
      </c>
      <c r="N41" s="147">
        <v>0</v>
      </c>
      <c r="O41" s="18">
        <f t="shared" si="5"/>
        <v>0</v>
      </c>
    </row>
    <row r="42" spans="1:17" ht="15" x14ac:dyDescent="0.2">
      <c r="A42" s="854"/>
      <c r="B42" s="27" t="s">
        <v>153</v>
      </c>
      <c r="C42" s="147">
        <v>650</v>
      </c>
      <c r="D42" s="147">
        <v>650</v>
      </c>
      <c r="E42" s="147">
        <v>650</v>
      </c>
      <c r="F42" s="147">
        <v>650</v>
      </c>
      <c r="G42" s="147">
        <v>650</v>
      </c>
      <c r="H42" s="147">
        <v>650</v>
      </c>
      <c r="I42" s="147">
        <v>650</v>
      </c>
      <c r="J42" s="147">
        <v>650</v>
      </c>
      <c r="K42" s="147">
        <v>650</v>
      </c>
      <c r="L42" s="147">
        <v>650</v>
      </c>
      <c r="M42" s="147">
        <v>650</v>
      </c>
      <c r="N42" s="147">
        <v>650</v>
      </c>
      <c r="O42" s="18">
        <f t="shared" si="5"/>
        <v>7800</v>
      </c>
    </row>
    <row r="43" spans="1:17" ht="15" x14ac:dyDescent="0.2">
      <c r="A43" s="854"/>
      <c r="B43" s="27" t="s">
        <v>154</v>
      </c>
      <c r="C43" s="147">
        <v>35000</v>
      </c>
      <c r="D43" s="147">
        <v>35000</v>
      </c>
      <c r="E43" s="147">
        <v>35000</v>
      </c>
      <c r="F43" s="147">
        <v>35000</v>
      </c>
      <c r="G43" s="147">
        <v>35000</v>
      </c>
      <c r="H43" s="147">
        <v>35000</v>
      </c>
      <c r="I43" s="147">
        <v>35000</v>
      </c>
      <c r="J43" s="147">
        <v>35000</v>
      </c>
      <c r="K43" s="147">
        <v>35000</v>
      </c>
      <c r="L43" s="147">
        <v>35000</v>
      </c>
      <c r="M43" s="147">
        <v>35000</v>
      </c>
      <c r="N43" s="147">
        <v>35000</v>
      </c>
      <c r="O43" s="18">
        <f t="shared" si="5"/>
        <v>420000</v>
      </c>
    </row>
    <row r="44" spans="1:17" ht="15" x14ac:dyDescent="0.2">
      <c r="A44" s="854"/>
      <c r="B44" s="27" t="s">
        <v>155</v>
      </c>
      <c r="C44" s="147">
        <v>200</v>
      </c>
      <c r="D44" s="147">
        <v>200</v>
      </c>
      <c r="E44" s="147">
        <v>200</v>
      </c>
      <c r="F44" s="147">
        <v>200</v>
      </c>
      <c r="G44" s="147">
        <v>200</v>
      </c>
      <c r="H44" s="147">
        <v>200</v>
      </c>
      <c r="I44" s="147">
        <v>200</v>
      </c>
      <c r="J44" s="147">
        <v>200</v>
      </c>
      <c r="K44" s="147">
        <v>200</v>
      </c>
      <c r="L44" s="147">
        <v>200</v>
      </c>
      <c r="M44" s="147">
        <v>200</v>
      </c>
      <c r="N44" s="147">
        <v>300</v>
      </c>
      <c r="O44" s="18">
        <f t="shared" si="5"/>
        <v>2500</v>
      </c>
    </row>
    <row r="45" spans="1:17" ht="15" x14ac:dyDescent="0.2">
      <c r="A45" s="854"/>
      <c r="B45" s="27" t="s">
        <v>248</v>
      </c>
      <c r="C45" s="147">
        <v>1065</v>
      </c>
      <c r="D45" s="147">
        <v>1065</v>
      </c>
      <c r="E45" s="147">
        <v>1065</v>
      </c>
      <c r="F45" s="147">
        <v>1065</v>
      </c>
      <c r="G45" s="147">
        <v>1065</v>
      </c>
      <c r="H45" s="147">
        <v>2690</v>
      </c>
      <c r="I45" s="147">
        <v>1190</v>
      </c>
      <c r="J45" s="147">
        <v>1190</v>
      </c>
      <c r="K45" s="147">
        <v>1190</v>
      </c>
      <c r="L45" s="147">
        <v>1190</v>
      </c>
      <c r="M45" s="147">
        <v>1190</v>
      </c>
      <c r="N45" s="147">
        <v>1190</v>
      </c>
      <c r="O45" s="18">
        <f t="shared" si="5"/>
        <v>15155</v>
      </c>
    </row>
    <row r="46" spans="1:17" ht="15" x14ac:dyDescent="0.2">
      <c r="A46" s="854"/>
      <c r="B46" s="27" t="s">
        <v>157</v>
      </c>
      <c r="C46" s="147">
        <v>0</v>
      </c>
      <c r="D46" s="147">
        <v>0</v>
      </c>
      <c r="E46" s="147">
        <v>0</v>
      </c>
      <c r="F46" s="147">
        <v>0</v>
      </c>
      <c r="G46" s="147">
        <v>0</v>
      </c>
      <c r="H46" s="147">
        <v>0</v>
      </c>
      <c r="I46" s="147">
        <v>0</v>
      </c>
      <c r="J46" s="147">
        <v>0</v>
      </c>
      <c r="K46" s="147">
        <v>0</v>
      </c>
      <c r="L46" s="147">
        <v>0</v>
      </c>
      <c r="M46" s="147">
        <v>0</v>
      </c>
      <c r="N46" s="147">
        <v>0</v>
      </c>
      <c r="O46" s="18">
        <f t="shared" si="5"/>
        <v>0</v>
      </c>
    </row>
    <row r="47" spans="1:17" ht="28.5" customHeight="1" x14ac:dyDescent="0.2">
      <c r="A47" s="855"/>
      <c r="B47" s="30" t="s">
        <v>158</v>
      </c>
      <c r="C47" s="147">
        <v>0</v>
      </c>
      <c r="D47" s="147">
        <v>0</v>
      </c>
      <c r="E47" s="147">
        <v>0</v>
      </c>
      <c r="F47" s="147">
        <v>0</v>
      </c>
      <c r="G47" s="147">
        <v>0</v>
      </c>
      <c r="H47" s="147">
        <v>0</v>
      </c>
      <c r="I47" s="147">
        <v>0</v>
      </c>
      <c r="J47" s="147">
        <v>0</v>
      </c>
      <c r="K47" s="147">
        <v>0</v>
      </c>
      <c r="L47" s="147">
        <v>0</v>
      </c>
      <c r="M47" s="147">
        <v>0</v>
      </c>
      <c r="N47" s="147">
        <v>0</v>
      </c>
      <c r="O47" s="31">
        <f t="shared" si="5"/>
        <v>0</v>
      </c>
    </row>
    <row r="48" spans="1:17" ht="30" x14ac:dyDescent="0.2">
      <c r="A48" s="856"/>
      <c r="B48" s="127" t="s">
        <v>533</v>
      </c>
      <c r="C48" s="147">
        <v>0</v>
      </c>
      <c r="D48" s="147">
        <v>0</v>
      </c>
      <c r="E48" s="147">
        <v>0</v>
      </c>
      <c r="F48" s="147">
        <v>0</v>
      </c>
      <c r="G48" s="147">
        <v>0</v>
      </c>
      <c r="H48" s="147">
        <v>0</v>
      </c>
      <c r="I48" s="147">
        <v>0</v>
      </c>
      <c r="J48" s="147">
        <v>0</v>
      </c>
      <c r="K48" s="147">
        <v>0</v>
      </c>
      <c r="L48" s="147">
        <v>0</v>
      </c>
      <c r="M48" s="147">
        <v>0</v>
      </c>
      <c r="N48" s="147">
        <v>0</v>
      </c>
      <c r="O48" s="31">
        <f t="shared" si="5"/>
        <v>0</v>
      </c>
    </row>
    <row r="49" spans="1:18" ht="15" x14ac:dyDescent="0.2">
      <c r="A49" s="857" t="s">
        <v>160</v>
      </c>
      <c r="B49" s="858"/>
      <c r="C49" s="33">
        <f t="shared" ref="C49:N49" si="6">SUM(C38:C48)</f>
        <v>46375</v>
      </c>
      <c r="D49" s="33">
        <f t="shared" si="6"/>
        <v>46475</v>
      </c>
      <c r="E49" s="33">
        <f t="shared" si="6"/>
        <v>46975</v>
      </c>
      <c r="F49" s="33">
        <f t="shared" si="6"/>
        <v>46975</v>
      </c>
      <c r="G49" s="33">
        <f t="shared" si="6"/>
        <v>46975</v>
      </c>
      <c r="H49" s="33">
        <f t="shared" si="6"/>
        <v>48600</v>
      </c>
      <c r="I49" s="33">
        <f t="shared" si="6"/>
        <v>47100</v>
      </c>
      <c r="J49" s="33">
        <f t="shared" si="6"/>
        <v>47100</v>
      </c>
      <c r="K49" s="33">
        <f t="shared" si="6"/>
        <v>57100</v>
      </c>
      <c r="L49" s="33">
        <f t="shared" si="6"/>
        <v>56730</v>
      </c>
      <c r="M49" s="33">
        <f t="shared" si="6"/>
        <v>56730</v>
      </c>
      <c r="N49" s="33">
        <f t="shared" si="6"/>
        <v>37200</v>
      </c>
      <c r="O49" s="34">
        <f t="shared" si="5"/>
        <v>584335</v>
      </c>
    </row>
    <row r="50" spans="1:18" ht="15.75" thickBot="1" x14ac:dyDescent="0.25">
      <c r="A50" s="859" t="s">
        <v>161</v>
      </c>
      <c r="B50" s="860"/>
      <c r="C50" s="35">
        <f t="shared" ref="C50:N50" si="7">C37-C49</f>
        <v>58835</v>
      </c>
      <c r="D50" s="35">
        <f t="shared" si="7"/>
        <v>66751</v>
      </c>
      <c r="E50" s="35">
        <f t="shared" si="7"/>
        <v>60239</v>
      </c>
      <c r="F50" s="35">
        <f t="shared" si="7"/>
        <v>60239</v>
      </c>
      <c r="G50" s="35">
        <f t="shared" si="7"/>
        <v>63235</v>
      </c>
      <c r="H50" s="35">
        <f t="shared" si="7"/>
        <v>61610</v>
      </c>
      <c r="I50" s="35">
        <f t="shared" si="7"/>
        <v>63110</v>
      </c>
      <c r="J50" s="35">
        <f t="shared" si="7"/>
        <v>71350</v>
      </c>
      <c r="K50" s="35">
        <f t="shared" si="7"/>
        <v>55170</v>
      </c>
      <c r="L50" s="35">
        <f t="shared" si="7"/>
        <v>55540</v>
      </c>
      <c r="M50" s="35">
        <f t="shared" si="7"/>
        <v>55540</v>
      </c>
      <c r="N50" s="35">
        <f t="shared" si="7"/>
        <v>75070</v>
      </c>
      <c r="O50" s="36">
        <f t="shared" si="5"/>
        <v>746689</v>
      </c>
      <c r="Q50" s="16">
        <f>48070+42570+11864+45426+55546+59272+56772+56772+67280+11745+59087+58987+58987+58987+58825</f>
        <v>750190</v>
      </c>
    </row>
    <row r="51" spans="1:18" x14ac:dyDescent="0.2">
      <c r="E51" s="16">
        <f>11864+45426</f>
        <v>57290</v>
      </c>
      <c r="J51" s="128">
        <f>+J37-SUM(J22:J36)</f>
        <v>112270</v>
      </c>
    </row>
    <row r="52" spans="1:18" ht="13.5" thickBot="1" x14ac:dyDescent="0.25">
      <c r="J52" s="38">
        <f>+J51-J49</f>
        <v>65170</v>
      </c>
    </row>
    <row r="53" spans="1:18" ht="13.5" thickBot="1" x14ac:dyDescent="0.25">
      <c r="B53" s="789" t="s">
        <v>162</v>
      </c>
      <c r="C53" s="861"/>
      <c r="D53" s="861"/>
      <c r="E53" s="861"/>
      <c r="F53" s="862"/>
      <c r="G53" s="863">
        <f>O37</f>
        <v>1331024</v>
      </c>
      <c r="H53" s="864"/>
      <c r="J53" s="38">
        <f>+J52+16819</f>
        <v>81989</v>
      </c>
    </row>
    <row r="54" spans="1:18" ht="13.5" thickBot="1" x14ac:dyDescent="0.25"/>
    <row r="55" spans="1:18" x14ac:dyDescent="0.2">
      <c r="B55" s="830" t="s">
        <v>163</v>
      </c>
      <c r="C55" s="833" t="s">
        <v>164</v>
      </c>
      <c r="D55" s="836" t="s">
        <v>425</v>
      </c>
      <c r="E55" s="837"/>
      <c r="F55" s="838"/>
      <c r="G55" s="839">
        <v>40000</v>
      </c>
      <c r="H55" s="840"/>
    </row>
    <row r="56" spans="1:18" x14ac:dyDescent="0.2">
      <c r="B56" s="831"/>
      <c r="C56" s="834"/>
      <c r="D56" s="841" t="s">
        <v>166</v>
      </c>
      <c r="E56" s="842"/>
      <c r="F56" s="843"/>
      <c r="G56" s="844">
        <f>+O44</f>
        <v>2500</v>
      </c>
      <c r="H56" s="845"/>
      <c r="I56" s="39"/>
      <c r="J56" s="846"/>
      <c r="K56" s="846"/>
      <c r="L56" s="846"/>
      <c r="M56" s="847"/>
      <c r="N56" s="847"/>
      <c r="O56" s="847"/>
    </row>
    <row r="57" spans="1:18" ht="13.5" thickBot="1" x14ac:dyDescent="0.25">
      <c r="B57" s="832"/>
      <c r="C57" s="835"/>
      <c r="D57" s="848" t="s">
        <v>266</v>
      </c>
      <c r="E57" s="849"/>
      <c r="F57" s="850"/>
      <c r="G57" s="851">
        <v>0</v>
      </c>
      <c r="H57" s="852"/>
      <c r="J57" s="47"/>
      <c r="K57" s="47"/>
      <c r="L57" s="47"/>
      <c r="M57" s="47"/>
      <c r="N57" s="47"/>
      <c r="O57" s="47"/>
    </row>
    <row r="58" spans="1:18" ht="13.5" thickBot="1" x14ac:dyDescent="0.25">
      <c r="B58" s="48"/>
      <c r="J58" s="47"/>
      <c r="K58" s="47"/>
      <c r="L58" s="47"/>
      <c r="M58" s="47"/>
      <c r="N58" s="47"/>
      <c r="O58" s="47"/>
    </row>
    <row r="59" spans="1:18" ht="13.5" thickBot="1" x14ac:dyDescent="0.25">
      <c r="B59" s="789" t="s">
        <v>168</v>
      </c>
      <c r="C59" s="790"/>
      <c r="D59" s="790"/>
      <c r="E59" s="790"/>
      <c r="F59" s="791"/>
      <c r="G59" s="825">
        <f>+G53-SUM(G55:H57)</f>
        <v>1288524</v>
      </c>
      <c r="H59" s="826"/>
      <c r="J59" s="827" t="s">
        <v>169</v>
      </c>
      <c r="K59" s="828"/>
      <c r="L59" s="828"/>
      <c r="M59" s="828"/>
      <c r="N59" s="828"/>
      <c r="O59" s="829"/>
    </row>
    <row r="60" spans="1:18" ht="13.5" thickBot="1" x14ac:dyDescent="0.25">
      <c r="B60" s="49"/>
      <c r="C60" s="50"/>
      <c r="D60" s="50"/>
      <c r="E60" s="50"/>
      <c r="F60" s="50"/>
      <c r="G60" s="45"/>
      <c r="H60" s="50"/>
      <c r="J60" s="51"/>
      <c r="K60" s="52"/>
      <c r="L60" s="52"/>
      <c r="M60" s="52"/>
      <c r="N60" s="52"/>
      <c r="O60" s="53"/>
    </row>
    <row r="61" spans="1:18" ht="13.5" thickBot="1" x14ac:dyDescent="0.25">
      <c r="B61" s="789" t="s">
        <v>170</v>
      </c>
      <c r="C61" s="790"/>
      <c r="D61" s="790"/>
      <c r="E61" s="790"/>
      <c r="F61" s="791"/>
      <c r="G61" s="805"/>
      <c r="H61" s="791"/>
      <c r="J61" s="54"/>
      <c r="K61" s="55"/>
      <c r="L61" s="55"/>
      <c r="M61" s="55"/>
      <c r="N61" s="55"/>
      <c r="O61" s="56"/>
    </row>
    <row r="62" spans="1:18" ht="12.75" customHeight="1" x14ac:dyDescent="0.2">
      <c r="B62" s="57" t="s">
        <v>171</v>
      </c>
      <c r="C62" s="806" t="s">
        <v>172</v>
      </c>
      <c r="D62" s="807"/>
      <c r="E62" s="807"/>
      <c r="F62" s="808"/>
      <c r="G62" s="809">
        <v>113351</v>
      </c>
      <c r="H62" s="809"/>
      <c r="I62" s="58"/>
      <c r="J62" s="810" t="s">
        <v>173</v>
      </c>
      <c r="K62" s="811"/>
      <c r="L62" s="811"/>
      <c r="M62" s="811"/>
      <c r="N62" s="811"/>
      <c r="O62" s="812"/>
      <c r="Q62" s="59"/>
      <c r="R62" s="59"/>
    </row>
    <row r="63" spans="1:18" ht="13.5" thickBot="1" x14ac:dyDescent="0.25">
      <c r="D63" s="37"/>
      <c r="I63" s="58"/>
      <c r="J63" s="60" t="s">
        <v>534</v>
      </c>
      <c r="K63" s="61"/>
      <c r="L63" s="61"/>
      <c r="M63" s="61"/>
      <c r="N63" s="61" t="s">
        <v>535</v>
      </c>
      <c r="O63" s="62">
        <v>0</v>
      </c>
      <c r="Q63" s="59"/>
      <c r="R63" s="59"/>
    </row>
    <row r="64" spans="1:18" ht="13.5" thickBot="1" x14ac:dyDescent="0.25">
      <c r="B64" s="789" t="s">
        <v>175</v>
      </c>
      <c r="C64" s="790"/>
      <c r="D64" s="790"/>
      <c r="E64" s="790"/>
      <c r="F64" s="791"/>
      <c r="G64" s="805">
        <f>+G59-G62</f>
        <v>1175173</v>
      </c>
      <c r="H64" s="791"/>
      <c r="I64" s="63"/>
      <c r="J64" s="64" t="s">
        <v>536</v>
      </c>
      <c r="K64" s="39"/>
      <c r="L64" s="39"/>
      <c r="M64" s="39"/>
      <c r="N64" s="39" t="s">
        <v>315</v>
      </c>
      <c r="O64" s="65">
        <v>0</v>
      </c>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6.25" customHeight="1" thickBot="1" x14ac:dyDescent="0.25">
      <c r="B67" s="66"/>
      <c r="C67" s="48"/>
      <c r="G67" s="70" t="s">
        <v>177</v>
      </c>
      <c r="H67" s="70" t="s">
        <v>178</v>
      </c>
      <c r="I67" s="63"/>
      <c r="J67" s="810" t="s">
        <v>179</v>
      </c>
      <c r="K67" s="811"/>
      <c r="L67" s="71"/>
      <c r="M67" s="71"/>
      <c r="N67" s="71"/>
      <c r="O67" s="72"/>
      <c r="Q67" s="59"/>
      <c r="R67" s="59"/>
    </row>
    <row r="68" spans="2:18" ht="12.75" customHeight="1" x14ac:dyDescent="0.2">
      <c r="B68" s="802" t="s">
        <v>180</v>
      </c>
      <c r="C68" s="821" t="s">
        <v>181</v>
      </c>
      <c r="D68" s="823" t="s">
        <v>182</v>
      </c>
      <c r="E68" s="824"/>
      <c r="F68" s="824"/>
      <c r="G68" s="73">
        <f>+O43</f>
        <v>420000</v>
      </c>
      <c r="H68" s="74">
        <f t="shared" ref="H68:H76" si="8">+G68</f>
        <v>420000</v>
      </c>
      <c r="I68" s="63"/>
      <c r="J68" s="75" t="s">
        <v>537</v>
      </c>
      <c r="K68" s="58"/>
      <c r="L68" s="58"/>
      <c r="M68" s="58"/>
      <c r="N68" s="58"/>
      <c r="O68" s="76">
        <v>0</v>
      </c>
      <c r="Q68" s="59"/>
      <c r="R68" s="59"/>
    </row>
    <row r="69" spans="2:18" ht="12.75" customHeight="1" x14ac:dyDescent="0.2">
      <c r="B69" s="803"/>
      <c r="C69" s="822"/>
      <c r="D69" s="782" t="s">
        <v>184</v>
      </c>
      <c r="E69" s="783"/>
      <c r="F69" s="783"/>
      <c r="G69" s="77">
        <f>+O47</f>
        <v>0</v>
      </c>
      <c r="H69" s="78">
        <f t="shared" si="8"/>
        <v>0</v>
      </c>
      <c r="I69" s="63"/>
      <c r="J69" s="79"/>
      <c r="K69" s="68"/>
      <c r="L69" s="68"/>
      <c r="M69" s="68"/>
      <c r="N69" s="68"/>
      <c r="O69" s="69"/>
      <c r="Q69" s="59"/>
      <c r="R69" s="59"/>
    </row>
    <row r="70" spans="2:18" ht="12.75" customHeight="1" x14ac:dyDescent="0.2">
      <c r="B70" s="803"/>
      <c r="C70" s="822"/>
      <c r="D70" s="819" t="s">
        <v>185</v>
      </c>
      <c r="E70" s="820"/>
      <c r="F70" s="820"/>
      <c r="G70" s="80">
        <f>O40</f>
        <v>720</v>
      </c>
      <c r="H70" s="78">
        <f t="shared" si="8"/>
        <v>720</v>
      </c>
      <c r="I70" s="63"/>
      <c r="J70" s="67"/>
      <c r="K70" s="68"/>
      <c r="L70" s="68"/>
      <c r="M70" s="68"/>
      <c r="N70" s="68"/>
      <c r="O70" s="69"/>
    </row>
    <row r="71" spans="2:18" x14ac:dyDescent="0.2">
      <c r="B71" s="803"/>
      <c r="C71" s="822"/>
      <c r="D71" s="782" t="s">
        <v>186</v>
      </c>
      <c r="E71" s="783"/>
      <c r="F71" s="783"/>
      <c r="G71" s="81">
        <v>0</v>
      </c>
      <c r="H71" s="78">
        <f t="shared" si="8"/>
        <v>0</v>
      </c>
      <c r="I71" s="63"/>
      <c r="J71" s="82" t="s">
        <v>187</v>
      </c>
      <c r="K71" s="71"/>
      <c r="L71" s="71"/>
      <c r="M71" s="71"/>
      <c r="N71" s="71"/>
      <c r="O71" s="72"/>
    </row>
    <row r="72" spans="2:18" ht="12.75" customHeight="1" x14ac:dyDescent="0.2">
      <c r="B72" s="803"/>
      <c r="C72" s="822"/>
      <c r="D72" s="784" t="s">
        <v>188</v>
      </c>
      <c r="E72" s="783"/>
      <c r="F72" s="783"/>
      <c r="G72" s="80">
        <v>0</v>
      </c>
      <c r="H72" s="78">
        <f t="shared" si="8"/>
        <v>0</v>
      </c>
      <c r="I72" s="63"/>
      <c r="J72" s="75" t="s">
        <v>189</v>
      </c>
      <c r="K72" s="50"/>
      <c r="L72" s="50"/>
      <c r="M72" s="50"/>
      <c r="N72" s="50"/>
      <c r="O72" s="83">
        <f>O42</f>
        <v>7800</v>
      </c>
    </row>
    <row r="73" spans="2:18" ht="14.25" customHeight="1" x14ac:dyDescent="0.2">
      <c r="B73" s="803"/>
      <c r="C73" s="822"/>
      <c r="D73" s="782" t="s">
        <v>190</v>
      </c>
      <c r="E73" s="783"/>
      <c r="F73" s="783"/>
      <c r="G73" s="84">
        <v>0</v>
      </c>
      <c r="H73" s="78">
        <f t="shared" si="8"/>
        <v>0</v>
      </c>
      <c r="I73" s="63"/>
      <c r="J73" s="64"/>
      <c r="K73" s="39"/>
      <c r="L73" s="39"/>
      <c r="M73" s="39"/>
      <c r="N73" s="39"/>
      <c r="O73" s="65"/>
    </row>
    <row r="74" spans="2:18" x14ac:dyDescent="0.2">
      <c r="B74" s="803"/>
      <c r="C74" s="822"/>
      <c r="D74" s="782" t="s">
        <v>191</v>
      </c>
      <c r="E74" s="783"/>
      <c r="F74" s="783"/>
      <c r="G74" s="81">
        <v>186457</v>
      </c>
      <c r="H74" s="78">
        <f t="shared" si="8"/>
        <v>186457</v>
      </c>
      <c r="I74" s="58"/>
      <c r="J74" s="85"/>
      <c r="K74" s="63"/>
      <c r="L74" s="63"/>
      <c r="M74" s="63"/>
      <c r="N74" s="63"/>
      <c r="O74" s="86"/>
    </row>
    <row r="75" spans="2:18" x14ac:dyDescent="0.2">
      <c r="B75" s="803"/>
      <c r="C75" s="88" t="s">
        <v>192</v>
      </c>
      <c r="D75" s="813" t="s">
        <v>193</v>
      </c>
      <c r="E75" s="814"/>
      <c r="F75" s="814"/>
      <c r="G75" s="80">
        <v>0</v>
      </c>
      <c r="H75" s="78">
        <f t="shared" si="8"/>
        <v>0</v>
      </c>
      <c r="I75" s="58"/>
      <c r="J75" s="60"/>
      <c r="K75" s="68"/>
      <c r="L75" s="68"/>
      <c r="M75" s="50"/>
      <c r="N75" s="50"/>
      <c r="O75" s="83"/>
    </row>
    <row r="76" spans="2:18" ht="13.5" customHeight="1" thickBot="1" x14ac:dyDescent="0.25">
      <c r="B76" s="803"/>
      <c r="C76" s="88" t="s">
        <v>194</v>
      </c>
      <c r="D76" s="815" t="s">
        <v>195</v>
      </c>
      <c r="E76" s="815"/>
      <c r="F76" s="815"/>
      <c r="G76" s="89">
        <v>0</v>
      </c>
      <c r="H76" s="90">
        <f t="shared" si="8"/>
        <v>0</v>
      </c>
      <c r="I76" s="63"/>
      <c r="J76" s="75"/>
      <c r="K76" s="68"/>
      <c r="L76" s="68"/>
      <c r="M76" s="91"/>
      <c r="N76" s="91"/>
      <c r="O76" s="92"/>
    </row>
    <row r="77" spans="2:18" ht="13.5" thickBot="1" x14ac:dyDescent="0.25">
      <c r="B77" s="803"/>
      <c r="C77" s="93"/>
      <c r="D77" s="94"/>
      <c r="E77" s="816" t="s">
        <v>117</v>
      </c>
      <c r="F77" s="817"/>
      <c r="G77" s="95">
        <f>SUM(G68:G76)</f>
        <v>607177</v>
      </c>
      <c r="H77" s="96">
        <f>IF(SUM(G68:G74)&lt;150000,SUM(G68:G74),150000)+IF(+G75&lt;20000,+G75,20000)</f>
        <v>150000</v>
      </c>
      <c r="I77" s="63"/>
      <c r="J77" s="97"/>
      <c r="K77" s="98"/>
      <c r="L77" s="98"/>
      <c r="M77" s="98"/>
      <c r="N77" s="98"/>
      <c r="O77" s="99"/>
    </row>
    <row r="78" spans="2:18" ht="12.75" customHeight="1" x14ac:dyDescent="0.2">
      <c r="B78" s="803"/>
      <c r="C78" s="100" t="s">
        <v>196</v>
      </c>
      <c r="D78" s="782" t="s">
        <v>187</v>
      </c>
      <c r="E78" s="783"/>
      <c r="F78" s="818"/>
      <c r="G78" s="73">
        <v>7800</v>
      </c>
      <c r="H78" s="101">
        <f>+IF(+G78&lt;25000,+G78,25000)</f>
        <v>7800</v>
      </c>
      <c r="I78" s="87"/>
    </row>
    <row r="79" spans="2:18" x14ac:dyDescent="0.2">
      <c r="B79" s="803"/>
      <c r="C79" s="100" t="s">
        <v>197</v>
      </c>
      <c r="D79" s="784" t="s">
        <v>198</v>
      </c>
      <c r="E79" s="785"/>
      <c r="F79" s="786"/>
      <c r="G79" s="102"/>
      <c r="H79" s="103">
        <f>+IF(+G79&lt;40000,+G79,40000)</f>
        <v>0</v>
      </c>
      <c r="I79" s="63"/>
    </row>
    <row r="80" spans="2:18" ht="15" x14ac:dyDescent="0.25">
      <c r="B80" s="803"/>
      <c r="C80" s="100" t="s">
        <v>199</v>
      </c>
      <c r="D80" s="784" t="s">
        <v>200</v>
      </c>
      <c r="E80" s="785"/>
      <c r="F80" s="786"/>
      <c r="G80" s="81"/>
      <c r="H80" s="104">
        <v>0</v>
      </c>
      <c r="I80" s="63"/>
      <c r="J80" s="264"/>
      <c r="K80" s="264"/>
      <c r="L80" s="264"/>
    </row>
    <row r="81" spans="2:12" x14ac:dyDescent="0.2">
      <c r="B81" s="803"/>
      <c r="C81" s="100" t="s">
        <v>201</v>
      </c>
      <c r="D81" s="784" t="s">
        <v>202</v>
      </c>
      <c r="E81" s="785"/>
      <c r="F81" s="786"/>
      <c r="G81" s="81"/>
      <c r="H81" s="104">
        <v>0</v>
      </c>
      <c r="I81" s="63"/>
    </row>
    <row r="82" spans="2:12" ht="13.5" thickBot="1" x14ac:dyDescent="0.25">
      <c r="B82" s="804"/>
      <c r="C82" s="100" t="s">
        <v>203</v>
      </c>
      <c r="D82" s="784" t="s">
        <v>204</v>
      </c>
      <c r="E82" s="785"/>
      <c r="F82" s="786"/>
      <c r="G82" s="102"/>
      <c r="H82" s="103">
        <f>+IF(+G82&lt;100000,+G82,10000)</f>
        <v>0</v>
      </c>
      <c r="I82" s="63"/>
      <c r="J82" s="106"/>
    </row>
    <row r="83" spans="2:12" ht="13.5" thickBot="1" x14ac:dyDescent="0.25">
      <c r="B83" s="787" t="s">
        <v>205</v>
      </c>
      <c r="C83" s="788"/>
      <c r="D83" s="788"/>
      <c r="E83" s="788"/>
      <c r="F83" s="788"/>
      <c r="G83" s="107">
        <f>SUM(G78:G82)</f>
        <v>7800</v>
      </c>
      <c r="H83" s="108">
        <f>SUM(H77:H82)</f>
        <v>157800</v>
      </c>
    </row>
    <row r="84" spans="2:12" ht="13.5" thickBot="1" x14ac:dyDescent="0.25"/>
    <row r="85" spans="2:12" ht="13.5" thickBot="1" x14ac:dyDescent="0.25">
      <c r="B85" s="789" t="s">
        <v>206</v>
      </c>
      <c r="C85" s="790"/>
      <c r="D85" s="790"/>
      <c r="E85" s="790"/>
      <c r="F85" s="791"/>
      <c r="G85" s="792">
        <f>+G64-H83</f>
        <v>1017373</v>
      </c>
      <c r="H85" s="791"/>
      <c r="J85" s="109">
        <f>C37+D37+E37+F37</f>
        <v>432864</v>
      </c>
      <c r="K85" s="16" t="s">
        <v>235</v>
      </c>
    </row>
    <row r="86" spans="2:12" x14ac:dyDescent="0.2">
      <c r="B86" s="110"/>
      <c r="F86" s="105"/>
      <c r="J86" s="109">
        <f>G37+H37+I37</f>
        <v>330630</v>
      </c>
      <c r="K86" s="16" t="s">
        <v>236</v>
      </c>
    </row>
    <row r="87" spans="2:12" x14ac:dyDescent="0.2">
      <c r="C87" s="793" t="s">
        <v>207</v>
      </c>
      <c r="D87" s="794"/>
      <c r="E87" s="111" t="s">
        <v>208</v>
      </c>
      <c r="F87" s="111" t="s">
        <v>209</v>
      </c>
      <c r="G87" s="111" t="s">
        <v>210</v>
      </c>
      <c r="H87" s="111" t="s">
        <v>211</v>
      </c>
      <c r="J87" s="109">
        <f>J37+K37+L37</f>
        <v>342990</v>
      </c>
      <c r="K87" s="47" t="s">
        <v>237</v>
      </c>
    </row>
    <row r="88" spans="2:12" x14ac:dyDescent="0.2">
      <c r="C88" s="795" t="str">
        <f>IF(I6="M","0          - 250000","0          -  250000")</f>
        <v>0          - 250000</v>
      </c>
      <c r="D88" s="796"/>
      <c r="E88" s="112">
        <v>0</v>
      </c>
      <c r="F88" s="113">
        <f>IF(I6="M",(IF(G85&lt;250000,G85,250000)),(IF(G85&lt;250000,G85,250000)))</f>
        <v>250000</v>
      </c>
      <c r="G88" s="113">
        <f>G85-F88</f>
        <v>767373</v>
      </c>
      <c r="H88" s="113">
        <f>E88*F88</f>
        <v>0</v>
      </c>
      <c r="J88" s="16">
        <f>M37+N37</f>
        <v>224540</v>
      </c>
      <c r="K88" s="1" t="s">
        <v>238</v>
      </c>
    </row>
    <row r="89" spans="2:12" x14ac:dyDescent="0.2">
      <c r="C89" s="795" t="str">
        <f>IF(I6="M","250001 - 500000","250001-500000")</f>
        <v>250001 - 500000</v>
      </c>
      <c r="D89" s="796"/>
      <c r="E89" s="112">
        <v>0.05</v>
      </c>
      <c r="F89" s="113">
        <f>IF(I6="M",(IF(G88&lt;250000,G88,250000)),(IF(G88&lt;250000,G88,250000)))</f>
        <v>250000</v>
      </c>
      <c r="G89" s="113">
        <f>G88-F89</f>
        <v>517373</v>
      </c>
      <c r="H89" s="114">
        <f>ROUND(E89*F89,0.1)</f>
        <v>12500</v>
      </c>
      <c r="J89" s="115">
        <f>SUM(J85:J88)</f>
        <v>1331024</v>
      </c>
    </row>
    <row r="90" spans="2:12" x14ac:dyDescent="0.2">
      <c r="C90" s="797" t="s">
        <v>212</v>
      </c>
      <c r="D90" s="798"/>
      <c r="E90" s="112">
        <v>0.2</v>
      </c>
      <c r="F90" s="113">
        <f>IF(G89&lt;500000,G89,500000)</f>
        <v>500000</v>
      </c>
      <c r="G90" s="113">
        <f>G89-F90</f>
        <v>17373</v>
      </c>
      <c r="H90" s="114">
        <f>ROUND(E90*F90,0.1)</f>
        <v>100000</v>
      </c>
      <c r="J90" s="16">
        <f>+G85</f>
        <v>1017373</v>
      </c>
    </row>
    <row r="91" spans="2:12" x14ac:dyDescent="0.2">
      <c r="C91" s="795" t="s">
        <v>213</v>
      </c>
      <c r="D91" s="796"/>
      <c r="E91" s="112">
        <v>0.3</v>
      </c>
      <c r="F91" s="113">
        <f>G90</f>
        <v>17373</v>
      </c>
      <c r="G91" s="113">
        <f>G90-F91</f>
        <v>0</v>
      </c>
      <c r="H91" s="114">
        <f>ROUND(E91*F91,0.1)</f>
        <v>5212</v>
      </c>
      <c r="J91" s="16">
        <f>+J89-J90</f>
        <v>313651</v>
      </c>
    </row>
    <row r="92" spans="2:12" ht="12.75" customHeight="1" thickBot="1" x14ac:dyDescent="0.25">
      <c r="B92" s="116"/>
      <c r="C92" s="117"/>
      <c r="D92" s="47"/>
      <c r="E92" s="47"/>
      <c r="F92" s="47"/>
      <c r="J92" s="87"/>
      <c r="K92" s="118"/>
    </row>
    <row r="93" spans="2:12" ht="13.5" thickBot="1" x14ac:dyDescent="0.25">
      <c r="B93" s="799" t="s">
        <v>239</v>
      </c>
      <c r="C93" s="800"/>
      <c r="D93" s="800"/>
      <c r="E93" s="800"/>
      <c r="F93" s="801"/>
      <c r="G93" s="771">
        <f>H88+H89+H90+H91</f>
        <v>117712</v>
      </c>
      <c r="H93" s="772"/>
    </row>
    <row r="94" spans="2:12" ht="13.5" thickBot="1" x14ac:dyDescent="0.25">
      <c r="B94" s="119" t="s">
        <v>215</v>
      </c>
      <c r="C94" s="120"/>
      <c r="D94" s="120"/>
      <c r="E94" s="120"/>
      <c r="F94" s="120"/>
      <c r="G94" s="884">
        <f>IF((G64&lt;500000),5000,0)</f>
        <v>0</v>
      </c>
      <c r="H94" s="885">
        <f>IF(H92&lt;200000,0,IF(H92&lt;220000,((H92-200000)*10%),IF(H92&lt;=500000,2000,IF(H92&gt;=500000,0))))</f>
        <v>0</v>
      </c>
      <c r="J94" s="1"/>
      <c r="K94" s="121"/>
      <c r="L94" s="121"/>
    </row>
    <row r="95" spans="2:12" ht="13.5" thickBot="1" x14ac:dyDescent="0.25">
      <c r="B95" s="122" t="s">
        <v>216</v>
      </c>
      <c r="C95" s="123"/>
      <c r="D95" s="123"/>
      <c r="E95" s="123"/>
      <c r="F95" s="123"/>
      <c r="G95" s="771">
        <f>IF((G93-G94)&lt;0,0,(G93-G94))</f>
        <v>117712</v>
      </c>
      <c r="H95" s="772"/>
      <c r="I95" s="37"/>
    </row>
    <row r="96" spans="2:12" ht="13.5" thickBot="1" x14ac:dyDescent="0.25">
      <c r="B96" s="773" t="s">
        <v>240</v>
      </c>
      <c r="C96" s="774"/>
      <c r="D96" s="774"/>
      <c r="E96" s="774"/>
      <c r="F96" s="775"/>
      <c r="G96" s="776">
        <f>ROUND((IF(G95&gt;0,(G95*4%),0)),0)</f>
        <v>4708</v>
      </c>
      <c r="H96" s="777"/>
      <c r="I96" s="37"/>
    </row>
    <row r="97" spans="2:9" ht="13.5" thickBot="1" x14ac:dyDescent="0.25">
      <c r="B97" s="778" t="s">
        <v>218</v>
      </c>
      <c r="C97" s="779"/>
      <c r="D97" s="779"/>
      <c r="E97" s="779"/>
      <c r="F97" s="779"/>
      <c r="G97" s="780">
        <f>G95+G96</f>
        <v>122420</v>
      </c>
      <c r="H97" s="781"/>
      <c r="I97" s="121"/>
    </row>
    <row r="98" spans="2:9" ht="13.5" thickBot="1" x14ac:dyDescent="0.25">
      <c r="B98" s="765" t="s">
        <v>219</v>
      </c>
      <c r="C98" s="766"/>
      <c r="D98" s="766"/>
      <c r="E98" s="766"/>
      <c r="F98" s="766"/>
      <c r="G98" s="767">
        <f>O38</f>
        <v>138160</v>
      </c>
      <c r="H98" s="768"/>
      <c r="I98" s="121"/>
    </row>
    <row r="99" spans="2:9" ht="13.5" thickBot="1" x14ac:dyDescent="0.25">
      <c r="B99" s="765" t="str">
        <f>IF(G99&gt;0,"TAX PAYABLE","TAX REFUND")</f>
        <v>TAX REFUND</v>
      </c>
      <c r="C99" s="766"/>
      <c r="D99" s="766"/>
      <c r="E99" s="766"/>
      <c r="F99" s="766"/>
      <c r="G99" s="767">
        <f>+G97-G98</f>
        <v>-15740</v>
      </c>
      <c r="H99" s="768"/>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9:F99 B93:F97">
    <cfRule type="cellIs" dxfId="2163" priority="1" stopIfTrue="1" operator="equal">
      <formula>"TAX PAYABLE"</formula>
    </cfRule>
    <cfRule type="cellIs" dxfId="2162" priority="2" stopIfTrue="1" operator="equal">
      <formula>"TAX REFUND"</formula>
    </cfRule>
  </conditionalFormatting>
  <conditionalFormatting sqref="G99:H99">
    <cfRule type="cellIs" dxfId="2161" priority="3" stopIfTrue="1" operator="greaterThan">
      <formula>0</formula>
    </cfRule>
    <cfRule type="cellIs" dxfId="2160" priority="4" stopIfTrue="1" operator="lessThanOrEqual">
      <formula>0</formula>
    </cfRule>
  </conditionalFormatting>
  <dataValidations disablePrompts="1"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hyperlinks>
    <hyperlink ref="J51" r:id="rId1" display="+J37-@sum(J22:J36)"/>
  </hyperlinks>
  <pageMargins left="0.75" right="0.75" top="1" bottom="1" header="0.5" footer="0.5"/>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S110"/>
  <sheetViews>
    <sheetView topLeftCell="A62" workbookViewId="0">
      <selection activeCell="K84" sqref="K84"/>
    </sheetView>
  </sheetViews>
  <sheetFormatPr defaultRowHeight="12.75" x14ac:dyDescent="0.2"/>
  <cols>
    <col min="1" max="1" width="5" style="16" customWidth="1"/>
    <col min="2" max="2" width="19.7109375" style="37" customWidth="1"/>
    <col min="3" max="3" width="10.7109375" style="16" bestFit="1" customWidth="1"/>
    <col min="4" max="4" width="6.7109375" style="16" bestFit="1" customWidth="1"/>
    <col min="5" max="5" width="8.5703125" style="16" bestFit="1" customWidth="1"/>
    <col min="6" max="8" width="8.5703125" style="16" customWidth="1"/>
    <col min="9" max="9" width="7.140625" style="16" bestFit="1" customWidth="1"/>
    <col min="10" max="10" width="9.140625" style="16"/>
    <col min="11" max="12" width="7" style="16" bestFit="1" customWidth="1"/>
    <col min="13" max="13" width="6.85546875" style="16" bestFit="1" customWidth="1"/>
    <col min="14" max="14" width="7" style="16" bestFit="1" customWidth="1"/>
    <col min="15" max="15" width="7.140625" style="16" bestFit="1" customWidth="1"/>
    <col min="16" max="16" width="9.140625" style="16"/>
    <col min="17" max="17" width="9.7109375" style="16" bestFit="1" customWidth="1"/>
    <col min="18" max="19" width="9.140625" style="16"/>
    <col min="20" max="20" width="12.42578125" style="16" customWidth="1"/>
    <col min="21" max="21" width="9.140625" style="16"/>
    <col min="22" max="22" width="12" style="16" customWidth="1"/>
    <col min="23" max="256" width="9.140625" style="16"/>
    <col min="257" max="257" width="5" style="16" customWidth="1"/>
    <col min="258" max="258" width="19.7109375" style="16" customWidth="1"/>
    <col min="259" max="259" width="10.7109375" style="16" bestFit="1" customWidth="1"/>
    <col min="260" max="260" width="6.7109375" style="16" bestFit="1" customWidth="1"/>
    <col min="261" max="261" width="8.5703125" style="16" bestFit="1" customWidth="1"/>
    <col min="262" max="264" width="8.5703125" style="16" customWidth="1"/>
    <col min="265" max="265" width="7.140625" style="16" bestFit="1" customWidth="1"/>
    <col min="266" max="266" width="9.140625" style="16"/>
    <col min="267" max="268" width="7" style="16" bestFit="1" customWidth="1"/>
    <col min="269" max="269" width="6.85546875" style="16" bestFit="1" customWidth="1"/>
    <col min="270" max="270" width="7" style="16" bestFit="1" customWidth="1"/>
    <col min="271" max="271" width="7.140625" style="16" bestFit="1" customWidth="1"/>
    <col min="272" max="272" width="9.140625" style="16"/>
    <col min="273" max="273" width="9.7109375" style="16" bestFit="1" customWidth="1"/>
    <col min="274" max="275" width="9.140625" style="16"/>
    <col min="276" max="276" width="12.42578125" style="16" customWidth="1"/>
    <col min="277" max="277" width="9.140625" style="16"/>
    <col min="278" max="278" width="12" style="16" customWidth="1"/>
    <col min="279" max="512" width="9.140625" style="16"/>
    <col min="513" max="513" width="5" style="16" customWidth="1"/>
    <col min="514" max="514" width="19.7109375" style="16" customWidth="1"/>
    <col min="515" max="515" width="10.7109375" style="16" bestFit="1" customWidth="1"/>
    <col min="516" max="516" width="6.7109375" style="16" bestFit="1" customWidth="1"/>
    <col min="517" max="517" width="8.5703125" style="16" bestFit="1" customWidth="1"/>
    <col min="518" max="520" width="8.5703125" style="16" customWidth="1"/>
    <col min="521" max="521" width="7.140625" style="16" bestFit="1" customWidth="1"/>
    <col min="522" max="522" width="9.140625" style="16"/>
    <col min="523" max="524" width="7" style="16" bestFit="1" customWidth="1"/>
    <col min="525" max="525" width="6.85546875" style="16" bestFit="1" customWidth="1"/>
    <col min="526" max="526" width="7" style="16" bestFit="1" customWidth="1"/>
    <col min="527" max="527" width="7.140625" style="16" bestFit="1" customWidth="1"/>
    <col min="528" max="528" width="9.140625" style="16"/>
    <col min="529" max="529" width="9.7109375" style="16" bestFit="1" customWidth="1"/>
    <col min="530" max="531" width="9.140625" style="16"/>
    <col min="532" max="532" width="12.42578125" style="16" customWidth="1"/>
    <col min="533" max="533" width="9.140625" style="16"/>
    <col min="534" max="534" width="12" style="16" customWidth="1"/>
    <col min="535" max="768" width="9.140625" style="16"/>
    <col min="769" max="769" width="5" style="16" customWidth="1"/>
    <col min="770" max="770" width="19.7109375" style="16" customWidth="1"/>
    <col min="771" max="771" width="10.7109375" style="16" bestFit="1" customWidth="1"/>
    <col min="772" max="772" width="6.7109375" style="16" bestFit="1" customWidth="1"/>
    <col min="773" max="773" width="8.5703125" style="16" bestFit="1" customWidth="1"/>
    <col min="774" max="776" width="8.5703125" style="16" customWidth="1"/>
    <col min="777" max="777" width="7.140625" style="16" bestFit="1" customWidth="1"/>
    <col min="778" max="778" width="9.140625" style="16"/>
    <col min="779" max="780" width="7" style="16" bestFit="1" customWidth="1"/>
    <col min="781" max="781" width="6.85546875" style="16" bestFit="1" customWidth="1"/>
    <col min="782" max="782" width="7" style="16" bestFit="1" customWidth="1"/>
    <col min="783" max="783" width="7.140625" style="16" bestFit="1" customWidth="1"/>
    <col min="784" max="784" width="9.140625" style="16"/>
    <col min="785" max="785" width="9.7109375" style="16" bestFit="1" customWidth="1"/>
    <col min="786"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9.7109375" style="16" customWidth="1"/>
    <col min="1027" max="1027" width="10.7109375" style="16" bestFit="1" customWidth="1"/>
    <col min="1028" max="1028" width="6.7109375" style="16" bestFit="1" customWidth="1"/>
    <col min="1029" max="1029" width="8.5703125" style="16" bestFit="1" customWidth="1"/>
    <col min="1030" max="1032" width="8.5703125" style="16" customWidth="1"/>
    <col min="1033" max="1033" width="7.140625" style="16" bestFit="1" customWidth="1"/>
    <col min="1034" max="1034" width="9.140625" style="16"/>
    <col min="1035" max="1036" width="7" style="16" bestFit="1" customWidth="1"/>
    <col min="1037" max="1037" width="6.85546875" style="16" bestFit="1" customWidth="1"/>
    <col min="1038" max="1038" width="7" style="16" bestFit="1" customWidth="1"/>
    <col min="1039" max="1039" width="7.140625" style="16" bestFit="1" customWidth="1"/>
    <col min="1040" max="1040" width="9.140625" style="16"/>
    <col min="1041" max="1041" width="9.7109375" style="16" bestFit="1" customWidth="1"/>
    <col min="1042"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9.7109375" style="16" customWidth="1"/>
    <col min="1283" max="1283" width="10.7109375" style="16" bestFit="1" customWidth="1"/>
    <col min="1284" max="1284" width="6.7109375" style="16" bestFit="1" customWidth="1"/>
    <col min="1285" max="1285" width="8.5703125" style="16" bestFit="1" customWidth="1"/>
    <col min="1286" max="1288" width="8.5703125" style="16" customWidth="1"/>
    <col min="1289" max="1289" width="7.140625" style="16" bestFit="1" customWidth="1"/>
    <col min="1290" max="1290" width="9.140625" style="16"/>
    <col min="1291" max="1292" width="7" style="16" bestFit="1" customWidth="1"/>
    <col min="1293" max="1293" width="6.85546875" style="16" bestFit="1" customWidth="1"/>
    <col min="1294" max="1294" width="7" style="16" bestFit="1" customWidth="1"/>
    <col min="1295" max="1295" width="7.140625" style="16" bestFit="1" customWidth="1"/>
    <col min="1296" max="1296" width="9.140625" style="16"/>
    <col min="1297" max="1297" width="9.7109375" style="16" bestFit="1" customWidth="1"/>
    <col min="1298"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9.7109375" style="16" customWidth="1"/>
    <col min="1539" max="1539" width="10.7109375" style="16" bestFit="1" customWidth="1"/>
    <col min="1540" max="1540" width="6.7109375" style="16" bestFit="1" customWidth="1"/>
    <col min="1541" max="1541" width="8.5703125" style="16" bestFit="1" customWidth="1"/>
    <col min="1542" max="1544" width="8.5703125" style="16" customWidth="1"/>
    <col min="1545" max="1545" width="7.140625" style="16" bestFit="1" customWidth="1"/>
    <col min="1546" max="1546" width="9.140625" style="16"/>
    <col min="1547" max="1548" width="7" style="16" bestFit="1" customWidth="1"/>
    <col min="1549" max="1549" width="6.85546875" style="16" bestFit="1" customWidth="1"/>
    <col min="1550" max="1550" width="7" style="16" bestFit="1" customWidth="1"/>
    <col min="1551" max="1551" width="7.140625" style="16" bestFit="1" customWidth="1"/>
    <col min="1552" max="1552" width="9.140625" style="16"/>
    <col min="1553" max="1553" width="9.7109375" style="16" bestFit="1" customWidth="1"/>
    <col min="1554"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9.7109375" style="16" customWidth="1"/>
    <col min="1795" max="1795" width="10.7109375" style="16" bestFit="1" customWidth="1"/>
    <col min="1796" max="1796" width="6.7109375" style="16" bestFit="1" customWidth="1"/>
    <col min="1797" max="1797" width="8.5703125" style="16" bestFit="1" customWidth="1"/>
    <col min="1798" max="1800" width="8.5703125" style="16" customWidth="1"/>
    <col min="1801" max="1801" width="7.140625" style="16" bestFit="1" customWidth="1"/>
    <col min="1802" max="1802" width="9.140625" style="16"/>
    <col min="1803" max="1804" width="7" style="16" bestFit="1" customWidth="1"/>
    <col min="1805" max="1805" width="6.85546875" style="16" bestFit="1" customWidth="1"/>
    <col min="1806" max="1806" width="7" style="16" bestFit="1" customWidth="1"/>
    <col min="1807" max="1807" width="7.140625" style="16" bestFit="1" customWidth="1"/>
    <col min="1808" max="1808" width="9.140625" style="16"/>
    <col min="1809" max="1809" width="9.7109375" style="16" bestFit="1" customWidth="1"/>
    <col min="1810"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9.7109375" style="16" customWidth="1"/>
    <col min="2051" max="2051" width="10.7109375" style="16" bestFit="1" customWidth="1"/>
    <col min="2052" max="2052" width="6.7109375" style="16" bestFit="1" customWidth="1"/>
    <col min="2053" max="2053" width="8.5703125" style="16" bestFit="1" customWidth="1"/>
    <col min="2054" max="2056" width="8.5703125" style="16" customWidth="1"/>
    <col min="2057" max="2057" width="7.140625" style="16" bestFit="1" customWidth="1"/>
    <col min="2058" max="2058" width="9.140625" style="16"/>
    <col min="2059" max="2060" width="7" style="16" bestFit="1" customWidth="1"/>
    <col min="2061" max="2061" width="6.85546875" style="16" bestFit="1" customWidth="1"/>
    <col min="2062" max="2062" width="7" style="16" bestFit="1" customWidth="1"/>
    <col min="2063" max="2063" width="7.140625" style="16" bestFit="1" customWidth="1"/>
    <col min="2064" max="2064" width="9.140625" style="16"/>
    <col min="2065" max="2065" width="9.7109375" style="16" bestFit="1" customWidth="1"/>
    <col min="2066"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9.7109375" style="16" customWidth="1"/>
    <col min="2307" max="2307" width="10.7109375" style="16" bestFit="1" customWidth="1"/>
    <col min="2308" max="2308" width="6.7109375" style="16" bestFit="1" customWidth="1"/>
    <col min="2309" max="2309" width="8.5703125" style="16" bestFit="1" customWidth="1"/>
    <col min="2310" max="2312" width="8.5703125" style="16" customWidth="1"/>
    <col min="2313" max="2313" width="7.140625" style="16" bestFit="1" customWidth="1"/>
    <col min="2314" max="2314" width="9.140625" style="16"/>
    <col min="2315" max="2316" width="7" style="16" bestFit="1" customWidth="1"/>
    <col min="2317" max="2317" width="6.85546875" style="16" bestFit="1" customWidth="1"/>
    <col min="2318" max="2318" width="7" style="16" bestFit="1" customWidth="1"/>
    <col min="2319" max="2319" width="7.140625" style="16" bestFit="1" customWidth="1"/>
    <col min="2320" max="2320" width="9.140625" style="16"/>
    <col min="2321" max="2321" width="9.7109375" style="16" bestFit="1" customWidth="1"/>
    <col min="2322"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9.7109375" style="16" customWidth="1"/>
    <col min="2563" max="2563" width="10.7109375" style="16" bestFit="1" customWidth="1"/>
    <col min="2564" max="2564" width="6.7109375" style="16" bestFit="1" customWidth="1"/>
    <col min="2565" max="2565" width="8.5703125" style="16" bestFit="1" customWidth="1"/>
    <col min="2566" max="2568" width="8.5703125" style="16" customWidth="1"/>
    <col min="2569" max="2569" width="7.140625" style="16" bestFit="1" customWidth="1"/>
    <col min="2570" max="2570" width="9.140625" style="16"/>
    <col min="2571" max="2572" width="7" style="16" bestFit="1" customWidth="1"/>
    <col min="2573" max="2573" width="6.85546875" style="16" bestFit="1" customWidth="1"/>
    <col min="2574" max="2574" width="7" style="16" bestFit="1" customWidth="1"/>
    <col min="2575" max="2575" width="7.140625" style="16" bestFit="1" customWidth="1"/>
    <col min="2576" max="2576" width="9.140625" style="16"/>
    <col min="2577" max="2577" width="9.7109375" style="16" bestFit="1" customWidth="1"/>
    <col min="2578"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9.7109375" style="16" customWidth="1"/>
    <col min="2819" max="2819" width="10.7109375" style="16" bestFit="1" customWidth="1"/>
    <col min="2820" max="2820" width="6.7109375" style="16" bestFit="1" customWidth="1"/>
    <col min="2821" max="2821" width="8.5703125" style="16" bestFit="1" customWidth="1"/>
    <col min="2822" max="2824" width="8.5703125" style="16" customWidth="1"/>
    <col min="2825" max="2825" width="7.140625" style="16" bestFit="1" customWidth="1"/>
    <col min="2826" max="2826" width="9.140625" style="16"/>
    <col min="2827" max="2828" width="7" style="16" bestFit="1" customWidth="1"/>
    <col min="2829" max="2829" width="6.85546875" style="16" bestFit="1" customWidth="1"/>
    <col min="2830" max="2830" width="7" style="16" bestFit="1" customWidth="1"/>
    <col min="2831" max="2831" width="7.140625" style="16" bestFit="1" customWidth="1"/>
    <col min="2832" max="2832" width="9.140625" style="16"/>
    <col min="2833" max="2833" width="9.7109375" style="16" bestFit="1" customWidth="1"/>
    <col min="2834"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9.7109375" style="16" customWidth="1"/>
    <col min="3075" max="3075" width="10.7109375" style="16" bestFit="1" customWidth="1"/>
    <col min="3076" max="3076" width="6.7109375" style="16" bestFit="1" customWidth="1"/>
    <col min="3077" max="3077" width="8.5703125" style="16" bestFit="1" customWidth="1"/>
    <col min="3078" max="3080" width="8.5703125" style="16" customWidth="1"/>
    <col min="3081" max="3081" width="7.140625" style="16" bestFit="1" customWidth="1"/>
    <col min="3082" max="3082" width="9.140625" style="16"/>
    <col min="3083" max="3084" width="7" style="16" bestFit="1" customWidth="1"/>
    <col min="3085" max="3085" width="6.85546875" style="16" bestFit="1" customWidth="1"/>
    <col min="3086" max="3086" width="7" style="16" bestFit="1" customWidth="1"/>
    <col min="3087" max="3087" width="7.140625" style="16" bestFit="1" customWidth="1"/>
    <col min="3088" max="3088" width="9.140625" style="16"/>
    <col min="3089" max="3089" width="9.7109375" style="16" bestFit="1" customWidth="1"/>
    <col min="3090"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9.7109375" style="16" customWidth="1"/>
    <col min="3331" max="3331" width="10.7109375" style="16" bestFit="1" customWidth="1"/>
    <col min="3332" max="3332" width="6.7109375" style="16" bestFit="1" customWidth="1"/>
    <col min="3333" max="3333" width="8.5703125" style="16" bestFit="1" customWidth="1"/>
    <col min="3334" max="3336" width="8.5703125" style="16" customWidth="1"/>
    <col min="3337" max="3337" width="7.140625" style="16" bestFit="1" customWidth="1"/>
    <col min="3338" max="3338" width="9.140625" style="16"/>
    <col min="3339" max="3340" width="7" style="16" bestFit="1" customWidth="1"/>
    <col min="3341" max="3341" width="6.85546875" style="16" bestFit="1" customWidth="1"/>
    <col min="3342" max="3342" width="7" style="16" bestFit="1" customWidth="1"/>
    <col min="3343" max="3343" width="7.140625" style="16" bestFit="1" customWidth="1"/>
    <col min="3344" max="3344" width="9.140625" style="16"/>
    <col min="3345" max="3345" width="9.7109375" style="16" bestFit="1" customWidth="1"/>
    <col min="3346"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9.7109375" style="16" customWidth="1"/>
    <col min="3587" max="3587" width="10.7109375" style="16" bestFit="1" customWidth="1"/>
    <col min="3588" max="3588" width="6.7109375" style="16" bestFit="1" customWidth="1"/>
    <col min="3589" max="3589" width="8.5703125" style="16" bestFit="1" customWidth="1"/>
    <col min="3590" max="3592" width="8.5703125" style="16" customWidth="1"/>
    <col min="3593" max="3593" width="7.140625" style="16" bestFit="1" customWidth="1"/>
    <col min="3594" max="3594" width="9.140625" style="16"/>
    <col min="3595" max="3596" width="7" style="16" bestFit="1" customWidth="1"/>
    <col min="3597" max="3597" width="6.85546875" style="16" bestFit="1" customWidth="1"/>
    <col min="3598" max="3598" width="7" style="16" bestFit="1" customWidth="1"/>
    <col min="3599" max="3599" width="7.140625" style="16" bestFit="1" customWidth="1"/>
    <col min="3600" max="3600" width="9.140625" style="16"/>
    <col min="3601" max="3601" width="9.7109375" style="16" bestFit="1" customWidth="1"/>
    <col min="3602"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9.7109375" style="16" customWidth="1"/>
    <col min="3843" max="3843" width="10.7109375" style="16" bestFit="1" customWidth="1"/>
    <col min="3844" max="3844" width="6.7109375" style="16" bestFit="1" customWidth="1"/>
    <col min="3845" max="3845" width="8.5703125" style="16" bestFit="1" customWidth="1"/>
    <col min="3846" max="3848" width="8.5703125" style="16" customWidth="1"/>
    <col min="3849" max="3849" width="7.140625" style="16" bestFit="1" customWidth="1"/>
    <col min="3850" max="3850" width="9.140625" style="16"/>
    <col min="3851" max="3852" width="7" style="16" bestFit="1" customWidth="1"/>
    <col min="3853" max="3853" width="6.85546875" style="16" bestFit="1" customWidth="1"/>
    <col min="3854" max="3854" width="7" style="16" bestFit="1" customWidth="1"/>
    <col min="3855" max="3855" width="7.140625" style="16" bestFit="1" customWidth="1"/>
    <col min="3856" max="3856" width="9.140625" style="16"/>
    <col min="3857" max="3857" width="9.7109375" style="16" bestFit="1" customWidth="1"/>
    <col min="3858"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9.7109375" style="16" customWidth="1"/>
    <col min="4099" max="4099" width="10.7109375" style="16" bestFit="1" customWidth="1"/>
    <col min="4100" max="4100" width="6.7109375" style="16" bestFit="1" customWidth="1"/>
    <col min="4101" max="4101" width="8.5703125" style="16" bestFit="1" customWidth="1"/>
    <col min="4102" max="4104" width="8.5703125" style="16" customWidth="1"/>
    <col min="4105" max="4105" width="7.140625" style="16" bestFit="1" customWidth="1"/>
    <col min="4106" max="4106" width="9.140625" style="16"/>
    <col min="4107" max="4108" width="7" style="16" bestFit="1" customWidth="1"/>
    <col min="4109" max="4109" width="6.85546875" style="16" bestFit="1" customWidth="1"/>
    <col min="4110" max="4110" width="7" style="16" bestFit="1" customWidth="1"/>
    <col min="4111" max="4111" width="7.140625" style="16" bestFit="1" customWidth="1"/>
    <col min="4112" max="4112" width="9.140625" style="16"/>
    <col min="4113" max="4113" width="9.7109375" style="16" bestFit="1" customWidth="1"/>
    <col min="4114"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9.7109375" style="16" customWidth="1"/>
    <col min="4355" max="4355" width="10.7109375" style="16" bestFit="1" customWidth="1"/>
    <col min="4356" max="4356" width="6.7109375" style="16" bestFit="1" customWidth="1"/>
    <col min="4357" max="4357" width="8.5703125" style="16" bestFit="1" customWidth="1"/>
    <col min="4358" max="4360" width="8.5703125" style="16" customWidth="1"/>
    <col min="4361" max="4361" width="7.140625" style="16" bestFit="1" customWidth="1"/>
    <col min="4362" max="4362" width="9.140625" style="16"/>
    <col min="4363" max="4364" width="7" style="16" bestFit="1" customWidth="1"/>
    <col min="4365" max="4365" width="6.85546875" style="16" bestFit="1" customWidth="1"/>
    <col min="4366" max="4366" width="7" style="16" bestFit="1" customWidth="1"/>
    <col min="4367" max="4367" width="7.140625" style="16" bestFit="1" customWidth="1"/>
    <col min="4368" max="4368" width="9.140625" style="16"/>
    <col min="4369" max="4369" width="9.7109375" style="16" bestFit="1" customWidth="1"/>
    <col min="4370"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9.7109375" style="16" customWidth="1"/>
    <col min="4611" max="4611" width="10.7109375" style="16" bestFit="1" customWidth="1"/>
    <col min="4612" max="4612" width="6.7109375" style="16" bestFit="1" customWidth="1"/>
    <col min="4613" max="4613" width="8.5703125" style="16" bestFit="1" customWidth="1"/>
    <col min="4614" max="4616" width="8.5703125" style="16" customWidth="1"/>
    <col min="4617" max="4617" width="7.140625" style="16" bestFit="1" customWidth="1"/>
    <col min="4618" max="4618" width="9.140625" style="16"/>
    <col min="4619" max="4620" width="7" style="16" bestFit="1" customWidth="1"/>
    <col min="4621" max="4621" width="6.85546875" style="16" bestFit="1" customWidth="1"/>
    <col min="4622" max="4622" width="7" style="16" bestFit="1" customWidth="1"/>
    <col min="4623" max="4623" width="7.140625" style="16" bestFit="1" customWidth="1"/>
    <col min="4624" max="4624" width="9.140625" style="16"/>
    <col min="4625" max="4625" width="9.7109375" style="16" bestFit="1" customWidth="1"/>
    <col min="4626"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9.7109375" style="16" customWidth="1"/>
    <col min="4867" max="4867" width="10.7109375" style="16" bestFit="1" customWidth="1"/>
    <col min="4868" max="4868" width="6.7109375" style="16" bestFit="1" customWidth="1"/>
    <col min="4869" max="4869" width="8.5703125" style="16" bestFit="1" customWidth="1"/>
    <col min="4870" max="4872" width="8.5703125" style="16" customWidth="1"/>
    <col min="4873" max="4873" width="7.140625" style="16" bestFit="1" customWidth="1"/>
    <col min="4874" max="4874" width="9.140625" style="16"/>
    <col min="4875" max="4876" width="7" style="16" bestFit="1" customWidth="1"/>
    <col min="4877" max="4877" width="6.85546875" style="16" bestFit="1" customWidth="1"/>
    <col min="4878" max="4878" width="7" style="16" bestFit="1" customWidth="1"/>
    <col min="4879" max="4879" width="7.140625" style="16" bestFit="1" customWidth="1"/>
    <col min="4880" max="4880" width="9.140625" style="16"/>
    <col min="4881" max="4881" width="9.7109375" style="16" bestFit="1" customWidth="1"/>
    <col min="4882"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9.7109375" style="16" customWidth="1"/>
    <col min="5123" max="5123" width="10.7109375" style="16" bestFit="1" customWidth="1"/>
    <col min="5124" max="5124" width="6.7109375" style="16" bestFit="1" customWidth="1"/>
    <col min="5125" max="5125" width="8.5703125" style="16" bestFit="1" customWidth="1"/>
    <col min="5126" max="5128" width="8.5703125" style="16" customWidth="1"/>
    <col min="5129" max="5129" width="7.140625" style="16" bestFit="1" customWidth="1"/>
    <col min="5130" max="5130" width="9.140625" style="16"/>
    <col min="5131" max="5132" width="7" style="16" bestFit="1" customWidth="1"/>
    <col min="5133" max="5133" width="6.85546875" style="16" bestFit="1" customWidth="1"/>
    <col min="5134" max="5134" width="7" style="16" bestFit="1" customWidth="1"/>
    <col min="5135" max="5135" width="7.140625" style="16" bestFit="1" customWidth="1"/>
    <col min="5136" max="5136" width="9.140625" style="16"/>
    <col min="5137" max="5137" width="9.7109375" style="16" bestFit="1" customWidth="1"/>
    <col min="5138"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9.7109375" style="16" customWidth="1"/>
    <col min="5379" max="5379" width="10.7109375" style="16" bestFit="1" customWidth="1"/>
    <col min="5380" max="5380" width="6.7109375" style="16" bestFit="1" customWidth="1"/>
    <col min="5381" max="5381" width="8.5703125" style="16" bestFit="1" customWidth="1"/>
    <col min="5382" max="5384" width="8.5703125" style="16" customWidth="1"/>
    <col min="5385" max="5385" width="7.140625" style="16" bestFit="1" customWidth="1"/>
    <col min="5386" max="5386" width="9.140625" style="16"/>
    <col min="5387" max="5388" width="7" style="16" bestFit="1" customWidth="1"/>
    <col min="5389" max="5389" width="6.85546875" style="16" bestFit="1" customWidth="1"/>
    <col min="5390" max="5390" width="7" style="16" bestFit="1" customWidth="1"/>
    <col min="5391" max="5391" width="7.140625" style="16" bestFit="1" customWidth="1"/>
    <col min="5392" max="5392" width="9.140625" style="16"/>
    <col min="5393" max="5393" width="9.7109375" style="16" bestFit="1" customWidth="1"/>
    <col min="5394"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9.7109375" style="16" customWidth="1"/>
    <col min="5635" max="5635" width="10.7109375" style="16" bestFit="1" customWidth="1"/>
    <col min="5636" max="5636" width="6.7109375" style="16" bestFit="1" customWidth="1"/>
    <col min="5637" max="5637" width="8.5703125" style="16" bestFit="1" customWidth="1"/>
    <col min="5638" max="5640" width="8.5703125" style="16" customWidth="1"/>
    <col min="5641" max="5641" width="7.140625" style="16" bestFit="1" customWidth="1"/>
    <col min="5642" max="5642" width="9.140625" style="16"/>
    <col min="5643" max="5644" width="7" style="16" bestFit="1" customWidth="1"/>
    <col min="5645" max="5645" width="6.85546875" style="16" bestFit="1" customWidth="1"/>
    <col min="5646" max="5646" width="7" style="16" bestFit="1" customWidth="1"/>
    <col min="5647" max="5647" width="7.140625" style="16" bestFit="1" customWidth="1"/>
    <col min="5648" max="5648" width="9.140625" style="16"/>
    <col min="5649" max="5649" width="9.7109375" style="16" bestFit="1" customWidth="1"/>
    <col min="5650"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9.7109375" style="16" customWidth="1"/>
    <col min="5891" max="5891" width="10.7109375" style="16" bestFit="1" customWidth="1"/>
    <col min="5892" max="5892" width="6.7109375" style="16" bestFit="1" customWidth="1"/>
    <col min="5893" max="5893" width="8.5703125" style="16" bestFit="1" customWidth="1"/>
    <col min="5894" max="5896" width="8.5703125" style="16" customWidth="1"/>
    <col min="5897" max="5897" width="7.140625" style="16" bestFit="1" customWidth="1"/>
    <col min="5898" max="5898" width="9.140625" style="16"/>
    <col min="5899" max="5900" width="7" style="16" bestFit="1" customWidth="1"/>
    <col min="5901" max="5901" width="6.85546875" style="16" bestFit="1" customWidth="1"/>
    <col min="5902" max="5902" width="7" style="16" bestFit="1" customWidth="1"/>
    <col min="5903" max="5903" width="7.140625" style="16" bestFit="1" customWidth="1"/>
    <col min="5904" max="5904" width="9.140625" style="16"/>
    <col min="5905" max="5905" width="9.7109375" style="16" bestFit="1" customWidth="1"/>
    <col min="5906"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9.7109375" style="16" customWidth="1"/>
    <col min="6147" max="6147" width="10.7109375" style="16" bestFit="1" customWidth="1"/>
    <col min="6148" max="6148" width="6.7109375" style="16" bestFit="1" customWidth="1"/>
    <col min="6149" max="6149" width="8.5703125" style="16" bestFit="1" customWidth="1"/>
    <col min="6150" max="6152" width="8.5703125" style="16" customWidth="1"/>
    <col min="6153" max="6153" width="7.140625" style="16" bestFit="1" customWidth="1"/>
    <col min="6154" max="6154" width="9.140625" style="16"/>
    <col min="6155" max="6156" width="7" style="16" bestFit="1" customWidth="1"/>
    <col min="6157" max="6157" width="6.85546875" style="16" bestFit="1" customWidth="1"/>
    <col min="6158" max="6158" width="7" style="16" bestFit="1" customWidth="1"/>
    <col min="6159" max="6159" width="7.140625" style="16" bestFit="1" customWidth="1"/>
    <col min="6160" max="6160" width="9.140625" style="16"/>
    <col min="6161" max="6161" width="9.7109375" style="16" bestFit="1" customWidth="1"/>
    <col min="6162"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9.7109375" style="16" customWidth="1"/>
    <col min="6403" max="6403" width="10.7109375" style="16" bestFit="1" customWidth="1"/>
    <col min="6404" max="6404" width="6.7109375" style="16" bestFit="1" customWidth="1"/>
    <col min="6405" max="6405" width="8.5703125" style="16" bestFit="1" customWidth="1"/>
    <col min="6406" max="6408" width="8.5703125" style="16" customWidth="1"/>
    <col min="6409" max="6409" width="7.140625" style="16" bestFit="1" customWidth="1"/>
    <col min="6410" max="6410" width="9.140625" style="16"/>
    <col min="6411" max="6412" width="7" style="16" bestFit="1" customWidth="1"/>
    <col min="6413" max="6413" width="6.85546875" style="16" bestFit="1" customWidth="1"/>
    <col min="6414" max="6414" width="7" style="16" bestFit="1" customWidth="1"/>
    <col min="6415" max="6415" width="7.140625" style="16" bestFit="1" customWidth="1"/>
    <col min="6416" max="6416" width="9.140625" style="16"/>
    <col min="6417" max="6417" width="9.7109375" style="16" bestFit="1" customWidth="1"/>
    <col min="6418"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9.7109375" style="16" customWidth="1"/>
    <col min="6659" max="6659" width="10.7109375" style="16" bestFit="1" customWidth="1"/>
    <col min="6660" max="6660" width="6.7109375" style="16" bestFit="1" customWidth="1"/>
    <col min="6661" max="6661" width="8.5703125" style="16" bestFit="1" customWidth="1"/>
    <col min="6662" max="6664" width="8.5703125" style="16" customWidth="1"/>
    <col min="6665" max="6665" width="7.140625" style="16" bestFit="1" customWidth="1"/>
    <col min="6666" max="6666" width="9.140625" style="16"/>
    <col min="6667" max="6668" width="7" style="16" bestFit="1" customWidth="1"/>
    <col min="6669" max="6669" width="6.85546875" style="16" bestFit="1" customWidth="1"/>
    <col min="6670" max="6670" width="7" style="16" bestFit="1" customWidth="1"/>
    <col min="6671" max="6671" width="7.140625" style="16" bestFit="1" customWidth="1"/>
    <col min="6672" max="6672" width="9.140625" style="16"/>
    <col min="6673" max="6673" width="9.7109375" style="16" bestFit="1" customWidth="1"/>
    <col min="6674"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9.7109375" style="16" customWidth="1"/>
    <col min="6915" max="6915" width="10.7109375" style="16" bestFit="1" customWidth="1"/>
    <col min="6916" max="6916" width="6.7109375" style="16" bestFit="1" customWidth="1"/>
    <col min="6917" max="6917" width="8.5703125" style="16" bestFit="1" customWidth="1"/>
    <col min="6918" max="6920" width="8.5703125" style="16" customWidth="1"/>
    <col min="6921" max="6921" width="7.140625" style="16" bestFit="1" customWidth="1"/>
    <col min="6922" max="6922" width="9.140625" style="16"/>
    <col min="6923" max="6924" width="7" style="16" bestFit="1" customWidth="1"/>
    <col min="6925" max="6925" width="6.85546875" style="16" bestFit="1" customWidth="1"/>
    <col min="6926" max="6926" width="7" style="16" bestFit="1" customWidth="1"/>
    <col min="6927" max="6927" width="7.140625" style="16" bestFit="1" customWidth="1"/>
    <col min="6928" max="6928" width="9.140625" style="16"/>
    <col min="6929" max="6929" width="9.7109375" style="16" bestFit="1" customWidth="1"/>
    <col min="6930"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9.7109375" style="16" customWidth="1"/>
    <col min="7171" max="7171" width="10.7109375" style="16" bestFit="1" customWidth="1"/>
    <col min="7172" max="7172" width="6.7109375" style="16" bestFit="1" customWidth="1"/>
    <col min="7173" max="7173" width="8.5703125" style="16" bestFit="1" customWidth="1"/>
    <col min="7174" max="7176" width="8.5703125" style="16" customWidth="1"/>
    <col min="7177" max="7177" width="7.140625" style="16" bestFit="1" customWidth="1"/>
    <col min="7178" max="7178" width="9.140625" style="16"/>
    <col min="7179" max="7180" width="7" style="16" bestFit="1" customWidth="1"/>
    <col min="7181" max="7181" width="6.85546875" style="16" bestFit="1" customWidth="1"/>
    <col min="7182" max="7182" width="7" style="16" bestFit="1" customWidth="1"/>
    <col min="7183" max="7183" width="7.140625" style="16" bestFit="1" customWidth="1"/>
    <col min="7184" max="7184" width="9.140625" style="16"/>
    <col min="7185" max="7185" width="9.7109375" style="16" bestFit="1" customWidth="1"/>
    <col min="7186"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9.7109375" style="16" customWidth="1"/>
    <col min="7427" max="7427" width="10.7109375" style="16" bestFit="1" customWidth="1"/>
    <col min="7428" max="7428" width="6.7109375" style="16" bestFit="1" customWidth="1"/>
    <col min="7429" max="7429" width="8.5703125" style="16" bestFit="1" customWidth="1"/>
    <col min="7430" max="7432" width="8.5703125" style="16" customWidth="1"/>
    <col min="7433" max="7433" width="7.140625" style="16" bestFit="1" customWidth="1"/>
    <col min="7434" max="7434" width="9.140625" style="16"/>
    <col min="7435" max="7436" width="7" style="16" bestFit="1" customWidth="1"/>
    <col min="7437" max="7437" width="6.85546875" style="16" bestFit="1" customWidth="1"/>
    <col min="7438" max="7438" width="7" style="16" bestFit="1" customWidth="1"/>
    <col min="7439" max="7439" width="7.140625" style="16" bestFit="1" customWidth="1"/>
    <col min="7440" max="7440" width="9.140625" style="16"/>
    <col min="7441" max="7441" width="9.7109375" style="16" bestFit="1" customWidth="1"/>
    <col min="7442"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9.7109375" style="16" customWidth="1"/>
    <col min="7683" max="7683" width="10.7109375" style="16" bestFit="1" customWidth="1"/>
    <col min="7684" max="7684" width="6.7109375" style="16" bestFit="1" customWidth="1"/>
    <col min="7685" max="7685" width="8.5703125" style="16" bestFit="1" customWidth="1"/>
    <col min="7686" max="7688" width="8.5703125" style="16" customWidth="1"/>
    <col min="7689" max="7689" width="7.140625" style="16" bestFit="1" customWidth="1"/>
    <col min="7690" max="7690" width="9.140625" style="16"/>
    <col min="7691" max="7692" width="7" style="16" bestFit="1" customWidth="1"/>
    <col min="7693" max="7693" width="6.85546875" style="16" bestFit="1" customWidth="1"/>
    <col min="7694" max="7694" width="7" style="16" bestFit="1" customWidth="1"/>
    <col min="7695" max="7695" width="7.140625" style="16" bestFit="1" customWidth="1"/>
    <col min="7696" max="7696" width="9.140625" style="16"/>
    <col min="7697" max="7697" width="9.7109375" style="16" bestFit="1" customWidth="1"/>
    <col min="7698"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9.7109375" style="16" customWidth="1"/>
    <col min="7939" max="7939" width="10.7109375" style="16" bestFit="1" customWidth="1"/>
    <col min="7940" max="7940" width="6.7109375" style="16" bestFit="1" customWidth="1"/>
    <col min="7941" max="7941" width="8.5703125" style="16" bestFit="1" customWidth="1"/>
    <col min="7942" max="7944" width="8.5703125" style="16" customWidth="1"/>
    <col min="7945" max="7945" width="7.140625" style="16" bestFit="1" customWidth="1"/>
    <col min="7946" max="7946" width="9.140625" style="16"/>
    <col min="7947" max="7948" width="7" style="16" bestFit="1" customWidth="1"/>
    <col min="7949" max="7949" width="6.85546875" style="16" bestFit="1" customWidth="1"/>
    <col min="7950" max="7950" width="7" style="16" bestFit="1" customWidth="1"/>
    <col min="7951" max="7951" width="7.140625" style="16" bestFit="1" customWidth="1"/>
    <col min="7952" max="7952" width="9.140625" style="16"/>
    <col min="7953" max="7953" width="9.7109375" style="16" bestFit="1" customWidth="1"/>
    <col min="7954"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9.7109375" style="16" customWidth="1"/>
    <col min="8195" max="8195" width="10.7109375" style="16" bestFit="1" customWidth="1"/>
    <col min="8196" max="8196" width="6.7109375" style="16" bestFit="1" customWidth="1"/>
    <col min="8197" max="8197" width="8.5703125" style="16" bestFit="1" customWidth="1"/>
    <col min="8198" max="8200" width="8.5703125" style="16" customWidth="1"/>
    <col min="8201" max="8201" width="7.140625" style="16" bestFit="1" customWidth="1"/>
    <col min="8202" max="8202" width="9.140625" style="16"/>
    <col min="8203" max="8204" width="7" style="16" bestFit="1" customWidth="1"/>
    <col min="8205" max="8205" width="6.85546875" style="16" bestFit="1" customWidth="1"/>
    <col min="8206" max="8206" width="7" style="16" bestFit="1" customWidth="1"/>
    <col min="8207" max="8207" width="7.140625" style="16" bestFit="1" customWidth="1"/>
    <col min="8208" max="8208" width="9.140625" style="16"/>
    <col min="8209" max="8209" width="9.7109375" style="16" bestFit="1" customWidth="1"/>
    <col min="8210"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9.7109375" style="16" customWidth="1"/>
    <col min="8451" max="8451" width="10.7109375" style="16" bestFit="1" customWidth="1"/>
    <col min="8452" max="8452" width="6.7109375" style="16" bestFit="1" customWidth="1"/>
    <col min="8453" max="8453" width="8.5703125" style="16" bestFit="1" customWidth="1"/>
    <col min="8454" max="8456" width="8.5703125" style="16" customWidth="1"/>
    <col min="8457" max="8457" width="7.140625" style="16" bestFit="1" customWidth="1"/>
    <col min="8458" max="8458" width="9.140625" style="16"/>
    <col min="8459" max="8460" width="7" style="16" bestFit="1" customWidth="1"/>
    <col min="8461" max="8461" width="6.85546875" style="16" bestFit="1" customWidth="1"/>
    <col min="8462" max="8462" width="7" style="16" bestFit="1" customWidth="1"/>
    <col min="8463" max="8463" width="7.140625" style="16" bestFit="1" customWidth="1"/>
    <col min="8464" max="8464" width="9.140625" style="16"/>
    <col min="8465" max="8465" width="9.7109375" style="16" bestFit="1" customWidth="1"/>
    <col min="8466"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9.7109375" style="16" customWidth="1"/>
    <col min="8707" max="8707" width="10.7109375" style="16" bestFit="1" customWidth="1"/>
    <col min="8708" max="8708" width="6.7109375" style="16" bestFit="1" customWidth="1"/>
    <col min="8709" max="8709" width="8.5703125" style="16" bestFit="1" customWidth="1"/>
    <col min="8710" max="8712" width="8.5703125" style="16" customWidth="1"/>
    <col min="8713" max="8713" width="7.140625" style="16" bestFit="1" customWidth="1"/>
    <col min="8714" max="8714" width="9.140625" style="16"/>
    <col min="8715" max="8716" width="7" style="16" bestFit="1" customWidth="1"/>
    <col min="8717" max="8717" width="6.85546875" style="16" bestFit="1" customWidth="1"/>
    <col min="8718" max="8718" width="7" style="16" bestFit="1" customWidth="1"/>
    <col min="8719" max="8719" width="7.140625" style="16" bestFit="1" customWidth="1"/>
    <col min="8720" max="8720" width="9.140625" style="16"/>
    <col min="8721" max="8721" width="9.7109375" style="16" bestFit="1" customWidth="1"/>
    <col min="8722"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9.7109375" style="16" customWidth="1"/>
    <col min="8963" max="8963" width="10.7109375" style="16" bestFit="1" customWidth="1"/>
    <col min="8964" max="8964" width="6.7109375" style="16" bestFit="1" customWidth="1"/>
    <col min="8965" max="8965" width="8.5703125" style="16" bestFit="1" customWidth="1"/>
    <col min="8966" max="8968" width="8.5703125" style="16" customWidth="1"/>
    <col min="8969" max="8969" width="7.140625" style="16" bestFit="1" customWidth="1"/>
    <col min="8970" max="8970" width="9.140625" style="16"/>
    <col min="8971" max="8972" width="7" style="16" bestFit="1" customWidth="1"/>
    <col min="8973" max="8973" width="6.85546875" style="16" bestFit="1" customWidth="1"/>
    <col min="8974" max="8974" width="7" style="16" bestFit="1" customWidth="1"/>
    <col min="8975" max="8975" width="7.140625" style="16" bestFit="1" customWidth="1"/>
    <col min="8976" max="8976" width="9.140625" style="16"/>
    <col min="8977" max="8977" width="9.7109375" style="16" bestFit="1" customWidth="1"/>
    <col min="8978"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9.7109375" style="16" customWidth="1"/>
    <col min="9219" max="9219" width="10.7109375" style="16" bestFit="1" customWidth="1"/>
    <col min="9220" max="9220" width="6.7109375" style="16" bestFit="1" customWidth="1"/>
    <col min="9221" max="9221" width="8.5703125" style="16" bestFit="1" customWidth="1"/>
    <col min="9222" max="9224" width="8.5703125" style="16" customWidth="1"/>
    <col min="9225" max="9225" width="7.140625" style="16" bestFit="1" customWidth="1"/>
    <col min="9226" max="9226" width="9.140625" style="16"/>
    <col min="9227" max="9228" width="7" style="16" bestFit="1" customWidth="1"/>
    <col min="9229" max="9229" width="6.85546875" style="16" bestFit="1" customWidth="1"/>
    <col min="9230" max="9230" width="7" style="16" bestFit="1" customWidth="1"/>
    <col min="9231" max="9231" width="7.140625" style="16" bestFit="1" customWidth="1"/>
    <col min="9232" max="9232" width="9.140625" style="16"/>
    <col min="9233" max="9233" width="9.7109375" style="16" bestFit="1" customWidth="1"/>
    <col min="9234"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9.7109375" style="16" customWidth="1"/>
    <col min="9475" max="9475" width="10.7109375" style="16" bestFit="1" customWidth="1"/>
    <col min="9476" max="9476" width="6.7109375" style="16" bestFit="1" customWidth="1"/>
    <col min="9477" max="9477" width="8.5703125" style="16" bestFit="1" customWidth="1"/>
    <col min="9478" max="9480" width="8.5703125" style="16" customWidth="1"/>
    <col min="9481" max="9481" width="7.140625" style="16" bestFit="1" customWidth="1"/>
    <col min="9482" max="9482" width="9.140625" style="16"/>
    <col min="9483" max="9484" width="7" style="16" bestFit="1" customWidth="1"/>
    <col min="9485" max="9485" width="6.85546875" style="16" bestFit="1" customWidth="1"/>
    <col min="9486" max="9486" width="7" style="16" bestFit="1" customWidth="1"/>
    <col min="9487" max="9487" width="7.140625" style="16" bestFit="1" customWidth="1"/>
    <col min="9488" max="9488" width="9.140625" style="16"/>
    <col min="9489" max="9489" width="9.7109375" style="16" bestFit="1" customWidth="1"/>
    <col min="9490"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9.7109375" style="16" customWidth="1"/>
    <col min="9731" max="9731" width="10.7109375" style="16" bestFit="1" customWidth="1"/>
    <col min="9732" max="9732" width="6.7109375" style="16" bestFit="1" customWidth="1"/>
    <col min="9733" max="9733" width="8.5703125" style="16" bestFit="1" customWidth="1"/>
    <col min="9734" max="9736" width="8.5703125" style="16" customWidth="1"/>
    <col min="9737" max="9737" width="7.140625" style="16" bestFit="1" customWidth="1"/>
    <col min="9738" max="9738" width="9.140625" style="16"/>
    <col min="9739" max="9740" width="7" style="16" bestFit="1" customWidth="1"/>
    <col min="9741" max="9741" width="6.85546875" style="16" bestFit="1" customWidth="1"/>
    <col min="9742" max="9742" width="7" style="16" bestFit="1" customWidth="1"/>
    <col min="9743" max="9743" width="7.140625" style="16" bestFit="1" customWidth="1"/>
    <col min="9744" max="9744" width="9.140625" style="16"/>
    <col min="9745" max="9745" width="9.7109375" style="16" bestFit="1" customWidth="1"/>
    <col min="9746"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9.7109375" style="16" customWidth="1"/>
    <col min="9987" max="9987" width="10.7109375" style="16" bestFit="1" customWidth="1"/>
    <col min="9988" max="9988" width="6.7109375" style="16" bestFit="1" customWidth="1"/>
    <col min="9989" max="9989" width="8.5703125" style="16" bestFit="1" customWidth="1"/>
    <col min="9990" max="9992" width="8.5703125" style="16" customWidth="1"/>
    <col min="9993" max="9993" width="7.140625" style="16" bestFit="1" customWidth="1"/>
    <col min="9994" max="9994" width="9.140625" style="16"/>
    <col min="9995" max="9996" width="7" style="16" bestFit="1" customWidth="1"/>
    <col min="9997" max="9997" width="6.85546875" style="16" bestFit="1" customWidth="1"/>
    <col min="9998" max="9998" width="7" style="16" bestFit="1" customWidth="1"/>
    <col min="9999" max="9999" width="7.140625" style="16" bestFit="1" customWidth="1"/>
    <col min="10000" max="10000" width="9.140625" style="16"/>
    <col min="10001" max="10001" width="9.7109375" style="16" bestFit="1" customWidth="1"/>
    <col min="10002"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9.7109375" style="16" customWidth="1"/>
    <col min="10243" max="10243" width="10.7109375" style="16" bestFit="1" customWidth="1"/>
    <col min="10244" max="10244" width="6.7109375" style="16" bestFit="1" customWidth="1"/>
    <col min="10245" max="10245" width="8.5703125" style="16" bestFit="1" customWidth="1"/>
    <col min="10246" max="10248" width="8.5703125" style="16" customWidth="1"/>
    <col min="10249" max="10249" width="7.140625" style="16" bestFit="1" customWidth="1"/>
    <col min="10250" max="10250" width="9.140625" style="16"/>
    <col min="10251" max="10252" width="7" style="16" bestFit="1" customWidth="1"/>
    <col min="10253" max="10253" width="6.85546875" style="16" bestFit="1" customWidth="1"/>
    <col min="10254" max="10254" width="7" style="16" bestFit="1" customWidth="1"/>
    <col min="10255" max="10255" width="7.140625" style="16" bestFit="1" customWidth="1"/>
    <col min="10256" max="10256" width="9.140625" style="16"/>
    <col min="10257" max="10257" width="9.7109375" style="16" bestFit="1" customWidth="1"/>
    <col min="10258"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9.7109375" style="16" customWidth="1"/>
    <col min="10499" max="10499" width="10.7109375" style="16" bestFit="1" customWidth="1"/>
    <col min="10500" max="10500" width="6.7109375" style="16" bestFit="1" customWidth="1"/>
    <col min="10501" max="10501" width="8.5703125" style="16" bestFit="1" customWidth="1"/>
    <col min="10502" max="10504" width="8.5703125" style="16" customWidth="1"/>
    <col min="10505" max="10505" width="7.140625" style="16" bestFit="1" customWidth="1"/>
    <col min="10506" max="10506" width="9.140625" style="16"/>
    <col min="10507" max="10508" width="7" style="16" bestFit="1" customWidth="1"/>
    <col min="10509" max="10509" width="6.85546875" style="16" bestFit="1" customWidth="1"/>
    <col min="10510" max="10510" width="7" style="16" bestFit="1" customWidth="1"/>
    <col min="10511" max="10511" width="7.140625" style="16" bestFit="1" customWidth="1"/>
    <col min="10512" max="10512" width="9.140625" style="16"/>
    <col min="10513" max="10513" width="9.7109375" style="16" bestFit="1" customWidth="1"/>
    <col min="10514"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9.7109375" style="16" customWidth="1"/>
    <col min="10755" max="10755" width="10.7109375" style="16" bestFit="1" customWidth="1"/>
    <col min="10756" max="10756" width="6.7109375" style="16" bestFit="1" customWidth="1"/>
    <col min="10757" max="10757" width="8.5703125" style="16" bestFit="1" customWidth="1"/>
    <col min="10758" max="10760" width="8.5703125" style="16" customWidth="1"/>
    <col min="10761" max="10761" width="7.140625" style="16" bestFit="1" customWidth="1"/>
    <col min="10762" max="10762" width="9.140625" style="16"/>
    <col min="10763" max="10764" width="7" style="16" bestFit="1" customWidth="1"/>
    <col min="10765" max="10765" width="6.85546875" style="16" bestFit="1" customWidth="1"/>
    <col min="10766" max="10766" width="7" style="16" bestFit="1" customWidth="1"/>
    <col min="10767" max="10767" width="7.140625" style="16" bestFit="1" customWidth="1"/>
    <col min="10768" max="10768" width="9.140625" style="16"/>
    <col min="10769" max="10769" width="9.7109375" style="16" bestFit="1" customWidth="1"/>
    <col min="10770"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9.7109375" style="16" customWidth="1"/>
    <col min="11011" max="11011" width="10.7109375" style="16" bestFit="1" customWidth="1"/>
    <col min="11012" max="11012" width="6.7109375" style="16" bestFit="1" customWidth="1"/>
    <col min="11013" max="11013" width="8.5703125" style="16" bestFit="1" customWidth="1"/>
    <col min="11014" max="11016" width="8.5703125" style="16" customWidth="1"/>
    <col min="11017" max="11017" width="7.140625" style="16" bestFit="1" customWidth="1"/>
    <col min="11018" max="11018" width="9.140625" style="16"/>
    <col min="11019" max="11020" width="7" style="16" bestFit="1" customWidth="1"/>
    <col min="11021" max="11021" width="6.85546875" style="16" bestFit="1" customWidth="1"/>
    <col min="11022" max="11022" width="7" style="16" bestFit="1" customWidth="1"/>
    <col min="11023" max="11023" width="7.140625" style="16" bestFit="1" customWidth="1"/>
    <col min="11024" max="11024" width="9.140625" style="16"/>
    <col min="11025" max="11025" width="9.7109375" style="16" bestFit="1" customWidth="1"/>
    <col min="11026"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9.7109375" style="16" customWidth="1"/>
    <col min="11267" max="11267" width="10.7109375" style="16" bestFit="1" customWidth="1"/>
    <col min="11268" max="11268" width="6.7109375" style="16" bestFit="1" customWidth="1"/>
    <col min="11269" max="11269" width="8.5703125" style="16" bestFit="1" customWidth="1"/>
    <col min="11270" max="11272" width="8.5703125" style="16" customWidth="1"/>
    <col min="11273" max="11273" width="7.140625" style="16" bestFit="1" customWidth="1"/>
    <col min="11274" max="11274" width="9.140625" style="16"/>
    <col min="11275" max="11276" width="7" style="16" bestFit="1" customWidth="1"/>
    <col min="11277" max="11277" width="6.85546875" style="16" bestFit="1" customWidth="1"/>
    <col min="11278" max="11278" width="7" style="16" bestFit="1" customWidth="1"/>
    <col min="11279" max="11279" width="7.140625" style="16" bestFit="1" customWidth="1"/>
    <col min="11280" max="11280" width="9.140625" style="16"/>
    <col min="11281" max="11281" width="9.7109375" style="16" bestFit="1" customWidth="1"/>
    <col min="11282"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9.7109375" style="16" customWidth="1"/>
    <col min="11523" max="11523" width="10.7109375" style="16" bestFit="1" customWidth="1"/>
    <col min="11524" max="11524" width="6.7109375" style="16" bestFit="1" customWidth="1"/>
    <col min="11525" max="11525" width="8.5703125" style="16" bestFit="1" customWidth="1"/>
    <col min="11526" max="11528" width="8.5703125" style="16" customWidth="1"/>
    <col min="11529" max="11529" width="7.140625" style="16" bestFit="1" customWidth="1"/>
    <col min="11530" max="11530" width="9.140625" style="16"/>
    <col min="11531" max="11532" width="7" style="16" bestFit="1" customWidth="1"/>
    <col min="11533" max="11533" width="6.85546875" style="16" bestFit="1" customWidth="1"/>
    <col min="11534" max="11534" width="7" style="16" bestFit="1" customWidth="1"/>
    <col min="11535" max="11535" width="7.140625" style="16" bestFit="1" customWidth="1"/>
    <col min="11536" max="11536" width="9.140625" style="16"/>
    <col min="11537" max="11537" width="9.7109375" style="16" bestFit="1" customWidth="1"/>
    <col min="11538"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9.7109375" style="16" customWidth="1"/>
    <col min="11779" max="11779" width="10.7109375" style="16" bestFit="1" customWidth="1"/>
    <col min="11780" max="11780" width="6.7109375" style="16" bestFit="1" customWidth="1"/>
    <col min="11781" max="11781" width="8.5703125" style="16" bestFit="1" customWidth="1"/>
    <col min="11782" max="11784" width="8.5703125" style="16" customWidth="1"/>
    <col min="11785" max="11785" width="7.140625" style="16" bestFit="1" customWidth="1"/>
    <col min="11786" max="11786" width="9.140625" style="16"/>
    <col min="11787" max="11788" width="7" style="16" bestFit="1" customWidth="1"/>
    <col min="11789" max="11789" width="6.85546875" style="16" bestFit="1" customWidth="1"/>
    <col min="11790" max="11790" width="7" style="16" bestFit="1" customWidth="1"/>
    <col min="11791" max="11791" width="7.140625" style="16" bestFit="1" customWidth="1"/>
    <col min="11792" max="11792" width="9.140625" style="16"/>
    <col min="11793" max="11793" width="9.7109375" style="16" bestFit="1" customWidth="1"/>
    <col min="11794"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9.7109375" style="16" customWidth="1"/>
    <col min="12035" max="12035" width="10.7109375" style="16" bestFit="1" customWidth="1"/>
    <col min="12036" max="12036" width="6.7109375" style="16" bestFit="1" customWidth="1"/>
    <col min="12037" max="12037" width="8.5703125" style="16" bestFit="1" customWidth="1"/>
    <col min="12038" max="12040" width="8.5703125" style="16" customWidth="1"/>
    <col min="12041" max="12041" width="7.140625" style="16" bestFit="1" customWidth="1"/>
    <col min="12042" max="12042" width="9.140625" style="16"/>
    <col min="12043" max="12044" width="7" style="16" bestFit="1" customWidth="1"/>
    <col min="12045" max="12045" width="6.85546875" style="16" bestFit="1" customWidth="1"/>
    <col min="12046" max="12046" width="7" style="16" bestFit="1" customWidth="1"/>
    <col min="12047" max="12047" width="7.140625" style="16" bestFit="1" customWidth="1"/>
    <col min="12048" max="12048" width="9.140625" style="16"/>
    <col min="12049" max="12049" width="9.7109375" style="16" bestFit="1" customWidth="1"/>
    <col min="12050"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9.7109375" style="16" customWidth="1"/>
    <col min="12291" max="12291" width="10.7109375" style="16" bestFit="1" customWidth="1"/>
    <col min="12292" max="12292" width="6.7109375" style="16" bestFit="1" customWidth="1"/>
    <col min="12293" max="12293" width="8.5703125" style="16" bestFit="1" customWidth="1"/>
    <col min="12294" max="12296" width="8.5703125" style="16" customWidth="1"/>
    <col min="12297" max="12297" width="7.140625" style="16" bestFit="1" customWidth="1"/>
    <col min="12298" max="12298" width="9.140625" style="16"/>
    <col min="12299" max="12300" width="7" style="16" bestFit="1" customWidth="1"/>
    <col min="12301" max="12301" width="6.85546875" style="16" bestFit="1" customWidth="1"/>
    <col min="12302" max="12302" width="7" style="16" bestFit="1" customWidth="1"/>
    <col min="12303" max="12303" width="7.140625" style="16" bestFit="1" customWidth="1"/>
    <col min="12304" max="12304" width="9.140625" style="16"/>
    <col min="12305" max="12305" width="9.7109375" style="16" bestFit="1" customWidth="1"/>
    <col min="12306"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9.7109375" style="16" customWidth="1"/>
    <col min="12547" max="12547" width="10.7109375" style="16" bestFit="1" customWidth="1"/>
    <col min="12548" max="12548" width="6.7109375" style="16" bestFit="1" customWidth="1"/>
    <col min="12549" max="12549" width="8.5703125" style="16" bestFit="1" customWidth="1"/>
    <col min="12550" max="12552" width="8.5703125" style="16" customWidth="1"/>
    <col min="12553" max="12553" width="7.140625" style="16" bestFit="1" customWidth="1"/>
    <col min="12554" max="12554" width="9.140625" style="16"/>
    <col min="12555" max="12556" width="7" style="16" bestFit="1" customWidth="1"/>
    <col min="12557" max="12557" width="6.85546875" style="16" bestFit="1" customWidth="1"/>
    <col min="12558" max="12558" width="7" style="16" bestFit="1" customWidth="1"/>
    <col min="12559" max="12559" width="7.140625" style="16" bestFit="1" customWidth="1"/>
    <col min="12560" max="12560" width="9.140625" style="16"/>
    <col min="12561" max="12561" width="9.7109375" style="16" bestFit="1" customWidth="1"/>
    <col min="12562"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9.7109375" style="16" customWidth="1"/>
    <col min="12803" max="12803" width="10.7109375" style="16" bestFit="1" customWidth="1"/>
    <col min="12804" max="12804" width="6.7109375" style="16" bestFit="1" customWidth="1"/>
    <col min="12805" max="12805" width="8.5703125" style="16" bestFit="1" customWidth="1"/>
    <col min="12806" max="12808" width="8.5703125" style="16" customWidth="1"/>
    <col min="12809" max="12809" width="7.140625" style="16" bestFit="1" customWidth="1"/>
    <col min="12810" max="12810" width="9.140625" style="16"/>
    <col min="12811" max="12812" width="7" style="16" bestFit="1" customWidth="1"/>
    <col min="12813" max="12813" width="6.85546875" style="16" bestFit="1" customWidth="1"/>
    <col min="12814" max="12814" width="7" style="16" bestFit="1" customWidth="1"/>
    <col min="12815" max="12815" width="7.140625" style="16" bestFit="1" customWidth="1"/>
    <col min="12816" max="12816" width="9.140625" style="16"/>
    <col min="12817" max="12817" width="9.7109375" style="16" bestFit="1" customWidth="1"/>
    <col min="12818"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9.7109375" style="16" customWidth="1"/>
    <col min="13059" max="13059" width="10.7109375" style="16" bestFit="1" customWidth="1"/>
    <col min="13060" max="13060" width="6.7109375" style="16" bestFit="1" customWidth="1"/>
    <col min="13061" max="13061" width="8.5703125" style="16" bestFit="1" customWidth="1"/>
    <col min="13062" max="13064" width="8.5703125" style="16" customWidth="1"/>
    <col min="13065" max="13065" width="7.140625" style="16" bestFit="1" customWidth="1"/>
    <col min="13066" max="13066" width="9.140625" style="16"/>
    <col min="13067" max="13068" width="7" style="16" bestFit="1" customWidth="1"/>
    <col min="13069" max="13069" width="6.85546875" style="16" bestFit="1" customWidth="1"/>
    <col min="13070" max="13070" width="7" style="16" bestFit="1" customWidth="1"/>
    <col min="13071" max="13071" width="7.140625" style="16" bestFit="1" customWidth="1"/>
    <col min="13072" max="13072" width="9.140625" style="16"/>
    <col min="13073" max="13073" width="9.7109375" style="16" bestFit="1" customWidth="1"/>
    <col min="13074"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9.7109375" style="16" customWidth="1"/>
    <col min="13315" max="13315" width="10.7109375" style="16" bestFit="1" customWidth="1"/>
    <col min="13316" max="13316" width="6.7109375" style="16" bestFit="1" customWidth="1"/>
    <col min="13317" max="13317" width="8.5703125" style="16" bestFit="1" customWidth="1"/>
    <col min="13318" max="13320" width="8.5703125" style="16" customWidth="1"/>
    <col min="13321" max="13321" width="7.140625" style="16" bestFit="1" customWidth="1"/>
    <col min="13322" max="13322" width="9.140625" style="16"/>
    <col min="13323" max="13324" width="7" style="16" bestFit="1" customWidth="1"/>
    <col min="13325" max="13325" width="6.85546875" style="16" bestFit="1" customWidth="1"/>
    <col min="13326" max="13326" width="7" style="16" bestFit="1" customWidth="1"/>
    <col min="13327" max="13327" width="7.140625" style="16" bestFit="1" customWidth="1"/>
    <col min="13328" max="13328" width="9.140625" style="16"/>
    <col min="13329" max="13329" width="9.7109375" style="16" bestFit="1" customWidth="1"/>
    <col min="13330"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9.7109375" style="16" customWidth="1"/>
    <col min="13571" max="13571" width="10.7109375" style="16" bestFit="1" customWidth="1"/>
    <col min="13572" max="13572" width="6.7109375" style="16" bestFit="1" customWidth="1"/>
    <col min="13573" max="13573" width="8.5703125" style="16" bestFit="1" customWidth="1"/>
    <col min="13574" max="13576" width="8.5703125" style="16" customWidth="1"/>
    <col min="13577" max="13577" width="7.140625" style="16" bestFit="1" customWidth="1"/>
    <col min="13578" max="13578" width="9.140625" style="16"/>
    <col min="13579" max="13580" width="7" style="16" bestFit="1" customWidth="1"/>
    <col min="13581" max="13581" width="6.85546875" style="16" bestFit="1" customWidth="1"/>
    <col min="13582" max="13582" width="7" style="16" bestFit="1" customWidth="1"/>
    <col min="13583" max="13583" width="7.140625" style="16" bestFit="1" customWidth="1"/>
    <col min="13584" max="13584" width="9.140625" style="16"/>
    <col min="13585" max="13585" width="9.7109375" style="16" bestFit="1" customWidth="1"/>
    <col min="13586"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9.7109375" style="16" customWidth="1"/>
    <col min="13827" max="13827" width="10.7109375" style="16" bestFit="1" customWidth="1"/>
    <col min="13828" max="13828" width="6.7109375" style="16" bestFit="1" customWidth="1"/>
    <col min="13829" max="13829" width="8.5703125" style="16" bestFit="1" customWidth="1"/>
    <col min="13830" max="13832" width="8.5703125" style="16" customWidth="1"/>
    <col min="13833" max="13833" width="7.140625" style="16" bestFit="1" customWidth="1"/>
    <col min="13834" max="13834" width="9.140625" style="16"/>
    <col min="13835" max="13836" width="7" style="16" bestFit="1" customWidth="1"/>
    <col min="13837" max="13837" width="6.85546875" style="16" bestFit="1" customWidth="1"/>
    <col min="13838" max="13838" width="7" style="16" bestFit="1" customWidth="1"/>
    <col min="13839" max="13839" width="7.140625" style="16" bestFit="1" customWidth="1"/>
    <col min="13840" max="13840" width="9.140625" style="16"/>
    <col min="13841" max="13841" width="9.7109375" style="16" bestFit="1" customWidth="1"/>
    <col min="13842"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9.7109375" style="16" customWidth="1"/>
    <col min="14083" max="14083" width="10.7109375" style="16" bestFit="1" customWidth="1"/>
    <col min="14084" max="14084" width="6.7109375" style="16" bestFit="1" customWidth="1"/>
    <col min="14085" max="14085" width="8.5703125" style="16" bestFit="1" customWidth="1"/>
    <col min="14086" max="14088" width="8.5703125" style="16" customWidth="1"/>
    <col min="14089" max="14089" width="7.140625" style="16" bestFit="1" customWidth="1"/>
    <col min="14090" max="14090" width="9.140625" style="16"/>
    <col min="14091" max="14092" width="7" style="16" bestFit="1" customWidth="1"/>
    <col min="14093" max="14093" width="6.85546875" style="16" bestFit="1" customWidth="1"/>
    <col min="14094" max="14094" width="7" style="16" bestFit="1" customWidth="1"/>
    <col min="14095" max="14095" width="7.140625" style="16" bestFit="1" customWidth="1"/>
    <col min="14096" max="14096" width="9.140625" style="16"/>
    <col min="14097" max="14097" width="9.7109375" style="16" bestFit="1" customWidth="1"/>
    <col min="14098"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9.7109375" style="16" customWidth="1"/>
    <col min="14339" max="14339" width="10.7109375" style="16" bestFit="1" customWidth="1"/>
    <col min="14340" max="14340" width="6.7109375" style="16" bestFit="1" customWidth="1"/>
    <col min="14341" max="14341" width="8.5703125" style="16" bestFit="1" customWidth="1"/>
    <col min="14342" max="14344" width="8.5703125" style="16" customWidth="1"/>
    <col min="14345" max="14345" width="7.140625" style="16" bestFit="1" customWidth="1"/>
    <col min="14346" max="14346" width="9.140625" style="16"/>
    <col min="14347" max="14348" width="7" style="16" bestFit="1" customWidth="1"/>
    <col min="14349" max="14349" width="6.85546875" style="16" bestFit="1" customWidth="1"/>
    <col min="14350" max="14350" width="7" style="16" bestFit="1" customWidth="1"/>
    <col min="14351" max="14351" width="7.140625" style="16" bestFit="1" customWidth="1"/>
    <col min="14352" max="14352" width="9.140625" style="16"/>
    <col min="14353" max="14353" width="9.7109375" style="16" bestFit="1" customWidth="1"/>
    <col min="14354"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9.7109375" style="16" customWidth="1"/>
    <col min="14595" max="14595" width="10.7109375" style="16" bestFit="1" customWidth="1"/>
    <col min="14596" max="14596" width="6.7109375" style="16" bestFit="1" customWidth="1"/>
    <col min="14597" max="14597" width="8.5703125" style="16" bestFit="1" customWidth="1"/>
    <col min="14598" max="14600" width="8.5703125" style="16" customWidth="1"/>
    <col min="14601" max="14601" width="7.140625" style="16" bestFit="1" customWidth="1"/>
    <col min="14602" max="14602" width="9.140625" style="16"/>
    <col min="14603" max="14604" width="7" style="16" bestFit="1" customWidth="1"/>
    <col min="14605" max="14605" width="6.85546875" style="16" bestFit="1" customWidth="1"/>
    <col min="14606" max="14606" width="7" style="16" bestFit="1" customWidth="1"/>
    <col min="14607" max="14607" width="7.140625" style="16" bestFit="1" customWidth="1"/>
    <col min="14608" max="14608" width="9.140625" style="16"/>
    <col min="14609" max="14609" width="9.7109375" style="16" bestFit="1" customWidth="1"/>
    <col min="14610"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9.7109375" style="16" customWidth="1"/>
    <col min="14851" max="14851" width="10.7109375" style="16" bestFit="1" customWidth="1"/>
    <col min="14852" max="14852" width="6.7109375" style="16" bestFit="1" customWidth="1"/>
    <col min="14853" max="14853" width="8.5703125" style="16" bestFit="1" customWidth="1"/>
    <col min="14854" max="14856" width="8.5703125" style="16" customWidth="1"/>
    <col min="14857" max="14857" width="7.140625" style="16" bestFit="1" customWidth="1"/>
    <col min="14858" max="14858" width="9.140625" style="16"/>
    <col min="14859" max="14860" width="7" style="16" bestFit="1" customWidth="1"/>
    <col min="14861" max="14861" width="6.85546875" style="16" bestFit="1" customWidth="1"/>
    <col min="14862" max="14862" width="7" style="16" bestFit="1" customWidth="1"/>
    <col min="14863" max="14863" width="7.140625" style="16" bestFit="1" customWidth="1"/>
    <col min="14864" max="14864" width="9.140625" style="16"/>
    <col min="14865" max="14865" width="9.7109375" style="16" bestFit="1" customWidth="1"/>
    <col min="14866"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9.7109375" style="16" customWidth="1"/>
    <col min="15107" max="15107" width="10.7109375" style="16" bestFit="1" customWidth="1"/>
    <col min="15108" max="15108" width="6.7109375" style="16" bestFit="1" customWidth="1"/>
    <col min="15109" max="15109" width="8.5703125" style="16" bestFit="1" customWidth="1"/>
    <col min="15110" max="15112" width="8.5703125" style="16" customWidth="1"/>
    <col min="15113" max="15113" width="7.140625" style="16" bestFit="1" customWidth="1"/>
    <col min="15114" max="15114" width="9.140625" style="16"/>
    <col min="15115" max="15116" width="7" style="16" bestFit="1" customWidth="1"/>
    <col min="15117" max="15117" width="6.85546875" style="16" bestFit="1" customWidth="1"/>
    <col min="15118" max="15118" width="7" style="16" bestFit="1" customWidth="1"/>
    <col min="15119" max="15119" width="7.140625" style="16" bestFit="1" customWidth="1"/>
    <col min="15120" max="15120" width="9.140625" style="16"/>
    <col min="15121" max="15121" width="9.7109375" style="16" bestFit="1" customWidth="1"/>
    <col min="15122"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9.7109375" style="16" customWidth="1"/>
    <col min="15363" max="15363" width="10.7109375" style="16" bestFit="1" customWidth="1"/>
    <col min="15364" max="15364" width="6.7109375" style="16" bestFit="1" customWidth="1"/>
    <col min="15365" max="15365" width="8.5703125" style="16" bestFit="1" customWidth="1"/>
    <col min="15366" max="15368" width="8.5703125" style="16" customWidth="1"/>
    <col min="15369" max="15369" width="7.140625" style="16" bestFit="1" customWidth="1"/>
    <col min="15370" max="15370" width="9.140625" style="16"/>
    <col min="15371" max="15372" width="7" style="16" bestFit="1" customWidth="1"/>
    <col min="15373" max="15373" width="6.85546875" style="16" bestFit="1" customWidth="1"/>
    <col min="15374" max="15374" width="7" style="16" bestFit="1" customWidth="1"/>
    <col min="15375" max="15375" width="7.140625" style="16" bestFit="1" customWidth="1"/>
    <col min="15376" max="15376" width="9.140625" style="16"/>
    <col min="15377" max="15377" width="9.7109375" style="16" bestFit="1" customWidth="1"/>
    <col min="15378"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9.7109375" style="16" customWidth="1"/>
    <col min="15619" max="15619" width="10.7109375" style="16" bestFit="1" customWidth="1"/>
    <col min="15620" max="15620" width="6.7109375" style="16" bestFit="1" customWidth="1"/>
    <col min="15621" max="15621" width="8.5703125" style="16" bestFit="1" customWidth="1"/>
    <col min="15622" max="15624" width="8.5703125" style="16" customWidth="1"/>
    <col min="15625" max="15625" width="7.140625" style="16" bestFit="1" customWidth="1"/>
    <col min="15626" max="15626" width="9.140625" style="16"/>
    <col min="15627" max="15628" width="7" style="16" bestFit="1" customWidth="1"/>
    <col min="15629" max="15629" width="6.85546875" style="16" bestFit="1" customWidth="1"/>
    <col min="15630" max="15630" width="7" style="16" bestFit="1" customWidth="1"/>
    <col min="15631" max="15631" width="7.140625" style="16" bestFit="1" customWidth="1"/>
    <col min="15632" max="15632" width="9.140625" style="16"/>
    <col min="15633" max="15633" width="9.7109375" style="16" bestFit="1" customWidth="1"/>
    <col min="15634"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9.7109375" style="16" customWidth="1"/>
    <col min="15875" max="15875" width="10.7109375" style="16" bestFit="1" customWidth="1"/>
    <col min="15876" max="15876" width="6.7109375" style="16" bestFit="1" customWidth="1"/>
    <col min="15877" max="15877" width="8.5703125" style="16" bestFit="1" customWidth="1"/>
    <col min="15878" max="15880" width="8.5703125" style="16" customWidth="1"/>
    <col min="15881" max="15881" width="7.140625" style="16" bestFit="1" customWidth="1"/>
    <col min="15882" max="15882" width="9.140625" style="16"/>
    <col min="15883" max="15884" width="7" style="16" bestFit="1" customWidth="1"/>
    <col min="15885" max="15885" width="6.85546875" style="16" bestFit="1" customWidth="1"/>
    <col min="15886" max="15886" width="7" style="16" bestFit="1" customWidth="1"/>
    <col min="15887" max="15887" width="7.140625" style="16" bestFit="1" customWidth="1"/>
    <col min="15888" max="15888" width="9.140625" style="16"/>
    <col min="15889" max="15889" width="9.7109375" style="16" bestFit="1" customWidth="1"/>
    <col min="15890"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9.7109375" style="16" customWidth="1"/>
    <col min="16131" max="16131" width="10.7109375" style="16" bestFit="1" customWidth="1"/>
    <col min="16132" max="16132" width="6.7109375" style="16" bestFit="1" customWidth="1"/>
    <col min="16133" max="16133" width="8.5703125" style="16" bestFit="1" customWidth="1"/>
    <col min="16134" max="16136" width="8.5703125" style="16" customWidth="1"/>
    <col min="16137" max="16137" width="7.140625" style="16" bestFit="1" customWidth="1"/>
    <col min="16138" max="16138" width="9.140625" style="16"/>
    <col min="16139" max="16140" width="7" style="16" bestFit="1" customWidth="1"/>
    <col min="16141" max="16141" width="6.85546875" style="16" bestFit="1" customWidth="1"/>
    <col min="16142" max="16142" width="7" style="16" bestFit="1" customWidth="1"/>
    <col min="16143" max="16143" width="7.140625" style="16" bestFit="1" customWidth="1"/>
    <col min="16144" max="16144" width="9.140625" style="16"/>
    <col min="16145" max="16145" width="9.7109375" style="16" bestFit="1" customWidth="1"/>
    <col min="16146" max="16147" width="9.140625" style="16"/>
    <col min="16148" max="16148" width="12.42578125" style="16" customWidth="1"/>
    <col min="16149" max="16149" width="9.140625" style="16"/>
    <col min="16150" max="16150" width="12" style="16" customWidth="1"/>
    <col min="16151" max="16384" width="9.140625" style="16"/>
  </cols>
  <sheetData>
    <row r="1" spans="1:19" s="1" customFormat="1" ht="12.75" customHeight="1" x14ac:dyDescent="0.2">
      <c r="A1" s="867" t="s">
        <v>100</v>
      </c>
      <c r="B1" s="868"/>
      <c r="C1" s="868"/>
      <c r="D1" s="905"/>
      <c r="E1" s="906"/>
      <c r="F1" s="907"/>
      <c r="G1" s="867" t="s">
        <v>102</v>
      </c>
      <c r="H1" s="869"/>
      <c r="I1" s="869" t="s">
        <v>13</v>
      </c>
      <c r="J1" s="868"/>
      <c r="K1" s="868"/>
      <c r="L1" s="870"/>
      <c r="M1" s="870"/>
      <c r="N1" s="870"/>
      <c r="O1" s="870"/>
    </row>
    <row r="2" spans="1:19" s="1" customFormat="1" x14ac:dyDescent="0.2">
      <c r="A2" s="867" t="s">
        <v>103</v>
      </c>
      <c r="B2" s="868"/>
      <c r="C2" s="868"/>
      <c r="D2" s="908"/>
      <c r="E2" s="909"/>
      <c r="F2" s="910"/>
      <c r="G2" s="867" t="s">
        <v>104</v>
      </c>
      <c r="H2" s="869"/>
      <c r="I2" s="869" t="s">
        <v>105</v>
      </c>
      <c r="J2" s="868"/>
      <c r="K2" s="868"/>
      <c r="L2" s="870"/>
      <c r="M2" s="870"/>
      <c r="N2" s="870"/>
      <c r="O2" s="870"/>
    </row>
    <row r="3" spans="1:19" s="1" customFormat="1" ht="12.75" customHeight="1" x14ac:dyDescent="0.2">
      <c r="A3" s="867" t="s">
        <v>106</v>
      </c>
      <c r="B3" s="868"/>
      <c r="C3" s="868"/>
      <c r="D3" s="905">
        <v>24295</v>
      </c>
      <c r="E3" s="906"/>
      <c r="F3" s="907"/>
      <c r="G3" s="867" t="s">
        <v>107</v>
      </c>
      <c r="H3" s="869"/>
      <c r="I3" s="869" t="s">
        <v>108</v>
      </c>
      <c r="J3" s="868"/>
      <c r="K3" s="868"/>
      <c r="L3" s="870"/>
      <c r="M3" s="870"/>
      <c r="N3" s="870"/>
      <c r="O3" s="870"/>
    </row>
    <row r="4" spans="1:19" s="1" customFormat="1" x14ac:dyDescent="0.2">
      <c r="A4" s="867" t="s">
        <v>109</v>
      </c>
      <c r="B4" s="868"/>
      <c r="C4" s="868"/>
      <c r="D4" s="869"/>
      <c r="E4" s="868"/>
      <c r="F4" s="868"/>
      <c r="G4" s="867" t="s">
        <v>110</v>
      </c>
      <c r="H4" s="869"/>
      <c r="I4" s="869" t="s">
        <v>111</v>
      </c>
      <c r="J4" s="868"/>
      <c r="K4" s="868"/>
      <c r="L4" s="870"/>
      <c r="M4" s="870"/>
      <c r="N4" s="870"/>
      <c r="O4" s="870"/>
      <c r="Q4" s="259"/>
    </row>
    <row r="5" spans="1:19" s="1" customFormat="1" x14ac:dyDescent="0.2">
      <c r="A5" s="867" t="s">
        <v>112</v>
      </c>
      <c r="B5" s="868"/>
      <c r="C5" s="868"/>
      <c r="D5" s="869"/>
      <c r="E5" s="868"/>
      <c r="F5" s="868"/>
      <c r="G5" s="867"/>
      <c r="H5" s="868"/>
      <c r="I5" s="869" t="s">
        <v>113</v>
      </c>
      <c r="J5" s="868"/>
      <c r="K5" s="868"/>
      <c r="L5" s="870"/>
      <c r="M5" s="870"/>
      <c r="N5" s="870"/>
      <c r="O5" s="870"/>
      <c r="Q5" s="259"/>
    </row>
    <row r="6" spans="1:19" s="1" customFormat="1" x14ac:dyDescent="0.2">
      <c r="A6" s="871" t="s">
        <v>114</v>
      </c>
      <c r="B6" s="872"/>
      <c r="C6" s="872"/>
      <c r="D6" s="868" t="s">
        <v>14</v>
      </c>
      <c r="E6" s="868"/>
      <c r="F6" s="868"/>
      <c r="G6" s="871" t="s">
        <v>115</v>
      </c>
      <c r="H6" s="871"/>
      <c r="I6" s="2" t="s">
        <v>116</v>
      </c>
      <c r="J6" s="903"/>
      <c r="K6" s="903"/>
      <c r="L6" s="903"/>
      <c r="M6" s="903"/>
      <c r="N6" s="903"/>
      <c r="O6" s="904"/>
    </row>
    <row r="7" spans="1:19" s="1" customFormat="1" ht="13.5" thickBot="1" x14ac:dyDescent="0.25">
      <c r="A7" s="3"/>
      <c r="B7" s="4"/>
      <c r="C7" s="5"/>
      <c r="D7" s="6"/>
      <c r="E7" s="6"/>
      <c r="F7" s="6"/>
      <c r="G7" s="6"/>
      <c r="H7" s="6"/>
      <c r="I7" s="6"/>
      <c r="J7" s="7"/>
      <c r="K7" s="8"/>
      <c r="L7" s="875" t="s">
        <v>223</v>
      </c>
      <c r="M7" s="875"/>
      <c r="N7" s="875"/>
      <c r="O7" s="875"/>
      <c r="Q7" s="260"/>
      <c r="R7" s="261"/>
      <c r="S7" s="261"/>
    </row>
    <row r="8" spans="1:19" s="11" customFormat="1" x14ac:dyDescent="0.2">
      <c r="A8" s="876" t="str">
        <f>I1</f>
        <v>Mr. V. M. Kurve</v>
      </c>
      <c r="B8" s="877"/>
      <c r="C8" s="9">
        <v>43160</v>
      </c>
      <c r="D8" s="9">
        <v>43191</v>
      </c>
      <c r="E8" s="9">
        <v>43221</v>
      </c>
      <c r="F8" s="9">
        <v>43252</v>
      </c>
      <c r="G8" s="9">
        <v>43282</v>
      </c>
      <c r="H8" s="9">
        <v>43313</v>
      </c>
      <c r="I8" s="9">
        <v>43344</v>
      </c>
      <c r="J8" s="9">
        <v>43374</v>
      </c>
      <c r="K8" s="9">
        <v>43405</v>
      </c>
      <c r="L8" s="9">
        <v>43435</v>
      </c>
      <c r="M8" s="9">
        <v>43466</v>
      </c>
      <c r="N8" s="9">
        <v>43497</v>
      </c>
      <c r="O8" s="10" t="s">
        <v>117</v>
      </c>
    </row>
    <row r="9" spans="1:19" ht="15" x14ac:dyDescent="0.2">
      <c r="A9" s="12"/>
      <c r="B9" s="13" t="s">
        <v>118</v>
      </c>
      <c r="C9" s="14">
        <v>39200</v>
      </c>
      <c r="D9" s="14">
        <v>39200</v>
      </c>
      <c r="E9" s="14">
        <v>39200</v>
      </c>
      <c r="F9" s="14">
        <v>39200</v>
      </c>
      <c r="G9" s="14">
        <v>39200</v>
      </c>
      <c r="H9" s="14">
        <v>39200</v>
      </c>
      <c r="I9" s="14">
        <v>39200</v>
      </c>
      <c r="J9" s="14">
        <v>39200</v>
      </c>
      <c r="K9" s="14">
        <v>39200</v>
      </c>
      <c r="L9" s="14">
        <v>39200</v>
      </c>
      <c r="M9" s="14">
        <v>39200</v>
      </c>
      <c r="N9" s="14">
        <v>39200</v>
      </c>
      <c r="O9" s="15">
        <f>SUM(C9:N9)</f>
        <v>470400</v>
      </c>
    </row>
    <row r="10" spans="1:19"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9" ht="15" x14ac:dyDescent="0.2">
      <c r="A11" s="12"/>
      <c r="B11" s="13" t="s">
        <v>120</v>
      </c>
      <c r="C11" s="17">
        <v>1960</v>
      </c>
      <c r="D11" s="17">
        <v>2744</v>
      </c>
      <c r="E11" s="17">
        <v>2744</v>
      </c>
      <c r="F11" s="17">
        <v>2744</v>
      </c>
      <c r="G11" s="17">
        <v>2828</v>
      </c>
      <c r="H11" s="17">
        <v>2828</v>
      </c>
      <c r="I11" s="17">
        <v>2828</v>
      </c>
      <c r="J11" s="17">
        <v>3636</v>
      </c>
      <c r="K11" s="17">
        <v>3636</v>
      </c>
      <c r="L11" s="17">
        <v>3636</v>
      </c>
      <c r="M11" s="17">
        <v>3636</v>
      </c>
      <c r="N11" s="17">
        <v>3636</v>
      </c>
      <c r="O11" s="18">
        <f>SUM(C11:N11)</f>
        <v>36856</v>
      </c>
    </row>
    <row r="12" spans="1:19"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9"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7" si="0">SUM(C13:N13)</f>
        <v>0</v>
      </c>
    </row>
    <row r="14" spans="1:19" ht="15" x14ac:dyDescent="0.2">
      <c r="A14" s="12"/>
      <c r="B14" s="13" t="s">
        <v>123</v>
      </c>
      <c r="C14" s="17">
        <v>3780</v>
      </c>
      <c r="D14" s="17">
        <v>3852</v>
      </c>
      <c r="E14" s="17">
        <v>3852</v>
      </c>
      <c r="F14" s="17">
        <v>3852</v>
      </c>
      <c r="G14" s="17">
        <v>3852</v>
      </c>
      <c r="H14" s="17">
        <v>3852</v>
      </c>
      <c r="I14" s="17">
        <v>3852</v>
      </c>
      <c r="J14" s="17">
        <v>3924</v>
      </c>
      <c r="K14" s="17">
        <v>3924</v>
      </c>
      <c r="L14" s="17">
        <v>3924</v>
      </c>
      <c r="M14" s="17">
        <v>3924</v>
      </c>
      <c r="N14" s="17">
        <v>3924</v>
      </c>
      <c r="O14" s="18">
        <f t="shared" si="0"/>
        <v>46512</v>
      </c>
    </row>
    <row r="15" spans="1:19"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9" ht="15" hidden="1"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row>
    <row r="17" spans="1:17"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7" ht="15" x14ac:dyDescent="0.2">
      <c r="A18" s="12"/>
      <c r="B18" s="13" t="s">
        <v>127</v>
      </c>
      <c r="C18" s="17">
        <v>0</v>
      </c>
      <c r="D18" s="17">
        <v>0</v>
      </c>
      <c r="E18" s="17">
        <v>0</v>
      </c>
      <c r="F18" s="17">
        <v>0</v>
      </c>
      <c r="G18" s="17">
        <v>0</v>
      </c>
      <c r="H18" s="17">
        <v>0</v>
      </c>
      <c r="I18" s="17">
        <v>0</v>
      </c>
      <c r="J18" s="17">
        <v>0</v>
      </c>
      <c r="K18" s="17">
        <v>0</v>
      </c>
      <c r="L18" s="17">
        <v>0</v>
      </c>
      <c r="M18" s="17">
        <v>0</v>
      </c>
      <c r="N18" s="17">
        <v>0</v>
      </c>
      <c r="O18" s="18">
        <f t="shared" si="0"/>
        <v>0</v>
      </c>
    </row>
    <row r="19" spans="1:17" ht="15" x14ac:dyDescent="0.2">
      <c r="A19" s="12"/>
      <c r="B19" s="13" t="s">
        <v>128</v>
      </c>
      <c r="C19" s="17">
        <v>0</v>
      </c>
      <c r="D19" s="17">
        <v>0</v>
      </c>
      <c r="E19" s="17">
        <v>0</v>
      </c>
      <c r="F19" s="17">
        <v>0</v>
      </c>
      <c r="G19" s="17">
        <v>0</v>
      </c>
      <c r="H19" s="17">
        <v>0</v>
      </c>
      <c r="I19" s="17">
        <v>0</v>
      </c>
      <c r="J19" s="17">
        <v>0</v>
      </c>
      <c r="K19" s="17">
        <v>0</v>
      </c>
      <c r="L19" s="17">
        <v>0</v>
      </c>
      <c r="M19" s="17">
        <v>0</v>
      </c>
      <c r="N19" s="17">
        <v>0</v>
      </c>
      <c r="O19" s="18">
        <f t="shared" si="0"/>
        <v>0</v>
      </c>
    </row>
    <row r="20" spans="1:17"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7" ht="15" hidden="1" customHeight="1" x14ac:dyDescent="0.2">
      <c r="A21" s="878"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7" ht="15" customHeight="1" x14ac:dyDescent="0.2">
      <c r="A22" s="879"/>
      <c r="B22" s="19" t="s">
        <v>132</v>
      </c>
      <c r="C22" s="17">
        <v>0</v>
      </c>
      <c r="D22" s="17">
        <v>0</v>
      </c>
      <c r="E22" s="17">
        <v>0</v>
      </c>
      <c r="F22" s="17">
        <v>0</v>
      </c>
      <c r="G22" s="17">
        <v>0</v>
      </c>
      <c r="H22" s="17">
        <v>0</v>
      </c>
      <c r="I22" s="17">
        <v>0</v>
      </c>
      <c r="J22" s="17">
        <v>6908</v>
      </c>
      <c r="K22" s="17">
        <v>0</v>
      </c>
      <c r="L22" s="17">
        <v>0</v>
      </c>
      <c r="M22" s="17">
        <v>0</v>
      </c>
      <c r="N22" s="17">
        <v>0</v>
      </c>
      <c r="O22" s="18">
        <f t="shared" si="0"/>
        <v>6908</v>
      </c>
      <c r="Q22" s="257"/>
    </row>
    <row r="23" spans="1:17" ht="15" hidden="1" customHeight="1" x14ac:dyDescent="0.2">
      <c r="A23" s="879"/>
      <c r="B23" s="19" t="s">
        <v>133</v>
      </c>
      <c r="C23" s="17">
        <v>0</v>
      </c>
      <c r="D23" s="17">
        <v>0</v>
      </c>
      <c r="E23" s="17">
        <v>0</v>
      </c>
      <c r="F23" s="17">
        <v>0</v>
      </c>
      <c r="G23" s="17">
        <v>0</v>
      </c>
      <c r="H23" s="17">
        <v>0</v>
      </c>
      <c r="I23" s="17">
        <v>0</v>
      </c>
      <c r="J23" s="17">
        <v>0</v>
      </c>
      <c r="K23" s="17">
        <v>0</v>
      </c>
      <c r="L23" s="17">
        <v>0</v>
      </c>
      <c r="M23" s="17">
        <v>0</v>
      </c>
      <c r="N23" s="17">
        <v>0</v>
      </c>
      <c r="O23" s="18">
        <f t="shared" si="0"/>
        <v>0</v>
      </c>
    </row>
    <row r="24" spans="1:17" ht="15" hidden="1" customHeight="1" x14ac:dyDescent="0.2">
      <c r="A24" s="879"/>
      <c r="B24" s="19" t="s">
        <v>134</v>
      </c>
      <c r="C24" s="17">
        <v>0</v>
      </c>
      <c r="D24" s="17">
        <v>0</v>
      </c>
      <c r="E24" s="17">
        <v>0</v>
      </c>
      <c r="F24" s="17">
        <v>0</v>
      </c>
      <c r="G24" s="17">
        <v>0</v>
      </c>
      <c r="H24" s="17">
        <v>0</v>
      </c>
      <c r="I24" s="17">
        <v>0</v>
      </c>
      <c r="J24" s="17">
        <v>0</v>
      </c>
      <c r="K24" s="17">
        <v>0</v>
      </c>
      <c r="L24" s="17">
        <v>0</v>
      </c>
      <c r="M24" s="17">
        <v>0</v>
      </c>
      <c r="N24" s="17">
        <v>0</v>
      </c>
      <c r="O24" s="18">
        <f t="shared" si="0"/>
        <v>0</v>
      </c>
    </row>
    <row r="25" spans="1:17" ht="15" hidden="1" customHeight="1" x14ac:dyDescent="0.2">
      <c r="A25" s="879"/>
      <c r="B25" s="19" t="s">
        <v>135</v>
      </c>
      <c r="C25" s="17">
        <v>0</v>
      </c>
      <c r="D25" s="17">
        <v>0</v>
      </c>
      <c r="E25" s="17">
        <v>0</v>
      </c>
      <c r="F25" s="17">
        <v>0</v>
      </c>
      <c r="G25" s="17">
        <v>0</v>
      </c>
      <c r="H25" s="17">
        <v>0</v>
      </c>
      <c r="I25" s="17">
        <v>0</v>
      </c>
      <c r="J25" s="17">
        <v>0</v>
      </c>
      <c r="K25" s="17">
        <v>0</v>
      </c>
      <c r="L25" s="17">
        <v>0</v>
      </c>
      <c r="M25" s="17">
        <v>0</v>
      </c>
      <c r="N25" s="17">
        <v>0</v>
      </c>
      <c r="O25" s="18">
        <f t="shared" si="0"/>
        <v>0</v>
      </c>
    </row>
    <row r="26" spans="1:17" ht="15" hidden="1" customHeight="1" x14ac:dyDescent="0.2">
      <c r="A26" s="879"/>
      <c r="B26" s="19" t="s">
        <v>136</v>
      </c>
      <c r="C26" s="17">
        <v>0</v>
      </c>
      <c r="D26" s="17">
        <v>0</v>
      </c>
      <c r="E26" s="17">
        <v>0</v>
      </c>
      <c r="F26" s="17">
        <v>0</v>
      </c>
      <c r="G26" s="17">
        <v>0</v>
      </c>
      <c r="H26" s="17">
        <v>0</v>
      </c>
      <c r="I26" s="17">
        <v>0</v>
      </c>
      <c r="J26" s="17">
        <v>0</v>
      </c>
      <c r="K26" s="17">
        <v>0</v>
      </c>
      <c r="L26" s="17">
        <v>0</v>
      </c>
      <c r="M26" s="17">
        <v>0</v>
      </c>
      <c r="N26" s="17">
        <v>0</v>
      </c>
      <c r="O26" s="18">
        <f t="shared" si="0"/>
        <v>0</v>
      </c>
    </row>
    <row r="27" spans="1:17" ht="15" hidden="1" customHeight="1" x14ac:dyDescent="0.2">
      <c r="A27" s="879"/>
      <c r="B27" s="19" t="s">
        <v>137</v>
      </c>
      <c r="C27" s="17">
        <v>0</v>
      </c>
      <c r="D27" s="17">
        <v>0</v>
      </c>
      <c r="E27" s="17">
        <v>0</v>
      </c>
      <c r="F27" s="17">
        <v>0</v>
      </c>
      <c r="G27" s="17">
        <v>0</v>
      </c>
      <c r="H27" s="17">
        <v>0</v>
      </c>
      <c r="I27" s="17">
        <v>0</v>
      </c>
      <c r="J27" s="17">
        <v>0</v>
      </c>
      <c r="K27" s="17">
        <v>0</v>
      </c>
      <c r="L27" s="17">
        <v>0</v>
      </c>
      <c r="M27" s="17">
        <v>0</v>
      </c>
      <c r="N27" s="17">
        <v>0</v>
      </c>
      <c r="O27" s="18">
        <f t="shared" si="0"/>
        <v>0</v>
      </c>
    </row>
    <row r="28" spans="1:17" ht="15" hidden="1" customHeight="1" x14ac:dyDescent="0.2">
      <c r="A28" s="879"/>
      <c r="B28" s="19" t="s">
        <v>138</v>
      </c>
      <c r="C28" s="17">
        <v>0</v>
      </c>
      <c r="D28" s="17">
        <v>0</v>
      </c>
      <c r="E28" s="17">
        <v>0</v>
      </c>
      <c r="F28" s="17">
        <v>0</v>
      </c>
      <c r="G28" s="17">
        <v>0</v>
      </c>
      <c r="H28" s="17">
        <v>0</v>
      </c>
      <c r="I28" s="17">
        <v>0</v>
      </c>
      <c r="J28" s="17">
        <v>0</v>
      </c>
      <c r="K28" s="17">
        <v>0</v>
      </c>
      <c r="L28" s="17">
        <v>0</v>
      </c>
      <c r="M28" s="17">
        <v>0</v>
      </c>
      <c r="N28" s="17">
        <v>0</v>
      </c>
      <c r="O28" s="18">
        <f t="shared" si="0"/>
        <v>0</v>
      </c>
    </row>
    <row r="29" spans="1:17" ht="15" hidden="1" customHeight="1" x14ac:dyDescent="0.2">
      <c r="A29" s="879"/>
      <c r="B29" s="19" t="s">
        <v>139</v>
      </c>
      <c r="C29" s="17">
        <v>0</v>
      </c>
      <c r="D29" s="17">
        <v>0</v>
      </c>
      <c r="E29" s="17">
        <v>0</v>
      </c>
      <c r="F29" s="17">
        <v>0</v>
      </c>
      <c r="G29" s="17">
        <v>0</v>
      </c>
      <c r="H29" s="17">
        <v>0</v>
      </c>
      <c r="I29" s="17">
        <v>0</v>
      </c>
      <c r="J29" s="17">
        <v>0</v>
      </c>
      <c r="K29" s="17">
        <v>0</v>
      </c>
      <c r="L29" s="17">
        <v>0</v>
      </c>
      <c r="M29" s="17">
        <v>0</v>
      </c>
      <c r="N29" s="17">
        <v>0</v>
      </c>
      <c r="O29" s="18">
        <f t="shared" si="0"/>
        <v>0</v>
      </c>
    </row>
    <row r="30" spans="1:17" ht="15" hidden="1" customHeight="1" x14ac:dyDescent="0.2">
      <c r="A30" s="879"/>
      <c r="B30" s="19" t="s">
        <v>140</v>
      </c>
      <c r="C30" s="17">
        <v>0</v>
      </c>
      <c r="D30" s="17">
        <v>0</v>
      </c>
      <c r="E30" s="17">
        <v>0</v>
      </c>
      <c r="F30" s="17">
        <v>0</v>
      </c>
      <c r="G30" s="17">
        <v>0</v>
      </c>
      <c r="H30" s="17">
        <v>0</v>
      </c>
      <c r="I30" s="17">
        <v>0</v>
      </c>
      <c r="J30" s="17">
        <v>0</v>
      </c>
      <c r="K30" s="17">
        <v>0</v>
      </c>
      <c r="L30" s="17">
        <v>0</v>
      </c>
      <c r="M30" s="17">
        <v>0</v>
      </c>
      <c r="N30" s="17">
        <v>0</v>
      </c>
      <c r="O30" s="18">
        <f t="shared" si="0"/>
        <v>0</v>
      </c>
    </row>
    <row r="31" spans="1:17" ht="15" customHeight="1" x14ac:dyDescent="0.2">
      <c r="A31" s="879"/>
      <c r="B31" s="167" t="s">
        <v>246</v>
      </c>
      <c r="C31" s="17">
        <v>0</v>
      </c>
      <c r="D31" s="17">
        <v>0</v>
      </c>
      <c r="E31" s="17">
        <v>13981</v>
      </c>
      <c r="F31" s="17">
        <v>0</v>
      </c>
      <c r="G31" s="17">
        <v>0</v>
      </c>
      <c r="H31" s="17">
        <v>0</v>
      </c>
      <c r="I31" s="17">
        <v>0</v>
      </c>
      <c r="J31" s="17">
        <v>0</v>
      </c>
      <c r="K31" s="17">
        <v>0</v>
      </c>
      <c r="L31" s="17">
        <v>0</v>
      </c>
      <c r="M31" s="17">
        <v>0</v>
      </c>
      <c r="N31" s="17">
        <v>0</v>
      </c>
      <c r="O31" s="18">
        <f t="shared" si="0"/>
        <v>13981</v>
      </c>
      <c r="Q31" s="257"/>
    </row>
    <row r="32" spans="1:17" ht="15" customHeight="1" x14ac:dyDescent="0.2">
      <c r="A32" s="879"/>
      <c r="B32" s="19" t="s">
        <v>143</v>
      </c>
      <c r="C32" s="17">
        <v>0</v>
      </c>
      <c r="D32" s="17">
        <v>0</v>
      </c>
      <c r="E32" s="17">
        <v>0</v>
      </c>
      <c r="F32" s="17">
        <v>0</v>
      </c>
      <c r="G32" s="17">
        <v>0</v>
      </c>
      <c r="H32" s="17">
        <v>0</v>
      </c>
      <c r="I32" s="17">
        <v>0</v>
      </c>
      <c r="J32" s="17">
        <v>0</v>
      </c>
      <c r="K32" s="17">
        <v>0</v>
      </c>
      <c r="L32" s="17">
        <v>0</v>
      </c>
      <c r="M32" s="17">
        <v>0</v>
      </c>
      <c r="N32" s="17">
        <v>0</v>
      </c>
      <c r="O32" s="18">
        <f t="shared" si="0"/>
        <v>0</v>
      </c>
      <c r="Q32" s="257"/>
    </row>
    <row r="33" spans="1:16" ht="15" customHeight="1" x14ac:dyDescent="0.2">
      <c r="A33" s="879"/>
      <c r="B33" s="21" t="s">
        <v>142</v>
      </c>
      <c r="C33" s="17">
        <v>0</v>
      </c>
      <c r="D33" s="17">
        <v>0</v>
      </c>
      <c r="E33" s="17">
        <v>0</v>
      </c>
      <c r="F33" s="17">
        <v>0</v>
      </c>
      <c r="G33" s="17">
        <v>0</v>
      </c>
      <c r="H33" s="17">
        <v>0</v>
      </c>
      <c r="I33" s="17">
        <v>0</v>
      </c>
      <c r="J33" s="17">
        <v>0</v>
      </c>
      <c r="K33" s="17">
        <v>0</v>
      </c>
      <c r="L33" s="17">
        <v>0</v>
      </c>
      <c r="M33" s="17">
        <v>0</v>
      </c>
      <c r="N33" s="17">
        <v>0</v>
      </c>
      <c r="O33" s="18">
        <f t="shared" si="0"/>
        <v>0</v>
      </c>
    </row>
    <row r="34" spans="1:16" ht="15" hidden="1" customHeight="1" x14ac:dyDescent="0.2">
      <c r="A34" s="880"/>
      <c r="B34" s="19" t="s">
        <v>226</v>
      </c>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865" t="s">
        <v>144</v>
      </c>
      <c r="B35" s="866"/>
      <c r="C35" s="17">
        <v>0</v>
      </c>
      <c r="D35" s="17">
        <v>0</v>
      </c>
      <c r="E35" s="17">
        <v>0</v>
      </c>
      <c r="F35" s="17">
        <v>0</v>
      </c>
      <c r="G35" s="17">
        <v>0</v>
      </c>
      <c r="H35" s="17">
        <v>0</v>
      </c>
      <c r="I35" s="17">
        <v>0</v>
      </c>
      <c r="J35" s="17">
        <v>0</v>
      </c>
      <c r="K35" s="17">
        <v>0</v>
      </c>
      <c r="L35" s="17">
        <v>0</v>
      </c>
      <c r="M35" s="17">
        <v>0</v>
      </c>
      <c r="N35" s="17">
        <v>0</v>
      </c>
      <c r="O35" s="18">
        <f t="shared" si="0"/>
        <v>0</v>
      </c>
    </row>
    <row r="36" spans="1:16" ht="15" customHeight="1" x14ac:dyDescent="0.2">
      <c r="A36" s="865" t="s">
        <v>145</v>
      </c>
      <c r="B36" s="866"/>
      <c r="C36" s="17">
        <v>0</v>
      </c>
      <c r="D36" s="17">
        <v>216</v>
      </c>
      <c r="E36" s="17">
        <v>0</v>
      </c>
      <c r="F36" s="17">
        <v>0</v>
      </c>
      <c r="G36" s="17">
        <v>0</v>
      </c>
      <c r="H36" s="17">
        <v>0</v>
      </c>
      <c r="I36" s="17">
        <v>0</v>
      </c>
      <c r="J36" s="17">
        <v>216</v>
      </c>
      <c r="K36" s="17">
        <v>0</v>
      </c>
      <c r="L36" s="17">
        <v>0</v>
      </c>
      <c r="M36" s="17">
        <v>0</v>
      </c>
      <c r="N36" s="17">
        <v>0</v>
      </c>
      <c r="O36" s="18">
        <f t="shared" si="0"/>
        <v>432</v>
      </c>
    </row>
    <row r="37" spans="1:16" ht="15" customHeight="1" x14ac:dyDescent="0.2">
      <c r="A37" s="865" t="s">
        <v>146</v>
      </c>
      <c r="B37" s="866"/>
      <c r="C37" s="17">
        <v>0</v>
      </c>
      <c r="D37" s="17">
        <v>2352</v>
      </c>
      <c r="E37" s="17">
        <v>0</v>
      </c>
      <c r="F37" s="17">
        <v>0</v>
      </c>
      <c r="G37" s="17">
        <v>0</v>
      </c>
      <c r="H37" s="17">
        <v>0</v>
      </c>
      <c r="I37" s="17">
        <v>0</v>
      </c>
      <c r="J37" s="17">
        <v>2424</v>
      </c>
      <c r="K37" s="17">
        <v>0</v>
      </c>
      <c r="L37" s="17">
        <v>0</v>
      </c>
      <c r="M37" s="17">
        <v>0</v>
      </c>
      <c r="N37" s="17">
        <v>0</v>
      </c>
      <c r="O37" s="18">
        <f t="shared" si="0"/>
        <v>4776</v>
      </c>
    </row>
    <row r="38" spans="1:16" ht="15" customHeight="1" x14ac:dyDescent="0.2">
      <c r="A38" s="22"/>
      <c r="B38" s="23" t="s">
        <v>147</v>
      </c>
      <c r="C38" s="24">
        <f t="shared" ref="C38:N38" si="1">SUM(C9:C37)</f>
        <v>44940</v>
      </c>
      <c r="D38" s="24">
        <f t="shared" si="1"/>
        <v>48364</v>
      </c>
      <c r="E38" s="24">
        <f t="shared" si="1"/>
        <v>59777</v>
      </c>
      <c r="F38" s="24">
        <f t="shared" si="1"/>
        <v>45796</v>
      </c>
      <c r="G38" s="24">
        <f t="shared" si="1"/>
        <v>45880</v>
      </c>
      <c r="H38" s="24">
        <f t="shared" si="1"/>
        <v>45880</v>
      </c>
      <c r="I38" s="24">
        <f t="shared" si="1"/>
        <v>45880</v>
      </c>
      <c r="J38" s="24">
        <f t="shared" si="1"/>
        <v>56308</v>
      </c>
      <c r="K38" s="24">
        <f t="shared" si="1"/>
        <v>46760</v>
      </c>
      <c r="L38" s="24">
        <f t="shared" si="1"/>
        <v>46760</v>
      </c>
      <c r="M38" s="24">
        <f t="shared" si="1"/>
        <v>46760</v>
      </c>
      <c r="N38" s="24">
        <f t="shared" si="1"/>
        <v>46760</v>
      </c>
      <c r="O38" s="25">
        <f>SUM(C38:N38)</f>
        <v>579865</v>
      </c>
    </row>
    <row r="39" spans="1:16" ht="15" customHeight="1" x14ac:dyDescent="0.2">
      <c r="A39" s="853" t="s">
        <v>148</v>
      </c>
      <c r="B39" s="27" t="s">
        <v>149</v>
      </c>
      <c r="C39" s="147">
        <v>700</v>
      </c>
      <c r="D39" s="147">
        <v>0</v>
      </c>
      <c r="E39" s="147">
        <v>0</v>
      </c>
      <c r="F39" s="147">
        <v>0</v>
      </c>
      <c r="G39" s="147">
        <v>0</v>
      </c>
      <c r="H39" s="147">
        <v>0</v>
      </c>
      <c r="I39" s="147">
        <v>0</v>
      </c>
      <c r="J39" s="147">
        <v>0</v>
      </c>
      <c r="K39" s="147">
        <v>2000</v>
      </c>
      <c r="L39" s="147">
        <v>1410</v>
      </c>
      <c r="M39" s="147">
        <v>1410</v>
      </c>
      <c r="N39" s="147">
        <v>1475</v>
      </c>
      <c r="O39" s="18">
        <f>SUM(C39:N39)</f>
        <v>6995</v>
      </c>
      <c r="P39" s="29"/>
    </row>
    <row r="40" spans="1:16" ht="15" x14ac:dyDescent="0.2">
      <c r="A40" s="854"/>
      <c r="B40" s="27" t="s">
        <v>150</v>
      </c>
      <c r="C40" s="147">
        <v>0</v>
      </c>
      <c r="D40" s="147">
        <v>0</v>
      </c>
      <c r="E40" s="147">
        <v>0</v>
      </c>
      <c r="F40" s="147">
        <v>0</v>
      </c>
      <c r="G40" s="147">
        <v>0</v>
      </c>
      <c r="H40" s="147">
        <v>0</v>
      </c>
      <c r="I40" s="147">
        <v>0</v>
      </c>
      <c r="J40" s="147">
        <v>0</v>
      </c>
      <c r="K40" s="147">
        <v>0</v>
      </c>
      <c r="L40" s="147">
        <v>0</v>
      </c>
      <c r="M40" s="147">
        <v>0</v>
      </c>
      <c r="N40" s="147">
        <v>0</v>
      </c>
      <c r="O40" s="18">
        <f>SUM(C40:N40)</f>
        <v>0</v>
      </c>
    </row>
    <row r="41" spans="1:16" ht="15" x14ac:dyDescent="0.2">
      <c r="A41" s="854"/>
      <c r="B41" s="27" t="s">
        <v>151</v>
      </c>
      <c r="C41" s="147">
        <v>30</v>
      </c>
      <c r="D41" s="147">
        <v>30</v>
      </c>
      <c r="E41" s="147">
        <v>30</v>
      </c>
      <c r="F41" s="147">
        <v>30</v>
      </c>
      <c r="G41" s="147">
        <v>30</v>
      </c>
      <c r="H41" s="147">
        <v>30</v>
      </c>
      <c r="I41" s="147">
        <v>30</v>
      </c>
      <c r="J41" s="147">
        <v>30</v>
      </c>
      <c r="K41" s="147">
        <v>30</v>
      </c>
      <c r="L41" s="147">
        <v>30</v>
      </c>
      <c r="M41" s="147">
        <v>30</v>
      </c>
      <c r="N41" s="147">
        <v>30</v>
      </c>
      <c r="O41" s="18">
        <f t="shared" ref="O41:O52" si="2">SUM(C41:N41)</f>
        <v>360</v>
      </c>
    </row>
    <row r="42" spans="1:16" ht="15" x14ac:dyDescent="0.2">
      <c r="A42" s="854"/>
      <c r="B42" s="27" t="s">
        <v>152</v>
      </c>
      <c r="C42" s="147">
        <v>0</v>
      </c>
      <c r="D42" s="147">
        <v>0</v>
      </c>
      <c r="E42" s="147">
        <v>0</v>
      </c>
      <c r="F42" s="147">
        <v>0</v>
      </c>
      <c r="G42" s="147">
        <v>0</v>
      </c>
      <c r="H42" s="147">
        <v>0</v>
      </c>
      <c r="I42" s="147">
        <v>0</v>
      </c>
      <c r="J42" s="147">
        <v>0</v>
      </c>
      <c r="K42" s="147">
        <v>0</v>
      </c>
      <c r="L42" s="147">
        <v>0</v>
      </c>
      <c r="M42" s="147">
        <v>0</v>
      </c>
      <c r="N42" s="147">
        <v>0</v>
      </c>
      <c r="O42" s="18">
        <f t="shared" si="2"/>
        <v>0</v>
      </c>
    </row>
    <row r="43" spans="1:16" ht="15" x14ac:dyDescent="0.2">
      <c r="A43" s="854"/>
      <c r="B43" s="27" t="s">
        <v>153</v>
      </c>
      <c r="C43" s="147">
        <v>250</v>
      </c>
      <c r="D43" s="147">
        <v>250</v>
      </c>
      <c r="E43" s="147">
        <v>250</v>
      </c>
      <c r="F43" s="147">
        <v>250</v>
      </c>
      <c r="G43" s="147">
        <v>250</v>
      </c>
      <c r="H43" s="147">
        <v>250</v>
      </c>
      <c r="I43" s="147">
        <v>250</v>
      </c>
      <c r="J43" s="147">
        <v>250</v>
      </c>
      <c r="K43" s="147">
        <v>250</v>
      </c>
      <c r="L43" s="147">
        <v>250</v>
      </c>
      <c r="M43" s="147">
        <v>250</v>
      </c>
      <c r="N43" s="147">
        <v>250</v>
      </c>
      <c r="O43" s="18">
        <f t="shared" si="2"/>
        <v>3000</v>
      </c>
    </row>
    <row r="44" spans="1:16" ht="15" x14ac:dyDescent="0.2">
      <c r="A44" s="854"/>
      <c r="B44" s="27" t="s">
        <v>154</v>
      </c>
      <c r="C44" s="147">
        <v>14000</v>
      </c>
      <c r="D44" s="147">
        <v>14000</v>
      </c>
      <c r="E44" s="147">
        <v>14000</v>
      </c>
      <c r="F44" s="147">
        <v>14000</v>
      </c>
      <c r="G44" s="147">
        <v>14000</v>
      </c>
      <c r="H44" s="147">
        <v>14000</v>
      </c>
      <c r="I44" s="147">
        <v>14000</v>
      </c>
      <c r="J44" s="147">
        <v>14000</v>
      </c>
      <c r="K44" s="147">
        <v>14000</v>
      </c>
      <c r="L44" s="147">
        <v>14000</v>
      </c>
      <c r="M44" s="147">
        <v>14000</v>
      </c>
      <c r="N44" s="147">
        <v>14000</v>
      </c>
      <c r="O44" s="18">
        <f t="shared" si="2"/>
        <v>168000</v>
      </c>
    </row>
    <row r="45" spans="1:16" ht="15" x14ac:dyDescent="0.2">
      <c r="A45" s="854"/>
      <c r="B45" s="27" t="s">
        <v>155</v>
      </c>
      <c r="C45" s="147">
        <v>200</v>
      </c>
      <c r="D45" s="147">
        <v>200</v>
      </c>
      <c r="E45" s="147">
        <v>200</v>
      </c>
      <c r="F45" s="147">
        <v>200</v>
      </c>
      <c r="G45" s="147">
        <v>200</v>
      </c>
      <c r="H45" s="147">
        <v>200</v>
      </c>
      <c r="I45" s="147">
        <v>200</v>
      </c>
      <c r="J45" s="147">
        <v>200</v>
      </c>
      <c r="K45" s="147">
        <v>200</v>
      </c>
      <c r="L45" s="147">
        <v>200</v>
      </c>
      <c r="M45" s="147">
        <v>200</v>
      </c>
      <c r="N45" s="147">
        <v>300</v>
      </c>
      <c r="O45" s="18">
        <f t="shared" si="2"/>
        <v>2500</v>
      </c>
    </row>
    <row r="46" spans="1:16" ht="15" x14ac:dyDescent="0.2">
      <c r="A46" s="854"/>
      <c r="B46" s="27" t="s">
        <v>513</v>
      </c>
      <c r="C46" s="147">
        <v>298</v>
      </c>
      <c r="D46" s="147">
        <v>298</v>
      </c>
      <c r="E46" s="147">
        <v>298</v>
      </c>
      <c r="F46" s="147">
        <v>298</v>
      </c>
      <c r="G46" s="147">
        <v>298</v>
      </c>
      <c r="H46" s="147">
        <v>298</v>
      </c>
      <c r="I46" s="147">
        <v>298</v>
      </c>
      <c r="J46" s="147">
        <v>298</v>
      </c>
      <c r="K46" s="147">
        <v>298</v>
      </c>
      <c r="L46" s="147">
        <v>298</v>
      </c>
      <c r="M46" s="147">
        <v>298</v>
      </c>
      <c r="N46" s="147">
        <v>298</v>
      </c>
      <c r="O46" s="18">
        <f t="shared" si="2"/>
        <v>3576</v>
      </c>
    </row>
    <row r="47" spans="1:16" ht="15" x14ac:dyDescent="0.2">
      <c r="A47" s="854"/>
      <c r="B47" s="27" t="s">
        <v>157</v>
      </c>
      <c r="C47" s="147">
        <v>0</v>
      </c>
      <c r="D47" s="147">
        <v>0</v>
      </c>
      <c r="E47" s="147">
        <v>0</v>
      </c>
      <c r="F47" s="147">
        <v>0</v>
      </c>
      <c r="G47" s="147">
        <v>0</v>
      </c>
      <c r="H47" s="147">
        <v>0</v>
      </c>
      <c r="I47" s="147">
        <v>0</v>
      </c>
      <c r="J47" s="147">
        <v>0</v>
      </c>
      <c r="K47" s="147">
        <v>0</v>
      </c>
      <c r="L47" s="147">
        <v>0</v>
      </c>
      <c r="M47" s="147">
        <v>0</v>
      </c>
      <c r="N47" s="147">
        <v>0</v>
      </c>
      <c r="O47" s="18">
        <f t="shared" si="2"/>
        <v>0</v>
      </c>
    </row>
    <row r="48" spans="1:16" ht="28.5" customHeight="1" x14ac:dyDescent="0.2">
      <c r="A48" s="855"/>
      <c r="B48" s="30" t="s">
        <v>294</v>
      </c>
      <c r="C48" s="147">
        <v>975</v>
      </c>
      <c r="D48" s="147">
        <v>975</v>
      </c>
      <c r="E48" s="147">
        <v>975</v>
      </c>
      <c r="F48" s="147">
        <v>975</v>
      </c>
      <c r="G48" s="147">
        <v>975</v>
      </c>
      <c r="H48" s="147">
        <v>975</v>
      </c>
      <c r="I48" s="147">
        <v>975</v>
      </c>
      <c r="J48" s="147">
        <v>975</v>
      </c>
      <c r="K48" s="147">
        <v>975</v>
      </c>
      <c r="L48" s="147">
        <v>975</v>
      </c>
      <c r="M48" s="147">
        <v>975</v>
      </c>
      <c r="N48" s="147">
        <v>975</v>
      </c>
      <c r="O48" s="31">
        <f t="shared" si="2"/>
        <v>11700</v>
      </c>
    </row>
    <row r="49" spans="1:17" ht="15" customHeight="1" x14ac:dyDescent="0.2">
      <c r="A49" s="855"/>
      <c r="B49" s="30" t="s">
        <v>514</v>
      </c>
      <c r="C49" s="147">
        <v>0</v>
      </c>
      <c r="D49" s="147">
        <v>0</v>
      </c>
      <c r="E49" s="147">
        <v>0</v>
      </c>
      <c r="F49" s="147">
        <v>0</v>
      </c>
      <c r="G49" s="147">
        <v>0</v>
      </c>
      <c r="H49" s="147">
        <v>0</v>
      </c>
      <c r="I49" s="147">
        <v>0</v>
      </c>
      <c r="J49" s="147">
        <v>0</v>
      </c>
      <c r="K49" s="147">
        <v>0</v>
      </c>
      <c r="L49" s="147">
        <v>0</v>
      </c>
      <c r="M49" s="147">
        <v>0</v>
      </c>
      <c r="N49" s="147">
        <v>0</v>
      </c>
      <c r="O49" s="31">
        <f t="shared" si="2"/>
        <v>0</v>
      </c>
    </row>
    <row r="50" spans="1:17" ht="26.25" customHeight="1" x14ac:dyDescent="0.2">
      <c r="A50" s="856"/>
      <c r="B50" s="262" t="s">
        <v>515</v>
      </c>
      <c r="C50" s="147">
        <v>1296</v>
      </c>
      <c r="D50" s="147">
        <v>500</v>
      </c>
      <c r="E50" s="147">
        <v>500</v>
      </c>
      <c r="F50" s="147">
        <v>500</v>
      </c>
      <c r="G50" s="147">
        <v>500</v>
      </c>
      <c r="H50" s="147">
        <v>500</v>
      </c>
      <c r="I50" s="147">
        <v>500</v>
      </c>
      <c r="J50" s="147">
        <v>500</v>
      </c>
      <c r="K50" s="147">
        <v>500</v>
      </c>
      <c r="L50" s="147">
        <v>500</v>
      </c>
      <c r="M50" s="147">
        <v>0</v>
      </c>
      <c r="N50" s="147">
        <v>0</v>
      </c>
      <c r="O50" s="31">
        <f t="shared" si="2"/>
        <v>5796</v>
      </c>
    </row>
    <row r="51" spans="1:17" ht="15" x14ac:dyDescent="0.2">
      <c r="A51" s="857" t="s">
        <v>160</v>
      </c>
      <c r="B51" s="858"/>
      <c r="C51" s="33">
        <f t="shared" ref="C51:N51" si="3">SUM(C39:C50)</f>
        <v>17749</v>
      </c>
      <c r="D51" s="33">
        <f t="shared" si="3"/>
        <v>16253</v>
      </c>
      <c r="E51" s="33">
        <f t="shared" si="3"/>
        <v>16253</v>
      </c>
      <c r="F51" s="33">
        <f t="shared" si="3"/>
        <v>16253</v>
      </c>
      <c r="G51" s="33">
        <f t="shared" si="3"/>
        <v>16253</v>
      </c>
      <c r="H51" s="33">
        <f t="shared" si="3"/>
        <v>16253</v>
      </c>
      <c r="I51" s="33">
        <f t="shared" si="3"/>
        <v>16253</v>
      </c>
      <c r="J51" s="33">
        <f t="shared" si="3"/>
        <v>16253</v>
      </c>
      <c r="K51" s="33">
        <f t="shared" si="3"/>
        <v>18253</v>
      </c>
      <c r="L51" s="33">
        <f t="shared" si="3"/>
        <v>17663</v>
      </c>
      <c r="M51" s="33">
        <f t="shared" si="3"/>
        <v>17163</v>
      </c>
      <c r="N51" s="33">
        <f t="shared" si="3"/>
        <v>17328</v>
      </c>
      <c r="O51" s="34">
        <f t="shared" si="2"/>
        <v>201927</v>
      </c>
    </row>
    <row r="52" spans="1:17" ht="15.75" thickBot="1" x14ac:dyDescent="0.25">
      <c r="A52" s="859" t="s">
        <v>161</v>
      </c>
      <c r="B52" s="860"/>
      <c r="C52" s="35">
        <f t="shared" ref="C52:N52" si="4">C38-C51</f>
        <v>27191</v>
      </c>
      <c r="D52" s="35">
        <f t="shared" si="4"/>
        <v>32111</v>
      </c>
      <c r="E52" s="35">
        <f t="shared" si="4"/>
        <v>43524</v>
      </c>
      <c r="F52" s="35">
        <f t="shared" si="4"/>
        <v>29543</v>
      </c>
      <c r="G52" s="35">
        <f t="shared" si="4"/>
        <v>29627</v>
      </c>
      <c r="H52" s="35">
        <f t="shared" si="4"/>
        <v>29627</v>
      </c>
      <c r="I52" s="35">
        <f t="shared" si="4"/>
        <v>29627</v>
      </c>
      <c r="J52" s="35">
        <f t="shared" si="4"/>
        <v>40055</v>
      </c>
      <c r="K52" s="35">
        <f t="shared" si="4"/>
        <v>28507</v>
      </c>
      <c r="L52" s="35">
        <f t="shared" si="4"/>
        <v>29097</v>
      </c>
      <c r="M52" s="35">
        <f t="shared" si="4"/>
        <v>29597</v>
      </c>
      <c r="N52" s="35">
        <f t="shared" si="4"/>
        <v>29432</v>
      </c>
      <c r="O52" s="36">
        <f t="shared" si="2"/>
        <v>377938</v>
      </c>
      <c r="Q52" s="16">
        <f>31253+27553+9080+29713+29833+31534+32734+32734+8757+16971+21487*3</f>
        <v>314623</v>
      </c>
    </row>
    <row r="53" spans="1:17" x14ac:dyDescent="0.2">
      <c r="J53" s="128">
        <f>+J38-SUM(J22:J37)</f>
        <v>46760</v>
      </c>
      <c r="Q53" s="38"/>
    </row>
    <row r="54" spans="1:17" ht="13.5" thickBot="1" x14ac:dyDescent="0.25">
      <c r="J54" s="38">
        <f>+J53-J51</f>
        <v>30507</v>
      </c>
    </row>
    <row r="55" spans="1:17" ht="13.5" thickBot="1" x14ac:dyDescent="0.25">
      <c r="B55" s="789" t="s">
        <v>162</v>
      </c>
      <c r="C55" s="861"/>
      <c r="D55" s="861"/>
      <c r="E55" s="861"/>
      <c r="F55" s="862"/>
      <c r="G55" s="863">
        <f>O38</f>
        <v>579865</v>
      </c>
      <c r="H55" s="864"/>
    </row>
    <row r="56" spans="1:17" ht="13.5" thickBot="1" x14ac:dyDescent="0.25"/>
    <row r="57" spans="1:17" x14ac:dyDescent="0.2">
      <c r="B57" s="830" t="s">
        <v>163</v>
      </c>
      <c r="C57" s="833" t="s">
        <v>164</v>
      </c>
      <c r="D57" s="836" t="s">
        <v>425</v>
      </c>
      <c r="E57" s="837"/>
      <c r="F57" s="838"/>
      <c r="G57" s="839">
        <v>40000</v>
      </c>
      <c r="H57" s="840"/>
    </row>
    <row r="58" spans="1:17" x14ac:dyDescent="0.2">
      <c r="B58" s="831"/>
      <c r="C58" s="834"/>
      <c r="D58" s="841" t="s">
        <v>166</v>
      </c>
      <c r="E58" s="842"/>
      <c r="F58" s="843"/>
      <c r="G58" s="844">
        <f>+O45</f>
        <v>2500</v>
      </c>
      <c r="H58" s="845"/>
      <c r="I58" s="39"/>
      <c r="J58" s="846"/>
      <c r="K58" s="846"/>
      <c r="L58" s="846"/>
      <c r="M58" s="847"/>
      <c r="N58" s="847"/>
      <c r="O58" s="847"/>
    </row>
    <row r="59" spans="1:17" x14ac:dyDescent="0.2">
      <c r="B59" s="886"/>
      <c r="C59" s="887"/>
      <c r="D59" s="40" t="s">
        <v>516</v>
      </c>
      <c r="E59" s="41"/>
      <c r="F59" s="42"/>
      <c r="G59" s="43"/>
      <c r="H59" s="44">
        <f>IF(O18&gt;15000,15000,O18)</f>
        <v>0</v>
      </c>
      <c r="I59" s="39"/>
      <c r="J59" s="45"/>
      <c r="K59" s="45"/>
      <c r="L59" s="45"/>
      <c r="M59" s="46"/>
      <c r="N59" s="46"/>
      <c r="O59" s="46"/>
    </row>
    <row r="60" spans="1:17" ht="13.5" thickBot="1" x14ac:dyDescent="0.25">
      <c r="B60" s="832"/>
      <c r="C60" s="835"/>
      <c r="D60" s="848" t="s">
        <v>517</v>
      </c>
      <c r="E60" s="849"/>
      <c r="F60" s="850"/>
      <c r="G60" s="851">
        <v>0</v>
      </c>
      <c r="H60" s="852"/>
      <c r="J60" s="47"/>
      <c r="K60" s="47"/>
      <c r="L60" s="47"/>
      <c r="M60" s="47"/>
      <c r="N60" s="47"/>
      <c r="O60" s="47"/>
    </row>
    <row r="61" spans="1:17" ht="13.5" thickBot="1" x14ac:dyDescent="0.25">
      <c r="B61" s="48"/>
      <c r="J61" s="47"/>
      <c r="K61" s="47"/>
      <c r="L61" s="47"/>
      <c r="M61" s="47"/>
      <c r="N61" s="47"/>
      <c r="O61" s="47"/>
    </row>
    <row r="62" spans="1:17" ht="13.5" thickBot="1" x14ac:dyDescent="0.25">
      <c r="B62" s="789" t="s">
        <v>168</v>
      </c>
      <c r="C62" s="790"/>
      <c r="D62" s="790"/>
      <c r="E62" s="790"/>
      <c r="F62" s="791"/>
      <c r="G62" s="825">
        <f>+G55-SUM(G57:H60)</f>
        <v>537365</v>
      </c>
      <c r="H62" s="826"/>
      <c r="J62" s="827" t="s">
        <v>169</v>
      </c>
      <c r="K62" s="828"/>
      <c r="L62" s="828"/>
      <c r="M62" s="828"/>
      <c r="N62" s="828"/>
      <c r="O62" s="829"/>
    </row>
    <row r="63" spans="1:17" ht="13.5" thickBot="1" x14ac:dyDescent="0.25">
      <c r="B63" s="49"/>
      <c r="C63" s="50"/>
      <c r="D63" s="50"/>
      <c r="E63" s="50"/>
      <c r="F63" s="50"/>
      <c r="G63" s="45"/>
      <c r="H63" s="50"/>
      <c r="J63" s="129"/>
      <c r="K63" s="130"/>
      <c r="L63" s="130"/>
      <c r="M63" s="130"/>
      <c r="N63" s="130"/>
      <c r="O63" s="131"/>
    </row>
    <row r="64" spans="1:17" ht="13.5" thickBot="1" x14ac:dyDescent="0.25">
      <c r="B64" s="789" t="s">
        <v>170</v>
      </c>
      <c r="C64" s="790"/>
      <c r="D64" s="790"/>
      <c r="E64" s="790"/>
      <c r="F64" s="791"/>
      <c r="G64" s="805"/>
      <c r="H64" s="791"/>
      <c r="J64" s="129"/>
      <c r="K64" s="130"/>
      <c r="L64" s="130"/>
      <c r="M64" s="130"/>
      <c r="N64" s="130"/>
      <c r="O64" s="131"/>
    </row>
    <row r="65" spans="2:18" ht="12.75" customHeight="1" x14ac:dyDescent="0.2">
      <c r="B65" s="57" t="s">
        <v>171</v>
      </c>
      <c r="C65" s="806" t="s">
        <v>172</v>
      </c>
      <c r="D65" s="807"/>
      <c r="E65" s="807"/>
      <c r="F65" s="808"/>
      <c r="G65" s="809">
        <v>0</v>
      </c>
      <c r="H65" s="809"/>
      <c r="I65" s="58"/>
      <c r="J65" s="810" t="s">
        <v>173</v>
      </c>
      <c r="K65" s="811"/>
      <c r="L65" s="811"/>
      <c r="M65" s="811"/>
      <c r="N65" s="811"/>
      <c r="O65" s="812"/>
      <c r="Q65" s="59"/>
      <c r="R65" s="59"/>
    </row>
    <row r="66" spans="2:18" ht="13.5" thickBot="1" x14ac:dyDescent="0.25">
      <c r="D66" s="37"/>
      <c r="I66" s="58"/>
      <c r="J66" s="60" t="s">
        <v>254</v>
      </c>
      <c r="K66" s="132"/>
      <c r="L66" s="132"/>
      <c r="M66" s="133"/>
      <c r="N66" s="133"/>
      <c r="O66" s="134"/>
      <c r="Q66" s="59"/>
      <c r="R66" s="59"/>
    </row>
    <row r="67" spans="2:18" ht="13.5" thickBot="1" x14ac:dyDescent="0.25">
      <c r="B67" s="789" t="s">
        <v>175</v>
      </c>
      <c r="C67" s="790"/>
      <c r="D67" s="790"/>
      <c r="E67" s="790"/>
      <c r="F67" s="791"/>
      <c r="G67" s="805">
        <f>+G62-G65</f>
        <v>537365</v>
      </c>
      <c r="H67" s="791"/>
      <c r="I67" s="63"/>
      <c r="J67" s="64"/>
      <c r="K67" s="39"/>
      <c r="L67" s="39"/>
      <c r="M67" s="39"/>
      <c r="N67" s="39"/>
      <c r="O67" s="65"/>
      <c r="Q67" s="59"/>
      <c r="R67" s="59"/>
    </row>
    <row r="68" spans="2:18" ht="12.75" customHeight="1" x14ac:dyDescent="0.2">
      <c r="B68" s="48"/>
      <c r="C68" s="48"/>
      <c r="I68" s="63"/>
      <c r="J68" s="64"/>
      <c r="K68" s="39"/>
      <c r="L68" s="39"/>
      <c r="M68" s="39"/>
      <c r="N68" s="39"/>
      <c r="O68" s="65"/>
      <c r="Q68" s="59"/>
      <c r="R68" s="59"/>
    </row>
    <row r="69" spans="2:18" x14ac:dyDescent="0.2">
      <c r="B69" s="66" t="s">
        <v>176</v>
      </c>
      <c r="C69" s="48"/>
      <c r="I69" s="63"/>
      <c r="J69" s="67"/>
      <c r="K69" s="68"/>
      <c r="L69" s="68"/>
      <c r="M69" s="68"/>
      <c r="N69" s="68"/>
      <c r="O69" s="69"/>
      <c r="Q69" s="59"/>
      <c r="R69" s="59"/>
    </row>
    <row r="70" spans="2:18" ht="26.25" customHeight="1" thickBot="1" x14ac:dyDescent="0.25">
      <c r="B70" s="66"/>
      <c r="C70" s="48"/>
      <c r="G70" s="70" t="s">
        <v>177</v>
      </c>
      <c r="H70" s="70" t="s">
        <v>178</v>
      </c>
      <c r="I70" s="63"/>
      <c r="J70" s="810" t="s">
        <v>179</v>
      </c>
      <c r="K70" s="811"/>
      <c r="L70" s="71"/>
      <c r="M70" s="71"/>
      <c r="N70" s="71"/>
      <c r="O70" s="158" t="s">
        <v>267</v>
      </c>
      <c r="Q70" s="59"/>
      <c r="R70" s="59"/>
    </row>
    <row r="71" spans="2:18" ht="12.75" customHeight="1" x14ac:dyDescent="0.2">
      <c r="B71" s="802" t="s">
        <v>180</v>
      </c>
      <c r="C71" s="821" t="s">
        <v>181</v>
      </c>
      <c r="D71" s="823" t="s">
        <v>182</v>
      </c>
      <c r="E71" s="824"/>
      <c r="F71" s="824"/>
      <c r="G71" s="73">
        <f>+O44</f>
        <v>168000</v>
      </c>
      <c r="H71" s="74">
        <f t="shared" ref="H71:H79" si="5">+G71</f>
        <v>168000</v>
      </c>
      <c r="I71" s="63"/>
      <c r="J71" s="75" t="s">
        <v>183</v>
      </c>
      <c r="K71" s="58"/>
      <c r="L71" s="58"/>
      <c r="M71" s="58"/>
      <c r="N71" s="58"/>
      <c r="O71" s="76"/>
      <c r="Q71" s="59"/>
      <c r="R71" s="59"/>
    </row>
    <row r="72" spans="2:18" ht="12.75" customHeight="1" x14ac:dyDescent="0.2">
      <c r="B72" s="803"/>
      <c r="C72" s="822"/>
      <c r="D72" s="782" t="s">
        <v>184</v>
      </c>
      <c r="E72" s="783"/>
      <c r="F72" s="783"/>
      <c r="G72" s="77">
        <f>+O48</f>
        <v>11700</v>
      </c>
      <c r="H72" s="78">
        <f t="shared" si="5"/>
        <v>11700</v>
      </c>
      <c r="I72" s="63"/>
      <c r="J72" s="79"/>
      <c r="K72" s="68"/>
      <c r="L72" s="68"/>
      <c r="M72" s="68"/>
      <c r="N72" s="68"/>
      <c r="O72" s="69"/>
      <c r="Q72" s="59"/>
      <c r="R72" s="59"/>
    </row>
    <row r="73" spans="2:18" ht="12.75" customHeight="1" x14ac:dyDescent="0.2">
      <c r="B73" s="803"/>
      <c r="C73" s="822"/>
      <c r="D73" s="819" t="s">
        <v>185</v>
      </c>
      <c r="E73" s="820"/>
      <c r="F73" s="820"/>
      <c r="G73" s="80">
        <f>O41</f>
        <v>360</v>
      </c>
      <c r="H73" s="78">
        <f t="shared" si="5"/>
        <v>360</v>
      </c>
      <c r="I73" s="63"/>
      <c r="J73" s="82" t="s">
        <v>187</v>
      </c>
      <c r="K73" s="71"/>
      <c r="L73" s="71"/>
      <c r="M73" s="71"/>
      <c r="N73" s="71"/>
      <c r="O73" s="72"/>
    </row>
    <row r="74" spans="2:18" x14ac:dyDescent="0.2">
      <c r="B74" s="803"/>
      <c r="C74" s="822"/>
      <c r="D74" s="782" t="s">
        <v>186</v>
      </c>
      <c r="E74" s="783"/>
      <c r="F74" s="783"/>
      <c r="G74" s="81">
        <v>0</v>
      </c>
      <c r="H74" s="78">
        <f t="shared" si="5"/>
        <v>0</v>
      </c>
      <c r="I74" s="63"/>
      <c r="J74" s="75" t="s">
        <v>189</v>
      </c>
      <c r="K74" s="50"/>
      <c r="L74" s="50"/>
      <c r="M74" s="50"/>
      <c r="N74" s="50"/>
      <c r="O74" s="83">
        <f>O43</f>
        <v>3000</v>
      </c>
    </row>
    <row r="75" spans="2:18" ht="12.75" customHeight="1" x14ac:dyDescent="0.2">
      <c r="B75" s="803"/>
      <c r="C75" s="822"/>
      <c r="D75" s="784" t="s">
        <v>188</v>
      </c>
      <c r="E75" s="783"/>
      <c r="F75" s="783"/>
      <c r="G75" s="80">
        <v>0</v>
      </c>
      <c r="H75" s="78">
        <f t="shared" si="5"/>
        <v>0</v>
      </c>
      <c r="I75" s="63"/>
      <c r="J75" s="75"/>
      <c r="K75" s="39"/>
      <c r="L75" s="39"/>
      <c r="M75" s="39"/>
      <c r="N75" s="39"/>
      <c r="O75" s="65">
        <v>0</v>
      </c>
    </row>
    <row r="76" spans="2:18" ht="14.25" customHeight="1" x14ac:dyDescent="0.2">
      <c r="B76" s="803"/>
      <c r="C76" s="822"/>
      <c r="D76" s="782" t="s">
        <v>190</v>
      </c>
      <c r="E76" s="783"/>
      <c r="F76" s="783"/>
      <c r="G76" s="84">
        <v>0</v>
      </c>
      <c r="H76" s="78">
        <f t="shared" si="5"/>
        <v>0</v>
      </c>
      <c r="I76" s="63"/>
      <c r="J76" s="75"/>
      <c r="K76" s="39"/>
      <c r="L76" s="39"/>
      <c r="M76" s="39"/>
      <c r="N76" s="39"/>
      <c r="O76" s="65"/>
    </row>
    <row r="77" spans="2:18" x14ac:dyDescent="0.2">
      <c r="B77" s="803"/>
      <c r="C77" s="822"/>
      <c r="D77" s="782" t="s">
        <v>191</v>
      </c>
      <c r="E77" s="783"/>
      <c r="F77" s="783"/>
      <c r="G77" s="81">
        <v>0</v>
      </c>
      <c r="H77" s="78">
        <f t="shared" si="5"/>
        <v>0</v>
      </c>
      <c r="I77" s="58"/>
      <c r="J77" s="85"/>
      <c r="K77" s="68"/>
      <c r="L77" s="68"/>
      <c r="M77" s="50"/>
      <c r="N77" s="50"/>
      <c r="O77" s="83"/>
    </row>
    <row r="78" spans="2:18" x14ac:dyDescent="0.2">
      <c r="B78" s="803"/>
      <c r="C78" s="88" t="s">
        <v>192</v>
      </c>
      <c r="D78" s="813" t="s">
        <v>193</v>
      </c>
      <c r="E78" s="814"/>
      <c r="F78" s="814"/>
      <c r="G78" s="80">
        <v>0</v>
      </c>
      <c r="H78" s="78">
        <f t="shared" si="5"/>
        <v>0</v>
      </c>
      <c r="I78" s="58"/>
      <c r="J78" s="75"/>
      <c r="K78" s="39"/>
      <c r="L78" s="39"/>
      <c r="M78" s="39"/>
      <c r="N78" s="39"/>
      <c r="O78" s="65"/>
    </row>
    <row r="79" spans="2:18" ht="13.5" customHeight="1" thickBot="1" x14ac:dyDescent="0.25">
      <c r="B79" s="803"/>
      <c r="C79" s="88" t="s">
        <v>194</v>
      </c>
      <c r="D79" s="815" t="s">
        <v>195</v>
      </c>
      <c r="E79" s="815"/>
      <c r="F79" s="815"/>
      <c r="G79" s="89">
        <v>0</v>
      </c>
      <c r="H79" s="90">
        <f t="shared" si="5"/>
        <v>0</v>
      </c>
      <c r="I79" s="63"/>
      <c r="J79" s="75"/>
      <c r="K79" s="68"/>
      <c r="L79" s="68"/>
      <c r="M79" s="91"/>
      <c r="N79" s="91"/>
      <c r="O79" s="92"/>
    </row>
    <row r="80" spans="2:18" ht="13.5" thickBot="1" x14ac:dyDescent="0.25">
      <c r="B80" s="803"/>
      <c r="C80" s="93"/>
      <c r="D80" s="94"/>
      <c r="E80" s="816" t="s">
        <v>117</v>
      </c>
      <c r="F80" s="817"/>
      <c r="G80" s="95">
        <f>SUM(G71:G79)</f>
        <v>180060</v>
      </c>
      <c r="H80" s="96">
        <f>IF(SUM(G71:G77)&lt;150000,SUM(G71:G77),150000)+IF(+G78&lt;20000,+G78,20000)</f>
        <v>150000</v>
      </c>
      <c r="I80" s="63"/>
      <c r="J80" s="185"/>
      <c r="K80" s="141"/>
      <c r="L80" s="141"/>
      <c r="M80" s="142"/>
      <c r="N80" s="142"/>
      <c r="O80" s="143"/>
    </row>
    <row r="81" spans="2:13" ht="12.75" customHeight="1" x14ac:dyDescent="0.2">
      <c r="B81" s="803"/>
      <c r="C81" s="100" t="s">
        <v>196</v>
      </c>
      <c r="D81" s="782" t="s">
        <v>187</v>
      </c>
      <c r="E81" s="783"/>
      <c r="F81" s="818"/>
      <c r="G81" s="73">
        <f>+O43+O75</f>
        <v>3000</v>
      </c>
      <c r="H81" s="101">
        <f>+IF(+G81&lt;25000,+G81,25000)</f>
        <v>3000</v>
      </c>
      <c r="I81" s="87"/>
    </row>
    <row r="82" spans="2:13" x14ac:dyDescent="0.2">
      <c r="B82" s="803"/>
      <c r="C82" s="100" t="s">
        <v>197</v>
      </c>
      <c r="D82" s="784" t="s">
        <v>198</v>
      </c>
      <c r="E82" s="785"/>
      <c r="F82" s="786"/>
      <c r="G82" s="102"/>
      <c r="H82" s="103">
        <f>+IF(+G82&lt;40000,+G82,40000)</f>
        <v>0</v>
      </c>
      <c r="I82" s="63"/>
    </row>
    <row r="83" spans="2:13" x14ac:dyDescent="0.2">
      <c r="B83" s="803"/>
      <c r="C83" s="100" t="s">
        <v>199</v>
      </c>
      <c r="D83" s="784" t="s">
        <v>200</v>
      </c>
      <c r="E83" s="785"/>
      <c r="F83" s="786"/>
      <c r="G83" s="81"/>
      <c r="H83" s="104">
        <v>0</v>
      </c>
      <c r="I83" s="63"/>
      <c r="J83" s="106"/>
    </row>
    <row r="84" spans="2:13" x14ac:dyDescent="0.2">
      <c r="B84" s="803"/>
      <c r="C84" s="100" t="s">
        <v>201</v>
      </c>
      <c r="D84" s="784" t="s">
        <v>202</v>
      </c>
      <c r="E84" s="785"/>
      <c r="F84" s="786"/>
      <c r="G84" s="81"/>
      <c r="H84" s="104">
        <v>0</v>
      </c>
      <c r="I84" s="63"/>
    </row>
    <row r="85" spans="2:13" ht="13.5" thickBot="1" x14ac:dyDescent="0.25">
      <c r="B85" s="804"/>
      <c r="C85" s="100" t="s">
        <v>203</v>
      </c>
      <c r="D85" s="784" t="s">
        <v>204</v>
      </c>
      <c r="E85" s="785"/>
      <c r="F85" s="786"/>
      <c r="G85" s="102"/>
      <c r="H85" s="103">
        <f>+IF(+G85&lt;100000,+G85,10000)</f>
        <v>0</v>
      </c>
      <c r="I85" s="63"/>
    </row>
    <row r="86" spans="2:13" ht="13.5" thickBot="1" x14ac:dyDescent="0.25">
      <c r="B86" s="787" t="s">
        <v>205</v>
      </c>
      <c r="C86" s="788"/>
      <c r="D86" s="788"/>
      <c r="E86" s="788"/>
      <c r="F86" s="788"/>
      <c r="G86" s="107">
        <f>SUM(G81:G85)</f>
        <v>3000</v>
      </c>
      <c r="H86" s="108">
        <f>SUM(H80:H85)</f>
        <v>153000</v>
      </c>
    </row>
    <row r="87" spans="2:13" ht="13.5" thickBot="1" x14ac:dyDescent="0.25">
      <c r="J87" s="87"/>
      <c r="K87" s="87"/>
      <c r="L87" s="87"/>
      <c r="M87" s="87"/>
    </row>
    <row r="88" spans="2:13" ht="13.5" thickBot="1" x14ac:dyDescent="0.25">
      <c r="B88" s="789" t="s">
        <v>206</v>
      </c>
      <c r="C88" s="790"/>
      <c r="D88" s="790"/>
      <c r="E88" s="790"/>
      <c r="F88" s="791"/>
      <c r="G88" s="792">
        <f>+G67-H86</f>
        <v>384365</v>
      </c>
      <c r="H88" s="791"/>
      <c r="J88" s="105">
        <f>C38+D38+E38+F38</f>
        <v>198877</v>
      </c>
      <c r="K88" s="16" t="s">
        <v>235</v>
      </c>
      <c r="L88" s="87"/>
      <c r="M88" s="87"/>
    </row>
    <row r="89" spans="2:13" x14ac:dyDescent="0.2">
      <c r="B89" s="110"/>
      <c r="C89" s="105" t="s">
        <v>502</v>
      </c>
      <c r="F89" s="105"/>
      <c r="J89" s="105">
        <f>G38+H38+I38</f>
        <v>137640</v>
      </c>
      <c r="K89" s="16" t="s">
        <v>236</v>
      </c>
      <c r="L89" s="87"/>
      <c r="M89" s="87"/>
    </row>
    <row r="90" spans="2:13" x14ac:dyDescent="0.2">
      <c r="C90" s="793" t="s">
        <v>207</v>
      </c>
      <c r="D90" s="794"/>
      <c r="E90" s="111" t="s">
        <v>208</v>
      </c>
      <c r="F90" s="111" t="s">
        <v>209</v>
      </c>
      <c r="G90" s="111" t="s">
        <v>210</v>
      </c>
      <c r="H90" s="111" t="s">
        <v>211</v>
      </c>
      <c r="J90" s="213">
        <f>J38+K38+L38</f>
        <v>149828</v>
      </c>
      <c r="K90" s="47" t="s">
        <v>237</v>
      </c>
      <c r="L90" s="87"/>
      <c r="M90" s="87"/>
    </row>
    <row r="91" spans="2:13" x14ac:dyDescent="0.2">
      <c r="C91" s="795" t="str">
        <f>IF(I6="M","0          - 250000","0          -  250000")</f>
        <v>0          - 250000</v>
      </c>
      <c r="D91" s="796"/>
      <c r="E91" s="112">
        <v>0</v>
      </c>
      <c r="F91" s="113">
        <f>IF(I6="M",(IF(G88&lt;250000,G88,250000)),(IF(G88&lt;250000,G88,250000)))</f>
        <v>250000</v>
      </c>
      <c r="G91" s="113">
        <f>G88-F91</f>
        <v>134365</v>
      </c>
      <c r="H91" s="113">
        <f>E91*F91</f>
        <v>0</v>
      </c>
      <c r="J91" s="207">
        <f>M38+N38</f>
        <v>93520</v>
      </c>
      <c r="K91" s="1" t="s">
        <v>238</v>
      </c>
      <c r="L91" s="87"/>
      <c r="M91" s="87"/>
    </row>
    <row r="92" spans="2:13" x14ac:dyDescent="0.2">
      <c r="C92" s="795" t="str">
        <f>IF(I6="M","250001 - 500000","250001-500000")</f>
        <v>250001 - 500000</v>
      </c>
      <c r="D92" s="796"/>
      <c r="E92" s="112">
        <v>0.05</v>
      </c>
      <c r="F92" s="113">
        <f>IF(I6="M",(IF(G91&lt;250000,G91,250000)),(IF(G91&lt;250000,G91,250000)))</f>
        <v>134365</v>
      </c>
      <c r="G92" s="113">
        <f>G91-F92</f>
        <v>0</v>
      </c>
      <c r="H92" s="114">
        <f>ROUND(E92*F92,0.1)</f>
        <v>6718</v>
      </c>
      <c r="J92" s="115">
        <f>SUM(J88:J91)</f>
        <v>579865</v>
      </c>
      <c r="L92" s="87"/>
      <c r="M92" s="87"/>
    </row>
    <row r="93" spans="2:13" x14ac:dyDescent="0.2">
      <c r="C93" s="797" t="s">
        <v>212</v>
      </c>
      <c r="D93" s="798"/>
      <c r="E93" s="112">
        <v>0.2</v>
      </c>
      <c r="F93" s="113">
        <f>IF(G92&lt;500000,G92,500000)</f>
        <v>0</v>
      </c>
      <c r="G93" s="113">
        <f>G92-F93</f>
        <v>0</v>
      </c>
      <c r="H93" s="114">
        <f>ROUND(E93*F93,0.1)</f>
        <v>0</v>
      </c>
      <c r="J93" s="16">
        <f>+G88</f>
        <v>384365</v>
      </c>
      <c r="L93" s="87"/>
      <c r="M93" s="87"/>
    </row>
    <row r="94" spans="2:13" x14ac:dyDescent="0.2">
      <c r="C94" s="795" t="s">
        <v>213</v>
      </c>
      <c r="D94" s="796"/>
      <c r="E94" s="112">
        <v>0.3</v>
      </c>
      <c r="F94" s="113">
        <f>G93</f>
        <v>0</v>
      </c>
      <c r="G94" s="113">
        <f>G93-F94</f>
        <v>0</v>
      </c>
      <c r="H94" s="114">
        <f>ROUND(E94*F94,0.1)</f>
        <v>0</v>
      </c>
      <c r="J94" s="16">
        <f>+J92-J93</f>
        <v>195500</v>
      </c>
      <c r="L94" s="87"/>
      <c r="M94" s="87"/>
    </row>
    <row r="95" spans="2:13" ht="12.75" customHeight="1" thickBot="1" x14ac:dyDescent="0.25">
      <c r="B95" s="116"/>
      <c r="C95" s="117"/>
      <c r="D95" s="47"/>
      <c r="E95" s="47"/>
      <c r="F95" s="47"/>
      <c r="J95" s="87"/>
      <c r="K95" s="118"/>
      <c r="L95" s="87"/>
      <c r="M95" s="87"/>
    </row>
    <row r="96" spans="2:13" ht="13.5" thickBot="1" x14ac:dyDescent="0.25">
      <c r="B96" s="799" t="s">
        <v>239</v>
      </c>
      <c r="C96" s="800"/>
      <c r="D96" s="800"/>
      <c r="E96" s="800"/>
      <c r="F96" s="801"/>
      <c r="G96" s="771">
        <f>H91+H92+H93+H94</f>
        <v>6718</v>
      </c>
      <c r="H96" s="772"/>
      <c r="J96" s="87"/>
      <c r="K96" s="87"/>
      <c r="L96" s="87"/>
      <c r="M96" s="87"/>
    </row>
    <row r="97" spans="2:12" ht="13.5" thickBot="1" x14ac:dyDescent="0.25">
      <c r="B97" s="119" t="s">
        <v>215</v>
      </c>
      <c r="C97" s="120"/>
      <c r="D97" s="120"/>
      <c r="E97" s="120"/>
      <c r="F97" s="120"/>
      <c r="G97" s="884">
        <f>IF((G67&lt;500000),5000,0)</f>
        <v>0</v>
      </c>
      <c r="H97" s="885">
        <f>IF(H95&lt;200000,0,IF(H95&lt;220000,((H95-200000)*10%),IF(H95&lt;=500000,2000,IF(H95&gt;=500000,0))))</f>
        <v>0</v>
      </c>
      <c r="J97" s="1"/>
      <c r="K97" s="121"/>
      <c r="L97" s="121"/>
    </row>
    <row r="98" spans="2:12" ht="13.5" thickBot="1" x14ac:dyDescent="0.25">
      <c r="B98" s="122" t="s">
        <v>216</v>
      </c>
      <c r="C98" s="123"/>
      <c r="D98" s="123"/>
      <c r="E98" s="123"/>
      <c r="F98" s="123"/>
      <c r="G98" s="771">
        <f>IF((G96-G97)&lt;0,0,(G96-G97))</f>
        <v>6718</v>
      </c>
      <c r="H98" s="772"/>
      <c r="I98" s="37"/>
    </row>
    <row r="99" spans="2:12" ht="13.5" thickBot="1" x14ac:dyDescent="0.25">
      <c r="B99" s="773" t="s">
        <v>240</v>
      </c>
      <c r="C99" s="774"/>
      <c r="D99" s="774"/>
      <c r="E99" s="774"/>
      <c r="F99" s="775"/>
      <c r="G99" s="776">
        <f>ROUND((IF(G98&gt;0,(G98*4%),0)),0)</f>
        <v>269</v>
      </c>
      <c r="H99" s="777"/>
      <c r="I99" s="37"/>
    </row>
    <row r="100" spans="2:12" ht="13.5" thickBot="1" x14ac:dyDescent="0.25">
      <c r="B100" s="778" t="s">
        <v>218</v>
      </c>
      <c r="C100" s="779"/>
      <c r="D100" s="779"/>
      <c r="E100" s="779"/>
      <c r="F100" s="779"/>
      <c r="G100" s="780">
        <f>G98+G99</f>
        <v>6987</v>
      </c>
      <c r="H100" s="781"/>
      <c r="I100" s="121"/>
    </row>
    <row r="101" spans="2:12" ht="13.5" thickBot="1" x14ac:dyDescent="0.25">
      <c r="B101" s="765" t="s">
        <v>219</v>
      </c>
      <c r="C101" s="766"/>
      <c r="D101" s="766"/>
      <c r="E101" s="766"/>
      <c r="F101" s="766"/>
      <c r="G101" s="767">
        <f>O39</f>
        <v>6995</v>
      </c>
      <c r="H101" s="768"/>
      <c r="I101" s="121"/>
    </row>
    <row r="102" spans="2:12" ht="13.5" thickBot="1" x14ac:dyDescent="0.25">
      <c r="B102" s="765" t="str">
        <f>IF(G102&gt;0,"TAX PAYABLE","TAX REFUND")</f>
        <v>TAX REFUND</v>
      </c>
      <c r="C102" s="766"/>
      <c r="D102" s="766"/>
      <c r="E102" s="766"/>
      <c r="F102" s="766"/>
      <c r="G102" s="767">
        <f>+G100-G101</f>
        <v>-8</v>
      </c>
      <c r="H102" s="768"/>
      <c r="I102" s="37"/>
    </row>
    <row r="103" spans="2:12" x14ac:dyDescent="0.2">
      <c r="C103" s="124"/>
      <c r="D103" s="45"/>
      <c r="E103" s="118"/>
      <c r="F103" s="118"/>
      <c r="G103" s="118"/>
      <c r="H103" s="118"/>
      <c r="I103" s="125"/>
    </row>
    <row r="104" spans="2:12" x14ac:dyDescent="0.2">
      <c r="C104" s="47"/>
      <c r="D104" s="50"/>
      <c r="E104" s="117"/>
      <c r="F104" s="47"/>
      <c r="G104" s="47"/>
      <c r="H104" s="47"/>
      <c r="I104" s="125"/>
    </row>
    <row r="105" spans="2:12" x14ac:dyDescent="0.2">
      <c r="C105" s="39"/>
      <c r="D105" s="126"/>
      <c r="E105" s="126"/>
      <c r="F105" s="126"/>
      <c r="G105" s="39"/>
      <c r="H105" s="39"/>
      <c r="I105" s="37"/>
    </row>
    <row r="106" spans="2:12" x14ac:dyDescent="0.2">
      <c r="C106" s="39"/>
      <c r="D106" s="126"/>
      <c r="E106" s="126"/>
      <c r="F106" s="39"/>
      <c r="G106" s="39"/>
      <c r="H106" s="39"/>
      <c r="I106" s="37"/>
    </row>
    <row r="107" spans="2:12" x14ac:dyDescent="0.2">
      <c r="C107" s="39"/>
      <c r="D107" s="126"/>
      <c r="E107" s="126"/>
      <c r="F107" s="39"/>
      <c r="G107" s="39"/>
      <c r="H107" s="39"/>
      <c r="I107" s="37"/>
    </row>
    <row r="108" spans="2:12" x14ac:dyDescent="0.2">
      <c r="C108" s="39"/>
      <c r="D108" s="39"/>
      <c r="E108" s="39"/>
      <c r="F108" s="39"/>
      <c r="G108" s="39"/>
      <c r="H108" s="39"/>
      <c r="I108" s="37"/>
    </row>
    <row r="109" spans="2:12" x14ac:dyDescent="0.2">
      <c r="C109" s="39"/>
      <c r="D109" s="39"/>
      <c r="E109" s="39"/>
      <c r="F109" s="39"/>
      <c r="G109" s="39"/>
      <c r="H109" s="39"/>
    </row>
    <row r="110" spans="2:12" x14ac:dyDescent="0.2">
      <c r="C110" s="39"/>
      <c r="D110" s="39"/>
      <c r="E110" s="39"/>
      <c r="F110" s="39"/>
      <c r="G110" s="39"/>
      <c r="H110"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7:B37"/>
    <mergeCell ref="A5:C5"/>
    <mergeCell ref="D5:F5"/>
    <mergeCell ref="G5:H5"/>
    <mergeCell ref="I5:O5"/>
    <mergeCell ref="A6:C6"/>
    <mergeCell ref="D6:F6"/>
    <mergeCell ref="G6:H6"/>
    <mergeCell ref="J6:O6"/>
    <mergeCell ref="L7:O7"/>
    <mergeCell ref="A8:B8"/>
    <mergeCell ref="A21:A34"/>
    <mergeCell ref="A35:B35"/>
    <mergeCell ref="A36:B36"/>
    <mergeCell ref="A39:A50"/>
    <mergeCell ref="A51:B51"/>
    <mergeCell ref="A52:B52"/>
    <mergeCell ref="B55:F55"/>
    <mergeCell ref="G55:H55"/>
    <mergeCell ref="B62:F62"/>
    <mergeCell ref="G62:H62"/>
    <mergeCell ref="J62:O62"/>
    <mergeCell ref="B57:B60"/>
    <mergeCell ref="C57:C60"/>
    <mergeCell ref="D57:F57"/>
    <mergeCell ref="G57:H57"/>
    <mergeCell ref="D58:F58"/>
    <mergeCell ref="G58:H58"/>
    <mergeCell ref="J58:L58"/>
    <mergeCell ref="M58:O58"/>
    <mergeCell ref="D60:F60"/>
    <mergeCell ref="G60:H60"/>
    <mergeCell ref="J65:O65"/>
    <mergeCell ref="D83:F83"/>
    <mergeCell ref="J70:K70"/>
    <mergeCell ref="B67:F67"/>
    <mergeCell ref="G67:H67"/>
    <mergeCell ref="D78:F78"/>
    <mergeCell ref="D79:F79"/>
    <mergeCell ref="E80:F80"/>
    <mergeCell ref="D81:F81"/>
    <mergeCell ref="D82:F82"/>
    <mergeCell ref="D73:F73"/>
    <mergeCell ref="D74:F74"/>
    <mergeCell ref="C71:C77"/>
    <mergeCell ref="D71:F71"/>
    <mergeCell ref="D72:F72"/>
    <mergeCell ref="D76:F76"/>
    <mergeCell ref="G64:H64"/>
    <mergeCell ref="C65:F65"/>
    <mergeCell ref="G65:H65"/>
    <mergeCell ref="B64:F64"/>
    <mergeCell ref="D75:F75"/>
    <mergeCell ref="D77:F77"/>
    <mergeCell ref="G96:H96"/>
    <mergeCell ref="D84:F84"/>
    <mergeCell ref="D85:F85"/>
    <mergeCell ref="B86:F86"/>
    <mergeCell ref="B88:F88"/>
    <mergeCell ref="G88:H88"/>
    <mergeCell ref="C90:D90"/>
    <mergeCell ref="C91:D91"/>
    <mergeCell ref="C92:D92"/>
    <mergeCell ref="C93:D93"/>
    <mergeCell ref="C94:D94"/>
    <mergeCell ref="B96:F96"/>
    <mergeCell ref="B71:B85"/>
    <mergeCell ref="B102:F102"/>
    <mergeCell ref="G102:H102"/>
    <mergeCell ref="G97:H97"/>
    <mergeCell ref="G98:H98"/>
    <mergeCell ref="B99:F99"/>
    <mergeCell ref="G99:H99"/>
    <mergeCell ref="B100:F100"/>
    <mergeCell ref="G100:H100"/>
    <mergeCell ref="B101:F101"/>
    <mergeCell ref="G101:H101"/>
  </mergeCells>
  <conditionalFormatting sqref="B102:F102 B96:F100">
    <cfRule type="cellIs" dxfId="2159" priority="3" stopIfTrue="1" operator="equal">
      <formula>"TAX PAYABLE"</formula>
    </cfRule>
    <cfRule type="cellIs" dxfId="2158" priority="4" stopIfTrue="1" operator="equal">
      <formula>"TAX REFUND"</formula>
    </cfRule>
  </conditionalFormatting>
  <conditionalFormatting sqref="G102:H102">
    <cfRule type="cellIs" dxfId="2157" priority="1" stopIfTrue="1" operator="greaterThan">
      <formula>0</formula>
    </cfRule>
    <cfRule type="cellIs" dxfId="2156" priority="2" stopIfTrue="1" operator="lessThanOrEqual">
      <formula>0</formula>
    </cfRule>
  </conditionalFormatting>
  <hyperlinks>
    <hyperlink ref="J53" r:id="rId1" display="+J37-@sum(J22:J36)"/>
  </hyperlinks>
  <pageMargins left="0.7" right="0.7" top="0.75" bottom="0.75" header="0.3" footer="0.3"/>
  <pageSetup paperSize="5" orientation="landscape" horizontalDpi="300" verticalDpi="300" r:id="rId2"/>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9"/>
  <sheetViews>
    <sheetView topLeftCell="A60" workbookViewId="0">
      <selection activeCell="G87" sqref="G87:H87"/>
    </sheetView>
  </sheetViews>
  <sheetFormatPr defaultRowHeight="12.75" x14ac:dyDescent="0.2"/>
  <cols>
    <col min="1" max="1" width="5" style="16" customWidth="1"/>
    <col min="2" max="2" width="18.28515625" style="37" customWidth="1"/>
    <col min="3" max="3" width="10.7109375" style="16" bestFit="1" customWidth="1"/>
    <col min="4" max="5" width="8.5703125" style="16" customWidth="1"/>
    <col min="6" max="6" width="9.28515625" style="16" customWidth="1"/>
    <col min="7" max="7" width="10.42578125" style="16" bestFit="1" customWidth="1"/>
    <col min="8" max="8" width="10.28515625" style="16" bestFit="1" customWidth="1"/>
    <col min="9" max="9" width="7.140625" style="16" customWidth="1"/>
    <col min="10" max="10" width="8.28515625" style="16" customWidth="1"/>
    <col min="11" max="12" width="7" style="16" customWidth="1"/>
    <col min="13" max="13" width="6.85546875" style="16" customWidth="1"/>
    <col min="14" max="14" width="7" style="16" customWidth="1"/>
    <col min="15" max="15" width="8.14062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8.28515625" style="16" customWidth="1"/>
    <col min="259" max="259" width="10.7109375" style="16" bestFit="1" customWidth="1"/>
    <col min="260" max="261" width="8.5703125" style="16" customWidth="1"/>
    <col min="262" max="262" width="9.28515625" style="16" customWidth="1"/>
    <col min="263" max="263" width="10.42578125" style="16" bestFit="1" customWidth="1"/>
    <col min="264" max="264" width="10.28515625" style="16" bestFit="1" customWidth="1"/>
    <col min="265" max="265" width="7.140625" style="16" customWidth="1"/>
    <col min="266" max="266" width="8.28515625" style="16" customWidth="1"/>
    <col min="267" max="268" width="7" style="16" customWidth="1"/>
    <col min="269" max="269" width="6.85546875" style="16" customWidth="1"/>
    <col min="270" max="270" width="7" style="16" customWidth="1"/>
    <col min="271" max="271" width="8.14062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8.28515625" style="16" customWidth="1"/>
    <col min="515" max="515" width="10.7109375" style="16" bestFit="1" customWidth="1"/>
    <col min="516" max="517" width="8.5703125" style="16" customWidth="1"/>
    <col min="518" max="518" width="9.28515625" style="16" customWidth="1"/>
    <col min="519" max="519" width="10.42578125" style="16" bestFit="1" customWidth="1"/>
    <col min="520" max="520" width="10.28515625" style="16" bestFit="1" customWidth="1"/>
    <col min="521" max="521" width="7.140625" style="16" customWidth="1"/>
    <col min="522" max="522" width="8.28515625" style="16" customWidth="1"/>
    <col min="523" max="524" width="7" style="16" customWidth="1"/>
    <col min="525" max="525" width="6.85546875" style="16" customWidth="1"/>
    <col min="526" max="526" width="7" style="16" customWidth="1"/>
    <col min="527" max="527" width="8.14062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8.28515625" style="16" customWidth="1"/>
    <col min="771" max="771" width="10.7109375" style="16" bestFit="1" customWidth="1"/>
    <col min="772" max="773" width="8.5703125" style="16" customWidth="1"/>
    <col min="774" max="774" width="9.28515625" style="16" customWidth="1"/>
    <col min="775" max="775" width="10.42578125" style="16" bestFit="1" customWidth="1"/>
    <col min="776" max="776" width="10.28515625" style="16" bestFit="1" customWidth="1"/>
    <col min="777" max="777" width="7.140625" style="16" customWidth="1"/>
    <col min="778" max="778" width="8.28515625" style="16" customWidth="1"/>
    <col min="779" max="780" width="7" style="16" customWidth="1"/>
    <col min="781" max="781" width="6.85546875" style="16" customWidth="1"/>
    <col min="782" max="782" width="7" style="16" customWidth="1"/>
    <col min="783" max="783" width="8.14062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8.28515625" style="16" customWidth="1"/>
    <col min="1027" max="1027" width="10.7109375" style="16" bestFit="1" customWidth="1"/>
    <col min="1028" max="1029" width="8.5703125" style="16" customWidth="1"/>
    <col min="1030" max="1030" width="9.28515625" style="16" customWidth="1"/>
    <col min="1031" max="1031" width="10.42578125" style="16" bestFit="1" customWidth="1"/>
    <col min="1032" max="1032" width="10.28515625" style="16" bestFit="1" customWidth="1"/>
    <col min="1033" max="1033" width="7.140625" style="16" customWidth="1"/>
    <col min="1034" max="1034" width="8.28515625" style="16" customWidth="1"/>
    <col min="1035" max="1036" width="7" style="16" customWidth="1"/>
    <col min="1037" max="1037" width="6.85546875" style="16" customWidth="1"/>
    <col min="1038" max="1038" width="7" style="16" customWidth="1"/>
    <col min="1039" max="1039" width="8.14062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8.28515625" style="16" customWidth="1"/>
    <col min="1283" max="1283" width="10.7109375" style="16" bestFit="1" customWidth="1"/>
    <col min="1284" max="1285" width="8.5703125" style="16" customWidth="1"/>
    <col min="1286" max="1286" width="9.28515625" style="16" customWidth="1"/>
    <col min="1287" max="1287" width="10.42578125" style="16" bestFit="1" customWidth="1"/>
    <col min="1288" max="1288" width="10.28515625" style="16" bestFit="1" customWidth="1"/>
    <col min="1289" max="1289" width="7.140625" style="16" customWidth="1"/>
    <col min="1290" max="1290" width="8.28515625" style="16" customWidth="1"/>
    <col min="1291" max="1292" width="7" style="16" customWidth="1"/>
    <col min="1293" max="1293" width="6.85546875" style="16" customWidth="1"/>
    <col min="1294" max="1294" width="7" style="16" customWidth="1"/>
    <col min="1295" max="1295" width="8.14062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8.28515625" style="16" customWidth="1"/>
    <col min="1539" max="1539" width="10.7109375" style="16" bestFit="1" customWidth="1"/>
    <col min="1540" max="1541" width="8.5703125" style="16" customWidth="1"/>
    <col min="1542" max="1542" width="9.28515625" style="16" customWidth="1"/>
    <col min="1543" max="1543" width="10.42578125" style="16" bestFit="1" customWidth="1"/>
    <col min="1544" max="1544" width="10.28515625" style="16" bestFit="1" customWidth="1"/>
    <col min="1545" max="1545" width="7.140625" style="16" customWidth="1"/>
    <col min="1546" max="1546" width="8.28515625" style="16" customWidth="1"/>
    <col min="1547" max="1548" width="7" style="16" customWidth="1"/>
    <col min="1549" max="1549" width="6.85546875" style="16" customWidth="1"/>
    <col min="1550" max="1550" width="7" style="16" customWidth="1"/>
    <col min="1551" max="1551" width="8.14062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8.28515625" style="16" customWidth="1"/>
    <col min="1795" max="1795" width="10.7109375" style="16" bestFit="1" customWidth="1"/>
    <col min="1796" max="1797" width="8.5703125" style="16" customWidth="1"/>
    <col min="1798" max="1798" width="9.28515625" style="16" customWidth="1"/>
    <col min="1799" max="1799" width="10.42578125" style="16" bestFit="1" customWidth="1"/>
    <col min="1800" max="1800" width="10.28515625" style="16" bestFit="1" customWidth="1"/>
    <col min="1801" max="1801" width="7.140625" style="16" customWidth="1"/>
    <col min="1802" max="1802" width="8.28515625" style="16" customWidth="1"/>
    <col min="1803" max="1804" width="7" style="16" customWidth="1"/>
    <col min="1805" max="1805" width="6.85546875" style="16" customWidth="1"/>
    <col min="1806" max="1806" width="7" style="16" customWidth="1"/>
    <col min="1807" max="1807" width="8.14062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8.28515625" style="16" customWidth="1"/>
    <col min="2051" max="2051" width="10.7109375" style="16" bestFit="1" customWidth="1"/>
    <col min="2052" max="2053" width="8.5703125" style="16" customWidth="1"/>
    <col min="2054" max="2054" width="9.28515625" style="16" customWidth="1"/>
    <col min="2055" max="2055" width="10.42578125" style="16" bestFit="1" customWidth="1"/>
    <col min="2056" max="2056" width="10.28515625" style="16" bestFit="1" customWidth="1"/>
    <col min="2057" max="2057" width="7.140625" style="16" customWidth="1"/>
    <col min="2058" max="2058" width="8.28515625" style="16" customWidth="1"/>
    <col min="2059" max="2060" width="7" style="16" customWidth="1"/>
    <col min="2061" max="2061" width="6.85546875" style="16" customWidth="1"/>
    <col min="2062" max="2062" width="7" style="16" customWidth="1"/>
    <col min="2063" max="2063" width="8.14062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8.28515625" style="16" customWidth="1"/>
    <col min="2307" max="2307" width="10.7109375" style="16" bestFit="1" customWidth="1"/>
    <col min="2308" max="2309" width="8.5703125" style="16" customWidth="1"/>
    <col min="2310" max="2310" width="9.28515625" style="16" customWidth="1"/>
    <col min="2311" max="2311" width="10.42578125" style="16" bestFit="1" customWidth="1"/>
    <col min="2312" max="2312" width="10.28515625" style="16" bestFit="1" customWidth="1"/>
    <col min="2313" max="2313" width="7.140625" style="16" customWidth="1"/>
    <col min="2314" max="2314" width="8.28515625" style="16" customWidth="1"/>
    <col min="2315" max="2316" width="7" style="16" customWidth="1"/>
    <col min="2317" max="2317" width="6.85546875" style="16" customWidth="1"/>
    <col min="2318" max="2318" width="7" style="16" customWidth="1"/>
    <col min="2319" max="2319" width="8.14062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8.28515625" style="16" customWidth="1"/>
    <col min="2563" max="2563" width="10.7109375" style="16" bestFit="1" customWidth="1"/>
    <col min="2564" max="2565" width="8.5703125" style="16" customWidth="1"/>
    <col min="2566" max="2566" width="9.28515625" style="16" customWidth="1"/>
    <col min="2567" max="2567" width="10.42578125" style="16" bestFit="1" customWidth="1"/>
    <col min="2568" max="2568" width="10.28515625" style="16" bestFit="1" customWidth="1"/>
    <col min="2569" max="2569" width="7.140625" style="16" customWidth="1"/>
    <col min="2570" max="2570" width="8.28515625" style="16" customWidth="1"/>
    <col min="2571" max="2572" width="7" style="16" customWidth="1"/>
    <col min="2573" max="2573" width="6.85546875" style="16" customWidth="1"/>
    <col min="2574" max="2574" width="7" style="16" customWidth="1"/>
    <col min="2575" max="2575" width="8.14062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8.28515625" style="16" customWidth="1"/>
    <col min="2819" max="2819" width="10.7109375" style="16" bestFit="1" customWidth="1"/>
    <col min="2820" max="2821" width="8.5703125" style="16" customWidth="1"/>
    <col min="2822" max="2822" width="9.28515625" style="16" customWidth="1"/>
    <col min="2823" max="2823" width="10.42578125" style="16" bestFit="1" customWidth="1"/>
    <col min="2824" max="2824" width="10.28515625" style="16" bestFit="1" customWidth="1"/>
    <col min="2825" max="2825" width="7.140625" style="16" customWidth="1"/>
    <col min="2826" max="2826" width="8.28515625" style="16" customWidth="1"/>
    <col min="2827" max="2828" width="7" style="16" customWidth="1"/>
    <col min="2829" max="2829" width="6.85546875" style="16" customWidth="1"/>
    <col min="2830" max="2830" width="7" style="16" customWidth="1"/>
    <col min="2831" max="2831" width="8.14062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8.28515625" style="16" customWidth="1"/>
    <col min="3075" max="3075" width="10.7109375" style="16" bestFit="1" customWidth="1"/>
    <col min="3076" max="3077" width="8.5703125" style="16" customWidth="1"/>
    <col min="3078" max="3078" width="9.28515625" style="16" customWidth="1"/>
    <col min="3079" max="3079" width="10.42578125" style="16" bestFit="1" customWidth="1"/>
    <col min="3080" max="3080" width="10.28515625" style="16" bestFit="1" customWidth="1"/>
    <col min="3081" max="3081" width="7.140625" style="16" customWidth="1"/>
    <col min="3082" max="3082" width="8.28515625" style="16" customWidth="1"/>
    <col min="3083" max="3084" width="7" style="16" customWidth="1"/>
    <col min="3085" max="3085" width="6.85546875" style="16" customWidth="1"/>
    <col min="3086" max="3086" width="7" style="16" customWidth="1"/>
    <col min="3087" max="3087" width="8.14062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8.28515625" style="16" customWidth="1"/>
    <col min="3331" max="3331" width="10.7109375" style="16" bestFit="1" customWidth="1"/>
    <col min="3332" max="3333" width="8.5703125" style="16" customWidth="1"/>
    <col min="3334" max="3334" width="9.28515625" style="16" customWidth="1"/>
    <col min="3335" max="3335" width="10.42578125" style="16" bestFit="1" customWidth="1"/>
    <col min="3336" max="3336" width="10.28515625" style="16" bestFit="1" customWidth="1"/>
    <col min="3337" max="3337" width="7.140625" style="16" customWidth="1"/>
    <col min="3338" max="3338" width="8.28515625" style="16" customWidth="1"/>
    <col min="3339" max="3340" width="7" style="16" customWidth="1"/>
    <col min="3341" max="3341" width="6.85546875" style="16" customWidth="1"/>
    <col min="3342" max="3342" width="7" style="16" customWidth="1"/>
    <col min="3343" max="3343" width="8.14062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8.28515625" style="16" customWidth="1"/>
    <col min="3587" max="3587" width="10.7109375" style="16" bestFit="1" customWidth="1"/>
    <col min="3588" max="3589" width="8.5703125" style="16" customWidth="1"/>
    <col min="3590" max="3590" width="9.28515625" style="16" customWidth="1"/>
    <col min="3591" max="3591" width="10.42578125" style="16" bestFit="1" customWidth="1"/>
    <col min="3592" max="3592" width="10.28515625" style="16" bestFit="1" customWidth="1"/>
    <col min="3593" max="3593" width="7.140625" style="16" customWidth="1"/>
    <col min="3594" max="3594" width="8.28515625" style="16" customWidth="1"/>
    <col min="3595" max="3596" width="7" style="16" customWidth="1"/>
    <col min="3597" max="3597" width="6.85546875" style="16" customWidth="1"/>
    <col min="3598" max="3598" width="7" style="16" customWidth="1"/>
    <col min="3599" max="3599" width="8.14062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8.28515625" style="16" customWidth="1"/>
    <col min="3843" max="3843" width="10.7109375" style="16" bestFit="1" customWidth="1"/>
    <col min="3844" max="3845" width="8.5703125" style="16" customWidth="1"/>
    <col min="3846" max="3846" width="9.28515625" style="16" customWidth="1"/>
    <col min="3847" max="3847" width="10.42578125" style="16" bestFit="1" customWidth="1"/>
    <col min="3848" max="3848" width="10.28515625" style="16" bestFit="1" customWidth="1"/>
    <col min="3849" max="3849" width="7.140625" style="16" customWidth="1"/>
    <col min="3850" max="3850" width="8.28515625" style="16" customWidth="1"/>
    <col min="3851" max="3852" width="7" style="16" customWidth="1"/>
    <col min="3853" max="3853" width="6.85546875" style="16" customWidth="1"/>
    <col min="3854" max="3854" width="7" style="16" customWidth="1"/>
    <col min="3855" max="3855" width="8.14062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8.28515625" style="16" customWidth="1"/>
    <col min="4099" max="4099" width="10.7109375" style="16" bestFit="1" customWidth="1"/>
    <col min="4100" max="4101" width="8.5703125" style="16" customWidth="1"/>
    <col min="4102" max="4102" width="9.28515625" style="16" customWidth="1"/>
    <col min="4103" max="4103" width="10.42578125" style="16" bestFit="1" customWidth="1"/>
    <col min="4104" max="4104" width="10.28515625" style="16" bestFit="1" customWidth="1"/>
    <col min="4105" max="4105" width="7.140625" style="16" customWidth="1"/>
    <col min="4106" max="4106" width="8.28515625" style="16" customWidth="1"/>
    <col min="4107" max="4108" width="7" style="16" customWidth="1"/>
    <col min="4109" max="4109" width="6.85546875" style="16" customWidth="1"/>
    <col min="4110" max="4110" width="7" style="16" customWidth="1"/>
    <col min="4111" max="4111" width="8.14062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8.28515625" style="16" customWidth="1"/>
    <col min="4355" max="4355" width="10.7109375" style="16" bestFit="1" customWidth="1"/>
    <col min="4356" max="4357" width="8.5703125" style="16" customWidth="1"/>
    <col min="4358" max="4358" width="9.28515625" style="16" customWidth="1"/>
    <col min="4359" max="4359" width="10.42578125" style="16" bestFit="1" customWidth="1"/>
    <col min="4360" max="4360" width="10.28515625" style="16" bestFit="1" customWidth="1"/>
    <col min="4361" max="4361" width="7.140625" style="16" customWidth="1"/>
    <col min="4362" max="4362" width="8.28515625" style="16" customWidth="1"/>
    <col min="4363" max="4364" width="7" style="16" customWidth="1"/>
    <col min="4365" max="4365" width="6.85546875" style="16" customWidth="1"/>
    <col min="4366" max="4366" width="7" style="16" customWidth="1"/>
    <col min="4367" max="4367" width="8.14062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8.28515625" style="16" customWidth="1"/>
    <col min="4611" max="4611" width="10.7109375" style="16" bestFit="1" customWidth="1"/>
    <col min="4612" max="4613" width="8.5703125" style="16" customWidth="1"/>
    <col min="4614" max="4614" width="9.28515625" style="16" customWidth="1"/>
    <col min="4615" max="4615" width="10.42578125" style="16" bestFit="1" customWidth="1"/>
    <col min="4616" max="4616" width="10.28515625" style="16" bestFit="1" customWidth="1"/>
    <col min="4617" max="4617" width="7.140625" style="16" customWidth="1"/>
    <col min="4618" max="4618" width="8.28515625" style="16" customWidth="1"/>
    <col min="4619" max="4620" width="7" style="16" customWidth="1"/>
    <col min="4621" max="4621" width="6.85546875" style="16" customWidth="1"/>
    <col min="4622" max="4622" width="7" style="16" customWidth="1"/>
    <col min="4623" max="4623" width="8.14062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8.28515625" style="16" customWidth="1"/>
    <col min="4867" max="4867" width="10.7109375" style="16" bestFit="1" customWidth="1"/>
    <col min="4868" max="4869" width="8.5703125" style="16" customWidth="1"/>
    <col min="4870" max="4870" width="9.28515625" style="16" customWidth="1"/>
    <col min="4871" max="4871" width="10.42578125" style="16" bestFit="1" customWidth="1"/>
    <col min="4872" max="4872" width="10.28515625" style="16" bestFit="1" customWidth="1"/>
    <col min="4873" max="4873" width="7.140625" style="16" customWidth="1"/>
    <col min="4874" max="4874" width="8.28515625" style="16" customWidth="1"/>
    <col min="4875" max="4876" width="7" style="16" customWidth="1"/>
    <col min="4877" max="4877" width="6.85546875" style="16" customWidth="1"/>
    <col min="4878" max="4878" width="7" style="16" customWidth="1"/>
    <col min="4879" max="4879" width="8.14062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8.28515625" style="16" customWidth="1"/>
    <col min="5123" max="5123" width="10.7109375" style="16" bestFit="1" customWidth="1"/>
    <col min="5124" max="5125" width="8.5703125" style="16" customWidth="1"/>
    <col min="5126" max="5126" width="9.28515625" style="16" customWidth="1"/>
    <col min="5127" max="5127" width="10.42578125" style="16" bestFit="1" customWidth="1"/>
    <col min="5128" max="5128" width="10.28515625" style="16" bestFit="1" customWidth="1"/>
    <col min="5129" max="5129" width="7.140625" style="16" customWidth="1"/>
    <col min="5130" max="5130" width="8.28515625" style="16" customWidth="1"/>
    <col min="5131" max="5132" width="7" style="16" customWidth="1"/>
    <col min="5133" max="5133" width="6.85546875" style="16" customWidth="1"/>
    <col min="5134" max="5134" width="7" style="16" customWidth="1"/>
    <col min="5135" max="5135" width="8.14062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8.28515625" style="16" customWidth="1"/>
    <col min="5379" max="5379" width="10.7109375" style="16" bestFit="1" customWidth="1"/>
    <col min="5380" max="5381" width="8.5703125" style="16" customWidth="1"/>
    <col min="5382" max="5382" width="9.28515625" style="16" customWidth="1"/>
    <col min="5383" max="5383" width="10.42578125" style="16" bestFit="1" customWidth="1"/>
    <col min="5384" max="5384" width="10.28515625" style="16" bestFit="1" customWidth="1"/>
    <col min="5385" max="5385" width="7.140625" style="16" customWidth="1"/>
    <col min="5386" max="5386" width="8.28515625" style="16" customWidth="1"/>
    <col min="5387" max="5388" width="7" style="16" customWidth="1"/>
    <col min="5389" max="5389" width="6.85546875" style="16" customWidth="1"/>
    <col min="5390" max="5390" width="7" style="16" customWidth="1"/>
    <col min="5391" max="5391" width="8.14062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8.28515625" style="16" customWidth="1"/>
    <col min="5635" max="5635" width="10.7109375" style="16" bestFit="1" customWidth="1"/>
    <col min="5636" max="5637" width="8.5703125" style="16" customWidth="1"/>
    <col min="5638" max="5638" width="9.28515625" style="16" customWidth="1"/>
    <col min="5639" max="5639" width="10.42578125" style="16" bestFit="1" customWidth="1"/>
    <col min="5640" max="5640" width="10.28515625" style="16" bestFit="1" customWidth="1"/>
    <col min="5641" max="5641" width="7.140625" style="16" customWidth="1"/>
    <col min="5642" max="5642" width="8.28515625" style="16" customWidth="1"/>
    <col min="5643" max="5644" width="7" style="16" customWidth="1"/>
    <col min="5645" max="5645" width="6.85546875" style="16" customWidth="1"/>
    <col min="5646" max="5646" width="7" style="16" customWidth="1"/>
    <col min="5647" max="5647" width="8.14062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8.28515625" style="16" customWidth="1"/>
    <col min="5891" max="5891" width="10.7109375" style="16" bestFit="1" customWidth="1"/>
    <col min="5892" max="5893" width="8.5703125" style="16" customWidth="1"/>
    <col min="5894" max="5894" width="9.28515625" style="16" customWidth="1"/>
    <col min="5895" max="5895" width="10.42578125" style="16" bestFit="1" customWidth="1"/>
    <col min="5896" max="5896" width="10.28515625" style="16" bestFit="1" customWidth="1"/>
    <col min="5897" max="5897" width="7.140625" style="16" customWidth="1"/>
    <col min="5898" max="5898" width="8.28515625" style="16" customWidth="1"/>
    <col min="5899" max="5900" width="7" style="16" customWidth="1"/>
    <col min="5901" max="5901" width="6.85546875" style="16" customWidth="1"/>
    <col min="5902" max="5902" width="7" style="16" customWidth="1"/>
    <col min="5903" max="5903" width="8.14062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8.28515625" style="16" customWidth="1"/>
    <col min="6147" max="6147" width="10.7109375" style="16" bestFit="1" customWidth="1"/>
    <col min="6148" max="6149" width="8.5703125" style="16" customWidth="1"/>
    <col min="6150" max="6150" width="9.28515625" style="16" customWidth="1"/>
    <col min="6151" max="6151" width="10.42578125" style="16" bestFit="1" customWidth="1"/>
    <col min="6152" max="6152" width="10.28515625" style="16" bestFit="1" customWidth="1"/>
    <col min="6153" max="6153" width="7.140625" style="16" customWidth="1"/>
    <col min="6154" max="6154" width="8.28515625" style="16" customWidth="1"/>
    <col min="6155" max="6156" width="7" style="16" customWidth="1"/>
    <col min="6157" max="6157" width="6.85546875" style="16" customWidth="1"/>
    <col min="6158" max="6158" width="7" style="16" customWidth="1"/>
    <col min="6159" max="6159" width="8.14062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8.28515625" style="16" customWidth="1"/>
    <col min="6403" max="6403" width="10.7109375" style="16" bestFit="1" customWidth="1"/>
    <col min="6404" max="6405" width="8.5703125" style="16" customWidth="1"/>
    <col min="6406" max="6406" width="9.28515625" style="16" customWidth="1"/>
    <col min="6407" max="6407" width="10.42578125" style="16" bestFit="1" customWidth="1"/>
    <col min="6408" max="6408" width="10.28515625" style="16" bestFit="1" customWidth="1"/>
    <col min="6409" max="6409" width="7.140625" style="16" customWidth="1"/>
    <col min="6410" max="6410" width="8.28515625" style="16" customWidth="1"/>
    <col min="6411" max="6412" width="7" style="16" customWidth="1"/>
    <col min="6413" max="6413" width="6.85546875" style="16" customWidth="1"/>
    <col min="6414" max="6414" width="7" style="16" customWidth="1"/>
    <col min="6415" max="6415" width="8.14062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8.28515625" style="16" customWidth="1"/>
    <col min="6659" max="6659" width="10.7109375" style="16" bestFit="1" customWidth="1"/>
    <col min="6660" max="6661" width="8.5703125" style="16" customWidth="1"/>
    <col min="6662" max="6662" width="9.28515625" style="16" customWidth="1"/>
    <col min="6663" max="6663" width="10.42578125" style="16" bestFit="1" customWidth="1"/>
    <col min="6664" max="6664" width="10.28515625" style="16" bestFit="1" customWidth="1"/>
    <col min="6665" max="6665" width="7.140625" style="16" customWidth="1"/>
    <col min="6666" max="6666" width="8.28515625" style="16" customWidth="1"/>
    <col min="6667" max="6668" width="7" style="16" customWidth="1"/>
    <col min="6669" max="6669" width="6.85546875" style="16" customWidth="1"/>
    <col min="6670" max="6670" width="7" style="16" customWidth="1"/>
    <col min="6671" max="6671" width="8.14062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8.28515625" style="16" customWidth="1"/>
    <col min="6915" max="6915" width="10.7109375" style="16" bestFit="1" customWidth="1"/>
    <col min="6916" max="6917" width="8.5703125" style="16" customWidth="1"/>
    <col min="6918" max="6918" width="9.28515625" style="16" customWidth="1"/>
    <col min="6919" max="6919" width="10.42578125" style="16" bestFit="1" customWidth="1"/>
    <col min="6920" max="6920" width="10.28515625" style="16" bestFit="1" customWidth="1"/>
    <col min="6921" max="6921" width="7.140625" style="16" customWidth="1"/>
    <col min="6922" max="6922" width="8.28515625" style="16" customWidth="1"/>
    <col min="6923" max="6924" width="7" style="16" customWidth="1"/>
    <col min="6925" max="6925" width="6.85546875" style="16" customWidth="1"/>
    <col min="6926" max="6926" width="7" style="16" customWidth="1"/>
    <col min="6927" max="6927" width="8.14062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8.28515625" style="16" customWidth="1"/>
    <col min="7171" max="7171" width="10.7109375" style="16" bestFit="1" customWidth="1"/>
    <col min="7172" max="7173" width="8.5703125" style="16" customWidth="1"/>
    <col min="7174" max="7174" width="9.28515625" style="16" customWidth="1"/>
    <col min="7175" max="7175" width="10.42578125" style="16" bestFit="1" customWidth="1"/>
    <col min="7176" max="7176" width="10.28515625" style="16" bestFit="1" customWidth="1"/>
    <col min="7177" max="7177" width="7.140625" style="16" customWidth="1"/>
    <col min="7178" max="7178" width="8.28515625" style="16" customWidth="1"/>
    <col min="7179" max="7180" width="7" style="16" customWidth="1"/>
    <col min="7181" max="7181" width="6.85546875" style="16" customWidth="1"/>
    <col min="7182" max="7182" width="7" style="16" customWidth="1"/>
    <col min="7183" max="7183" width="8.14062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8.28515625" style="16" customWidth="1"/>
    <col min="7427" max="7427" width="10.7109375" style="16" bestFit="1" customWidth="1"/>
    <col min="7428" max="7429" width="8.5703125" style="16" customWidth="1"/>
    <col min="7430" max="7430" width="9.28515625" style="16" customWidth="1"/>
    <col min="7431" max="7431" width="10.42578125" style="16" bestFit="1" customWidth="1"/>
    <col min="7432" max="7432" width="10.28515625" style="16" bestFit="1" customWidth="1"/>
    <col min="7433" max="7433" width="7.140625" style="16" customWidth="1"/>
    <col min="7434" max="7434" width="8.28515625" style="16" customWidth="1"/>
    <col min="7435" max="7436" width="7" style="16" customWidth="1"/>
    <col min="7437" max="7437" width="6.85546875" style="16" customWidth="1"/>
    <col min="7438" max="7438" width="7" style="16" customWidth="1"/>
    <col min="7439" max="7439" width="8.14062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8.28515625" style="16" customWidth="1"/>
    <col min="7683" max="7683" width="10.7109375" style="16" bestFit="1" customWidth="1"/>
    <col min="7684" max="7685" width="8.5703125" style="16" customWidth="1"/>
    <col min="7686" max="7686" width="9.28515625" style="16" customWidth="1"/>
    <col min="7687" max="7687" width="10.42578125" style="16" bestFit="1" customWidth="1"/>
    <col min="7688" max="7688" width="10.28515625" style="16" bestFit="1" customWidth="1"/>
    <col min="7689" max="7689" width="7.140625" style="16" customWidth="1"/>
    <col min="7690" max="7690" width="8.28515625" style="16" customWidth="1"/>
    <col min="7691" max="7692" width="7" style="16" customWidth="1"/>
    <col min="7693" max="7693" width="6.85546875" style="16" customWidth="1"/>
    <col min="7694" max="7694" width="7" style="16" customWidth="1"/>
    <col min="7695" max="7695" width="8.14062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8.28515625" style="16" customWidth="1"/>
    <col min="7939" max="7939" width="10.7109375" style="16" bestFit="1" customWidth="1"/>
    <col min="7940" max="7941" width="8.5703125" style="16" customWidth="1"/>
    <col min="7942" max="7942" width="9.28515625" style="16" customWidth="1"/>
    <col min="7943" max="7943" width="10.42578125" style="16" bestFit="1" customWidth="1"/>
    <col min="7944" max="7944" width="10.28515625" style="16" bestFit="1" customWidth="1"/>
    <col min="7945" max="7945" width="7.140625" style="16" customWidth="1"/>
    <col min="7946" max="7946" width="8.28515625" style="16" customWidth="1"/>
    <col min="7947" max="7948" width="7" style="16" customWidth="1"/>
    <col min="7949" max="7949" width="6.85546875" style="16" customWidth="1"/>
    <col min="7950" max="7950" width="7" style="16" customWidth="1"/>
    <col min="7951" max="7951" width="8.14062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8.28515625" style="16" customWidth="1"/>
    <col min="8195" max="8195" width="10.7109375" style="16" bestFit="1" customWidth="1"/>
    <col min="8196" max="8197" width="8.5703125" style="16" customWidth="1"/>
    <col min="8198" max="8198" width="9.28515625" style="16" customWidth="1"/>
    <col min="8199" max="8199" width="10.42578125" style="16" bestFit="1" customWidth="1"/>
    <col min="8200" max="8200" width="10.28515625" style="16" bestFit="1" customWidth="1"/>
    <col min="8201" max="8201" width="7.140625" style="16" customWidth="1"/>
    <col min="8202" max="8202" width="8.28515625" style="16" customWidth="1"/>
    <col min="8203" max="8204" width="7" style="16" customWidth="1"/>
    <col min="8205" max="8205" width="6.85546875" style="16" customWidth="1"/>
    <col min="8206" max="8206" width="7" style="16" customWidth="1"/>
    <col min="8207" max="8207" width="8.14062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8.28515625" style="16" customWidth="1"/>
    <col min="8451" max="8451" width="10.7109375" style="16" bestFit="1" customWidth="1"/>
    <col min="8452" max="8453" width="8.5703125" style="16" customWidth="1"/>
    <col min="8454" max="8454" width="9.28515625" style="16" customWidth="1"/>
    <col min="8455" max="8455" width="10.42578125" style="16" bestFit="1" customWidth="1"/>
    <col min="8456" max="8456" width="10.28515625" style="16" bestFit="1" customWidth="1"/>
    <col min="8457" max="8457" width="7.140625" style="16" customWidth="1"/>
    <col min="8458" max="8458" width="8.28515625" style="16" customWidth="1"/>
    <col min="8459" max="8460" width="7" style="16" customWidth="1"/>
    <col min="8461" max="8461" width="6.85546875" style="16" customWidth="1"/>
    <col min="8462" max="8462" width="7" style="16" customWidth="1"/>
    <col min="8463" max="8463" width="8.14062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8.28515625" style="16" customWidth="1"/>
    <col min="8707" max="8707" width="10.7109375" style="16" bestFit="1" customWidth="1"/>
    <col min="8708" max="8709" width="8.5703125" style="16" customWidth="1"/>
    <col min="8710" max="8710" width="9.28515625" style="16" customWidth="1"/>
    <col min="8711" max="8711" width="10.42578125" style="16" bestFit="1" customWidth="1"/>
    <col min="8712" max="8712" width="10.28515625" style="16" bestFit="1" customWidth="1"/>
    <col min="8713" max="8713" width="7.140625" style="16" customWidth="1"/>
    <col min="8714" max="8714" width="8.28515625" style="16" customWidth="1"/>
    <col min="8715" max="8716" width="7" style="16" customWidth="1"/>
    <col min="8717" max="8717" width="6.85546875" style="16" customWidth="1"/>
    <col min="8718" max="8718" width="7" style="16" customWidth="1"/>
    <col min="8719" max="8719" width="8.14062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8.28515625" style="16" customWidth="1"/>
    <col min="8963" max="8963" width="10.7109375" style="16" bestFit="1" customWidth="1"/>
    <col min="8964" max="8965" width="8.5703125" style="16" customWidth="1"/>
    <col min="8966" max="8966" width="9.28515625" style="16" customWidth="1"/>
    <col min="8967" max="8967" width="10.42578125" style="16" bestFit="1" customWidth="1"/>
    <col min="8968" max="8968" width="10.28515625" style="16" bestFit="1" customWidth="1"/>
    <col min="8969" max="8969" width="7.140625" style="16" customWidth="1"/>
    <col min="8970" max="8970" width="8.28515625" style="16" customWidth="1"/>
    <col min="8971" max="8972" width="7" style="16" customWidth="1"/>
    <col min="8973" max="8973" width="6.85546875" style="16" customWidth="1"/>
    <col min="8974" max="8974" width="7" style="16" customWidth="1"/>
    <col min="8975" max="8975" width="8.14062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8.28515625" style="16" customWidth="1"/>
    <col min="9219" max="9219" width="10.7109375" style="16" bestFit="1" customWidth="1"/>
    <col min="9220" max="9221" width="8.5703125" style="16" customWidth="1"/>
    <col min="9222" max="9222" width="9.28515625" style="16" customWidth="1"/>
    <col min="9223" max="9223" width="10.42578125" style="16" bestFit="1" customWidth="1"/>
    <col min="9224" max="9224" width="10.28515625" style="16" bestFit="1" customWidth="1"/>
    <col min="9225" max="9225" width="7.140625" style="16" customWidth="1"/>
    <col min="9226" max="9226" width="8.28515625" style="16" customWidth="1"/>
    <col min="9227" max="9228" width="7" style="16" customWidth="1"/>
    <col min="9229" max="9229" width="6.85546875" style="16" customWidth="1"/>
    <col min="9230" max="9230" width="7" style="16" customWidth="1"/>
    <col min="9231" max="9231" width="8.14062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8.28515625" style="16" customWidth="1"/>
    <col min="9475" max="9475" width="10.7109375" style="16" bestFit="1" customWidth="1"/>
    <col min="9476" max="9477" width="8.5703125" style="16" customWidth="1"/>
    <col min="9478" max="9478" width="9.28515625" style="16" customWidth="1"/>
    <col min="9479" max="9479" width="10.42578125" style="16" bestFit="1" customWidth="1"/>
    <col min="9480" max="9480" width="10.28515625" style="16" bestFit="1" customWidth="1"/>
    <col min="9481" max="9481" width="7.140625" style="16" customWidth="1"/>
    <col min="9482" max="9482" width="8.28515625" style="16" customWidth="1"/>
    <col min="9483" max="9484" width="7" style="16" customWidth="1"/>
    <col min="9485" max="9485" width="6.85546875" style="16" customWidth="1"/>
    <col min="9486" max="9486" width="7" style="16" customWidth="1"/>
    <col min="9487" max="9487" width="8.14062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8.28515625" style="16" customWidth="1"/>
    <col min="9731" max="9731" width="10.7109375" style="16" bestFit="1" customWidth="1"/>
    <col min="9732" max="9733" width="8.5703125" style="16" customWidth="1"/>
    <col min="9734" max="9734" width="9.28515625" style="16" customWidth="1"/>
    <col min="9735" max="9735" width="10.42578125" style="16" bestFit="1" customWidth="1"/>
    <col min="9736" max="9736" width="10.28515625" style="16" bestFit="1" customWidth="1"/>
    <col min="9737" max="9737" width="7.140625" style="16" customWidth="1"/>
    <col min="9738" max="9738" width="8.28515625" style="16" customWidth="1"/>
    <col min="9739" max="9740" width="7" style="16" customWidth="1"/>
    <col min="9741" max="9741" width="6.85546875" style="16" customWidth="1"/>
    <col min="9742" max="9742" width="7" style="16" customWidth="1"/>
    <col min="9743" max="9743" width="8.14062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8.28515625" style="16" customWidth="1"/>
    <col min="9987" max="9987" width="10.7109375" style="16" bestFit="1" customWidth="1"/>
    <col min="9988" max="9989" width="8.5703125" style="16" customWidth="1"/>
    <col min="9990" max="9990" width="9.28515625" style="16" customWidth="1"/>
    <col min="9991" max="9991" width="10.42578125" style="16" bestFit="1" customWidth="1"/>
    <col min="9992" max="9992" width="10.28515625" style="16" bestFit="1" customWidth="1"/>
    <col min="9993" max="9993" width="7.140625" style="16" customWidth="1"/>
    <col min="9994" max="9994" width="8.28515625" style="16" customWidth="1"/>
    <col min="9995" max="9996" width="7" style="16" customWidth="1"/>
    <col min="9997" max="9997" width="6.85546875" style="16" customWidth="1"/>
    <col min="9998" max="9998" width="7" style="16" customWidth="1"/>
    <col min="9999" max="9999" width="8.14062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8.28515625" style="16" customWidth="1"/>
    <col min="10243" max="10243" width="10.7109375" style="16" bestFit="1" customWidth="1"/>
    <col min="10244" max="10245" width="8.5703125" style="16" customWidth="1"/>
    <col min="10246" max="10246" width="9.28515625" style="16" customWidth="1"/>
    <col min="10247" max="10247" width="10.42578125" style="16" bestFit="1" customWidth="1"/>
    <col min="10248" max="10248" width="10.28515625" style="16" bestFit="1" customWidth="1"/>
    <col min="10249" max="10249" width="7.140625" style="16" customWidth="1"/>
    <col min="10250" max="10250" width="8.28515625" style="16" customWidth="1"/>
    <col min="10251" max="10252" width="7" style="16" customWidth="1"/>
    <col min="10253" max="10253" width="6.85546875" style="16" customWidth="1"/>
    <col min="10254" max="10254" width="7" style="16" customWidth="1"/>
    <col min="10255" max="10255" width="8.14062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8.28515625" style="16" customWidth="1"/>
    <col min="10499" max="10499" width="10.7109375" style="16" bestFit="1" customWidth="1"/>
    <col min="10500" max="10501" width="8.5703125" style="16" customWidth="1"/>
    <col min="10502" max="10502" width="9.28515625" style="16" customWidth="1"/>
    <col min="10503" max="10503" width="10.42578125" style="16" bestFit="1" customWidth="1"/>
    <col min="10504" max="10504" width="10.28515625" style="16" bestFit="1" customWidth="1"/>
    <col min="10505" max="10505" width="7.140625" style="16" customWidth="1"/>
    <col min="10506" max="10506" width="8.28515625" style="16" customWidth="1"/>
    <col min="10507" max="10508" width="7" style="16" customWidth="1"/>
    <col min="10509" max="10509" width="6.85546875" style="16" customWidth="1"/>
    <col min="10510" max="10510" width="7" style="16" customWidth="1"/>
    <col min="10511" max="10511" width="8.14062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8.28515625" style="16" customWidth="1"/>
    <col min="10755" max="10755" width="10.7109375" style="16" bestFit="1" customWidth="1"/>
    <col min="10756" max="10757" width="8.5703125" style="16" customWidth="1"/>
    <col min="10758" max="10758" width="9.28515625" style="16" customWidth="1"/>
    <col min="10759" max="10759" width="10.42578125" style="16" bestFit="1" customWidth="1"/>
    <col min="10760" max="10760" width="10.28515625" style="16" bestFit="1" customWidth="1"/>
    <col min="10761" max="10761" width="7.140625" style="16" customWidth="1"/>
    <col min="10762" max="10762" width="8.28515625" style="16" customWidth="1"/>
    <col min="10763" max="10764" width="7" style="16" customWidth="1"/>
    <col min="10765" max="10765" width="6.85546875" style="16" customWidth="1"/>
    <col min="10766" max="10766" width="7" style="16" customWidth="1"/>
    <col min="10767" max="10767" width="8.14062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8.28515625" style="16" customWidth="1"/>
    <col min="11011" max="11011" width="10.7109375" style="16" bestFit="1" customWidth="1"/>
    <col min="11012" max="11013" width="8.5703125" style="16" customWidth="1"/>
    <col min="11014" max="11014" width="9.28515625" style="16" customWidth="1"/>
    <col min="11015" max="11015" width="10.42578125" style="16" bestFit="1" customWidth="1"/>
    <col min="11016" max="11016" width="10.28515625" style="16" bestFit="1" customWidth="1"/>
    <col min="11017" max="11017" width="7.140625" style="16" customWidth="1"/>
    <col min="11018" max="11018" width="8.28515625" style="16" customWidth="1"/>
    <col min="11019" max="11020" width="7" style="16" customWidth="1"/>
    <col min="11021" max="11021" width="6.85546875" style="16" customWidth="1"/>
    <col min="11022" max="11022" width="7" style="16" customWidth="1"/>
    <col min="11023" max="11023" width="8.14062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8.28515625" style="16" customWidth="1"/>
    <col min="11267" max="11267" width="10.7109375" style="16" bestFit="1" customWidth="1"/>
    <col min="11268" max="11269" width="8.5703125" style="16" customWidth="1"/>
    <col min="11270" max="11270" width="9.28515625" style="16" customWidth="1"/>
    <col min="11271" max="11271" width="10.42578125" style="16" bestFit="1" customWidth="1"/>
    <col min="11272" max="11272" width="10.28515625" style="16" bestFit="1" customWidth="1"/>
    <col min="11273" max="11273" width="7.140625" style="16" customWidth="1"/>
    <col min="11274" max="11274" width="8.28515625" style="16" customWidth="1"/>
    <col min="11275" max="11276" width="7" style="16" customWidth="1"/>
    <col min="11277" max="11277" width="6.85546875" style="16" customWidth="1"/>
    <col min="11278" max="11278" width="7" style="16" customWidth="1"/>
    <col min="11279" max="11279" width="8.14062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8.28515625" style="16" customWidth="1"/>
    <col min="11523" max="11523" width="10.7109375" style="16" bestFit="1" customWidth="1"/>
    <col min="11524" max="11525" width="8.5703125" style="16" customWidth="1"/>
    <col min="11526" max="11526" width="9.28515625" style="16" customWidth="1"/>
    <col min="11527" max="11527" width="10.42578125" style="16" bestFit="1" customWidth="1"/>
    <col min="11528" max="11528" width="10.28515625" style="16" bestFit="1" customWidth="1"/>
    <col min="11529" max="11529" width="7.140625" style="16" customWidth="1"/>
    <col min="11530" max="11530" width="8.28515625" style="16" customWidth="1"/>
    <col min="11531" max="11532" width="7" style="16" customWidth="1"/>
    <col min="11533" max="11533" width="6.85546875" style="16" customWidth="1"/>
    <col min="11534" max="11534" width="7" style="16" customWidth="1"/>
    <col min="11535" max="11535" width="8.14062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8.28515625" style="16" customWidth="1"/>
    <col min="11779" max="11779" width="10.7109375" style="16" bestFit="1" customWidth="1"/>
    <col min="11780" max="11781" width="8.5703125" style="16" customWidth="1"/>
    <col min="11782" max="11782" width="9.28515625" style="16" customWidth="1"/>
    <col min="11783" max="11783" width="10.42578125" style="16" bestFit="1" customWidth="1"/>
    <col min="11784" max="11784" width="10.28515625" style="16" bestFit="1" customWidth="1"/>
    <col min="11785" max="11785" width="7.140625" style="16" customWidth="1"/>
    <col min="11786" max="11786" width="8.28515625" style="16" customWidth="1"/>
    <col min="11787" max="11788" width="7" style="16" customWidth="1"/>
    <col min="11789" max="11789" width="6.85546875" style="16" customWidth="1"/>
    <col min="11790" max="11790" width="7" style="16" customWidth="1"/>
    <col min="11791" max="11791" width="8.14062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8.28515625" style="16" customWidth="1"/>
    <col min="12035" max="12035" width="10.7109375" style="16" bestFit="1" customWidth="1"/>
    <col min="12036" max="12037" width="8.5703125" style="16" customWidth="1"/>
    <col min="12038" max="12038" width="9.28515625" style="16" customWidth="1"/>
    <col min="12039" max="12039" width="10.42578125" style="16" bestFit="1" customWidth="1"/>
    <col min="12040" max="12040" width="10.28515625" style="16" bestFit="1" customWidth="1"/>
    <col min="12041" max="12041" width="7.140625" style="16" customWidth="1"/>
    <col min="12042" max="12042" width="8.28515625" style="16" customWidth="1"/>
    <col min="12043" max="12044" width="7" style="16" customWidth="1"/>
    <col min="12045" max="12045" width="6.85546875" style="16" customWidth="1"/>
    <col min="12046" max="12046" width="7" style="16" customWidth="1"/>
    <col min="12047" max="12047" width="8.14062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8.28515625" style="16" customWidth="1"/>
    <col min="12291" max="12291" width="10.7109375" style="16" bestFit="1" customWidth="1"/>
    <col min="12292" max="12293" width="8.5703125" style="16" customWidth="1"/>
    <col min="12294" max="12294" width="9.28515625" style="16" customWidth="1"/>
    <col min="12295" max="12295" width="10.42578125" style="16" bestFit="1" customWidth="1"/>
    <col min="12296" max="12296" width="10.28515625" style="16" bestFit="1" customWidth="1"/>
    <col min="12297" max="12297" width="7.140625" style="16" customWidth="1"/>
    <col min="12298" max="12298" width="8.28515625" style="16" customWidth="1"/>
    <col min="12299" max="12300" width="7" style="16" customWidth="1"/>
    <col min="12301" max="12301" width="6.85546875" style="16" customWidth="1"/>
    <col min="12302" max="12302" width="7" style="16" customWidth="1"/>
    <col min="12303" max="12303" width="8.14062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8.28515625" style="16" customWidth="1"/>
    <col min="12547" max="12547" width="10.7109375" style="16" bestFit="1" customWidth="1"/>
    <col min="12548" max="12549" width="8.5703125" style="16" customWidth="1"/>
    <col min="12550" max="12550" width="9.28515625" style="16" customWidth="1"/>
    <col min="12551" max="12551" width="10.42578125" style="16" bestFit="1" customWidth="1"/>
    <col min="12552" max="12552" width="10.28515625" style="16" bestFit="1" customWidth="1"/>
    <col min="12553" max="12553" width="7.140625" style="16" customWidth="1"/>
    <col min="12554" max="12554" width="8.28515625" style="16" customWidth="1"/>
    <col min="12555" max="12556" width="7" style="16" customWidth="1"/>
    <col min="12557" max="12557" width="6.85546875" style="16" customWidth="1"/>
    <col min="12558" max="12558" width="7" style="16" customWidth="1"/>
    <col min="12559" max="12559" width="8.14062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8.28515625" style="16" customWidth="1"/>
    <col min="12803" max="12803" width="10.7109375" style="16" bestFit="1" customWidth="1"/>
    <col min="12804" max="12805" width="8.5703125" style="16" customWidth="1"/>
    <col min="12806" max="12806" width="9.28515625" style="16" customWidth="1"/>
    <col min="12807" max="12807" width="10.42578125" style="16" bestFit="1" customWidth="1"/>
    <col min="12808" max="12808" width="10.28515625" style="16" bestFit="1" customWidth="1"/>
    <col min="12809" max="12809" width="7.140625" style="16" customWidth="1"/>
    <col min="12810" max="12810" width="8.28515625" style="16" customWidth="1"/>
    <col min="12811" max="12812" width="7" style="16" customWidth="1"/>
    <col min="12813" max="12813" width="6.85546875" style="16" customWidth="1"/>
    <col min="12814" max="12814" width="7" style="16" customWidth="1"/>
    <col min="12815" max="12815" width="8.14062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8.28515625" style="16" customWidth="1"/>
    <col min="13059" max="13059" width="10.7109375" style="16" bestFit="1" customWidth="1"/>
    <col min="13060" max="13061" width="8.5703125" style="16" customWidth="1"/>
    <col min="13062" max="13062" width="9.28515625" style="16" customWidth="1"/>
    <col min="13063" max="13063" width="10.42578125" style="16" bestFit="1" customWidth="1"/>
    <col min="13064" max="13064" width="10.28515625" style="16" bestFit="1" customWidth="1"/>
    <col min="13065" max="13065" width="7.140625" style="16" customWidth="1"/>
    <col min="13066" max="13066" width="8.28515625" style="16" customWidth="1"/>
    <col min="13067" max="13068" width="7" style="16" customWidth="1"/>
    <col min="13069" max="13069" width="6.85546875" style="16" customWidth="1"/>
    <col min="13070" max="13070" width="7" style="16" customWidth="1"/>
    <col min="13071" max="13071" width="8.14062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8.28515625" style="16" customWidth="1"/>
    <col min="13315" max="13315" width="10.7109375" style="16" bestFit="1" customWidth="1"/>
    <col min="13316" max="13317" width="8.5703125" style="16" customWidth="1"/>
    <col min="13318" max="13318" width="9.28515625" style="16" customWidth="1"/>
    <col min="13319" max="13319" width="10.42578125" style="16" bestFit="1" customWidth="1"/>
    <col min="13320" max="13320" width="10.28515625" style="16" bestFit="1" customWidth="1"/>
    <col min="13321" max="13321" width="7.140625" style="16" customWidth="1"/>
    <col min="13322" max="13322" width="8.28515625" style="16" customWidth="1"/>
    <col min="13323" max="13324" width="7" style="16" customWidth="1"/>
    <col min="13325" max="13325" width="6.85546875" style="16" customWidth="1"/>
    <col min="13326" max="13326" width="7" style="16" customWidth="1"/>
    <col min="13327" max="13327" width="8.14062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8.28515625" style="16" customWidth="1"/>
    <col min="13571" max="13571" width="10.7109375" style="16" bestFit="1" customWidth="1"/>
    <col min="13572" max="13573" width="8.5703125" style="16" customWidth="1"/>
    <col min="13574" max="13574" width="9.28515625" style="16" customWidth="1"/>
    <col min="13575" max="13575" width="10.42578125" style="16" bestFit="1" customWidth="1"/>
    <col min="13576" max="13576" width="10.28515625" style="16" bestFit="1" customWidth="1"/>
    <col min="13577" max="13577" width="7.140625" style="16" customWidth="1"/>
    <col min="13578" max="13578" width="8.28515625" style="16" customWidth="1"/>
    <col min="13579" max="13580" width="7" style="16" customWidth="1"/>
    <col min="13581" max="13581" width="6.85546875" style="16" customWidth="1"/>
    <col min="13582" max="13582" width="7" style="16" customWidth="1"/>
    <col min="13583" max="13583" width="8.14062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8.28515625" style="16" customWidth="1"/>
    <col min="13827" max="13827" width="10.7109375" style="16" bestFit="1" customWidth="1"/>
    <col min="13828" max="13829" width="8.5703125" style="16" customWidth="1"/>
    <col min="13830" max="13830" width="9.28515625" style="16" customWidth="1"/>
    <col min="13831" max="13831" width="10.42578125" style="16" bestFit="1" customWidth="1"/>
    <col min="13832" max="13832" width="10.28515625" style="16" bestFit="1" customWidth="1"/>
    <col min="13833" max="13833" width="7.140625" style="16" customWidth="1"/>
    <col min="13834" max="13834" width="8.28515625" style="16" customWidth="1"/>
    <col min="13835" max="13836" width="7" style="16" customWidth="1"/>
    <col min="13837" max="13837" width="6.85546875" style="16" customWidth="1"/>
    <col min="13838" max="13838" width="7" style="16" customWidth="1"/>
    <col min="13839" max="13839" width="8.14062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8.28515625" style="16" customWidth="1"/>
    <col min="14083" max="14083" width="10.7109375" style="16" bestFit="1" customWidth="1"/>
    <col min="14084" max="14085" width="8.5703125" style="16" customWidth="1"/>
    <col min="14086" max="14086" width="9.28515625" style="16" customWidth="1"/>
    <col min="14087" max="14087" width="10.42578125" style="16" bestFit="1" customWidth="1"/>
    <col min="14088" max="14088" width="10.28515625" style="16" bestFit="1" customWidth="1"/>
    <col min="14089" max="14089" width="7.140625" style="16" customWidth="1"/>
    <col min="14090" max="14090" width="8.28515625" style="16" customWidth="1"/>
    <col min="14091" max="14092" width="7" style="16" customWidth="1"/>
    <col min="14093" max="14093" width="6.85546875" style="16" customWidth="1"/>
    <col min="14094" max="14094" width="7" style="16" customWidth="1"/>
    <col min="14095" max="14095" width="8.14062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8.28515625" style="16" customWidth="1"/>
    <col min="14339" max="14339" width="10.7109375" style="16" bestFit="1" customWidth="1"/>
    <col min="14340" max="14341" width="8.5703125" style="16" customWidth="1"/>
    <col min="14342" max="14342" width="9.28515625" style="16" customWidth="1"/>
    <col min="14343" max="14343" width="10.42578125" style="16" bestFit="1" customWidth="1"/>
    <col min="14344" max="14344" width="10.28515625" style="16" bestFit="1" customWidth="1"/>
    <col min="14345" max="14345" width="7.140625" style="16" customWidth="1"/>
    <col min="14346" max="14346" width="8.28515625" style="16" customWidth="1"/>
    <col min="14347" max="14348" width="7" style="16" customWidth="1"/>
    <col min="14349" max="14349" width="6.85546875" style="16" customWidth="1"/>
    <col min="14350" max="14350" width="7" style="16" customWidth="1"/>
    <col min="14351" max="14351" width="8.14062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8.28515625" style="16" customWidth="1"/>
    <col min="14595" max="14595" width="10.7109375" style="16" bestFit="1" customWidth="1"/>
    <col min="14596" max="14597" width="8.5703125" style="16" customWidth="1"/>
    <col min="14598" max="14598" width="9.28515625" style="16" customWidth="1"/>
    <col min="14599" max="14599" width="10.42578125" style="16" bestFit="1" customWidth="1"/>
    <col min="14600" max="14600" width="10.28515625" style="16" bestFit="1" customWidth="1"/>
    <col min="14601" max="14601" width="7.140625" style="16" customWidth="1"/>
    <col min="14602" max="14602" width="8.28515625" style="16" customWidth="1"/>
    <col min="14603" max="14604" width="7" style="16" customWidth="1"/>
    <col min="14605" max="14605" width="6.85546875" style="16" customWidth="1"/>
    <col min="14606" max="14606" width="7" style="16" customWidth="1"/>
    <col min="14607" max="14607" width="8.14062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8.28515625" style="16" customWidth="1"/>
    <col min="14851" max="14851" width="10.7109375" style="16" bestFit="1" customWidth="1"/>
    <col min="14852" max="14853" width="8.5703125" style="16" customWidth="1"/>
    <col min="14854" max="14854" width="9.28515625" style="16" customWidth="1"/>
    <col min="14855" max="14855" width="10.42578125" style="16" bestFit="1" customWidth="1"/>
    <col min="14856" max="14856" width="10.28515625" style="16" bestFit="1" customWidth="1"/>
    <col min="14857" max="14857" width="7.140625" style="16" customWidth="1"/>
    <col min="14858" max="14858" width="8.28515625" style="16" customWidth="1"/>
    <col min="14859" max="14860" width="7" style="16" customWidth="1"/>
    <col min="14861" max="14861" width="6.85546875" style="16" customWidth="1"/>
    <col min="14862" max="14862" width="7" style="16" customWidth="1"/>
    <col min="14863" max="14863" width="8.14062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8.28515625" style="16" customWidth="1"/>
    <col min="15107" max="15107" width="10.7109375" style="16" bestFit="1" customWidth="1"/>
    <col min="15108" max="15109" width="8.5703125" style="16" customWidth="1"/>
    <col min="15110" max="15110" width="9.28515625" style="16" customWidth="1"/>
    <col min="15111" max="15111" width="10.42578125" style="16" bestFit="1" customWidth="1"/>
    <col min="15112" max="15112" width="10.28515625" style="16" bestFit="1" customWidth="1"/>
    <col min="15113" max="15113" width="7.140625" style="16" customWidth="1"/>
    <col min="15114" max="15114" width="8.28515625" style="16" customWidth="1"/>
    <col min="15115" max="15116" width="7" style="16" customWidth="1"/>
    <col min="15117" max="15117" width="6.85546875" style="16" customWidth="1"/>
    <col min="15118" max="15118" width="7" style="16" customWidth="1"/>
    <col min="15119" max="15119" width="8.14062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8.28515625" style="16" customWidth="1"/>
    <col min="15363" max="15363" width="10.7109375" style="16" bestFit="1" customWidth="1"/>
    <col min="15364" max="15365" width="8.5703125" style="16" customWidth="1"/>
    <col min="15366" max="15366" width="9.28515625" style="16" customWidth="1"/>
    <col min="15367" max="15367" width="10.42578125" style="16" bestFit="1" customWidth="1"/>
    <col min="15368" max="15368" width="10.28515625" style="16" bestFit="1" customWidth="1"/>
    <col min="15369" max="15369" width="7.140625" style="16" customWidth="1"/>
    <col min="15370" max="15370" width="8.28515625" style="16" customWidth="1"/>
    <col min="15371" max="15372" width="7" style="16" customWidth="1"/>
    <col min="15373" max="15373" width="6.85546875" style="16" customWidth="1"/>
    <col min="15374" max="15374" width="7" style="16" customWidth="1"/>
    <col min="15375" max="15375" width="8.14062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8.28515625" style="16" customWidth="1"/>
    <col min="15619" max="15619" width="10.7109375" style="16" bestFit="1" customWidth="1"/>
    <col min="15620" max="15621" width="8.5703125" style="16" customWidth="1"/>
    <col min="15622" max="15622" width="9.28515625" style="16" customWidth="1"/>
    <col min="15623" max="15623" width="10.42578125" style="16" bestFit="1" customWidth="1"/>
    <col min="15624" max="15624" width="10.28515625" style="16" bestFit="1" customWidth="1"/>
    <col min="15625" max="15625" width="7.140625" style="16" customWidth="1"/>
    <col min="15626" max="15626" width="8.28515625" style="16" customWidth="1"/>
    <col min="15627" max="15628" width="7" style="16" customWidth="1"/>
    <col min="15629" max="15629" width="6.85546875" style="16" customWidth="1"/>
    <col min="15630" max="15630" width="7" style="16" customWidth="1"/>
    <col min="15631" max="15631" width="8.14062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8.28515625" style="16" customWidth="1"/>
    <col min="15875" max="15875" width="10.7109375" style="16" bestFit="1" customWidth="1"/>
    <col min="15876" max="15877" width="8.5703125" style="16" customWidth="1"/>
    <col min="15878" max="15878" width="9.28515625" style="16" customWidth="1"/>
    <col min="15879" max="15879" width="10.42578125" style="16" bestFit="1" customWidth="1"/>
    <col min="15880" max="15880" width="10.28515625" style="16" bestFit="1" customWidth="1"/>
    <col min="15881" max="15881" width="7.140625" style="16" customWidth="1"/>
    <col min="15882" max="15882" width="8.28515625" style="16" customWidth="1"/>
    <col min="15883" max="15884" width="7" style="16" customWidth="1"/>
    <col min="15885" max="15885" width="6.85546875" style="16" customWidth="1"/>
    <col min="15886" max="15886" width="7" style="16" customWidth="1"/>
    <col min="15887" max="15887" width="8.14062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8.28515625" style="16" customWidth="1"/>
    <col min="16131" max="16131" width="10.7109375" style="16" bestFit="1" customWidth="1"/>
    <col min="16132" max="16133" width="8.5703125" style="16" customWidth="1"/>
    <col min="16134" max="16134" width="9.28515625" style="16" customWidth="1"/>
    <col min="16135" max="16135" width="10.42578125" style="16" bestFit="1" customWidth="1"/>
    <col min="16136" max="16136" width="10.28515625" style="16" bestFit="1" customWidth="1"/>
    <col min="16137" max="16137" width="7.140625" style="16" customWidth="1"/>
    <col min="16138" max="16138" width="8.28515625" style="16" customWidth="1"/>
    <col min="16139" max="16140" width="7" style="16" customWidth="1"/>
    <col min="16141" max="16141" width="6.85546875" style="16" customWidth="1"/>
    <col min="16142" max="16142" width="7" style="16" customWidth="1"/>
    <col min="16143" max="16143" width="8.14062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67" t="s">
        <v>100</v>
      </c>
      <c r="B1" s="868"/>
      <c r="C1" s="868"/>
      <c r="D1" s="911" t="s">
        <v>507</v>
      </c>
      <c r="E1" s="868"/>
      <c r="F1" s="868"/>
      <c r="G1" s="867" t="s">
        <v>102</v>
      </c>
      <c r="H1" s="869"/>
      <c r="I1" s="869" t="s">
        <v>508</v>
      </c>
      <c r="J1" s="868"/>
      <c r="K1" s="868"/>
      <c r="L1" s="870"/>
      <c r="M1" s="870"/>
      <c r="N1" s="870"/>
      <c r="O1" s="870"/>
    </row>
    <row r="2" spans="1:15" s="1" customFormat="1" x14ac:dyDescent="0.2">
      <c r="A2" s="867" t="s">
        <v>103</v>
      </c>
      <c r="B2" s="868"/>
      <c r="C2" s="868"/>
      <c r="D2" s="869"/>
      <c r="E2" s="868"/>
      <c r="F2" s="868"/>
      <c r="G2" s="867" t="s">
        <v>104</v>
      </c>
      <c r="H2" s="869"/>
      <c r="I2" s="869" t="s">
        <v>105</v>
      </c>
      <c r="J2" s="868"/>
      <c r="K2" s="868"/>
      <c r="L2" s="870"/>
      <c r="M2" s="870"/>
      <c r="N2" s="870"/>
      <c r="O2" s="870"/>
    </row>
    <row r="3" spans="1:15" s="1" customFormat="1" x14ac:dyDescent="0.2">
      <c r="A3" s="867" t="s">
        <v>106</v>
      </c>
      <c r="B3" s="868"/>
      <c r="C3" s="868"/>
      <c r="D3" s="883">
        <v>24755</v>
      </c>
      <c r="E3" s="868"/>
      <c r="F3" s="868"/>
      <c r="G3" s="867" t="s">
        <v>107</v>
      </c>
      <c r="H3" s="869"/>
      <c r="I3" s="869" t="s">
        <v>108</v>
      </c>
      <c r="J3" s="868"/>
      <c r="K3" s="868"/>
      <c r="L3" s="870"/>
      <c r="M3" s="870"/>
      <c r="N3" s="870"/>
      <c r="O3" s="870"/>
    </row>
    <row r="4" spans="1:15" s="1" customFormat="1" x14ac:dyDescent="0.2">
      <c r="A4" s="867" t="s">
        <v>109</v>
      </c>
      <c r="B4" s="868"/>
      <c r="C4" s="868"/>
      <c r="D4" s="869"/>
      <c r="E4" s="868"/>
      <c r="F4" s="868"/>
      <c r="G4" s="867" t="s">
        <v>110</v>
      </c>
      <c r="H4" s="869"/>
      <c r="I4" s="869" t="s">
        <v>478</v>
      </c>
      <c r="J4" s="868"/>
      <c r="K4" s="868"/>
      <c r="L4" s="870"/>
      <c r="M4" s="870"/>
      <c r="N4" s="870"/>
      <c r="O4" s="870"/>
    </row>
    <row r="5" spans="1:15" s="1" customFormat="1" x14ac:dyDescent="0.2">
      <c r="A5" s="867" t="s">
        <v>443</v>
      </c>
      <c r="B5" s="868"/>
      <c r="C5" s="868"/>
      <c r="D5" s="883" t="s">
        <v>509</v>
      </c>
      <c r="E5" s="868"/>
      <c r="F5" s="868"/>
      <c r="G5" s="867"/>
      <c r="H5" s="868"/>
      <c r="I5" s="869" t="s">
        <v>113</v>
      </c>
      <c r="J5" s="868"/>
      <c r="K5" s="868"/>
      <c r="L5" s="870"/>
      <c r="M5" s="870"/>
      <c r="N5" s="870"/>
      <c r="O5" s="870"/>
    </row>
    <row r="6" spans="1:15" s="1" customFormat="1" x14ac:dyDescent="0.2">
      <c r="A6" s="871" t="s">
        <v>496</v>
      </c>
      <c r="B6" s="872"/>
      <c r="C6" s="872"/>
      <c r="D6" s="868" t="s">
        <v>16</v>
      </c>
      <c r="E6" s="868"/>
      <c r="F6" s="868"/>
      <c r="G6" s="871" t="s">
        <v>115</v>
      </c>
      <c r="H6" s="871"/>
      <c r="I6" s="2" t="s">
        <v>116</v>
      </c>
      <c r="J6" s="888"/>
      <c r="K6" s="888"/>
      <c r="L6" s="888"/>
      <c r="M6" s="888"/>
      <c r="N6" s="888"/>
      <c r="O6" s="889"/>
    </row>
    <row r="7" spans="1:15" s="1" customFormat="1" ht="13.5" thickBot="1" x14ac:dyDescent="0.25">
      <c r="A7" s="3"/>
      <c r="B7" s="4"/>
      <c r="C7" s="5"/>
      <c r="D7" s="6"/>
      <c r="E7" s="6"/>
      <c r="F7" s="6"/>
      <c r="G7" s="6"/>
      <c r="H7" s="6"/>
      <c r="I7" s="6"/>
      <c r="J7" s="7"/>
      <c r="K7" s="8"/>
      <c r="L7" s="875" t="s">
        <v>223</v>
      </c>
      <c r="M7" s="875"/>
      <c r="N7" s="875"/>
      <c r="O7" s="875"/>
    </row>
    <row r="8" spans="1:15" s="11" customFormat="1" x14ac:dyDescent="0.2">
      <c r="A8" s="876" t="str">
        <f>I1</f>
        <v xml:space="preserve">Mr. P. M. Khapke </v>
      </c>
      <c r="B8" s="877"/>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93000</v>
      </c>
      <c r="D9" s="14">
        <v>93000</v>
      </c>
      <c r="E9" s="14">
        <v>93000</v>
      </c>
      <c r="F9" s="14">
        <v>93000</v>
      </c>
      <c r="G9" s="14">
        <v>95800</v>
      </c>
      <c r="H9" s="14">
        <v>95800</v>
      </c>
      <c r="I9" s="14">
        <v>95800</v>
      </c>
      <c r="J9" s="14">
        <v>95800</v>
      </c>
      <c r="K9" s="14">
        <v>95800</v>
      </c>
      <c r="L9" s="14">
        <v>95800</v>
      </c>
      <c r="M9" s="14">
        <v>95800</v>
      </c>
      <c r="N9" s="14">
        <v>95800</v>
      </c>
      <c r="O9" s="15">
        <f>SUM(C9:N9)</f>
        <v>1138400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4650</v>
      </c>
      <c r="D11" s="17">
        <v>6510</v>
      </c>
      <c r="E11" s="17">
        <v>6510</v>
      </c>
      <c r="F11" s="17">
        <v>6510</v>
      </c>
      <c r="G11" s="17">
        <v>6706</v>
      </c>
      <c r="H11" s="17">
        <v>6706</v>
      </c>
      <c r="I11" s="17">
        <v>6706</v>
      </c>
      <c r="J11" s="17">
        <v>8622</v>
      </c>
      <c r="K11" s="17">
        <v>8622</v>
      </c>
      <c r="L11" s="17">
        <v>8622</v>
      </c>
      <c r="M11" s="17">
        <v>8622</v>
      </c>
      <c r="N11" s="17">
        <v>8622</v>
      </c>
      <c r="O11" s="18">
        <f>SUM(C11:N11)</f>
        <v>87408</v>
      </c>
    </row>
    <row r="12" spans="1:15"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7" si="0">SUM(C13:N13)</f>
        <v>0</v>
      </c>
    </row>
    <row r="14" spans="1:15" ht="15" x14ac:dyDescent="0.2">
      <c r="A14" s="12"/>
      <c r="B14" s="13" t="s">
        <v>123</v>
      </c>
      <c r="C14" s="17">
        <v>7560</v>
      </c>
      <c r="D14" s="17">
        <v>7704</v>
      </c>
      <c r="E14" s="17">
        <v>7704</v>
      </c>
      <c r="F14" s="17">
        <v>7704</v>
      </c>
      <c r="G14" s="17">
        <v>7704</v>
      </c>
      <c r="H14" s="17">
        <v>7704</v>
      </c>
      <c r="I14" s="17">
        <v>7704</v>
      </c>
      <c r="J14" s="17">
        <v>7848</v>
      </c>
      <c r="K14" s="17">
        <v>7848</v>
      </c>
      <c r="L14" s="17">
        <v>7848</v>
      </c>
      <c r="M14" s="17">
        <v>7848</v>
      </c>
      <c r="N14" s="17">
        <v>7848</v>
      </c>
      <c r="O14" s="18">
        <f t="shared" si="0"/>
        <v>93024</v>
      </c>
    </row>
    <row r="15" spans="1:15"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hidden="1"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127</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0</v>
      </c>
      <c r="D19" s="17">
        <v>0</v>
      </c>
      <c r="E19" s="17">
        <v>0</v>
      </c>
      <c r="F19" s="17">
        <v>0</v>
      </c>
      <c r="G19" s="17">
        <v>0</v>
      </c>
      <c r="H19" s="17">
        <v>0</v>
      </c>
      <c r="I19" s="17">
        <v>0</v>
      </c>
      <c r="J19" s="17">
        <v>0</v>
      </c>
      <c r="K19" s="17">
        <v>0</v>
      </c>
      <c r="L19" s="17">
        <v>0</v>
      </c>
      <c r="M19" s="17">
        <v>0</v>
      </c>
      <c r="N19" s="17">
        <v>0</v>
      </c>
      <c r="O19" s="18">
        <f t="shared" si="0"/>
        <v>0</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78"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79"/>
      <c r="B22" s="19" t="s">
        <v>141</v>
      </c>
      <c r="C22" s="17">
        <v>0</v>
      </c>
      <c r="D22" s="17">
        <v>0</v>
      </c>
      <c r="E22" s="17">
        <v>0</v>
      </c>
      <c r="F22" s="17">
        <v>0</v>
      </c>
      <c r="G22" s="17">
        <v>0</v>
      </c>
      <c r="H22" s="17">
        <v>0</v>
      </c>
      <c r="I22" s="17">
        <v>0</v>
      </c>
      <c r="J22" s="17">
        <v>0</v>
      </c>
      <c r="K22" s="17">
        <v>0</v>
      </c>
      <c r="L22" s="17">
        <v>0</v>
      </c>
      <c r="M22" s="17">
        <v>0</v>
      </c>
      <c r="N22" s="17">
        <v>0</v>
      </c>
      <c r="O22" s="18">
        <f t="shared" si="0"/>
        <v>0</v>
      </c>
    </row>
    <row r="23" spans="1:15" ht="15" customHeight="1" x14ac:dyDescent="0.2">
      <c r="A23" s="879"/>
      <c r="B23" s="19" t="s">
        <v>132</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79"/>
      <c r="B24" s="19" t="s">
        <v>133</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79"/>
      <c r="B25" s="19" t="s">
        <v>134</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79"/>
      <c r="B26" s="19" t="s">
        <v>135</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79"/>
      <c r="B27" s="19" t="s">
        <v>136</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79"/>
      <c r="B28" s="19" t="s">
        <v>137</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79"/>
      <c r="B29" s="19" t="s">
        <v>138</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79"/>
      <c r="B30" s="19" t="s">
        <v>139</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79"/>
      <c r="B31" s="19" t="s">
        <v>140</v>
      </c>
      <c r="C31" s="17">
        <v>0</v>
      </c>
      <c r="D31" s="17">
        <v>0</v>
      </c>
      <c r="E31" s="17">
        <v>0</v>
      </c>
      <c r="F31" s="17">
        <v>0</v>
      </c>
      <c r="G31" s="17">
        <v>0</v>
      </c>
      <c r="H31" s="17">
        <v>0</v>
      </c>
      <c r="I31" s="17">
        <v>0</v>
      </c>
      <c r="J31" s="17">
        <v>0</v>
      </c>
      <c r="K31" s="17">
        <v>0</v>
      </c>
      <c r="L31" s="17">
        <v>0</v>
      </c>
      <c r="M31" s="17">
        <v>0</v>
      </c>
      <c r="N31" s="17">
        <v>0</v>
      </c>
      <c r="O31" s="18">
        <f t="shared" si="0"/>
        <v>0</v>
      </c>
    </row>
    <row r="32" spans="1:15" ht="15" hidden="1" customHeight="1" x14ac:dyDescent="0.2">
      <c r="A32" s="879"/>
      <c r="B32" s="19" t="s">
        <v>225</v>
      </c>
      <c r="C32" s="17">
        <v>0</v>
      </c>
      <c r="D32" s="17">
        <v>0</v>
      </c>
      <c r="E32" s="17">
        <v>0</v>
      </c>
      <c r="F32" s="17">
        <v>0</v>
      </c>
      <c r="G32" s="17">
        <v>0</v>
      </c>
      <c r="H32" s="17">
        <v>0</v>
      </c>
      <c r="I32" s="17">
        <v>0</v>
      </c>
      <c r="J32" s="17">
        <v>0</v>
      </c>
      <c r="K32" s="17">
        <v>0</v>
      </c>
      <c r="L32" s="17">
        <v>0</v>
      </c>
      <c r="M32" s="17">
        <v>0</v>
      </c>
      <c r="N32" s="17">
        <v>0</v>
      </c>
      <c r="O32" s="18">
        <f t="shared" si="0"/>
        <v>0</v>
      </c>
    </row>
    <row r="33" spans="1:16" ht="15" customHeight="1" x14ac:dyDescent="0.2">
      <c r="A33" s="879"/>
      <c r="B33" s="21" t="s">
        <v>142</v>
      </c>
      <c r="C33" s="17">
        <v>0</v>
      </c>
      <c r="D33" s="17">
        <v>0</v>
      </c>
      <c r="E33" s="17">
        <v>0</v>
      </c>
      <c r="F33" s="17">
        <v>0</v>
      </c>
      <c r="G33" s="17">
        <v>0</v>
      </c>
      <c r="H33" s="17">
        <v>0</v>
      </c>
      <c r="I33" s="17">
        <v>0</v>
      </c>
      <c r="J33" s="17">
        <v>0</v>
      </c>
      <c r="K33" s="17">
        <v>0</v>
      </c>
      <c r="L33" s="17">
        <v>0</v>
      </c>
      <c r="M33" s="17">
        <v>0</v>
      </c>
      <c r="N33" s="17">
        <v>0</v>
      </c>
      <c r="O33" s="18">
        <f t="shared" si="0"/>
        <v>0</v>
      </c>
    </row>
    <row r="34" spans="1:16" ht="15" hidden="1" customHeight="1" x14ac:dyDescent="0.2">
      <c r="A34" s="880"/>
      <c r="B34" s="19" t="s">
        <v>226</v>
      </c>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865" t="s">
        <v>144</v>
      </c>
      <c r="B35" s="866"/>
      <c r="C35" s="17">
        <v>0</v>
      </c>
      <c r="D35" s="17">
        <v>0</v>
      </c>
      <c r="E35" s="17">
        <v>0</v>
      </c>
      <c r="F35" s="17">
        <v>0</v>
      </c>
      <c r="G35" s="17">
        <v>0</v>
      </c>
      <c r="H35" s="17">
        <v>0</v>
      </c>
      <c r="I35" s="17">
        <v>0</v>
      </c>
      <c r="J35" s="17">
        <v>0</v>
      </c>
      <c r="K35" s="17">
        <v>0</v>
      </c>
      <c r="L35" s="17">
        <v>0</v>
      </c>
      <c r="M35" s="17">
        <v>0</v>
      </c>
      <c r="N35" s="17">
        <v>0</v>
      </c>
      <c r="O35" s="18">
        <f t="shared" si="0"/>
        <v>0</v>
      </c>
    </row>
    <row r="36" spans="1:16" ht="15" customHeight="1" x14ac:dyDescent="0.2">
      <c r="A36" s="865" t="s">
        <v>145</v>
      </c>
      <c r="B36" s="866"/>
      <c r="C36" s="17">
        <v>0</v>
      </c>
      <c r="D36" s="17">
        <v>432</v>
      </c>
      <c r="E36" s="17">
        <v>0</v>
      </c>
      <c r="F36" s="17">
        <v>0</v>
      </c>
      <c r="G36" s="17">
        <v>0</v>
      </c>
      <c r="H36" s="17">
        <v>0</v>
      </c>
      <c r="I36" s="17">
        <v>0</v>
      </c>
      <c r="J36" s="17">
        <v>432</v>
      </c>
      <c r="K36" s="17">
        <v>0</v>
      </c>
      <c r="L36" s="17">
        <v>0</v>
      </c>
      <c r="M36" s="17">
        <v>0</v>
      </c>
      <c r="N36" s="17">
        <v>0</v>
      </c>
      <c r="O36" s="18">
        <f t="shared" si="0"/>
        <v>864</v>
      </c>
    </row>
    <row r="37" spans="1:16" ht="15" customHeight="1" x14ac:dyDescent="0.2">
      <c r="A37" s="865" t="s">
        <v>146</v>
      </c>
      <c r="B37" s="866"/>
      <c r="C37" s="17">
        <v>0</v>
      </c>
      <c r="D37" s="17">
        <v>5580</v>
      </c>
      <c r="E37" s="17">
        <v>0</v>
      </c>
      <c r="F37" s="17">
        <v>0</v>
      </c>
      <c r="G37" s="17">
        <v>0</v>
      </c>
      <c r="H37" s="17">
        <v>0</v>
      </c>
      <c r="I37" s="17">
        <v>0</v>
      </c>
      <c r="J37" s="17">
        <v>5748</v>
      </c>
      <c r="K37" s="17">
        <v>0</v>
      </c>
      <c r="L37" s="17">
        <v>0</v>
      </c>
      <c r="M37" s="17">
        <v>0</v>
      </c>
      <c r="N37" s="17">
        <v>0</v>
      </c>
      <c r="O37" s="18">
        <f t="shared" si="0"/>
        <v>11328</v>
      </c>
    </row>
    <row r="38" spans="1:16" ht="15" customHeight="1" x14ac:dyDescent="0.2">
      <c r="A38" s="22"/>
      <c r="B38" s="23" t="s">
        <v>147</v>
      </c>
      <c r="C38" s="24">
        <f t="shared" ref="C38:N38" si="1">SUM(C9:C37)</f>
        <v>105210</v>
      </c>
      <c r="D38" s="24">
        <f t="shared" si="1"/>
        <v>113226</v>
      </c>
      <c r="E38" s="24">
        <f t="shared" si="1"/>
        <v>107214</v>
      </c>
      <c r="F38" s="24">
        <f t="shared" si="1"/>
        <v>107214</v>
      </c>
      <c r="G38" s="24">
        <f t="shared" si="1"/>
        <v>110210</v>
      </c>
      <c r="H38" s="24">
        <f t="shared" si="1"/>
        <v>110210</v>
      </c>
      <c r="I38" s="24">
        <f t="shared" si="1"/>
        <v>110210</v>
      </c>
      <c r="J38" s="24">
        <f t="shared" si="1"/>
        <v>118450</v>
      </c>
      <c r="K38" s="24">
        <f t="shared" si="1"/>
        <v>112270</v>
      </c>
      <c r="L38" s="24">
        <f t="shared" si="1"/>
        <v>112270</v>
      </c>
      <c r="M38" s="24">
        <f t="shared" si="1"/>
        <v>112270</v>
      </c>
      <c r="N38" s="24">
        <f t="shared" si="1"/>
        <v>112270</v>
      </c>
      <c r="O38" s="25">
        <f>SUM(C38:N38)</f>
        <v>1331024</v>
      </c>
    </row>
    <row r="39" spans="1:16" ht="15" customHeight="1" x14ac:dyDescent="0.2">
      <c r="A39" s="853" t="s">
        <v>148</v>
      </c>
      <c r="B39" s="27" t="s">
        <v>149</v>
      </c>
      <c r="C39" s="17">
        <v>13500</v>
      </c>
      <c r="D39" s="17">
        <v>13000</v>
      </c>
      <c r="E39" s="17">
        <v>13000</v>
      </c>
      <c r="F39" s="17">
        <v>13000</v>
      </c>
      <c r="G39" s="17">
        <v>13000</v>
      </c>
      <c r="H39" s="17">
        <v>13000</v>
      </c>
      <c r="I39" s="17">
        <v>13000</v>
      </c>
      <c r="J39" s="17">
        <v>13000</v>
      </c>
      <c r="K39" s="17">
        <v>0</v>
      </c>
      <c r="L39" s="17">
        <v>0</v>
      </c>
      <c r="M39" s="17">
        <v>0</v>
      </c>
      <c r="N39" s="17">
        <v>0</v>
      </c>
      <c r="O39" s="18">
        <f>SUM(C39:N39)</f>
        <v>104500</v>
      </c>
      <c r="P39" s="248"/>
    </row>
    <row r="40" spans="1:16" ht="15" x14ac:dyDescent="0.2">
      <c r="A40" s="854"/>
      <c r="B40" s="27" t="s">
        <v>150</v>
      </c>
      <c r="C40" s="17">
        <v>0</v>
      </c>
      <c r="D40" s="17">
        <v>0</v>
      </c>
      <c r="E40" s="17">
        <v>0</v>
      </c>
      <c r="F40" s="17">
        <v>0</v>
      </c>
      <c r="G40" s="17">
        <v>0</v>
      </c>
      <c r="H40" s="17">
        <v>0</v>
      </c>
      <c r="I40" s="17">
        <v>0</v>
      </c>
      <c r="J40" s="17">
        <v>0</v>
      </c>
      <c r="K40" s="17">
        <v>0</v>
      </c>
      <c r="L40" s="17">
        <v>0</v>
      </c>
      <c r="M40" s="17">
        <v>0</v>
      </c>
      <c r="N40" s="17">
        <v>0</v>
      </c>
      <c r="O40" s="18">
        <f>SUM(C40:N40)</f>
        <v>0</v>
      </c>
    </row>
    <row r="41" spans="1:16" ht="15" x14ac:dyDescent="0.2">
      <c r="A41" s="854"/>
      <c r="B41" s="27" t="s">
        <v>151</v>
      </c>
      <c r="C41" s="17">
        <v>60</v>
      </c>
      <c r="D41" s="17">
        <v>60</v>
      </c>
      <c r="E41" s="17">
        <v>60</v>
      </c>
      <c r="F41" s="17">
        <v>60</v>
      </c>
      <c r="G41" s="17">
        <v>60</v>
      </c>
      <c r="H41" s="17">
        <v>60</v>
      </c>
      <c r="I41" s="17">
        <v>60</v>
      </c>
      <c r="J41" s="17">
        <v>60</v>
      </c>
      <c r="K41" s="17">
        <v>60</v>
      </c>
      <c r="L41" s="17">
        <v>60</v>
      </c>
      <c r="M41" s="17">
        <v>60</v>
      </c>
      <c r="N41" s="17">
        <v>60</v>
      </c>
      <c r="O41" s="18">
        <f t="shared" ref="O41:O52" si="2">SUM(C41:N41)</f>
        <v>720</v>
      </c>
    </row>
    <row r="42" spans="1:16" ht="15" x14ac:dyDescent="0.2">
      <c r="A42" s="854"/>
      <c r="B42" s="27" t="s">
        <v>152</v>
      </c>
      <c r="C42" s="17">
        <v>0</v>
      </c>
      <c r="D42" s="17">
        <v>0</v>
      </c>
      <c r="E42" s="17">
        <v>0</v>
      </c>
      <c r="F42" s="17">
        <v>0</v>
      </c>
      <c r="G42" s="17">
        <v>0</v>
      </c>
      <c r="H42" s="17">
        <v>0</v>
      </c>
      <c r="I42" s="17">
        <v>0</v>
      </c>
      <c r="J42" s="17">
        <v>0</v>
      </c>
      <c r="K42" s="17">
        <v>0</v>
      </c>
      <c r="L42" s="17">
        <v>0</v>
      </c>
      <c r="M42" s="17">
        <v>0</v>
      </c>
      <c r="N42" s="17">
        <v>0</v>
      </c>
      <c r="O42" s="18">
        <f t="shared" si="2"/>
        <v>0</v>
      </c>
    </row>
    <row r="43" spans="1:16" ht="15" x14ac:dyDescent="0.2">
      <c r="A43" s="854"/>
      <c r="B43" s="27" t="s">
        <v>153</v>
      </c>
      <c r="C43" s="17">
        <v>650</v>
      </c>
      <c r="D43" s="17">
        <v>650</v>
      </c>
      <c r="E43" s="17">
        <v>650</v>
      </c>
      <c r="F43" s="17">
        <v>650</v>
      </c>
      <c r="G43" s="17">
        <v>650</v>
      </c>
      <c r="H43" s="17">
        <v>650</v>
      </c>
      <c r="I43" s="17">
        <v>650</v>
      </c>
      <c r="J43" s="17">
        <v>650</v>
      </c>
      <c r="K43" s="17">
        <v>650</v>
      </c>
      <c r="L43" s="17">
        <v>650</v>
      </c>
      <c r="M43" s="17">
        <v>650</v>
      </c>
      <c r="N43" s="17">
        <v>650</v>
      </c>
      <c r="O43" s="18">
        <f t="shared" si="2"/>
        <v>7800</v>
      </c>
    </row>
    <row r="44" spans="1:16" ht="15" x14ac:dyDescent="0.2">
      <c r="A44" s="854"/>
      <c r="B44" s="27" t="s">
        <v>154</v>
      </c>
      <c r="C44" s="17">
        <v>20000</v>
      </c>
      <c r="D44" s="17">
        <v>20000</v>
      </c>
      <c r="E44" s="17">
        <v>20000</v>
      </c>
      <c r="F44" s="17">
        <v>20000</v>
      </c>
      <c r="G44" s="17">
        <v>20000</v>
      </c>
      <c r="H44" s="17">
        <v>20000</v>
      </c>
      <c r="I44" s="17">
        <v>20000</v>
      </c>
      <c r="J44" s="17">
        <v>20000</v>
      </c>
      <c r="K44" s="17">
        <v>20000</v>
      </c>
      <c r="L44" s="17">
        <v>20000</v>
      </c>
      <c r="M44" s="17">
        <v>20000</v>
      </c>
      <c r="N44" s="17">
        <v>20000</v>
      </c>
      <c r="O44" s="18">
        <f t="shared" si="2"/>
        <v>240000</v>
      </c>
    </row>
    <row r="45" spans="1:16" ht="15" x14ac:dyDescent="0.2">
      <c r="A45" s="854"/>
      <c r="B45" s="27" t="s">
        <v>155</v>
      </c>
      <c r="C45" s="17">
        <v>200</v>
      </c>
      <c r="D45" s="17">
        <v>200</v>
      </c>
      <c r="E45" s="17">
        <v>200</v>
      </c>
      <c r="F45" s="17">
        <v>200</v>
      </c>
      <c r="G45" s="17">
        <v>200</v>
      </c>
      <c r="H45" s="17">
        <v>200</v>
      </c>
      <c r="I45" s="17">
        <v>200</v>
      </c>
      <c r="J45" s="17">
        <v>200</v>
      </c>
      <c r="K45" s="17">
        <v>200</v>
      </c>
      <c r="L45" s="17">
        <v>200</v>
      </c>
      <c r="M45" s="17">
        <v>200</v>
      </c>
      <c r="N45" s="17">
        <v>300</v>
      </c>
      <c r="O45" s="18">
        <f t="shared" si="2"/>
        <v>2500</v>
      </c>
    </row>
    <row r="46" spans="1:16" ht="15" x14ac:dyDescent="0.2">
      <c r="A46" s="854"/>
      <c r="B46" s="27" t="s">
        <v>510</v>
      </c>
      <c r="C46" s="17">
        <v>1065</v>
      </c>
      <c r="D46" s="17">
        <v>1065</v>
      </c>
      <c r="E46" s="17">
        <v>1065</v>
      </c>
      <c r="F46" s="17">
        <v>1065</v>
      </c>
      <c r="G46" s="17">
        <v>1065</v>
      </c>
      <c r="H46" s="17">
        <v>2690</v>
      </c>
      <c r="I46" s="17">
        <v>1190</v>
      </c>
      <c r="J46" s="17">
        <v>1190</v>
      </c>
      <c r="K46" s="17">
        <v>1190</v>
      </c>
      <c r="L46" s="17">
        <v>1190</v>
      </c>
      <c r="M46" s="17">
        <v>1190</v>
      </c>
      <c r="N46" s="17">
        <v>1190</v>
      </c>
      <c r="O46" s="18">
        <f t="shared" si="2"/>
        <v>15155</v>
      </c>
    </row>
    <row r="47" spans="1:16" ht="15" x14ac:dyDescent="0.2">
      <c r="A47" s="854"/>
      <c r="B47" s="27" t="s">
        <v>157</v>
      </c>
      <c r="C47" s="17">
        <v>0</v>
      </c>
      <c r="D47" s="17">
        <v>0</v>
      </c>
      <c r="E47" s="17">
        <v>0</v>
      </c>
      <c r="F47" s="17">
        <v>0</v>
      </c>
      <c r="G47" s="17">
        <v>0</v>
      </c>
      <c r="H47" s="17">
        <v>0</v>
      </c>
      <c r="I47" s="17">
        <v>0</v>
      </c>
      <c r="J47" s="17">
        <v>0</v>
      </c>
      <c r="K47" s="17">
        <v>0</v>
      </c>
      <c r="L47" s="17">
        <v>0</v>
      </c>
      <c r="M47" s="17">
        <v>0</v>
      </c>
      <c r="N47" s="17">
        <v>0</v>
      </c>
      <c r="O47" s="18">
        <f t="shared" si="2"/>
        <v>0</v>
      </c>
    </row>
    <row r="48" spans="1:16" ht="15" x14ac:dyDescent="0.2">
      <c r="A48" s="854"/>
      <c r="B48" s="27" t="s">
        <v>511</v>
      </c>
      <c r="C48" s="17">
        <v>2250</v>
      </c>
      <c r="D48" s="17">
        <v>2250</v>
      </c>
      <c r="E48" s="17">
        <v>2250</v>
      </c>
      <c r="F48" s="17">
        <v>2250</v>
      </c>
      <c r="G48" s="17">
        <v>2250</v>
      </c>
      <c r="H48" s="17">
        <v>2250</v>
      </c>
      <c r="I48" s="17">
        <v>2250</v>
      </c>
      <c r="J48" s="17">
        <v>2250</v>
      </c>
      <c r="K48" s="17">
        <v>2250</v>
      </c>
      <c r="L48" s="17">
        <v>2250</v>
      </c>
      <c r="M48" s="17">
        <v>2250</v>
      </c>
      <c r="N48" s="17">
        <v>2250</v>
      </c>
      <c r="O48" s="18">
        <f t="shared" si="2"/>
        <v>27000</v>
      </c>
    </row>
    <row r="49" spans="1:18" ht="28.5" customHeight="1" x14ac:dyDescent="0.2">
      <c r="A49" s="855"/>
      <c r="B49" s="241" t="s">
        <v>158</v>
      </c>
      <c r="C49" s="17">
        <v>0</v>
      </c>
      <c r="D49" s="17">
        <v>0</v>
      </c>
      <c r="E49" s="17">
        <v>0</v>
      </c>
      <c r="F49" s="17">
        <v>0</v>
      </c>
      <c r="G49" s="17">
        <v>0</v>
      </c>
      <c r="H49" s="17">
        <v>0</v>
      </c>
      <c r="I49" s="17">
        <v>0</v>
      </c>
      <c r="J49" s="17">
        <v>0</v>
      </c>
      <c r="K49" s="17">
        <v>0</v>
      </c>
      <c r="L49" s="17">
        <v>0</v>
      </c>
      <c r="M49" s="17">
        <v>0</v>
      </c>
      <c r="N49" s="17">
        <v>0</v>
      </c>
      <c r="O49" s="31">
        <f t="shared" si="2"/>
        <v>0</v>
      </c>
    </row>
    <row r="50" spans="1:18" ht="25.5" x14ac:dyDescent="0.2">
      <c r="A50" s="856"/>
      <c r="B50" s="32" t="s">
        <v>512</v>
      </c>
      <c r="C50" s="17">
        <v>0</v>
      </c>
      <c r="D50" s="17">
        <v>0</v>
      </c>
      <c r="E50" s="17">
        <v>0</v>
      </c>
      <c r="F50" s="17">
        <v>0</v>
      </c>
      <c r="G50" s="17">
        <v>0</v>
      </c>
      <c r="H50" s="17">
        <v>0</v>
      </c>
      <c r="I50" s="17">
        <v>0</v>
      </c>
      <c r="J50" s="17">
        <v>0</v>
      </c>
      <c r="K50" s="17">
        <v>0</v>
      </c>
      <c r="L50" s="17">
        <v>0</v>
      </c>
      <c r="M50" s="17">
        <v>0</v>
      </c>
      <c r="N50" s="17">
        <v>0</v>
      </c>
      <c r="O50" s="31">
        <f t="shared" si="2"/>
        <v>0</v>
      </c>
    </row>
    <row r="51" spans="1:18" ht="15" x14ac:dyDescent="0.2">
      <c r="A51" s="857" t="s">
        <v>160</v>
      </c>
      <c r="B51" s="858"/>
      <c r="C51" s="33">
        <f t="shared" ref="C51:N51" si="3">SUM(C39:C50)</f>
        <v>37725</v>
      </c>
      <c r="D51" s="33">
        <f t="shared" si="3"/>
        <v>37225</v>
      </c>
      <c r="E51" s="33">
        <f t="shared" si="3"/>
        <v>37225</v>
      </c>
      <c r="F51" s="33">
        <f t="shared" si="3"/>
        <v>37225</v>
      </c>
      <c r="G51" s="33">
        <f t="shared" si="3"/>
        <v>37225</v>
      </c>
      <c r="H51" s="33">
        <f t="shared" si="3"/>
        <v>38850</v>
      </c>
      <c r="I51" s="33">
        <f t="shared" si="3"/>
        <v>37350</v>
      </c>
      <c r="J51" s="33">
        <f t="shared" si="3"/>
        <v>37350</v>
      </c>
      <c r="K51" s="33">
        <f t="shared" si="3"/>
        <v>24350</v>
      </c>
      <c r="L51" s="33">
        <f t="shared" si="3"/>
        <v>24350</v>
      </c>
      <c r="M51" s="33">
        <f t="shared" si="3"/>
        <v>24350</v>
      </c>
      <c r="N51" s="33">
        <f t="shared" si="3"/>
        <v>24450</v>
      </c>
      <c r="O51" s="34">
        <f t="shared" si="2"/>
        <v>397675</v>
      </c>
    </row>
    <row r="52" spans="1:18" ht="15.75" thickBot="1" x14ac:dyDescent="0.25">
      <c r="A52" s="859" t="s">
        <v>161</v>
      </c>
      <c r="B52" s="860"/>
      <c r="C52" s="35">
        <f t="shared" ref="C52:N52" si="4">C38-C51</f>
        <v>67485</v>
      </c>
      <c r="D52" s="35">
        <f t="shared" si="4"/>
        <v>76001</v>
      </c>
      <c r="E52" s="35">
        <f t="shared" si="4"/>
        <v>69989</v>
      </c>
      <c r="F52" s="35">
        <f t="shared" si="4"/>
        <v>69989</v>
      </c>
      <c r="G52" s="35">
        <f t="shared" si="4"/>
        <v>72985</v>
      </c>
      <c r="H52" s="35">
        <f t="shared" si="4"/>
        <v>71360</v>
      </c>
      <c r="I52" s="35">
        <f t="shared" si="4"/>
        <v>72860</v>
      </c>
      <c r="J52" s="35">
        <f t="shared" si="4"/>
        <v>81100</v>
      </c>
      <c r="K52" s="35">
        <f t="shared" si="4"/>
        <v>87920</v>
      </c>
      <c r="L52" s="35">
        <f t="shared" si="4"/>
        <v>87920</v>
      </c>
      <c r="M52" s="35">
        <f t="shared" si="4"/>
        <v>87920</v>
      </c>
      <c r="N52" s="35">
        <f t="shared" si="4"/>
        <v>87820</v>
      </c>
      <c r="O52" s="36">
        <f t="shared" si="2"/>
        <v>933349</v>
      </c>
    </row>
    <row r="53" spans="1:18" x14ac:dyDescent="0.2">
      <c r="J53" s="128">
        <f>+J38-SUM(J23:J37)</f>
        <v>112270</v>
      </c>
      <c r="Q53" s="38"/>
    </row>
    <row r="54" spans="1:18" ht="13.5" thickBot="1" x14ac:dyDescent="0.25">
      <c r="J54" s="38">
        <f>+J53-J51</f>
        <v>74920</v>
      </c>
    </row>
    <row r="55" spans="1:18" ht="13.5" thickBot="1" x14ac:dyDescent="0.25">
      <c r="B55" s="789" t="s">
        <v>162</v>
      </c>
      <c r="C55" s="861"/>
      <c r="D55" s="861"/>
      <c r="E55" s="861"/>
      <c r="F55" s="862"/>
      <c r="G55" s="863">
        <f>O38</f>
        <v>1331024</v>
      </c>
      <c r="H55" s="864"/>
    </row>
    <row r="56" spans="1:18" ht="13.5" thickBot="1" x14ac:dyDescent="0.25"/>
    <row r="57" spans="1:18" x14ac:dyDescent="0.2">
      <c r="B57" s="830" t="s">
        <v>163</v>
      </c>
      <c r="C57" s="833" t="s">
        <v>164</v>
      </c>
      <c r="D57" s="836" t="s">
        <v>425</v>
      </c>
      <c r="E57" s="837"/>
      <c r="F57" s="838"/>
      <c r="G57" s="839">
        <v>40000</v>
      </c>
      <c r="H57" s="840"/>
    </row>
    <row r="58" spans="1:18" x14ac:dyDescent="0.2">
      <c r="B58" s="831"/>
      <c r="C58" s="834"/>
      <c r="D58" s="841" t="s">
        <v>166</v>
      </c>
      <c r="E58" s="842"/>
      <c r="F58" s="843"/>
      <c r="G58" s="844">
        <f>+O45</f>
        <v>2500</v>
      </c>
      <c r="H58" s="845"/>
      <c r="I58" s="39"/>
      <c r="J58" s="846"/>
      <c r="K58" s="846"/>
      <c r="L58" s="846"/>
      <c r="M58" s="847"/>
      <c r="N58" s="847"/>
      <c r="O58" s="847"/>
    </row>
    <row r="59" spans="1:18" ht="13.5" thickBot="1" x14ac:dyDescent="0.25">
      <c r="B59" s="832"/>
      <c r="C59" s="835"/>
      <c r="D59" s="848" t="s">
        <v>167</v>
      </c>
      <c r="E59" s="849"/>
      <c r="F59" s="850"/>
      <c r="G59" s="851">
        <f>IF(O18&gt;15000,15000,+O18)</f>
        <v>0</v>
      </c>
      <c r="H59" s="852"/>
      <c r="J59" s="47"/>
      <c r="K59" s="47"/>
      <c r="L59" s="47"/>
      <c r="M59" s="47"/>
      <c r="N59" s="47"/>
      <c r="O59" s="47"/>
    </row>
    <row r="60" spans="1:18" ht="13.5" thickBot="1" x14ac:dyDescent="0.25">
      <c r="B60" s="48"/>
      <c r="J60" s="47"/>
      <c r="K60" s="47"/>
      <c r="L60" s="47"/>
      <c r="M60" s="47"/>
      <c r="N60" s="47"/>
      <c r="O60" s="47"/>
    </row>
    <row r="61" spans="1:18" ht="13.5" thickBot="1" x14ac:dyDescent="0.25">
      <c r="B61" s="789" t="s">
        <v>168</v>
      </c>
      <c r="C61" s="790"/>
      <c r="D61" s="790"/>
      <c r="E61" s="790"/>
      <c r="F61" s="791"/>
      <c r="G61" s="825">
        <f>+G55-SUM(G57:H59)</f>
        <v>1288524</v>
      </c>
      <c r="H61" s="826"/>
      <c r="J61" s="827" t="s">
        <v>169</v>
      </c>
      <c r="K61" s="828"/>
      <c r="L61" s="828"/>
      <c r="M61" s="828"/>
      <c r="N61" s="828"/>
      <c r="O61" s="829"/>
    </row>
    <row r="62" spans="1:18" ht="13.5" thickBot="1" x14ac:dyDescent="0.25">
      <c r="B62" s="49"/>
      <c r="C62" s="50"/>
      <c r="D62" s="50"/>
      <c r="E62" s="50"/>
      <c r="F62" s="50"/>
      <c r="G62" s="45"/>
      <c r="H62" s="50"/>
      <c r="J62" s="51"/>
      <c r="K62" s="52"/>
      <c r="L62" s="52"/>
      <c r="M62" s="52"/>
      <c r="N62" s="52"/>
      <c r="O62" s="53"/>
    </row>
    <row r="63" spans="1:18" ht="13.5" thickBot="1" x14ac:dyDescent="0.25">
      <c r="B63" s="789" t="s">
        <v>170</v>
      </c>
      <c r="C63" s="790"/>
      <c r="D63" s="790"/>
      <c r="E63" s="790"/>
      <c r="F63" s="791"/>
      <c r="G63" s="805"/>
      <c r="H63" s="791"/>
      <c r="J63" s="54"/>
      <c r="K63" s="55"/>
      <c r="L63" s="55"/>
      <c r="M63" s="55"/>
      <c r="N63" s="55"/>
      <c r="O63" s="56"/>
    </row>
    <row r="64" spans="1:18" ht="12.75" customHeight="1" x14ac:dyDescent="0.2">
      <c r="B64" s="57" t="s">
        <v>171</v>
      </c>
      <c r="C64" s="806" t="s">
        <v>172</v>
      </c>
      <c r="D64" s="807"/>
      <c r="E64" s="807"/>
      <c r="F64" s="808"/>
      <c r="G64" s="809">
        <v>224000</v>
      </c>
      <c r="H64" s="809"/>
      <c r="I64" s="58"/>
      <c r="J64" s="810" t="s">
        <v>173</v>
      </c>
      <c r="K64" s="811"/>
      <c r="L64" s="811"/>
      <c r="M64" s="811"/>
      <c r="N64" s="811"/>
      <c r="O64" s="812"/>
      <c r="Q64" s="59"/>
      <c r="R64" s="59"/>
    </row>
    <row r="65" spans="2:18" ht="13.5" thickBot="1" x14ac:dyDescent="0.25">
      <c r="D65" s="37"/>
      <c r="I65" s="58"/>
      <c r="J65" s="60" t="s">
        <v>254</v>
      </c>
      <c r="K65" s="61"/>
      <c r="L65" s="61"/>
      <c r="M65" s="61"/>
      <c r="N65" s="61"/>
      <c r="O65" s="62"/>
      <c r="Q65" s="59"/>
      <c r="R65" s="59"/>
    </row>
    <row r="66" spans="2:18" ht="13.5" thickBot="1" x14ac:dyDescent="0.25">
      <c r="B66" s="789" t="s">
        <v>175</v>
      </c>
      <c r="C66" s="790"/>
      <c r="D66" s="790"/>
      <c r="E66" s="790"/>
      <c r="F66" s="791"/>
      <c r="G66" s="805">
        <f>+G61-G64</f>
        <v>1064524</v>
      </c>
      <c r="H66" s="791"/>
      <c r="I66" s="63"/>
      <c r="J66" s="64"/>
      <c r="K66" s="39"/>
      <c r="L66" s="39"/>
      <c r="M66" s="39"/>
      <c r="N66" s="39"/>
      <c r="O66" s="65"/>
      <c r="Q66" s="59"/>
      <c r="R66" s="59"/>
    </row>
    <row r="67" spans="2:18" ht="12.75" customHeight="1" x14ac:dyDescent="0.2">
      <c r="B67" s="48"/>
      <c r="C67" s="48"/>
      <c r="I67" s="63"/>
      <c r="J67" s="64"/>
      <c r="K67" s="39"/>
      <c r="L67" s="39"/>
      <c r="M67" s="39"/>
      <c r="N67" s="39"/>
      <c r="O67" s="65"/>
      <c r="Q67" s="59"/>
      <c r="R67" s="59"/>
    </row>
    <row r="68" spans="2:18" x14ac:dyDescent="0.2">
      <c r="B68" s="66" t="s">
        <v>176</v>
      </c>
      <c r="C68" s="48"/>
      <c r="I68" s="63"/>
      <c r="J68" s="67"/>
      <c r="K68" s="68"/>
      <c r="L68" s="68"/>
      <c r="M68" s="68"/>
      <c r="N68" s="68"/>
      <c r="O68" s="69"/>
      <c r="Q68" s="59"/>
      <c r="R68" s="59"/>
    </row>
    <row r="69" spans="2:18" ht="26.25" customHeight="1" thickBot="1" x14ac:dyDescent="0.25">
      <c r="B69" s="66"/>
      <c r="C69" s="48"/>
      <c r="G69" s="70" t="s">
        <v>177</v>
      </c>
      <c r="H69" s="70" t="s">
        <v>178</v>
      </c>
      <c r="I69" s="63"/>
      <c r="J69" s="810" t="s">
        <v>179</v>
      </c>
      <c r="K69" s="811"/>
      <c r="L69" s="71"/>
      <c r="M69" s="71"/>
      <c r="N69" s="71"/>
      <c r="O69" s="72"/>
      <c r="Q69" s="59"/>
      <c r="R69" s="59"/>
    </row>
    <row r="70" spans="2:18" ht="12.75" customHeight="1" x14ac:dyDescent="0.2">
      <c r="B70" s="802" t="s">
        <v>180</v>
      </c>
      <c r="C70" s="821" t="s">
        <v>181</v>
      </c>
      <c r="D70" s="823" t="s">
        <v>182</v>
      </c>
      <c r="E70" s="824"/>
      <c r="F70" s="824"/>
      <c r="G70" s="73">
        <f>+O44</f>
        <v>240000</v>
      </c>
      <c r="H70" s="74">
        <f t="shared" ref="H70:H78" si="5">+G70</f>
        <v>240000</v>
      </c>
      <c r="I70" s="63"/>
      <c r="J70" s="75" t="s">
        <v>183</v>
      </c>
      <c r="K70" s="58"/>
      <c r="L70" s="58"/>
      <c r="M70" s="58"/>
      <c r="N70" s="58"/>
      <c r="O70" s="76"/>
      <c r="Q70" s="59"/>
      <c r="R70" s="59"/>
    </row>
    <row r="71" spans="2:18" ht="12.75" customHeight="1" x14ac:dyDescent="0.2">
      <c r="B71" s="803"/>
      <c r="C71" s="822"/>
      <c r="D71" s="782" t="s">
        <v>184</v>
      </c>
      <c r="E71" s="783"/>
      <c r="F71" s="783"/>
      <c r="G71" s="77">
        <f>+O49</f>
        <v>0</v>
      </c>
      <c r="H71" s="78">
        <f t="shared" si="5"/>
        <v>0</v>
      </c>
      <c r="I71" s="63"/>
      <c r="J71" s="79"/>
      <c r="K71" s="68"/>
      <c r="L71" s="68"/>
      <c r="M71" s="68"/>
      <c r="N71" s="68"/>
      <c r="O71" s="69"/>
      <c r="Q71" s="59"/>
      <c r="R71" s="59"/>
    </row>
    <row r="72" spans="2:18" ht="12.75" customHeight="1" x14ac:dyDescent="0.2">
      <c r="B72" s="803"/>
      <c r="C72" s="822"/>
      <c r="D72" s="819" t="s">
        <v>185</v>
      </c>
      <c r="E72" s="820"/>
      <c r="F72" s="820"/>
      <c r="G72" s="80">
        <f>O41</f>
        <v>720</v>
      </c>
      <c r="H72" s="78">
        <f t="shared" si="5"/>
        <v>720</v>
      </c>
      <c r="I72" s="63"/>
      <c r="J72" s="67"/>
      <c r="K72" s="68"/>
      <c r="L72" s="68"/>
      <c r="M72" s="68"/>
      <c r="N72" s="68"/>
      <c r="O72" s="69"/>
    </row>
    <row r="73" spans="2:18" x14ac:dyDescent="0.2">
      <c r="B73" s="803"/>
      <c r="C73" s="822"/>
      <c r="D73" s="782" t="s">
        <v>186</v>
      </c>
      <c r="E73" s="783"/>
      <c r="F73" s="783"/>
      <c r="G73" s="81">
        <v>0</v>
      </c>
      <c r="H73" s="78">
        <f t="shared" si="5"/>
        <v>0</v>
      </c>
      <c r="I73" s="63"/>
      <c r="J73" s="82" t="s">
        <v>187</v>
      </c>
      <c r="K73" s="71"/>
      <c r="L73" s="71"/>
      <c r="M73" s="71"/>
      <c r="N73" s="71"/>
      <c r="O73" s="72"/>
    </row>
    <row r="74" spans="2:18" ht="12.75" customHeight="1" x14ac:dyDescent="0.2">
      <c r="B74" s="803"/>
      <c r="C74" s="822"/>
      <c r="D74" s="784" t="s">
        <v>188</v>
      </c>
      <c r="E74" s="783"/>
      <c r="F74" s="783"/>
      <c r="G74" s="80">
        <v>0</v>
      </c>
      <c r="H74" s="78">
        <f t="shared" si="5"/>
        <v>0</v>
      </c>
      <c r="I74" s="63"/>
      <c r="J74" s="75" t="s">
        <v>189</v>
      </c>
      <c r="K74" s="50"/>
      <c r="L74" s="50"/>
      <c r="M74" s="50"/>
      <c r="N74" s="50"/>
      <c r="O74" s="83">
        <v>7800</v>
      </c>
    </row>
    <row r="75" spans="2:18" ht="14.25" customHeight="1" x14ac:dyDescent="0.2">
      <c r="B75" s="803"/>
      <c r="C75" s="822"/>
      <c r="D75" s="782" t="s">
        <v>190</v>
      </c>
      <c r="E75" s="783"/>
      <c r="F75" s="783"/>
      <c r="G75" s="84">
        <v>0</v>
      </c>
      <c r="H75" s="78">
        <f t="shared" si="5"/>
        <v>0</v>
      </c>
      <c r="I75" s="63"/>
      <c r="J75" s="64"/>
      <c r="K75" s="39"/>
      <c r="L75" s="39"/>
      <c r="M75" s="39"/>
      <c r="N75" s="39"/>
      <c r="O75" s="65"/>
    </row>
    <row r="76" spans="2:18" x14ac:dyDescent="0.2">
      <c r="B76" s="803"/>
      <c r="C76" s="822"/>
      <c r="D76" s="782" t="s">
        <v>191</v>
      </c>
      <c r="E76" s="783"/>
      <c r="F76" s="783"/>
      <c r="G76" s="81">
        <f>O48</f>
        <v>27000</v>
      </c>
      <c r="H76" s="78">
        <f t="shared" si="5"/>
        <v>27000</v>
      </c>
      <c r="I76" s="58"/>
      <c r="J76" s="85"/>
      <c r="K76" s="63"/>
      <c r="L76" s="63"/>
      <c r="M76" s="63"/>
      <c r="N76" s="63"/>
      <c r="O76" s="86"/>
    </row>
    <row r="77" spans="2:18" x14ac:dyDescent="0.2">
      <c r="B77" s="803"/>
      <c r="C77" s="88" t="s">
        <v>192</v>
      </c>
      <c r="D77" s="813" t="s">
        <v>193</v>
      </c>
      <c r="E77" s="814"/>
      <c r="F77" s="814"/>
      <c r="G77" s="80">
        <v>0</v>
      </c>
      <c r="H77" s="78">
        <f t="shared" si="5"/>
        <v>0</v>
      </c>
      <c r="I77" s="58"/>
      <c r="J77" s="60"/>
      <c r="K77" s="68"/>
      <c r="L77" s="68"/>
      <c r="M77" s="50"/>
      <c r="N77" s="50"/>
      <c r="O77" s="83"/>
    </row>
    <row r="78" spans="2:18" ht="13.5" customHeight="1" thickBot="1" x14ac:dyDescent="0.25">
      <c r="B78" s="803"/>
      <c r="C78" s="88" t="s">
        <v>194</v>
      </c>
      <c r="D78" s="815" t="s">
        <v>195</v>
      </c>
      <c r="E78" s="815"/>
      <c r="F78" s="815"/>
      <c r="G78" s="89">
        <v>0</v>
      </c>
      <c r="H78" s="90">
        <f t="shared" si="5"/>
        <v>0</v>
      </c>
      <c r="I78" s="63"/>
      <c r="J78" s="75"/>
      <c r="K78" s="68"/>
      <c r="L78" s="68"/>
      <c r="M78" s="91"/>
      <c r="N78" s="91"/>
      <c r="O78" s="92"/>
    </row>
    <row r="79" spans="2:18" ht="13.5" thickBot="1" x14ac:dyDescent="0.25">
      <c r="B79" s="803"/>
      <c r="C79" s="93"/>
      <c r="D79" s="94"/>
      <c r="E79" s="816" t="s">
        <v>117</v>
      </c>
      <c r="F79" s="817"/>
      <c r="G79" s="95">
        <f>SUM(G70:G78)</f>
        <v>267720</v>
      </c>
      <c r="H79" s="96">
        <f>IF(SUM(G70:G76)&lt;150000,SUM(G70:G76),150000)+IF(+G77&lt;20000,+G77,20000)</f>
        <v>150000</v>
      </c>
      <c r="I79" s="63"/>
      <c r="J79" s="97"/>
      <c r="K79" s="98"/>
      <c r="L79" s="98"/>
      <c r="M79" s="98"/>
      <c r="N79" s="98"/>
      <c r="O79" s="99"/>
    </row>
    <row r="80" spans="2:18" ht="12.75" customHeight="1" x14ac:dyDescent="0.2">
      <c r="B80" s="803"/>
      <c r="C80" s="100" t="s">
        <v>196</v>
      </c>
      <c r="D80" s="782" t="s">
        <v>187</v>
      </c>
      <c r="E80" s="783"/>
      <c r="F80" s="818"/>
      <c r="G80" s="73">
        <f>+O43</f>
        <v>7800</v>
      </c>
      <c r="H80" s="101">
        <f>+IF(+G80&lt;25000,+G80,25000)</f>
        <v>7800</v>
      </c>
      <c r="I80" s="87"/>
    </row>
    <row r="81" spans="2:12" x14ac:dyDescent="0.2">
      <c r="B81" s="803"/>
      <c r="C81" s="100" t="s">
        <v>197</v>
      </c>
      <c r="D81" s="784" t="s">
        <v>198</v>
      </c>
      <c r="E81" s="785"/>
      <c r="F81" s="786"/>
      <c r="G81" s="102"/>
      <c r="H81" s="103">
        <f>+IF(+G81&lt;40000,+G81,40000)</f>
        <v>0</v>
      </c>
      <c r="I81" s="63"/>
    </row>
    <row r="82" spans="2:12" x14ac:dyDescent="0.2">
      <c r="B82" s="803"/>
      <c r="C82" s="100" t="s">
        <v>199</v>
      </c>
      <c r="D82" s="784" t="s">
        <v>200</v>
      </c>
      <c r="E82" s="785"/>
      <c r="F82" s="786"/>
      <c r="G82" s="81"/>
      <c r="H82" s="104">
        <v>0</v>
      </c>
      <c r="I82" s="63"/>
    </row>
    <row r="83" spans="2:12" x14ac:dyDescent="0.2">
      <c r="B83" s="803"/>
      <c r="C83" s="100" t="s">
        <v>201</v>
      </c>
      <c r="D83" s="784" t="s">
        <v>202</v>
      </c>
      <c r="E83" s="785"/>
      <c r="F83" s="786"/>
      <c r="G83" s="81"/>
      <c r="H83" s="104">
        <v>0</v>
      </c>
      <c r="I83" s="63"/>
    </row>
    <row r="84" spans="2:12" ht="13.5" thickBot="1" x14ac:dyDescent="0.25">
      <c r="B84" s="804"/>
      <c r="C84" s="100" t="s">
        <v>203</v>
      </c>
      <c r="D84" s="784" t="s">
        <v>204</v>
      </c>
      <c r="E84" s="785"/>
      <c r="F84" s="786"/>
      <c r="G84" s="102"/>
      <c r="H84" s="103">
        <f>+IF(+G84&lt;100000,+G84,10000)</f>
        <v>0</v>
      </c>
      <c r="I84" s="63"/>
    </row>
    <row r="85" spans="2:12" ht="13.5" thickBot="1" x14ac:dyDescent="0.25">
      <c r="B85" s="787" t="s">
        <v>205</v>
      </c>
      <c r="C85" s="788"/>
      <c r="D85" s="788"/>
      <c r="E85" s="788"/>
      <c r="F85" s="788"/>
      <c r="G85" s="107">
        <f>SUM(G80:G84)</f>
        <v>7800</v>
      </c>
      <c r="H85" s="108">
        <f>SUM(H79:H84)</f>
        <v>157800</v>
      </c>
    </row>
    <row r="86" spans="2:12" ht="13.5" thickBot="1" x14ac:dyDescent="0.25"/>
    <row r="87" spans="2:12" ht="13.5" thickBot="1" x14ac:dyDescent="0.25">
      <c r="B87" s="789" t="s">
        <v>206</v>
      </c>
      <c r="C87" s="790"/>
      <c r="D87" s="790"/>
      <c r="E87" s="790"/>
      <c r="F87" s="791"/>
      <c r="G87" s="792">
        <f>+G66-H85</f>
        <v>906724</v>
      </c>
      <c r="H87" s="791"/>
      <c r="J87" s="109">
        <f>C38+D38+E38+F38</f>
        <v>432864</v>
      </c>
      <c r="K87" s="16" t="s">
        <v>235</v>
      </c>
    </row>
    <row r="88" spans="2:12" x14ac:dyDescent="0.2">
      <c r="B88" s="110"/>
      <c r="F88" s="105"/>
      <c r="J88" s="109">
        <f>G38+H38+I38</f>
        <v>330630</v>
      </c>
      <c r="K88" s="16" t="s">
        <v>236</v>
      </c>
      <c r="L88" s="16">
        <f>+J88/3</f>
        <v>110210</v>
      </c>
    </row>
    <row r="89" spans="2:12" x14ac:dyDescent="0.2">
      <c r="C89" s="793" t="s">
        <v>207</v>
      </c>
      <c r="D89" s="794"/>
      <c r="E89" s="111" t="s">
        <v>208</v>
      </c>
      <c r="F89" s="111" t="s">
        <v>209</v>
      </c>
      <c r="G89" s="111" t="s">
        <v>210</v>
      </c>
      <c r="H89" s="111" t="s">
        <v>211</v>
      </c>
      <c r="J89" s="109">
        <f>J38+K38+L38</f>
        <v>342990</v>
      </c>
      <c r="K89" s="47" t="s">
        <v>237</v>
      </c>
    </row>
    <row r="90" spans="2:12" x14ac:dyDescent="0.2">
      <c r="C90" s="795" t="str">
        <f>IF(I6="M","0          - 250000","0          -  250000")</f>
        <v>0          - 250000</v>
      </c>
      <c r="D90" s="796"/>
      <c r="E90" s="112">
        <v>0</v>
      </c>
      <c r="F90" s="113">
        <f>IF(I6="M",(IF(G87&lt;250000,G87,250000)),(IF(G87&lt;250000,G87,250000)))</f>
        <v>250000</v>
      </c>
      <c r="G90" s="113">
        <f>G87-F90</f>
        <v>656724</v>
      </c>
      <c r="H90" s="113">
        <f>E90*F90</f>
        <v>0</v>
      </c>
      <c r="J90" s="16">
        <f>M38+N38</f>
        <v>224540</v>
      </c>
      <c r="K90" s="1" t="s">
        <v>238</v>
      </c>
    </row>
    <row r="91" spans="2:12" x14ac:dyDescent="0.2">
      <c r="C91" s="795" t="str">
        <f>IF(I6="M","250001 - 500000","250001-500000")</f>
        <v>250001 - 500000</v>
      </c>
      <c r="D91" s="796"/>
      <c r="E91" s="112">
        <v>0.05</v>
      </c>
      <c r="F91" s="113">
        <f>IF(I6="M",(IF(G90&lt;250000,G90,250000)),(IF(G90&lt;250000,G90,250000)))</f>
        <v>250000</v>
      </c>
      <c r="G91" s="113">
        <f>G90-F91</f>
        <v>406724</v>
      </c>
      <c r="H91" s="114">
        <f>ROUND(E91*F91,0.1)</f>
        <v>12500</v>
      </c>
      <c r="J91" s="115">
        <f>SUM(J87:J90)</f>
        <v>1331024</v>
      </c>
    </row>
    <row r="92" spans="2:12" x14ac:dyDescent="0.2">
      <c r="C92" s="797" t="s">
        <v>212</v>
      </c>
      <c r="D92" s="798"/>
      <c r="E92" s="112">
        <v>0.2</v>
      </c>
      <c r="F92" s="113">
        <f>IF(G91&lt;500000,G91,500000)</f>
        <v>406724</v>
      </c>
      <c r="G92" s="113">
        <f>G91-F92</f>
        <v>0</v>
      </c>
      <c r="H92" s="114">
        <f>ROUND(E92*F92,0.1)</f>
        <v>81345</v>
      </c>
      <c r="J92" s="16">
        <f>+G87</f>
        <v>906724</v>
      </c>
    </row>
    <row r="93" spans="2:12" x14ac:dyDescent="0.2">
      <c r="C93" s="795" t="s">
        <v>213</v>
      </c>
      <c r="D93" s="796"/>
      <c r="E93" s="112">
        <v>0.3</v>
      </c>
      <c r="F93" s="113">
        <f>G92</f>
        <v>0</v>
      </c>
      <c r="G93" s="113">
        <f>G92-F93</f>
        <v>0</v>
      </c>
      <c r="H93" s="114">
        <f>ROUND(E93*F93,0.1)</f>
        <v>0</v>
      </c>
      <c r="J93" s="16">
        <f>+J91-J92</f>
        <v>424300</v>
      </c>
    </row>
    <row r="94" spans="2:12" ht="12.75" customHeight="1" thickBot="1" x14ac:dyDescent="0.25">
      <c r="B94" s="116"/>
      <c r="C94" s="117"/>
      <c r="D94" s="47"/>
      <c r="E94" s="47"/>
      <c r="F94" s="47"/>
      <c r="J94" s="87"/>
      <c r="K94" s="118"/>
    </row>
    <row r="95" spans="2:12" ht="13.5" thickBot="1" x14ac:dyDescent="0.25">
      <c r="B95" s="799" t="s">
        <v>239</v>
      </c>
      <c r="C95" s="800"/>
      <c r="D95" s="800"/>
      <c r="E95" s="800"/>
      <c r="F95" s="801"/>
      <c r="G95" s="771">
        <f>H90+H91+H92+H93</f>
        <v>93845</v>
      </c>
      <c r="H95" s="772"/>
    </row>
    <row r="96" spans="2:12" ht="13.5" thickBot="1" x14ac:dyDescent="0.25">
      <c r="B96" s="119" t="s">
        <v>215</v>
      </c>
      <c r="C96" s="120"/>
      <c r="D96" s="120"/>
      <c r="E96" s="120"/>
      <c r="F96" s="120"/>
      <c r="G96" s="884">
        <f>IF((G66&lt;500000),5000,0)</f>
        <v>0</v>
      </c>
      <c r="H96" s="885">
        <f>IF(H94&lt;200000,0,IF(H94&lt;220000,((H94-200000)*10%),IF(H94&lt;=500000,2000,IF(H94&gt;=500000,0))))</f>
        <v>0</v>
      </c>
      <c r="J96" s="1"/>
      <c r="K96" s="121"/>
      <c r="L96" s="121"/>
    </row>
    <row r="97" spans="2:9" ht="13.5" thickBot="1" x14ac:dyDescent="0.25">
      <c r="B97" s="122" t="s">
        <v>216</v>
      </c>
      <c r="C97" s="123"/>
      <c r="D97" s="123"/>
      <c r="E97" s="123"/>
      <c r="F97" s="123"/>
      <c r="G97" s="771">
        <f>IF((G95-G96)&lt;0,0,(G95-G96))</f>
        <v>93845</v>
      </c>
      <c r="H97" s="772"/>
      <c r="I97" s="37"/>
    </row>
    <row r="98" spans="2:9" ht="13.5" thickBot="1" x14ac:dyDescent="0.25">
      <c r="B98" s="773" t="s">
        <v>240</v>
      </c>
      <c r="C98" s="774"/>
      <c r="D98" s="774"/>
      <c r="E98" s="774"/>
      <c r="F98" s="775"/>
      <c r="G98" s="776">
        <f>ROUND((IF(G97&gt;0,(G97*4%),0)),0)</f>
        <v>3754</v>
      </c>
      <c r="H98" s="777"/>
      <c r="I98" s="37"/>
    </row>
    <row r="99" spans="2:9" ht="13.5" thickBot="1" x14ac:dyDescent="0.25">
      <c r="B99" s="778" t="s">
        <v>218</v>
      </c>
      <c r="C99" s="779"/>
      <c r="D99" s="779"/>
      <c r="E99" s="779"/>
      <c r="F99" s="779"/>
      <c r="G99" s="780">
        <f>G97+G98</f>
        <v>97599</v>
      </c>
      <c r="H99" s="781"/>
      <c r="I99" s="121"/>
    </row>
    <row r="100" spans="2:9" ht="13.5" thickBot="1" x14ac:dyDescent="0.25">
      <c r="B100" s="765" t="s">
        <v>219</v>
      </c>
      <c r="C100" s="766"/>
      <c r="D100" s="766"/>
      <c r="E100" s="766"/>
      <c r="F100" s="766"/>
      <c r="G100" s="767">
        <f>O39</f>
        <v>104500</v>
      </c>
      <c r="H100" s="768"/>
      <c r="I100" s="121"/>
    </row>
    <row r="101" spans="2:9" ht="13.5" thickBot="1" x14ac:dyDescent="0.25">
      <c r="B101" s="765" t="str">
        <f>IF(G101&gt;0,"TAX PAYABLE","TAX REFUND")</f>
        <v>TAX REFUND</v>
      </c>
      <c r="C101" s="766"/>
      <c r="D101" s="766"/>
      <c r="E101" s="766"/>
      <c r="F101" s="766"/>
      <c r="G101" s="767">
        <f>+G99-G100</f>
        <v>-6901</v>
      </c>
      <c r="H101" s="768"/>
      <c r="I101" s="37"/>
    </row>
    <row r="102" spans="2:9" x14ac:dyDescent="0.2">
      <c r="C102" s="124"/>
      <c r="D102" s="45"/>
      <c r="E102" s="118"/>
      <c r="F102" s="118"/>
      <c r="G102" s="118"/>
      <c r="H102" s="118"/>
      <c r="I102" s="125"/>
    </row>
    <row r="103" spans="2:9" x14ac:dyDescent="0.2">
      <c r="C103" s="47"/>
      <c r="D103" s="50"/>
      <c r="E103" s="117"/>
      <c r="F103" s="47"/>
      <c r="G103" s="47"/>
      <c r="H103" s="47"/>
      <c r="I103" s="125"/>
    </row>
    <row r="104" spans="2:9" x14ac:dyDescent="0.2">
      <c r="C104" s="39"/>
      <c r="D104" s="126"/>
      <c r="E104" s="126"/>
      <c r="F104" s="126"/>
      <c r="G104" s="39"/>
      <c r="H104" s="39"/>
      <c r="I104" s="37"/>
    </row>
    <row r="105" spans="2:9" x14ac:dyDescent="0.2">
      <c r="C105" s="39"/>
      <c r="D105" s="126"/>
      <c r="E105" s="126"/>
      <c r="F105" s="39"/>
      <c r="G105" s="39"/>
      <c r="H105" s="39"/>
      <c r="I105" s="37"/>
    </row>
    <row r="106" spans="2:9" x14ac:dyDescent="0.2">
      <c r="C106" s="39"/>
      <c r="D106" s="126"/>
      <c r="E106" s="126"/>
      <c r="F106" s="39"/>
      <c r="G106" s="39"/>
      <c r="H106" s="39"/>
      <c r="I106" s="37"/>
    </row>
    <row r="107" spans="2:9" x14ac:dyDescent="0.2">
      <c r="C107" s="39"/>
      <c r="D107" s="39"/>
      <c r="E107" s="39"/>
      <c r="F107" s="39"/>
      <c r="G107" s="39"/>
      <c r="H107" s="39"/>
      <c r="I107" s="37"/>
    </row>
    <row r="108" spans="2:9" x14ac:dyDescent="0.2">
      <c r="C108" s="39"/>
      <c r="D108" s="39"/>
      <c r="E108" s="39"/>
      <c r="F108" s="39"/>
      <c r="G108" s="39"/>
      <c r="H108" s="39"/>
    </row>
    <row r="109" spans="2:9" x14ac:dyDescent="0.2">
      <c r="C109" s="39"/>
      <c r="D109" s="39"/>
      <c r="E109" s="39"/>
      <c r="F109" s="39"/>
      <c r="G109" s="39"/>
      <c r="H109"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7:B37"/>
    <mergeCell ref="A5:C5"/>
    <mergeCell ref="D5:F5"/>
    <mergeCell ref="G5:H5"/>
    <mergeCell ref="I5:O5"/>
    <mergeCell ref="A6:C6"/>
    <mergeCell ref="D6:F6"/>
    <mergeCell ref="G6:H6"/>
    <mergeCell ref="J6:O6"/>
    <mergeCell ref="L7:O7"/>
    <mergeCell ref="A8:B8"/>
    <mergeCell ref="A21:A34"/>
    <mergeCell ref="A35:B35"/>
    <mergeCell ref="A36:B36"/>
    <mergeCell ref="A39:A50"/>
    <mergeCell ref="A51:B51"/>
    <mergeCell ref="A52:B52"/>
    <mergeCell ref="B55:F55"/>
    <mergeCell ref="G55:H55"/>
    <mergeCell ref="B61:F61"/>
    <mergeCell ref="G61:H61"/>
    <mergeCell ref="J61:O61"/>
    <mergeCell ref="B57:B59"/>
    <mergeCell ref="C57:C59"/>
    <mergeCell ref="D57:F57"/>
    <mergeCell ref="G57:H57"/>
    <mergeCell ref="D58:F58"/>
    <mergeCell ref="G58:H58"/>
    <mergeCell ref="J58:L58"/>
    <mergeCell ref="M58:O58"/>
    <mergeCell ref="D59:F59"/>
    <mergeCell ref="G59:H59"/>
    <mergeCell ref="J64:O64"/>
    <mergeCell ref="D82:F82"/>
    <mergeCell ref="J69:K69"/>
    <mergeCell ref="B66:F66"/>
    <mergeCell ref="G66:H66"/>
    <mergeCell ref="D77:F77"/>
    <mergeCell ref="D78:F78"/>
    <mergeCell ref="E79:F79"/>
    <mergeCell ref="D80:F80"/>
    <mergeCell ref="D81:F81"/>
    <mergeCell ref="D72:F72"/>
    <mergeCell ref="D73:F73"/>
    <mergeCell ref="C70:C76"/>
    <mergeCell ref="D70:F70"/>
    <mergeCell ref="D71:F71"/>
    <mergeCell ref="D75:F75"/>
    <mergeCell ref="G63:H63"/>
    <mergeCell ref="C64:F64"/>
    <mergeCell ref="G64:H64"/>
    <mergeCell ref="B63:F63"/>
    <mergeCell ref="D74:F74"/>
    <mergeCell ref="D76:F76"/>
    <mergeCell ref="G95:H95"/>
    <mergeCell ref="D83:F83"/>
    <mergeCell ref="D84:F84"/>
    <mergeCell ref="B85:F85"/>
    <mergeCell ref="B87:F87"/>
    <mergeCell ref="G87:H87"/>
    <mergeCell ref="C89:D89"/>
    <mergeCell ref="C90:D90"/>
    <mergeCell ref="C91:D91"/>
    <mergeCell ref="C92:D92"/>
    <mergeCell ref="C93:D93"/>
    <mergeCell ref="B95:F95"/>
    <mergeCell ref="B70:B84"/>
    <mergeCell ref="B101:F101"/>
    <mergeCell ref="G101:H101"/>
    <mergeCell ref="G96:H96"/>
    <mergeCell ref="G97:H97"/>
    <mergeCell ref="B98:F98"/>
    <mergeCell ref="G98:H98"/>
    <mergeCell ref="B99:F99"/>
    <mergeCell ref="G99:H99"/>
    <mergeCell ref="B100:F100"/>
    <mergeCell ref="G100:H100"/>
  </mergeCells>
  <conditionalFormatting sqref="B92:F92 B101:F101 B95:F99">
    <cfRule type="cellIs" dxfId="2155" priority="3" stopIfTrue="1" operator="equal">
      <formula>"TAX PAYABLE"</formula>
    </cfRule>
    <cfRule type="cellIs" dxfId="2154" priority="4" stopIfTrue="1" operator="equal">
      <formula>"TAX REFUND"</formula>
    </cfRule>
  </conditionalFormatting>
  <conditionalFormatting sqref="G92:H92">
    <cfRule type="cellIs" dxfId="2153" priority="5" stopIfTrue="1" operator="lessThan">
      <formula>0</formula>
    </cfRule>
    <cfRule type="cellIs" dxfId="2152" priority="6" stopIfTrue="1" operator="greaterThan">
      <formula>0</formula>
    </cfRule>
  </conditionalFormatting>
  <conditionalFormatting sqref="G101:H101">
    <cfRule type="cellIs" dxfId="2151" priority="1" stopIfTrue="1" operator="greaterThan">
      <formula>0</formula>
    </cfRule>
    <cfRule type="cellIs" dxfId="2150" priority="2" stopIfTrue="1" operator="lessThanOrEqual">
      <formula>0</formula>
    </cfRule>
  </conditionalFormatting>
  <hyperlinks>
    <hyperlink ref="J53" r:id="rId1" display="+J37-@sum(J22:J36)"/>
  </hyperlinks>
  <pageMargins left="0.7" right="0.7" top="0.75" bottom="0.75" header="0.3" footer="0.3"/>
  <pageSetup paperSize="5" orientation="landscape" horizontalDpi="300" verticalDpi="300" r:id="rId2"/>
  <headerFooter alignWithMargins="0"/>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07"/>
  <sheetViews>
    <sheetView topLeftCell="A62" workbookViewId="0">
      <selection activeCell="G97" sqref="G97:H97"/>
    </sheetView>
  </sheetViews>
  <sheetFormatPr defaultRowHeight="12.75" x14ac:dyDescent="0.2"/>
  <cols>
    <col min="1" max="1" width="5" style="16" customWidth="1"/>
    <col min="2" max="2" width="20.5703125" style="37" customWidth="1"/>
    <col min="3" max="3" width="9" style="16" customWidth="1"/>
    <col min="4" max="4" width="7" style="16" bestFit="1" customWidth="1"/>
    <col min="5" max="5" width="8.5703125" style="16" bestFit="1" customWidth="1"/>
    <col min="6" max="6" width="9.5703125" style="16" customWidth="1"/>
    <col min="7" max="8" width="8.5703125" style="16" customWidth="1"/>
    <col min="9" max="9" width="7.140625" style="16" bestFit="1" customWidth="1"/>
    <col min="10" max="10" width="8.28515625" style="16" customWidth="1"/>
    <col min="11" max="11" width="7" style="16" bestFit="1" customWidth="1"/>
    <col min="12" max="12" width="7.7109375" style="16" customWidth="1"/>
    <col min="13" max="13" width="6.85546875" style="16" bestFit="1" customWidth="1"/>
    <col min="14" max="14" width="7" style="16" bestFit="1" customWidth="1"/>
    <col min="15" max="15" width="8.42578125" style="16" customWidth="1"/>
    <col min="16" max="18" width="9.140625" style="16"/>
    <col min="19" max="19" width="12.42578125" style="16" customWidth="1"/>
    <col min="20" max="20" width="9.140625" style="16"/>
    <col min="21" max="21" width="12" style="16" customWidth="1"/>
    <col min="22" max="256" width="9.140625" style="16"/>
    <col min="257" max="257" width="5" style="16" customWidth="1"/>
    <col min="258" max="258" width="20.5703125" style="16" customWidth="1"/>
    <col min="259" max="259" width="9" style="16" customWidth="1"/>
    <col min="260" max="260" width="7" style="16" bestFit="1" customWidth="1"/>
    <col min="261" max="261" width="8.5703125" style="16" bestFit="1" customWidth="1"/>
    <col min="262" max="262" width="9.5703125" style="16" customWidth="1"/>
    <col min="263" max="264" width="8.5703125" style="16" customWidth="1"/>
    <col min="265" max="265" width="7.140625" style="16" bestFit="1" customWidth="1"/>
    <col min="266" max="266" width="8.28515625" style="16" customWidth="1"/>
    <col min="267" max="267" width="7" style="16" bestFit="1" customWidth="1"/>
    <col min="268" max="268" width="7.7109375" style="16" customWidth="1"/>
    <col min="269" max="269" width="6.85546875" style="16" bestFit="1" customWidth="1"/>
    <col min="270" max="270" width="7" style="16" bestFit="1" customWidth="1"/>
    <col min="271" max="271" width="8.42578125" style="16" customWidth="1"/>
    <col min="272" max="274" width="9.140625" style="16"/>
    <col min="275" max="275" width="12.42578125" style="16" customWidth="1"/>
    <col min="276" max="276" width="9.140625" style="16"/>
    <col min="277" max="277" width="12" style="16" customWidth="1"/>
    <col min="278" max="512" width="9.140625" style="16"/>
    <col min="513" max="513" width="5" style="16" customWidth="1"/>
    <col min="514" max="514" width="20.5703125" style="16" customWidth="1"/>
    <col min="515" max="515" width="9" style="16" customWidth="1"/>
    <col min="516" max="516" width="7" style="16" bestFit="1" customWidth="1"/>
    <col min="517" max="517" width="8.5703125" style="16" bestFit="1" customWidth="1"/>
    <col min="518" max="518" width="9.5703125" style="16" customWidth="1"/>
    <col min="519" max="520" width="8.5703125" style="16" customWidth="1"/>
    <col min="521" max="521" width="7.140625" style="16" bestFit="1" customWidth="1"/>
    <col min="522" max="522" width="8.28515625" style="16" customWidth="1"/>
    <col min="523" max="523" width="7" style="16" bestFit="1" customWidth="1"/>
    <col min="524" max="524" width="7.7109375" style="16" customWidth="1"/>
    <col min="525" max="525" width="6.85546875" style="16" bestFit="1" customWidth="1"/>
    <col min="526" max="526" width="7" style="16" bestFit="1" customWidth="1"/>
    <col min="527" max="527" width="8.42578125" style="16" customWidth="1"/>
    <col min="528" max="530" width="9.140625" style="16"/>
    <col min="531" max="531" width="12.42578125" style="16" customWidth="1"/>
    <col min="532" max="532" width="9.140625" style="16"/>
    <col min="533" max="533" width="12" style="16" customWidth="1"/>
    <col min="534" max="768" width="9.140625" style="16"/>
    <col min="769" max="769" width="5" style="16" customWidth="1"/>
    <col min="770" max="770" width="20.5703125" style="16" customWidth="1"/>
    <col min="771" max="771" width="9" style="16" customWidth="1"/>
    <col min="772" max="772" width="7" style="16" bestFit="1" customWidth="1"/>
    <col min="773" max="773" width="8.5703125" style="16" bestFit="1" customWidth="1"/>
    <col min="774" max="774" width="9.5703125" style="16" customWidth="1"/>
    <col min="775" max="776" width="8.5703125" style="16" customWidth="1"/>
    <col min="777" max="777" width="7.140625" style="16" bestFit="1" customWidth="1"/>
    <col min="778" max="778" width="8.28515625" style="16" customWidth="1"/>
    <col min="779" max="779" width="7" style="16" bestFit="1" customWidth="1"/>
    <col min="780" max="780" width="7.7109375" style="16" customWidth="1"/>
    <col min="781" max="781" width="6.85546875" style="16" bestFit="1" customWidth="1"/>
    <col min="782" max="782" width="7" style="16" bestFit="1" customWidth="1"/>
    <col min="783" max="783" width="8.42578125" style="16" customWidth="1"/>
    <col min="784" max="786" width="9.140625" style="16"/>
    <col min="787" max="787" width="12.42578125" style="16" customWidth="1"/>
    <col min="788" max="788" width="9.140625" style="16"/>
    <col min="789" max="789" width="12" style="16" customWidth="1"/>
    <col min="790" max="1024" width="9.140625" style="16"/>
    <col min="1025" max="1025" width="5" style="16" customWidth="1"/>
    <col min="1026" max="1026" width="20.5703125" style="16" customWidth="1"/>
    <col min="1027" max="1027" width="9" style="16" customWidth="1"/>
    <col min="1028" max="1028" width="7" style="16" bestFit="1" customWidth="1"/>
    <col min="1029" max="1029" width="8.5703125" style="16" bestFit="1" customWidth="1"/>
    <col min="1030" max="1030" width="9.5703125" style="16" customWidth="1"/>
    <col min="1031" max="1032" width="8.5703125" style="16" customWidth="1"/>
    <col min="1033" max="1033" width="7.140625" style="16" bestFit="1" customWidth="1"/>
    <col min="1034" max="1034" width="8.28515625" style="16" customWidth="1"/>
    <col min="1035" max="1035" width="7" style="16" bestFit="1" customWidth="1"/>
    <col min="1036" max="1036" width="7.7109375" style="16" customWidth="1"/>
    <col min="1037" max="1037" width="6.85546875" style="16" bestFit="1" customWidth="1"/>
    <col min="1038" max="1038" width="7" style="16" bestFit="1" customWidth="1"/>
    <col min="1039" max="1039" width="8.42578125" style="16" customWidth="1"/>
    <col min="1040" max="1042" width="9.140625" style="16"/>
    <col min="1043" max="1043" width="12.42578125" style="16" customWidth="1"/>
    <col min="1044" max="1044" width="9.140625" style="16"/>
    <col min="1045" max="1045" width="12" style="16" customWidth="1"/>
    <col min="1046" max="1280" width="9.140625" style="16"/>
    <col min="1281" max="1281" width="5" style="16" customWidth="1"/>
    <col min="1282" max="1282" width="20.5703125" style="16" customWidth="1"/>
    <col min="1283" max="1283" width="9" style="16" customWidth="1"/>
    <col min="1284" max="1284" width="7" style="16" bestFit="1" customWidth="1"/>
    <col min="1285" max="1285" width="8.5703125" style="16" bestFit="1" customWidth="1"/>
    <col min="1286" max="1286" width="9.5703125" style="16" customWidth="1"/>
    <col min="1287" max="1288" width="8.5703125" style="16" customWidth="1"/>
    <col min="1289" max="1289" width="7.140625" style="16" bestFit="1" customWidth="1"/>
    <col min="1290" max="1290" width="8.28515625" style="16" customWidth="1"/>
    <col min="1291" max="1291" width="7" style="16" bestFit="1" customWidth="1"/>
    <col min="1292" max="1292" width="7.7109375" style="16" customWidth="1"/>
    <col min="1293" max="1293" width="6.85546875" style="16" bestFit="1" customWidth="1"/>
    <col min="1294" max="1294" width="7" style="16" bestFit="1" customWidth="1"/>
    <col min="1295" max="1295" width="8.42578125" style="16" customWidth="1"/>
    <col min="1296" max="1298" width="9.140625" style="16"/>
    <col min="1299" max="1299" width="12.42578125" style="16" customWidth="1"/>
    <col min="1300" max="1300" width="9.140625" style="16"/>
    <col min="1301" max="1301" width="12" style="16" customWidth="1"/>
    <col min="1302" max="1536" width="9.140625" style="16"/>
    <col min="1537" max="1537" width="5" style="16" customWidth="1"/>
    <col min="1538" max="1538" width="20.5703125" style="16" customWidth="1"/>
    <col min="1539" max="1539" width="9" style="16" customWidth="1"/>
    <col min="1540" max="1540" width="7" style="16" bestFit="1" customWidth="1"/>
    <col min="1541" max="1541" width="8.5703125" style="16" bestFit="1" customWidth="1"/>
    <col min="1542" max="1542" width="9.5703125" style="16" customWidth="1"/>
    <col min="1543" max="1544" width="8.5703125" style="16" customWidth="1"/>
    <col min="1545" max="1545" width="7.140625" style="16" bestFit="1" customWidth="1"/>
    <col min="1546" max="1546" width="8.28515625" style="16" customWidth="1"/>
    <col min="1547" max="1547" width="7" style="16" bestFit="1" customWidth="1"/>
    <col min="1548" max="1548" width="7.7109375" style="16" customWidth="1"/>
    <col min="1549" max="1549" width="6.85546875" style="16" bestFit="1" customWidth="1"/>
    <col min="1550" max="1550" width="7" style="16" bestFit="1" customWidth="1"/>
    <col min="1551" max="1551" width="8.42578125" style="16" customWidth="1"/>
    <col min="1552" max="1554" width="9.140625" style="16"/>
    <col min="1555" max="1555" width="12.42578125" style="16" customWidth="1"/>
    <col min="1556" max="1556" width="9.140625" style="16"/>
    <col min="1557" max="1557" width="12" style="16" customWidth="1"/>
    <col min="1558" max="1792" width="9.140625" style="16"/>
    <col min="1793" max="1793" width="5" style="16" customWidth="1"/>
    <col min="1794" max="1794" width="20.5703125" style="16" customWidth="1"/>
    <col min="1795" max="1795" width="9" style="16" customWidth="1"/>
    <col min="1796" max="1796" width="7" style="16" bestFit="1" customWidth="1"/>
    <col min="1797" max="1797" width="8.5703125" style="16" bestFit="1" customWidth="1"/>
    <col min="1798" max="1798" width="9.5703125" style="16" customWidth="1"/>
    <col min="1799" max="1800" width="8.5703125" style="16" customWidth="1"/>
    <col min="1801" max="1801" width="7.140625" style="16" bestFit="1" customWidth="1"/>
    <col min="1802" max="1802" width="8.28515625" style="16" customWidth="1"/>
    <col min="1803" max="1803" width="7" style="16" bestFit="1" customWidth="1"/>
    <col min="1804" max="1804" width="7.7109375" style="16" customWidth="1"/>
    <col min="1805" max="1805" width="6.85546875" style="16" bestFit="1" customWidth="1"/>
    <col min="1806" max="1806" width="7" style="16" bestFit="1" customWidth="1"/>
    <col min="1807" max="1807" width="8.42578125" style="16" customWidth="1"/>
    <col min="1808" max="1810" width="9.140625" style="16"/>
    <col min="1811" max="1811" width="12.42578125" style="16" customWidth="1"/>
    <col min="1812" max="1812" width="9.140625" style="16"/>
    <col min="1813" max="1813" width="12" style="16" customWidth="1"/>
    <col min="1814" max="2048" width="9.140625" style="16"/>
    <col min="2049" max="2049" width="5" style="16" customWidth="1"/>
    <col min="2050" max="2050" width="20.5703125" style="16" customWidth="1"/>
    <col min="2051" max="2051" width="9" style="16" customWidth="1"/>
    <col min="2052" max="2052" width="7" style="16" bestFit="1" customWidth="1"/>
    <col min="2053" max="2053" width="8.5703125" style="16" bestFit="1" customWidth="1"/>
    <col min="2054" max="2054" width="9.5703125" style="16" customWidth="1"/>
    <col min="2055" max="2056" width="8.5703125" style="16" customWidth="1"/>
    <col min="2057" max="2057" width="7.140625" style="16" bestFit="1" customWidth="1"/>
    <col min="2058" max="2058" width="8.28515625" style="16" customWidth="1"/>
    <col min="2059" max="2059" width="7" style="16" bestFit="1" customWidth="1"/>
    <col min="2060" max="2060" width="7.7109375" style="16" customWidth="1"/>
    <col min="2061" max="2061" width="6.85546875" style="16" bestFit="1" customWidth="1"/>
    <col min="2062" max="2062" width="7" style="16" bestFit="1" customWidth="1"/>
    <col min="2063" max="2063" width="8.42578125" style="16" customWidth="1"/>
    <col min="2064" max="2066" width="9.140625" style="16"/>
    <col min="2067" max="2067" width="12.42578125" style="16" customWidth="1"/>
    <col min="2068" max="2068" width="9.140625" style="16"/>
    <col min="2069" max="2069" width="12" style="16" customWidth="1"/>
    <col min="2070" max="2304" width="9.140625" style="16"/>
    <col min="2305" max="2305" width="5" style="16" customWidth="1"/>
    <col min="2306" max="2306" width="20.5703125" style="16" customWidth="1"/>
    <col min="2307" max="2307" width="9" style="16" customWidth="1"/>
    <col min="2308" max="2308" width="7" style="16" bestFit="1" customWidth="1"/>
    <col min="2309" max="2309" width="8.5703125" style="16" bestFit="1" customWidth="1"/>
    <col min="2310" max="2310" width="9.5703125" style="16" customWidth="1"/>
    <col min="2311" max="2312" width="8.5703125" style="16" customWidth="1"/>
    <col min="2313" max="2313" width="7.140625" style="16" bestFit="1" customWidth="1"/>
    <col min="2314" max="2314" width="8.28515625" style="16" customWidth="1"/>
    <col min="2315" max="2315" width="7" style="16" bestFit="1" customWidth="1"/>
    <col min="2316" max="2316" width="7.7109375" style="16" customWidth="1"/>
    <col min="2317" max="2317" width="6.85546875" style="16" bestFit="1" customWidth="1"/>
    <col min="2318" max="2318" width="7" style="16" bestFit="1" customWidth="1"/>
    <col min="2319" max="2319" width="8.42578125" style="16" customWidth="1"/>
    <col min="2320" max="2322" width="9.140625" style="16"/>
    <col min="2323" max="2323" width="12.42578125" style="16" customWidth="1"/>
    <col min="2324" max="2324" width="9.140625" style="16"/>
    <col min="2325" max="2325" width="12" style="16" customWidth="1"/>
    <col min="2326" max="2560" width="9.140625" style="16"/>
    <col min="2561" max="2561" width="5" style="16" customWidth="1"/>
    <col min="2562" max="2562" width="20.5703125" style="16" customWidth="1"/>
    <col min="2563" max="2563" width="9" style="16" customWidth="1"/>
    <col min="2564" max="2564" width="7" style="16" bestFit="1" customWidth="1"/>
    <col min="2565" max="2565" width="8.5703125" style="16" bestFit="1" customWidth="1"/>
    <col min="2566" max="2566" width="9.5703125" style="16" customWidth="1"/>
    <col min="2567" max="2568" width="8.5703125" style="16" customWidth="1"/>
    <col min="2569" max="2569" width="7.140625" style="16" bestFit="1" customWidth="1"/>
    <col min="2570" max="2570" width="8.28515625" style="16" customWidth="1"/>
    <col min="2571" max="2571" width="7" style="16" bestFit="1" customWidth="1"/>
    <col min="2572" max="2572" width="7.7109375" style="16" customWidth="1"/>
    <col min="2573" max="2573" width="6.85546875" style="16" bestFit="1" customWidth="1"/>
    <col min="2574" max="2574" width="7" style="16" bestFit="1" customWidth="1"/>
    <col min="2575" max="2575" width="8.42578125" style="16" customWidth="1"/>
    <col min="2576" max="2578" width="9.140625" style="16"/>
    <col min="2579" max="2579" width="12.42578125" style="16" customWidth="1"/>
    <col min="2580" max="2580" width="9.140625" style="16"/>
    <col min="2581" max="2581" width="12" style="16" customWidth="1"/>
    <col min="2582" max="2816" width="9.140625" style="16"/>
    <col min="2817" max="2817" width="5" style="16" customWidth="1"/>
    <col min="2818" max="2818" width="20.5703125" style="16" customWidth="1"/>
    <col min="2819" max="2819" width="9" style="16" customWidth="1"/>
    <col min="2820" max="2820" width="7" style="16" bestFit="1" customWidth="1"/>
    <col min="2821" max="2821" width="8.5703125" style="16" bestFit="1" customWidth="1"/>
    <col min="2822" max="2822" width="9.5703125" style="16" customWidth="1"/>
    <col min="2823" max="2824" width="8.5703125" style="16" customWidth="1"/>
    <col min="2825" max="2825" width="7.140625" style="16" bestFit="1" customWidth="1"/>
    <col min="2826" max="2826" width="8.28515625" style="16" customWidth="1"/>
    <col min="2827" max="2827" width="7" style="16" bestFit="1" customWidth="1"/>
    <col min="2828" max="2828" width="7.7109375" style="16" customWidth="1"/>
    <col min="2829" max="2829" width="6.85546875" style="16" bestFit="1" customWidth="1"/>
    <col min="2830" max="2830" width="7" style="16" bestFit="1" customWidth="1"/>
    <col min="2831" max="2831" width="8.42578125" style="16" customWidth="1"/>
    <col min="2832" max="2834" width="9.140625" style="16"/>
    <col min="2835" max="2835" width="12.42578125" style="16" customWidth="1"/>
    <col min="2836" max="2836" width="9.140625" style="16"/>
    <col min="2837" max="2837" width="12" style="16" customWidth="1"/>
    <col min="2838" max="3072" width="9.140625" style="16"/>
    <col min="3073" max="3073" width="5" style="16" customWidth="1"/>
    <col min="3074" max="3074" width="20.5703125" style="16" customWidth="1"/>
    <col min="3075" max="3075" width="9" style="16" customWidth="1"/>
    <col min="3076" max="3076" width="7" style="16" bestFit="1" customWidth="1"/>
    <col min="3077" max="3077" width="8.5703125" style="16" bestFit="1" customWidth="1"/>
    <col min="3078" max="3078" width="9.5703125" style="16" customWidth="1"/>
    <col min="3079" max="3080" width="8.5703125" style="16" customWidth="1"/>
    <col min="3081" max="3081" width="7.140625" style="16" bestFit="1" customWidth="1"/>
    <col min="3082" max="3082" width="8.28515625" style="16" customWidth="1"/>
    <col min="3083" max="3083" width="7" style="16" bestFit="1" customWidth="1"/>
    <col min="3084" max="3084" width="7.7109375" style="16" customWidth="1"/>
    <col min="3085" max="3085" width="6.85546875" style="16" bestFit="1" customWidth="1"/>
    <col min="3086" max="3086" width="7" style="16" bestFit="1" customWidth="1"/>
    <col min="3087" max="3087" width="8.42578125" style="16" customWidth="1"/>
    <col min="3088" max="3090" width="9.140625" style="16"/>
    <col min="3091" max="3091" width="12.42578125" style="16" customWidth="1"/>
    <col min="3092" max="3092" width="9.140625" style="16"/>
    <col min="3093" max="3093" width="12" style="16" customWidth="1"/>
    <col min="3094" max="3328" width="9.140625" style="16"/>
    <col min="3329" max="3329" width="5" style="16" customWidth="1"/>
    <col min="3330" max="3330" width="20.5703125" style="16" customWidth="1"/>
    <col min="3331" max="3331" width="9" style="16" customWidth="1"/>
    <col min="3332" max="3332" width="7" style="16" bestFit="1" customWidth="1"/>
    <col min="3333" max="3333" width="8.5703125" style="16" bestFit="1" customWidth="1"/>
    <col min="3334" max="3334" width="9.5703125" style="16" customWidth="1"/>
    <col min="3335" max="3336" width="8.5703125" style="16" customWidth="1"/>
    <col min="3337" max="3337" width="7.140625" style="16" bestFit="1" customWidth="1"/>
    <col min="3338" max="3338" width="8.28515625" style="16" customWidth="1"/>
    <col min="3339" max="3339" width="7" style="16" bestFit="1" customWidth="1"/>
    <col min="3340" max="3340" width="7.7109375" style="16" customWidth="1"/>
    <col min="3341" max="3341" width="6.85546875" style="16" bestFit="1" customWidth="1"/>
    <col min="3342" max="3342" width="7" style="16" bestFit="1" customWidth="1"/>
    <col min="3343" max="3343" width="8.42578125" style="16" customWidth="1"/>
    <col min="3344" max="3346" width="9.140625" style="16"/>
    <col min="3347" max="3347" width="12.42578125" style="16" customWidth="1"/>
    <col min="3348" max="3348" width="9.140625" style="16"/>
    <col min="3349" max="3349" width="12" style="16" customWidth="1"/>
    <col min="3350" max="3584" width="9.140625" style="16"/>
    <col min="3585" max="3585" width="5" style="16" customWidth="1"/>
    <col min="3586" max="3586" width="20.5703125" style="16" customWidth="1"/>
    <col min="3587" max="3587" width="9" style="16" customWidth="1"/>
    <col min="3588" max="3588" width="7" style="16" bestFit="1" customWidth="1"/>
    <col min="3589" max="3589" width="8.5703125" style="16" bestFit="1" customWidth="1"/>
    <col min="3590" max="3590" width="9.5703125" style="16" customWidth="1"/>
    <col min="3591" max="3592" width="8.5703125" style="16" customWidth="1"/>
    <col min="3593" max="3593" width="7.140625" style="16" bestFit="1" customWidth="1"/>
    <col min="3594" max="3594" width="8.28515625" style="16" customWidth="1"/>
    <col min="3595" max="3595" width="7" style="16" bestFit="1" customWidth="1"/>
    <col min="3596" max="3596" width="7.7109375" style="16" customWidth="1"/>
    <col min="3597" max="3597" width="6.85546875" style="16" bestFit="1" customWidth="1"/>
    <col min="3598" max="3598" width="7" style="16" bestFit="1" customWidth="1"/>
    <col min="3599" max="3599" width="8.42578125" style="16" customWidth="1"/>
    <col min="3600" max="3602" width="9.140625" style="16"/>
    <col min="3603" max="3603" width="12.42578125" style="16" customWidth="1"/>
    <col min="3604" max="3604" width="9.140625" style="16"/>
    <col min="3605" max="3605" width="12" style="16" customWidth="1"/>
    <col min="3606" max="3840" width="9.140625" style="16"/>
    <col min="3841" max="3841" width="5" style="16" customWidth="1"/>
    <col min="3842" max="3842" width="20.5703125" style="16" customWidth="1"/>
    <col min="3843" max="3843" width="9" style="16" customWidth="1"/>
    <col min="3844" max="3844" width="7" style="16" bestFit="1" customWidth="1"/>
    <col min="3845" max="3845" width="8.5703125" style="16" bestFit="1" customWidth="1"/>
    <col min="3846" max="3846" width="9.5703125" style="16" customWidth="1"/>
    <col min="3847" max="3848" width="8.5703125" style="16" customWidth="1"/>
    <col min="3849" max="3849" width="7.140625" style="16" bestFit="1" customWidth="1"/>
    <col min="3850" max="3850" width="8.28515625" style="16" customWidth="1"/>
    <col min="3851" max="3851" width="7" style="16" bestFit="1" customWidth="1"/>
    <col min="3852" max="3852" width="7.7109375" style="16" customWidth="1"/>
    <col min="3853" max="3853" width="6.85546875" style="16" bestFit="1" customWidth="1"/>
    <col min="3854" max="3854" width="7" style="16" bestFit="1" customWidth="1"/>
    <col min="3855" max="3855" width="8.42578125" style="16" customWidth="1"/>
    <col min="3856" max="3858" width="9.140625" style="16"/>
    <col min="3859" max="3859" width="12.42578125" style="16" customWidth="1"/>
    <col min="3860" max="3860" width="9.140625" style="16"/>
    <col min="3861" max="3861" width="12" style="16" customWidth="1"/>
    <col min="3862" max="4096" width="9.140625" style="16"/>
    <col min="4097" max="4097" width="5" style="16" customWidth="1"/>
    <col min="4098" max="4098" width="20.5703125" style="16" customWidth="1"/>
    <col min="4099" max="4099" width="9" style="16" customWidth="1"/>
    <col min="4100" max="4100" width="7" style="16" bestFit="1" customWidth="1"/>
    <col min="4101" max="4101" width="8.5703125" style="16" bestFit="1" customWidth="1"/>
    <col min="4102" max="4102" width="9.5703125" style="16" customWidth="1"/>
    <col min="4103" max="4104" width="8.5703125" style="16" customWidth="1"/>
    <col min="4105" max="4105" width="7.140625" style="16" bestFit="1" customWidth="1"/>
    <col min="4106" max="4106" width="8.28515625" style="16" customWidth="1"/>
    <col min="4107" max="4107" width="7" style="16" bestFit="1" customWidth="1"/>
    <col min="4108" max="4108" width="7.7109375" style="16" customWidth="1"/>
    <col min="4109" max="4109" width="6.85546875" style="16" bestFit="1" customWidth="1"/>
    <col min="4110" max="4110" width="7" style="16" bestFit="1" customWidth="1"/>
    <col min="4111" max="4111" width="8.42578125" style="16" customWidth="1"/>
    <col min="4112" max="4114" width="9.140625" style="16"/>
    <col min="4115" max="4115" width="12.42578125" style="16" customWidth="1"/>
    <col min="4116" max="4116" width="9.140625" style="16"/>
    <col min="4117" max="4117" width="12" style="16" customWidth="1"/>
    <col min="4118" max="4352" width="9.140625" style="16"/>
    <col min="4353" max="4353" width="5" style="16" customWidth="1"/>
    <col min="4354" max="4354" width="20.5703125" style="16" customWidth="1"/>
    <col min="4355" max="4355" width="9" style="16" customWidth="1"/>
    <col min="4356" max="4356" width="7" style="16" bestFit="1" customWidth="1"/>
    <col min="4357" max="4357" width="8.5703125" style="16" bestFit="1" customWidth="1"/>
    <col min="4358" max="4358" width="9.5703125" style="16" customWidth="1"/>
    <col min="4359" max="4360" width="8.5703125" style="16" customWidth="1"/>
    <col min="4361" max="4361" width="7.140625" style="16" bestFit="1" customWidth="1"/>
    <col min="4362" max="4362" width="8.28515625" style="16" customWidth="1"/>
    <col min="4363" max="4363" width="7" style="16" bestFit="1" customWidth="1"/>
    <col min="4364" max="4364" width="7.7109375" style="16" customWidth="1"/>
    <col min="4365" max="4365" width="6.85546875" style="16" bestFit="1" customWidth="1"/>
    <col min="4366" max="4366" width="7" style="16" bestFit="1" customWidth="1"/>
    <col min="4367" max="4367" width="8.42578125" style="16" customWidth="1"/>
    <col min="4368" max="4370" width="9.140625" style="16"/>
    <col min="4371" max="4371" width="12.42578125" style="16" customWidth="1"/>
    <col min="4372" max="4372" width="9.140625" style="16"/>
    <col min="4373" max="4373" width="12" style="16" customWidth="1"/>
    <col min="4374" max="4608" width="9.140625" style="16"/>
    <col min="4609" max="4609" width="5" style="16" customWidth="1"/>
    <col min="4610" max="4610" width="20.5703125" style="16" customWidth="1"/>
    <col min="4611" max="4611" width="9" style="16" customWidth="1"/>
    <col min="4612" max="4612" width="7" style="16" bestFit="1" customWidth="1"/>
    <col min="4613" max="4613" width="8.5703125" style="16" bestFit="1" customWidth="1"/>
    <col min="4614" max="4614" width="9.5703125" style="16" customWidth="1"/>
    <col min="4615" max="4616" width="8.5703125" style="16" customWidth="1"/>
    <col min="4617" max="4617" width="7.140625" style="16" bestFit="1" customWidth="1"/>
    <col min="4618" max="4618" width="8.28515625" style="16" customWidth="1"/>
    <col min="4619" max="4619" width="7" style="16" bestFit="1" customWidth="1"/>
    <col min="4620" max="4620" width="7.7109375" style="16" customWidth="1"/>
    <col min="4621" max="4621" width="6.85546875" style="16" bestFit="1" customWidth="1"/>
    <col min="4622" max="4622" width="7" style="16" bestFit="1" customWidth="1"/>
    <col min="4623" max="4623" width="8.42578125" style="16" customWidth="1"/>
    <col min="4624" max="4626" width="9.140625" style="16"/>
    <col min="4627" max="4627" width="12.42578125" style="16" customWidth="1"/>
    <col min="4628" max="4628" width="9.140625" style="16"/>
    <col min="4629" max="4629" width="12" style="16" customWidth="1"/>
    <col min="4630" max="4864" width="9.140625" style="16"/>
    <col min="4865" max="4865" width="5" style="16" customWidth="1"/>
    <col min="4866" max="4866" width="20.5703125" style="16" customWidth="1"/>
    <col min="4867" max="4867" width="9" style="16" customWidth="1"/>
    <col min="4868" max="4868" width="7" style="16" bestFit="1" customWidth="1"/>
    <col min="4869" max="4869" width="8.5703125" style="16" bestFit="1" customWidth="1"/>
    <col min="4870" max="4870" width="9.5703125" style="16" customWidth="1"/>
    <col min="4871" max="4872" width="8.5703125" style="16" customWidth="1"/>
    <col min="4873" max="4873" width="7.140625" style="16" bestFit="1" customWidth="1"/>
    <col min="4874" max="4874" width="8.28515625" style="16" customWidth="1"/>
    <col min="4875" max="4875" width="7" style="16" bestFit="1" customWidth="1"/>
    <col min="4876" max="4876" width="7.7109375" style="16" customWidth="1"/>
    <col min="4877" max="4877" width="6.85546875" style="16" bestFit="1" customWidth="1"/>
    <col min="4878" max="4878" width="7" style="16" bestFit="1" customWidth="1"/>
    <col min="4879" max="4879" width="8.42578125" style="16" customWidth="1"/>
    <col min="4880" max="4882" width="9.140625" style="16"/>
    <col min="4883" max="4883" width="12.42578125" style="16" customWidth="1"/>
    <col min="4884" max="4884" width="9.140625" style="16"/>
    <col min="4885" max="4885" width="12" style="16" customWidth="1"/>
    <col min="4886" max="5120" width="9.140625" style="16"/>
    <col min="5121" max="5121" width="5" style="16" customWidth="1"/>
    <col min="5122" max="5122" width="20.5703125" style="16" customWidth="1"/>
    <col min="5123" max="5123" width="9" style="16" customWidth="1"/>
    <col min="5124" max="5124" width="7" style="16" bestFit="1" customWidth="1"/>
    <col min="5125" max="5125" width="8.5703125" style="16" bestFit="1" customWidth="1"/>
    <col min="5126" max="5126" width="9.5703125" style="16" customWidth="1"/>
    <col min="5127" max="5128" width="8.5703125" style="16" customWidth="1"/>
    <col min="5129" max="5129" width="7.140625" style="16" bestFit="1" customWidth="1"/>
    <col min="5130" max="5130" width="8.28515625" style="16" customWidth="1"/>
    <col min="5131" max="5131" width="7" style="16" bestFit="1" customWidth="1"/>
    <col min="5132" max="5132" width="7.7109375" style="16" customWidth="1"/>
    <col min="5133" max="5133" width="6.85546875" style="16" bestFit="1" customWidth="1"/>
    <col min="5134" max="5134" width="7" style="16" bestFit="1" customWidth="1"/>
    <col min="5135" max="5135" width="8.42578125" style="16" customWidth="1"/>
    <col min="5136" max="5138" width="9.140625" style="16"/>
    <col min="5139" max="5139" width="12.42578125" style="16" customWidth="1"/>
    <col min="5140" max="5140" width="9.140625" style="16"/>
    <col min="5141" max="5141" width="12" style="16" customWidth="1"/>
    <col min="5142" max="5376" width="9.140625" style="16"/>
    <col min="5377" max="5377" width="5" style="16" customWidth="1"/>
    <col min="5378" max="5378" width="20.5703125" style="16" customWidth="1"/>
    <col min="5379" max="5379" width="9" style="16" customWidth="1"/>
    <col min="5380" max="5380" width="7" style="16" bestFit="1" customWidth="1"/>
    <col min="5381" max="5381" width="8.5703125" style="16" bestFit="1" customWidth="1"/>
    <col min="5382" max="5382" width="9.5703125" style="16" customWidth="1"/>
    <col min="5383" max="5384" width="8.5703125" style="16" customWidth="1"/>
    <col min="5385" max="5385" width="7.140625" style="16" bestFit="1" customWidth="1"/>
    <col min="5386" max="5386" width="8.28515625" style="16" customWidth="1"/>
    <col min="5387" max="5387" width="7" style="16" bestFit="1" customWidth="1"/>
    <col min="5388" max="5388" width="7.7109375" style="16" customWidth="1"/>
    <col min="5389" max="5389" width="6.85546875" style="16" bestFit="1" customWidth="1"/>
    <col min="5390" max="5390" width="7" style="16" bestFit="1" customWidth="1"/>
    <col min="5391" max="5391" width="8.42578125" style="16" customWidth="1"/>
    <col min="5392" max="5394" width="9.140625" style="16"/>
    <col min="5395" max="5395" width="12.42578125" style="16" customWidth="1"/>
    <col min="5396" max="5396" width="9.140625" style="16"/>
    <col min="5397" max="5397" width="12" style="16" customWidth="1"/>
    <col min="5398" max="5632" width="9.140625" style="16"/>
    <col min="5633" max="5633" width="5" style="16" customWidth="1"/>
    <col min="5634" max="5634" width="20.5703125" style="16" customWidth="1"/>
    <col min="5635" max="5635" width="9" style="16" customWidth="1"/>
    <col min="5636" max="5636" width="7" style="16" bestFit="1" customWidth="1"/>
    <col min="5637" max="5637" width="8.5703125" style="16" bestFit="1" customWidth="1"/>
    <col min="5638" max="5638" width="9.5703125" style="16" customWidth="1"/>
    <col min="5639" max="5640" width="8.5703125" style="16" customWidth="1"/>
    <col min="5641" max="5641" width="7.140625" style="16" bestFit="1" customWidth="1"/>
    <col min="5642" max="5642" width="8.28515625" style="16" customWidth="1"/>
    <col min="5643" max="5643" width="7" style="16" bestFit="1" customWidth="1"/>
    <col min="5644" max="5644" width="7.7109375" style="16" customWidth="1"/>
    <col min="5645" max="5645" width="6.85546875" style="16" bestFit="1" customWidth="1"/>
    <col min="5646" max="5646" width="7" style="16" bestFit="1" customWidth="1"/>
    <col min="5647" max="5647" width="8.42578125" style="16" customWidth="1"/>
    <col min="5648" max="5650" width="9.140625" style="16"/>
    <col min="5651" max="5651" width="12.42578125" style="16" customWidth="1"/>
    <col min="5652" max="5652" width="9.140625" style="16"/>
    <col min="5653" max="5653" width="12" style="16" customWidth="1"/>
    <col min="5654" max="5888" width="9.140625" style="16"/>
    <col min="5889" max="5889" width="5" style="16" customWidth="1"/>
    <col min="5890" max="5890" width="20.5703125" style="16" customWidth="1"/>
    <col min="5891" max="5891" width="9" style="16" customWidth="1"/>
    <col min="5892" max="5892" width="7" style="16" bestFit="1" customWidth="1"/>
    <col min="5893" max="5893" width="8.5703125" style="16" bestFit="1" customWidth="1"/>
    <col min="5894" max="5894" width="9.5703125" style="16" customWidth="1"/>
    <col min="5895" max="5896" width="8.5703125" style="16" customWidth="1"/>
    <col min="5897" max="5897" width="7.140625" style="16" bestFit="1" customWidth="1"/>
    <col min="5898" max="5898" width="8.28515625" style="16" customWidth="1"/>
    <col min="5899" max="5899" width="7" style="16" bestFit="1" customWidth="1"/>
    <col min="5900" max="5900" width="7.7109375" style="16" customWidth="1"/>
    <col min="5901" max="5901" width="6.85546875" style="16" bestFit="1" customWidth="1"/>
    <col min="5902" max="5902" width="7" style="16" bestFit="1" customWidth="1"/>
    <col min="5903" max="5903" width="8.42578125" style="16" customWidth="1"/>
    <col min="5904" max="5906" width="9.140625" style="16"/>
    <col min="5907" max="5907" width="12.42578125" style="16" customWidth="1"/>
    <col min="5908" max="5908" width="9.140625" style="16"/>
    <col min="5909" max="5909" width="12" style="16" customWidth="1"/>
    <col min="5910" max="6144" width="9.140625" style="16"/>
    <col min="6145" max="6145" width="5" style="16" customWidth="1"/>
    <col min="6146" max="6146" width="20.5703125" style="16" customWidth="1"/>
    <col min="6147" max="6147" width="9" style="16" customWidth="1"/>
    <col min="6148" max="6148" width="7" style="16" bestFit="1" customWidth="1"/>
    <col min="6149" max="6149" width="8.5703125" style="16" bestFit="1" customWidth="1"/>
    <col min="6150" max="6150" width="9.5703125" style="16" customWidth="1"/>
    <col min="6151" max="6152" width="8.5703125" style="16" customWidth="1"/>
    <col min="6153" max="6153" width="7.140625" style="16" bestFit="1" customWidth="1"/>
    <col min="6154" max="6154" width="8.28515625" style="16" customWidth="1"/>
    <col min="6155" max="6155" width="7" style="16" bestFit="1" customWidth="1"/>
    <col min="6156" max="6156" width="7.7109375" style="16" customWidth="1"/>
    <col min="6157" max="6157" width="6.85546875" style="16" bestFit="1" customWidth="1"/>
    <col min="6158" max="6158" width="7" style="16" bestFit="1" customWidth="1"/>
    <col min="6159" max="6159" width="8.42578125" style="16" customWidth="1"/>
    <col min="6160" max="6162" width="9.140625" style="16"/>
    <col min="6163" max="6163" width="12.42578125" style="16" customWidth="1"/>
    <col min="6164" max="6164" width="9.140625" style="16"/>
    <col min="6165" max="6165" width="12" style="16" customWidth="1"/>
    <col min="6166" max="6400" width="9.140625" style="16"/>
    <col min="6401" max="6401" width="5" style="16" customWidth="1"/>
    <col min="6402" max="6402" width="20.5703125" style="16" customWidth="1"/>
    <col min="6403" max="6403" width="9" style="16" customWidth="1"/>
    <col min="6404" max="6404" width="7" style="16" bestFit="1" customWidth="1"/>
    <col min="6405" max="6405" width="8.5703125" style="16" bestFit="1" customWidth="1"/>
    <col min="6406" max="6406" width="9.5703125" style="16" customWidth="1"/>
    <col min="6407" max="6408" width="8.5703125" style="16" customWidth="1"/>
    <col min="6409" max="6409" width="7.140625" style="16" bestFit="1" customWidth="1"/>
    <col min="6410" max="6410" width="8.28515625" style="16" customWidth="1"/>
    <col min="6411" max="6411" width="7" style="16" bestFit="1" customWidth="1"/>
    <col min="6412" max="6412" width="7.7109375" style="16" customWidth="1"/>
    <col min="6413" max="6413" width="6.85546875" style="16" bestFit="1" customWidth="1"/>
    <col min="6414" max="6414" width="7" style="16" bestFit="1" customWidth="1"/>
    <col min="6415" max="6415" width="8.42578125" style="16" customWidth="1"/>
    <col min="6416" max="6418" width="9.140625" style="16"/>
    <col min="6419" max="6419" width="12.42578125" style="16" customWidth="1"/>
    <col min="6420" max="6420" width="9.140625" style="16"/>
    <col min="6421" max="6421" width="12" style="16" customWidth="1"/>
    <col min="6422" max="6656" width="9.140625" style="16"/>
    <col min="6657" max="6657" width="5" style="16" customWidth="1"/>
    <col min="6658" max="6658" width="20.5703125" style="16" customWidth="1"/>
    <col min="6659" max="6659" width="9" style="16" customWidth="1"/>
    <col min="6660" max="6660" width="7" style="16" bestFit="1" customWidth="1"/>
    <col min="6661" max="6661" width="8.5703125" style="16" bestFit="1" customWidth="1"/>
    <col min="6662" max="6662" width="9.5703125" style="16" customWidth="1"/>
    <col min="6663" max="6664" width="8.5703125" style="16" customWidth="1"/>
    <col min="6665" max="6665" width="7.140625" style="16" bestFit="1" customWidth="1"/>
    <col min="6666" max="6666" width="8.28515625" style="16" customWidth="1"/>
    <col min="6667" max="6667" width="7" style="16" bestFit="1" customWidth="1"/>
    <col min="6668" max="6668" width="7.7109375" style="16" customWidth="1"/>
    <col min="6669" max="6669" width="6.85546875" style="16" bestFit="1" customWidth="1"/>
    <col min="6670" max="6670" width="7" style="16" bestFit="1" customWidth="1"/>
    <col min="6671" max="6671" width="8.42578125" style="16" customWidth="1"/>
    <col min="6672" max="6674" width="9.140625" style="16"/>
    <col min="6675" max="6675" width="12.42578125" style="16" customWidth="1"/>
    <col min="6676" max="6676" width="9.140625" style="16"/>
    <col min="6677" max="6677" width="12" style="16" customWidth="1"/>
    <col min="6678" max="6912" width="9.140625" style="16"/>
    <col min="6913" max="6913" width="5" style="16" customWidth="1"/>
    <col min="6914" max="6914" width="20.5703125" style="16" customWidth="1"/>
    <col min="6915" max="6915" width="9" style="16" customWidth="1"/>
    <col min="6916" max="6916" width="7" style="16" bestFit="1" customWidth="1"/>
    <col min="6917" max="6917" width="8.5703125" style="16" bestFit="1" customWidth="1"/>
    <col min="6918" max="6918" width="9.5703125" style="16" customWidth="1"/>
    <col min="6919" max="6920" width="8.5703125" style="16" customWidth="1"/>
    <col min="6921" max="6921" width="7.140625" style="16" bestFit="1" customWidth="1"/>
    <col min="6922" max="6922" width="8.28515625" style="16" customWidth="1"/>
    <col min="6923" max="6923" width="7" style="16" bestFit="1" customWidth="1"/>
    <col min="6924" max="6924" width="7.7109375" style="16" customWidth="1"/>
    <col min="6925" max="6925" width="6.85546875" style="16" bestFit="1" customWidth="1"/>
    <col min="6926" max="6926" width="7" style="16" bestFit="1" customWidth="1"/>
    <col min="6927" max="6927" width="8.42578125" style="16" customWidth="1"/>
    <col min="6928" max="6930" width="9.140625" style="16"/>
    <col min="6931" max="6931" width="12.42578125" style="16" customWidth="1"/>
    <col min="6932" max="6932" width="9.140625" style="16"/>
    <col min="6933" max="6933" width="12" style="16" customWidth="1"/>
    <col min="6934" max="7168" width="9.140625" style="16"/>
    <col min="7169" max="7169" width="5" style="16" customWidth="1"/>
    <col min="7170" max="7170" width="20.5703125" style="16" customWidth="1"/>
    <col min="7171" max="7171" width="9" style="16" customWidth="1"/>
    <col min="7172" max="7172" width="7" style="16" bestFit="1" customWidth="1"/>
    <col min="7173" max="7173" width="8.5703125" style="16" bestFit="1" customWidth="1"/>
    <col min="7174" max="7174" width="9.5703125" style="16" customWidth="1"/>
    <col min="7175" max="7176" width="8.5703125" style="16" customWidth="1"/>
    <col min="7177" max="7177" width="7.140625" style="16" bestFit="1" customWidth="1"/>
    <col min="7178" max="7178" width="8.28515625" style="16" customWidth="1"/>
    <col min="7179" max="7179" width="7" style="16" bestFit="1" customWidth="1"/>
    <col min="7180" max="7180" width="7.7109375" style="16" customWidth="1"/>
    <col min="7181" max="7181" width="6.85546875" style="16" bestFit="1" customWidth="1"/>
    <col min="7182" max="7182" width="7" style="16" bestFit="1" customWidth="1"/>
    <col min="7183" max="7183" width="8.42578125" style="16" customWidth="1"/>
    <col min="7184" max="7186" width="9.140625" style="16"/>
    <col min="7187" max="7187" width="12.42578125" style="16" customWidth="1"/>
    <col min="7188" max="7188" width="9.140625" style="16"/>
    <col min="7189" max="7189" width="12" style="16" customWidth="1"/>
    <col min="7190" max="7424" width="9.140625" style="16"/>
    <col min="7425" max="7425" width="5" style="16" customWidth="1"/>
    <col min="7426" max="7426" width="20.5703125" style="16" customWidth="1"/>
    <col min="7427" max="7427" width="9" style="16" customWidth="1"/>
    <col min="7428" max="7428" width="7" style="16" bestFit="1" customWidth="1"/>
    <col min="7429" max="7429" width="8.5703125" style="16" bestFit="1" customWidth="1"/>
    <col min="7430" max="7430" width="9.5703125" style="16" customWidth="1"/>
    <col min="7431" max="7432" width="8.5703125" style="16" customWidth="1"/>
    <col min="7433" max="7433" width="7.140625" style="16" bestFit="1" customWidth="1"/>
    <col min="7434" max="7434" width="8.28515625" style="16" customWidth="1"/>
    <col min="7435" max="7435" width="7" style="16" bestFit="1" customWidth="1"/>
    <col min="7436" max="7436" width="7.7109375" style="16" customWidth="1"/>
    <col min="7437" max="7437" width="6.85546875" style="16" bestFit="1" customWidth="1"/>
    <col min="7438" max="7438" width="7" style="16" bestFit="1" customWidth="1"/>
    <col min="7439" max="7439" width="8.42578125" style="16" customWidth="1"/>
    <col min="7440" max="7442" width="9.140625" style="16"/>
    <col min="7443" max="7443" width="12.42578125" style="16" customWidth="1"/>
    <col min="7444" max="7444" width="9.140625" style="16"/>
    <col min="7445" max="7445" width="12" style="16" customWidth="1"/>
    <col min="7446" max="7680" width="9.140625" style="16"/>
    <col min="7681" max="7681" width="5" style="16" customWidth="1"/>
    <col min="7682" max="7682" width="20.5703125" style="16" customWidth="1"/>
    <col min="7683" max="7683" width="9" style="16" customWidth="1"/>
    <col min="7684" max="7684" width="7" style="16" bestFit="1" customWidth="1"/>
    <col min="7685" max="7685" width="8.5703125" style="16" bestFit="1" customWidth="1"/>
    <col min="7686" max="7686" width="9.5703125" style="16" customWidth="1"/>
    <col min="7687" max="7688" width="8.5703125" style="16" customWidth="1"/>
    <col min="7689" max="7689" width="7.140625" style="16" bestFit="1" customWidth="1"/>
    <col min="7690" max="7690" width="8.28515625" style="16" customWidth="1"/>
    <col min="7691" max="7691" width="7" style="16" bestFit="1" customWidth="1"/>
    <col min="7692" max="7692" width="7.7109375" style="16" customWidth="1"/>
    <col min="7693" max="7693" width="6.85546875" style="16" bestFit="1" customWidth="1"/>
    <col min="7694" max="7694" width="7" style="16" bestFit="1" customWidth="1"/>
    <col min="7695" max="7695" width="8.42578125" style="16" customWidth="1"/>
    <col min="7696" max="7698" width="9.140625" style="16"/>
    <col min="7699" max="7699" width="12.42578125" style="16" customWidth="1"/>
    <col min="7700" max="7700" width="9.140625" style="16"/>
    <col min="7701" max="7701" width="12" style="16" customWidth="1"/>
    <col min="7702" max="7936" width="9.140625" style="16"/>
    <col min="7937" max="7937" width="5" style="16" customWidth="1"/>
    <col min="7938" max="7938" width="20.5703125" style="16" customWidth="1"/>
    <col min="7939" max="7939" width="9" style="16" customWidth="1"/>
    <col min="7940" max="7940" width="7" style="16" bestFit="1" customWidth="1"/>
    <col min="7941" max="7941" width="8.5703125" style="16" bestFit="1" customWidth="1"/>
    <col min="7942" max="7942" width="9.5703125" style="16" customWidth="1"/>
    <col min="7943" max="7944" width="8.5703125" style="16" customWidth="1"/>
    <col min="7945" max="7945" width="7.140625" style="16" bestFit="1" customWidth="1"/>
    <col min="7946" max="7946" width="8.28515625" style="16" customWidth="1"/>
    <col min="7947" max="7947" width="7" style="16" bestFit="1" customWidth="1"/>
    <col min="7948" max="7948" width="7.7109375" style="16" customWidth="1"/>
    <col min="7949" max="7949" width="6.85546875" style="16" bestFit="1" customWidth="1"/>
    <col min="7950" max="7950" width="7" style="16" bestFit="1" customWidth="1"/>
    <col min="7951" max="7951" width="8.42578125" style="16" customWidth="1"/>
    <col min="7952" max="7954" width="9.140625" style="16"/>
    <col min="7955" max="7955" width="12.42578125" style="16" customWidth="1"/>
    <col min="7956" max="7956" width="9.140625" style="16"/>
    <col min="7957" max="7957" width="12" style="16" customWidth="1"/>
    <col min="7958" max="8192" width="9.140625" style="16"/>
    <col min="8193" max="8193" width="5" style="16" customWidth="1"/>
    <col min="8194" max="8194" width="20.5703125" style="16" customWidth="1"/>
    <col min="8195" max="8195" width="9" style="16" customWidth="1"/>
    <col min="8196" max="8196" width="7" style="16" bestFit="1" customWidth="1"/>
    <col min="8197" max="8197" width="8.5703125" style="16" bestFit="1" customWidth="1"/>
    <col min="8198" max="8198" width="9.5703125" style="16" customWidth="1"/>
    <col min="8199" max="8200" width="8.5703125" style="16" customWidth="1"/>
    <col min="8201" max="8201" width="7.140625" style="16" bestFit="1" customWidth="1"/>
    <col min="8202" max="8202" width="8.28515625" style="16" customWidth="1"/>
    <col min="8203" max="8203" width="7" style="16" bestFit="1" customWidth="1"/>
    <col min="8204" max="8204" width="7.7109375" style="16" customWidth="1"/>
    <col min="8205" max="8205" width="6.85546875" style="16" bestFit="1" customWidth="1"/>
    <col min="8206" max="8206" width="7" style="16" bestFit="1" customWidth="1"/>
    <col min="8207" max="8207" width="8.42578125" style="16" customWidth="1"/>
    <col min="8208" max="8210" width="9.140625" style="16"/>
    <col min="8211" max="8211" width="12.42578125" style="16" customWidth="1"/>
    <col min="8212" max="8212" width="9.140625" style="16"/>
    <col min="8213" max="8213" width="12" style="16" customWidth="1"/>
    <col min="8214" max="8448" width="9.140625" style="16"/>
    <col min="8449" max="8449" width="5" style="16" customWidth="1"/>
    <col min="8450" max="8450" width="20.5703125" style="16" customWidth="1"/>
    <col min="8451" max="8451" width="9" style="16" customWidth="1"/>
    <col min="8452" max="8452" width="7" style="16" bestFit="1" customWidth="1"/>
    <col min="8453" max="8453" width="8.5703125" style="16" bestFit="1" customWidth="1"/>
    <col min="8454" max="8454" width="9.5703125" style="16" customWidth="1"/>
    <col min="8455" max="8456" width="8.5703125" style="16" customWidth="1"/>
    <col min="8457" max="8457" width="7.140625" style="16" bestFit="1" customWidth="1"/>
    <col min="8458" max="8458" width="8.28515625" style="16" customWidth="1"/>
    <col min="8459" max="8459" width="7" style="16" bestFit="1" customWidth="1"/>
    <col min="8460" max="8460" width="7.7109375" style="16" customWidth="1"/>
    <col min="8461" max="8461" width="6.85546875" style="16" bestFit="1" customWidth="1"/>
    <col min="8462" max="8462" width="7" style="16" bestFit="1" customWidth="1"/>
    <col min="8463" max="8463" width="8.42578125" style="16" customWidth="1"/>
    <col min="8464" max="8466" width="9.140625" style="16"/>
    <col min="8467" max="8467" width="12.42578125" style="16" customWidth="1"/>
    <col min="8468" max="8468" width="9.140625" style="16"/>
    <col min="8469" max="8469" width="12" style="16" customWidth="1"/>
    <col min="8470" max="8704" width="9.140625" style="16"/>
    <col min="8705" max="8705" width="5" style="16" customWidth="1"/>
    <col min="8706" max="8706" width="20.5703125" style="16" customWidth="1"/>
    <col min="8707" max="8707" width="9" style="16" customWidth="1"/>
    <col min="8708" max="8708" width="7" style="16" bestFit="1" customWidth="1"/>
    <col min="8709" max="8709" width="8.5703125" style="16" bestFit="1" customWidth="1"/>
    <col min="8710" max="8710" width="9.5703125" style="16" customWidth="1"/>
    <col min="8711" max="8712" width="8.5703125" style="16" customWidth="1"/>
    <col min="8713" max="8713" width="7.140625" style="16" bestFit="1" customWidth="1"/>
    <col min="8714" max="8714" width="8.28515625" style="16" customWidth="1"/>
    <col min="8715" max="8715" width="7" style="16" bestFit="1" customWidth="1"/>
    <col min="8716" max="8716" width="7.7109375" style="16" customWidth="1"/>
    <col min="8717" max="8717" width="6.85546875" style="16" bestFit="1" customWidth="1"/>
    <col min="8718" max="8718" width="7" style="16" bestFit="1" customWidth="1"/>
    <col min="8719" max="8719" width="8.42578125" style="16" customWidth="1"/>
    <col min="8720" max="8722" width="9.140625" style="16"/>
    <col min="8723" max="8723" width="12.42578125" style="16" customWidth="1"/>
    <col min="8724" max="8724" width="9.140625" style="16"/>
    <col min="8725" max="8725" width="12" style="16" customWidth="1"/>
    <col min="8726" max="8960" width="9.140625" style="16"/>
    <col min="8961" max="8961" width="5" style="16" customWidth="1"/>
    <col min="8962" max="8962" width="20.5703125" style="16" customWidth="1"/>
    <col min="8963" max="8963" width="9" style="16" customWidth="1"/>
    <col min="8964" max="8964" width="7" style="16" bestFit="1" customWidth="1"/>
    <col min="8965" max="8965" width="8.5703125" style="16" bestFit="1" customWidth="1"/>
    <col min="8966" max="8966" width="9.5703125" style="16" customWidth="1"/>
    <col min="8967" max="8968" width="8.5703125" style="16" customWidth="1"/>
    <col min="8969" max="8969" width="7.140625" style="16" bestFit="1" customWidth="1"/>
    <col min="8970" max="8970" width="8.28515625" style="16" customWidth="1"/>
    <col min="8971" max="8971" width="7" style="16" bestFit="1" customWidth="1"/>
    <col min="8972" max="8972" width="7.7109375" style="16" customWidth="1"/>
    <col min="8973" max="8973" width="6.85546875" style="16" bestFit="1" customWidth="1"/>
    <col min="8974" max="8974" width="7" style="16" bestFit="1" customWidth="1"/>
    <col min="8975" max="8975" width="8.42578125" style="16" customWidth="1"/>
    <col min="8976" max="8978" width="9.140625" style="16"/>
    <col min="8979" max="8979" width="12.42578125" style="16" customWidth="1"/>
    <col min="8980" max="8980" width="9.140625" style="16"/>
    <col min="8981" max="8981" width="12" style="16" customWidth="1"/>
    <col min="8982" max="9216" width="9.140625" style="16"/>
    <col min="9217" max="9217" width="5" style="16" customWidth="1"/>
    <col min="9218" max="9218" width="20.5703125" style="16" customWidth="1"/>
    <col min="9219" max="9219" width="9" style="16" customWidth="1"/>
    <col min="9220" max="9220" width="7" style="16" bestFit="1" customWidth="1"/>
    <col min="9221" max="9221" width="8.5703125" style="16" bestFit="1" customWidth="1"/>
    <col min="9222" max="9222" width="9.5703125" style="16" customWidth="1"/>
    <col min="9223" max="9224" width="8.5703125" style="16" customWidth="1"/>
    <col min="9225" max="9225" width="7.140625" style="16" bestFit="1" customWidth="1"/>
    <col min="9226" max="9226" width="8.28515625" style="16" customWidth="1"/>
    <col min="9227" max="9227" width="7" style="16" bestFit="1" customWidth="1"/>
    <col min="9228" max="9228" width="7.7109375" style="16" customWidth="1"/>
    <col min="9229" max="9229" width="6.85546875" style="16" bestFit="1" customWidth="1"/>
    <col min="9230" max="9230" width="7" style="16" bestFit="1" customWidth="1"/>
    <col min="9231" max="9231" width="8.42578125" style="16" customWidth="1"/>
    <col min="9232" max="9234" width="9.140625" style="16"/>
    <col min="9235" max="9235" width="12.42578125" style="16" customWidth="1"/>
    <col min="9236" max="9236" width="9.140625" style="16"/>
    <col min="9237" max="9237" width="12" style="16" customWidth="1"/>
    <col min="9238" max="9472" width="9.140625" style="16"/>
    <col min="9473" max="9473" width="5" style="16" customWidth="1"/>
    <col min="9474" max="9474" width="20.5703125" style="16" customWidth="1"/>
    <col min="9475" max="9475" width="9" style="16" customWidth="1"/>
    <col min="9476" max="9476" width="7" style="16" bestFit="1" customWidth="1"/>
    <col min="9477" max="9477" width="8.5703125" style="16" bestFit="1" customWidth="1"/>
    <col min="9478" max="9478" width="9.5703125" style="16" customWidth="1"/>
    <col min="9479" max="9480" width="8.5703125" style="16" customWidth="1"/>
    <col min="9481" max="9481" width="7.140625" style="16" bestFit="1" customWidth="1"/>
    <col min="9482" max="9482" width="8.28515625" style="16" customWidth="1"/>
    <col min="9483" max="9483" width="7" style="16" bestFit="1" customWidth="1"/>
    <col min="9484" max="9484" width="7.7109375" style="16" customWidth="1"/>
    <col min="9485" max="9485" width="6.85546875" style="16" bestFit="1" customWidth="1"/>
    <col min="9486" max="9486" width="7" style="16" bestFit="1" customWidth="1"/>
    <col min="9487" max="9487" width="8.42578125" style="16" customWidth="1"/>
    <col min="9488" max="9490" width="9.140625" style="16"/>
    <col min="9491" max="9491" width="12.42578125" style="16" customWidth="1"/>
    <col min="9492" max="9492" width="9.140625" style="16"/>
    <col min="9493" max="9493" width="12" style="16" customWidth="1"/>
    <col min="9494" max="9728" width="9.140625" style="16"/>
    <col min="9729" max="9729" width="5" style="16" customWidth="1"/>
    <col min="9730" max="9730" width="20.5703125" style="16" customWidth="1"/>
    <col min="9731" max="9731" width="9" style="16" customWidth="1"/>
    <col min="9732" max="9732" width="7" style="16" bestFit="1" customWidth="1"/>
    <col min="9733" max="9733" width="8.5703125" style="16" bestFit="1" customWidth="1"/>
    <col min="9734" max="9734" width="9.5703125" style="16" customWidth="1"/>
    <col min="9735" max="9736" width="8.5703125" style="16" customWidth="1"/>
    <col min="9737" max="9737" width="7.140625" style="16" bestFit="1" customWidth="1"/>
    <col min="9738" max="9738" width="8.28515625" style="16" customWidth="1"/>
    <col min="9739" max="9739" width="7" style="16" bestFit="1" customWidth="1"/>
    <col min="9740" max="9740" width="7.7109375" style="16" customWidth="1"/>
    <col min="9741" max="9741" width="6.85546875" style="16" bestFit="1" customWidth="1"/>
    <col min="9742" max="9742" width="7" style="16" bestFit="1" customWidth="1"/>
    <col min="9743" max="9743" width="8.42578125" style="16" customWidth="1"/>
    <col min="9744" max="9746" width="9.140625" style="16"/>
    <col min="9747" max="9747" width="12.42578125" style="16" customWidth="1"/>
    <col min="9748" max="9748" width="9.140625" style="16"/>
    <col min="9749" max="9749" width="12" style="16" customWidth="1"/>
    <col min="9750" max="9984" width="9.140625" style="16"/>
    <col min="9985" max="9985" width="5" style="16" customWidth="1"/>
    <col min="9986" max="9986" width="20.5703125" style="16" customWidth="1"/>
    <col min="9987" max="9987" width="9" style="16" customWidth="1"/>
    <col min="9988" max="9988" width="7" style="16" bestFit="1" customWidth="1"/>
    <col min="9989" max="9989" width="8.5703125" style="16" bestFit="1" customWidth="1"/>
    <col min="9990" max="9990" width="9.5703125" style="16" customWidth="1"/>
    <col min="9991" max="9992" width="8.5703125" style="16" customWidth="1"/>
    <col min="9993" max="9993" width="7.140625" style="16" bestFit="1" customWidth="1"/>
    <col min="9994" max="9994" width="8.28515625" style="16" customWidth="1"/>
    <col min="9995" max="9995" width="7" style="16" bestFit="1" customWidth="1"/>
    <col min="9996" max="9996" width="7.7109375" style="16" customWidth="1"/>
    <col min="9997" max="9997" width="6.85546875" style="16" bestFit="1" customWidth="1"/>
    <col min="9998" max="9998" width="7" style="16" bestFit="1" customWidth="1"/>
    <col min="9999" max="9999" width="8.42578125" style="16" customWidth="1"/>
    <col min="10000" max="10002" width="9.140625" style="16"/>
    <col min="10003" max="10003" width="12.42578125" style="16" customWidth="1"/>
    <col min="10004" max="10004" width="9.140625" style="16"/>
    <col min="10005" max="10005" width="12" style="16" customWidth="1"/>
    <col min="10006" max="10240" width="9.140625" style="16"/>
    <col min="10241" max="10241" width="5" style="16" customWidth="1"/>
    <col min="10242" max="10242" width="20.5703125" style="16" customWidth="1"/>
    <col min="10243" max="10243" width="9" style="16" customWidth="1"/>
    <col min="10244" max="10244" width="7" style="16" bestFit="1" customWidth="1"/>
    <col min="10245" max="10245" width="8.5703125" style="16" bestFit="1" customWidth="1"/>
    <col min="10246" max="10246" width="9.5703125" style="16" customWidth="1"/>
    <col min="10247" max="10248" width="8.5703125" style="16" customWidth="1"/>
    <col min="10249" max="10249" width="7.140625" style="16" bestFit="1" customWidth="1"/>
    <col min="10250" max="10250" width="8.28515625" style="16" customWidth="1"/>
    <col min="10251" max="10251" width="7" style="16" bestFit="1" customWidth="1"/>
    <col min="10252" max="10252" width="7.7109375" style="16" customWidth="1"/>
    <col min="10253" max="10253" width="6.85546875" style="16" bestFit="1" customWidth="1"/>
    <col min="10254" max="10254" width="7" style="16" bestFit="1" customWidth="1"/>
    <col min="10255" max="10255" width="8.42578125" style="16" customWidth="1"/>
    <col min="10256" max="10258" width="9.140625" style="16"/>
    <col min="10259" max="10259" width="12.42578125" style="16" customWidth="1"/>
    <col min="10260" max="10260" width="9.140625" style="16"/>
    <col min="10261" max="10261" width="12" style="16" customWidth="1"/>
    <col min="10262" max="10496" width="9.140625" style="16"/>
    <col min="10497" max="10497" width="5" style="16" customWidth="1"/>
    <col min="10498" max="10498" width="20.5703125" style="16" customWidth="1"/>
    <col min="10499" max="10499" width="9" style="16" customWidth="1"/>
    <col min="10500" max="10500" width="7" style="16" bestFit="1" customWidth="1"/>
    <col min="10501" max="10501" width="8.5703125" style="16" bestFit="1" customWidth="1"/>
    <col min="10502" max="10502" width="9.5703125" style="16" customWidth="1"/>
    <col min="10503" max="10504" width="8.5703125" style="16" customWidth="1"/>
    <col min="10505" max="10505" width="7.140625" style="16" bestFit="1" customWidth="1"/>
    <col min="10506" max="10506" width="8.28515625" style="16" customWidth="1"/>
    <col min="10507" max="10507" width="7" style="16" bestFit="1" customWidth="1"/>
    <col min="10508" max="10508" width="7.7109375" style="16" customWidth="1"/>
    <col min="10509" max="10509" width="6.85546875" style="16" bestFit="1" customWidth="1"/>
    <col min="10510" max="10510" width="7" style="16" bestFit="1" customWidth="1"/>
    <col min="10511" max="10511" width="8.42578125" style="16" customWidth="1"/>
    <col min="10512" max="10514" width="9.140625" style="16"/>
    <col min="10515" max="10515" width="12.42578125" style="16" customWidth="1"/>
    <col min="10516" max="10516" width="9.140625" style="16"/>
    <col min="10517" max="10517" width="12" style="16" customWidth="1"/>
    <col min="10518" max="10752" width="9.140625" style="16"/>
    <col min="10753" max="10753" width="5" style="16" customWidth="1"/>
    <col min="10754" max="10754" width="20.5703125" style="16" customWidth="1"/>
    <col min="10755" max="10755" width="9" style="16" customWidth="1"/>
    <col min="10756" max="10756" width="7" style="16" bestFit="1" customWidth="1"/>
    <col min="10757" max="10757" width="8.5703125" style="16" bestFit="1" customWidth="1"/>
    <col min="10758" max="10758" width="9.5703125" style="16" customWidth="1"/>
    <col min="10759" max="10760" width="8.5703125" style="16" customWidth="1"/>
    <col min="10761" max="10761" width="7.140625" style="16" bestFit="1" customWidth="1"/>
    <col min="10762" max="10762" width="8.28515625" style="16" customWidth="1"/>
    <col min="10763" max="10763" width="7" style="16" bestFit="1" customWidth="1"/>
    <col min="10764" max="10764" width="7.7109375" style="16" customWidth="1"/>
    <col min="10765" max="10765" width="6.85546875" style="16" bestFit="1" customWidth="1"/>
    <col min="10766" max="10766" width="7" style="16" bestFit="1" customWidth="1"/>
    <col min="10767" max="10767" width="8.42578125" style="16" customWidth="1"/>
    <col min="10768" max="10770" width="9.140625" style="16"/>
    <col min="10771" max="10771" width="12.42578125" style="16" customWidth="1"/>
    <col min="10772" max="10772" width="9.140625" style="16"/>
    <col min="10773" max="10773" width="12" style="16" customWidth="1"/>
    <col min="10774" max="11008" width="9.140625" style="16"/>
    <col min="11009" max="11009" width="5" style="16" customWidth="1"/>
    <col min="11010" max="11010" width="20.5703125" style="16" customWidth="1"/>
    <col min="11011" max="11011" width="9" style="16" customWidth="1"/>
    <col min="11012" max="11012" width="7" style="16" bestFit="1" customWidth="1"/>
    <col min="11013" max="11013" width="8.5703125" style="16" bestFit="1" customWidth="1"/>
    <col min="11014" max="11014" width="9.5703125" style="16" customWidth="1"/>
    <col min="11015" max="11016" width="8.5703125" style="16" customWidth="1"/>
    <col min="11017" max="11017" width="7.140625" style="16" bestFit="1" customWidth="1"/>
    <col min="11018" max="11018" width="8.28515625" style="16" customWidth="1"/>
    <col min="11019" max="11019" width="7" style="16" bestFit="1" customWidth="1"/>
    <col min="11020" max="11020" width="7.7109375" style="16" customWidth="1"/>
    <col min="11021" max="11021" width="6.85546875" style="16" bestFit="1" customWidth="1"/>
    <col min="11022" max="11022" width="7" style="16" bestFit="1" customWidth="1"/>
    <col min="11023" max="11023" width="8.42578125" style="16" customWidth="1"/>
    <col min="11024" max="11026" width="9.140625" style="16"/>
    <col min="11027" max="11027" width="12.42578125" style="16" customWidth="1"/>
    <col min="11028" max="11028" width="9.140625" style="16"/>
    <col min="11029" max="11029" width="12" style="16" customWidth="1"/>
    <col min="11030" max="11264" width="9.140625" style="16"/>
    <col min="11265" max="11265" width="5" style="16" customWidth="1"/>
    <col min="11266" max="11266" width="20.5703125" style="16" customWidth="1"/>
    <col min="11267" max="11267" width="9" style="16" customWidth="1"/>
    <col min="11268" max="11268" width="7" style="16" bestFit="1" customWidth="1"/>
    <col min="11269" max="11269" width="8.5703125" style="16" bestFit="1" customWidth="1"/>
    <col min="11270" max="11270" width="9.5703125" style="16" customWidth="1"/>
    <col min="11271" max="11272" width="8.5703125" style="16" customWidth="1"/>
    <col min="11273" max="11273" width="7.140625" style="16" bestFit="1" customWidth="1"/>
    <col min="11274" max="11274" width="8.28515625" style="16" customWidth="1"/>
    <col min="11275" max="11275" width="7" style="16" bestFit="1" customWidth="1"/>
    <col min="11276" max="11276" width="7.7109375" style="16" customWidth="1"/>
    <col min="11277" max="11277" width="6.85546875" style="16" bestFit="1" customWidth="1"/>
    <col min="11278" max="11278" width="7" style="16" bestFit="1" customWidth="1"/>
    <col min="11279" max="11279" width="8.42578125" style="16" customWidth="1"/>
    <col min="11280" max="11282" width="9.140625" style="16"/>
    <col min="11283" max="11283" width="12.42578125" style="16" customWidth="1"/>
    <col min="11284" max="11284" width="9.140625" style="16"/>
    <col min="11285" max="11285" width="12" style="16" customWidth="1"/>
    <col min="11286" max="11520" width="9.140625" style="16"/>
    <col min="11521" max="11521" width="5" style="16" customWidth="1"/>
    <col min="11522" max="11522" width="20.5703125" style="16" customWidth="1"/>
    <col min="11523" max="11523" width="9" style="16" customWidth="1"/>
    <col min="11524" max="11524" width="7" style="16" bestFit="1" customWidth="1"/>
    <col min="11525" max="11525" width="8.5703125" style="16" bestFit="1" customWidth="1"/>
    <col min="11526" max="11526" width="9.5703125" style="16" customWidth="1"/>
    <col min="11527" max="11528" width="8.5703125" style="16" customWidth="1"/>
    <col min="11529" max="11529" width="7.140625" style="16" bestFit="1" customWidth="1"/>
    <col min="11530" max="11530" width="8.28515625" style="16" customWidth="1"/>
    <col min="11531" max="11531" width="7" style="16" bestFit="1" customWidth="1"/>
    <col min="11532" max="11532" width="7.7109375" style="16" customWidth="1"/>
    <col min="11533" max="11533" width="6.85546875" style="16" bestFit="1" customWidth="1"/>
    <col min="11534" max="11534" width="7" style="16" bestFit="1" customWidth="1"/>
    <col min="11535" max="11535" width="8.42578125" style="16" customWidth="1"/>
    <col min="11536" max="11538" width="9.140625" style="16"/>
    <col min="11539" max="11539" width="12.42578125" style="16" customWidth="1"/>
    <col min="11540" max="11540" width="9.140625" style="16"/>
    <col min="11541" max="11541" width="12" style="16" customWidth="1"/>
    <col min="11542" max="11776" width="9.140625" style="16"/>
    <col min="11777" max="11777" width="5" style="16" customWidth="1"/>
    <col min="11778" max="11778" width="20.5703125" style="16" customWidth="1"/>
    <col min="11779" max="11779" width="9" style="16" customWidth="1"/>
    <col min="11780" max="11780" width="7" style="16" bestFit="1" customWidth="1"/>
    <col min="11781" max="11781" width="8.5703125" style="16" bestFit="1" customWidth="1"/>
    <col min="11782" max="11782" width="9.5703125" style="16" customWidth="1"/>
    <col min="11783" max="11784" width="8.5703125" style="16" customWidth="1"/>
    <col min="11785" max="11785" width="7.140625" style="16" bestFit="1" customWidth="1"/>
    <col min="11786" max="11786" width="8.28515625" style="16" customWidth="1"/>
    <col min="11787" max="11787" width="7" style="16" bestFit="1" customWidth="1"/>
    <col min="11788" max="11788" width="7.7109375" style="16" customWidth="1"/>
    <col min="11789" max="11789" width="6.85546875" style="16" bestFit="1" customWidth="1"/>
    <col min="11790" max="11790" width="7" style="16" bestFit="1" customWidth="1"/>
    <col min="11791" max="11791" width="8.42578125" style="16" customWidth="1"/>
    <col min="11792" max="11794" width="9.140625" style="16"/>
    <col min="11795" max="11795" width="12.42578125" style="16" customWidth="1"/>
    <col min="11796" max="11796" width="9.140625" style="16"/>
    <col min="11797" max="11797" width="12" style="16" customWidth="1"/>
    <col min="11798" max="12032" width="9.140625" style="16"/>
    <col min="12033" max="12033" width="5" style="16" customWidth="1"/>
    <col min="12034" max="12034" width="20.5703125" style="16" customWidth="1"/>
    <col min="12035" max="12035" width="9" style="16" customWidth="1"/>
    <col min="12036" max="12036" width="7" style="16" bestFit="1" customWidth="1"/>
    <col min="12037" max="12037" width="8.5703125" style="16" bestFit="1" customWidth="1"/>
    <col min="12038" max="12038" width="9.5703125" style="16" customWidth="1"/>
    <col min="12039" max="12040" width="8.5703125" style="16" customWidth="1"/>
    <col min="12041" max="12041" width="7.140625" style="16" bestFit="1" customWidth="1"/>
    <col min="12042" max="12042" width="8.28515625" style="16" customWidth="1"/>
    <col min="12043" max="12043" width="7" style="16" bestFit="1" customWidth="1"/>
    <col min="12044" max="12044" width="7.7109375" style="16" customWidth="1"/>
    <col min="12045" max="12045" width="6.85546875" style="16" bestFit="1" customWidth="1"/>
    <col min="12046" max="12046" width="7" style="16" bestFit="1" customWidth="1"/>
    <col min="12047" max="12047" width="8.42578125" style="16" customWidth="1"/>
    <col min="12048" max="12050" width="9.140625" style="16"/>
    <col min="12051" max="12051" width="12.42578125" style="16" customWidth="1"/>
    <col min="12052" max="12052" width="9.140625" style="16"/>
    <col min="12053" max="12053" width="12" style="16" customWidth="1"/>
    <col min="12054" max="12288" width="9.140625" style="16"/>
    <col min="12289" max="12289" width="5" style="16" customWidth="1"/>
    <col min="12290" max="12290" width="20.5703125" style="16" customWidth="1"/>
    <col min="12291" max="12291" width="9" style="16" customWidth="1"/>
    <col min="12292" max="12292" width="7" style="16" bestFit="1" customWidth="1"/>
    <col min="12293" max="12293" width="8.5703125" style="16" bestFit="1" customWidth="1"/>
    <col min="12294" max="12294" width="9.5703125" style="16" customWidth="1"/>
    <col min="12295" max="12296" width="8.5703125" style="16" customWidth="1"/>
    <col min="12297" max="12297" width="7.140625" style="16" bestFit="1" customWidth="1"/>
    <col min="12298" max="12298" width="8.28515625" style="16" customWidth="1"/>
    <col min="12299" max="12299" width="7" style="16" bestFit="1" customWidth="1"/>
    <col min="12300" max="12300" width="7.7109375" style="16" customWidth="1"/>
    <col min="12301" max="12301" width="6.85546875" style="16" bestFit="1" customWidth="1"/>
    <col min="12302" max="12302" width="7" style="16" bestFit="1" customWidth="1"/>
    <col min="12303" max="12303" width="8.42578125" style="16" customWidth="1"/>
    <col min="12304" max="12306" width="9.140625" style="16"/>
    <col min="12307" max="12307" width="12.42578125" style="16" customWidth="1"/>
    <col min="12308" max="12308" width="9.140625" style="16"/>
    <col min="12309" max="12309" width="12" style="16" customWidth="1"/>
    <col min="12310" max="12544" width="9.140625" style="16"/>
    <col min="12545" max="12545" width="5" style="16" customWidth="1"/>
    <col min="12546" max="12546" width="20.5703125" style="16" customWidth="1"/>
    <col min="12547" max="12547" width="9" style="16" customWidth="1"/>
    <col min="12548" max="12548" width="7" style="16" bestFit="1" customWidth="1"/>
    <col min="12549" max="12549" width="8.5703125" style="16" bestFit="1" customWidth="1"/>
    <col min="12550" max="12550" width="9.5703125" style="16" customWidth="1"/>
    <col min="12551" max="12552" width="8.5703125" style="16" customWidth="1"/>
    <col min="12553" max="12553" width="7.140625" style="16" bestFit="1" customWidth="1"/>
    <col min="12554" max="12554" width="8.28515625" style="16" customWidth="1"/>
    <col min="12555" max="12555" width="7" style="16" bestFit="1" customWidth="1"/>
    <col min="12556" max="12556" width="7.7109375" style="16" customWidth="1"/>
    <col min="12557" max="12557" width="6.85546875" style="16" bestFit="1" customWidth="1"/>
    <col min="12558" max="12558" width="7" style="16" bestFit="1" customWidth="1"/>
    <col min="12559" max="12559" width="8.42578125" style="16" customWidth="1"/>
    <col min="12560" max="12562" width="9.140625" style="16"/>
    <col min="12563" max="12563" width="12.42578125" style="16" customWidth="1"/>
    <col min="12564" max="12564" width="9.140625" style="16"/>
    <col min="12565" max="12565" width="12" style="16" customWidth="1"/>
    <col min="12566" max="12800" width="9.140625" style="16"/>
    <col min="12801" max="12801" width="5" style="16" customWidth="1"/>
    <col min="12802" max="12802" width="20.5703125" style="16" customWidth="1"/>
    <col min="12803" max="12803" width="9" style="16" customWidth="1"/>
    <col min="12804" max="12804" width="7" style="16" bestFit="1" customWidth="1"/>
    <col min="12805" max="12805" width="8.5703125" style="16" bestFit="1" customWidth="1"/>
    <col min="12806" max="12806" width="9.5703125" style="16" customWidth="1"/>
    <col min="12807" max="12808" width="8.5703125" style="16" customWidth="1"/>
    <col min="12809" max="12809" width="7.140625" style="16" bestFit="1" customWidth="1"/>
    <col min="12810" max="12810" width="8.28515625" style="16" customWidth="1"/>
    <col min="12811" max="12811" width="7" style="16" bestFit="1" customWidth="1"/>
    <col min="12812" max="12812" width="7.7109375" style="16" customWidth="1"/>
    <col min="12813" max="12813" width="6.85546875" style="16" bestFit="1" customWidth="1"/>
    <col min="12814" max="12814" width="7" style="16" bestFit="1" customWidth="1"/>
    <col min="12815" max="12815" width="8.42578125" style="16" customWidth="1"/>
    <col min="12816" max="12818" width="9.140625" style="16"/>
    <col min="12819" max="12819" width="12.42578125" style="16" customWidth="1"/>
    <col min="12820" max="12820" width="9.140625" style="16"/>
    <col min="12821" max="12821" width="12" style="16" customWidth="1"/>
    <col min="12822" max="13056" width="9.140625" style="16"/>
    <col min="13057" max="13057" width="5" style="16" customWidth="1"/>
    <col min="13058" max="13058" width="20.5703125" style="16" customWidth="1"/>
    <col min="13059" max="13059" width="9" style="16" customWidth="1"/>
    <col min="13060" max="13060" width="7" style="16" bestFit="1" customWidth="1"/>
    <col min="13061" max="13061" width="8.5703125" style="16" bestFit="1" customWidth="1"/>
    <col min="13062" max="13062" width="9.5703125" style="16" customWidth="1"/>
    <col min="13063" max="13064" width="8.5703125" style="16" customWidth="1"/>
    <col min="13065" max="13065" width="7.140625" style="16" bestFit="1" customWidth="1"/>
    <col min="13066" max="13066" width="8.28515625" style="16" customWidth="1"/>
    <col min="13067" max="13067" width="7" style="16" bestFit="1" customWidth="1"/>
    <col min="13068" max="13068" width="7.7109375" style="16" customWidth="1"/>
    <col min="13069" max="13069" width="6.85546875" style="16" bestFit="1" customWidth="1"/>
    <col min="13070" max="13070" width="7" style="16" bestFit="1" customWidth="1"/>
    <col min="13071" max="13071" width="8.42578125" style="16" customWidth="1"/>
    <col min="13072" max="13074" width="9.140625" style="16"/>
    <col min="13075" max="13075" width="12.42578125" style="16" customWidth="1"/>
    <col min="13076" max="13076" width="9.140625" style="16"/>
    <col min="13077" max="13077" width="12" style="16" customWidth="1"/>
    <col min="13078" max="13312" width="9.140625" style="16"/>
    <col min="13313" max="13313" width="5" style="16" customWidth="1"/>
    <col min="13314" max="13314" width="20.5703125" style="16" customWidth="1"/>
    <col min="13315" max="13315" width="9" style="16" customWidth="1"/>
    <col min="13316" max="13316" width="7" style="16" bestFit="1" customWidth="1"/>
    <col min="13317" max="13317" width="8.5703125" style="16" bestFit="1" customWidth="1"/>
    <col min="13318" max="13318" width="9.5703125" style="16" customWidth="1"/>
    <col min="13319" max="13320" width="8.5703125" style="16" customWidth="1"/>
    <col min="13321" max="13321" width="7.140625" style="16" bestFit="1" customWidth="1"/>
    <col min="13322" max="13322" width="8.28515625" style="16" customWidth="1"/>
    <col min="13323" max="13323" width="7" style="16" bestFit="1" customWidth="1"/>
    <col min="13324" max="13324" width="7.7109375" style="16" customWidth="1"/>
    <col min="13325" max="13325" width="6.85546875" style="16" bestFit="1" customWidth="1"/>
    <col min="13326" max="13326" width="7" style="16" bestFit="1" customWidth="1"/>
    <col min="13327" max="13327" width="8.42578125" style="16" customWidth="1"/>
    <col min="13328" max="13330" width="9.140625" style="16"/>
    <col min="13331" max="13331" width="12.42578125" style="16" customWidth="1"/>
    <col min="13332" max="13332" width="9.140625" style="16"/>
    <col min="13333" max="13333" width="12" style="16" customWidth="1"/>
    <col min="13334" max="13568" width="9.140625" style="16"/>
    <col min="13569" max="13569" width="5" style="16" customWidth="1"/>
    <col min="13570" max="13570" width="20.5703125" style="16" customWidth="1"/>
    <col min="13571" max="13571" width="9" style="16" customWidth="1"/>
    <col min="13572" max="13572" width="7" style="16" bestFit="1" customWidth="1"/>
    <col min="13573" max="13573" width="8.5703125" style="16" bestFit="1" customWidth="1"/>
    <col min="13574" max="13574" width="9.5703125" style="16" customWidth="1"/>
    <col min="13575" max="13576" width="8.5703125" style="16" customWidth="1"/>
    <col min="13577" max="13577" width="7.140625" style="16" bestFit="1" customWidth="1"/>
    <col min="13578" max="13578" width="8.28515625" style="16" customWidth="1"/>
    <col min="13579" max="13579" width="7" style="16" bestFit="1" customWidth="1"/>
    <col min="13580" max="13580" width="7.7109375" style="16" customWidth="1"/>
    <col min="13581" max="13581" width="6.85546875" style="16" bestFit="1" customWidth="1"/>
    <col min="13582" max="13582" width="7" style="16" bestFit="1" customWidth="1"/>
    <col min="13583" max="13583" width="8.42578125" style="16" customWidth="1"/>
    <col min="13584" max="13586" width="9.140625" style="16"/>
    <col min="13587" max="13587" width="12.42578125" style="16" customWidth="1"/>
    <col min="13588" max="13588" width="9.140625" style="16"/>
    <col min="13589" max="13589" width="12" style="16" customWidth="1"/>
    <col min="13590" max="13824" width="9.140625" style="16"/>
    <col min="13825" max="13825" width="5" style="16" customWidth="1"/>
    <col min="13826" max="13826" width="20.5703125" style="16" customWidth="1"/>
    <col min="13827" max="13827" width="9" style="16" customWidth="1"/>
    <col min="13828" max="13828" width="7" style="16" bestFit="1" customWidth="1"/>
    <col min="13829" max="13829" width="8.5703125" style="16" bestFit="1" customWidth="1"/>
    <col min="13830" max="13830" width="9.5703125" style="16" customWidth="1"/>
    <col min="13831" max="13832" width="8.5703125" style="16" customWidth="1"/>
    <col min="13833" max="13833" width="7.140625" style="16" bestFit="1" customWidth="1"/>
    <col min="13834" max="13834" width="8.28515625" style="16" customWidth="1"/>
    <col min="13835" max="13835" width="7" style="16" bestFit="1" customWidth="1"/>
    <col min="13836" max="13836" width="7.7109375" style="16" customWidth="1"/>
    <col min="13837" max="13837" width="6.85546875" style="16" bestFit="1" customWidth="1"/>
    <col min="13838" max="13838" width="7" style="16" bestFit="1" customWidth="1"/>
    <col min="13839" max="13839" width="8.42578125" style="16" customWidth="1"/>
    <col min="13840" max="13842" width="9.140625" style="16"/>
    <col min="13843" max="13843" width="12.42578125" style="16" customWidth="1"/>
    <col min="13844" max="13844" width="9.140625" style="16"/>
    <col min="13845" max="13845" width="12" style="16" customWidth="1"/>
    <col min="13846" max="14080" width="9.140625" style="16"/>
    <col min="14081" max="14081" width="5" style="16" customWidth="1"/>
    <col min="14082" max="14082" width="20.5703125" style="16" customWidth="1"/>
    <col min="14083" max="14083" width="9" style="16" customWidth="1"/>
    <col min="14084" max="14084" width="7" style="16" bestFit="1" customWidth="1"/>
    <col min="14085" max="14085" width="8.5703125" style="16" bestFit="1" customWidth="1"/>
    <col min="14086" max="14086" width="9.5703125" style="16" customWidth="1"/>
    <col min="14087" max="14088" width="8.5703125" style="16" customWidth="1"/>
    <col min="14089" max="14089" width="7.140625" style="16" bestFit="1" customWidth="1"/>
    <col min="14090" max="14090" width="8.28515625" style="16" customWidth="1"/>
    <col min="14091" max="14091" width="7" style="16" bestFit="1" customWidth="1"/>
    <col min="14092" max="14092" width="7.7109375" style="16" customWidth="1"/>
    <col min="14093" max="14093" width="6.85546875" style="16" bestFit="1" customWidth="1"/>
    <col min="14094" max="14094" width="7" style="16" bestFit="1" customWidth="1"/>
    <col min="14095" max="14095" width="8.42578125" style="16" customWidth="1"/>
    <col min="14096" max="14098" width="9.140625" style="16"/>
    <col min="14099" max="14099" width="12.42578125" style="16" customWidth="1"/>
    <col min="14100" max="14100" width="9.140625" style="16"/>
    <col min="14101" max="14101" width="12" style="16" customWidth="1"/>
    <col min="14102" max="14336" width="9.140625" style="16"/>
    <col min="14337" max="14337" width="5" style="16" customWidth="1"/>
    <col min="14338" max="14338" width="20.5703125" style="16" customWidth="1"/>
    <col min="14339" max="14339" width="9" style="16" customWidth="1"/>
    <col min="14340" max="14340" width="7" style="16" bestFit="1" customWidth="1"/>
    <col min="14341" max="14341" width="8.5703125" style="16" bestFit="1" customWidth="1"/>
    <col min="14342" max="14342" width="9.5703125" style="16" customWidth="1"/>
    <col min="14343" max="14344" width="8.5703125" style="16" customWidth="1"/>
    <col min="14345" max="14345" width="7.140625" style="16" bestFit="1" customWidth="1"/>
    <col min="14346" max="14346" width="8.28515625" style="16" customWidth="1"/>
    <col min="14347" max="14347" width="7" style="16" bestFit="1" customWidth="1"/>
    <col min="14348" max="14348" width="7.7109375" style="16" customWidth="1"/>
    <col min="14349" max="14349" width="6.85546875" style="16" bestFit="1" customWidth="1"/>
    <col min="14350" max="14350" width="7" style="16" bestFit="1" customWidth="1"/>
    <col min="14351" max="14351" width="8.42578125" style="16" customWidth="1"/>
    <col min="14352" max="14354" width="9.140625" style="16"/>
    <col min="14355" max="14355" width="12.42578125" style="16" customWidth="1"/>
    <col min="14356" max="14356" width="9.140625" style="16"/>
    <col min="14357" max="14357" width="12" style="16" customWidth="1"/>
    <col min="14358" max="14592" width="9.140625" style="16"/>
    <col min="14593" max="14593" width="5" style="16" customWidth="1"/>
    <col min="14594" max="14594" width="20.5703125" style="16" customWidth="1"/>
    <col min="14595" max="14595" width="9" style="16" customWidth="1"/>
    <col min="14596" max="14596" width="7" style="16" bestFit="1" customWidth="1"/>
    <col min="14597" max="14597" width="8.5703125" style="16" bestFit="1" customWidth="1"/>
    <col min="14598" max="14598" width="9.5703125" style="16" customWidth="1"/>
    <col min="14599" max="14600" width="8.5703125" style="16" customWidth="1"/>
    <col min="14601" max="14601" width="7.140625" style="16" bestFit="1" customWidth="1"/>
    <col min="14602" max="14602" width="8.28515625" style="16" customWidth="1"/>
    <col min="14603" max="14603" width="7" style="16" bestFit="1" customWidth="1"/>
    <col min="14604" max="14604" width="7.7109375" style="16" customWidth="1"/>
    <col min="14605" max="14605" width="6.85546875" style="16" bestFit="1" customWidth="1"/>
    <col min="14606" max="14606" width="7" style="16" bestFit="1" customWidth="1"/>
    <col min="14607" max="14607" width="8.42578125" style="16" customWidth="1"/>
    <col min="14608" max="14610" width="9.140625" style="16"/>
    <col min="14611" max="14611" width="12.42578125" style="16" customWidth="1"/>
    <col min="14612" max="14612" width="9.140625" style="16"/>
    <col min="14613" max="14613" width="12" style="16" customWidth="1"/>
    <col min="14614" max="14848" width="9.140625" style="16"/>
    <col min="14849" max="14849" width="5" style="16" customWidth="1"/>
    <col min="14850" max="14850" width="20.5703125" style="16" customWidth="1"/>
    <col min="14851" max="14851" width="9" style="16" customWidth="1"/>
    <col min="14852" max="14852" width="7" style="16" bestFit="1" customWidth="1"/>
    <col min="14853" max="14853" width="8.5703125" style="16" bestFit="1" customWidth="1"/>
    <col min="14854" max="14854" width="9.5703125" style="16" customWidth="1"/>
    <col min="14855" max="14856" width="8.5703125" style="16" customWidth="1"/>
    <col min="14857" max="14857" width="7.140625" style="16" bestFit="1" customWidth="1"/>
    <col min="14858" max="14858" width="8.28515625" style="16" customWidth="1"/>
    <col min="14859" max="14859" width="7" style="16" bestFit="1" customWidth="1"/>
    <col min="14860" max="14860" width="7.7109375" style="16" customWidth="1"/>
    <col min="14861" max="14861" width="6.85546875" style="16" bestFit="1" customWidth="1"/>
    <col min="14862" max="14862" width="7" style="16" bestFit="1" customWidth="1"/>
    <col min="14863" max="14863" width="8.42578125" style="16" customWidth="1"/>
    <col min="14864" max="14866" width="9.140625" style="16"/>
    <col min="14867" max="14867" width="12.42578125" style="16" customWidth="1"/>
    <col min="14868" max="14868" width="9.140625" style="16"/>
    <col min="14869" max="14869" width="12" style="16" customWidth="1"/>
    <col min="14870" max="15104" width="9.140625" style="16"/>
    <col min="15105" max="15105" width="5" style="16" customWidth="1"/>
    <col min="15106" max="15106" width="20.5703125" style="16" customWidth="1"/>
    <col min="15107" max="15107" width="9" style="16" customWidth="1"/>
    <col min="15108" max="15108" width="7" style="16" bestFit="1" customWidth="1"/>
    <col min="15109" max="15109" width="8.5703125" style="16" bestFit="1" customWidth="1"/>
    <col min="15110" max="15110" width="9.5703125" style="16" customWidth="1"/>
    <col min="15111" max="15112" width="8.5703125" style="16" customWidth="1"/>
    <col min="15113" max="15113" width="7.140625" style="16" bestFit="1" customWidth="1"/>
    <col min="15114" max="15114" width="8.28515625" style="16" customWidth="1"/>
    <col min="15115" max="15115" width="7" style="16" bestFit="1" customWidth="1"/>
    <col min="15116" max="15116" width="7.7109375" style="16" customWidth="1"/>
    <col min="15117" max="15117" width="6.85546875" style="16" bestFit="1" customWidth="1"/>
    <col min="15118" max="15118" width="7" style="16" bestFit="1" customWidth="1"/>
    <col min="15119" max="15119" width="8.42578125" style="16" customWidth="1"/>
    <col min="15120" max="15122" width="9.140625" style="16"/>
    <col min="15123" max="15123" width="12.42578125" style="16" customWidth="1"/>
    <col min="15124" max="15124" width="9.140625" style="16"/>
    <col min="15125" max="15125" width="12" style="16" customWidth="1"/>
    <col min="15126" max="15360" width="9.140625" style="16"/>
    <col min="15361" max="15361" width="5" style="16" customWidth="1"/>
    <col min="15362" max="15362" width="20.5703125" style="16" customWidth="1"/>
    <col min="15363" max="15363" width="9" style="16" customWidth="1"/>
    <col min="15364" max="15364" width="7" style="16" bestFit="1" customWidth="1"/>
    <col min="15365" max="15365" width="8.5703125" style="16" bestFit="1" customWidth="1"/>
    <col min="15366" max="15366" width="9.5703125" style="16" customWidth="1"/>
    <col min="15367" max="15368" width="8.5703125" style="16" customWidth="1"/>
    <col min="15369" max="15369" width="7.140625" style="16" bestFit="1" customWidth="1"/>
    <col min="15370" max="15370" width="8.28515625" style="16" customWidth="1"/>
    <col min="15371" max="15371" width="7" style="16" bestFit="1" customWidth="1"/>
    <col min="15372" max="15372" width="7.7109375" style="16" customWidth="1"/>
    <col min="15373" max="15373" width="6.85546875" style="16" bestFit="1" customWidth="1"/>
    <col min="15374" max="15374" width="7" style="16" bestFit="1" customWidth="1"/>
    <col min="15375" max="15375" width="8.42578125" style="16" customWidth="1"/>
    <col min="15376" max="15378" width="9.140625" style="16"/>
    <col min="15379" max="15379" width="12.42578125" style="16" customWidth="1"/>
    <col min="15380" max="15380" width="9.140625" style="16"/>
    <col min="15381" max="15381" width="12" style="16" customWidth="1"/>
    <col min="15382" max="15616" width="9.140625" style="16"/>
    <col min="15617" max="15617" width="5" style="16" customWidth="1"/>
    <col min="15618" max="15618" width="20.5703125" style="16" customWidth="1"/>
    <col min="15619" max="15619" width="9" style="16" customWidth="1"/>
    <col min="15620" max="15620" width="7" style="16" bestFit="1" customWidth="1"/>
    <col min="15621" max="15621" width="8.5703125" style="16" bestFit="1" customWidth="1"/>
    <col min="15622" max="15622" width="9.5703125" style="16" customWidth="1"/>
    <col min="15623" max="15624" width="8.5703125" style="16" customWidth="1"/>
    <col min="15625" max="15625" width="7.140625" style="16" bestFit="1" customWidth="1"/>
    <col min="15626" max="15626" width="8.28515625" style="16" customWidth="1"/>
    <col min="15627" max="15627" width="7" style="16" bestFit="1" customWidth="1"/>
    <col min="15628" max="15628" width="7.7109375" style="16" customWidth="1"/>
    <col min="15629" max="15629" width="6.85546875" style="16" bestFit="1" customWidth="1"/>
    <col min="15630" max="15630" width="7" style="16" bestFit="1" customWidth="1"/>
    <col min="15631" max="15631" width="8.42578125" style="16" customWidth="1"/>
    <col min="15632" max="15634" width="9.140625" style="16"/>
    <col min="15635" max="15635" width="12.42578125" style="16" customWidth="1"/>
    <col min="15636" max="15636" width="9.140625" style="16"/>
    <col min="15637" max="15637" width="12" style="16" customWidth="1"/>
    <col min="15638" max="15872" width="9.140625" style="16"/>
    <col min="15873" max="15873" width="5" style="16" customWidth="1"/>
    <col min="15874" max="15874" width="20.5703125" style="16" customWidth="1"/>
    <col min="15875" max="15875" width="9" style="16" customWidth="1"/>
    <col min="15876" max="15876" width="7" style="16" bestFit="1" customWidth="1"/>
    <col min="15877" max="15877" width="8.5703125" style="16" bestFit="1" customWidth="1"/>
    <col min="15878" max="15878" width="9.5703125" style="16" customWidth="1"/>
    <col min="15879" max="15880" width="8.5703125" style="16" customWidth="1"/>
    <col min="15881" max="15881" width="7.140625" style="16" bestFit="1" customWidth="1"/>
    <col min="15882" max="15882" width="8.28515625" style="16" customWidth="1"/>
    <col min="15883" max="15883" width="7" style="16" bestFit="1" customWidth="1"/>
    <col min="15884" max="15884" width="7.7109375" style="16" customWidth="1"/>
    <col min="15885" max="15885" width="6.85546875" style="16" bestFit="1" customWidth="1"/>
    <col min="15886" max="15886" width="7" style="16" bestFit="1" customWidth="1"/>
    <col min="15887" max="15887" width="8.42578125" style="16" customWidth="1"/>
    <col min="15888" max="15890" width="9.140625" style="16"/>
    <col min="15891" max="15891" width="12.42578125" style="16" customWidth="1"/>
    <col min="15892" max="15892" width="9.140625" style="16"/>
    <col min="15893" max="15893" width="12" style="16" customWidth="1"/>
    <col min="15894" max="16128" width="9.140625" style="16"/>
    <col min="16129" max="16129" width="5" style="16" customWidth="1"/>
    <col min="16130" max="16130" width="20.5703125" style="16" customWidth="1"/>
    <col min="16131" max="16131" width="9" style="16" customWidth="1"/>
    <col min="16132" max="16132" width="7" style="16" bestFit="1" customWidth="1"/>
    <col min="16133" max="16133" width="8.5703125" style="16" bestFit="1" customWidth="1"/>
    <col min="16134" max="16134" width="9.5703125" style="16" customWidth="1"/>
    <col min="16135" max="16136" width="8.5703125" style="16" customWidth="1"/>
    <col min="16137" max="16137" width="7.140625" style="16" bestFit="1" customWidth="1"/>
    <col min="16138" max="16138" width="8.28515625" style="16" customWidth="1"/>
    <col min="16139" max="16139" width="7" style="16" bestFit="1" customWidth="1"/>
    <col min="16140" max="16140" width="7.7109375" style="16" customWidth="1"/>
    <col min="16141" max="16141" width="6.85546875" style="16" bestFit="1" customWidth="1"/>
    <col min="16142" max="16142" width="7" style="16" bestFit="1" customWidth="1"/>
    <col min="16143" max="16143" width="8.42578125" style="16" customWidth="1"/>
    <col min="16144" max="16146" width="9.140625" style="16"/>
    <col min="16147" max="16147" width="12.42578125" style="16" customWidth="1"/>
    <col min="16148" max="16148" width="9.140625" style="16"/>
    <col min="16149" max="16149" width="12" style="16" customWidth="1"/>
    <col min="16150" max="16384" width="9.140625" style="16"/>
  </cols>
  <sheetData>
    <row r="1" spans="1:15" s="1" customFormat="1" x14ac:dyDescent="0.2">
      <c r="A1" s="867" t="s">
        <v>449</v>
      </c>
      <c r="B1" s="868"/>
      <c r="C1" s="868"/>
      <c r="D1" s="869"/>
      <c r="E1" s="868"/>
      <c r="F1" s="868"/>
      <c r="G1" s="867" t="s">
        <v>102</v>
      </c>
      <c r="H1" s="869"/>
      <c r="I1" s="869" t="s">
        <v>474</v>
      </c>
      <c r="J1" s="868"/>
      <c r="K1" s="868"/>
      <c r="L1" s="870"/>
      <c r="M1" s="870"/>
      <c r="N1" s="870"/>
      <c r="O1" s="870"/>
    </row>
    <row r="2" spans="1:15" s="1" customFormat="1" x14ac:dyDescent="0.2">
      <c r="A2" s="867" t="s">
        <v>103</v>
      </c>
      <c r="B2" s="868"/>
      <c r="C2" s="868"/>
      <c r="D2" s="869" t="s">
        <v>475</v>
      </c>
      <c r="E2" s="868"/>
      <c r="F2" s="868"/>
      <c r="G2" s="867" t="s">
        <v>104</v>
      </c>
      <c r="H2" s="869"/>
      <c r="I2" s="869" t="s">
        <v>105</v>
      </c>
      <c r="J2" s="868"/>
      <c r="K2" s="868"/>
      <c r="L2" s="870"/>
      <c r="M2" s="870"/>
      <c r="N2" s="870"/>
      <c r="O2" s="870"/>
    </row>
    <row r="3" spans="1:15" s="1" customFormat="1" x14ac:dyDescent="0.2">
      <c r="A3" s="867" t="s">
        <v>106</v>
      </c>
      <c r="B3" s="868"/>
      <c r="C3" s="868"/>
      <c r="D3" s="881">
        <v>22760</v>
      </c>
      <c r="E3" s="882"/>
      <c r="F3" s="882"/>
      <c r="G3" s="867" t="s">
        <v>107</v>
      </c>
      <c r="H3" s="869"/>
      <c r="I3" s="869" t="s">
        <v>108</v>
      </c>
      <c r="J3" s="868"/>
      <c r="K3" s="868"/>
      <c r="L3" s="870"/>
      <c r="M3" s="870"/>
      <c r="N3" s="870"/>
      <c r="O3" s="870"/>
    </row>
    <row r="4" spans="1:15" s="1" customFormat="1" x14ac:dyDescent="0.2">
      <c r="A4" s="867" t="s">
        <v>476</v>
      </c>
      <c r="B4" s="868"/>
      <c r="C4" s="868"/>
      <c r="D4" s="883" t="s">
        <v>477</v>
      </c>
      <c r="E4" s="868"/>
      <c r="F4" s="868"/>
      <c r="G4" s="867" t="s">
        <v>110</v>
      </c>
      <c r="H4" s="869"/>
      <c r="I4" s="869" t="s">
        <v>478</v>
      </c>
      <c r="J4" s="868"/>
      <c r="K4" s="868"/>
      <c r="L4" s="870"/>
      <c r="M4" s="870"/>
      <c r="N4" s="870"/>
      <c r="O4" s="870"/>
    </row>
    <row r="5" spans="1:15" s="1" customFormat="1" x14ac:dyDescent="0.2">
      <c r="A5" s="867" t="s">
        <v>112</v>
      </c>
      <c r="B5" s="868"/>
      <c r="C5" s="868"/>
      <c r="D5" s="869"/>
      <c r="E5" s="868"/>
      <c r="F5" s="868"/>
      <c r="G5" s="867"/>
      <c r="H5" s="868"/>
      <c r="I5" s="869" t="s">
        <v>113</v>
      </c>
      <c r="J5" s="868"/>
      <c r="K5" s="868"/>
      <c r="L5" s="870"/>
      <c r="M5" s="870"/>
      <c r="N5" s="870"/>
      <c r="O5" s="870"/>
    </row>
    <row r="6" spans="1:15" s="1" customFormat="1" x14ac:dyDescent="0.2">
      <c r="A6" s="871" t="s">
        <v>114</v>
      </c>
      <c r="B6" s="872"/>
      <c r="C6" s="872"/>
      <c r="D6" s="868" t="s">
        <v>20</v>
      </c>
      <c r="E6" s="868"/>
      <c r="F6" s="868"/>
      <c r="G6" s="871" t="s">
        <v>115</v>
      </c>
      <c r="H6" s="871"/>
      <c r="I6" s="2" t="s">
        <v>116</v>
      </c>
      <c r="J6" s="888"/>
      <c r="K6" s="888"/>
      <c r="L6" s="888"/>
      <c r="M6" s="888"/>
      <c r="N6" s="888"/>
      <c r="O6" s="889"/>
    </row>
    <row r="7" spans="1:15" s="1" customFormat="1" ht="13.5" thickBot="1" x14ac:dyDescent="0.25">
      <c r="A7" s="3"/>
      <c r="B7" s="4"/>
      <c r="C7" s="5"/>
      <c r="D7" s="6"/>
      <c r="E7" s="6"/>
      <c r="F7" s="6"/>
      <c r="G7" s="6"/>
      <c r="H7" s="6"/>
      <c r="I7" s="6"/>
      <c r="J7" s="7"/>
      <c r="K7" s="8"/>
      <c r="L7" s="875" t="s">
        <v>223</v>
      </c>
      <c r="M7" s="875"/>
      <c r="N7" s="875"/>
      <c r="O7" s="875"/>
    </row>
    <row r="8" spans="1:15" s="11" customFormat="1" x14ac:dyDescent="0.2">
      <c r="A8" s="876" t="str">
        <f>I1</f>
        <v>Mr. R.S. Mahalpure</v>
      </c>
      <c r="B8" s="877"/>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107500</v>
      </c>
      <c r="D9" s="14">
        <v>107500</v>
      </c>
      <c r="E9" s="14">
        <v>107500</v>
      </c>
      <c r="F9" s="14">
        <v>107500</v>
      </c>
      <c r="G9" s="14">
        <v>110700</v>
      </c>
      <c r="H9" s="14">
        <v>110700</v>
      </c>
      <c r="I9" s="14">
        <v>110700</v>
      </c>
      <c r="J9" s="14">
        <v>110700</v>
      </c>
      <c r="K9" s="14">
        <v>110700</v>
      </c>
      <c r="L9" s="14">
        <v>110700</v>
      </c>
      <c r="M9" s="14">
        <v>110700</v>
      </c>
      <c r="N9" s="14">
        <v>110700</v>
      </c>
      <c r="O9" s="25">
        <f>SUM(C9:N9)</f>
        <v>1315600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5375</v>
      </c>
      <c r="D11" s="17">
        <v>7525</v>
      </c>
      <c r="E11" s="17">
        <v>7525</v>
      </c>
      <c r="F11" s="17">
        <v>7525</v>
      </c>
      <c r="G11" s="17">
        <v>7749</v>
      </c>
      <c r="H11" s="17">
        <v>7749</v>
      </c>
      <c r="I11" s="17">
        <v>7749</v>
      </c>
      <c r="J11" s="17">
        <v>9963</v>
      </c>
      <c r="K11" s="17">
        <v>9963</v>
      </c>
      <c r="L11" s="17">
        <v>9963</v>
      </c>
      <c r="M11" s="17">
        <v>9963</v>
      </c>
      <c r="N11" s="17">
        <v>9963</v>
      </c>
      <c r="O11" s="18">
        <f>SUM(C11:N11)</f>
        <v>101012</v>
      </c>
    </row>
    <row r="12" spans="1:15"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x14ac:dyDescent="0.2">
      <c r="A14" s="12"/>
      <c r="B14" s="13" t="s">
        <v>123</v>
      </c>
      <c r="C14" s="17">
        <v>7560</v>
      </c>
      <c r="D14" s="17">
        <v>7704</v>
      </c>
      <c r="E14" s="17">
        <v>7704</v>
      </c>
      <c r="F14" s="17">
        <v>7704</v>
      </c>
      <c r="G14" s="17">
        <v>7704</v>
      </c>
      <c r="H14" s="17">
        <v>7704</v>
      </c>
      <c r="I14" s="17">
        <v>7704</v>
      </c>
      <c r="J14" s="17">
        <v>7848</v>
      </c>
      <c r="K14" s="17">
        <v>7848</v>
      </c>
      <c r="L14" s="17">
        <v>7848</v>
      </c>
      <c r="M14" s="17">
        <v>7848</v>
      </c>
      <c r="N14" s="17">
        <v>7848</v>
      </c>
      <c r="O14" s="18">
        <f t="shared" si="0"/>
        <v>93024</v>
      </c>
    </row>
    <row r="15" spans="1:15"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hidden="1"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458</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0</v>
      </c>
      <c r="D19" s="17">
        <v>0</v>
      </c>
      <c r="E19" s="17">
        <v>0</v>
      </c>
      <c r="F19" s="17">
        <v>0</v>
      </c>
      <c r="G19" s="17">
        <v>0</v>
      </c>
      <c r="H19" s="17">
        <v>0</v>
      </c>
      <c r="I19" s="17">
        <v>0</v>
      </c>
      <c r="J19" s="17">
        <v>0</v>
      </c>
      <c r="K19" s="17">
        <v>0</v>
      </c>
      <c r="L19" s="17">
        <v>0</v>
      </c>
      <c r="M19" s="17">
        <v>0</v>
      </c>
      <c r="N19" s="17">
        <v>0</v>
      </c>
      <c r="O19" s="18">
        <f t="shared" si="0"/>
        <v>0</v>
      </c>
    </row>
    <row r="20" spans="1:15" ht="22.5" customHeight="1" x14ac:dyDescent="0.2">
      <c r="A20" s="12"/>
      <c r="B20" s="247" t="s">
        <v>252</v>
      </c>
      <c r="C20" s="17">
        <v>0</v>
      </c>
      <c r="D20" s="17">
        <v>0</v>
      </c>
      <c r="E20" s="17">
        <v>38342</v>
      </c>
      <c r="F20" s="17">
        <v>0</v>
      </c>
      <c r="G20" s="17">
        <v>0</v>
      </c>
      <c r="H20" s="17">
        <v>0</v>
      </c>
      <c r="I20" s="17">
        <v>0</v>
      </c>
      <c r="J20" s="17">
        <v>0</v>
      </c>
      <c r="K20" s="17">
        <v>0</v>
      </c>
      <c r="L20" s="17">
        <v>0</v>
      </c>
      <c r="M20" s="17">
        <v>40221</v>
      </c>
      <c r="N20" s="17">
        <v>0</v>
      </c>
      <c r="O20" s="18">
        <f t="shared" si="0"/>
        <v>78563</v>
      </c>
    </row>
    <row r="21" spans="1:15" ht="15" hidden="1" customHeight="1" x14ac:dyDescent="0.2">
      <c r="A21" s="878"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79"/>
      <c r="B22" s="19" t="s">
        <v>132</v>
      </c>
      <c r="C22" s="17">
        <v>0</v>
      </c>
      <c r="D22" s="17">
        <v>0</v>
      </c>
      <c r="E22" s="17">
        <v>0</v>
      </c>
      <c r="F22" s="17">
        <v>0</v>
      </c>
      <c r="G22" s="17">
        <v>0</v>
      </c>
      <c r="H22" s="17">
        <v>0</v>
      </c>
      <c r="I22" s="17">
        <v>0</v>
      </c>
      <c r="J22" s="17">
        <v>0</v>
      </c>
      <c r="K22" s="17">
        <v>0</v>
      </c>
      <c r="L22" s="17">
        <v>0</v>
      </c>
      <c r="M22" s="17">
        <v>0</v>
      </c>
      <c r="N22" s="17">
        <v>0</v>
      </c>
      <c r="O22" s="18">
        <f t="shared" si="0"/>
        <v>0</v>
      </c>
    </row>
    <row r="23" spans="1:15" ht="15" hidden="1" customHeight="1" x14ac:dyDescent="0.2">
      <c r="A23" s="879"/>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79"/>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79"/>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79"/>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79"/>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79"/>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79"/>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79"/>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79"/>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79"/>
      <c r="B32" s="21" t="s">
        <v>142</v>
      </c>
      <c r="C32" s="17">
        <v>0</v>
      </c>
      <c r="D32" s="17">
        <v>0</v>
      </c>
      <c r="E32" s="17">
        <v>0</v>
      </c>
      <c r="F32" s="17">
        <v>0</v>
      </c>
      <c r="G32" s="17">
        <v>0</v>
      </c>
      <c r="H32" s="17">
        <v>0</v>
      </c>
      <c r="I32" s="17">
        <v>0</v>
      </c>
      <c r="J32" s="17">
        <v>0</v>
      </c>
      <c r="K32" s="17">
        <v>0</v>
      </c>
      <c r="L32" s="17">
        <v>0</v>
      </c>
      <c r="M32" s="17">
        <v>0</v>
      </c>
      <c r="N32" s="17">
        <v>0</v>
      </c>
      <c r="O32" s="18">
        <f t="shared" si="0"/>
        <v>0</v>
      </c>
    </row>
    <row r="33" spans="1:16" ht="15" hidden="1" customHeight="1" x14ac:dyDescent="0.2">
      <c r="A33" s="880"/>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865" t="s">
        <v>144</v>
      </c>
      <c r="B34" s="866"/>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865" t="s">
        <v>145</v>
      </c>
      <c r="B35" s="866"/>
      <c r="C35" s="17">
        <v>0</v>
      </c>
      <c r="D35" s="17">
        <v>432</v>
      </c>
      <c r="E35" s="17">
        <v>0</v>
      </c>
      <c r="F35" s="17">
        <v>0</v>
      </c>
      <c r="G35" s="17">
        <v>0</v>
      </c>
      <c r="H35" s="17">
        <v>0</v>
      </c>
      <c r="I35" s="17">
        <v>0</v>
      </c>
      <c r="J35" s="17">
        <v>432</v>
      </c>
      <c r="K35" s="17">
        <v>0</v>
      </c>
      <c r="L35" s="17">
        <v>0</v>
      </c>
      <c r="M35" s="17">
        <v>0</v>
      </c>
      <c r="N35" s="17">
        <v>0</v>
      </c>
      <c r="O35" s="18">
        <f t="shared" si="0"/>
        <v>864</v>
      </c>
    </row>
    <row r="36" spans="1:16" ht="15" customHeight="1" x14ac:dyDescent="0.2">
      <c r="A36" s="865" t="s">
        <v>146</v>
      </c>
      <c r="B36" s="866"/>
      <c r="C36" s="17">
        <v>0</v>
      </c>
      <c r="D36" s="17">
        <v>6450</v>
      </c>
      <c r="E36" s="17">
        <v>0</v>
      </c>
      <c r="F36" s="17">
        <v>0</v>
      </c>
      <c r="G36" s="17">
        <v>0</v>
      </c>
      <c r="H36" s="17">
        <v>0</v>
      </c>
      <c r="I36" s="17">
        <v>0</v>
      </c>
      <c r="J36" s="17">
        <v>6642</v>
      </c>
      <c r="K36" s="17">
        <v>0</v>
      </c>
      <c r="L36" s="17">
        <v>0</v>
      </c>
      <c r="M36" s="17">
        <v>0</v>
      </c>
      <c r="N36" s="17">
        <v>0</v>
      </c>
      <c r="O36" s="18">
        <f t="shared" si="0"/>
        <v>13092</v>
      </c>
    </row>
    <row r="37" spans="1:16" ht="15" customHeight="1" x14ac:dyDescent="0.2">
      <c r="A37" s="22"/>
      <c r="B37" s="23" t="s">
        <v>147</v>
      </c>
      <c r="C37" s="24">
        <f t="shared" ref="C37:N37" si="1">SUM(C9:C36)</f>
        <v>120435</v>
      </c>
      <c r="D37" s="24">
        <f t="shared" si="1"/>
        <v>129611</v>
      </c>
      <c r="E37" s="24">
        <f t="shared" si="1"/>
        <v>161071</v>
      </c>
      <c r="F37" s="24">
        <f t="shared" si="1"/>
        <v>122729</v>
      </c>
      <c r="G37" s="24">
        <f t="shared" si="1"/>
        <v>126153</v>
      </c>
      <c r="H37" s="24">
        <f t="shared" si="1"/>
        <v>126153</v>
      </c>
      <c r="I37" s="24">
        <f t="shared" si="1"/>
        <v>126153</v>
      </c>
      <c r="J37" s="24">
        <f t="shared" si="1"/>
        <v>135585</v>
      </c>
      <c r="K37" s="24">
        <f t="shared" si="1"/>
        <v>128511</v>
      </c>
      <c r="L37" s="24">
        <f t="shared" si="1"/>
        <v>128511</v>
      </c>
      <c r="M37" s="24">
        <f t="shared" si="1"/>
        <v>168732</v>
      </c>
      <c r="N37" s="24">
        <f t="shared" si="1"/>
        <v>128511</v>
      </c>
      <c r="O37" s="25">
        <f>SUM(C37:N37)</f>
        <v>1602155</v>
      </c>
    </row>
    <row r="38" spans="1:16" ht="15" customHeight="1" x14ac:dyDescent="0.2">
      <c r="A38" s="853" t="s">
        <v>148</v>
      </c>
      <c r="B38" s="27" t="s">
        <v>149</v>
      </c>
      <c r="C38" s="147">
        <v>13400</v>
      </c>
      <c r="D38" s="147">
        <v>14000</v>
      </c>
      <c r="E38" s="147">
        <v>14000</v>
      </c>
      <c r="F38" s="147">
        <v>14000</v>
      </c>
      <c r="G38" s="147">
        <v>14000</v>
      </c>
      <c r="H38" s="147">
        <v>14000</v>
      </c>
      <c r="I38" s="147">
        <v>14000</v>
      </c>
      <c r="J38" s="147">
        <v>14000</v>
      </c>
      <c r="K38" s="147">
        <v>20000</v>
      </c>
      <c r="L38" s="147">
        <v>20020</v>
      </c>
      <c r="M38" s="147">
        <v>29355</v>
      </c>
      <c r="N38" s="147">
        <v>29355</v>
      </c>
      <c r="O38" s="18">
        <f>SUM(C38:N38)</f>
        <v>210130</v>
      </c>
      <c r="P38" s="248"/>
    </row>
    <row r="39" spans="1:16" ht="15" x14ac:dyDescent="0.2">
      <c r="A39" s="854"/>
      <c r="B39" s="27" t="s">
        <v>150</v>
      </c>
      <c r="C39" s="147">
        <v>0</v>
      </c>
      <c r="D39" s="147">
        <v>0</v>
      </c>
      <c r="E39" s="147">
        <v>0</v>
      </c>
      <c r="F39" s="147">
        <v>0</v>
      </c>
      <c r="G39" s="147">
        <v>0</v>
      </c>
      <c r="H39" s="147">
        <v>0</v>
      </c>
      <c r="I39" s="147">
        <v>0</v>
      </c>
      <c r="J39" s="147">
        <v>0</v>
      </c>
      <c r="K39" s="147">
        <v>0</v>
      </c>
      <c r="L39" s="147">
        <v>0</v>
      </c>
      <c r="M39" s="147">
        <v>0</v>
      </c>
      <c r="N39" s="147">
        <v>0</v>
      </c>
      <c r="O39" s="18">
        <f>SUM(C39:N39)</f>
        <v>0</v>
      </c>
    </row>
    <row r="40" spans="1:16" ht="15" x14ac:dyDescent="0.2">
      <c r="A40" s="854"/>
      <c r="B40" s="27" t="s">
        <v>151</v>
      </c>
      <c r="C40" s="147">
        <v>60</v>
      </c>
      <c r="D40" s="147">
        <v>60</v>
      </c>
      <c r="E40" s="147">
        <v>60</v>
      </c>
      <c r="F40" s="147">
        <v>60</v>
      </c>
      <c r="G40" s="147">
        <v>60</v>
      </c>
      <c r="H40" s="147">
        <v>60</v>
      </c>
      <c r="I40" s="147">
        <v>60</v>
      </c>
      <c r="J40" s="147">
        <v>60</v>
      </c>
      <c r="K40" s="147">
        <v>60</v>
      </c>
      <c r="L40" s="147">
        <v>60</v>
      </c>
      <c r="M40" s="147">
        <v>60</v>
      </c>
      <c r="N40" s="147">
        <v>60</v>
      </c>
      <c r="O40" s="18">
        <f t="shared" ref="O40:O50" si="2">SUM(C40:N40)</f>
        <v>720</v>
      </c>
    </row>
    <row r="41" spans="1:16" ht="15" x14ac:dyDescent="0.2">
      <c r="A41" s="854"/>
      <c r="B41" s="27" t="s">
        <v>152</v>
      </c>
      <c r="C41" s="147">
        <v>0</v>
      </c>
      <c r="D41" s="147">
        <v>0</v>
      </c>
      <c r="E41" s="147">
        <v>0</v>
      </c>
      <c r="F41" s="147">
        <v>0</v>
      </c>
      <c r="G41" s="147">
        <v>0</v>
      </c>
      <c r="H41" s="147">
        <v>0</v>
      </c>
      <c r="I41" s="147">
        <v>0</v>
      </c>
      <c r="J41" s="147">
        <v>0</v>
      </c>
      <c r="K41" s="147">
        <v>0</v>
      </c>
      <c r="L41" s="147">
        <v>0</v>
      </c>
      <c r="M41" s="147">
        <v>0</v>
      </c>
      <c r="N41" s="147">
        <v>0</v>
      </c>
      <c r="O41" s="18">
        <f t="shared" si="2"/>
        <v>0</v>
      </c>
    </row>
    <row r="42" spans="1:16" ht="15" x14ac:dyDescent="0.2">
      <c r="A42" s="854"/>
      <c r="B42" s="27" t="s">
        <v>153</v>
      </c>
      <c r="C42" s="147">
        <v>650</v>
      </c>
      <c r="D42" s="147">
        <v>650</v>
      </c>
      <c r="E42" s="147">
        <v>650</v>
      </c>
      <c r="F42" s="147">
        <v>650</v>
      </c>
      <c r="G42" s="147">
        <v>650</v>
      </c>
      <c r="H42" s="147">
        <v>650</v>
      </c>
      <c r="I42" s="147">
        <v>650</v>
      </c>
      <c r="J42" s="147">
        <v>650</v>
      </c>
      <c r="K42" s="147">
        <v>650</v>
      </c>
      <c r="L42" s="147">
        <v>650</v>
      </c>
      <c r="M42" s="147">
        <v>650</v>
      </c>
      <c r="N42" s="147">
        <v>650</v>
      </c>
      <c r="O42" s="18">
        <f t="shared" si="2"/>
        <v>7800</v>
      </c>
    </row>
    <row r="43" spans="1:16" ht="15" x14ac:dyDescent="0.2">
      <c r="A43" s="854"/>
      <c r="B43" s="27" t="s">
        <v>154</v>
      </c>
      <c r="C43" s="147">
        <v>35000</v>
      </c>
      <c r="D43" s="147">
        <v>35000</v>
      </c>
      <c r="E43" s="147">
        <v>35000</v>
      </c>
      <c r="F43" s="147">
        <v>35000</v>
      </c>
      <c r="G43" s="147">
        <v>35000</v>
      </c>
      <c r="H43" s="147">
        <v>35000</v>
      </c>
      <c r="I43" s="147">
        <v>35000</v>
      </c>
      <c r="J43" s="147">
        <v>35000</v>
      </c>
      <c r="K43" s="147">
        <v>35000</v>
      </c>
      <c r="L43" s="147">
        <v>35000</v>
      </c>
      <c r="M43" s="147">
        <v>35000</v>
      </c>
      <c r="N43" s="147">
        <v>35000</v>
      </c>
      <c r="O43" s="18">
        <f t="shared" si="2"/>
        <v>420000</v>
      </c>
    </row>
    <row r="44" spans="1:16" ht="15" x14ac:dyDescent="0.2">
      <c r="A44" s="854"/>
      <c r="B44" s="27" t="s">
        <v>155</v>
      </c>
      <c r="C44" s="147">
        <v>200</v>
      </c>
      <c r="D44" s="147">
        <v>200</v>
      </c>
      <c r="E44" s="147">
        <v>200</v>
      </c>
      <c r="F44" s="147">
        <v>200</v>
      </c>
      <c r="G44" s="147">
        <v>200</v>
      </c>
      <c r="H44" s="147">
        <v>200</v>
      </c>
      <c r="I44" s="147">
        <v>200</v>
      </c>
      <c r="J44" s="147">
        <v>200</v>
      </c>
      <c r="K44" s="147">
        <v>200</v>
      </c>
      <c r="L44" s="147">
        <v>200</v>
      </c>
      <c r="M44" s="147">
        <v>200</v>
      </c>
      <c r="N44" s="147">
        <v>300</v>
      </c>
      <c r="O44" s="18">
        <f t="shared" si="2"/>
        <v>2500</v>
      </c>
    </row>
    <row r="45" spans="1:16" ht="15" x14ac:dyDescent="0.2">
      <c r="A45" s="854"/>
      <c r="B45" s="27" t="s">
        <v>293</v>
      </c>
      <c r="C45" s="147">
        <v>588</v>
      </c>
      <c r="D45" s="147">
        <v>588</v>
      </c>
      <c r="E45" s="147">
        <v>588</v>
      </c>
      <c r="F45" s="147">
        <v>588</v>
      </c>
      <c r="G45" s="147">
        <v>588</v>
      </c>
      <c r="H45" s="147">
        <v>588</v>
      </c>
      <c r="I45" s="147">
        <v>588</v>
      </c>
      <c r="J45" s="147">
        <v>588</v>
      </c>
      <c r="K45" s="147">
        <v>588</v>
      </c>
      <c r="L45" s="147">
        <v>588</v>
      </c>
      <c r="M45" s="147">
        <v>588</v>
      </c>
      <c r="N45" s="147">
        <v>588</v>
      </c>
      <c r="O45" s="18">
        <f t="shared" si="2"/>
        <v>7056</v>
      </c>
    </row>
    <row r="46" spans="1:16" ht="15" x14ac:dyDescent="0.2">
      <c r="A46" s="854"/>
      <c r="B46" s="27" t="s">
        <v>157</v>
      </c>
      <c r="C46" s="147">
        <v>0</v>
      </c>
      <c r="D46" s="147">
        <v>0</v>
      </c>
      <c r="E46" s="147">
        <v>0</v>
      </c>
      <c r="F46" s="147">
        <v>0</v>
      </c>
      <c r="G46" s="147">
        <v>0</v>
      </c>
      <c r="H46" s="147">
        <v>0</v>
      </c>
      <c r="I46" s="147">
        <v>0</v>
      </c>
      <c r="J46" s="147">
        <v>0</v>
      </c>
      <c r="K46" s="147">
        <v>0</v>
      </c>
      <c r="L46" s="147">
        <v>0</v>
      </c>
      <c r="M46" s="147">
        <v>0</v>
      </c>
      <c r="N46" s="147">
        <v>0</v>
      </c>
      <c r="O46" s="18">
        <f t="shared" si="2"/>
        <v>0</v>
      </c>
    </row>
    <row r="47" spans="1:16" ht="28.5" customHeight="1" x14ac:dyDescent="0.2">
      <c r="A47" s="855"/>
      <c r="B47" s="30" t="s">
        <v>158</v>
      </c>
      <c r="C47" s="147">
        <v>0</v>
      </c>
      <c r="D47" s="147">
        <v>0</v>
      </c>
      <c r="E47" s="147">
        <v>0</v>
      </c>
      <c r="F47" s="147">
        <v>0</v>
      </c>
      <c r="G47" s="147">
        <v>0</v>
      </c>
      <c r="H47" s="147">
        <v>0</v>
      </c>
      <c r="I47" s="147">
        <v>0</v>
      </c>
      <c r="J47" s="147">
        <v>0</v>
      </c>
      <c r="K47" s="147">
        <v>0</v>
      </c>
      <c r="L47" s="147">
        <v>0</v>
      </c>
      <c r="M47" s="147">
        <v>0</v>
      </c>
      <c r="N47" s="147">
        <v>0</v>
      </c>
      <c r="O47" s="31">
        <f t="shared" si="2"/>
        <v>0</v>
      </c>
    </row>
    <row r="48" spans="1:16" ht="15" x14ac:dyDescent="0.2">
      <c r="A48" s="856"/>
      <c r="B48" s="127" t="s">
        <v>479</v>
      </c>
      <c r="C48" s="147">
        <v>0</v>
      </c>
      <c r="D48" s="147">
        <v>0</v>
      </c>
      <c r="E48" s="147">
        <v>0</v>
      </c>
      <c r="F48" s="147">
        <v>0</v>
      </c>
      <c r="G48" s="147">
        <v>0</v>
      </c>
      <c r="H48" s="147">
        <v>0</v>
      </c>
      <c r="I48" s="147">
        <v>0</v>
      </c>
      <c r="J48" s="147">
        <v>0</v>
      </c>
      <c r="K48" s="147">
        <v>0</v>
      </c>
      <c r="L48" s="147">
        <v>0</v>
      </c>
      <c r="M48" s="147">
        <v>0</v>
      </c>
      <c r="N48" s="147">
        <v>0</v>
      </c>
      <c r="O48" s="31">
        <f t="shared" si="2"/>
        <v>0</v>
      </c>
    </row>
    <row r="49" spans="1:17" ht="15" x14ac:dyDescent="0.2">
      <c r="A49" s="857" t="s">
        <v>160</v>
      </c>
      <c r="B49" s="858"/>
      <c r="C49" s="33">
        <f t="shared" ref="C49:N49" si="3">SUM(C38:C48)</f>
        <v>49898</v>
      </c>
      <c r="D49" s="33">
        <f t="shared" si="3"/>
        <v>50498</v>
      </c>
      <c r="E49" s="33">
        <f t="shared" si="3"/>
        <v>50498</v>
      </c>
      <c r="F49" s="33">
        <f t="shared" si="3"/>
        <v>50498</v>
      </c>
      <c r="G49" s="33">
        <f t="shared" si="3"/>
        <v>50498</v>
      </c>
      <c r="H49" s="33">
        <f t="shared" si="3"/>
        <v>50498</v>
      </c>
      <c r="I49" s="33">
        <f t="shared" si="3"/>
        <v>50498</v>
      </c>
      <c r="J49" s="33">
        <f t="shared" si="3"/>
        <v>50498</v>
      </c>
      <c r="K49" s="33">
        <f t="shared" si="3"/>
        <v>56498</v>
      </c>
      <c r="L49" s="33">
        <f t="shared" si="3"/>
        <v>56518</v>
      </c>
      <c r="M49" s="33">
        <f t="shared" si="3"/>
        <v>65853</v>
      </c>
      <c r="N49" s="33">
        <f t="shared" si="3"/>
        <v>65953</v>
      </c>
      <c r="O49" s="34">
        <f t="shared" si="2"/>
        <v>648206</v>
      </c>
    </row>
    <row r="50" spans="1:17" ht="15.75" thickBot="1" x14ac:dyDescent="0.25">
      <c r="A50" s="859" t="s">
        <v>161</v>
      </c>
      <c r="B50" s="860"/>
      <c r="C50" s="35">
        <f t="shared" ref="C50:N50" si="4">C37-C49</f>
        <v>70537</v>
      </c>
      <c r="D50" s="35">
        <f t="shared" si="4"/>
        <v>79113</v>
      </c>
      <c r="E50" s="35">
        <f t="shared" si="4"/>
        <v>110573</v>
      </c>
      <c r="F50" s="35">
        <f t="shared" si="4"/>
        <v>72231</v>
      </c>
      <c r="G50" s="35">
        <f t="shared" si="4"/>
        <v>75655</v>
      </c>
      <c r="H50" s="35">
        <f t="shared" si="4"/>
        <v>75655</v>
      </c>
      <c r="I50" s="35">
        <f t="shared" si="4"/>
        <v>75655</v>
      </c>
      <c r="J50" s="35">
        <f t="shared" si="4"/>
        <v>85087</v>
      </c>
      <c r="K50" s="35">
        <f t="shared" si="4"/>
        <v>72013</v>
      </c>
      <c r="L50" s="35">
        <f t="shared" si="4"/>
        <v>71993</v>
      </c>
      <c r="M50" s="35">
        <f t="shared" si="4"/>
        <v>102879</v>
      </c>
      <c r="N50" s="35">
        <f t="shared" si="4"/>
        <v>62558</v>
      </c>
      <c r="O50" s="36">
        <f t="shared" si="2"/>
        <v>953949</v>
      </c>
    </row>
    <row r="51" spans="1:17" x14ac:dyDescent="0.2">
      <c r="J51" s="229">
        <f>+J37-SUM(J22:J36)</f>
        <v>128511</v>
      </c>
      <c r="Q51" s="38"/>
    </row>
    <row r="52" spans="1:17" ht="13.5" thickBot="1" x14ac:dyDescent="0.25">
      <c r="J52" s="38">
        <f>+J51-J49</f>
        <v>78013</v>
      </c>
    </row>
    <row r="53" spans="1:17" ht="13.5" thickBot="1" x14ac:dyDescent="0.25">
      <c r="B53" s="789" t="s">
        <v>162</v>
      </c>
      <c r="C53" s="861"/>
      <c r="D53" s="861"/>
      <c r="E53" s="861"/>
      <c r="F53" s="862"/>
      <c r="G53" s="863">
        <f>O37</f>
        <v>1602155</v>
      </c>
      <c r="H53" s="864"/>
      <c r="J53" s="38">
        <f>+J52+16974</f>
        <v>94987</v>
      </c>
    </row>
    <row r="54" spans="1:17" ht="13.5" thickBot="1" x14ac:dyDescent="0.25"/>
    <row r="55" spans="1:17" x14ac:dyDescent="0.2">
      <c r="B55" s="830" t="s">
        <v>163</v>
      </c>
      <c r="C55" s="833" t="s">
        <v>164</v>
      </c>
      <c r="D55" s="836" t="s">
        <v>425</v>
      </c>
      <c r="E55" s="837"/>
      <c r="F55" s="838"/>
      <c r="G55" s="839">
        <v>40000</v>
      </c>
      <c r="H55" s="840"/>
    </row>
    <row r="56" spans="1:17" ht="15" x14ac:dyDescent="0.25">
      <c r="B56" s="831"/>
      <c r="C56" s="834"/>
      <c r="D56" s="841" t="s">
        <v>166</v>
      </c>
      <c r="E56" s="842"/>
      <c r="F56" s="843"/>
      <c r="G56" s="844">
        <f>+O44</f>
        <v>2500</v>
      </c>
      <c r="H56" s="845"/>
      <c r="I56" s="39"/>
      <c r="J56" s="914"/>
      <c r="K56" s="914"/>
      <c r="L56" s="914"/>
      <c r="M56" s="847"/>
      <c r="N56" s="847"/>
      <c r="O56" s="847"/>
    </row>
    <row r="57" spans="1:17" ht="13.5" thickBot="1" x14ac:dyDescent="0.25">
      <c r="B57" s="832"/>
      <c r="C57" s="835"/>
      <c r="D57" s="848" t="s">
        <v>243</v>
      </c>
      <c r="E57" s="849"/>
      <c r="F57" s="850"/>
      <c r="G57" s="851">
        <f>IF(O18&gt;15000,15000,+O18)</f>
        <v>0</v>
      </c>
      <c r="H57" s="852"/>
      <c r="J57" s="47"/>
      <c r="K57" s="47"/>
      <c r="L57" s="47"/>
      <c r="M57" s="47"/>
      <c r="N57" s="47"/>
      <c r="O57" s="47"/>
    </row>
    <row r="58" spans="1:17" ht="13.5" thickBot="1" x14ac:dyDescent="0.25">
      <c r="B58" s="48"/>
      <c r="J58" s="47"/>
      <c r="K58" s="47"/>
      <c r="L58" s="47"/>
      <c r="M58" s="47"/>
      <c r="N58" s="47"/>
      <c r="O58" s="47"/>
    </row>
    <row r="59" spans="1:17" ht="13.5" thickBot="1" x14ac:dyDescent="0.25">
      <c r="B59" s="789" t="s">
        <v>168</v>
      </c>
      <c r="C59" s="790"/>
      <c r="D59" s="790"/>
      <c r="E59" s="790"/>
      <c r="F59" s="791"/>
      <c r="G59" s="825">
        <f>+G53-SUM(G55:H57)</f>
        <v>1559655</v>
      </c>
      <c r="H59" s="826"/>
      <c r="J59" s="827" t="s">
        <v>169</v>
      </c>
      <c r="K59" s="828"/>
      <c r="L59" s="828"/>
      <c r="M59" s="828"/>
      <c r="N59" s="828"/>
      <c r="O59" s="829"/>
    </row>
    <row r="60" spans="1:17" ht="13.5" thickBot="1" x14ac:dyDescent="0.25">
      <c r="B60" s="49"/>
      <c r="C60" s="50"/>
      <c r="D60" s="50"/>
      <c r="E60" s="50"/>
      <c r="F60" s="50"/>
      <c r="G60" s="45"/>
      <c r="H60" s="50"/>
      <c r="J60" s="129"/>
      <c r="K60" s="130"/>
      <c r="L60" s="130"/>
      <c r="M60" s="130"/>
      <c r="N60" s="130"/>
      <c r="O60" s="131"/>
    </row>
    <row r="61" spans="1:17" ht="13.5" thickBot="1" x14ac:dyDescent="0.25">
      <c r="B61" s="789" t="s">
        <v>170</v>
      </c>
      <c r="C61" s="790"/>
      <c r="D61" s="790"/>
      <c r="E61" s="790"/>
      <c r="F61" s="791"/>
      <c r="G61" s="805"/>
      <c r="H61" s="791"/>
      <c r="J61" s="129"/>
      <c r="K61" s="130"/>
      <c r="L61" s="130"/>
      <c r="M61" s="130"/>
      <c r="N61" s="130"/>
      <c r="O61" s="131"/>
    </row>
    <row r="62" spans="1:17" ht="12.75" customHeight="1" x14ac:dyDescent="0.2">
      <c r="B62" s="57" t="s">
        <v>171</v>
      </c>
      <c r="C62" s="806" t="s">
        <v>172</v>
      </c>
      <c r="D62" s="807"/>
      <c r="E62" s="807"/>
      <c r="F62" s="808"/>
      <c r="G62" s="809">
        <v>64966</v>
      </c>
      <c r="H62" s="809"/>
      <c r="I62" s="58"/>
      <c r="J62" s="810" t="s">
        <v>173</v>
      </c>
      <c r="K62" s="811"/>
      <c r="L62" s="811"/>
      <c r="M62" s="811"/>
      <c r="N62" s="811"/>
      <c r="O62" s="812"/>
      <c r="Q62" s="59"/>
    </row>
    <row r="63" spans="1:17" ht="13.5" thickBot="1" x14ac:dyDescent="0.25">
      <c r="D63" s="37"/>
      <c r="I63" s="58"/>
      <c r="J63" s="60"/>
      <c r="K63" s="132"/>
      <c r="L63" s="132"/>
      <c r="M63" s="133"/>
      <c r="N63" s="133"/>
      <c r="O63" s="134"/>
      <c r="P63" s="16" t="s">
        <v>396</v>
      </c>
      <c r="Q63" s="59"/>
    </row>
    <row r="64" spans="1:17" ht="13.5" thickBot="1" x14ac:dyDescent="0.25">
      <c r="B64" s="789" t="s">
        <v>175</v>
      </c>
      <c r="C64" s="790"/>
      <c r="D64" s="790"/>
      <c r="E64" s="790"/>
      <c r="F64" s="791"/>
      <c r="G64" s="805">
        <f>+G59-G62</f>
        <v>1494689</v>
      </c>
      <c r="H64" s="791"/>
      <c r="I64" s="63"/>
      <c r="J64" s="75"/>
      <c r="K64" s="39"/>
      <c r="L64" s="39"/>
      <c r="M64" s="39"/>
      <c r="N64" s="39"/>
      <c r="O64" s="65"/>
      <c r="P64" s="16" t="s">
        <v>388</v>
      </c>
      <c r="Q64" s="59"/>
    </row>
    <row r="65" spans="2:17" ht="12.75" customHeight="1" x14ac:dyDescent="0.2">
      <c r="B65" s="48"/>
      <c r="C65" s="48"/>
      <c r="I65" s="63"/>
      <c r="J65" s="75"/>
      <c r="K65" s="39"/>
      <c r="L65" s="39"/>
      <c r="M65" s="39"/>
      <c r="N65" s="39"/>
      <c r="O65" s="65"/>
      <c r="Q65" s="59"/>
    </row>
    <row r="66" spans="2:17" x14ac:dyDescent="0.2">
      <c r="B66" s="66" t="s">
        <v>176</v>
      </c>
      <c r="C66" s="48"/>
      <c r="I66" s="63"/>
      <c r="J66" s="137"/>
      <c r="K66" s="68"/>
      <c r="L66" s="68"/>
      <c r="M66" s="68"/>
      <c r="N66" s="68"/>
      <c r="O66" s="136"/>
      <c r="Q66" s="59"/>
    </row>
    <row r="67" spans="2:17" ht="26.25" customHeight="1" thickBot="1" x14ac:dyDescent="0.25">
      <c r="B67" s="66"/>
      <c r="C67" s="48"/>
      <c r="G67" s="70" t="s">
        <v>177</v>
      </c>
      <c r="H67" s="70" t="s">
        <v>178</v>
      </c>
      <c r="I67" s="63"/>
      <c r="J67" s="67"/>
      <c r="K67" s="68"/>
      <c r="L67" s="68"/>
      <c r="M67" s="68"/>
      <c r="N67" s="68"/>
      <c r="O67" s="69"/>
      <c r="Q67" s="59"/>
    </row>
    <row r="68" spans="2:17" ht="12.75" customHeight="1" x14ac:dyDescent="0.2">
      <c r="B68" s="802" t="s">
        <v>180</v>
      </c>
      <c r="C68" s="821" t="s">
        <v>181</v>
      </c>
      <c r="D68" s="823" t="s">
        <v>182</v>
      </c>
      <c r="E68" s="824"/>
      <c r="F68" s="824"/>
      <c r="G68" s="73">
        <f>+O43</f>
        <v>420000</v>
      </c>
      <c r="H68" s="74">
        <f t="shared" ref="H68:H76" si="5">+G68</f>
        <v>420000</v>
      </c>
      <c r="I68" s="63"/>
      <c r="J68" s="810" t="s">
        <v>179</v>
      </c>
      <c r="K68" s="811"/>
      <c r="L68" s="71"/>
      <c r="M68" s="71"/>
      <c r="N68" s="71"/>
      <c r="O68" s="72"/>
      <c r="P68" s="1"/>
      <c r="Q68" s="59"/>
    </row>
    <row r="69" spans="2:17" ht="12.75" customHeight="1" x14ac:dyDescent="0.2">
      <c r="B69" s="803"/>
      <c r="C69" s="822"/>
      <c r="D69" s="782" t="s">
        <v>184</v>
      </c>
      <c r="E69" s="783"/>
      <c r="F69" s="783"/>
      <c r="G69" s="77">
        <v>21204</v>
      </c>
      <c r="H69" s="78">
        <f t="shared" si="5"/>
        <v>21204</v>
      </c>
      <c r="I69" s="63"/>
      <c r="J69" s="249"/>
      <c r="K69" s="58"/>
      <c r="L69" s="135"/>
      <c r="M69" s="135"/>
      <c r="N69" s="58"/>
      <c r="O69" s="76"/>
      <c r="P69" s="1"/>
      <c r="Q69" s="59"/>
    </row>
    <row r="70" spans="2:17" ht="12.75" customHeight="1" x14ac:dyDescent="0.2">
      <c r="B70" s="803"/>
      <c r="C70" s="822"/>
      <c r="D70" s="819" t="s">
        <v>185</v>
      </c>
      <c r="E70" s="820"/>
      <c r="F70" s="820"/>
      <c r="G70" s="80">
        <f>O40</f>
        <v>720</v>
      </c>
      <c r="H70" s="78">
        <f t="shared" si="5"/>
        <v>720</v>
      </c>
      <c r="I70" s="63"/>
      <c r="J70" s="181"/>
      <c r="K70" s="68"/>
      <c r="L70" s="135"/>
      <c r="M70" s="135"/>
      <c r="N70" s="68"/>
      <c r="O70" s="136"/>
      <c r="P70" s="1"/>
    </row>
    <row r="71" spans="2:17" x14ac:dyDescent="0.2">
      <c r="B71" s="803"/>
      <c r="C71" s="822"/>
      <c r="D71" s="782" t="s">
        <v>186</v>
      </c>
      <c r="E71" s="783"/>
      <c r="F71" s="783"/>
      <c r="G71" s="81">
        <v>0</v>
      </c>
      <c r="H71" s="78">
        <f t="shared" si="5"/>
        <v>0</v>
      </c>
      <c r="I71" s="63"/>
      <c r="J71" s="181"/>
      <c r="K71" s="68"/>
      <c r="L71" s="135"/>
      <c r="M71" s="250"/>
      <c r="N71" s="68"/>
      <c r="O71" s="136"/>
    </row>
    <row r="72" spans="2:17" ht="12.75" customHeight="1" x14ac:dyDescent="0.2">
      <c r="B72" s="803"/>
      <c r="C72" s="822"/>
      <c r="D72" s="784" t="s">
        <v>188</v>
      </c>
      <c r="E72" s="783"/>
      <c r="F72" s="783"/>
      <c r="G72" s="80">
        <v>0</v>
      </c>
      <c r="H72" s="78">
        <f t="shared" si="5"/>
        <v>0</v>
      </c>
      <c r="I72" s="63"/>
      <c r="J72" s="79"/>
      <c r="K72" s="39"/>
      <c r="L72" s="39"/>
      <c r="M72" s="39"/>
      <c r="N72" s="39"/>
      <c r="O72" s="65"/>
    </row>
    <row r="73" spans="2:17" ht="14.25" customHeight="1" x14ac:dyDescent="0.2">
      <c r="B73" s="803"/>
      <c r="C73" s="822"/>
      <c r="D73" s="782" t="s">
        <v>190</v>
      </c>
      <c r="E73" s="783"/>
      <c r="F73" s="783"/>
      <c r="G73" s="84">
        <v>12000</v>
      </c>
      <c r="H73" s="78">
        <f t="shared" si="5"/>
        <v>12000</v>
      </c>
      <c r="I73" s="63"/>
      <c r="J73" s="79"/>
      <c r="K73" s="39"/>
      <c r="L73" s="39"/>
      <c r="M73" s="39"/>
      <c r="N73" s="39"/>
      <c r="O73" s="65"/>
    </row>
    <row r="74" spans="2:17" x14ac:dyDescent="0.2">
      <c r="B74" s="803"/>
      <c r="C74" s="822"/>
      <c r="D74" s="782" t="s">
        <v>191</v>
      </c>
      <c r="E74" s="783"/>
      <c r="F74" s="783"/>
      <c r="G74" s="81">
        <v>227954</v>
      </c>
      <c r="H74" s="78">
        <f t="shared" si="5"/>
        <v>227954</v>
      </c>
      <c r="I74" s="58"/>
      <c r="J74" s="64"/>
      <c r="K74" s="39"/>
      <c r="L74" s="39"/>
      <c r="M74" s="39"/>
      <c r="N74" s="39"/>
      <c r="O74" s="65"/>
    </row>
    <row r="75" spans="2:17" x14ac:dyDescent="0.2">
      <c r="B75" s="803"/>
      <c r="C75" s="88" t="s">
        <v>192</v>
      </c>
      <c r="D75" s="813" t="s">
        <v>193</v>
      </c>
      <c r="E75" s="814"/>
      <c r="F75" s="814"/>
      <c r="G75" s="80">
        <v>0</v>
      </c>
      <c r="H75" s="78">
        <f t="shared" si="5"/>
        <v>0</v>
      </c>
      <c r="I75" s="58"/>
      <c r="J75" s="150"/>
      <c r="K75" s="50"/>
      <c r="L75" s="50"/>
      <c r="M75" s="50"/>
      <c r="N75" s="50"/>
      <c r="O75" s="83"/>
    </row>
    <row r="76" spans="2:17" ht="13.5" customHeight="1" thickBot="1" x14ac:dyDescent="0.25">
      <c r="B76" s="803"/>
      <c r="C76" s="88" t="s">
        <v>194</v>
      </c>
      <c r="D76" s="815" t="s">
        <v>195</v>
      </c>
      <c r="E76" s="815"/>
      <c r="F76" s="815"/>
      <c r="G76" s="89">
        <v>0</v>
      </c>
      <c r="H76" s="90">
        <f t="shared" si="5"/>
        <v>0</v>
      </c>
      <c r="I76" s="63"/>
      <c r="J76" s="82" t="s">
        <v>187</v>
      </c>
      <c r="K76" s="71"/>
      <c r="L76" s="71"/>
      <c r="M76" s="71"/>
      <c r="N76" s="71"/>
      <c r="O76" s="72"/>
    </row>
    <row r="77" spans="2:17" ht="13.5" thickBot="1" x14ac:dyDescent="0.25">
      <c r="B77" s="803"/>
      <c r="C77" s="93"/>
      <c r="D77" s="94"/>
      <c r="E77" s="816" t="s">
        <v>117</v>
      </c>
      <c r="F77" s="817"/>
      <c r="G77" s="95">
        <f>SUM(G68:G76)</f>
        <v>681878</v>
      </c>
      <c r="H77" s="96">
        <f>IF(SUM(G68:G74)&lt;150000,SUM(G68:G74),150000)+IF(+G75&lt;20000,+G75,20000)</f>
        <v>150000</v>
      </c>
      <c r="I77" s="63"/>
      <c r="J77" s="75" t="s">
        <v>189</v>
      </c>
      <c r="K77" s="50"/>
      <c r="L77" s="50"/>
      <c r="M77" s="50"/>
      <c r="N77" s="50"/>
      <c r="O77" s="83">
        <f>O42</f>
        <v>7800</v>
      </c>
    </row>
    <row r="78" spans="2:17" ht="12.75" customHeight="1" thickBot="1" x14ac:dyDescent="0.25">
      <c r="B78" s="803"/>
      <c r="C78" s="100" t="s">
        <v>196</v>
      </c>
      <c r="D78" s="782" t="s">
        <v>187</v>
      </c>
      <c r="E78" s="783"/>
      <c r="F78" s="818"/>
      <c r="G78" s="73">
        <v>27200</v>
      </c>
      <c r="H78" s="101">
        <f>+IF(+G78&lt;25000,+G78,25000)</f>
        <v>25000</v>
      </c>
      <c r="I78" s="87"/>
      <c r="J78" s="912"/>
      <c r="K78" s="913"/>
      <c r="L78" s="913"/>
      <c r="M78" s="913"/>
      <c r="N78" s="913"/>
      <c r="O78" s="143"/>
    </row>
    <row r="79" spans="2:17" x14ac:dyDescent="0.2">
      <c r="B79" s="803"/>
      <c r="C79" s="100" t="s">
        <v>197</v>
      </c>
      <c r="D79" s="784" t="s">
        <v>198</v>
      </c>
      <c r="E79" s="785"/>
      <c r="F79" s="786"/>
      <c r="G79" s="102">
        <v>0</v>
      </c>
      <c r="H79" s="103">
        <f>+IF(+G79&lt;40000,+G79,40000)</f>
        <v>0</v>
      </c>
      <c r="I79" s="63"/>
    </row>
    <row r="80" spans="2:17" x14ac:dyDescent="0.2">
      <c r="B80" s="803"/>
      <c r="C80" s="100" t="s">
        <v>199</v>
      </c>
      <c r="D80" s="784" t="s">
        <v>200</v>
      </c>
      <c r="E80" s="785"/>
      <c r="F80" s="786"/>
      <c r="G80" s="81">
        <v>21211</v>
      </c>
      <c r="H80" s="104">
        <f>G80</f>
        <v>21211</v>
      </c>
      <c r="I80" s="63"/>
    </row>
    <row r="81" spans="2:18" x14ac:dyDescent="0.2">
      <c r="B81" s="803"/>
      <c r="C81" s="100" t="s">
        <v>201</v>
      </c>
      <c r="D81" s="784" t="s">
        <v>202</v>
      </c>
      <c r="E81" s="785"/>
      <c r="F81" s="786"/>
      <c r="G81" s="81"/>
      <c r="H81" s="104">
        <v>0</v>
      </c>
      <c r="I81" s="63"/>
      <c r="J81" s="106"/>
      <c r="M81" s="199"/>
    </row>
    <row r="82" spans="2:18" ht="13.5" thickBot="1" x14ac:dyDescent="0.25">
      <c r="B82" s="804"/>
      <c r="C82" s="100" t="s">
        <v>203</v>
      </c>
      <c r="D82" s="784" t="s">
        <v>204</v>
      </c>
      <c r="E82" s="785"/>
      <c r="F82" s="786"/>
      <c r="G82" s="102"/>
      <c r="H82" s="103">
        <f>+IF(+G82&lt;100000,+G82,10000)</f>
        <v>0</v>
      </c>
      <c r="I82" s="63"/>
      <c r="M82" s="1"/>
      <c r="N82" s="105"/>
    </row>
    <row r="83" spans="2:18" ht="13.5" thickBot="1" x14ac:dyDescent="0.25">
      <c r="B83" s="787" t="s">
        <v>205</v>
      </c>
      <c r="C83" s="788"/>
      <c r="D83" s="788"/>
      <c r="E83" s="788"/>
      <c r="F83" s="788"/>
      <c r="G83" s="107">
        <f>SUM(G78:G82)</f>
        <v>48411</v>
      </c>
      <c r="H83" s="108">
        <f>SUM(H77:H82)</f>
        <v>196211</v>
      </c>
      <c r="M83" s="1"/>
      <c r="R83" s="199"/>
    </row>
    <row r="84" spans="2:18" ht="13.5" thickBot="1" x14ac:dyDescent="0.25">
      <c r="N84" s="1"/>
    </row>
    <row r="85" spans="2:18" ht="13.5" thickBot="1" x14ac:dyDescent="0.25">
      <c r="B85" s="789" t="s">
        <v>206</v>
      </c>
      <c r="C85" s="790"/>
      <c r="D85" s="790"/>
      <c r="E85" s="790"/>
      <c r="F85" s="791"/>
      <c r="G85" s="792">
        <f>+G64-H83</f>
        <v>1298478</v>
      </c>
      <c r="H85" s="791"/>
      <c r="J85" s="109">
        <f>C37+D37+E37+F37</f>
        <v>533846</v>
      </c>
      <c r="K85" s="16" t="s">
        <v>235</v>
      </c>
      <c r="N85" s="1"/>
    </row>
    <row r="86" spans="2:18" x14ac:dyDescent="0.2">
      <c r="B86" s="110"/>
      <c r="F86" s="105"/>
      <c r="J86" s="109">
        <f>G37+H37+I37</f>
        <v>378459</v>
      </c>
      <c r="K86" s="16" t="s">
        <v>236</v>
      </c>
      <c r="M86" s="1"/>
    </row>
    <row r="87" spans="2:18" x14ac:dyDescent="0.2">
      <c r="C87" s="793" t="s">
        <v>207</v>
      </c>
      <c r="D87" s="794"/>
      <c r="E87" s="111" t="s">
        <v>208</v>
      </c>
      <c r="F87" s="111" t="s">
        <v>209</v>
      </c>
      <c r="G87" s="111" t="s">
        <v>210</v>
      </c>
      <c r="H87" s="111" t="s">
        <v>211</v>
      </c>
      <c r="J87" s="206">
        <f>J37+K37+L37</f>
        <v>392607</v>
      </c>
      <c r="K87" s="47" t="s">
        <v>237</v>
      </c>
      <c r="N87" s="1"/>
    </row>
    <row r="88" spans="2:18" x14ac:dyDescent="0.2">
      <c r="C88" s="795" t="str">
        <f>IF(I6="M","0          - 250000","0          -  250000")</f>
        <v>0          - 250000</v>
      </c>
      <c r="D88" s="796"/>
      <c r="E88" s="112">
        <v>0</v>
      </c>
      <c r="F88" s="113">
        <f>IF(I6="M",(IF(G85&lt;250000,G85,250000)),(IF(G85&lt;250000,G85,250000)))</f>
        <v>250000</v>
      </c>
      <c r="G88" s="113">
        <f>G85-F88</f>
        <v>1048478</v>
      </c>
      <c r="H88" s="113">
        <f>E88*F88</f>
        <v>0</v>
      </c>
      <c r="J88" s="207">
        <f>M37+N37</f>
        <v>297243</v>
      </c>
      <c r="K88" s="1" t="s">
        <v>238</v>
      </c>
      <c r="N88" s="47"/>
      <c r="R88" s="199"/>
    </row>
    <row r="89" spans="2:18" x14ac:dyDescent="0.2">
      <c r="C89" s="795" t="str">
        <f>IF(I6="M","250001 - 500000","250001-500000")</f>
        <v>250001 - 500000</v>
      </c>
      <c r="D89" s="796"/>
      <c r="E89" s="112">
        <v>0.05</v>
      </c>
      <c r="F89" s="113">
        <f>IF(I6="M",(IF(G88&lt;250000,G88,250000)),(IF(G88&lt;250000,G88,250000)))</f>
        <v>250000</v>
      </c>
      <c r="G89" s="113">
        <f>G88-F89</f>
        <v>798478</v>
      </c>
      <c r="H89" s="114">
        <f>ROUND(E89*F89,0.1)</f>
        <v>12500</v>
      </c>
      <c r="J89" s="115">
        <f>SUM(J85:J88)</f>
        <v>1602155</v>
      </c>
      <c r="N89" s="1"/>
    </row>
    <row r="90" spans="2:18" x14ac:dyDescent="0.2">
      <c r="C90" s="797" t="s">
        <v>212</v>
      </c>
      <c r="D90" s="798"/>
      <c r="E90" s="112">
        <v>0.2</v>
      </c>
      <c r="F90" s="113">
        <f>IF(G89&lt;500000,G89,500000)</f>
        <v>500000</v>
      </c>
      <c r="G90" s="113">
        <f>G89-F90</f>
        <v>298478</v>
      </c>
      <c r="H90" s="114">
        <f>ROUND(E90*F90,0.1)</f>
        <v>100000</v>
      </c>
      <c r="J90" s="16">
        <f>+G85</f>
        <v>1298478</v>
      </c>
    </row>
    <row r="91" spans="2:18" x14ac:dyDescent="0.2">
      <c r="C91" s="795" t="s">
        <v>213</v>
      </c>
      <c r="D91" s="796"/>
      <c r="E91" s="112">
        <v>0.3</v>
      </c>
      <c r="F91" s="113">
        <f>G90</f>
        <v>298478</v>
      </c>
      <c r="G91" s="113">
        <f>G90-F91</f>
        <v>0</v>
      </c>
      <c r="H91" s="114">
        <f>ROUND(E91*F91,0.1)</f>
        <v>89543</v>
      </c>
      <c r="J91" s="16">
        <f>+J89-J90</f>
        <v>303677</v>
      </c>
    </row>
    <row r="92" spans="2:18" ht="12.75" customHeight="1" thickBot="1" x14ac:dyDescent="0.25">
      <c r="B92" s="116"/>
      <c r="C92" s="117"/>
      <c r="D92" s="47"/>
      <c r="E92" s="47"/>
      <c r="F92" s="47"/>
      <c r="J92" s="16">
        <f>+J90-J91</f>
        <v>994801</v>
      </c>
    </row>
    <row r="93" spans="2:18" ht="13.5" thickBot="1" x14ac:dyDescent="0.25">
      <c r="B93" s="799" t="s">
        <v>239</v>
      </c>
      <c r="C93" s="800"/>
      <c r="D93" s="800"/>
      <c r="E93" s="800"/>
      <c r="F93" s="801"/>
      <c r="G93" s="771">
        <f>H88+H89+H90+H91</f>
        <v>202043</v>
      </c>
      <c r="H93" s="772"/>
    </row>
    <row r="94" spans="2:18" ht="13.5" thickBot="1" x14ac:dyDescent="0.25">
      <c r="B94" s="119" t="s">
        <v>215</v>
      </c>
      <c r="C94" s="120"/>
      <c r="D94" s="120"/>
      <c r="E94" s="120"/>
      <c r="F94" s="120"/>
      <c r="G94" s="884">
        <f>IF((G64&lt;500000),5000,0)</f>
        <v>0</v>
      </c>
      <c r="H94" s="885">
        <f>IF(H92&lt;200000,0,IF(H92&lt;220000,((H92-200000)*10%),IF(H92&lt;=500000,2000,IF(H92&gt;=500000,0))))</f>
        <v>0</v>
      </c>
    </row>
    <row r="95" spans="2:18" ht="13.5" thickBot="1" x14ac:dyDescent="0.25">
      <c r="B95" s="122" t="s">
        <v>216</v>
      </c>
      <c r="C95" s="123"/>
      <c r="D95" s="123"/>
      <c r="E95" s="123"/>
      <c r="F95" s="123"/>
      <c r="G95" s="771">
        <f>IF((G93-G94)&lt;0,0,(G93-G94))</f>
        <v>202043</v>
      </c>
      <c r="H95" s="772"/>
      <c r="I95" s="37"/>
      <c r="J95" s="1"/>
      <c r="K95" s="121"/>
      <c r="L95" s="121"/>
    </row>
    <row r="96" spans="2:18" ht="13.5" thickBot="1" x14ac:dyDescent="0.25">
      <c r="B96" s="773" t="s">
        <v>473</v>
      </c>
      <c r="C96" s="774"/>
      <c r="D96" s="774"/>
      <c r="E96" s="774"/>
      <c r="F96" s="775"/>
      <c r="G96" s="776">
        <f>ROUND((IF(G93&gt;0,(G93*4%),0)),0)</f>
        <v>8082</v>
      </c>
      <c r="H96" s="777"/>
      <c r="I96" s="37"/>
    </row>
    <row r="97" spans="2:9" ht="13.5" thickBot="1" x14ac:dyDescent="0.25">
      <c r="B97" s="778" t="s">
        <v>218</v>
      </c>
      <c r="C97" s="779"/>
      <c r="D97" s="779"/>
      <c r="E97" s="779"/>
      <c r="F97" s="779"/>
      <c r="G97" s="780">
        <f>G95+G96</f>
        <v>210125</v>
      </c>
      <c r="H97" s="781"/>
      <c r="I97" s="121"/>
    </row>
    <row r="98" spans="2:9" ht="13.5" thickBot="1" x14ac:dyDescent="0.25">
      <c r="B98" s="765" t="s">
        <v>219</v>
      </c>
      <c r="C98" s="766"/>
      <c r="D98" s="766"/>
      <c r="E98" s="766"/>
      <c r="F98" s="766"/>
      <c r="G98" s="767">
        <f>O38</f>
        <v>210130</v>
      </c>
      <c r="H98" s="768"/>
      <c r="I98" s="121"/>
    </row>
    <row r="99" spans="2:9" ht="13.5" thickBot="1" x14ac:dyDescent="0.25">
      <c r="B99" s="765" t="str">
        <f>IF(G99&gt;0,"TAX PAYABLE","TAX REFUND")</f>
        <v>TAX REFUND</v>
      </c>
      <c r="C99" s="766"/>
      <c r="D99" s="766"/>
      <c r="E99" s="766"/>
      <c r="F99" s="766"/>
      <c r="G99" s="767">
        <f>+G97-G98</f>
        <v>-5</v>
      </c>
      <c r="H99" s="768"/>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4">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G61:H61"/>
    <mergeCell ref="C62:F62"/>
    <mergeCell ref="G62:H62"/>
    <mergeCell ref="J62:O62"/>
    <mergeCell ref="J78:N78"/>
    <mergeCell ref="B64:F64"/>
    <mergeCell ref="G64:H64"/>
    <mergeCell ref="B61:F61"/>
    <mergeCell ref="J68:K68"/>
    <mergeCell ref="D69:F69"/>
    <mergeCell ref="D70:F70"/>
    <mergeCell ref="D71:F71"/>
    <mergeCell ref="D72:F72"/>
    <mergeCell ref="G85:H85"/>
    <mergeCell ref="D75:F75"/>
    <mergeCell ref="D76:F76"/>
    <mergeCell ref="E77:F77"/>
    <mergeCell ref="D78:F78"/>
    <mergeCell ref="D80:F80"/>
    <mergeCell ref="D81:F81"/>
    <mergeCell ref="D82:F82"/>
    <mergeCell ref="B83:F83"/>
    <mergeCell ref="B85:F85"/>
    <mergeCell ref="D79:F79"/>
    <mergeCell ref="B68:B82"/>
    <mergeCell ref="C68:C74"/>
    <mergeCell ref="D68:F68"/>
    <mergeCell ref="D73:F73"/>
    <mergeCell ref="D74:F74"/>
    <mergeCell ref="C87:D87"/>
    <mergeCell ref="C88:D88"/>
    <mergeCell ref="C89:D89"/>
    <mergeCell ref="C90:D90"/>
    <mergeCell ref="C91:D91"/>
    <mergeCell ref="B98:F98"/>
    <mergeCell ref="G98:H98"/>
    <mergeCell ref="B99:F99"/>
    <mergeCell ref="G99:H99"/>
    <mergeCell ref="G93:H93"/>
    <mergeCell ref="G94:H94"/>
    <mergeCell ref="G95:H95"/>
    <mergeCell ref="B96:F96"/>
    <mergeCell ref="G96:H96"/>
    <mergeCell ref="B97:F97"/>
    <mergeCell ref="G97:H97"/>
    <mergeCell ref="B93:F93"/>
  </mergeCells>
  <conditionalFormatting sqref="B99:F99 B93:F97">
    <cfRule type="cellIs" dxfId="2149" priority="3" stopIfTrue="1" operator="equal">
      <formula>"TAX PAYABLE"</formula>
    </cfRule>
    <cfRule type="cellIs" dxfId="2148" priority="4" stopIfTrue="1" operator="equal">
      <formula>"TAX REFUND"</formula>
    </cfRule>
  </conditionalFormatting>
  <conditionalFormatting sqref="G99:H99">
    <cfRule type="cellIs" dxfId="2147" priority="1" stopIfTrue="1" operator="greaterThan">
      <formula>0</formula>
    </cfRule>
    <cfRule type="cellIs" dxfId="2146" priority="2" stopIfTrue="1" operator="lessThanOrEqual">
      <formula>0</formula>
    </cfRule>
  </conditionalFormatting>
  <dataValidations disablePrompts="1"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hyperlinks>
    <hyperlink ref="J51" r:id="rId1" display="+J37-@sum(J22:J36)"/>
  </hyperlinks>
  <pageMargins left="1.2" right="0.7" top="0.75" bottom="0.75" header="0.3" footer="0.3"/>
  <pageSetup paperSize="5" orientation="landscape" horizontalDpi="300" verticalDpi="300" r:id="rId2"/>
  <headerFooter alignWithMargins="0"/>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07"/>
  <sheetViews>
    <sheetView topLeftCell="A53" workbookViewId="0">
      <selection activeCell="G68" sqref="G68"/>
    </sheetView>
  </sheetViews>
  <sheetFormatPr defaultRowHeight="12.75" x14ac:dyDescent="0.2"/>
  <cols>
    <col min="1" max="1" width="5" style="16" customWidth="1"/>
    <col min="2" max="2" width="19.42578125" style="37" customWidth="1"/>
    <col min="3" max="3" width="9" style="16" customWidth="1"/>
    <col min="4" max="4" width="8.42578125" style="16" customWidth="1"/>
    <col min="5" max="5" width="8.5703125" style="16" customWidth="1"/>
    <col min="6" max="6" width="8.42578125" style="16" customWidth="1"/>
    <col min="7" max="15" width="8.570312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9.42578125" style="16" customWidth="1"/>
    <col min="259" max="259" width="9" style="16" customWidth="1"/>
    <col min="260" max="260" width="8.42578125" style="16" customWidth="1"/>
    <col min="261" max="261" width="8.5703125" style="16" customWidth="1"/>
    <col min="262" max="262" width="8.42578125" style="16" customWidth="1"/>
    <col min="263" max="271" width="8.570312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9.42578125" style="16" customWidth="1"/>
    <col min="515" max="515" width="9" style="16" customWidth="1"/>
    <col min="516" max="516" width="8.42578125" style="16" customWidth="1"/>
    <col min="517" max="517" width="8.5703125" style="16" customWidth="1"/>
    <col min="518" max="518" width="8.42578125" style="16" customWidth="1"/>
    <col min="519" max="527" width="8.570312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9.42578125" style="16" customWidth="1"/>
    <col min="771" max="771" width="9" style="16" customWidth="1"/>
    <col min="772" max="772" width="8.42578125" style="16" customWidth="1"/>
    <col min="773" max="773" width="8.5703125" style="16" customWidth="1"/>
    <col min="774" max="774" width="8.42578125" style="16" customWidth="1"/>
    <col min="775" max="783" width="8.570312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9.42578125" style="16" customWidth="1"/>
    <col min="1027" max="1027" width="9" style="16" customWidth="1"/>
    <col min="1028" max="1028" width="8.42578125" style="16" customWidth="1"/>
    <col min="1029" max="1029" width="8.5703125" style="16" customWidth="1"/>
    <col min="1030" max="1030" width="8.42578125" style="16" customWidth="1"/>
    <col min="1031" max="1039" width="8.570312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9.42578125" style="16" customWidth="1"/>
    <col min="1283" max="1283" width="9" style="16" customWidth="1"/>
    <col min="1284" max="1284" width="8.42578125" style="16" customWidth="1"/>
    <col min="1285" max="1285" width="8.5703125" style="16" customWidth="1"/>
    <col min="1286" max="1286" width="8.42578125" style="16" customWidth="1"/>
    <col min="1287" max="1295" width="8.570312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9.42578125" style="16" customWidth="1"/>
    <col min="1539" max="1539" width="9" style="16" customWidth="1"/>
    <col min="1540" max="1540" width="8.42578125" style="16" customWidth="1"/>
    <col min="1541" max="1541" width="8.5703125" style="16" customWidth="1"/>
    <col min="1542" max="1542" width="8.42578125" style="16" customWidth="1"/>
    <col min="1543" max="1551" width="8.570312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9.42578125" style="16" customWidth="1"/>
    <col min="1795" max="1795" width="9" style="16" customWidth="1"/>
    <col min="1796" max="1796" width="8.42578125" style="16" customWidth="1"/>
    <col min="1797" max="1797" width="8.5703125" style="16" customWidth="1"/>
    <col min="1798" max="1798" width="8.42578125" style="16" customWidth="1"/>
    <col min="1799" max="1807" width="8.570312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9.42578125" style="16" customWidth="1"/>
    <col min="2051" max="2051" width="9" style="16" customWidth="1"/>
    <col min="2052" max="2052" width="8.42578125" style="16" customWidth="1"/>
    <col min="2053" max="2053" width="8.5703125" style="16" customWidth="1"/>
    <col min="2054" max="2054" width="8.42578125" style="16" customWidth="1"/>
    <col min="2055" max="2063" width="8.570312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9.42578125" style="16" customWidth="1"/>
    <col min="2307" max="2307" width="9" style="16" customWidth="1"/>
    <col min="2308" max="2308" width="8.42578125" style="16" customWidth="1"/>
    <col min="2309" max="2309" width="8.5703125" style="16" customWidth="1"/>
    <col min="2310" max="2310" width="8.42578125" style="16" customWidth="1"/>
    <col min="2311" max="2319" width="8.570312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9.42578125" style="16" customWidth="1"/>
    <col min="2563" max="2563" width="9" style="16" customWidth="1"/>
    <col min="2564" max="2564" width="8.42578125" style="16" customWidth="1"/>
    <col min="2565" max="2565" width="8.5703125" style="16" customWidth="1"/>
    <col min="2566" max="2566" width="8.42578125" style="16" customWidth="1"/>
    <col min="2567" max="2575" width="8.570312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9.42578125" style="16" customWidth="1"/>
    <col min="2819" max="2819" width="9" style="16" customWidth="1"/>
    <col min="2820" max="2820" width="8.42578125" style="16" customWidth="1"/>
    <col min="2821" max="2821" width="8.5703125" style="16" customWidth="1"/>
    <col min="2822" max="2822" width="8.42578125" style="16" customWidth="1"/>
    <col min="2823" max="2831" width="8.570312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9.42578125" style="16" customWidth="1"/>
    <col min="3075" max="3075" width="9" style="16" customWidth="1"/>
    <col min="3076" max="3076" width="8.42578125" style="16" customWidth="1"/>
    <col min="3077" max="3077" width="8.5703125" style="16" customWidth="1"/>
    <col min="3078" max="3078" width="8.42578125" style="16" customWidth="1"/>
    <col min="3079" max="3087" width="8.570312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9.42578125" style="16" customWidth="1"/>
    <col min="3331" max="3331" width="9" style="16" customWidth="1"/>
    <col min="3332" max="3332" width="8.42578125" style="16" customWidth="1"/>
    <col min="3333" max="3333" width="8.5703125" style="16" customWidth="1"/>
    <col min="3334" max="3334" width="8.42578125" style="16" customWidth="1"/>
    <col min="3335" max="3343" width="8.570312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9.42578125" style="16" customWidth="1"/>
    <col min="3587" max="3587" width="9" style="16" customWidth="1"/>
    <col min="3588" max="3588" width="8.42578125" style="16" customWidth="1"/>
    <col min="3589" max="3589" width="8.5703125" style="16" customWidth="1"/>
    <col min="3590" max="3590" width="8.42578125" style="16" customWidth="1"/>
    <col min="3591" max="3599" width="8.570312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9.42578125" style="16" customWidth="1"/>
    <col min="3843" max="3843" width="9" style="16" customWidth="1"/>
    <col min="3844" max="3844" width="8.42578125" style="16" customWidth="1"/>
    <col min="3845" max="3845" width="8.5703125" style="16" customWidth="1"/>
    <col min="3846" max="3846" width="8.42578125" style="16" customWidth="1"/>
    <col min="3847" max="3855" width="8.570312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9.42578125" style="16" customWidth="1"/>
    <col min="4099" max="4099" width="9" style="16" customWidth="1"/>
    <col min="4100" max="4100" width="8.42578125" style="16" customWidth="1"/>
    <col min="4101" max="4101" width="8.5703125" style="16" customWidth="1"/>
    <col min="4102" max="4102" width="8.42578125" style="16" customWidth="1"/>
    <col min="4103" max="4111" width="8.570312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9.42578125" style="16" customWidth="1"/>
    <col min="4355" max="4355" width="9" style="16" customWidth="1"/>
    <col min="4356" max="4356" width="8.42578125" style="16" customWidth="1"/>
    <col min="4357" max="4357" width="8.5703125" style="16" customWidth="1"/>
    <col min="4358" max="4358" width="8.42578125" style="16" customWidth="1"/>
    <col min="4359" max="4367" width="8.570312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9.42578125" style="16" customWidth="1"/>
    <col min="4611" max="4611" width="9" style="16" customWidth="1"/>
    <col min="4612" max="4612" width="8.42578125" style="16" customWidth="1"/>
    <col min="4613" max="4613" width="8.5703125" style="16" customWidth="1"/>
    <col min="4614" max="4614" width="8.42578125" style="16" customWidth="1"/>
    <col min="4615" max="4623" width="8.570312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9.42578125" style="16" customWidth="1"/>
    <col min="4867" max="4867" width="9" style="16" customWidth="1"/>
    <col min="4868" max="4868" width="8.42578125" style="16" customWidth="1"/>
    <col min="4869" max="4869" width="8.5703125" style="16" customWidth="1"/>
    <col min="4870" max="4870" width="8.42578125" style="16" customWidth="1"/>
    <col min="4871" max="4879" width="8.570312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9.42578125" style="16" customWidth="1"/>
    <col min="5123" max="5123" width="9" style="16" customWidth="1"/>
    <col min="5124" max="5124" width="8.42578125" style="16" customWidth="1"/>
    <col min="5125" max="5125" width="8.5703125" style="16" customWidth="1"/>
    <col min="5126" max="5126" width="8.42578125" style="16" customWidth="1"/>
    <col min="5127" max="5135" width="8.570312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9.42578125" style="16" customWidth="1"/>
    <col min="5379" max="5379" width="9" style="16" customWidth="1"/>
    <col min="5380" max="5380" width="8.42578125" style="16" customWidth="1"/>
    <col min="5381" max="5381" width="8.5703125" style="16" customWidth="1"/>
    <col min="5382" max="5382" width="8.42578125" style="16" customWidth="1"/>
    <col min="5383" max="5391" width="8.570312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9.42578125" style="16" customWidth="1"/>
    <col min="5635" max="5635" width="9" style="16" customWidth="1"/>
    <col min="5636" max="5636" width="8.42578125" style="16" customWidth="1"/>
    <col min="5637" max="5637" width="8.5703125" style="16" customWidth="1"/>
    <col min="5638" max="5638" width="8.42578125" style="16" customWidth="1"/>
    <col min="5639" max="5647" width="8.570312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9.42578125" style="16" customWidth="1"/>
    <col min="5891" max="5891" width="9" style="16" customWidth="1"/>
    <col min="5892" max="5892" width="8.42578125" style="16" customWidth="1"/>
    <col min="5893" max="5893" width="8.5703125" style="16" customWidth="1"/>
    <col min="5894" max="5894" width="8.42578125" style="16" customWidth="1"/>
    <col min="5895" max="5903" width="8.570312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9.42578125" style="16" customWidth="1"/>
    <col min="6147" max="6147" width="9" style="16" customWidth="1"/>
    <col min="6148" max="6148" width="8.42578125" style="16" customWidth="1"/>
    <col min="6149" max="6149" width="8.5703125" style="16" customWidth="1"/>
    <col min="6150" max="6150" width="8.42578125" style="16" customWidth="1"/>
    <col min="6151" max="6159" width="8.570312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9.42578125" style="16" customWidth="1"/>
    <col min="6403" max="6403" width="9" style="16" customWidth="1"/>
    <col min="6404" max="6404" width="8.42578125" style="16" customWidth="1"/>
    <col min="6405" max="6405" width="8.5703125" style="16" customWidth="1"/>
    <col min="6406" max="6406" width="8.42578125" style="16" customWidth="1"/>
    <col min="6407" max="6415" width="8.570312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9.42578125" style="16" customWidth="1"/>
    <col min="6659" max="6659" width="9" style="16" customWidth="1"/>
    <col min="6660" max="6660" width="8.42578125" style="16" customWidth="1"/>
    <col min="6661" max="6661" width="8.5703125" style="16" customWidth="1"/>
    <col min="6662" max="6662" width="8.42578125" style="16" customWidth="1"/>
    <col min="6663" max="6671" width="8.570312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9.42578125" style="16" customWidth="1"/>
    <col min="6915" max="6915" width="9" style="16" customWidth="1"/>
    <col min="6916" max="6916" width="8.42578125" style="16" customWidth="1"/>
    <col min="6917" max="6917" width="8.5703125" style="16" customWidth="1"/>
    <col min="6918" max="6918" width="8.42578125" style="16" customWidth="1"/>
    <col min="6919" max="6927" width="8.570312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9.42578125" style="16" customWidth="1"/>
    <col min="7171" max="7171" width="9" style="16" customWidth="1"/>
    <col min="7172" max="7172" width="8.42578125" style="16" customWidth="1"/>
    <col min="7173" max="7173" width="8.5703125" style="16" customWidth="1"/>
    <col min="7174" max="7174" width="8.42578125" style="16" customWidth="1"/>
    <col min="7175" max="7183" width="8.570312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9.42578125" style="16" customWidth="1"/>
    <col min="7427" max="7427" width="9" style="16" customWidth="1"/>
    <col min="7428" max="7428" width="8.42578125" style="16" customWidth="1"/>
    <col min="7429" max="7429" width="8.5703125" style="16" customWidth="1"/>
    <col min="7430" max="7430" width="8.42578125" style="16" customWidth="1"/>
    <col min="7431" max="7439" width="8.570312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9.42578125" style="16" customWidth="1"/>
    <col min="7683" max="7683" width="9" style="16" customWidth="1"/>
    <col min="7684" max="7684" width="8.42578125" style="16" customWidth="1"/>
    <col min="7685" max="7685" width="8.5703125" style="16" customWidth="1"/>
    <col min="7686" max="7686" width="8.42578125" style="16" customWidth="1"/>
    <col min="7687" max="7695" width="8.570312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9.42578125" style="16" customWidth="1"/>
    <col min="7939" max="7939" width="9" style="16" customWidth="1"/>
    <col min="7940" max="7940" width="8.42578125" style="16" customWidth="1"/>
    <col min="7941" max="7941" width="8.5703125" style="16" customWidth="1"/>
    <col min="7942" max="7942" width="8.42578125" style="16" customWidth="1"/>
    <col min="7943" max="7951" width="8.570312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9.42578125" style="16" customWidth="1"/>
    <col min="8195" max="8195" width="9" style="16" customWidth="1"/>
    <col min="8196" max="8196" width="8.42578125" style="16" customWidth="1"/>
    <col min="8197" max="8197" width="8.5703125" style="16" customWidth="1"/>
    <col min="8198" max="8198" width="8.42578125" style="16" customWidth="1"/>
    <col min="8199" max="8207" width="8.570312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9.42578125" style="16" customWidth="1"/>
    <col min="8451" max="8451" width="9" style="16" customWidth="1"/>
    <col min="8452" max="8452" width="8.42578125" style="16" customWidth="1"/>
    <col min="8453" max="8453" width="8.5703125" style="16" customWidth="1"/>
    <col min="8454" max="8454" width="8.42578125" style="16" customWidth="1"/>
    <col min="8455" max="8463" width="8.570312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9.42578125" style="16" customWidth="1"/>
    <col min="8707" max="8707" width="9" style="16" customWidth="1"/>
    <col min="8708" max="8708" width="8.42578125" style="16" customWidth="1"/>
    <col min="8709" max="8709" width="8.5703125" style="16" customWidth="1"/>
    <col min="8710" max="8710" width="8.42578125" style="16" customWidth="1"/>
    <col min="8711" max="8719" width="8.570312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9.42578125" style="16" customWidth="1"/>
    <col min="8963" max="8963" width="9" style="16" customWidth="1"/>
    <col min="8964" max="8964" width="8.42578125" style="16" customWidth="1"/>
    <col min="8965" max="8965" width="8.5703125" style="16" customWidth="1"/>
    <col min="8966" max="8966" width="8.42578125" style="16" customWidth="1"/>
    <col min="8967" max="8975" width="8.570312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9.42578125" style="16" customWidth="1"/>
    <col min="9219" max="9219" width="9" style="16" customWidth="1"/>
    <col min="9220" max="9220" width="8.42578125" style="16" customWidth="1"/>
    <col min="9221" max="9221" width="8.5703125" style="16" customWidth="1"/>
    <col min="9222" max="9222" width="8.42578125" style="16" customWidth="1"/>
    <col min="9223" max="9231" width="8.570312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9.42578125" style="16" customWidth="1"/>
    <col min="9475" max="9475" width="9" style="16" customWidth="1"/>
    <col min="9476" max="9476" width="8.42578125" style="16" customWidth="1"/>
    <col min="9477" max="9477" width="8.5703125" style="16" customWidth="1"/>
    <col min="9478" max="9478" width="8.42578125" style="16" customWidth="1"/>
    <col min="9479" max="9487" width="8.570312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9.42578125" style="16" customWidth="1"/>
    <col min="9731" max="9731" width="9" style="16" customWidth="1"/>
    <col min="9732" max="9732" width="8.42578125" style="16" customWidth="1"/>
    <col min="9733" max="9733" width="8.5703125" style="16" customWidth="1"/>
    <col min="9734" max="9734" width="8.42578125" style="16" customWidth="1"/>
    <col min="9735" max="9743" width="8.570312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9.42578125" style="16" customWidth="1"/>
    <col min="9987" max="9987" width="9" style="16" customWidth="1"/>
    <col min="9988" max="9988" width="8.42578125" style="16" customWidth="1"/>
    <col min="9989" max="9989" width="8.5703125" style="16" customWidth="1"/>
    <col min="9990" max="9990" width="8.42578125" style="16" customWidth="1"/>
    <col min="9991" max="9999" width="8.570312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9.42578125" style="16" customWidth="1"/>
    <col min="10243" max="10243" width="9" style="16" customWidth="1"/>
    <col min="10244" max="10244" width="8.42578125" style="16" customWidth="1"/>
    <col min="10245" max="10245" width="8.5703125" style="16" customWidth="1"/>
    <col min="10246" max="10246" width="8.42578125" style="16" customWidth="1"/>
    <col min="10247" max="10255" width="8.570312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9.42578125" style="16" customWidth="1"/>
    <col min="10499" max="10499" width="9" style="16" customWidth="1"/>
    <col min="10500" max="10500" width="8.42578125" style="16" customWidth="1"/>
    <col min="10501" max="10501" width="8.5703125" style="16" customWidth="1"/>
    <col min="10502" max="10502" width="8.42578125" style="16" customWidth="1"/>
    <col min="10503" max="10511" width="8.570312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9.42578125" style="16" customWidth="1"/>
    <col min="10755" max="10755" width="9" style="16" customWidth="1"/>
    <col min="10756" max="10756" width="8.42578125" style="16" customWidth="1"/>
    <col min="10757" max="10757" width="8.5703125" style="16" customWidth="1"/>
    <col min="10758" max="10758" width="8.42578125" style="16" customWidth="1"/>
    <col min="10759" max="10767" width="8.570312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9.42578125" style="16" customWidth="1"/>
    <col min="11011" max="11011" width="9" style="16" customWidth="1"/>
    <col min="11012" max="11012" width="8.42578125" style="16" customWidth="1"/>
    <col min="11013" max="11013" width="8.5703125" style="16" customWidth="1"/>
    <col min="11014" max="11014" width="8.42578125" style="16" customWidth="1"/>
    <col min="11015" max="11023" width="8.570312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9.42578125" style="16" customWidth="1"/>
    <col min="11267" max="11267" width="9" style="16" customWidth="1"/>
    <col min="11268" max="11268" width="8.42578125" style="16" customWidth="1"/>
    <col min="11269" max="11269" width="8.5703125" style="16" customWidth="1"/>
    <col min="11270" max="11270" width="8.42578125" style="16" customWidth="1"/>
    <col min="11271" max="11279" width="8.570312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9.42578125" style="16" customWidth="1"/>
    <col min="11523" max="11523" width="9" style="16" customWidth="1"/>
    <col min="11524" max="11524" width="8.42578125" style="16" customWidth="1"/>
    <col min="11525" max="11525" width="8.5703125" style="16" customWidth="1"/>
    <col min="11526" max="11526" width="8.42578125" style="16" customWidth="1"/>
    <col min="11527" max="11535" width="8.570312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9.42578125" style="16" customWidth="1"/>
    <col min="11779" max="11779" width="9" style="16" customWidth="1"/>
    <col min="11780" max="11780" width="8.42578125" style="16" customWidth="1"/>
    <col min="11781" max="11781" width="8.5703125" style="16" customWidth="1"/>
    <col min="11782" max="11782" width="8.42578125" style="16" customWidth="1"/>
    <col min="11783" max="11791" width="8.570312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9.42578125" style="16" customWidth="1"/>
    <col min="12035" max="12035" width="9" style="16" customWidth="1"/>
    <col min="12036" max="12036" width="8.42578125" style="16" customWidth="1"/>
    <col min="12037" max="12037" width="8.5703125" style="16" customWidth="1"/>
    <col min="12038" max="12038" width="8.42578125" style="16" customWidth="1"/>
    <col min="12039" max="12047" width="8.570312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9.42578125" style="16" customWidth="1"/>
    <col min="12291" max="12291" width="9" style="16" customWidth="1"/>
    <col min="12292" max="12292" width="8.42578125" style="16" customWidth="1"/>
    <col min="12293" max="12293" width="8.5703125" style="16" customWidth="1"/>
    <col min="12294" max="12294" width="8.42578125" style="16" customWidth="1"/>
    <col min="12295" max="12303" width="8.570312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9.42578125" style="16" customWidth="1"/>
    <col min="12547" max="12547" width="9" style="16" customWidth="1"/>
    <col min="12548" max="12548" width="8.42578125" style="16" customWidth="1"/>
    <col min="12549" max="12549" width="8.5703125" style="16" customWidth="1"/>
    <col min="12550" max="12550" width="8.42578125" style="16" customWidth="1"/>
    <col min="12551" max="12559" width="8.570312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9.42578125" style="16" customWidth="1"/>
    <col min="12803" max="12803" width="9" style="16" customWidth="1"/>
    <col min="12804" max="12804" width="8.42578125" style="16" customWidth="1"/>
    <col min="12805" max="12805" width="8.5703125" style="16" customWidth="1"/>
    <col min="12806" max="12806" width="8.42578125" style="16" customWidth="1"/>
    <col min="12807" max="12815" width="8.570312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9.42578125" style="16" customWidth="1"/>
    <col min="13059" max="13059" width="9" style="16" customWidth="1"/>
    <col min="13060" max="13060" width="8.42578125" style="16" customWidth="1"/>
    <col min="13061" max="13061" width="8.5703125" style="16" customWidth="1"/>
    <col min="13062" max="13062" width="8.42578125" style="16" customWidth="1"/>
    <col min="13063" max="13071" width="8.570312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9.42578125" style="16" customWidth="1"/>
    <col min="13315" max="13315" width="9" style="16" customWidth="1"/>
    <col min="13316" max="13316" width="8.42578125" style="16" customWidth="1"/>
    <col min="13317" max="13317" width="8.5703125" style="16" customWidth="1"/>
    <col min="13318" max="13318" width="8.42578125" style="16" customWidth="1"/>
    <col min="13319" max="13327" width="8.570312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9.42578125" style="16" customWidth="1"/>
    <col min="13571" max="13571" width="9" style="16" customWidth="1"/>
    <col min="13572" max="13572" width="8.42578125" style="16" customWidth="1"/>
    <col min="13573" max="13573" width="8.5703125" style="16" customWidth="1"/>
    <col min="13574" max="13574" width="8.42578125" style="16" customWidth="1"/>
    <col min="13575" max="13583" width="8.570312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9.42578125" style="16" customWidth="1"/>
    <col min="13827" max="13827" width="9" style="16" customWidth="1"/>
    <col min="13828" max="13828" width="8.42578125" style="16" customWidth="1"/>
    <col min="13829" max="13829" width="8.5703125" style="16" customWidth="1"/>
    <col min="13830" max="13830" width="8.42578125" style="16" customWidth="1"/>
    <col min="13831" max="13839" width="8.570312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9.42578125" style="16" customWidth="1"/>
    <col min="14083" max="14083" width="9" style="16" customWidth="1"/>
    <col min="14084" max="14084" width="8.42578125" style="16" customWidth="1"/>
    <col min="14085" max="14085" width="8.5703125" style="16" customWidth="1"/>
    <col min="14086" max="14086" width="8.42578125" style="16" customWidth="1"/>
    <col min="14087" max="14095" width="8.570312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9.42578125" style="16" customWidth="1"/>
    <col min="14339" max="14339" width="9" style="16" customWidth="1"/>
    <col min="14340" max="14340" width="8.42578125" style="16" customWidth="1"/>
    <col min="14341" max="14341" width="8.5703125" style="16" customWidth="1"/>
    <col min="14342" max="14342" width="8.42578125" style="16" customWidth="1"/>
    <col min="14343" max="14351" width="8.570312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9.42578125" style="16" customWidth="1"/>
    <col min="14595" max="14595" width="9" style="16" customWidth="1"/>
    <col min="14596" max="14596" width="8.42578125" style="16" customWidth="1"/>
    <col min="14597" max="14597" width="8.5703125" style="16" customWidth="1"/>
    <col min="14598" max="14598" width="8.42578125" style="16" customWidth="1"/>
    <col min="14599" max="14607" width="8.570312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9.42578125" style="16" customWidth="1"/>
    <col min="14851" max="14851" width="9" style="16" customWidth="1"/>
    <col min="14852" max="14852" width="8.42578125" style="16" customWidth="1"/>
    <col min="14853" max="14853" width="8.5703125" style="16" customWidth="1"/>
    <col min="14854" max="14854" width="8.42578125" style="16" customWidth="1"/>
    <col min="14855" max="14863" width="8.570312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9.42578125" style="16" customWidth="1"/>
    <col min="15107" max="15107" width="9" style="16" customWidth="1"/>
    <col min="15108" max="15108" width="8.42578125" style="16" customWidth="1"/>
    <col min="15109" max="15109" width="8.5703125" style="16" customWidth="1"/>
    <col min="15110" max="15110" width="8.42578125" style="16" customWidth="1"/>
    <col min="15111" max="15119" width="8.570312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9.42578125" style="16" customWidth="1"/>
    <col min="15363" max="15363" width="9" style="16" customWidth="1"/>
    <col min="15364" max="15364" width="8.42578125" style="16" customWidth="1"/>
    <col min="15365" max="15365" width="8.5703125" style="16" customWidth="1"/>
    <col min="15366" max="15366" width="8.42578125" style="16" customWidth="1"/>
    <col min="15367" max="15375" width="8.570312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9.42578125" style="16" customWidth="1"/>
    <col min="15619" max="15619" width="9" style="16" customWidth="1"/>
    <col min="15620" max="15620" width="8.42578125" style="16" customWidth="1"/>
    <col min="15621" max="15621" width="8.5703125" style="16" customWidth="1"/>
    <col min="15622" max="15622" width="8.42578125" style="16" customWidth="1"/>
    <col min="15623" max="15631" width="8.570312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9.42578125" style="16" customWidth="1"/>
    <col min="15875" max="15875" width="9" style="16" customWidth="1"/>
    <col min="15876" max="15876" width="8.42578125" style="16" customWidth="1"/>
    <col min="15877" max="15877" width="8.5703125" style="16" customWidth="1"/>
    <col min="15878" max="15878" width="8.42578125" style="16" customWidth="1"/>
    <col min="15879" max="15887" width="8.570312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9.42578125" style="16" customWidth="1"/>
    <col min="16131" max="16131" width="9" style="16" customWidth="1"/>
    <col min="16132" max="16132" width="8.42578125" style="16" customWidth="1"/>
    <col min="16133" max="16133" width="8.5703125" style="16" customWidth="1"/>
    <col min="16134" max="16134" width="8.42578125" style="16" customWidth="1"/>
    <col min="16135" max="16143" width="8.570312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67" t="s">
        <v>100</v>
      </c>
      <c r="B1" s="868"/>
      <c r="C1" s="868"/>
      <c r="D1" s="911" t="s">
        <v>487</v>
      </c>
      <c r="E1" s="868"/>
      <c r="F1" s="868"/>
      <c r="G1" s="867" t="s">
        <v>102</v>
      </c>
      <c r="H1" s="869"/>
      <c r="I1" s="869" t="s">
        <v>21</v>
      </c>
      <c r="J1" s="868"/>
      <c r="K1" s="868"/>
      <c r="L1" s="870"/>
      <c r="M1" s="870"/>
      <c r="N1" s="870"/>
      <c r="O1" s="870"/>
    </row>
    <row r="2" spans="1:15" s="1" customFormat="1" x14ac:dyDescent="0.2">
      <c r="A2" s="867" t="s">
        <v>103</v>
      </c>
      <c r="B2" s="868"/>
      <c r="C2" s="868"/>
      <c r="D2" s="869"/>
      <c r="E2" s="868"/>
      <c r="F2" s="868"/>
      <c r="G2" s="867" t="s">
        <v>104</v>
      </c>
      <c r="H2" s="869"/>
      <c r="I2" s="869" t="s">
        <v>105</v>
      </c>
      <c r="J2" s="868"/>
      <c r="K2" s="868"/>
      <c r="L2" s="870"/>
      <c r="M2" s="870"/>
      <c r="N2" s="870"/>
      <c r="O2" s="870"/>
    </row>
    <row r="3" spans="1:15" s="1" customFormat="1" x14ac:dyDescent="0.2">
      <c r="A3" s="867" t="s">
        <v>106</v>
      </c>
      <c r="B3" s="868"/>
      <c r="C3" s="868"/>
      <c r="D3" s="883" t="s">
        <v>488</v>
      </c>
      <c r="E3" s="868"/>
      <c r="F3" s="868"/>
      <c r="G3" s="867" t="s">
        <v>107</v>
      </c>
      <c r="H3" s="869"/>
      <c r="I3" s="869" t="s">
        <v>108</v>
      </c>
      <c r="J3" s="868"/>
      <c r="K3" s="868"/>
      <c r="L3" s="870"/>
      <c r="M3" s="870"/>
      <c r="N3" s="870"/>
      <c r="O3" s="870"/>
    </row>
    <row r="4" spans="1:15" s="1" customFormat="1" x14ac:dyDescent="0.2">
      <c r="A4" s="867" t="s">
        <v>109</v>
      </c>
      <c r="B4" s="868"/>
      <c r="C4" s="868"/>
      <c r="D4" s="869"/>
      <c r="E4" s="868"/>
      <c r="F4" s="868"/>
      <c r="G4" s="867" t="s">
        <v>110</v>
      </c>
      <c r="H4" s="869"/>
      <c r="I4" s="869" t="s">
        <v>111</v>
      </c>
      <c r="J4" s="868"/>
      <c r="K4" s="868"/>
      <c r="L4" s="870"/>
      <c r="M4" s="870"/>
      <c r="N4" s="870"/>
      <c r="O4" s="870"/>
    </row>
    <row r="5" spans="1:15" s="1" customFormat="1" x14ac:dyDescent="0.2">
      <c r="A5" s="867" t="s">
        <v>443</v>
      </c>
      <c r="B5" s="868"/>
      <c r="C5" s="868"/>
      <c r="D5" s="869" t="s">
        <v>489</v>
      </c>
      <c r="E5" s="868"/>
      <c r="F5" s="868"/>
      <c r="G5" s="867"/>
      <c r="H5" s="868"/>
      <c r="I5" s="869" t="s">
        <v>113</v>
      </c>
      <c r="J5" s="868"/>
      <c r="K5" s="868"/>
      <c r="L5" s="870"/>
      <c r="M5" s="870"/>
      <c r="N5" s="870"/>
      <c r="O5" s="870"/>
    </row>
    <row r="6" spans="1:15" s="1" customFormat="1" x14ac:dyDescent="0.2">
      <c r="A6" s="871" t="s">
        <v>114</v>
      </c>
      <c r="B6" s="872"/>
      <c r="C6" s="872"/>
      <c r="D6" s="868" t="s">
        <v>22</v>
      </c>
      <c r="E6" s="868"/>
      <c r="F6" s="868"/>
      <c r="G6" s="871" t="s">
        <v>115</v>
      </c>
      <c r="H6" s="871"/>
      <c r="I6" s="2" t="s">
        <v>222</v>
      </c>
      <c r="J6" s="888"/>
      <c r="K6" s="888"/>
      <c r="L6" s="888"/>
      <c r="M6" s="888"/>
      <c r="N6" s="888"/>
      <c r="O6" s="889"/>
    </row>
    <row r="7" spans="1:15" s="1" customFormat="1" ht="13.5" thickBot="1" x14ac:dyDescent="0.25">
      <c r="A7" s="3"/>
      <c r="B7" s="4"/>
      <c r="C7" s="5"/>
      <c r="D7" s="6"/>
      <c r="E7" s="6"/>
      <c r="F7" s="6"/>
      <c r="G7" s="6"/>
      <c r="H7" s="6"/>
      <c r="I7" s="6"/>
      <c r="J7" s="7"/>
      <c r="K7" s="8"/>
      <c r="L7" s="875" t="s">
        <v>223</v>
      </c>
      <c r="M7" s="875"/>
      <c r="N7" s="875"/>
      <c r="O7" s="875"/>
    </row>
    <row r="8" spans="1:15" s="11" customFormat="1" x14ac:dyDescent="0.2">
      <c r="A8" s="876" t="str">
        <f>I1</f>
        <v>Ms. Parvathi R.</v>
      </c>
      <c r="B8" s="877"/>
      <c r="C8" s="252">
        <v>43160</v>
      </c>
      <c r="D8" s="252">
        <v>43191</v>
      </c>
      <c r="E8" s="252">
        <v>43221</v>
      </c>
      <c r="F8" s="252">
        <v>43252</v>
      </c>
      <c r="G8" s="252">
        <v>43282</v>
      </c>
      <c r="H8" s="252">
        <v>43313</v>
      </c>
      <c r="I8" s="252">
        <v>43344</v>
      </c>
      <c r="J8" s="252">
        <v>43374</v>
      </c>
      <c r="K8" s="252">
        <v>43405</v>
      </c>
      <c r="L8" s="252">
        <v>43435</v>
      </c>
      <c r="M8" s="252">
        <v>43466</v>
      </c>
      <c r="N8" s="252">
        <v>43497</v>
      </c>
      <c r="O8" s="10" t="s">
        <v>117</v>
      </c>
    </row>
    <row r="9" spans="1:15" ht="15" x14ac:dyDescent="0.2">
      <c r="A9" s="12"/>
      <c r="B9" s="13" t="s">
        <v>118</v>
      </c>
      <c r="C9" s="14">
        <v>44900</v>
      </c>
      <c r="D9" s="14">
        <v>44900</v>
      </c>
      <c r="E9" s="14">
        <v>44900</v>
      </c>
      <c r="F9" s="14">
        <v>44900</v>
      </c>
      <c r="G9" s="14">
        <v>46200</v>
      </c>
      <c r="H9" s="14">
        <v>46200</v>
      </c>
      <c r="I9" s="14">
        <v>46200</v>
      </c>
      <c r="J9" s="14">
        <v>46200</v>
      </c>
      <c r="K9" s="14">
        <v>46200</v>
      </c>
      <c r="L9" s="14">
        <v>46200</v>
      </c>
      <c r="M9" s="14">
        <v>46200</v>
      </c>
      <c r="N9" s="14">
        <v>46200</v>
      </c>
      <c r="O9" s="15">
        <f>SUM(C9:N9)</f>
        <v>549200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2245</v>
      </c>
      <c r="D11" s="17">
        <v>3143</v>
      </c>
      <c r="E11" s="17">
        <v>3143</v>
      </c>
      <c r="F11" s="17">
        <v>3143</v>
      </c>
      <c r="G11" s="17">
        <v>3234</v>
      </c>
      <c r="H11" s="17">
        <v>3234</v>
      </c>
      <c r="I11" s="17">
        <v>3234</v>
      </c>
      <c r="J11" s="17">
        <v>4158</v>
      </c>
      <c r="K11" s="17">
        <v>4158</v>
      </c>
      <c r="L11" s="17">
        <v>4158</v>
      </c>
      <c r="M11" s="17">
        <v>4158</v>
      </c>
      <c r="N11" s="17">
        <v>4158</v>
      </c>
      <c r="O11" s="18">
        <f>SUM(C11:N11)</f>
        <v>42166</v>
      </c>
    </row>
    <row r="12" spans="1:15"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x14ac:dyDescent="0.2">
      <c r="A14" s="12"/>
      <c r="B14" s="13" t="s">
        <v>123</v>
      </c>
      <c r="C14" s="17">
        <v>3780</v>
      </c>
      <c r="D14" s="17">
        <v>3752</v>
      </c>
      <c r="E14" s="17">
        <v>3752</v>
      </c>
      <c r="F14" s="17">
        <v>3752</v>
      </c>
      <c r="G14" s="17">
        <v>3752</v>
      </c>
      <c r="H14" s="17">
        <v>3752</v>
      </c>
      <c r="I14" s="17">
        <v>3752</v>
      </c>
      <c r="J14" s="17">
        <v>3924</v>
      </c>
      <c r="K14" s="17">
        <v>3924</v>
      </c>
      <c r="L14" s="17">
        <v>3924</v>
      </c>
      <c r="M14" s="17">
        <v>3924</v>
      </c>
      <c r="N14" s="17">
        <v>3924</v>
      </c>
      <c r="O14" s="18">
        <f t="shared" si="0"/>
        <v>45912</v>
      </c>
    </row>
    <row r="15" spans="1:15"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hidden="1"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127</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10776</v>
      </c>
      <c r="D19" s="17">
        <v>10776</v>
      </c>
      <c r="E19" s="17">
        <v>10776</v>
      </c>
      <c r="F19" s="17">
        <v>10776</v>
      </c>
      <c r="G19" s="17">
        <v>11088</v>
      </c>
      <c r="H19" s="17">
        <v>11088</v>
      </c>
      <c r="I19" s="17">
        <v>11088</v>
      </c>
      <c r="J19" s="17">
        <v>11088</v>
      </c>
      <c r="K19" s="17">
        <v>11088</v>
      </c>
      <c r="L19" s="17">
        <v>11088</v>
      </c>
      <c r="M19" s="17">
        <v>11088</v>
      </c>
      <c r="N19" s="17">
        <v>11088</v>
      </c>
      <c r="O19" s="18">
        <f t="shared" si="0"/>
        <v>131808</v>
      </c>
    </row>
    <row r="20" spans="1:15" ht="12.7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78"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79"/>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5" ht="15" hidden="1" customHeight="1" x14ac:dyDescent="0.2">
      <c r="A23" s="879"/>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79"/>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79"/>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79"/>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79"/>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79"/>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79"/>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79"/>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79"/>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8.75" customHeight="1" x14ac:dyDescent="0.2">
      <c r="A32" s="879"/>
      <c r="B32" s="253" t="s">
        <v>142</v>
      </c>
      <c r="C32" s="17">
        <v>0</v>
      </c>
      <c r="D32" s="17">
        <v>13545</v>
      </c>
      <c r="E32" s="17">
        <v>0</v>
      </c>
      <c r="F32" s="17">
        <v>0</v>
      </c>
      <c r="G32" s="17">
        <v>0</v>
      </c>
      <c r="H32" s="17">
        <v>0</v>
      </c>
      <c r="I32" s="17">
        <v>0</v>
      </c>
      <c r="J32" s="17">
        <v>0</v>
      </c>
      <c r="K32" s="17">
        <v>0</v>
      </c>
      <c r="L32" s="17">
        <v>0</v>
      </c>
      <c r="M32" s="17">
        <v>0</v>
      </c>
      <c r="N32" s="17">
        <v>0</v>
      </c>
      <c r="O32" s="18">
        <f t="shared" si="0"/>
        <v>13545</v>
      </c>
    </row>
    <row r="33" spans="1:17" ht="15" hidden="1" customHeight="1" x14ac:dyDescent="0.2">
      <c r="A33" s="880"/>
      <c r="B33" s="19" t="s">
        <v>226</v>
      </c>
      <c r="C33" s="17">
        <v>0</v>
      </c>
      <c r="D33" s="17">
        <v>0</v>
      </c>
      <c r="E33" s="17">
        <v>0</v>
      </c>
      <c r="F33" s="17">
        <v>0</v>
      </c>
      <c r="G33" s="17">
        <v>0</v>
      </c>
      <c r="H33" s="17">
        <v>0</v>
      </c>
      <c r="I33" s="17">
        <v>0</v>
      </c>
      <c r="J33" s="17">
        <v>0</v>
      </c>
      <c r="K33" s="17">
        <v>0</v>
      </c>
      <c r="L33" s="17">
        <v>0</v>
      </c>
      <c r="M33" s="17">
        <v>0</v>
      </c>
      <c r="N33" s="17">
        <v>0</v>
      </c>
      <c r="O33" s="18">
        <f t="shared" si="0"/>
        <v>0</v>
      </c>
    </row>
    <row r="34" spans="1:17" ht="15" customHeight="1" x14ac:dyDescent="0.2">
      <c r="A34" s="865" t="s">
        <v>143</v>
      </c>
      <c r="B34" s="866"/>
      <c r="C34" s="17">
        <v>0</v>
      </c>
      <c r="D34" s="17">
        <v>0</v>
      </c>
      <c r="E34" s="17">
        <v>0</v>
      </c>
      <c r="F34" s="17">
        <v>0</v>
      </c>
      <c r="G34" s="17">
        <v>0</v>
      </c>
      <c r="H34" s="17">
        <v>0</v>
      </c>
      <c r="I34" s="17">
        <v>0</v>
      </c>
      <c r="J34" s="17">
        <v>0</v>
      </c>
      <c r="K34" s="17">
        <v>0</v>
      </c>
      <c r="L34" s="17">
        <v>0</v>
      </c>
      <c r="M34" s="17">
        <v>0</v>
      </c>
      <c r="N34" s="17">
        <v>0</v>
      </c>
      <c r="O34" s="18">
        <f t="shared" si="0"/>
        <v>0</v>
      </c>
    </row>
    <row r="35" spans="1:17" ht="15" customHeight="1" x14ac:dyDescent="0.2">
      <c r="A35" s="865" t="s">
        <v>145</v>
      </c>
      <c r="B35" s="866"/>
      <c r="C35" s="17">
        <v>0</v>
      </c>
      <c r="D35" s="17">
        <v>216</v>
      </c>
      <c r="E35" s="17">
        <v>0</v>
      </c>
      <c r="F35" s="17">
        <v>0</v>
      </c>
      <c r="G35" s="17">
        <v>0</v>
      </c>
      <c r="H35" s="17">
        <v>0</v>
      </c>
      <c r="I35" s="17">
        <v>0</v>
      </c>
      <c r="J35" s="17">
        <v>216</v>
      </c>
      <c r="K35" s="17">
        <v>0</v>
      </c>
      <c r="L35" s="17">
        <v>0</v>
      </c>
      <c r="M35" s="17">
        <v>0</v>
      </c>
      <c r="N35" s="17">
        <v>0</v>
      </c>
      <c r="O35" s="18">
        <f t="shared" si="0"/>
        <v>432</v>
      </c>
    </row>
    <row r="36" spans="1:17" ht="15" customHeight="1" x14ac:dyDescent="0.2">
      <c r="A36" s="865" t="s">
        <v>146</v>
      </c>
      <c r="B36" s="866"/>
      <c r="C36" s="17">
        <v>0</v>
      </c>
      <c r="D36" s="17">
        <v>2694</v>
      </c>
      <c r="E36" s="17">
        <v>0</v>
      </c>
      <c r="F36" s="17">
        <v>0</v>
      </c>
      <c r="G36" s="17">
        <v>0</v>
      </c>
      <c r="H36" s="17">
        <v>0</v>
      </c>
      <c r="I36" s="17">
        <v>0</v>
      </c>
      <c r="J36" s="17">
        <v>2772</v>
      </c>
      <c r="K36" s="17">
        <v>0</v>
      </c>
      <c r="L36" s="17">
        <v>0</v>
      </c>
      <c r="M36" s="17">
        <v>0</v>
      </c>
      <c r="N36" s="17">
        <v>0</v>
      </c>
      <c r="O36" s="18">
        <f t="shared" si="0"/>
        <v>5466</v>
      </c>
    </row>
    <row r="37" spans="1:17" ht="17.25" customHeight="1" x14ac:dyDescent="0.2">
      <c r="A37" s="22"/>
      <c r="B37" s="23" t="s">
        <v>147</v>
      </c>
      <c r="C37" s="24">
        <f t="shared" ref="C37:N37" si="1">SUM(C9:C36)</f>
        <v>61701</v>
      </c>
      <c r="D37" s="24">
        <f t="shared" si="1"/>
        <v>79026</v>
      </c>
      <c r="E37" s="24">
        <f t="shared" si="1"/>
        <v>62571</v>
      </c>
      <c r="F37" s="24">
        <f t="shared" si="1"/>
        <v>62571</v>
      </c>
      <c r="G37" s="24">
        <f t="shared" si="1"/>
        <v>64274</v>
      </c>
      <c r="H37" s="24">
        <f t="shared" si="1"/>
        <v>64274</v>
      </c>
      <c r="I37" s="24">
        <f t="shared" si="1"/>
        <v>64274</v>
      </c>
      <c r="J37" s="24">
        <f t="shared" si="1"/>
        <v>75266</v>
      </c>
      <c r="K37" s="24">
        <f t="shared" si="1"/>
        <v>65370</v>
      </c>
      <c r="L37" s="24">
        <f t="shared" si="1"/>
        <v>65370</v>
      </c>
      <c r="M37" s="24">
        <f t="shared" si="1"/>
        <v>65370</v>
      </c>
      <c r="N37" s="24">
        <f t="shared" si="1"/>
        <v>65370</v>
      </c>
      <c r="O37" s="25">
        <f>SUM(C37:N37)</f>
        <v>795437</v>
      </c>
      <c r="Q37" s="16">
        <f>31759+6725+31759+5108+33036*2+33939*3+4917+3454+2000+35578*5</f>
        <v>431501</v>
      </c>
    </row>
    <row r="38" spans="1:17" ht="15" customHeight="1" x14ac:dyDescent="0.2">
      <c r="A38" s="853" t="s">
        <v>148</v>
      </c>
      <c r="B38" s="27" t="s">
        <v>149</v>
      </c>
      <c r="C38" s="17">
        <v>1400</v>
      </c>
      <c r="D38" s="17">
        <v>2000</v>
      </c>
      <c r="E38" s="17">
        <v>1500</v>
      </c>
      <c r="F38" s="17">
        <v>1500</v>
      </c>
      <c r="G38" s="17">
        <v>1500</v>
      </c>
      <c r="H38" s="17">
        <v>1500</v>
      </c>
      <c r="I38" s="17">
        <v>1500</v>
      </c>
      <c r="J38" s="17">
        <v>1500</v>
      </c>
      <c r="K38" s="17">
        <v>7000</v>
      </c>
      <c r="L38" s="17">
        <v>6724</v>
      </c>
      <c r="M38" s="17">
        <v>6724</v>
      </c>
      <c r="N38" s="17">
        <v>7109</v>
      </c>
      <c r="O38" s="18">
        <f>SUM(C38:N38)</f>
        <v>39957</v>
      </c>
      <c r="P38" s="29"/>
    </row>
    <row r="39" spans="1:17" ht="15" x14ac:dyDescent="0.2">
      <c r="A39" s="854"/>
      <c r="B39" s="27" t="s">
        <v>150</v>
      </c>
      <c r="C39" s="17">
        <v>0</v>
      </c>
      <c r="D39" s="17">
        <v>0</v>
      </c>
      <c r="E39" s="17">
        <v>0</v>
      </c>
      <c r="F39" s="17">
        <v>0</v>
      </c>
      <c r="G39" s="17">
        <v>0</v>
      </c>
      <c r="H39" s="17">
        <v>0</v>
      </c>
      <c r="I39" s="17">
        <v>0</v>
      </c>
      <c r="J39" s="17">
        <v>0</v>
      </c>
      <c r="K39" s="17">
        <v>0</v>
      </c>
      <c r="L39" s="17">
        <v>0</v>
      </c>
      <c r="M39" s="17">
        <v>0</v>
      </c>
      <c r="N39" s="17">
        <v>0</v>
      </c>
      <c r="O39" s="18">
        <f>SUM(C39:N39)</f>
        <v>0</v>
      </c>
    </row>
    <row r="40" spans="1:17" ht="15" x14ac:dyDescent="0.2">
      <c r="A40" s="854"/>
      <c r="B40" s="27" t="s">
        <v>151</v>
      </c>
      <c r="C40" s="17">
        <v>30</v>
      </c>
      <c r="D40" s="17">
        <v>30</v>
      </c>
      <c r="E40" s="17">
        <v>30</v>
      </c>
      <c r="F40" s="17">
        <v>30</v>
      </c>
      <c r="G40" s="17">
        <v>30</v>
      </c>
      <c r="H40" s="17">
        <v>30</v>
      </c>
      <c r="I40" s="17">
        <v>30</v>
      </c>
      <c r="J40" s="17">
        <v>30</v>
      </c>
      <c r="K40" s="17">
        <v>30</v>
      </c>
      <c r="L40" s="17">
        <v>30</v>
      </c>
      <c r="M40" s="17">
        <v>30</v>
      </c>
      <c r="N40" s="17">
        <v>30</v>
      </c>
      <c r="O40" s="18">
        <f t="shared" ref="O40:O50" si="2">SUM(C40:N40)</f>
        <v>360</v>
      </c>
    </row>
    <row r="41" spans="1:17" ht="15" x14ac:dyDescent="0.2">
      <c r="A41" s="854"/>
      <c r="B41" s="27" t="s">
        <v>152</v>
      </c>
      <c r="C41" s="17">
        <v>0</v>
      </c>
      <c r="D41" s="17">
        <v>0</v>
      </c>
      <c r="E41" s="17">
        <v>0</v>
      </c>
      <c r="F41" s="17">
        <v>0</v>
      </c>
      <c r="G41" s="17">
        <v>0</v>
      </c>
      <c r="H41" s="17">
        <v>0</v>
      </c>
      <c r="I41" s="17">
        <v>0</v>
      </c>
      <c r="J41" s="17">
        <v>0</v>
      </c>
      <c r="K41" s="17">
        <v>0</v>
      </c>
      <c r="L41" s="17">
        <v>0</v>
      </c>
      <c r="M41" s="17">
        <v>0</v>
      </c>
      <c r="N41" s="17">
        <v>0</v>
      </c>
      <c r="O41" s="18">
        <f t="shared" si="2"/>
        <v>0</v>
      </c>
    </row>
    <row r="42" spans="1:17" ht="15" x14ac:dyDescent="0.2">
      <c r="A42" s="854"/>
      <c r="B42" s="27" t="s">
        <v>153</v>
      </c>
      <c r="C42" s="17">
        <v>250</v>
      </c>
      <c r="D42" s="17">
        <v>250</v>
      </c>
      <c r="E42" s="17">
        <v>250</v>
      </c>
      <c r="F42" s="17">
        <v>250</v>
      </c>
      <c r="G42" s="17">
        <v>250</v>
      </c>
      <c r="H42" s="17">
        <v>250</v>
      </c>
      <c r="I42" s="17">
        <v>250</v>
      </c>
      <c r="J42" s="17">
        <v>250</v>
      </c>
      <c r="K42" s="17">
        <v>250</v>
      </c>
      <c r="L42" s="17">
        <v>250</v>
      </c>
      <c r="M42" s="17">
        <v>250</v>
      </c>
      <c r="N42" s="17">
        <v>250</v>
      </c>
      <c r="O42" s="18">
        <f t="shared" si="2"/>
        <v>3000</v>
      </c>
    </row>
    <row r="43" spans="1:17" ht="15" x14ac:dyDescent="0.2">
      <c r="A43" s="854"/>
      <c r="B43" s="27" t="s">
        <v>154</v>
      </c>
      <c r="C43" s="17">
        <v>10000</v>
      </c>
      <c r="D43" s="17">
        <v>10000</v>
      </c>
      <c r="E43" s="17">
        <v>10000</v>
      </c>
      <c r="F43" s="17">
        <v>10000</v>
      </c>
      <c r="G43" s="17">
        <v>10000</v>
      </c>
      <c r="H43" s="17">
        <v>10000</v>
      </c>
      <c r="I43" s="17">
        <v>10000</v>
      </c>
      <c r="J43" s="17">
        <v>10000</v>
      </c>
      <c r="K43" s="17">
        <v>10000</v>
      </c>
      <c r="L43" s="17">
        <v>10000</v>
      </c>
      <c r="M43" s="17">
        <v>10000</v>
      </c>
      <c r="N43" s="17">
        <v>10000</v>
      </c>
      <c r="O43" s="18">
        <f t="shared" si="2"/>
        <v>120000</v>
      </c>
    </row>
    <row r="44" spans="1:17" ht="15" x14ac:dyDescent="0.2">
      <c r="A44" s="854"/>
      <c r="B44" s="27" t="s">
        <v>155</v>
      </c>
      <c r="C44" s="17">
        <v>200</v>
      </c>
      <c r="D44" s="17">
        <v>200</v>
      </c>
      <c r="E44" s="17">
        <v>200</v>
      </c>
      <c r="F44" s="17">
        <v>200</v>
      </c>
      <c r="G44" s="17">
        <v>200</v>
      </c>
      <c r="H44" s="17">
        <v>200</v>
      </c>
      <c r="I44" s="17">
        <v>200</v>
      </c>
      <c r="J44" s="17">
        <v>200</v>
      </c>
      <c r="K44" s="17">
        <v>200</v>
      </c>
      <c r="L44" s="17">
        <v>200</v>
      </c>
      <c r="M44" s="17">
        <v>200</v>
      </c>
      <c r="N44" s="17">
        <v>300</v>
      </c>
      <c r="O44" s="18">
        <f t="shared" si="2"/>
        <v>2500</v>
      </c>
    </row>
    <row r="45" spans="1:17" ht="15" x14ac:dyDescent="0.2">
      <c r="A45" s="854"/>
      <c r="B45" s="27" t="s">
        <v>156</v>
      </c>
      <c r="C45" s="17">
        <v>0</v>
      </c>
      <c r="D45" s="17">
        <v>0</v>
      </c>
      <c r="E45" s="17">
        <v>0</v>
      </c>
      <c r="F45" s="17">
        <v>0</v>
      </c>
      <c r="G45" s="17">
        <v>0</v>
      </c>
      <c r="H45" s="17">
        <v>0</v>
      </c>
      <c r="I45" s="17">
        <v>0</v>
      </c>
      <c r="J45" s="17">
        <v>0</v>
      </c>
      <c r="K45" s="17">
        <v>0</v>
      </c>
      <c r="L45" s="17">
        <v>0</v>
      </c>
      <c r="M45" s="17">
        <v>0</v>
      </c>
      <c r="N45" s="17">
        <v>0</v>
      </c>
      <c r="O45" s="18">
        <f t="shared" si="2"/>
        <v>0</v>
      </c>
    </row>
    <row r="46" spans="1:17" ht="15" x14ac:dyDescent="0.2">
      <c r="A46" s="854"/>
      <c r="B46" s="27" t="s">
        <v>157</v>
      </c>
      <c r="C46" s="17">
        <v>0</v>
      </c>
      <c r="D46" s="17">
        <v>0</v>
      </c>
      <c r="E46" s="17">
        <v>0</v>
      </c>
      <c r="F46" s="17">
        <v>0</v>
      </c>
      <c r="G46" s="17">
        <v>0</v>
      </c>
      <c r="H46" s="17">
        <v>0</v>
      </c>
      <c r="I46" s="17">
        <v>0</v>
      </c>
      <c r="J46" s="17">
        <v>0</v>
      </c>
      <c r="K46" s="17">
        <v>0</v>
      </c>
      <c r="L46" s="17">
        <v>0</v>
      </c>
      <c r="M46" s="17">
        <v>0</v>
      </c>
      <c r="N46" s="17">
        <v>0</v>
      </c>
      <c r="O46" s="18">
        <f t="shared" si="2"/>
        <v>0</v>
      </c>
    </row>
    <row r="47" spans="1:17" ht="28.5" customHeight="1" x14ac:dyDescent="0.2">
      <c r="A47" s="855"/>
      <c r="B47" s="30" t="s">
        <v>158</v>
      </c>
      <c r="C47" s="17">
        <v>0</v>
      </c>
      <c r="D47" s="17">
        <v>0</v>
      </c>
      <c r="E47" s="17">
        <v>0</v>
      </c>
      <c r="F47" s="17">
        <v>0</v>
      </c>
      <c r="G47" s="17">
        <v>0</v>
      </c>
      <c r="H47" s="17">
        <v>0</v>
      </c>
      <c r="I47" s="17">
        <v>0</v>
      </c>
      <c r="J47" s="17">
        <v>0</v>
      </c>
      <c r="K47" s="17">
        <v>0</v>
      </c>
      <c r="L47" s="17">
        <v>0</v>
      </c>
      <c r="M47" s="17">
        <v>0</v>
      </c>
      <c r="N47" s="17">
        <v>0</v>
      </c>
      <c r="O47" s="31">
        <f t="shared" si="2"/>
        <v>0</v>
      </c>
    </row>
    <row r="48" spans="1:17" ht="15" x14ac:dyDescent="0.2">
      <c r="A48" s="856"/>
      <c r="B48" s="127" t="s">
        <v>228</v>
      </c>
      <c r="C48" s="17">
        <v>0</v>
      </c>
      <c r="D48" s="17">
        <v>0</v>
      </c>
      <c r="E48" s="17">
        <v>0</v>
      </c>
      <c r="F48" s="17">
        <v>0</v>
      </c>
      <c r="G48" s="17">
        <v>0</v>
      </c>
      <c r="H48" s="17">
        <v>0</v>
      </c>
      <c r="I48" s="17">
        <v>0</v>
      </c>
      <c r="J48" s="17">
        <v>0</v>
      </c>
      <c r="K48" s="17">
        <v>0</v>
      </c>
      <c r="L48" s="17">
        <v>0</v>
      </c>
      <c r="M48" s="17">
        <v>0</v>
      </c>
      <c r="N48" s="17">
        <v>0</v>
      </c>
      <c r="O48" s="31">
        <f t="shared" si="2"/>
        <v>0</v>
      </c>
    </row>
    <row r="49" spans="1:18" ht="15" x14ac:dyDescent="0.2">
      <c r="A49" s="857" t="s">
        <v>160</v>
      </c>
      <c r="B49" s="858"/>
      <c r="C49" s="33">
        <f t="shared" ref="C49:N49" si="3">SUM(C38:C48)</f>
        <v>11880</v>
      </c>
      <c r="D49" s="33">
        <f t="shared" si="3"/>
        <v>12480</v>
      </c>
      <c r="E49" s="33">
        <f t="shared" si="3"/>
        <v>11980</v>
      </c>
      <c r="F49" s="33">
        <f t="shared" si="3"/>
        <v>11980</v>
      </c>
      <c r="G49" s="33">
        <f t="shared" si="3"/>
        <v>11980</v>
      </c>
      <c r="H49" s="33">
        <f t="shared" si="3"/>
        <v>11980</v>
      </c>
      <c r="I49" s="33">
        <f t="shared" si="3"/>
        <v>11980</v>
      </c>
      <c r="J49" s="33">
        <f t="shared" si="3"/>
        <v>11980</v>
      </c>
      <c r="K49" s="33">
        <f t="shared" si="3"/>
        <v>17480</v>
      </c>
      <c r="L49" s="33">
        <f t="shared" si="3"/>
        <v>17204</v>
      </c>
      <c r="M49" s="33">
        <f t="shared" si="3"/>
        <v>17204</v>
      </c>
      <c r="N49" s="33">
        <f t="shared" si="3"/>
        <v>17689</v>
      </c>
      <c r="O49" s="34">
        <f t="shared" si="2"/>
        <v>165817</v>
      </c>
    </row>
    <row r="50" spans="1:18" ht="15.75" thickBot="1" x14ac:dyDescent="0.25">
      <c r="A50" s="859" t="s">
        <v>161</v>
      </c>
      <c r="B50" s="860"/>
      <c r="C50" s="35">
        <f t="shared" ref="C50:N50" si="4">C37-C49</f>
        <v>49821</v>
      </c>
      <c r="D50" s="35">
        <f t="shared" si="4"/>
        <v>66546</v>
      </c>
      <c r="E50" s="35">
        <f t="shared" si="4"/>
        <v>50591</v>
      </c>
      <c r="F50" s="35">
        <f t="shared" si="4"/>
        <v>50591</v>
      </c>
      <c r="G50" s="35">
        <f t="shared" si="4"/>
        <v>52294</v>
      </c>
      <c r="H50" s="35">
        <f t="shared" si="4"/>
        <v>52294</v>
      </c>
      <c r="I50" s="35">
        <f t="shared" si="4"/>
        <v>52294</v>
      </c>
      <c r="J50" s="35">
        <f t="shared" si="4"/>
        <v>63286</v>
      </c>
      <c r="K50" s="35">
        <f t="shared" si="4"/>
        <v>47890</v>
      </c>
      <c r="L50" s="35">
        <f t="shared" si="4"/>
        <v>48166</v>
      </c>
      <c r="M50" s="35">
        <f t="shared" si="4"/>
        <v>48166</v>
      </c>
      <c r="N50" s="35">
        <f t="shared" si="4"/>
        <v>47681</v>
      </c>
      <c r="O50" s="36">
        <f t="shared" si="2"/>
        <v>629620</v>
      </c>
      <c r="Q50" s="16">
        <f>24029+6725+23279+5108+24436+24556+25459+26209+25784+4917+3454+2000+27023+26648+26648+26548+26364</f>
        <v>329187</v>
      </c>
    </row>
    <row r="51" spans="1:18" x14ac:dyDescent="0.2">
      <c r="J51" s="128">
        <f>+J37-SUM(J22:J36)</f>
        <v>65370</v>
      </c>
      <c r="Q51" s="38"/>
    </row>
    <row r="52" spans="1:18" ht="13.5" thickBot="1" x14ac:dyDescent="0.25">
      <c r="J52" s="38">
        <f>+J51-J49</f>
        <v>53390</v>
      </c>
    </row>
    <row r="53" spans="1:18" ht="13.5" thickBot="1" x14ac:dyDescent="0.25">
      <c r="B53" s="789" t="s">
        <v>162</v>
      </c>
      <c r="C53" s="861"/>
      <c r="D53" s="861"/>
      <c r="E53" s="861"/>
      <c r="F53" s="862"/>
      <c r="G53" s="863">
        <f>O37</f>
        <v>795437</v>
      </c>
      <c r="H53" s="864"/>
    </row>
    <row r="54" spans="1:18" ht="13.5" thickBot="1" x14ac:dyDescent="0.25"/>
    <row r="55" spans="1:18" x14ac:dyDescent="0.2">
      <c r="B55" s="830" t="s">
        <v>163</v>
      </c>
      <c r="C55" s="833" t="s">
        <v>164</v>
      </c>
      <c r="D55" s="836" t="s">
        <v>425</v>
      </c>
      <c r="E55" s="837"/>
      <c r="F55" s="838"/>
      <c r="G55" s="839">
        <v>40000</v>
      </c>
      <c r="H55" s="840"/>
    </row>
    <row r="56" spans="1:18" x14ac:dyDescent="0.2">
      <c r="B56" s="831"/>
      <c r="C56" s="834"/>
      <c r="D56" s="841" t="s">
        <v>166</v>
      </c>
      <c r="E56" s="842"/>
      <c r="F56" s="843"/>
      <c r="G56" s="844">
        <f>+O44</f>
        <v>2500</v>
      </c>
      <c r="H56" s="845"/>
      <c r="I56" s="39"/>
      <c r="J56" s="846"/>
      <c r="K56" s="846"/>
      <c r="L56" s="846"/>
      <c r="M56" s="847"/>
      <c r="N56" s="847"/>
      <c r="O56" s="847"/>
    </row>
    <row r="57" spans="1:18" ht="13.5" thickBot="1" x14ac:dyDescent="0.25">
      <c r="B57" s="832"/>
      <c r="C57" s="835"/>
      <c r="D57" s="848" t="s">
        <v>266</v>
      </c>
      <c r="E57" s="849"/>
      <c r="F57" s="850"/>
      <c r="G57" s="851">
        <v>0</v>
      </c>
      <c r="H57" s="852"/>
      <c r="J57" s="47"/>
      <c r="K57" s="47"/>
      <c r="L57" s="47"/>
      <c r="M57" s="47"/>
      <c r="N57" s="47"/>
      <c r="O57" s="47"/>
    </row>
    <row r="58" spans="1:18" ht="13.5" thickBot="1" x14ac:dyDescent="0.25">
      <c r="B58" s="48"/>
      <c r="J58" s="47"/>
      <c r="K58" s="47"/>
      <c r="L58" s="47"/>
      <c r="M58" s="47"/>
      <c r="N58" s="47"/>
      <c r="O58" s="47"/>
    </row>
    <row r="59" spans="1:18" ht="13.5" thickBot="1" x14ac:dyDescent="0.25">
      <c r="B59" s="789" t="s">
        <v>168</v>
      </c>
      <c r="C59" s="790"/>
      <c r="D59" s="790"/>
      <c r="E59" s="790"/>
      <c r="F59" s="791"/>
      <c r="G59" s="825">
        <f>+G53-SUM(G55:H57)</f>
        <v>752937</v>
      </c>
      <c r="H59" s="826"/>
      <c r="J59" s="827" t="s">
        <v>169</v>
      </c>
      <c r="K59" s="828"/>
      <c r="L59" s="828"/>
      <c r="M59" s="828"/>
      <c r="N59" s="828"/>
      <c r="O59" s="829"/>
    </row>
    <row r="60" spans="1:18" ht="13.5" thickBot="1" x14ac:dyDescent="0.25">
      <c r="B60" s="49"/>
      <c r="C60" s="50"/>
      <c r="D60" s="50"/>
      <c r="E60" s="50"/>
      <c r="F60" s="50"/>
      <c r="G60" s="45"/>
      <c r="H60" s="50"/>
      <c r="J60" s="51"/>
      <c r="K60" s="52"/>
      <c r="L60" s="52"/>
      <c r="M60" s="52"/>
      <c r="N60" s="52"/>
      <c r="O60" s="53"/>
    </row>
    <row r="61" spans="1:18" ht="13.5" thickBot="1" x14ac:dyDescent="0.25">
      <c r="B61" s="789" t="s">
        <v>170</v>
      </c>
      <c r="C61" s="790"/>
      <c r="D61" s="790"/>
      <c r="E61" s="790"/>
      <c r="F61" s="791"/>
      <c r="G61" s="805"/>
      <c r="H61" s="791"/>
      <c r="J61" s="54"/>
      <c r="K61" s="55"/>
      <c r="L61" s="55"/>
      <c r="M61" s="55"/>
      <c r="N61" s="55"/>
      <c r="O61" s="56"/>
    </row>
    <row r="62" spans="1:18" ht="12.75" customHeight="1" x14ac:dyDescent="0.2">
      <c r="B62" s="57" t="s">
        <v>171</v>
      </c>
      <c r="C62" s="806" t="s">
        <v>172</v>
      </c>
      <c r="D62" s="807"/>
      <c r="E62" s="807"/>
      <c r="F62" s="808"/>
      <c r="G62" s="809">
        <v>0</v>
      </c>
      <c r="H62" s="809"/>
      <c r="I62" s="58"/>
      <c r="J62" s="810" t="s">
        <v>173</v>
      </c>
      <c r="K62" s="811"/>
      <c r="L62" s="811"/>
      <c r="M62" s="811"/>
      <c r="N62" s="811"/>
      <c r="O62" s="812"/>
      <c r="Q62" s="59"/>
      <c r="R62" s="59"/>
    </row>
    <row r="63" spans="1:18" ht="13.5" thickBot="1" x14ac:dyDescent="0.25">
      <c r="D63" s="37"/>
      <c r="I63" s="58"/>
      <c r="J63" s="60" t="s">
        <v>254</v>
      </c>
      <c r="K63" s="61"/>
      <c r="L63" s="61"/>
      <c r="M63" s="61"/>
      <c r="N63" s="61"/>
      <c r="O63" s="62"/>
      <c r="Q63" s="59"/>
      <c r="R63" s="59"/>
    </row>
    <row r="64" spans="1:18" ht="13.5" thickBot="1" x14ac:dyDescent="0.25">
      <c r="B64" s="789" t="s">
        <v>175</v>
      </c>
      <c r="C64" s="790"/>
      <c r="D64" s="790"/>
      <c r="E64" s="790"/>
      <c r="F64" s="791"/>
      <c r="G64" s="805">
        <f>+G59-G62</f>
        <v>752937</v>
      </c>
      <c r="H64" s="791"/>
      <c r="I64" s="63"/>
      <c r="J64" s="64"/>
      <c r="K64" s="39"/>
      <c r="L64" s="39"/>
      <c r="M64" s="39"/>
      <c r="N64" s="39"/>
      <c r="O64" s="65"/>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6.25" customHeight="1" thickBot="1" x14ac:dyDescent="0.25">
      <c r="B67" s="66"/>
      <c r="C67" s="48"/>
      <c r="G67" s="70" t="s">
        <v>177</v>
      </c>
      <c r="H67" s="70" t="s">
        <v>178</v>
      </c>
      <c r="I67" s="63"/>
      <c r="J67" s="810" t="s">
        <v>179</v>
      </c>
      <c r="K67" s="811"/>
      <c r="L67" s="71"/>
      <c r="M67" s="71"/>
      <c r="N67" s="71"/>
      <c r="O67" s="72"/>
      <c r="Q67" s="59"/>
      <c r="R67" s="59"/>
    </row>
    <row r="68" spans="2:18" ht="12.75" customHeight="1" x14ac:dyDescent="0.2">
      <c r="B68" s="802" t="s">
        <v>180</v>
      </c>
      <c r="C68" s="821" t="s">
        <v>181</v>
      </c>
      <c r="D68" s="823" t="s">
        <v>182</v>
      </c>
      <c r="E68" s="824"/>
      <c r="F68" s="824"/>
      <c r="G68" s="73">
        <f>+O43</f>
        <v>120000</v>
      </c>
      <c r="H68" s="74">
        <f t="shared" ref="H68:H76" si="5">+G68</f>
        <v>120000</v>
      </c>
      <c r="I68" s="63"/>
      <c r="J68" s="915" t="s">
        <v>490</v>
      </c>
      <c r="K68" s="916"/>
      <c r="L68" s="916"/>
      <c r="M68" s="916"/>
      <c r="N68" s="916"/>
      <c r="O68" s="76"/>
      <c r="Q68" s="59"/>
      <c r="R68" s="59"/>
    </row>
    <row r="69" spans="2:18" ht="12.75" customHeight="1" x14ac:dyDescent="0.2">
      <c r="B69" s="803"/>
      <c r="C69" s="822"/>
      <c r="D69" s="782" t="s">
        <v>184</v>
      </c>
      <c r="E69" s="783"/>
      <c r="F69" s="783"/>
      <c r="G69" s="77">
        <f>O68+O69</f>
        <v>0</v>
      </c>
      <c r="H69" s="78">
        <f t="shared" si="5"/>
        <v>0</v>
      </c>
      <c r="I69" s="63"/>
      <c r="J69" s="79" t="s">
        <v>491</v>
      </c>
      <c r="K69" s="68"/>
      <c r="L69" s="68"/>
      <c r="M69" s="68"/>
      <c r="N69" s="68"/>
      <c r="O69" s="69"/>
      <c r="Q69" s="59"/>
      <c r="R69" s="59"/>
    </row>
    <row r="70" spans="2:18" ht="12.75" customHeight="1" x14ac:dyDescent="0.2">
      <c r="B70" s="803"/>
      <c r="C70" s="822"/>
      <c r="D70" s="819" t="s">
        <v>185</v>
      </c>
      <c r="E70" s="820"/>
      <c r="F70" s="820"/>
      <c r="G70" s="80">
        <f>O40</f>
        <v>360</v>
      </c>
      <c r="H70" s="78">
        <f t="shared" si="5"/>
        <v>360</v>
      </c>
      <c r="I70" s="63"/>
      <c r="J70" s="67"/>
      <c r="K70" s="68"/>
      <c r="L70" s="68"/>
      <c r="M70" s="68"/>
      <c r="N70" s="68"/>
      <c r="O70" s="69"/>
    </row>
    <row r="71" spans="2:18" x14ac:dyDescent="0.2">
      <c r="B71" s="803"/>
      <c r="C71" s="822"/>
      <c r="D71" s="782" t="s">
        <v>186</v>
      </c>
      <c r="E71" s="783"/>
      <c r="F71" s="783"/>
      <c r="G71" s="81">
        <v>0</v>
      </c>
      <c r="H71" s="78">
        <f t="shared" si="5"/>
        <v>0</v>
      </c>
      <c r="I71" s="63"/>
      <c r="J71" s="82" t="s">
        <v>187</v>
      </c>
      <c r="K71" s="71"/>
      <c r="L71" s="71"/>
      <c r="M71" s="71"/>
      <c r="N71" s="71"/>
      <c r="O71" s="72"/>
    </row>
    <row r="72" spans="2:18" ht="12.75" customHeight="1" x14ac:dyDescent="0.2">
      <c r="B72" s="803"/>
      <c r="C72" s="822"/>
      <c r="D72" s="784" t="s">
        <v>188</v>
      </c>
      <c r="E72" s="783"/>
      <c r="F72" s="783"/>
      <c r="G72" s="80">
        <v>0</v>
      </c>
      <c r="H72" s="78">
        <f t="shared" si="5"/>
        <v>0</v>
      </c>
      <c r="I72" s="63"/>
      <c r="J72" s="75" t="s">
        <v>189</v>
      </c>
      <c r="K72" s="50"/>
      <c r="L72" s="50"/>
      <c r="M72" s="50"/>
      <c r="N72" s="50"/>
      <c r="O72" s="83">
        <f>O42</f>
        <v>3000</v>
      </c>
    </row>
    <row r="73" spans="2:18" ht="14.25" customHeight="1" x14ac:dyDescent="0.2">
      <c r="B73" s="803"/>
      <c r="C73" s="822"/>
      <c r="D73" s="782" t="s">
        <v>190</v>
      </c>
      <c r="E73" s="783"/>
      <c r="F73" s="783"/>
      <c r="G73" s="84">
        <v>0</v>
      </c>
      <c r="H73" s="78">
        <f t="shared" si="5"/>
        <v>0</v>
      </c>
      <c r="I73" s="63"/>
      <c r="J73" s="64"/>
      <c r="K73" s="39"/>
      <c r="L73" s="39"/>
      <c r="M73" s="39"/>
      <c r="N73" s="39"/>
      <c r="O73" s="65"/>
    </row>
    <row r="74" spans="2:18" x14ac:dyDescent="0.2">
      <c r="B74" s="803"/>
      <c r="C74" s="822"/>
      <c r="D74" s="782" t="s">
        <v>191</v>
      </c>
      <c r="E74" s="783"/>
      <c r="F74" s="783"/>
      <c r="G74" s="81">
        <v>0</v>
      </c>
      <c r="H74" s="78">
        <f t="shared" si="5"/>
        <v>0</v>
      </c>
      <c r="I74" s="58"/>
      <c r="J74" s="85"/>
      <c r="K74" s="63"/>
      <c r="L74" s="63"/>
      <c r="M74" s="63"/>
      <c r="N74" s="63"/>
      <c r="O74" s="86"/>
    </row>
    <row r="75" spans="2:18" x14ac:dyDescent="0.2">
      <c r="B75" s="803"/>
      <c r="C75" s="88" t="s">
        <v>192</v>
      </c>
      <c r="D75" s="813" t="s">
        <v>193</v>
      </c>
      <c r="E75" s="814"/>
      <c r="F75" s="814"/>
      <c r="G75" s="80">
        <v>0</v>
      </c>
      <c r="H75" s="78">
        <f t="shared" si="5"/>
        <v>0</v>
      </c>
      <c r="I75" s="58"/>
      <c r="J75" s="60"/>
      <c r="K75" s="68"/>
      <c r="L75" s="68"/>
      <c r="M75" s="50"/>
      <c r="N75" s="50"/>
      <c r="O75" s="83"/>
    </row>
    <row r="76" spans="2:18" ht="13.5" customHeight="1" thickBot="1" x14ac:dyDescent="0.25">
      <c r="B76" s="803"/>
      <c r="C76" s="88" t="s">
        <v>194</v>
      </c>
      <c r="D76" s="815" t="s">
        <v>195</v>
      </c>
      <c r="E76" s="815"/>
      <c r="F76" s="815"/>
      <c r="G76" s="89">
        <v>0</v>
      </c>
      <c r="H76" s="90">
        <f t="shared" si="5"/>
        <v>0</v>
      </c>
      <c r="I76" s="63"/>
      <c r="J76" s="75"/>
      <c r="K76" s="68"/>
      <c r="L76" s="68"/>
      <c r="M76" s="91"/>
      <c r="N76" s="91"/>
      <c r="O76" s="92"/>
    </row>
    <row r="77" spans="2:18" ht="13.5" thickBot="1" x14ac:dyDescent="0.25">
      <c r="B77" s="803"/>
      <c r="C77" s="93"/>
      <c r="D77" s="94"/>
      <c r="E77" s="816" t="s">
        <v>117</v>
      </c>
      <c r="F77" s="817"/>
      <c r="G77" s="95">
        <f>SUM(G68:G76)</f>
        <v>120360</v>
      </c>
      <c r="H77" s="96">
        <f>IF(SUM(G68:G74)&lt;150000,SUM(G68:G74),150000)+IF(+G75&lt;20000,+G75,20000)</f>
        <v>120360</v>
      </c>
      <c r="I77" s="63"/>
      <c r="J77" s="97"/>
      <c r="K77" s="98"/>
      <c r="L77" s="98"/>
      <c r="M77" s="98"/>
      <c r="N77" s="98"/>
      <c r="O77" s="99"/>
    </row>
    <row r="78" spans="2:18" ht="12.75" customHeight="1" x14ac:dyDescent="0.2">
      <c r="B78" s="803"/>
      <c r="C78" s="100" t="s">
        <v>196</v>
      </c>
      <c r="D78" s="782" t="s">
        <v>187</v>
      </c>
      <c r="E78" s="783"/>
      <c r="F78" s="818"/>
      <c r="G78" s="73">
        <f>O42</f>
        <v>3000</v>
      </c>
      <c r="H78" s="101">
        <f>+IF(+G78&lt;25000,+G78,25000)</f>
        <v>3000</v>
      </c>
      <c r="I78" s="87"/>
    </row>
    <row r="79" spans="2:18" x14ac:dyDescent="0.2">
      <c r="B79" s="803"/>
      <c r="C79" s="100" t="s">
        <v>197</v>
      </c>
      <c r="D79" s="784" t="s">
        <v>198</v>
      </c>
      <c r="E79" s="785"/>
      <c r="F79" s="786"/>
      <c r="G79" s="102"/>
      <c r="H79" s="103">
        <f>+IF(+G79&lt;40000,+G79,40000)</f>
        <v>0</v>
      </c>
      <c r="I79" s="63"/>
    </row>
    <row r="80" spans="2:18" x14ac:dyDescent="0.2">
      <c r="B80" s="803"/>
      <c r="C80" s="100" t="s">
        <v>199</v>
      </c>
      <c r="D80" s="784" t="s">
        <v>200</v>
      </c>
      <c r="E80" s="785"/>
      <c r="F80" s="786"/>
      <c r="G80" s="81"/>
      <c r="H80" s="104">
        <v>0</v>
      </c>
      <c r="I80" s="63"/>
    </row>
    <row r="81" spans="2:12" x14ac:dyDescent="0.2">
      <c r="B81" s="803"/>
      <c r="C81" s="100" t="s">
        <v>201</v>
      </c>
      <c r="D81" s="784" t="s">
        <v>202</v>
      </c>
      <c r="E81" s="785"/>
      <c r="F81" s="786"/>
      <c r="G81" s="81"/>
      <c r="H81" s="104">
        <v>0</v>
      </c>
      <c r="I81" s="63"/>
      <c r="J81" s="106"/>
    </row>
    <row r="82" spans="2:12" ht="13.5" thickBot="1" x14ac:dyDescent="0.25">
      <c r="B82" s="804"/>
      <c r="C82" s="100" t="s">
        <v>203</v>
      </c>
      <c r="D82" s="784" t="s">
        <v>204</v>
      </c>
      <c r="E82" s="785"/>
      <c r="F82" s="786"/>
      <c r="G82" s="102"/>
      <c r="H82" s="103">
        <f>+IF(+G82&lt;100000,+G82,10000)</f>
        <v>0</v>
      </c>
      <c r="I82" s="63"/>
    </row>
    <row r="83" spans="2:12" ht="13.5" thickBot="1" x14ac:dyDescent="0.25">
      <c r="B83" s="787" t="s">
        <v>205</v>
      </c>
      <c r="C83" s="788"/>
      <c r="D83" s="788"/>
      <c r="E83" s="788"/>
      <c r="F83" s="788"/>
      <c r="G83" s="107">
        <f>SUM(G78:G82)</f>
        <v>3000</v>
      </c>
      <c r="H83" s="108">
        <f>SUM(H77:H82)</f>
        <v>123360</v>
      </c>
    </row>
    <row r="84" spans="2:12" ht="13.5" thickBot="1" x14ac:dyDescent="0.25"/>
    <row r="85" spans="2:12" ht="13.5" thickBot="1" x14ac:dyDescent="0.25">
      <c r="B85" s="789" t="s">
        <v>206</v>
      </c>
      <c r="C85" s="790"/>
      <c r="D85" s="790"/>
      <c r="E85" s="790"/>
      <c r="F85" s="791"/>
      <c r="G85" s="792">
        <f>+G64-H83</f>
        <v>629577</v>
      </c>
      <c r="H85" s="791"/>
      <c r="J85" s="16">
        <f>C37+D37+E37+F37</f>
        <v>265869</v>
      </c>
      <c r="K85" s="16" t="s">
        <v>235</v>
      </c>
    </row>
    <row r="86" spans="2:12" x14ac:dyDescent="0.2">
      <c r="B86" s="110"/>
      <c r="F86" s="105"/>
      <c r="J86" s="16">
        <f>G37+H37+I37</f>
        <v>192822</v>
      </c>
      <c r="K86" s="16" t="s">
        <v>236</v>
      </c>
      <c r="L86" s="16">
        <f>+J86/3</f>
        <v>64274</v>
      </c>
    </row>
    <row r="87" spans="2:12" x14ac:dyDescent="0.2">
      <c r="C87" s="793" t="s">
        <v>207</v>
      </c>
      <c r="D87" s="794"/>
      <c r="E87" s="111" t="s">
        <v>208</v>
      </c>
      <c r="F87" s="111" t="s">
        <v>209</v>
      </c>
      <c r="G87" s="111" t="s">
        <v>210</v>
      </c>
      <c r="H87" s="111" t="s">
        <v>211</v>
      </c>
      <c r="J87" s="16">
        <f>J37+K37+L37</f>
        <v>206006</v>
      </c>
      <c r="K87" s="47" t="s">
        <v>237</v>
      </c>
      <c r="L87" s="16">
        <f>+J87/3</f>
        <v>68668.666666666672</v>
      </c>
    </row>
    <row r="88" spans="2:12" x14ac:dyDescent="0.2">
      <c r="C88" s="795" t="str">
        <f>IF(I6="M","0          - 250000","0          -  250000")</f>
        <v>0          -  250000</v>
      </c>
      <c r="D88" s="796"/>
      <c r="E88" s="112">
        <v>0</v>
      </c>
      <c r="F88" s="113">
        <f>IF(I6="M",(IF(G85&lt;250000,G85,250000)),(IF(G85&lt;250000,G85,250000)))</f>
        <v>250000</v>
      </c>
      <c r="G88" s="113">
        <f>G85-F88</f>
        <v>379577</v>
      </c>
      <c r="H88" s="113">
        <f>E88*F88</f>
        <v>0</v>
      </c>
      <c r="J88" s="16">
        <f>M37+N37</f>
        <v>130740</v>
      </c>
      <c r="K88" s="1" t="s">
        <v>238</v>
      </c>
      <c r="L88" s="16">
        <f>+J88/2</f>
        <v>65370</v>
      </c>
    </row>
    <row r="89" spans="2:12" x14ac:dyDescent="0.2">
      <c r="C89" s="795" t="str">
        <f>IF(I6="M","250001 - 500000","250001-500000")</f>
        <v>250001-500000</v>
      </c>
      <c r="D89" s="796"/>
      <c r="E89" s="112">
        <v>0.05</v>
      </c>
      <c r="F89" s="113">
        <f>IF(I6="M",(IF(G88&lt;250000,G88,250000)),(IF(G88&lt;250000,G88,250000)))</f>
        <v>250000</v>
      </c>
      <c r="G89" s="113">
        <f>G88-F89</f>
        <v>129577</v>
      </c>
      <c r="H89" s="114">
        <f>ROUND(E89*F89,0.1)</f>
        <v>12500</v>
      </c>
      <c r="J89" s="115">
        <f>SUM(J85:J88)</f>
        <v>795437</v>
      </c>
    </row>
    <row r="90" spans="2:12" x14ac:dyDescent="0.2">
      <c r="C90" s="797" t="s">
        <v>212</v>
      </c>
      <c r="D90" s="798"/>
      <c r="E90" s="112">
        <v>0.2</v>
      </c>
      <c r="F90" s="113">
        <f>IF(G89&lt;500000,G89,500000)</f>
        <v>129577</v>
      </c>
      <c r="G90" s="113">
        <f>G89-F90</f>
        <v>0</v>
      </c>
      <c r="H90" s="114">
        <f>ROUND(E90*F90,0.1)</f>
        <v>25915</v>
      </c>
      <c r="J90" s="16">
        <f>+G85</f>
        <v>629577</v>
      </c>
    </row>
    <row r="91" spans="2:12" x14ac:dyDescent="0.2">
      <c r="C91" s="795" t="s">
        <v>213</v>
      </c>
      <c r="D91" s="796"/>
      <c r="E91" s="112">
        <v>0.3</v>
      </c>
      <c r="F91" s="113">
        <f>G90</f>
        <v>0</v>
      </c>
      <c r="G91" s="113">
        <f>G90-F91</f>
        <v>0</v>
      </c>
      <c r="H91" s="114">
        <f>ROUND(E91*F91,0.1)</f>
        <v>0</v>
      </c>
      <c r="J91" s="16">
        <f>+J89-J90</f>
        <v>165860</v>
      </c>
    </row>
    <row r="92" spans="2:12" ht="12.75" customHeight="1" thickBot="1" x14ac:dyDescent="0.25">
      <c r="B92" s="116"/>
      <c r="C92" s="117"/>
      <c r="D92" s="47"/>
      <c r="E92" s="47"/>
      <c r="F92" s="47"/>
      <c r="J92" s="87"/>
      <c r="K92" s="118"/>
    </row>
    <row r="93" spans="2:12" ht="13.5" thickBot="1" x14ac:dyDescent="0.25">
      <c r="B93" s="799" t="s">
        <v>239</v>
      </c>
      <c r="C93" s="800"/>
      <c r="D93" s="800"/>
      <c r="E93" s="800"/>
      <c r="F93" s="801"/>
      <c r="G93" s="771">
        <f>H88+H89+H90+H91</f>
        <v>38415</v>
      </c>
      <c r="H93" s="772"/>
    </row>
    <row r="94" spans="2:12" ht="13.5" thickBot="1" x14ac:dyDescent="0.25">
      <c r="B94" s="119" t="s">
        <v>215</v>
      </c>
      <c r="C94" s="120"/>
      <c r="D94" s="120"/>
      <c r="E94" s="120"/>
      <c r="F94" s="120"/>
      <c r="G94" s="884">
        <f>IF((G64&lt;500000),5000,0)</f>
        <v>0</v>
      </c>
      <c r="H94" s="885">
        <f>IF(H92&lt;200000,0,IF(H92&lt;220000,((H92-200000)*10%),IF(H92&lt;=500000,2000,IF(H92&gt;=500000,0))))</f>
        <v>0</v>
      </c>
      <c r="J94" s="1"/>
      <c r="K94" s="121"/>
      <c r="L94" s="121"/>
    </row>
    <row r="95" spans="2:12" ht="13.5" thickBot="1" x14ac:dyDescent="0.25">
      <c r="B95" s="122" t="s">
        <v>216</v>
      </c>
      <c r="C95" s="123"/>
      <c r="D95" s="123"/>
      <c r="E95" s="123"/>
      <c r="F95" s="123"/>
      <c r="G95" s="771">
        <f>IF((G93-G94)&lt;0,0,(G93-G94))</f>
        <v>38415</v>
      </c>
      <c r="H95" s="772"/>
      <c r="I95" s="37"/>
    </row>
    <row r="96" spans="2:12" ht="13.5" thickBot="1" x14ac:dyDescent="0.25">
      <c r="B96" s="773" t="s">
        <v>240</v>
      </c>
      <c r="C96" s="774"/>
      <c r="D96" s="774"/>
      <c r="E96" s="774"/>
      <c r="F96" s="775"/>
      <c r="G96" s="776">
        <f>ROUND((IF(G95&gt;0,(G95*4%),0)),0)</f>
        <v>1537</v>
      </c>
      <c r="H96" s="777"/>
      <c r="I96" s="37"/>
    </row>
    <row r="97" spans="2:9" ht="13.5" thickBot="1" x14ac:dyDescent="0.25">
      <c r="B97" s="778" t="s">
        <v>218</v>
      </c>
      <c r="C97" s="779"/>
      <c r="D97" s="779"/>
      <c r="E97" s="779"/>
      <c r="F97" s="779"/>
      <c r="G97" s="780">
        <f>G95+G96</f>
        <v>39952</v>
      </c>
      <c r="H97" s="781"/>
      <c r="I97" s="121"/>
    </row>
    <row r="98" spans="2:9" ht="13.5" thickBot="1" x14ac:dyDescent="0.25">
      <c r="B98" s="765" t="s">
        <v>219</v>
      </c>
      <c r="C98" s="766"/>
      <c r="D98" s="766"/>
      <c r="E98" s="766"/>
      <c r="F98" s="766"/>
      <c r="G98" s="767">
        <f>O38</f>
        <v>39957</v>
      </c>
      <c r="H98" s="768"/>
      <c r="I98" s="121"/>
    </row>
    <row r="99" spans="2:9" ht="13.5" thickBot="1" x14ac:dyDescent="0.25">
      <c r="B99" s="765" t="str">
        <f>IF(G99&gt;0,"TAX PAYABLE","TAX REFUND")</f>
        <v>TAX REFUND</v>
      </c>
      <c r="C99" s="766"/>
      <c r="D99" s="766"/>
      <c r="E99" s="766"/>
      <c r="F99" s="766"/>
      <c r="G99" s="767">
        <f>+G97-G98</f>
        <v>-5</v>
      </c>
      <c r="H99" s="768"/>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4">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G61:H61"/>
    <mergeCell ref="C62:F62"/>
    <mergeCell ref="G62:H62"/>
    <mergeCell ref="J62:O62"/>
    <mergeCell ref="J67:K67"/>
    <mergeCell ref="B64:F64"/>
    <mergeCell ref="G64:H64"/>
    <mergeCell ref="B61:F61"/>
    <mergeCell ref="J68:N68"/>
    <mergeCell ref="D69:F69"/>
    <mergeCell ref="D70:F70"/>
    <mergeCell ref="D71:F71"/>
    <mergeCell ref="D72:F72"/>
    <mergeCell ref="G85:H85"/>
    <mergeCell ref="D74:F74"/>
    <mergeCell ref="D75:F75"/>
    <mergeCell ref="D76:F76"/>
    <mergeCell ref="E77:F77"/>
    <mergeCell ref="D78:F78"/>
    <mergeCell ref="D79:F79"/>
    <mergeCell ref="D80:F80"/>
    <mergeCell ref="D81:F81"/>
    <mergeCell ref="D82:F82"/>
    <mergeCell ref="B83:F83"/>
    <mergeCell ref="B85:F85"/>
    <mergeCell ref="B68:B82"/>
    <mergeCell ref="C68:C74"/>
    <mergeCell ref="D68:F68"/>
    <mergeCell ref="D73:F73"/>
    <mergeCell ref="C87:D87"/>
    <mergeCell ref="C88:D88"/>
    <mergeCell ref="C89:D89"/>
    <mergeCell ref="C90:D90"/>
    <mergeCell ref="C91:D91"/>
    <mergeCell ref="B98:F98"/>
    <mergeCell ref="G98:H98"/>
    <mergeCell ref="B99:F99"/>
    <mergeCell ref="G99:H99"/>
    <mergeCell ref="G93:H93"/>
    <mergeCell ref="G94:H94"/>
    <mergeCell ref="G95:H95"/>
    <mergeCell ref="B96:F96"/>
    <mergeCell ref="G96:H96"/>
    <mergeCell ref="B97:F97"/>
    <mergeCell ref="G97:H97"/>
    <mergeCell ref="B93:F93"/>
  </mergeCells>
  <conditionalFormatting sqref="B90:F90 B99:F99 B93:F97">
    <cfRule type="cellIs" dxfId="2145" priority="3" stopIfTrue="1" operator="equal">
      <formula>"TAX PAYABLE"</formula>
    </cfRule>
    <cfRule type="cellIs" dxfId="2144" priority="4" stopIfTrue="1" operator="equal">
      <formula>"TAX REFUND"</formula>
    </cfRule>
  </conditionalFormatting>
  <conditionalFormatting sqref="G90:H90">
    <cfRule type="cellIs" dxfId="2143" priority="5" stopIfTrue="1" operator="lessThan">
      <formula>0</formula>
    </cfRule>
    <cfRule type="cellIs" dxfId="2142" priority="6" stopIfTrue="1" operator="greaterThan">
      <formula>0</formula>
    </cfRule>
  </conditionalFormatting>
  <conditionalFormatting sqref="G99:H99">
    <cfRule type="cellIs" dxfId="2141" priority="1" stopIfTrue="1" operator="greaterThan">
      <formula>0</formula>
    </cfRule>
    <cfRule type="cellIs" dxfId="2140"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hyperlinks>
    <hyperlink ref="J51" r:id="rId1" display="+J37-@sum(J22:J36)"/>
  </hyperlinks>
  <pageMargins left="0.7" right="0.7" top="0.75" bottom="0.75" header="0.3" footer="0.3"/>
  <pageSetup paperSize="5" orientation="landscape" horizontalDpi="300" verticalDpi="300" r:id="rId2"/>
  <headerFooter alignWithMargins="0"/>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08"/>
  <sheetViews>
    <sheetView topLeftCell="A63" workbookViewId="0">
      <selection activeCell="G99" sqref="G99:H99"/>
    </sheetView>
  </sheetViews>
  <sheetFormatPr defaultRowHeight="12.75" x14ac:dyDescent="0.2"/>
  <cols>
    <col min="1" max="1" width="5" style="16" customWidth="1"/>
    <col min="2" max="2" width="18.42578125" style="37" customWidth="1"/>
    <col min="3" max="3" width="10.7109375" style="16" bestFit="1" customWidth="1"/>
    <col min="4" max="4" width="7.28515625" style="16" customWidth="1"/>
    <col min="5" max="5" width="8.5703125" style="16" customWidth="1"/>
    <col min="6" max="6" width="9.28515625" style="16" customWidth="1"/>
    <col min="7" max="7" width="10.42578125" style="16" bestFit="1" customWidth="1"/>
    <col min="8" max="8" width="10.28515625" style="16" bestFit="1" customWidth="1"/>
    <col min="9" max="9" width="8.7109375" style="16" customWidth="1"/>
    <col min="10" max="12" width="8.42578125" style="16" customWidth="1"/>
    <col min="13" max="13" width="7.85546875" style="16" customWidth="1"/>
    <col min="14" max="14" width="7.5703125" style="16" customWidth="1"/>
    <col min="15" max="15" width="8.4257812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8.42578125" style="16" customWidth="1"/>
    <col min="259" max="259" width="10.7109375" style="16" bestFit="1" customWidth="1"/>
    <col min="260" max="260" width="7.28515625" style="16" customWidth="1"/>
    <col min="261" max="261" width="8.5703125" style="16" customWidth="1"/>
    <col min="262" max="262" width="9.28515625" style="16" customWidth="1"/>
    <col min="263" max="263" width="10.42578125" style="16" bestFit="1" customWidth="1"/>
    <col min="264" max="264" width="10.28515625" style="16" bestFit="1" customWidth="1"/>
    <col min="265" max="265" width="8.7109375" style="16" customWidth="1"/>
    <col min="266" max="268" width="8.42578125" style="16" customWidth="1"/>
    <col min="269" max="269" width="7.85546875" style="16" customWidth="1"/>
    <col min="270" max="270" width="7.5703125" style="16" customWidth="1"/>
    <col min="271" max="271" width="8.4257812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8.42578125" style="16" customWidth="1"/>
    <col min="515" max="515" width="10.7109375" style="16" bestFit="1" customWidth="1"/>
    <col min="516" max="516" width="7.28515625" style="16" customWidth="1"/>
    <col min="517" max="517" width="8.5703125" style="16" customWidth="1"/>
    <col min="518" max="518" width="9.28515625" style="16" customWidth="1"/>
    <col min="519" max="519" width="10.42578125" style="16" bestFit="1" customWidth="1"/>
    <col min="520" max="520" width="10.28515625" style="16" bestFit="1" customWidth="1"/>
    <col min="521" max="521" width="8.7109375" style="16" customWidth="1"/>
    <col min="522" max="524" width="8.42578125" style="16" customWidth="1"/>
    <col min="525" max="525" width="7.85546875" style="16" customWidth="1"/>
    <col min="526" max="526" width="7.5703125" style="16" customWidth="1"/>
    <col min="527" max="527" width="8.4257812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8.42578125" style="16" customWidth="1"/>
    <col min="771" max="771" width="10.7109375" style="16" bestFit="1" customWidth="1"/>
    <col min="772" max="772" width="7.28515625" style="16" customWidth="1"/>
    <col min="773" max="773" width="8.5703125" style="16" customWidth="1"/>
    <col min="774" max="774" width="9.28515625" style="16" customWidth="1"/>
    <col min="775" max="775" width="10.42578125" style="16" bestFit="1" customWidth="1"/>
    <col min="776" max="776" width="10.28515625" style="16" bestFit="1" customWidth="1"/>
    <col min="777" max="777" width="8.7109375" style="16" customWidth="1"/>
    <col min="778" max="780" width="8.42578125" style="16" customWidth="1"/>
    <col min="781" max="781" width="7.85546875" style="16" customWidth="1"/>
    <col min="782" max="782" width="7.5703125" style="16" customWidth="1"/>
    <col min="783" max="783" width="8.4257812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8.42578125" style="16" customWidth="1"/>
    <col min="1027" max="1027" width="10.7109375" style="16" bestFit="1" customWidth="1"/>
    <col min="1028" max="1028" width="7.28515625" style="16" customWidth="1"/>
    <col min="1029" max="1029" width="8.5703125" style="16" customWidth="1"/>
    <col min="1030" max="1030" width="9.28515625" style="16" customWidth="1"/>
    <col min="1031" max="1031" width="10.42578125" style="16" bestFit="1" customWidth="1"/>
    <col min="1032" max="1032" width="10.28515625" style="16" bestFit="1" customWidth="1"/>
    <col min="1033" max="1033" width="8.7109375" style="16" customWidth="1"/>
    <col min="1034" max="1036" width="8.42578125" style="16" customWidth="1"/>
    <col min="1037" max="1037" width="7.85546875" style="16" customWidth="1"/>
    <col min="1038" max="1038" width="7.5703125" style="16" customWidth="1"/>
    <col min="1039" max="1039" width="8.4257812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8.42578125" style="16" customWidth="1"/>
    <col min="1283" max="1283" width="10.7109375" style="16" bestFit="1" customWidth="1"/>
    <col min="1284" max="1284" width="7.28515625" style="16" customWidth="1"/>
    <col min="1285" max="1285" width="8.5703125" style="16" customWidth="1"/>
    <col min="1286" max="1286" width="9.28515625" style="16" customWidth="1"/>
    <col min="1287" max="1287" width="10.42578125" style="16" bestFit="1" customWidth="1"/>
    <col min="1288" max="1288" width="10.28515625" style="16" bestFit="1" customWidth="1"/>
    <col min="1289" max="1289" width="8.7109375" style="16" customWidth="1"/>
    <col min="1290" max="1292" width="8.42578125" style="16" customWidth="1"/>
    <col min="1293" max="1293" width="7.85546875" style="16" customWidth="1"/>
    <col min="1294" max="1294" width="7.5703125" style="16" customWidth="1"/>
    <col min="1295" max="1295" width="8.4257812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8.42578125" style="16" customWidth="1"/>
    <col min="1539" max="1539" width="10.7109375" style="16" bestFit="1" customWidth="1"/>
    <col min="1540" max="1540" width="7.28515625" style="16" customWidth="1"/>
    <col min="1541" max="1541" width="8.5703125" style="16" customWidth="1"/>
    <col min="1542" max="1542" width="9.28515625" style="16" customWidth="1"/>
    <col min="1543" max="1543" width="10.42578125" style="16" bestFit="1" customWidth="1"/>
    <col min="1544" max="1544" width="10.28515625" style="16" bestFit="1" customWidth="1"/>
    <col min="1545" max="1545" width="8.7109375" style="16" customWidth="1"/>
    <col min="1546" max="1548" width="8.42578125" style="16" customWidth="1"/>
    <col min="1549" max="1549" width="7.85546875" style="16" customWidth="1"/>
    <col min="1550" max="1550" width="7.5703125" style="16" customWidth="1"/>
    <col min="1551" max="1551" width="8.4257812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8.42578125" style="16" customWidth="1"/>
    <col min="1795" max="1795" width="10.7109375" style="16" bestFit="1" customWidth="1"/>
    <col min="1796" max="1796" width="7.28515625" style="16" customWidth="1"/>
    <col min="1797" max="1797" width="8.5703125" style="16" customWidth="1"/>
    <col min="1798" max="1798" width="9.28515625" style="16" customWidth="1"/>
    <col min="1799" max="1799" width="10.42578125" style="16" bestFit="1" customWidth="1"/>
    <col min="1800" max="1800" width="10.28515625" style="16" bestFit="1" customWidth="1"/>
    <col min="1801" max="1801" width="8.7109375" style="16" customWidth="1"/>
    <col min="1802" max="1804" width="8.42578125" style="16" customWidth="1"/>
    <col min="1805" max="1805" width="7.85546875" style="16" customWidth="1"/>
    <col min="1806" max="1806" width="7.5703125" style="16" customWidth="1"/>
    <col min="1807" max="1807" width="8.4257812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8.42578125" style="16" customWidth="1"/>
    <col min="2051" max="2051" width="10.7109375" style="16" bestFit="1" customWidth="1"/>
    <col min="2052" max="2052" width="7.28515625" style="16" customWidth="1"/>
    <col min="2053" max="2053" width="8.5703125" style="16" customWidth="1"/>
    <col min="2054" max="2054" width="9.28515625" style="16" customWidth="1"/>
    <col min="2055" max="2055" width="10.42578125" style="16" bestFit="1" customWidth="1"/>
    <col min="2056" max="2056" width="10.28515625" style="16" bestFit="1" customWidth="1"/>
    <col min="2057" max="2057" width="8.7109375" style="16" customWidth="1"/>
    <col min="2058" max="2060" width="8.42578125" style="16" customWidth="1"/>
    <col min="2061" max="2061" width="7.85546875" style="16" customWidth="1"/>
    <col min="2062" max="2062" width="7.5703125" style="16" customWidth="1"/>
    <col min="2063" max="2063" width="8.4257812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8.42578125" style="16" customWidth="1"/>
    <col min="2307" max="2307" width="10.7109375" style="16" bestFit="1" customWidth="1"/>
    <col min="2308" max="2308" width="7.28515625" style="16" customWidth="1"/>
    <col min="2309" max="2309" width="8.5703125" style="16" customWidth="1"/>
    <col min="2310" max="2310" width="9.28515625" style="16" customWidth="1"/>
    <col min="2311" max="2311" width="10.42578125" style="16" bestFit="1" customWidth="1"/>
    <col min="2312" max="2312" width="10.28515625" style="16" bestFit="1" customWidth="1"/>
    <col min="2313" max="2313" width="8.7109375" style="16" customWidth="1"/>
    <col min="2314" max="2316" width="8.42578125" style="16" customWidth="1"/>
    <col min="2317" max="2317" width="7.85546875" style="16" customWidth="1"/>
    <col min="2318" max="2318" width="7.5703125" style="16" customWidth="1"/>
    <col min="2319" max="2319" width="8.4257812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8.42578125" style="16" customWidth="1"/>
    <col min="2563" max="2563" width="10.7109375" style="16" bestFit="1" customWidth="1"/>
    <col min="2564" max="2564" width="7.28515625" style="16" customWidth="1"/>
    <col min="2565" max="2565" width="8.5703125" style="16" customWidth="1"/>
    <col min="2566" max="2566" width="9.28515625" style="16" customWidth="1"/>
    <col min="2567" max="2567" width="10.42578125" style="16" bestFit="1" customWidth="1"/>
    <col min="2568" max="2568" width="10.28515625" style="16" bestFit="1" customWidth="1"/>
    <col min="2569" max="2569" width="8.7109375" style="16" customWidth="1"/>
    <col min="2570" max="2572" width="8.42578125" style="16" customWidth="1"/>
    <col min="2573" max="2573" width="7.85546875" style="16" customWidth="1"/>
    <col min="2574" max="2574" width="7.5703125" style="16" customWidth="1"/>
    <col min="2575" max="2575" width="8.4257812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8.42578125" style="16" customWidth="1"/>
    <col min="2819" max="2819" width="10.7109375" style="16" bestFit="1" customWidth="1"/>
    <col min="2820" max="2820" width="7.28515625" style="16" customWidth="1"/>
    <col min="2821" max="2821" width="8.5703125" style="16" customWidth="1"/>
    <col min="2822" max="2822" width="9.28515625" style="16" customWidth="1"/>
    <col min="2823" max="2823" width="10.42578125" style="16" bestFit="1" customWidth="1"/>
    <col min="2824" max="2824" width="10.28515625" style="16" bestFit="1" customWidth="1"/>
    <col min="2825" max="2825" width="8.7109375" style="16" customWidth="1"/>
    <col min="2826" max="2828" width="8.42578125" style="16" customWidth="1"/>
    <col min="2829" max="2829" width="7.85546875" style="16" customWidth="1"/>
    <col min="2830" max="2830" width="7.5703125" style="16" customWidth="1"/>
    <col min="2831" max="2831" width="8.4257812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8.42578125" style="16" customWidth="1"/>
    <col min="3075" max="3075" width="10.7109375" style="16" bestFit="1" customWidth="1"/>
    <col min="3076" max="3076" width="7.28515625" style="16" customWidth="1"/>
    <col min="3077" max="3077" width="8.5703125" style="16" customWidth="1"/>
    <col min="3078" max="3078" width="9.28515625" style="16" customWidth="1"/>
    <col min="3079" max="3079" width="10.42578125" style="16" bestFit="1" customWidth="1"/>
    <col min="3080" max="3080" width="10.28515625" style="16" bestFit="1" customWidth="1"/>
    <col min="3081" max="3081" width="8.7109375" style="16" customWidth="1"/>
    <col min="3082" max="3084" width="8.42578125" style="16" customWidth="1"/>
    <col min="3085" max="3085" width="7.85546875" style="16" customWidth="1"/>
    <col min="3086" max="3086" width="7.5703125" style="16" customWidth="1"/>
    <col min="3087" max="3087" width="8.4257812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8.42578125" style="16" customWidth="1"/>
    <col min="3331" max="3331" width="10.7109375" style="16" bestFit="1" customWidth="1"/>
    <col min="3332" max="3332" width="7.28515625" style="16" customWidth="1"/>
    <col min="3333" max="3333" width="8.5703125" style="16" customWidth="1"/>
    <col min="3334" max="3334" width="9.28515625" style="16" customWidth="1"/>
    <col min="3335" max="3335" width="10.42578125" style="16" bestFit="1" customWidth="1"/>
    <col min="3336" max="3336" width="10.28515625" style="16" bestFit="1" customWidth="1"/>
    <col min="3337" max="3337" width="8.7109375" style="16" customWidth="1"/>
    <col min="3338" max="3340" width="8.42578125" style="16" customWidth="1"/>
    <col min="3341" max="3341" width="7.85546875" style="16" customWidth="1"/>
    <col min="3342" max="3342" width="7.5703125" style="16" customWidth="1"/>
    <col min="3343" max="3343" width="8.4257812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8.42578125" style="16" customWidth="1"/>
    <col min="3587" max="3587" width="10.7109375" style="16" bestFit="1" customWidth="1"/>
    <col min="3588" max="3588" width="7.28515625" style="16" customWidth="1"/>
    <col min="3589" max="3589" width="8.5703125" style="16" customWidth="1"/>
    <col min="3590" max="3590" width="9.28515625" style="16" customWidth="1"/>
    <col min="3591" max="3591" width="10.42578125" style="16" bestFit="1" customWidth="1"/>
    <col min="3592" max="3592" width="10.28515625" style="16" bestFit="1" customWidth="1"/>
    <col min="3593" max="3593" width="8.7109375" style="16" customWidth="1"/>
    <col min="3594" max="3596" width="8.42578125" style="16" customWidth="1"/>
    <col min="3597" max="3597" width="7.85546875" style="16" customWidth="1"/>
    <col min="3598" max="3598" width="7.5703125" style="16" customWidth="1"/>
    <col min="3599" max="3599" width="8.4257812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8.42578125" style="16" customWidth="1"/>
    <col min="3843" max="3843" width="10.7109375" style="16" bestFit="1" customWidth="1"/>
    <col min="3844" max="3844" width="7.28515625" style="16" customWidth="1"/>
    <col min="3845" max="3845" width="8.5703125" style="16" customWidth="1"/>
    <col min="3846" max="3846" width="9.28515625" style="16" customWidth="1"/>
    <col min="3847" max="3847" width="10.42578125" style="16" bestFit="1" customWidth="1"/>
    <col min="3848" max="3848" width="10.28515625" style="16" bestFit="1" customWidth="1"/>
    <col min="3849" max="3849" width="8.7109375" style="16" customWidth="1"/>
    <col min="3850" max="3852" width="8.42578125" style="16" customWidth="1"/>
    <col min="3853" max="3853" width="7.85546875" style="16" customWidth="1"/>
    <col min="3854" max="3854" width="7.5703125" style="16" customWidth="1"/>
    <col min="3855" max="3855" width="8.4257812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8.42578125" style="16" customWidth="1"/>
    <col min="4099" max="4099" width="10.7109375" style="16" bestFit="1" customWidth="1"/>
    <col min="4100" max="4100" width="7.28515625" style="16" customWidth="1"/>
    <col min="4101" max="4101" width="8.5703125" style="16" customWidth="1"/>
    <col min="4102" max="4102" width="9.28515625" style="16" customWidth="1"/>
    <col min="4103" max="4103" width="10.42578125" style="16" bestFit="1" customWidth="1"/>
    <col min="4104" max="4104" width="10.28515625" style="16" bestFit="1" customWidth="1"/>
    <col min="4105" max="4105" width="8.7109375" style="16" customWidth="1"/>
    <col min="4106" max="4108" width="8.42578125" style="16" customWidth="1"/>
    <col min="4109" max="4109" width="7.85546875" style="16" customWidth="1"/>
    <col min="4110" max="4110" width="7.5703125" style="16" customWidth="1"/>
    <col min="4111" max="4111" width="8.4257812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8.42578125" style="16" customWidth="1"/>
    <col min="4355" max="4355" width="10.7109375" style="16" bestFit="1" customWidth="1"/>
    <col min="4356" max="4356" width="7.28515625" style="16" customWidth="1"/>
    <col min="4357" max="4357" width="8.5703125" style="16" customWidth="1"/>
    <col min="4358" max="4358" width="9.28515625" style="16" customWidth="1"/>
    <col min="4359" max="4359" width="10.42578125" style="16" bestFit="1" customWidth="1"/>
    <col min="4360" max="4360" width="10.28515625" style="16" bestFit="1" customWidth="1"/>
    <col min="4361" max="4361" width="8.7109375" style="16" customWidth="1"/>
    <col min="4362" max="4364" width="8.42578125" style="16" customWidth="1"/>
    <col min="4365" max="4365" width="7.85546875" style="16" customWidth="1"/>
    <col min="4366" max="4366" width="7.5703125" style="16" customWidth="1"/>
    <col min="4367" max="4367" width="8.4257812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8.42578125" style="16" customWidth="1"/>
    <col min="4611" max="4611" width="10.7109375" style="16" bestFit="1" customWidth="1"/>
    <col min="4612" max="4612" width="7.28515625" style="16" customWidth="1"/>
    <col min="4613" max="4613" width="8.5703125" style="16" customWidth="1"/>
    <col min="4614" max="4614" width="9.28515625" style="16" customWidth="1"/>
    <col min="4615" max="4615" width="10.42578125" style="16" bestFit="1" customWidth="1"/>
    <col min="4616" max="4616" width="10.28515625" style="16" bestFit="1" customWidth="1"/>
    <col min="4617" max="4617" width="8.7109375" style="16" customWidth="1"/>
    <col min="4618" max="4620" width="8.42578125" style="16" customWidth="1"/>
    <col min="4621" max="4621" width="7.85546875" style="16" customWidth="1"/>
    <col min="4622" max="4622" width="7.5703125" style="16" customWidth="1"/>
    <col min="4623" max="4623" width="8.4257812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8.42578125" style="16" customWidth="1"/>
    <col min="4867" max="4867" width="10.7109375" style="16" bestFit="1" customWidth="1"/>
    <col min="4868" max="4868" width="7.28515625" style="16" customWidth="1"/>
    <col min="4869" max="4869" width="8.5703125" style="16" customWidth="1"/>
    <col min="4870" max="4870" width="9.28515625" style="16" customWidth="1"/>
    <col min="4871" max="4871" width="10.42578125" style="16" bestFit="1" customWidth="1"/>
    <col min="4872" max="4872" width="10.28515625" style="16" bestFit="1" customWidth="1"/>
    <col min="4873" max="4873" width="8.7109375" style="16" customWidth="1"/>
    <col min="4874" max="4876" width="8.42578125" style="16" customWidth="1"/>
    <col min="4877" max="4877" width="7.85546875" style="16" customWidth="1"/>
    <col min="4878" max="4878" width="7.5703125" style="16" customWidth="1"/>
    <col min="4879" max="4879" width="8.4257812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8.42578125" style="16" customWidth="1"/>
    <col min="5123" max="5123" width="10.7109375" style="16" bestFit="1" customWidth="1"/>
    <col min="5124" max="5124" width="7.28515625" style="16" customWidth="1"/>
    <col min="5125" max="5125" width="8.5703125" style="16" customWidth="1"/>
    <col min="5126" max="5126" width="9.28515625" style="16" customWidth="1"/>
    <col min="5127" max="5127" width="10.42578125" style="16" bestFit="1" customWidth="1"/>
    <col min="5128" max="5128" width="10.28515625" style="16" bestFit="1" customWidth="1"/>
    <col min="5129" max="5129" width="8.7109375" style="16" customWidth="1"/>
    <col min="5130" max="5132" width="8.42578125" style="16" customWidth="1"/>
    <col min="5133" max="5133" width="7.85546875" style="16" customWidth="1"/>
    <col min="5134" max="5134" width="7.5703125" style="16" customWidth="1"/>
    <col min="5135" max="5135" width="8.4257812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8.42578125" style="16" customWidth="1"/>
    <col min="5379" max="5379" width="10.7109375" style="16" bestFit="1" customWidth="1"/>
    <col min="5380" max="5380" width="7.28515625" style="16" customWidth="1"/>
    <col min="5381" max="5381" width="8.5703125" style="16" customWidth="1"/>
    <col min="5382" max="5382" width="9.28515625" style="16" customWidth="1"/>
    <col min="5383" max="5383" width="10.42578125" style="16" bestFit="1" customWidth="1"/>
    <col min="5384" max="5384" width="10.28515625" style="16" bestFit="1" customWidth="1"/>
    <col min="5385" max="5385" width="8.7109375" style="16" customWidth="1"/>
    <col min="5386" max="5388" width="8.42578125" style="16" customWidth="1"/>
    <col min="5389" max="5389" width="7.85546875" style="16" customWidth="1"/>
    <col min="5390" max="5390" width="7.5703125" style="16" customWidth="1"/>
    <col min="5391" max="5391" width="8.4257812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8.42578125" style="16" customWidth="1"/>
    <col min="5635" max="5635" width="10.7109375" style="16" bestFit="1" customWidth="1"/>
    <col min="5636" max="5636" width="7.28515625" style="16" customWidth="1"/>
    <col min="5637" max="5637" width="8.5703125" style="16" customWidth="1"/>
    <col min="5638" max="5638" width="9.28515625" style="16" customWidth="1"/>
    <col min="5639" max="5639" width="10.42578125" style="16" bestFit="1" customWidth="1"/>
    <col min="5640" max="5640" width="10.28515625" style="16" bestFit="1" customWidth="1"/>
    <col min="5641" max="5641" width="8.7109375" style="16" customWidth="1"/>
    <col min="5642" max="5644" width="8.42578125" style="16" customWidth="1"/>
    <col min="5645" max="5645" width="7.85546875" style="16" customWidth="1"/>
    <col min="5646" max="5646" width="7.5703125" style="16" customWidth="1"/>
    <col min="5647" max="5647" width="8.4257812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8.42578125" style="16" customWidth="1"/>
    <col min="5891" max="5891" width="10.7109375" style="16" bestFit="1" customWidth="1"/>
    <col min="5892" max="5892" width="7.28515625" style="16" customWidth="1"/>
    <col min="5893" max="5893" width="8.5703125" style="16" customWidth="1"/>
    <col min="5894" max="5894" width="9.28515625" style="16" customWidth="1"/>
    <col min="5895" max="5895" width="10.42578125" style="16" bestFit="1" customWidth="1"/>
    <col min="5896" max="5896" width="10.28515625" style="16" bestFit="1" customWidth="1"/>
    <col min="5897" max="5897" width="8.7109375" style="16" customWidth="1"/>
    <col min="5898" max="5900" width="8.42578125" style="16" customWidth="1"/>
    <col min="5901" max="5901" width="7.85546875" style="16" customWidth="1"/>
    <col min="5902" max="5902" width="7.5703125" style="16" customWidth="1"/>
    <col min="5903" max="5903" width="8.4257812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8.42578125" style="16" customWidth="1"/>
    <col min="6147" max="6147" width="10.7109375" style="16" bestFit="1" customWidth="1"/>
    <col min="6148" max="6148" width="7.28515625" style="16" customWidth="1"/>
    <col min="6149" max="6149" width="8.5703125" style="16" customWidth="1"/>
    <col min="6150" max="6150" width="9.28515625" style="16" customWidth="1"/>
    <col min="6151" max="6151" width="10.42578125" style="16" bestFit="1" customWidth="1"/>
    <col min="6152" max="6152" width="10.28515625" style="16" bestFit="1" customWidth="1"/>
    <col min="6153" max="6153" width="8.7109375" style="16" customWidth="1"/>
    <col min="6154" max="6156" width="8.42578125" style="16" customWidth="1"/>
    <col min="6157" max="6157" width="7.85546875" style="16" customWidth="1"/>
    <col min="6158" max="6158" width="7.5703125" style="16" customWidth="1"/>
    <col min="6159" max="6159" width="8.4257812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8.42578125" style="16" customWidth="1"/>
    <col min="6403" max="6403" width="10.7109375" style="16" bestFit="1" customWidth="1"/>
    <col min="6404" max="6404" width="7.28515625" style="16" customWidth="1"/>
    <col min="6405" max="6405" width="8.5703125" style="16" customWidth="1"/>
    <col min="6406" max="6406" width="9.28515625" style="16" customWidth="1"/>
    <col min="6407" max="6407" width="10.42578125" style="16" bestFit="1" customWidth="1"/>
    <col min="6408" max="6408" width="10.28515625" style="16" bestFit="1" customWidth="1"/>
    <col min="6409" max="6409" width="8.7109375" style="16" customWidth="1"/>
    <col min="6410" max="6412" width="8.42578125" style="16" customWidth="1"/>
    <col min="6413" max="6413" width="7.85546875" style="16" customWidth="1"/>
    <col min="6414" max="6414" width="7.5703125" style="16" customWidth="1"/>
    <col min="6415" max="6415" width="8.4257812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8.42578125" style="16" customWidth="1"/>
    <col min="6659" max="6659" width="10.7109375" style="16" bestFit="1" customWidth="1"/>
    <col min="6660" max="6660" width="7.28515625" style="16" customWidth="1"/>
    <col min="6661" max="6661" width="8.5703125" style="16" customWidth="1"/>
    <col min="6662" max="6662" width="9.28515625" style="16" customWidth="1"/>
    <col min="6663" max="6663" width="10.42578125" style="16" bestFit="1" customWidth="1"/>
    <col min="6664" max="6664" width="10.28515625" style="16" bestFit="1" customWidth="1"/>
    <col min="6665" max="6665" width="8.7109375" style="16" customWidth="1"/>
    <col min="6666" max="6668" width="8.42578125" style="16" customWidth="1"/>
    <col min="6669" max="6669" width="7.85546875" style="16" customWidth="1"/>
    <col min="6670" max="6670" width="7.5703125" style="16" customWidth="1"/>
    <col min="6671" max="6671" width="8.4257812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8.42578125" style="16" customWidth="1"/>
    <col min="6915" max="6915" width="10.7109375" style="16" bestFit="1" customWidth="1"/>
    <col min="6916" max="6916" width="7.28515625" style="16" customWidth="1"/>
    <col min="6917" max="6917" width="8.5703125" style="16" customWidth="1"/>
    <col min="6918" max="6918" width="9.28515625" style="16" customWidth="1"/>
    <col min="6919" max="6919" width="10.42578125" style="16" bestFit="1" customWidth="1"/>
    <col min="6920" max="6920" width="10.28515625" style="16" bestFit="1" customWidth="1"/>
    <col min="6921" max="6921" width="8.7109375" style="16" customWidth="1"/>
    <col min="6922" max="6924" width="8.42578125" style="16" customWidth="1"/>
    <col min="6925" max="6925" width="7.85546875" style="16" customWidth="1"/>
    <col min="6926" max="6926" width="7.5703125" style="16" customWidth="1"/>
    <col min="6927" max="6927" width="8.4257812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8.42578125" style="16" customWidth="1"/>
    <col min="7171" max="7171" width="10.7109375" style="16" bestFit="1" customWidth="1"/>
    <col min="7172" max="7172" width="7.28515625" style="16" customWidth="1"/>
    <col min="7173" max="7173" width="8.5703125" style="16" customWidth="1"/>
    <col min="7174" max="7174" width="9.28515625" style="16" customWidth="1"/>
    <col min="7175" max="7175" width="10.42578125" style="16" bestFit="1" customWidth="1"/>
    <col min="7176" max="7176" width="10.28515625" style="16" bestFit="1" customWidth="1"/>
    <col min="7177" max="7177" width="8.7109375" style="16" customWidth="1"/>
    <col min="7178" max="7180" width="8.42578125" style="16" customWidth="1"/>
    <col min="7181" max="7181" width="7.85546875" style="16" customWidth="1"/>
    <col min="7182" max="7182" width="7.5703125" style="16" customWidth="1"/>
    <col min="7183" max="7183" width="8.4257812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8.42578125" style="16" customWidth="1"/>
    <col min="7427" max="7427" width="10.7109375" style="16" bestFit="1" customWidth="1"/>
    <col min="7428" max="7428" width="7.28515625" style="16" customWidth="1"/>
    <col min="7429" max="7429" width="8.5703125" style="16" customWidth="1"/>
    <col min="7430" max="7430" width="9.28515625" style="16" customWidth="1"/>
    <col min="7431" max="7431" width="10.42578125" style="16" bestFit="1" customWidth="1"/>
    <col min="7432" max="7432" width="10.28515625" style="16" bestFit="1" customWidth="1"/>
    <col min="7433" max="7433" width="8.7109375" style="16" customWidth="1"/>
    <col min="7434" max="7436" width="8.42578125" style="16" customWidth="1"/>
    <col min="7437" max="7437" width="7.85546875" style="16" customWidth="1"/>
    <col min="7438" max="7438" width="7.5703125" style="16" customWidth="1"/>
    <col min="7439" max="7439" width="8.4257812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8.42578125" style="16" customWidth="1"/>
    <col min="7683" max="7683" width="10.7109375" style="16" bestFit="1" customWidth="1"/>
    <col min="7684" max="7684" width="7.28515625" style="16" customWidth="1"/>
    <col min="7685" max="7685" width="8.5703125" style="16" customWidth="1"/>
    <col min="7686" max="7686" width="9.28515625" style="16" customWidth="1"/>
    <col min="7687" max="7687" width="10.42578125" style="16" bestFit="1" customWidth="1"/>
    <col min="7688" max="7688" width="10.28515625" style="16" bestFit="1" customWidth="1"/>
    <col min="7689" max="7689" width="8.7109375" style="16" customWidth="1"/>
    <col min="7690" max="7692" width="8.42578125" style="16" customWidth="1"/>
    <col min="7693" max="7693" width="7.85546875" style="16" customWidth="1"/>
    <col min="7694" max="7694" width="7.5703125" style="16" customWidth="1"/>
    <col min="7695" max="7695" width="8.4257812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8.42578125" style="16" customWidth="1"/>
    <col min="7939" max="7939" width="10.7109375" style="16" bestFit="1" customWidth="1"/>
    <col min="7940" max="7940" width="7.28515625" style="16" customWidth="1"/>
    <col min="7941" max="7941" width="8.5703125" style="16" customWidth="1"/>
    <col min="7942" max="7942" width="9.28515625" style="16" customWidth="1"/>
    <col min="7943" max="7943" width="10.42578125" style="16" bestFit="1" customWidth="1"/>
    <col min="7944" max="7944" width="10.28515625" style="16" bestFit="1" customWidth="1"/>
    <col min="7945" max="7945" width="8.7109375" style="16" customWidth="1"/>
    <col min="7946" max="7948" width="8.42578125" style="16" customWidth="1"/>
    <col min="7949" max="7949" width="7.85546875" style="16" customWidth="1"/>
    <col min="7950" max="7950" width="7.5703125" style="16" customWidth="1"/>
    <col min="7951" max="7951" width="8.4257812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8.42578125" style="16" customWidth="1"/>
    <col min="8195" max="8195" width="10.7109375" style="16" bestFit="1" customWidth="1"/>
    <col min="8196" max="8196" width="7.28515625" style="16" customWidth="1"/>
    <col min="8197" max="8197" width="8.5703125" style="16" customWidth="1"/>
    <col min="8198" max="8198" width="9.28515625" style="16" customWidth="1"/>
    <col min="8199" max="8199" width="10.42578125" style="16" bestFit="1" customWidth="1"/>
    <col min="8200" max="8200" width="10.28515625" style="16" bestFit="1" customWidth="1"/>
    <col min="8201" max="8201" width="8.7109375" style="16" customWidth="1"/>
    <col min="8202" max="8204" width="8.42578125" style="16" customWidth="1"/>
    <col min="8205" max="8205" width="7.85546875" style="16" customWidth="1"/>
    <col min="8206" max="8206" width="7.5703125" style="16" customWidth="1"/>
    <col min="8207" max="8207" width="8.4257812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8.42578125" style="16" customWidth="1"/>
    <col min="8451" max="8451" width="10.7109375" style="16" bestFit="1" customWidth="1"/>
    <col min="8452" max="8452" width="7.28515625" style="16" customWidth="1"/>
    <col min="8453" max="8453" width="8.5703125" style="16" customWidth="1"/>
    <col min="8454" max="8454" width="9.28515625" style="16" customWidth="1"/>
    <col min="8455" max="8455" width="10.42578125" style="16" bestFit="1" customWidth="1"/>
    <col min="8456" max="8456" width="10.28515625" style="16" bestFit="1" customWidth="1"/>
    <col min="8457" max="8457" width="8.7109375" style="16" customWidth="1"/>
    <col min="8458" max="8460" width="8.42578125" style="16" customWidth="1"/>
    <col min="8461" max="8461" width="7.85546875" style="16" customWidth="1"/>
    <col min="8462" max="8462" width="7.5703125" style="16" customWidth="1"/>
    <col min="8463" max="8463" width="8.4257812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8.42578125" style="16" customWidth="1"/>
    <col min="8707" max="8707" width="10.7109375" style="16" bestFit="1" customWidth="1"/>
    <col min="8708" max="8708" width="7.28515625" style="16" customWidth="1"/>
    <col min="8709" max="8709" width="8.5703125" style="16" customWidth="1"/>
    <col min="8710" max="8710" width="9.28515625" style="16" customWidth="1"/>
    <col min="8711" max="8711" width="10.42578125" style="16" bestFit="1" customWidth="1"/>
    <col min="8712" max="8712" width="10.28515625" style="16" bestFit="1" customWidth="1"/>
    <col min="8713" max="8713" width="8.7109375" style="16" customWidth="1"/>
    <col min="8714" max="8716" width="8.42578125" style="16" customWidth="1"/>
    <col min="8717" max="8717" width="7.85546875" style="16" customWidth="1"/>
    <col min="8718" max="8718" width="7.5703125" style="16" customWidth="1"/>
    <col min="8719" max="8719" width="8.4257812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8.42578125" style="16" customWidth="1"/>
    <col min="8963" max="8963" width="10.7109375" style="16" bestFit="1" customWidth="1"/>
    <col min="8964" max="8964" width="7.28515625" style="16" customWidth="1"/>
    <col min="8965" max="8965" width="8.5703125" style="16" customWidth="1"/>
    <col min="8966" max="8966" width="9.28515625" style="16" customWidth="1"/>
    <col min="8967" max="8967" width="10.42578125" style="16" bestFit="1" customWidth="1"/>
    <col min="8968" max="8968" width="10.28515625" style="16" bestFit="1" customWidth="1"/>
    <col min="8969" max="8969" width="8.7109375" style="16" customWidth="1"/>
    <col min="8970" max="8972" width="8.42578125" style="16" customWidth="1"/>
    <col min="8973" max="8973" width="7.85546875" style="16" customWidth="1"/>
    <col min="8974" max="8974" width="7.5703125" style="16" customWidth="1"/>
    <col min="8975" max="8975" width="8.4257812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8.42578125" style="16" customWidth="1"/>
    <col min="9219" max="9219" width="10.7109375" style="16" bestFit="1" customWidth="1"/>
    <col min="9220" max="9220" width="7.28515625" style="16" customWidth="1"/>
    <col min="9221" max="9221" width="8.5703125" style="16" customWidth="1"/>
    <col min="9222" max="9222" width="9.28515625" style="16" customWidth="1"/>
    <col min="9223" max="9223" width="10.42578125" style="16" bestFit="1" customWidth="1"/>
    <col min="9224" max="9224" width="10.28515625" style="16" bestFit="1" customWidth="1"/>
    <col min="9225" max="9225" width="8.7109375" style="16" customWidth="1"/>
    <col min="9226" max="9228" width="8.42578125" style="16" customWidth="1"/>
    <col min="9229" max="9229" width="7.85546875" style="16" customWidth="1"/>
    <col min="9230" max="9230" width="7.5703125" style="16" customWidth="1"/>
    <col min="9231" max="9231" width="8.4257812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8.42578125" style="16" customWidth="1"/>
    <col min="9475" max="9475" width="10.7109375" style="16" bestFit="1" customWidth="1"/>
    <col min="9476" max="9476" width="7.28515625" style="16" customWidth="1"/>
    <col min="9477" max="9477" width="8.5703125" style="16" customWidth="1"/>
    <col min="9478" max="9478" width="9.28515625" style="16" customWidth="1"/>
    <col min="9479" max="9479" width="10.42578125" style="16" bestFit="1" customWidth="1"/>
    <col min="9480" max="9480" width="10.28515625" style="16" bestFit="1" customWidth="1"/>
    <col min="9481" max="9481" width="8.7109375" style="16" customWidth="1"/>
    <col min="9482" max="9484" width="8.42578125" style="16" customWidth="1"/>
    <col min="9485" max="9485" width="7.85546875" style="16" customWidth="1"/>
    <col min="9486" max="9486" width="7.5703125" style="16" customWidth="1"/>
    <col min="9487" max="9487" width="8.4257812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8.42578125" style="16" customWidth="1"/>
    <col min="9731" max="9731" width="10.7109375" style="16" bestFit="1" customWidth="1"/>
    <col min="9732" max="9732" width="7.28515625" style="16" customWidth="1"/>
    <col min="9733" max="9733" width="8.5703125" style="16" customWidth="1"/>
    <col min="9734" max="9734" width="9.28515625" style="16" customWidth="1"/>
    <col min="9735" max="9735" width="10.42578125" style="16" bestFit="1" customWidth="1"/>
    <col min="9736" max="9736" width="10.28515625" style="16" bestFit="1" customWidth="1"/>
    <col min="9737" max="9737" width="8.7109375" style="16" customWidth="1"/>
    <col min="9738" max="9740" width="8.42578125" style="16" customWidth="1"/>
    <col min="9741" max="9741" width="7.85546875" style="16" customWidth="1"/>
    <col min="9742" max="9742" width="7.5703125" style="16" customWidth="1"/>
    <col min="9743" max="9743" width="8.4257812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8.42578125" style="16" customWidth="1"/>
    <col min="9987" max="9987" width="10.7109375" style="16" bestFit="1" customWidth="1"/>
    <col min="9988" max="9988" width="7.28515625" style="16" customWidth="1"/>
    <col min="9989" max="9989" width="8.5703125" style="16" customWidth="1"/>
    <col min="9990" max="9990" width="9.28515625" style="16" customWidth="1"/>
    <col min="9991" max="9991" width="10.42578125" style="16" bestFit="1" customWidth="1"/>
    <col min="9992" max="9992" width="10.28515625" style="16" bestFit="1" customWidth="1"/>
    <col min="9993" max="9993" width="8.7109375" style="16" customWidth="1"/>
    <col min="9994" max="9996" width="8.42578125" style="16" customWidth="1"/>
    <col min="9997" max="9997" width="7.85546875" style="16" customWidth="1"/>
    <col min="9998" max="9998" width="7.5703125" style="16" customWidth="1"/>
    <col min="9999" max="9999" width="8.4257812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8.42578125" style="16" customWidth="1"/>
    <col min="10243" max="10243" width="10.7109375" style="16" bestFit="1" customWidth="1"/>
    <col min="10244" max="10244" width="7.28515625" style="16" customWidth="1"/>
    <col min="10245" max="10245" width="8.5703125" style="16" customWidth="1"/>
    <col min="10246" max="10246" width="9.28515625" style="16" customWidth="1"/>
    <col min="10247" max="10247" width="10.42578125" style="16" bestFit="1" customWidth="1"/>
    <col min="10248" max="10248" width="10.28515625" style="16" bestFit="1" customWidth="1"/>
    <col min="10249" max="10249" width="8.7109375" style="16" customWidth="1"/>
    <col min="10250" max="10252" width="8.42578125" style="16" customWidth="1"/>
    <col min="10253" max="10253" width="7.85546875" style="16" customWidth="1"/>
    <col min="10254" max="10254" width="7.5703125" style="16" customWidth="1"/>
    <col min="10255" max="10255" width="8.4257812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8.42578125" style="16" customWidth="1"/>
    <col min="10499" max="10499" width="10.7109375" style="16" bestFit="1" customWidth="1"/>
    <col min="10500" max="10500" width="7.28515625" style="16" customWidth="1"/>
    <col min="10501" max="10501" width="8.5703125" style="16" customWidth="1"/>
    <col min="10502" max="10502" width="9.28515625" style="16" customWidth="1"/>
    <col min="10503" max="10503" width="10.42578125" style="16" bestFit="1" customWidth="1"/>
    <col min="10504" max="10504" width="10.28515625" style="16" bestFit="1" customWidth="1"/>
    <col min="10505" max="10505" width="8.7109375" style="16" customWidth="1"/>
    <col min="10506" max="10508" width="8.42578125" style="16" customWidth="1"/>
    <col min="10509" max="10509" width="7.85546875" style="16" customWidth="1"/>
    <col min="10510" max="10510" width="7.5703125" style="16" customWidth="1"/>
    <col min="10511" max="10511" width="8.4257812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8.42578125" style="16" customWidth="1"/>
    <col min="10755" max="10755" width="10.7109375" style="16" bestFit="1" customWidth="1"/>
    <col min="10756" max="10756" width="7.28515625" style="16" customWidth="1"/>
    <col min="10757" max="10757" width="8.5703125" style="16" customWidth="1"/>
    <col min="10758" max="10758" width="9.28515625" style="16" customWidth="1"/>
    <col min="10759" max="10759" width="10.42578125" style="16" bestFit="1" customWidth="1"/>
    <col min="10760" max="10760" width="10.28515625" style="16" bestFit="1" customWidth="1"/>
    <col min="10761" max="10761" width="8.7109375" style="16" customWidth="1"/>
    <col min="10762" max="10764" width="8.42578125" style="16" customWidth="1"/>
    <col min="10765" max="10765" width="7.85546875" style="16" customWidth="1"/>
    <col min="10766" max="10766" width="7.5703125" style="16" customWidth="1"/>
    <col min="10767" max="10767" width="8.4257812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8.42578125" style="16" customWidth="1"/>
    <col min="11011" max="11011" width="10.7109375" style="16" bestFit="1" customWidth="1"/>
    <col min="11012" max="11012" width="7.28515625" style="16" customWidth="1"/>
    <col min="11013" max="11013" width="8.5703125" style="16" customWidth="1"/>
    <col min="11014" max="11014" width="9.28515625" style="16" customWidth="1"/>
    <col min="11015" max="11015" width="10.42578125" style="16" bestFit="1" customWidth="1"/>
    <col min="11016" max="11016" width="10.28515625" style="16" bestFit="1" customWidth="1"/>
    <col min="11017" max="11017" width="8.7109375" style="16" customWidth="1"/>
    <col min="11018" max="11020" width="8.42578125" style="16" customWidth="1"/>
    <col min="11021" max="11021" width="7.85546875" style="16" customWidth="1"/>
    <col min="11022" max="11022" width="7.5703125" style="16" customWidth="1"/>
    <col min="11023" max="11023" width="8.4257812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8.42578125" style="16" customWidth="1"/>
    <col min="11267" max="11267" width="10.7109375" style="16" bestFit="1" customWidth="1"/>
    <col min="11268" max="11268" width="7.28515625" style="16" customWidth="1"/>
    <col min="11269" max="11269" width="8.5703125" style="16" customWidth="1"/>
    <col min="11270" max="11270" width="9.28515625" style="16" customWidth="1"/>
    <col min="11271" max="11271" width="10.42578125" style="16" bestFit="1" customWidth="1"/>
    <col min="11272" max="11272" width="10.28515625" style="16" bestFit="1" customWidth="1"/>
    <col min="11273" max="11273" width="8.7109375" style="16" customWidth="1"/>
    <col min="11274" max="11276" width="8.42578125" style="16" customWidth="1"/>
    <col min="11277" max="11277" width="7.85546875" style="16" customWidth="1"/>
    <col min="11278" max="11278" width="7.5703125" style="16" customWidth="1"/>
    <col min="11279" max="11279" width="8.4257812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8.42578125" style="16" customWidth="1"/>
    <col min="11523" max="11523" width="10.7109375" style="16" bestFit="1" customWidth="1"/>
    <col min="11524" max="11524" width="7.28515625" style="16" customWidth="1"/>
    <col min="11525" max="11525" width="8.5703125" style="16" customWidth="1"/>
    <col min="11526" max="11526" width="9.28515625" style="16" customWidth="1"/>
    <col min="11527" max="11527" width="10.42578125" style="16" bestFit="1" customWidth="1"/>
    <col min="11528" max="11528" width="10.28515625" style="16" bestFit="1" customWidth="1"/>
    <col min="11529" max="11529" width="8.7109375" style="16" customWidth="1"/>
    <col min="11530" max="11532" width="8.42578125" style="16" customWidth="1"/>
    <col min="11533" max="11533" width="7.85546875" style="16" customWidth="1"/>
    <col min="11534" max="11534" width="7.5703125" style="16" customWidth="1"/>
    <col min="11535" max="11535" width="8.4257812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8.42578125" style="16" customWidth="1"/>
    <col min="11779" max="11779" width="10.7109375" style="16" bestFit="1" customWidth="1"/>
    <col min="11780" max="11780" width="7.28515625" style="16" customWidth="1"/>
    <col min="11781" max="11781" width="8.5703125" style="16" customWidth="1"/>
    <col min="11782" max="11782" width="9.28515625" style="16" customWidth="1"/>
    <col min="11783" max="11783" width="10.42578125" style="16" bestFit="1" customWidth="1"/>
    <col min="11784" max="11784" width="10.28515625" style="16" bestFit="1" customWidth="1"/>
    <col min="11785" max="11785" width="8.7109375" style="16" customWidth="1"/>
    <col min="11786" max="11788" width="8.42578125" style="16" customWidth="1"/>
    <col min="11789" max="11789" width="7.85546875" style="16" customWidth="1"/>
    <col min="11790" max="11790" width="7.5703125" style="16" customWidth="1"/>
    <col min="11791" max="11791" width="8.4257812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8.42578125" style="16" customWidth="1"/>
    <col min="12035" max="12035" width="10.7109375" style="16" bestFit="1" customWidth="1"/>
    <col min="12036" max="12036" width="7.28515625" style="16" customWidth="1"/>
    <col min="12037" max="12037" width="8.5703125" style="16" customWidth="1"/>
    <col min="12038" max="12038" width="9.28515625" style="16" customWidth="1"/>
    <col min="12039" max="12039" width="10.42578125" style="16" bestFit="1" customWidth="1"/>
    <col min="12040" max="12040" width="10.28515625" style="16" bestFit="1" customWidth="1"/>
    <col min="12041" max="12041" width="8.7109375" style="16" customWidth="1"/>
    <col min="12042" max="12044" width="8.42578125" style="16" customWidth="1"/>
    <col min="12045" max="12045" width="7.85546875" style="16" customWidth="1"/>
    <col min="12046" max="12046" width="7.5703125" style="16" customWidth="1"/>
    <col min="12047" max="12047" width="8.4257812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8.42578125" style="16" customWidth="1"/>
    <col min="12291" max="12291" width="10.7109375" style="16" bestFit="1" customWidth="1"/>
    <col min="12292" max="12292" width="7.28515625" style="16" customWidth="1"/>
    <col min="12293" max="12293" width="8.5703125" style="16" customWidth="1"/>
    <col min="12294" max="12294" width="9.28515625" style="16" customWidth="1"/>
    <col min="12295" max="12295" width="10.42578125" style="16" bestFit="1" customWidth="1"/>
    <col min="12296" max="12296" width="10.28515625" style="16" bestFit="1" customWidth="1"/>
    <col min="12297" max="12297" width="8.7109375" style="16" customWidth="1"/>
    <col min="12298" max="12300" width="8.42578125" style="16" customWidth="1"/>
    <col min="12301" max="12301" width="7.85546875" style="16" customWidth="1"/>
    <col min="12302" max="12302" width="7.5703125" style="16" customWidth="1"/>
    <col min="12303" max="12303" width="8.4257812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8.42578125" style="16" customWidth="1"/>
    <col min="12547" max="12547" width="10.7109375" style="16" bestFit="1" customWidth="1"/>
    <col min="12548" max="12548" width="7.28515625" style="16" customWidth="1"/>
    <col min="12549" max="12549" width="8.5703125" style="16" customWidth="1"/>
    <col min="12550" max="12550" width="9.28515625" style="16" customWidth="1"/>
    <col min="12551" max="12551" width="10.42578125" style="16" bestFit="1" customWidth="1"/>
    <col min="12552" max="12552" width="10.28515625" style="16" bestFit="1" customWidth="1"/>
    <col min="12553" max="12553" width="8.7109375" style="16" customWidth="1"/>
    <col min="12554" max="12556" width="8.42578125" style="16" customWidth="1"/>
    <col min="12557" max="12557" width="7.85546875" style="16" customWidth="1"/>
    <col min="12558" max="12558" width="7.5703125" style="16" customWidth="1"/>
    <col min="12559" max="12559" width="8.4257812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8.42578125" style="16" customWidth="1"/>
    <col min="12803" max="12803" width="10.7109375" style="16" bestFit="1" customWidth="1"/>
    <col min="12804" max="12804" width="7.28515625" style="16" customWidth="1"/>
    <col min="12805" max="12805" width="8.5703125" style="16" customWidth="1"/>
    <col min="12806" max="12806" width="9.28515625" style="16" customWidth="1"/>
    <col min="12807" max="12807" width="10.42578125" style="16" bestFit="1" customWidth="1"/>
    <col min="12808" max="12808" width="10.28515625" style="16" bestFit="1" customWidth="1"/>
    <col min="12809" max="12809" width="8.7109375" style="16" customWidth="1"/>
    <col min="12810" max="12812" width="8.42578125" style="16" customWidth="1"/>
    <col min="12813" max="12813" width="7.85546875" style="16" customWidth="1"/>
    <col min="12814" max="12814" width="7.5703125" style="16" customWidth="1"/>
    <col min="12815" max="12815" width="8.4257812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8.42578125" style="16" customWidth="1"/>
    <col min="13059" max="13059" width="10.7109375" style="16" bestFit="1" customWidth="1"/>
    <col min="13060" max="13060" width="7.28515625" style="16" customWidth="1"/>
    <col min="13061" max="13061" width="8.5703125" style="16" customWidth="1"/>
    <col min="13062" max="13062" width="9.28515625" style="16" customWidth="1"/>
    <col min="13063" max="13063" width="10.42578125" style="16" bestFit="1" customWidth="1"/>
    <col min="13064" max="13064" width="10.28515625" style="16" bestFit="1" customWidth="1"/>
    <col min="13065" max="13065" width="8.7109375" style="16" customWidth="1"/>
    <col min="13066" max="13068" width="8.42578125" style="16" customWidth="1"/>
    <col min="13069" max="13069" width="7.85546875" style="16" customWidth="1"/>
    <col min="13070" max="13070" width="7.5703125" style="16" customWidth="1"/>
    <col min="13071" max="13071" width="8.4257812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8.42578125" style="16" customWidth="1"/>
    <col min="13315" max="13315" width="10.7109375" style="16" bestFit="1" customWidth="1"/>
    <col min="13316" max="13316" width="7.28515625" style="16" customWidth="1"/>
    <col min="13317" max="13317" width="8.5703125" style="16" customWidth="1"/>
    <col min="13318" max="13318" width="9.28515625" style="16" customWidth="1"/>
    <col min="13319" max="13319" width="10.42578125" style="16" bestFit="1" customWidth="1"/>
    <col min="13320" max="13320" width="10.28515625" style="16" bestFit="1" customWidth="1"/>
    <col min="13321" max="13321" width="8.7109375" style="16" customWidth="1"/>
    <col min="13322" max="13324" width="8.42578125" style="16" customWidth="1"/>
    <col min="13325" max="13325" width="7.85546875" style="16" customWidth="1"/>
    <col min="13326" max="13326" width="7.5703125" style="16" customWidth="1"/>
    <col min="13327" max="13327" width="8.4257812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8.42578125" style="16" customWidth="1"/>
    <col min="13571" max="13571" width="10.7109375" style="16" bestFit="1" customWidth="1"/>
    <col min="13572" max="13572" width="7.28515625" style="16" customWidth="1"/>
    <col min="13573" max="13573" width="8.5703125" style="16" customWidth="1"/>
    <col min="13574" max="13574" width="9.28515625" style="16" customWidth="1"/>
    <col min="13575" max="13575" width="10.42578125" style="16" bestFit="1" customWidth="1"/>
    <col min="13576" max="13576" width="10.28515625" style="16" bestFit="1" customWidth="1"/>
    <col min="13577" max="13577" width="8.7109375" style="16" customWidth="1"/>
    <col min="13578" max="13580" width="8.42578125" style="16" customWidth="1"/>
    <col min="13581" max="13581" width="7.85546875" style="16" customWidth="1"/>
    <col min="13582" max="13582" width="7.5703125" style="16" customWidth="1"/>
    <col min="13583" max="13583" width="8.4257812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8.42578125" style="16" customWidth="1"/>
    <col min="13827" max="13827" width="10.7109375" style="16" bestFit="1" customWidth="1"/>
    <col min="13828" max="13828" width="7.28515625" style="16" customWidth="1"/>
    <col min="13829" max="13829" width="8.5703125" style="16" customWidth="1"/>
    <col min="13830" max="13830" width="9.28515625" style="16" customWidth="1"/>
    <col min="13831" max="13831" width="10.42578125" style="16" bestFit="1" customWidth="1"/>
    <col min="13832" max="13832" width="10.28515625" style="16" bestFit="1" customWidth="1"/>
    <col min="13833" max="13833" width="8.7109375" style="16" customWidth="1"/>
    <col min="13834" max="13836" width="8.42578125" style="16" customWidth="1"/>
    <col min="13837" max="13837" width="7.85546875" style="16" customWidth="1"/>
    <col min="13838" max="13838" width="7.5703125" style="16" customWidth="1"/>
    <col min="13839" max="13839" width="8.4257812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8.42578125" style="16" customWidth="1"/>
    <col min="14083" max="14083" width="10.7109375" style="16" bestFit="1" customWidth="1"/>
    <col min="14084" max="14084" width="7.28515625" style="16" customWidth="1"/>
    <col min="14085" max="14085" width="8.5703125" style="16" customWidth="1"/>
    <col min="14086" max="14086" width="9.28515625" style="16" customWidth="1"/>
    <col min="14087" max="14087" width="10.42578125" style="16" bestFit="1" customWidth="1"/>
    <col min="14088" max="14088" width="10.28515625" style="16" bestFit="1" customWidth="1"/>
    <col min="14089" max="14089" width="8.7109375" style="16" customWidth="1"/>
    <col min="14090" max="14092" width="8.42578125" style="16" customWidth="1"/>
    <col min="14093" max="14093" width="7.85546875" style="16" customWidth="1"/>
    <col min="14094" max="14094" width="7.5703125" style="16" customWidth="1"/>
    <col min="14095" max="14095" width="8.4257812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8.42578125" style="16" customWidth="1"/>
    <col min="14339" max="14339" width="10.7109375" style="16" bestFit="1" customWidth="1"/>
    <col min="14340" max="14340" width="7.28515625" style="16" customWidth="1"/>
    <col min="14341" max="14341" width="8.5703125" style="16" customWidth="1"/>
    <col min="14342" max="14342" width="9.28515625" style="16" customWidth="1"/>
    <col min="14343" max="14343" width="10.42578125" style="16" bestFit="1" customWidth="1"/>
    <col min="14344" max="14344" width="10.28515625" style="16" bestFit="1" customWidth="1"/>
    <col min="14345" max="14345" width="8.7109375" style="16" customWidth="1"/>
    <col min="14346" max="14348" width="8.42578125" style="16" customWidth="1"/>
    <col min="14349" max="14349" width="7.85546875" style="16" customWidth="1"/>
    <col min="14350" max="14350" width="7.5703125" style="16" customWidth="1"/>
    <col min="14351" max="14351" width="8.4257812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8.42578125" style="16" customWidth="1"/>
    <col min="14595" max="14595" width="10.7109375" style="16" bestFit="1" customWidth="1"/>
    <col min="14596" max="14596" width="7.28515625" style="16" customWidth="1"/>
    <col min="14597" max="14597" width="8.5703125" style="16" customWidth="1"/>
    <col min="14598" max="14598" width="9.28515625" style="16" customWidth="1"/>
    <col min="14599" max="14599" width="10.42578125" style="16" bestFit="1" customWidth="1"/>
    <col min="14600" max="14600" width="10.28515625" style="16" bestFit="1" customWidth="1"/>
    <col min="14601" max="14601" width="8.7109375" style="16" customWidth="1"/>
    <col min="14602" max="14604" width="8.42578125" style="16" customWidth="1"/>
    <col min="14605" max="14605" width="7.85546875" style="16" customWidth="1"/>
    <col min="14606" max="14606" width="7.5703125" style="16" customWidth="1"/>
    <col min="14607" max="14607" width="8.4257812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8.42578125" style="16" customWidth="1"/>
    <col min="14851" max="14851" width="10.7109375" style="16" bestFit="1" customWidth="1"/>
    <col min="14852" max="14852" width="7.28515625" style="16" customWidth="1"/>
    <col min="14853" max="14853" width="8.5703125" style="16" customWidth="1"/>
    <col min="14854" max="14854" width="9.28515625" style="16" customWidth="1"/>
    <col min="14855" max="14855" width="10.42578125" style="16" bestFit="1" customWidth="1"/>
    <col min="14856" max="14856" width="10.28515625" style="16" bestFit="1" customWidth="1"/>
    <col min="14857" max="14857" width="8.7109375" style="16" customWidth="1"/>
    <col min="14858" max="14860" width="8.42578125" style="16" customWidth="1"/>
    <col min="14861" max="14861" width="7.85546875" style="16" customWidth="1"/>
    <col min="14862" max="14862" width="7.5703125" style="16" customWidth="1"/>
    <col min="14863" max="14863" width="8.4257812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8.42578125" style="16" customWidth="1"/>
    <col min="15107" max="15107" width="10.7109375" style="16" bestFit="1" customWidth="1"/>
    <col min="15108" max="15108" width="7.28515625" style="16" customWidth="1"/>
    <col min="15109" max="15109" width="8.5703125" style="16" customWidth="1"/>
    <col min="15110" max="15110" width="9.28515625" style="16" customWidth="1"/>
    <col min="15111" max="15111" width="10.42578125" style="16" bestFit="1" customWidth="1"/>
    <col min="15112" max="15112" width="10.28515625" style="16" bestFit="1" customWidth="1"/>
    <col min="15113" max="15113" width="8.7109375" style="16" customWidth="1"/>
    <col min="15114" max="15116" width="8.42578125" style="16" customWidth="1"/>
    <col min="15117" max="15117" width="7.85546875" style="16" customWidth="1"/>
    <col min="15118" max="15118" width="7.5703125" style="16" customWidth="1"/>
    <col min="15119" max="15119" width="8.4257812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8.42578125" style="16" customWidth="1"/>
    <col min="15363" max="15363" width="10.7109375" style="16" bestFit="1" customWidth="1"/>
    <col min="15364" max="15364" width="7.28515625" style="16" customWidth="1"/>
    <col min="15365" max="15365" width="8.5703125" style="16" customWidth="1"/>
    <col min="15366" max="15366" width="9.28515625" style="16" customWidth="1"/>
    <col min="15367" max="15367" width="10.42578125" style="16" bestFit="1" customWidth="1"/>
    <col min="15368" max="15368" width="10.28515625" style="16" bestFit="1" customWidth="1"/>
    <col min="15369" max="15369" width="8.7109375" style="16" customWidth="1"/>
    <col min="15370" max="15372" width="8.42578125" style="16" customWidth="1"/>
    <col min="15373" max="15373" width="7.85546875" style="16" customWidth="1"/>
    <col min="15374" max="15374" width="7.5703125" style="16" customWidth="1"/>
    <col min="15375" max="15375" width="8.4257812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8.42578125" style="16" customWidth="1"/>
    <col min="15619" max="15619" width="10.7109375" style="16" bestFit="1" customWidth="1"/>
    <col min="15620" max="15620" width="7.28515625" style="16" customWidth="1"/>
    <col min="15621" max="15621" width="8.5703125" style="16" customWidth="1"/>
    <col min="15622" max="15622" width="9.28515625" style="16" customWidth="1"/>
    <col min="15623" max="15623" width="10.42578125" style="16" bestFit="1" customWidth="1"/>
    <col min="15624" max="15624" width="10.28515625" style="16" bestFit="1" customWidth="1"/>
    <col min="15625" max="15625" width="8.7109375" style="16" customWidth="1"/>
    <col min="15626" max="15628" width="8.42578125" style="16" customWidth="1"/>
    <col min="15629" max="15629" width="7.85546875" style="16" customWidth="1"/>
    <col min="15630" max="15630" width="7.5703125" style="16" customWidth="1"/>
    <col min="15631" max="15631" width="8.4257812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8.42578125" style="16" customWidth="1"/>
    <col min="15875" max="15875" width="10.7109375" style="16" bestFit="1" customWidth="1"/>
    <col min="15876" max="15876" width="7.28515625" style="16" customWidth="1"/>
    <col min="15877" max="15877" width="8.5703125" style="16" customWidth="1"/>
    <col min="15878" max="15878" width="9.28515625" style="16" customWidth="1"/>
    <col min="15879" max="15879" width="10.42578125" style="16" bestFit="1" customWidth="1"/>
    <col min="15880" max="15880" width="10.28515625" style="16" bestFit="1" customWidth="1"/>
    <col min="15881" max="15881" width="8.7109375" style="16" customWidth="1"/>
    <col min="15882" max="15884" width="8.42578125" style="16" customWidth="1"/>
    <col min="15885" max="15885" width="7.85546875" style="16" customWidth="1"/>
    <col min="15886" max="15886" width="7.5703125" style="16" customWidth="1"/>
    <col min="15887" max="15887" width="8.4257812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8.42578125" style="16" customWidth="1"/>
    <col min="16131" max="16131" width="10.7109375" style="16" bestFit="1" customWidth="1"/>
    <col min="16132" max="16132" width="7.28515625" style="16" customWidth="1"/>
    <col min="16133" max="16133" width="8.5703125" style="16" customWidth="1"/>
    <col min="16134" max="16134" width="9.28515625" style="16" customWidth="1"/>
    <col min="16135" max="16135" width="10.42578125" style="16" bestFit="1" customWidth="1"/>
    <col min="16136" max="16136" width="10.28515625" style="16" bestFit="1" customWidth="1"/>
    <col min="16137" max="16137" width="8.7109375" style="16" customWidth="1"/>
    <col min="16138" max="16140" width="8.42578125" style="16" customWidth="1"/>
    <col min="16141" max="16141" width="7.85546875" style="16" customWidth="1"/>
    <col min="16142" max="16142" width="7.5703125" style="16" customWidth="1"/>
    <col min="16143" max="16143" width="8.4257812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67" t="s">
        <v>100</v>
      </c>
      <c r="B1" s="868"/>
      <c r="C1" s="868"/>
      <c r="D1" s="911" t="s">
        <v>480</v>
      </c>
      <c r="E1" s="868"/>
      <c r="F1" s="868"/>
      <c r="G1" s="867" t="s">
        <v>102</v>
      </c>
      <c r="H1" s="869"/>
      <c r="I1" s="869" t="s">
        <v>485</v>
      </c>
      <c r="J1" s="868"/>
      <c r="K1" s="868"/>
      <c r="L1" s="870"/>
      <c r="M1" s="870"/>
      <c r="N1" s="870"/>
      <c r="O1" s="870"/>
    </row>
    <row r="2" spans="1:15" s="1" customFormat="1" x14ac:dyDescent="0.2">
      <c r="A2" s="867" t="s">
        <v>103</v>
      </c>
      <c r="B2" s="868"/>
      <c r="C2" s="868"/>
      <c r="D2" s="869"/>
      <c r="E2" s="868"/>
      <c r="F2" s="868"/>
      <c r="G2" s="867" t="s">
        <v>104</v>
      </c>
      <c r="H2" s="869"/>
      <c r="I2" s="869" t="s">
        <v>105</v>
      </c>
      <c r="J2" s="868"/>
      <c r="K2" s="868"/>
      <c r="L2" s="870"/>
      <c r="M2" s="870"/>
      <c r="N2" s="870"/>
      <c r="O2" s="870"/>
    </row>
    <row r="3" spans="1:15" s="1" customFormat="1" x14ac:dyDescent="0.2">
      <c r="A3" s="867" t="s">
        <v>106</v>
      </c>
      <c r="B3" s="868"/>
      <c r="C3" s="868"/>
      <c r="D3" s="883">
        <v>21251</v>
      </c>
      <c r="E3" s="868"/>
      <c r="F3" s="868"/>
      <c r="G3" s="867" t="s">
        <v>107</v>
      </c>
      <c r="H3" s="869"/>
      <c r="I3" s="869" t="s">
        <v>108</v>
      </c>
      <c r="J3" s="868"/>
      <c r="K3" s="868"/>
      <c r="L3" s="870"/>
      <c r="M3" s="870"/>
      <c r="N3" s="870"/>
      <c r="O3" s="870"/>
    </row>
    <row r="4" spans="1:15" s="1" customFormat="1" x14ac:dyDescent="0.2">
      <c r="A4" s="867" t="s">
        <v>109</v>
      </c>
      <c r="B4" s="868"/>
      <c r="C4" s="868"/>
      <c r="D4" s="869"/>
      <c r="E4" s="868"/>
      <c r="F4" s="868"/>
      <c r="G4" s="867" t="s">
        <v>110</v>
      </c>
      <c r="H4" s="869"/>
      <c r="I4" s="869" t="s">
        <v>486</v>
      </c>
      <c r="J4" s="868"/>
      <c r="K4" s="868"/>
      <c r="L4" s="870"/>
      <c r="M4" s="870"/>
      <c r="N4" s="870"/>
      <c r="O4" s="870"/>
    </row>
    <row r="5" spans="1:15" s="1" customFormat="1" x14ac:dyDescent="0.2">
      <c r="A5" s="867" t="s">
        <v>443</v>
      </c>
      <c r="B5" s="868"/>
      <c r="C5" s="868"/>
      <c r="D5" s="869" t="s">
        <v>482</v>
      </c>
      <c r="E5" s="868"/>
      <c r="F5" s="868"/>
      <c r="G5" s="867"/>
      <c r="H5" s="868"/>
      <c r="I5" s="869" t="s">
        <v>113</v>
      </c>
      <c r="J5" s="868"/>
      <c r="K5" s="868"/>
      <c r="L5" s="870"/>
      <c r="M5" s="870"/>
      <c r="N5" s="870"/>
      <c r="O5" s="870"/>
    </row>
    <row r="6" spans="1:15" s="1" customFormat="1" x14ac:dyDescent="0.2">
      <c r="A6" s="871" t="s">
        <v>114</v>
      </c>
      <c r="B6" s="872"/>
      <c r="C6" s="872"/>
      <c r="D6" s="868" t="s">
        <v>24</v>
      </c>
      <c r="E6" s="868"/>
      <c r="F6" s="868"/>
      <c r="G6" s="871" t="s">
        <v>115</v>
      </c>
      <c r="H6" s="871"/>
      <c r="I6" s="2" t="s">
        <v>116</v>
      </c>
      <c r="J6" s="888"/>
      <c r="K6" s="888"/>
      <c r="L6" s="888"/>
      <c r="M6" s="888"/>
      <c r="N6" s="888"/>
      <c r="O6" s="889"/>
    </row>
    <row r="7" spans="1:15" s="1" customFormat="1" ht="13.5" thickBot="1" x14ac:dyDescent="0.25">
      <c r="A7" s="3"/>
      <c r="B7" s="4"/>
      <c r="C7" s="5"/>
      <c r="D7" s="6"/>
      <c r="E7" s="6"/>
      <c r="F7" s="6"/>
      <c r="G7" s="6"/>
      <c r="H7" s="6"/>
      <c r="I7" s="6"/>
      <c r="J7" s="7"/>
      <c r="K7" s="8"/>
      <c r="L7" s="875" t="s">
        <v>223</v>
      </c>
      <c r="M7" s="875"/>
      <c r="N7" s="875"/>
      <c r="O7" s="875"/>
    </row>
    <row r="8" spans="1:15" s="11" customFormat="1" x14ac:dyDescent="0.2">
      <c r="A8" s="876" t="str">
        <f>I1</f>
        <v xml:space="preserve">Mr. Aravind. S. Kamble </v>
      </c>
      <c r="B8" s="877"/>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112100</v>
      </c>
      <c r="D9" s="14">
        <v>112100</v>
      </c>
      <c r="E9" s="14">
        <v>112100</v>
      </c>
      <c r="F9" s="14">
        <v>112100</v>
      </c>
      <c r="G9" s="14">
        <v>119000</v>
      </c>
      <c r="H9" s="14">
        <v>0</v>
      </c>
      <c r="I9" s="14">
        <v>0</v>
      </c>
      <c r="J9" s="14">
        <v>0</v>
      </c>
      <c r="K9" s="14">
        <v>0</v>
      </c>
      <c r="L9" s="14">
        <v>0</v>
      </c>
      <c r="M9" s="14">
        <v>0</v>
      </c>
      <c r="N9" s="14">
        <v>0</v>
      </c>
      <c r="O9" s="15">
        <f>SUM(C9:N9)</f>
        <v>567400</v>
      </c>
    </row>
    <row r="10" spans="1:15" ht="15" x14ac:dyDescent="0.2">
      <c r="A10" s="12"/>
      <c r="B10" s="13" t="s">
        <v>119</v>
      </c>
      <c r="C10" s="17">
        <v>0</v>
      </c>
      <c r="D10" s="17">
        <f t="shared" ref="D10:N35" si="0">+C10</f>
        <v>0</v>
      </c>
      <c r="E10" s="17">
        <f t="shared" si="0"/>
        <v>0</v>
      </c>
      <c r="F10" s="17">
        <f t="shared" si="0"/>
        <v>0</v>
      </c>
      <c r="G10" s="17">
        <f t="shared" si="0"/>
        <v>0</v>
      </c>
      <c r="H10" s="17">
        <v>0</v>
      </c>
      <c r="I10" s="17">
        <f t="shared" si="0"/>
        <v>0</v>
      </c>
      <c r="J10" s="17">
        <f t="shared" si="0"/>
        <v>0</v>
      </c>
      <c r="K10" s="17">
        <f t="shared" si="0"/>
        <v>0</v>
      </c>
      <c r="L10" s="17">
        <f t="shared" si="0"/>
        <v>0</v>
      </c>
      <c r="M10" s="17">
        <f t="shared" si="0"/>
        <v>0</v>
      </c>
      <c r="N10" s="17">
        <f t="shared" si="0"/>
        <v>0</v>
      </c>
      <c r="O10" s="18">
        <f>SUM(C10:N10)</f>
        <v>0</v>
      </c>
    </row>
    <row r="11" spans="1:15" ht="15" x14ac:dyDescent="0.2">
      <c r="A11" s="12"/>
      <c r="B11" s="13" t="s">
        <v>120</v>
      </c>
      <c r="C11" s="17">
        <v>5605</v>
      </c>
      <c r="D11" s="17">
        <v>7847</v>
      </c>
      <c r="E11" s="17">
        <f t="shared" si="0"/>
        <v>7847</v>
      </c>
      <c r="F11" s="17">
        <f t="shared" si="0"/>
        <v>7847</v>
      </c>
      <c r="G11" s="17">
        <v>8330</v>
      </c>
      <c r="H11" s="17">
        <v>0</v>
      </c>
      <c r="I11" s="17">
        <f t="shared" si="0"/>
        <v>0</v>
      </c>
      <c r="J11" s="17">
        <f t="shared" si="0"/>
        <v>0</v>
      </c>
      <c r="K11" s="17">
        <f t="shared" si="0"/>
        <v>0</v>
      </c>
      <c r="L11" s="17">
        <f t="shared" si="0"/>
        <v>0</v>
      </c>
      <c r="M11" s="17">
        <f t="shared" si="0"/>
        <v>0</v>
      </c>
      <c r="N11" s="17">
        <f t="shared" si="0"/>
        <v>0</v>
      </c>
      <c r="O11" s="18">
        <f>SUM(C11:N11)</f>
        <v>37476</v>
      </c>
    </row>
    <row r="12" spans="1:15" ht="15" x14ac:dyDescent="0.2">
      <c r="A12" s="12"/>
      <c r="B12" s="13" t="s">
        <v>121</v>
      </c>
      <c r="C12" s="17">
        <v>0</v>
      </c>
      <c r="D12" s="17">
        <f t="shared" si="0"/>
        <v>0</v>
      </c>
      <c r="E12" s="17">
        <f t="shared" si="0"/>
        <v>0</v>
      </c>
      <c r="F12" s="17">
        <f t="shared" si="0"/>
        <v>0</v>
      </c>
      <c r="G12" s="17">
        <f>+F12</f>
        <v>0</v>
      </c>
      <c r="H12" s="17">
        <v>0</v>
      </c>
      <c r="I12" s="17">
        <f t="shared" si="0"/>
        <v>0</v>
      </c>
      <c r="J12" s="17">
        <f t="shared" si="0"/>
        <v>0</v>
      </c>
      <c r="K12" s="17">
        <f t="shared" si="0"/>
        <v>0</v>
      </c>
      <c r="L12" s="17">
        <f t="shared" si="0"/>
        <v>0</v>
      </c>
      <c r="M12" s="17">
        <f t="shared" si="0"/>
        <v>0</v>
      </c>
      <c r="N12" s="17">
        <f t="shared" si="0"/>
        <v>0</v>
      </c>
      <c r="O12" s="18">
        <f>SUM(C12:N12)</f>
        <v>0</v>
      </c>
    </row>
    <row r="13" spans="1:15" ht="30" hidden="1" x14ac:dyDescent="0.2">
      <c r="A13" s="12"/>
      <c r="B13" s="13" t="s">
        <v>141</v>
      </c>
      <c r="C13" s="17">
        <v>0</v>
      </c>
      <c r="D13" s="17">
        <f t="shared" si="0"/>
        <v>0</v>
      </c>
      <c r="E13" s="17">
        <f t="shared" si="0"/>
        <v>0</v>
      </c>
      <c r="F13" s="17">
        <f t="shared" si="0"/>
        <v>0</v>
      </c>
      <c r="G13" s="17">
        <f>+F13</f>
        <v>0</v>
      </c>
      <c r="H13" s="17">
        <v>0</v>
      </c>
      <c r="I13" s="17">
        <f t="shared" si="0"/>
        <v>0</v>
      </c>
      <c r="J13" s="17">
        <f t="shared" si="0"/>
        <v>0</v>
      </c>
      <c r="K13" s="17">
        <f t="shared" si="0"/>
        <v>0</v>
      </c>
      <c r="L13" s="17">
        <f t="shared" si="0"/>
        <v>0</v>
      </c>
      <c r="M13" s="17">
        <f t="shared" si="0"/>
        <v>0</v>
      </c>
      <c r="N13" s="17">
        <f t="shared" si="0"/>
        <v>0</v>
      </c>
      <c r="O13" s="18">
        <f t="shared" ref="O13:O37" si="1">SUM(C13:N13)</f>
        <v>0</v>
      </c>
    </row>
    <row r="14" spans="1:15" ht="15" customHeight="1" x14ac:dyDescent="0.2">
      <c r="A14" s="12"/>
      <c r="B14" s="13" t="s">
        <v>123</v>
      </c>
      <c r="C14" s="17">
        <v>7560</v>
      </c>
      <c r="D14" s="17">
        <v>7704</v>
      </c>
      <c r="E14" s="17">
        <f t="shared" si="0"/>
        <v>7704</v>
      </c>
      <c r="F14" s="17">
        <f t="shared" si="0"/>
        <v>7704</v>
      </c>
      <c r="G14" s="17">
        <f>+F14</f>
        <v>7704</v>
      </c>
      <c r="H14" s="17">
        <v>0</v>
      </c>
      <c r="I14" s="17">
        <f t="shared" si="0"/>
        <v>0</v>
      </c>
      <c r="J14" s="17">
        <f t="shared" si="0"/>
        <v>0</v>
      </c>
      <c r="K14" s="17">
        <f t="shared" si="0"/>
        <v>0</v>
      </c>
      <c r="L14" s="17">
        <f t="shared" si="0"/>
        <v>0</v>
      </c>
      <c r="M14" s="17">
        <f t="shared" si="0"/>
        <v>0</v>
      </c>
      <c r="N14" s="17">
        <f t="shared" si="0"/>
        <v>0</v>
      </c>
      <c r="O14" s="18">
        <f t="shared" si="1"/>
        <v>38376</v>
      </c>
    </row>
    <row r="15" spans="1:15" ht="15" customHeight="1" x14ac:dyDescent="0.2">
      <c r="A15" s="12"/>
      <c r="B15" s="13" t="s">
        <v>124</v>
      </c>
      <c r="C15" s="17">
        <v>0</v>
      </c>
      <c r="D15" s="17">
        <f t="shared" si="0"/>
        <v>0</v>
      </c>
      <c r="E15" s="17">
        <f t="shared" si="0"/>
        <v>0</v>
      </c>
      <c r="F15" s="17">
        <f t="shared" si="0"/>
        <v>0</v>
      </c>
      <c r="G15" s="17">
        <f t="shared" si="0"/>
        <v>0</v>
      </c>
      <c r="H15" s="17">
        <v>0</v>
      </c>
      <c r="I15" s="17">
        <f t="shared" si="0"/>
        <v>0</v>
      </c>
      <c r="J15" s="17">
        <f t="shared" si="0"/>
        <v>0</v>
      </c>
      <c r="K15" s="17">
        <f t="shared" si="0"/>
        <v>0</v>
      </c>
      <c r="L15" s="17">
        <f t="shared" si="0"/>
        <v>0</v>
      </c>
      <c r="M15" s="17">
        <f t="shared" si="0"/>
        <v>0</v>
      </c>
      <c r="N15" s="17">
        <f t="shared" si="0"/>
        <v>0</v>
      </c>
      <c r="O15" s="18">
        <f t="shared" si="1"/>
        <v>0</v>
      </c>
    </row>
    <row r="16" spans="1:15" ht="15.75" customHeight="1" x14ac:dyDescent="0.2">
      <c r="A16" s="12"/>
      <c r="B16" s="13" t="s">
        <v>141</v>
      </c>
      <c r="C16" s="17">
        <v>0</v>
      </c>
      <c r="D16" s="17">
        <f t="shared" si="0"/>
        <v>0</v>
      </c>
      <c r="E16" s="17">
        <f t="shared" si="0"/>
        <v>0</v>
      </c>
      <c r="F16" s="17">
        <f t="shared" si="0"/>
        <v>0</v>
      </c>
      <c r="G16" s="17">
        <f t="shared" si="0"/>
        <v>0</v>
      </c>
      <c r="H16" s="17">
        <v>0</v>
      </c>
      <c r="I16" s="17">
        <f t="shared" si="0"/>
        <v>0</v>
      </c>
      <c r="J16" s="17">
        <f t="shared" si="0"/>
        <v>0</v>
      </c>
      <c r="K16" s="17">
        <f t="shared" si="0"/>
        <v>0</v>
      </c>
      <c r="L16" s="17">
        <f t="shared" si="0"/>
        <v>0</v>
      </c>
      <c r="M16" s="17">
        <f t="shared" si="0"/>
        <v>0</v>
      </c>
      <c r="N16" s="17">
        <f t="shared" si="0"/>
        <v>0</v>
      </c>
      <c r="O16" s="18">
        <f t="shared" si="1"/>
        <v>0</v>
      </c>
    </row>
    <row r="17" spans="1:15" ht="14.25" customHeight="1" x14ac:dyDescent="0.2">
      <c r="A17" s="12"/>
      <c r="B17" s="13" t="s">
        <v>126</v>
      </c>
      <c r="C17" s="17">
        <v>0</v>
      </c>
      <c r="D17" s="17">
        <f t="shared" si="0"/>
        <v>0</v>
      </c>
      <c r="E17" s="17">
        <f t="shared" si="0"/>
        <v>0</v>
      </c>
      <c r="F17" s="17">
        <f t="shared" si="0"/>
        <v>0</v>
      </c>
      <c r="G17" s="17">
        <f t="shared" si="0"/>
        <v>0</v>
      </c>
      <c r="H17" s="17">
        <v>0</v>
      </c>
      <c r="I17" s="17">
        <f t="shared" si="0"/>
        <v>0</v>
      </c>
      <c r="J17" s="17">
        <f t="shared" si="0"/>
        <v>0</v>
      </c>
      <c r="K17" s="17">
        <f t="shared" si="0"/>
        <v>0</v>
      </c>
      <c r="L17" s="17">
        <f t="shared" si="0"/>
        <v>0</v>
      </c>
      <c r="M17" s="17">
        <f t="shared" si="0"/>
        <v>0</v>
      </c>
      <c r="N17" s="17">
        <f t="shared" si="0"/>
        <v>0</v>
      </c>
      <c r="O17" s="18">
        <f t="shared" si="1"/>
        <v>0</v>
      </c>
    </row>
    <row r="18" spans="1:15" ht="15" x14ac:dyDescent="0.2">
      <c r="A18" s="12"/>
      <c r="B18" s="13" t="s">
        <v>127</v>
      </c>
      <c r="C18" s="17">
        <v>0</v>
      </c>
      <c r="D18" s="17">
        <f t="shared" si="0"/>
        <v>0</v>
      </c>
      <c r="E18" s="17">
        <f t="shared" si="0"/>
        <v>0</v>
      </c>
      <c r="F18" s="17">
        <f t="shared" si="0"/>
        <v>0</v>
      </c>
      <c r="G18" s="17">
        <f t="shared" si="0"/>
        <v>0</v>
      </c>
      <c r="H18" s="17">
        <v>0</v>
      </c>
      <c r="I18" s="17">
        <f t="shared" si="0"/>
        <v>0</v>
      </c>
      <c r="J18" s="17">
        <f t="shared" si="0"/>
        <v>0</v>
      </c>
      <c r="K18" s="17">
        <f t="shared" si="0"/>
        <v>0</v>
      </c>
      <c r="L18" s="17">
        <f t="shared" si="0"/>
        <v>0</v>
      </c>
      <c r="M18" s="17">
        <f t="shared" si="0"/>
        <v>0</v>
      </c>
      <c r="N18" s="17">
        <f t="shared" si="0"/>
        <v>0</v>
      </c>
      <c r="O18" s="18">
        <f t="shared" si="1"/>
        <v>0</v>
      </c>
    </row>
    <row r="19" spans="1:15" ht="15" x14ac:dyDescent="0.2">
      <c r="A19" s="12"/>
      <c r="B19" s="13" t="s">
        <v>128</v>
      </c>
      <c r="C19" s="17">
        <v>0</v>
      </c>
      <c r="D19" s="17">
        <f t="shared" si="0"/>
        <v>0</v>
      </c>
      <c r="E19" s="17">
        <f t="shared" si="0"/>
        <v>0</v>
      </c>
      <c r="F19" s="17">
        <f t="shared" si="0"/>
        <v>0</v>
      </c>
      <c r="G19" s="17">
        <f t="shared" si="0"/>
        <v>0</v>
      </c>
      <c r="H19" s="17">
        <v>0</v>
      </c>
      <c r="I19" s="17">
        <f t="shared" si="0"/>
        <v>0</v>
      </c>
      <c r="J19" s="17">
        <f t="shared" si="0"/>
        <v>0</v>
      </c>
      <c r="K19" s="17">
        <f t="shared" si="0"/>
        <v>0</v>
      </c>
      <c r="L19" s="17">
        <f t="shared" si="0"/>
        <v>0</v>
      </c>
      <c r="M19" s="17">
        <f t="shared" si="0"/>
        <v>0</v>
      </c>
      <c r="N19" s="17">
        <f t="shared" si="0"/>
        <v>0</v>
      </c>
      <c r="O19" s="18">
        <f t="shared" si="1"/>
        <v>0</v>
      </c>
    </row>
    <row r="20" spans="1:15" x14ac:dyDescent="0.2">
      <c r="A20" s="12"/>
      <c r="B20" s="166" t="s">
        <v>280</v>
      </c>
      <c r="C20" s="17">
        <v>0</v>
      </c>
      <c r="D20" s="17">
        <f t="shared" si="0"/>
        <v>0</v>
      </c>
      <c r="E20" s="17">
        <f t="shared" si="0"/>
        <v>0</v>
      </c>
      <c r="F20" s="17">
        <f t="shared" si="0"/>
        <v>0</v>
      </c>
      <c r="G20" s="17">
        <v>9342</v>
      </c>
      <c r="H20" s="17">
        <v>0</v>
      </c>
      <c r="I20" s="17">
        <f t="shared" si="0"/>
        <v>0</v>
      </c>
      <c r="J20" s="17">
        <f t="shared" si="0"/>
        <v>0</v>
      </c>
      <c r="K20" s="17">
        <f t="shared" si="0"/>
        <v>0</v>
      </c>
      <c r="L20" s="17">
        <f t="shared" si="0"/>
        <v>0</v>
      </c>
      <c r="M20" s="17">
        <f t="shared" si="0"/>
        <v>0</v>
      </c>
      <c r="N20" s="17">
        <f t="shared" si="0"/>
        <v>0</v>
      </c>
      <c r="O20" s="18">
        <f>SUM(C20:N20)</f>
        <v>9342</v>
      </c>
    </row>
    <row r="21" spans="1:15" ht="15" customHeight="1" x14ac:dyDescent="0.2">
      <c r="A21" s="12"/>
      <c r="B21" s="13" t="s">
        <v>129</v>
      </c>
      <c r="C21" s="17">
        <v>0</v>
      </c>
      <c r="D21" s="17">
        <f t="shared" si="0"/>
        <v>0</v>
      </c>
      <c r="E21" s="17">
        <f t="shared" si="0"/>
        <v>0</v>
      </c>
      <c r="F21" s="17">
        <f t="shared" si="0"/>
        <v>0</v>
      </c>
      <c r="G21" s="17">
        <f t="shared" si="0"/>
        <v>0</v>
      </c>
      <c r="H21" s="17">
        <v>0</v>
      </c>
      <c r="I21" s="17">
        <f t="shared" si="0"/>
        <v>0</v>
      </c>
      <c r="J21" s="17">
        <f t="shared" si="0"/>
        <v>0</v>
      </c>
      <c r="K21" s="17">
        <f t="shared" si="0"/>
        <v>0</v>
      </c>
      <c r="L21" s="17">
        <f t="shared" si="0"/>
        <v>0</v>
      </c>
      <c r="M21" s="17">
        <f t="shared" si="0"/>
        <v>0</v>
      </c>
      <c r="N21" s="17">
        <f t="shared" si="0"/>
        <v>0</v>
      </c>
      <c r="O21" s="18">
        <f t="shared" si="1"/>
        <v>0</v>
      </c>
    </row>
    <row r="22" spans="1:15" ht="15" hidden="1" customHeight="1" x14ac:dyDescent="0.2">
      <c r="A22" s="878" t="s">
        <v>130</v>
      </c>
      <c r="B22" s="19" t="s">
        <v>131</v>
      </c>
      <c r="C22" s="17">
        <v>0</v>
      </c>
      <c r="D22" s="17">
        <f t="shared" si="0"/>
        <v>0</v>
      </c>
      <c r="E22" s="17">
        <f t="shared" si="0"/>
        <v>0</v>
      </c>
      <c r="F22" s="17">
        <f t="shared" si="0"/>
        <v>0</v>
      </c>
      <c r="G22" s="17">
        <f t="shared" si="0"/>
        <v>0</v>
      </c>
      <c r="H22" s="17">
        <v>0</v>
      </c>
      <c r="I22" s="17">
        <f t="shared" si="0"/>
        <v>0</v>
      </c>
      <c r="J22" s="17">
        <f t="shared" si="0"/>
        <v>0</v>
      </c>
      <c r="K22" s="17">
        <f t="shared" si="0"/>
        <v>0</v>
      </c>
      <c r="L22" s="17">
        <f t="shared" si="0"/>
        <v>0</v>
      </c>
      <c r="M22" s="17">
        <f t="shared" si="0"/>
        <v>0</v>
      </c>
      <c r="N22" s="17">
        <f t="shared" si="0"/>
        <v>0</v>
      </c>
      <c r="O22" s="18">
        <f t="shared" si="1"/>
        <v>0</v>
      </c>
    </row>
    <row r="23" spans="1:15" ht="15" customHeight="1" x14ac:dyDescent="0.2">
      <c r="A23" s="879"/>
      <c r="B23" s="19" t="s">
        <v>132</v>
      </c>
      <c r="C23" s="17">
        <v>0</v>
      </c>
      <c r="D23" s="17">
        <f t="shared" si="0"/>
        <v>0</v>
      </c>
      <c r="E23" s="17">
        <f t="shared" si="0"/>
        <v>0</v>
      </c>
      <c r="F23" s="17">
        <f t="shared" si="0"/>
        <v>0</v>
      </c>
      <c r="G23" s="17">
        <f t="shared" si="0"/>
        <v>0</v>
      </c>
      <c r="H23" s="17">
        <v>0</v>
      </c>
      <c r="I23" s="17">
        <f t="shared" si="0"/>
        <v>0</v>
      </c>
      <c r="J23" s="17">
        <f t="shared" si="0"/>
        <v>0</v>
      </c>
      <c r="K23" s="17">
        <f t="shared" si="0"/>
        <v>0</v>
      </c>
      <c r="L23" s="17">
        <f t="shared" si="0"/>
        <v>0</v>
      </c>
      <c r="M23" s="17">
        <f t="shared" si="0"/>
        <v>0</v>
      </c>
      <c r="N23" s="17">
        <f t="shared" si="0"/>
        <v>0</v>
      </c>
      <c r="O23" s="18">
        <f t="shared" si="1"/>
        <v>0</v>
      </c>
    </row>
    <row r="24" spans="1:15" ht="15" hidden="1" customHeight="1" x14ac:dyDescent="0.2">
      <c r="A24" s="879"/>
      <c r="B24" s="19" t="s">
        <v>133</v>
      </c>
      <c r="C24" s="17">
        <v>0</v>
      </c>
      <c r="D24" s="17">
        <f t="shared" si="0"/>
        <v>0</v>
      </c>
      <c r="E24" s="17">
        <f t="shared" si="0"/>
        <v>0</v>
      </c>
      <c r="F24" s="17">
        <f t="shared" si="0"/>
        <v>0</v>
      </c>
      <c r="G24" s="17">
        <f t="shared" si="0"/>
        <v>0</v>
      </c>
      <c r="H24" s="17">
        <v>0</v>
      </c>
      <c r="I24" s="17">
        <f t="shared" si="0"/>
        <v>0</v>
      </c>
      <c r="J24" s="17">
        <f t="shared" si="0"/>
        <v>0</v>
      </c>
      <c r="K24" s="17">
        <f t="shared" si="0"/>
        <v>0</v>
      </c>
      <c r="L24" s="17">
        <f t="shared" si="0"/>
        <v>0</v>
      </c>
      <c r="M24" s="17">
        <f t="shared" si="0"/>
        <v>0</v>
      </c>
      <c r="N24" s="17">
        <f t="shared" si="0"/>
        <v>0</v>
      </c>
      <c r="O24" s="18">
        <f t="shared" si="1"/>
        <v>0</v>
      </c>
    </row>
    <row r="25" spans="1:15" ht="15" hidden="1" customHeight="1" x14ac:dyDescent="0.2">
      <c r="A25" s="879"/>
      <c r="B25" s="19" t="s">
        <v>134</v>
      </c>
      <c r="C25" s="17">
        <v>0</v>
      </c>
      <c r="D25" s="17">
        <f t="shared" si="0"/>
        <v>0</v>
      </c>
      <c r="E25" s="17">
        <f t="shared" si="0"/>
        <v>0</v>
      </c>
      <c r="F25" s="17">
        <f t="shared" si="0"/>
        <v>0</v>
      </c>
      <c r="G25" s="17">
        <f t="shared" si="0"/>
        <v>0</v>
      </c>
      <c r="H25" s="17">
        <v>0</v>
      </c>
      <c r="I25" s="17">
        <f t="shared" si="0"/>
        <v>0</v>
      </c>
      <c r="J25" s="17">
        <f t="shared" si="0"/>
        <v>0</v>
      </c>
      <c r="K25" s="17">
        <f t="shared" si="0"/>
        <v>0</v>
      </c>
      <c r="L25" s="17">
        <f t="shared" si="0"/>
        <v>0</v>
      </c>
      <c r="M25" s="17">
        <f t="shared" si="0"/>
        <v>0</v>
      </c>
      <c r="N25" s="17">
        <f t="shared" si="0"/>
        <v>0</v>
      </c>
      <c r="O25" s="18">
        <f t="shared" si="1"/>
        <v>0</v>
      </c>
    </row>
    <row r="26" spans="1:15" ht="15" hidden="1" customHeight="1" x14ac:dyDescent="0.2">
      <c r="A26" s="879"/>
      <c r="B26" s="19" t="s">
        <v>135</v>
      </c>
      <c r="C26" s="17">
        <v>0</v>
      </c>
      <c r="D26" s="17">
        <f t="shared" si="0"/>
        <v>0</v>
      </c>
      <c r="E26" s="17">
        <f t="shared" si="0"/>
        <v>0</v>
      </c>
      <c r="F26" s="17">
        <f t="shared" si="0"/>
        <v>0</v>
      </c>
      <c r="G26" s="17">
        <f t="shared" si="0"/>
        <v>0</v>
      </c>
      <c r="H26" s="17">
        <v>0</v>
      </c>
      <c r="I26" s="17">
        <f t="shared" si="0"/>
        <v>0</v>
      </c>
      <c r="J26" s="17">
        <f t="shared" si="0"/>
        <v>0</v>
      </c>
      <c r="K26" s="17">
        <f t="shared" si="0"/>
        <v>0</v>
      </c>
      <c r="L26" s="17">
        <f t="shared" si="0"/>
        <v>0</v>
      </c>
      <c r="M26" s="17">
        <f t="shared" si="0"/>
        <v>0</v>
      </c>
      <c r="N26" s="17">
        <f t="shared" si="0"/>
        <v>0</v>
      </c>
      <c r="O26" s="18">
        <f t="shared" si="1"/>
        <v>0</v>
      </c>
    </row>
    <row r="27" spans="1:15" ht="15" hidden="1" customHeight="1" x14ac:dyDescent="0.2">
      <c r="A27" s="879"/>
      <c r="B27" s="19" t="s">
        <v>136</v>
      </c>
      <c r="C27" s="17">
        <v>0</v>
      </c>
      <c r="D27" s="17">
        <f t="shared" si="0"/>
        <v>0</v>
      </c>
      <c r="E27" s="17">
        <f t="shared" si="0"/>
        <v>0</v>
      </c>
      <c r="F27" s="17">
        <f t="shared" si="0"/>
        <v>0</v>
      </c>
      <c r="G27" s="17">
        <f t="shared" si="0"/>
        <v>0</v>
      </c>
      <c r="H27" s="17">
        <v>0</v>
      </c>
      <c r="I27" s="17">
        <f t="shared" si="0"/>
        <v>0</v>
      </c>
      <c r="J27" s="17">
        <f t="shared" si="0"/>
        <v>0</v>
      </c>
      <c r="K27" s="17">
        <f t="shared" si="0"/>
        <v>0</v>
      </c>
      <c r="L27" s="17">
        <f t="shared" si="0"/>
        <v>0</v>
      </c>
      <c r="M27" s="17">
        <f t="shared" si="0"/>
        <v>0</v>
      </c>
      <c r="N27" s="17">
        <f t="shared" si="0"/>
        <v>0</v>
      </c>
      <c r="O27" s="18">
        <f t="shared" si="1"/>
        <v>0</v>
      </c>
    </row>
    <row r="28" spans="1:15" ht="15" hidden="1" customHeight="1" x14ac:dyDescent="0.2">
      <c r="A28" s="879"/>
      <c r="B28" s="19" t="s">
        <v>137</v>
      </c>
      <c r="C28" s="17">
        <v>0</v>
      </c>
      <c r="D28" s="17">
        <f t="shared" si="0"/>
        <v>0</v>
      </c>
      <c r="E28" s="17">
        <f t="shared" si="0"/>
        <v>0</v>
      </c>
      <c r="F28" s="17">
        <f t="shared" si="0"/>
        <v>0</v>
      </c>
      <c r="G28" s="17">
        <f t="shared" si="0"/>
        <v>0</v>
      </c>
      <c r="H28" s="17">
        <v>0</v>
      </c>
      <c r="I28" s="17">
        <f t="shared" si="0"/>
        <v>0</v>
      </c>
      <c r="J28" s="17">
        <f t="shared" si="0"/>
        <v>0</v>
      </c>
      <c r="K28" s="17">
        <f t="shared" si="0"/>
        <v>0</v>
      </c>
      <c r="L28" s="17">
        <f t="shared" si="0"/>
        <v>0</v>
      </c>
      <c r="M28" s="17">
        <f t="shared" si="0"/>
        <v>0</v>
      </c>
      <c r="N28" s="17">
        <f t="shared" si="0"/>
        <v>0</v>
      </c>
      <c r="O28" s="18">
        <f t="shared" si="1"/>
        <v>0</v>
      </c>
    </row>
    <row r="29" spans="1:15" ht="15" hidden="1" customHeight="1" x14ac:dyDescent="0.2">
      <c r="A29" s="879"/>
      <c r="B29" s="19" t="s">
        <v>138</v>
      </c>
      <c r="C29" s="17">
        <v>0</v>
      </c>
      <c r="D29" s="17">
        <f t="shared" si="0"/>
        <v>0</v>
      </c>
      <c r="E29" s="17">
        <f t="shared" si="0"/>
        <v>0</v>
      </c>
      <c r="F29" s="17">
        <f t="shared" si="0"/>
        <v>0</v>
      </c>
      <c r="G29" s="17">
        <f t="shared" si="0"/>
        <v>0</v>
      </c>
      <c r="H29" s="17">
        <v>0</v>
      </c>
      <c r="I29" s="17">
        <f t="shared" si="0"/>
        <v>0</v>
      </c>
      <c r="J29" s="17">
        <f t="shared" si="0"/>
        <v>0</v>
      </c>
      <c r="K29" s="17">
        <f t="shared" si="0"/>
        <v>0</v>
      </c>
      <c r="L29" s="17">
        <f t="shared" si="0"/>
        <v>0</v>
      </c>
      <c r="M29" s="17">
        <f t="shared" si="0"/>
        <v>0</v>
      </c>
      <c r="N29" s="17">
        <f t="shared" si="0"/>
        <v>0</v>
      </c>
      <c r="O29" s="18">
        <f t="shared" si="1"/>
        <v>0</v>
      </c>
    </row>
    <row r="30" spans="1:15" ht="15" hidden="1" customHeight="1" x14ac:dyDescent="0.2">
      <c r="A30" s="879"/>
      <c r="B30" s="19" t="s">
        <v>139</v>
      </c>
      <c r="C30" s="17">
        <v>0</v>
      </c>
      <c r="D30" s="17">
        <f t="shared" si="0"/>
        <v>0</v>
      </c>
      <c r="E30" s="17">
        <f t="shared" si="0"/>
        <v>0</v>
      </c>
      <c r="F30" s="17">
        <f t="shared" si="0"/>
        <v>0</v>
      </c>
      <c r="G30" s="17">
        <f t="shared" si="0"/>
        <v>0</v>
      </c>
      <c r="H30" s="17">
        <v>0</v>
      </c>
      <c r="I30" s="17">
        <f t="shared" si="0"/>
        <v>0</v>
      </c>
      <c r="J30" s="17">
        <f t="shared" si="0"/>
        <v>0</v>
      </c>
      <c r="K30" s="17">
        <f t="shared" si="0"/>
        <v>0</v>
      </c>
      <c r="L30" s="17">
        <f t="shared" si="0"/>
        <v>0</v>
      </c>
      <c r="M30" s="17">
        <f t="shared" si="0"/>
        <v>0</v>
      </c>
      <c r="N30" s="17">
        <f t="shared" si="0"/>
        <v>0</v>
      </c>
      <c r="O30" s="18">
        <f t="shared" si="1"/>
        <v>0</v>
      </c>
    </row>
    <row r="31" spans="1:15" ht="15" hidden="1" customHeight="1" x14ac:dyDescent="0.2">
      <c r="A31" s="879"/>
      <c r="B31" s="19" t="s">
        <v>140</v>
      </c>
      <c r="C31" s="17">
        <v>0</v>
      </c>
      <c r="D31" s="17">
        <f t="shared" si="0"/>
        <v>0</v>
      </c>
      <c r="E31" s="17">
        <f t="shared" si="0"/>
        <v>0</v>
      </c>
      <c r="F31" s="17">
        <f t="shared" si="0"/>
        <v>0</v>
      </c>
      <c r="G31" s="17">
        <f t="shared" si="0"/>
        <v>0</v>
      </c>
      <c r="H31" s="17">
        <v>0</v>
      </c>
      <c r="I31" s="17">
        <f t="shared" si="0"/>
        <v>0</v>
      </c>
      <c r="J31" s="17">
        <f t="shared" si="0"/>
        <v>0</v>
      </c>
      <c r="K31" s="17">
        <f t="shared" si="0"/>
        <v>0</v>
      </c>
      <c r="L31" s="17">
        <f t="shared" si="0"/>
        <v>0</v>
      </c>
      <c r="M31" s="17">
        <f t="shared" si="0"/>
        <v>0</v>
      </c>
      <c r="N31" s="17">
        <f t="shared" si="0"/>
        <v>0</v>
      </c>
      <c r="O31" s="18">
        <f t="shared" si="1"/>
        <v>0</v>
      </c>
    </row>
    <row r="32" spans="1:15" ht="15" hidden="1" customHeight="1" x14ac:dyDescent="0.2">
      <c r="A32" s="879"/>
      <c r="B32" s="19" t="s">
        <v>225</v>
      </c>
      <c r="C32" s="17">
        <v>0</v>
      </c>
      <c r="D32" s="17">
        <f t="shared" si="0"/>
        <v>0</v>
      </c>
      <c r="E32" s="17">
        <f t="shared" si="0"/>
        <v>0</v>
      </c>
      <c r="F32" s="17">
        <f t="shared" si="0"/>
        <v>0</v>
      </c>
      <c r="G32" s="17">
        <f t="shared" si="0"/>
        <v>0</v>
      </c>
      <c r="H32" s="17">
        <v>0</v>
      </c>
      <c r="I32" s="17">
        <f t="shared" si="0"/>
        <v>0</v>
      </c>
      <c r="J32" s="17">
        <f t="shared" si="0"/>
        <v>0</v>
      </c>
      <c r="K32" s="17">
        <f t="shared" si="0"/>
        <v>0</v>
      </c>
      <c r="L32" s="17">
        <f t="shared" si="0"/>
        <v>0</v>
      </c>
      <c r="M32" s="17">
        <f t="shared" si="0"/>
        <v>0</v>
      </c>
      <c r="N32" s="17">
        <f t="shared" si="0"/>
        <v>0</v>
      </c>
      <c r="O32" s="18">
        <f t="shared" si="1"/>
        <v>0</v>
      </c>
    </row>
    <row r="33" spans="1:16" ht="15" customHeight="1" x14ac:dyDescent="0.2">
      <c r="A33" s="879"/>
      <c r="B33" s="21" t="s">
        <v>142</v>
      </c>
      <c r="C33" s="17">
        <v>0</v>
      </c>
      <c r="D33" s="17">
        <f t="shared" si="0"/>
        <v>0</v>
      </c>
      <c r="E33" s="17">
        <f t="shared" si="0"/>
        <v>0</v>
      </c>
      <c r="F33" s="17">
        <f t="shared" si="0"/>
        <v>0</v>
      </c>
      <c r="G33" s="17">
        <f t="shared" si="0"/>
        <v>0</v>
      </c>
      <c r="H33" s="17">
        <v>0</v>
      </c>
      <c r="I33" s="17">
        <f t="shared" si="0"/>
        <v>0</v>
      </c>
      <c r="J33" s="17">
        <f t="shared" si="0"/>
        <v>0</v>
      </c>
      <c r="K33" s="17">
        <f t="shared" si="0"/>
        <v>0</v>
      </c>
      <c r="L33" s="17">
        <f t="shared" si="0"/>
        <v>0</v>
      </c>
      <c r="M33" s="17">
        <f t="shared" si="0"/>
        <v>0</v>
      </c>
      <c r="N33" s="17">
        <f t="shared" si="0"/>
        <v>0</v>
      </c>
      <c r="O33" s="18">
        <f t="shared" si="1"/>
        <v>0</v>
      </c>
    </row>
    <row r="34" spans="1:16" ht="15" hidden="1" customHeight="1" x14ac:dyDescent="0.2">
      <c r="A34" s="880"/>
      <c r="B34" s="19" t="s">
        <v>226</v>
      </c>
      <c r="C34" s="17">
        <v>0</v>
      </c>
      <c r="D34" s="17">
        <f t="shared" si="0"/>
        <v>0</v>
      </c>
      <c r="E34" s="17">
        <f t="shared" si="0"/>
        <v>0</v>
      </c>
      <c r="F34" s="17">
        <f t="shared" si="0"/>
        <v>0</v>
      </c>
      <c r="G34" s="17">
        <f t="shared" si="0"/>
        <v>0</v>
      </c>
      <c r="H34" s="17">
        <v>0</v>
      </c>
      <c r="I34" s="17">
        <f t="shared" si="0"/>
        <v>0</v>
      </c>
      <c r="J34" s="17">
        <f t="shared" si="0"/>
        <v>0</v>
      </c>
      <c r="K34" s="17">
        <f t="shared" si="0"/>
        <v>0</v>
      </c>
      <c r="L34" s="17">
        <f t="shared" si="0"/>
        <v>0</v>
      </c>
      <c r="M34" s="17">
        <f t="shared" si="0"/>
        <v>0</v>
      </c>
      <c r="N34" s="17">
        <f t="shared" si="0"/>
        <v>0</v>
      </c>
      <c r="O34" s="18">
        <f t="shared" si="1"/>
        <v>0</v>
      </c>
    </row>
    <row r="35" spans="1:16" ht="15" customHeight="1" x14ac:dyDescent="0.2">
      <c r="A35" s="865" t="s">
        <v>144</v>
      </c>
      <c r="B35" s="866"/>
      <c r="C35" s="17">
        <v>0</v>
      </c>
      <c r="D35" s="17">
        <f t="shared" si="0"/>
        <v>0</v>
      </c>
      <c r="E35" s="17">
        <v>0</v>
      </c>
      <c r="F35" s="17">
        <v>0</v>
      </c>
      <c r="G35" s="17">
        <v>0</v>
      </c>
      <c r="H35" s="17">
        <v>0</v>
      </c>
      <c r="I35" s="17">
        <v>0</v>
      </c>
      <c r="J35" s="17">
        <v>0</v>
      </c>
      <c r="K35" s="17">
        <v>0</v>
      </c>
      <c r="L35" s="17">
        <v>0</v>
      </c>
      <c r="M35" s="17">
        <v>0</v>
      </c>
      <c r="N35" s="17">
        <v>0</v>
      </c>
      <c r="O35" s="18">
        <f t="shared" si="1"/>
        <v>0</v>
      </c>
    </row>
    <row r="36" spans="1:16" ht="15" customHeight="1" x14ac:dyDescent="0.2">
      <c r="A36" s="865" t="s">
        <v>145</v>
      </c>
      <c r="B36" s="866"/>
      <c r="C36" s="17">
        <v>0</v>
      </c>
      <c r="D36" s="17">
        <v>432</v>
      </c>
      <c r="E36" s="17">
        <v>0</v>
      </c>
      <c r="F36" s="17">
        <v>0</v>
      </c>
      <c r="G36" s="17">
        <v>144</v>
      </c>
      <c r="H36" s="17">
        <v>0</v>
      </c>
      <c r="I36" s="17">
        <v>0</v>
      </c>
      <c r="J36" s="17">
        <v>0</v>
      </c>
      <c r="K36" s="17">
        <v>0</v>
      </c>
      <c r="L36" s="17">
        <v>0</v>
      </c>
      <c r="M36" s="17">
        <v>0</v>
      </c>
      <c r="N36" s="17">
        <v>0</v>
      </c>
      <c r="O36" s="18">
        <f t="shared" si="1"/>
        <v>576</v>
      </c>
    </row>
    <row r="37" spans="1:16" ht="15" customHeight="1" x14ac:dyDescent="0.2">
      <c r="A37" s="865" t="s">
        <v>146</v>
      </c>
      <c r="B37" s="866"/>
      <c r="C37" s="17">
        <v>0</v>
      </c>
      <c r="D37" s="17">
        <v>6726</v>
      </c>
      <c r="E37" s="17">
        <v>0</v>
      </c>
      <c r="F37" s="17">
        <v>0</v>
      </c>
      <c r="G37" s="17">
        <v>2380</v>
      </c>
      <c r="H37" s="17">
        <v>0</v>
      </c>
      <c r="I37" s="17">
        <v>0</v>
      </c>
      <c r="J37" s="17">
        <v>0</v>
      </c>
      <c r="K37" s="17">
        <v>0</v>
      </c>
      <c r="L37" s="17">
        <v>0</v>
      </c>
      <c r="M37" s="17">
        <v>0</v>
      </c>
      <c r="N37" s="17">
        <v>0</v>
      </c>
      <c r="O37" s="18">
        <f t="shared" si="1"/>
        <v>9106</v>
      </c>
    </row>
    <row r="38" spans="1:16" ht="15" customHeight="1" x14ac:dyDescent="0.2">
      <c r="A38" s="22"/>
      <c r="B38" s="23" t="s">
        <v>147</v>
      </c>
      <c r="C38" s="24">
        <f t="shared" ref="C38:N38" si="2">SUM(C9:C37)</f>
        <v>125265</v>
      </c>
      <c r="D38" s="24">
        <f t="shared" si="2"/>
        <v>134809</v>
      </c>
      <c r="E38" s="24">
        <f t="shared" si="2"/>
        <v>127651</v>
      </c>
      <c r="F38" s="24">
        <f t="shared" si="2"/>
        <v>127651</v>
      </c>
      <c r="G38" s="24">
        <f t="shared" si="2"/>
        <v>146900</v>
      </c>
      <c r="H38" s="24">
        <f t="shared" si="2"/>
        <v>0</v>
      </c>
      <c r="I38" s="24">
        <f t="shared" si="2"/>
        <v>0</v>
      </c>
      <c r="J38" s="24">
        <f t="shared" si="2"/>
        <v>0</v>
      </c>
      <c r="K38" s="24">
        <f t="shared" si="2"/>
        <v>0</v>
      </c>
      <c r="L38" s="24">
        <f t="shared" si="2"/>
        <v>0</v>
      </c>
      <c r="M38" s="24">
        <f t="shared" si="2"/>
        <v>0</v>
      </c>
      <c r="N38" s="24">
        <f t="shared" si="2"/>
        <v>0</v>
      </c>
      <c r="O38" s="25">
        <f>SUM(C38:N38)</f>
        <v>662276</v>
      </c>
    </row>
    <row r="39" spans="1:16" ht="15" customHeight="1" x14ac:dyDescent="0.2">
      <c r="A39" s="853" t="s">
        <v>148</v>
      </c>
      <c r="B39" s="27" t="s">
        <v>149</v>
      </c>
      <c r="C39" s="147">
        <v>16600</v>
      </c>
      <c r="D39" s="147">
        <v>4400</v>
      </c>
      <c r="E39" s="147">
        <v>4000</v>
      </c>
      <c r="F39" s="147">
        <v>4000</v>
      </c>
      <c r="G39" s="147">
        <v>4000</v>
      </c>
      <c r="H39" s="147">
        <v>0</v>
      </c>
      <c r="I39" s="147">
        <v>0</v>
      </c>
      <c r="J39" s="147">
        <v>0</v>
      </c>
      <c r="K39" s="147">
        <v>0</v>
      </c>
      <c r="L39" s="147">
        <v>0</v>
      </c>
      <c r="M39" s="147">
        <v>0</v>
      </c>
      <c r="N39" s="147">
        <v>0</v>
      </c>
      <c r="O39" s="18">
        <f>SUM(C39:N39)</f>
        <v>33000</v>
      </c>
      <c r="P39" s="29"/>
    </row>
    <row r="40" spans="1:16" ht="15" x14ac:dyDescent="0.2">
      <c r="A40" s="854"/>
      <c r="B40" s="27" t="s">
        <v>150</v>
      </c>
      <c r="C40" s="147">
        <v>0</v>
      </c>
      <c r="D40" s="147">
        <v>0</v>
      </c>
      <c r="E40" s="147">
        <v>0</v>
      </c>
      <c r="F40" s="147">
        <v>0</v>
      </c>
      <c r="G40" s="147">
        <v>0</v>
      </c>
      <c r="H40" s="147">
        <v>0</v>
      </c>
      <c r="I40" s="147">
        <v>0</v>
      </c>
      <c r="J40" s="147">
        <v>0</v>
      </c>
      <c r="K40" s="147">
        <v>0</v>
      </c>
      <c r="L40" s="147">
        <v>0</v>
      </c>
      <c r="M40" s="147">
        <v>0</v>
      </c>
      <c r="N40" s="147">
        <v>0</v>
      </c>
      <c r="O40" s="18">
        <f>SUM(C40:N40)</f>
        <v>0</v>
      </c>
    </row>
    <row r="41" spans="1:16" ht="15" x14ac:dyDescent="0.2">
      <c r="A41" s="854"/>
      <c r="B41" s="27" t="s">
        <v>151</v>
      </c>
      <c r="C41" s="147">
        <v>120</v>
      </c>
      <c r="D41" s="147">
        <v>120</v>
      </c>
      <c r="E41" s="147">
        <v>120</v>
      </c>
      <c r="F41" s="147">
        <v>120</v>
      </c>
      <c r="G41" s="147">
        <v>120</v>
      </c>
      <c r="H41" s="147">
        <v>0</v>
      </c>
      <c r="I41" s="147">
        <v>0</v>
      </c>
      <c r="J41" s="147">
        <v>0</v>
      </c>
      <c r="K41" s="147">
        <v>0</v>
      </c>
      <c r="L41" s="147">
        <v>0</v>
      </c>
      <c r="M41" s="147">
        <v>0</v>
      </c>
      <c r="N41" s="147">
        <v>0</v>
      </c>
      <c r="O41" s="18">
        <f t="shared" ref="O41:O51" si="3">SUM(C41:N41)</f>
        <v>600</v>
      </c>
    </row>
    <row r="42" spans="1:16" ht="15" x14ac:dyDescent="0.2">
      <c r="A42" s="854"/>
      <c r="B42" s="27" t="s">
        <v>152</v>
      </c>
      <c r="C42" s="147">
        <v>0</v>
      </c>
      <c r="D42" s="147">
        <v>0</v>
      </c>
      <c r="E42" s="147">
        <v>0</v>
      </c>
      <c r="F42" s="147">
        <v>0</v>
      </c>
      <c r="G42" s="147">
        <v>0</v>
      </c>
      <c r="H42" s="147">
        <v>0</v>
      </c>
      <c r="I42" s="147">
        <v>0</v>
      </c>
      <c r="J42" s="147">
        <v>0</v>
      </c>
      <c r="K42" s="147">
        <v>0</v>
      </c>
      <c r="L42" s="147">
        <v>0</v>
      </c>
      <c r="M42" s="147">
        <v>0</v>
      </c>
      <c r="N42" s="147">
        <v>0</v>
      </c>
      <c r="O42" s="18">
        <f t="shared" si="3"/>
        <v>0</v>
      </c>
    </row>
    <row r="43" spans="1:16" ht="15" x14ac:dyDescent="0.2">
      <c r="A43" s="854"/>
      <c r="B43" s="27" t="s">
        <v>153</v>
      </c>
      <c r="C43" s="147">
        <v>650</v>
      </c>
      <c r="D43" s="147">
        <v>650</v>
      </c>
      <c r="E43" s="147">
        <v>650</v>
      </c>
      <c r="F43" s="147">
        <v>650</v>
      </c>
      <c r="G43" s="147">
        <v>650</v>
      </c>
      <c r="H43" s="147">
        <v>0</v>
      </c>
      <c r="I43" s="147">
        <v>0</v>
      </c>
      <c r="J43" s="147">
        <v>0</v>
      </c>
      <c r="K43" s="147">
        <v>0</v>
      </c>
      <c r="L43" s="147">
        <v>0</v>
      </c>
      <c r="M43" s="147">
        <v>0</v>
      </c>
      <c r="N43" s="147">
        <v>0</v>
      </c>
      <c r="O43" s="18">
        <f t="shared" si="3"/>
        <v>3250</v>
      </c>
    </row>
    <row r="44" spans="1:16" ht="15" x14ac:dyDescent="0.2">
      <c r="A44" s="854"/>
      <c r="B44" s="27" t="s">
        <v>154</v>
      </c>
      <c r="C44" s="147">
        <v>20000</v>
      </c>
      <c r="D44" s="147">
        <v>20000</v>
      </c>
      <c r="E44" s="147">
        <v>0</v>
      </c>
      <c r="F44" s="147">
        <v>0</v>
      </c>
      <c r="G44" s="147">
        <v>0</v>
      </c>
      <c r="H44" s="147">
        <v>0</v>
      </c>
      <c r="I44" s="147">
        <v>0</v>
      </c>
      <c r="J44" s="147">
        <v>0</v>
      </c>
      <c r="K44" s="147">
        <v>0</v>
      </c>
      <c r="L44" s="147">
        <v>0</v>
      </c>
      <c r="M44" s="147">
        <v>0</v>
      </c>
      <c r="N44" s="147">
        <v>0</v>
      </c>
      <c r="O44" s="18">
        <f>SUM(C44:N44)</f>
        <v>40000</v>
      </c>
    </row>
    <row r="45" spans="1:16" ht="15" x14ac:dyDescent="0.2">
      <c r="A45" s="854"/>
      <c r="B45" s="27" t="s">
        <v>155</v>
      </c>
      <c r="C45" s="147">
        <v>200</v>
      </c>
      <c r="D45" s="147">
        <v>200</v>
      </c>
      <c r="E45" s="147">
        <v>200</v>
      </c>
      <c r="F45" s="147">
        <v>200</v>
      </c>
      <c r="G45" s="147">
        <v>200</v>
      </c>
      <c r="H45" s="147">
        <v>0</v>
      </c>
      <c r="I45" s="147">
        <v>0</v>
      </c>
      <c r="J45" s="147">
        <v>0</v>
      </c>
      <c r="K45" s="147">
        <v>0</v>
      </c>
      <c r="L45" s="147">
        <v>0</v>
      </c>
      <c r="M45" s="147">
        <v>0</v>
      </c>
      <c r="N45" s="147">
        <v>0</v>
      </c>
      <c r="O45" s="18">
        <f t="shared" si="3"/>
        <v>1000</v>
      </c>
    </row>
    <row r="46" spans="1:16" ht="15" x14ac:dyDescent="0.2">
      <c r="A46" s="854"/>
      <c r="B46" s="27" t="s">
        <v>248</v>
      </c>
      <c r="C46" s="147">
        <v>713</v>
      </c>
      <c r="D46" s="147">
        <v>713</v>
      </c>
      <c r="E46" s="147">
        <v>713</v>
      </c>
      <c r="F46" s="147">
        <v>713</v>
      </c>
      <c r="G46" s="147">
        <v>713</v>
      </c>
      <c r="H46" s="147">
        <v>0</v>
      </c>
      <c r="I46" s="147">
        <v>0</v>
      </c>
      <c r="J46" s="147">
        <v>0</v>
      </c>
      <c r="K46" s="147">
        <v>0</v>
      </c>
      <c r="L46" s="147">
        <v>0</v>
      </c>
      <c r="M46" s="147">
        <v>0</v>
      </c>
      <c r="N46" s="147">
        <v>0</v>
      </c>
      <c r="O46" s="18">
        <f t="shared" si="3"/>
        <v>3565</v>
      </c>
    </row>
    <row r="47" spans="1:16" ht="15" x14ac:dyDescent="0.2">
      <c r="A47" s="854"/>
      <c r="B47" s="27" t="s">
        <v>157</v>
      </c>
      <c r="C47" s="147">
        <v>0</v>
      </c>
      <c r="D47" s="147">
        <v>0</v>
      </c>
      <c r="E47" s="147">
        <v>0</v>
      </c>
      <c r="F47" s="147">
        <v>0</v>
      </c>
      <c r="G47" s="147">
        <v>0</v>
      </c>
      <c r="H47" s="147">
        <v>0</v>
      </c>
      <c r="I47" s="147">
        <v>0</v>
      </c>
      <c r="J47" s="147">
        <v>0</v>
      </c>
      <c r="K47" s="147">
        <v>0</v>
      </c>
      <c r="L47" s="147">
        <v>0</v>
      </c>
      <c r="M47" s="147">
        <v>0</v>
      </c>
      <c r="N47" s="147">
        <v>0</v>
      </c>
      <c r="O47" s="18">
        <f t="shared" si="3"/>
        <v>0</v>
      </c>
    </row>
    <row r="48" spans="1:16" ht="28.5" customHeight="1" x14ac:dyDescent="0.2">
      <c r="A48" s="855"/>
      <c r="B48" s="30" t="s">
        <v>483</v>
      </c>
      <c r="C48" s="147">
        <v>0</v>
      </c>
      <c r="D48" s="147">
        <v>0</v>
      </c>
      <c r="E48" s="147">
        <v>0</v>
      </c>
      <c r="F48" s="147">
        <v>0</v>
      </c>
      <c r="G48" s="147">
        <v>0</v>
      </c>
      <c r="H48" s="147">
        <v>0</v>
      </c>
      <c r="I48" s="147">
        <v>0</v>
      </c>
      <c r="J48" s="147">
        <v>0</v>
      </c>
      <c r="K48" s="147">
        <v>0</v>
      </c>
      <c r="L48" s="147">
        <v>0</v>
      </c>
      <c r="M48" s="147">
        <v>0</v>
      </c>
      <c r="N48" s="147">
        <v>0</v>
      </c>
      <c r="O48" s="31">
        <f t="shared" si="3"/>
        <v>0</v>
      </c>
    </row>
    <row r="49" spans="1:18" ht="30" x14ac:dyDescent="0.2">
      <c r="A49" s="856"/>
      <c r="B49" s="127" t="s">
        <v>228</v>
      </c>
      <c r="C49" s="147">
        <v>0</v>
      </c>
      <c r="D49" s="147">
        <v>0</v>
      </c>
      <c r="E49" s="147">
        <v>0</v>
      </c>
      <c r="F49" s="147">
        <v>0</v>
      </c>
      <c r="G49" s="147">
        <v>0</v>
      </c>
      <c r="H49" s="147">
        <v>0</v>
      </c>
      <c r="I49" s="147">
        <v>0</v>
      </c>
      <c r="J49" s="147">
        <v>0</v>
      </c>
      <c r="K49" s="147">
        <v>0</v>
      </c>
      <c r="L49" s="147">
        <v>0</v>
      </c>
      <c r="M49" s="147">
        <v>0</v>
      </c>
      <c r="N49" s="147">
        <v>0</v>
      </c>
      <c r="O49" s="31">
        <f t="shared" si="3"/>
        <v>0</v>
      </c>
    </row>
    <row r="50" spans="1:18" ht="15" x14ac:dyDescent="0.2">
      <c r="A50" s="857" t="s">
        <v>160</v>
      </c>
      <c r="B50" s="858"/>
      <c r="C50" s="33">
        <f t="shared" ref="C50:N50" si="4">SUM(C39:C49)</f>
        <v>38283</v>
      </c>
      <c r="D50" s="33">
        <f t="shared" si="4"/>
        <v>26083</v>
      </c>
      <c r="E50" s="33">
        <f t="shared" si="4"/>
        <v>5683</v>
      </c>
      <c r="F50" s="33">
        <f t="shared" si="4"/>
        <v>5683</v>
      </c>
      <c r="G50" s="33">
        <f t="shared" si="4"/>
        <v>5683</v>
      </c>
      <c r="H50" s="33">
        <f t="shared" si="4"/>
        <v>0</v>
      </c>
      <c r="I50" s="33">
        <f t="shared" si="4"/>
        <v>0</v>
      </c>
      <c r="J50" s="33">
        <f t="shared" si="4"/>
        <v>0</v>
      </c>
      <c r="K50" s="33">
        <f t="shared" si="4"/>
        <v>0</v>
      </c>
      <c r="L50" s="33">
        <f t="shared" si="4"/>
        <v>0</v>
      </c>
      <c r="M50" s="33">
        <f t="shared" si="4"/>
        <v>0</v>
      </c>
      <c r="N50" s="33">
        <f t="shared" si="4"/>
        <v>0</v>
      </c>
      <c r="O50" s="34">
        <f t="shared" si="3"/>
        <v>81415</v>
      </c>
    </row>
    <row r="51" spans="1:18" ht="15.75" thickBot="1" x14ac:dyDescent="0.25">
      <c r="A51" s="859" t="s">
        <v>161</v>
      </c>
      <c r="B51" s="860"/>
      <c r="C51" s="35">
        <f t="shared" ref="C51:N51" si="5">C38-C50</f>
        <v>86982</v>
      </c>
      <c r="D51" s="35">
        <f t="shared" si="5"/>
        <v>108726</v>
      </c>
      <c r="E51" s="35">
        <f t="shared" si="5"/>
        <v>121968</v>
      </c>
      <c r="F51" s="35">
        <f t="shared" si="5"/>
        <v>121968</v>
      </c>
      <c r="G51" s="35">
        <f t="shared" si="5"/>
        <v>141217</v>
      </c>
      <c r="H51" s="35">
        <f t="shared" si="5"/>
        <v>0</v>
      </c>
      <c r="I51" s="35">
        <f t="shared" si="5"/>
        <v>0</v>
      </c>
      <c r="J51" s="35">
        <f t="shared" si="5"/>
        <v>0</v>
      </c>
      <c r="K51" s="35">
        <f t="shared" si="5"/>
        <v>0</v>
      </c>
      <c r="L51" s="35">
        <f t="shared" si="5"/>
        <v>0</v>
      </c>
      <c r="M51" s="35">
        <f t="shared" si="5"/>
        <v>0</v>
      </c>
      <c r="N51" s="35">
        <f t="shared" si="5"/>
        <v>0</v>
      </c>
      <c r="O51" s="36">
        <f t="shared" si="3"/>
        <v>580861</v>
      </c>
    </row>
    <row r="52" spans="1:18" x14ac:dyDescent="0.2">
      <c r="J52" s="128">
        <f>+J38-SUM(J23:J37)</f>
        <v>0</v>
      </c>
      <c r="Q52" s="38"/>
    </row>
    <row r="53" spans="1:18" ht="13.5" thickBot="1" x14ac:dyDescent="0.25">
      <c r="J53" s="38">
        <f>+J52-J50</f>
        <v>0</v>
      </c>
    </row>
    <row r="54" spans="1:18" ht="13.5" thickBot="1" x14ac:dyDescent="0.25">
      <c r="B54" s="789" t="s">
        <v>162</v>
      </c>
      <c r="C54" s="861"/>
      <c r="D54" s="861"/>
      <c r="E54" s="861"/>
      <c r="F54" s="862"/>
      <c r="G54" s="863">
        <f>O38</f>
        <v>662276</v>
      </c>
      <c r="H54" s="864"/>
    </row>
    <row r="55" spans="1:18" ht="13.5" thickBot="1" x14ac:dyDescent="0.25"/>
    <row r="56" spans="1:18" x14ac:dyDescent="0.2">
      <c r="B56" s="830" t="s">
        <v>163</v>
      </c>
      <c r="C56" s="833" t="s">
        <v>164</v>
      </c>
      <c r="D56" s="836" t="s">
        <v>425</v>
      </c>
      <c r="E56" s="837"/>
      <c r="F56" s="838"/>
      <c r="G56" s="839">
        <v>40000</v>
      </c>
      <c r="H56" s="840"/>
    </row>
    <row r="57" spans="1:18" x14ac:dyDescent="0.2">
      <c r="B57" s="831"/>
      <c r="C57" s="834"/>
      <c r="D57" s="841" t="s">
        <v>166</v>
      </c>
      <c r="E57" s="842"/>
      <c r="F57" s="843"/>
      <c r="G57" s="844">
        <f>+O45</f>
        <v>1000</v>
      </c>
      <c r="H57" s="845"/>
      <c r="I57" s="39"/>
      <c r="J57" s="846"/>
      <c r="K57" s="846"/>
      <c r="L57" s="846"/>
      <c r="M57" s="847"/>
      <c r="N57" s="847"/>
      <c r="O57" s="847"/>
    </row>
    <row r="58" spans="1:18" ht="13.5" thickBot="1" x14ac:dyDescent="0.25">
      <c r="B58" s="832"/>
      <c r="C58" s="835"/>
      <c r="D58" s="848" t="s">
        <v>167</v>
      </c>
      <c r="E58" s="849"/>
      <c r="F58" s="850"/>
      <c r="G58" s="851">
        <f>IF(O18&gt;15000,15000,+O18)</f>
        <v>0</v>
      </c>
      <c r="H58" s="852"/>
      <c r="J58" s="47"/>
      <c r="K58" s="47"/>
      <c r="L58" s="47"/>
      <c r="M58" s="47"/>
      <c r="N58" s="47"/>
      <c r="O58" s="47"/>
    </row>
    <row r="59" spans="1:18" ht="13.5" thickBot="1" x14ac:dyDescent="0.25">
      <c r="B59" s="48"/>
      <c r="J59" s="47"/>
      <c r="K59" s="47"/>
      <c r="L59" s="47"/>
      <c r="M59" s="47"/>
      <c r="N59" s="47"/>
      <c r="O59" s="47"/>
    </row>
    <row r="60" spans="1:18" ht="13.5" thickBot="1" x14ac:dyDescent="0.25">
      <c r="B60" s="789" t="s">
        <v>168</v>
      </c>
      <c r="C60" s="790"/>
      <c r="D60" s="790"/>
      <c r="E60" s="790"/>
      <c r="F60" s="791"/>
      <c r="G60" s="825">
        <f>+G54-SUM(G56:H58)</f>
        <v>621276</v>
      </c>
      <c r="H60" s="826"/>
      <c r="J60" s="827" t="s">
        <v>169</v>
      </c>
      <c r="K60" s="828"/>
      <c r="L60" s="828"/>
      <c r="M60" s="828"/>
      <c r="N60" s="828"/>
      <c r="O60" s="829"/>
    </row>
    <row r="61" spans="1:18" ht="13.5" thickBot="1" x14ac:dyDescent="0.25">
      <c r="B61" s="49"/>
      <c r="C61" s="50"/>
      <c r="D61" s="50"/>
      <c r="E61" s="50"/>
      <c r="F61" s="50"/>
      <c r="G61" s="45"/>
      <c r="H61" s="50"/>
      <c r="J61" s="51"/>
      <c r="K61" s="52"/>
      <c r="L61" s="52"/>
      <c r="M61" s="52"/>
      <c r="N61" s="52"/>
      <c r="O61" s="53"/>
    </row>
    <row r="62" spans="1:18" ht="13.5" thickBot="1" x14ac:dyDescent="0.25">
      <c r="B62" s="789" t="s">
        <v>170</v>
      </c>
      <c r="C62" s="790"/>
      <c r="D62" s="790"/>
      <c r="E62" s="790"/>
      <c r="F62" s="791"/>
      <c r="G62" s="805"/>
      <c r="H62" s="791"/>
      <c r="J62" s="54"/>
      <c r="K62" s="55"/>
      <c r="L62" s="55"/>
      <c r="M62" s="55"/>
      <c r="N62" s="55"/>
      <c r="O62" s="56"/>
    </row>
    <row r="63" spans="1:18" ht="12.75" customHeight="1" x14ac:dyDescent="0.2">
      <c r="B63" s="57" t="s">
        <v>171</v>
      </c>
      <c r="C63" s="806" t="s">
        <v>172</v>
      </c>
      <c r="D63" s="807"/>
      <c r="E63" s="807"/>
      <c r="F63" s="808"/>
      <c r="G63" s="809">
        <v>0</v>
      </c>
      <c r="H63" s="809"/>
      <c r="I63" s="58"/>
      <c r="J63" s="810" t="s">
        <v>173</v>
      </c>
      <c r="K63" s="811"/>
      <c r="L63" s="811"/>
      <c r="M63" s="811"/>
      <c r="N63" s="811"/>
      <c r="O63" s="812"/>
      <c r="Q63" s="59"/>
      <c r="R63" s="59"/>
    </row>
    <row r="64" spans="1:18" ht="13.5" thickBot="1" x14ac:dyDescent="0.25">
      <c r="D64" s="37"/>
      <c r="I64" s="58"/>
      <c r="J64" s="60"/>
      <c r="K64" s="61"/>
      <c r="L64" s="61"/>
      <c r="M64" s="61"/>
      <c r="N64" s="61"/>
      <c r="O64" s="62"/>
      <c r="Q64" s="59"/>
      <c r="R64" s="59"/>
    </row>
    <row r="65" spans="2:18" ht="13.5" thickBot="1" x14ac:dyDescent="0.25">
      <c r="B65" s="789" t="s">
        <v>175</v>
      </c>
      <c r="C65" s="790"/>
      <c r="D65" s="790"/>
      <c r="E65" s="790"/>
      <c r="F65" s="791"/>
      <c r="G65" s="805">
        <f>+G60-G63</f>
        <v>621276</v>
      </c>
      <c r="H65" s="791"/>
      <c r="I65" s="63"/>
      <c r="J65" s="64" t="s">
        <v>484</v>
      </c>
      <c r="K65" s="39"/>
      <c r="L65" s="39"/>
      <c r="M65" s="39"/>
      <c r="N65" s="39" t="s">
        <v>388</v>
      </c>
      <c r="O65" s="65">
        <v>0</v>
      </c>
      <c r="Q65" s="59"/>
      <c r="R65" s="59"/>
    </row>
    <row r="66" spans="2:18" ht="12.75" customHeight="1" x14ac:dyDescent="0.2">
      <c r="B66" s="48"/>
      <c r="C66" s="48"/>
      <c r="I66" s="63"/>
      <c r="J66" s="64"/>
      <c r="K66" s="39"/>
      <c r="L66" s="39"/>
      <c r="M66" s="39"/>
      <c r="N66" s="39"/>
      <c r="O66" s="65"/>
      <c r="Q66" s="59"/>
      <c r="R66" s="59"/>
    </row>
    <row r="67" spans="2:18" x14ac:dyDescent="0.2">
      <c r="B67" s="66" t="s">
        <v>176</v>
      </c>
      <c r="C67" s="48"/>
      <c r="I67" s="63"/>
      <c r="J67" s="67"/>
      <c r="K67" s="68"/>
      <c r="L67" s="68"/>
      <c r="M67" s="68"/>
      <c r="N67" s="68"/>
      <c r="O67" s="69"/>
      <c r="Q67" s="59"/>
      <c r="R67" s="59"/>
    </row>
    <row r="68" spans="2:18" ht="26.25" customHeight="1" thickBot="1" x14ac:dyDescent="0.25">
      <c r="B68" s="66"/>
      <c r="C68" s="48"/>
      <c r="G68" s="70" t="s">
        <v>177</v>
      </c>
      <c r="H68" s="70" t="s">
        <v>178</v>
      </c>
      <c r="I68" s="63"/>
      <c r="J68" s="810" t="s">
        <v>179</v>
      </c>
      <c r="K68" s="811"/>
      <c r="L68" s="71"/>
      <c r="M68" s="71"/>
      <c r="N68" s="71"/>
      <c r="O68" s="72"/>
      <c r="Q68" s="59"/>
      <c r="R68" s="59"/>
    </row>
    <row r="69" spans="2:18" ht="12.75" customHeight="1" x14ac:dyDescent="0.2">
      <c r="B69" s="802" t="s">
        <v>180</v>
      </c>
      <c r="C69" s="821" t="s">
        <v>181</v>
      </c>
      <c r="D69" s="823" t="s">
        <v>182</v>
      </c>
      <c r="E69" s="824"/>
      <c r="F69" s="824"/>
      <c r="G69" s="73">
        <f>+O44</f>
        <v>40000</v>
      </c>
      <c r="H69" s="74">
        <f t="shared" ref="H69:H77" si="6">+G69</f>
        <v>40000</v>
      </c>
      <c r="I69" s="63"/>
      <c r="J69" s="75" t="s">
        <v>231</v>
      </c>
      <c r="K69" s="58"/>
      <c r="L69" s="58"/>
      <c r="M69" s="58"/>
      <c r="N69" s="58"/>
      <c r="O69" s="76"/>
      <c r="Q69" s="59"/>
      <c r="R69" s="59"/>
    </row>
    <row r="70" spans="2:18" ht="12.75" customHeight="1" x14ac:dyDescent="0.2">
      <c r="B70" s="803"/>
      <c r="C70" s="822"/>
      <c r="D70" s="782" t="s">
        <v>184</v>
      </c>
      <c r="E70" s="783"/>
      <c r="F70" s="783"/>
      <c r="G70" s="77">
        <v>0</v>
      </c>
      <c r="H70" s="78">
        <f t="shared" si="6"/>
        <v>0</v>
      </c>
      <c r="I70" s="63"/>
      <c r="J70" s="181"/>
      <c r="K70" s="68"/>
      <c r="L70" s="68"/>
      <c r="M70" s="135" t="s">
        <v>232</v>
      </c>
      <c r="N70" s="135" t="s">
        <v>276</v>
      </c>
      <c r="O70" s="136"/>
      <c r="Q70" s="59"/>
      <c r="R70" s="59"/>
    </row>
    <row r="71" spans="2:18" ht="12.75" customHeight="1" x14ac:dyDescent="0.2">
      <c r="B71" s="803"/>
      <c r="C71" s="822"/>
      <c r="D71" s="819" t="s">
        <v>185</v>
      </c>
      <c r="E71" s="820"/>
      <c r="F71" s="820"/>
      <c r="G71" s="80">
        <f>O41</f>
        <v>600</v>
      </c>
      <c r="H71" s="78">
        <f t="shared" si="6"/>
        <v>600</v>
      </c>
      <c r="I71" s="63"/>
      <c r="J71" s="67"/>
      <c r="K71" s="68"/>
      <c r="L71" s="68"/>
      <c r="M71" s="68"/>
      <c r="N71" s="68"/>
      <c r="O71" s="69"/>
    </row>
    <row r="72" spans="2:18" x14ac:dyDescent="0.2">
      <c r="B72" s="803"/>
      <c r="C72" s="822"/>
      <c r="D72" s="782" t="s">
        <v>186</v>
      </c>
      <c r="E72" s="783"/>
      <c r="F72" s="783"/>
      <c r="G72" s="81">
        <v>0</v>
      </c>
      <c r="H72" s="78">
        <f t="shared" si="6"/>
        <v>0</v>
      </c>
      <c r="I72" s="63"/>
      <c r="J72" s="64"/>
      <c r="K72" s="39"/>
      <c r="L72" s="39"/>
      <c r="M72" s="39"/>
      <c r="N72" s="39"/>
      <c r="O72" s="65"/>
    </row>
    <row r="73" spans="2:18" ht="12.75" customHeight="1" x14ac:dyDescent="0.2">
      <c r="B73" s="803"/>
      <c r="C73" s="822"/>
      <c r="D73" s="784" t="s">
        <v>188</v>
      </c>
      <c r="E73" s="783"/>
      <c r="F73" s="783"/>
      <c r="G73" s="80">
        <v>0</v>
      </c>
      <c r="H73" s="78">
        <f t="shared" si="6"/>
        <v>0</v>
      </c>
      <c r="I73" s="63"/>
      <c r="J73" s="85"/>
      <c r="K73" s="63"/>
      <c r="L73" s="63"/>
      <c r="M73" s="63"/>
      <c r="N73" s="63"/>
      <c r="O73" s="86"/>
    </row>
    <row r="74" spans="2:18" ht="14.25" customHeight="1" x14ac:dyDescent="0.2">
      <c r="B74" s="803"/>
      <c r="C74" s="822"/>
      <c r="D74" s="782" t="s">
        <v>190</v>
      </c>
      <c r="E74" s="783"/>
      <c r="F74" s="783"/>
      <c r="G74" s="84">
        <v>0</v>
      </c>
      <c r="H74" s="78">
        <f t="shared" si="6"/>
        <v>0</v>
      </c>
      <c r="I74" s="63"/>
      <c r="J74" s="82" t="s">
        <v>187</v>
      </c>
      <c r="K74" s="71"/>
      <c r="L74" s="71"/>
      <c r="M74" s="71"/>
      <c r="N74" s="71"/>
      <c r="O74" s="72"/>
    </row>
    <row r="75" spans="2:18" x14ac:dyDescent="0.2">
      <c r="B75" s="803"/>
      <c r="C75" s="822"/>
      <c r="D75" s="782" t="s">
        <v>191</v>
      </c>
      <c r="E75" s="783"/>
      <c r="F75" s="783"/>
      <c r="G75" s="81">
        <v>0</v>
      </c>
      <c r="H75" s="78">
        <f t="shared" si="6"/>
        <v>0</v>
      </c>
      <c r="I75" s="58"/>
      <c r="J75" s="75" t="s">
        <v>189</v>
      </c>
      <c r="K75" s="50"/>
      <c r="L75" s="50"/>
      <c r="M75" s="50"/>
      <c r="N75" s="50"/>
      <c r="O75" s="83">
        <f>O43</f>
        <v>3250</v>
      </c>
    </row>
    <row r="76" spans="2:18" ht="13.5" thickBot="1" x14ac:dyDescent="0.25">
      <c r="B76" s="803"/>
      <c r="C76" s="88" t="s">
        <v>192</v>
      </c>
      <c r="D76" s="813" t="s">
        <v>193</v>
      </c>
      <c r="E76" s="814"/>
      <c r="F76" s="814"/>
      <c r="G76" s="80">
        <v>0</v>
      </c>
      <c r="H76" s="78">
        <f t="shared" si="6"/>
        <v>0</v>
      </c>
      <c r="I76" s="58"/>
      <c r="J76" s="97"/>
      <c r="K76" s="98"/>
      <c r="L76" s="98"/>
      <c r="M76" s="98"/>
      <c r="N76" s="98"/>
      <c r="O76" s="99"/>
    </row>
    <row r="77" spans="2:18" ht="13.5" customHeight="1" thickBot="1" x14ac:dyDescent="0.25">
      <c r="B77" s="803"/>
      <c r="C77" s="88" t="s">
        <v>194</v>
      </c>
      <c r="D77" s="815" t="s">
        <v>195</v>
      </c>
      <c r="E77" s="815"/>
      <c r="F77" s="815"/>
      <c r="G77" s="89">
        <v>0</v>
      </c>
      <c r="H77" s="90">
        <f t="shared" si="6"/>
        <v>0</v>
      </c>
      <c r="I77" s="63"/>
    </row>
    <row r="78" spans="2:18" ht="13.5" thickBot="1" x14ac:dyDescent="0.25">
      <c r="B78" s="803"/>
      <c r="C78" s="93"/>
      <c r="D78" s="94"/>
      <c r="E78" s="816" t="s">
        <v>117</v>
      </c>
      <c r="F78" s="817"/>
      <c r="G78" s="95">
        <f>SUM(G69:G77)</f>
        <v>40600</v>
      </c>
      <c r="H78" s="96">
        <f>IF(SUM(G69:G75)&lt;150000,SUM(G69:G75),150000)+IF(+G76&lt;20000,+G76,20000)</f>
        <v>40600</v>
      </c>
      <c r="I78" s="63"/>
    </row>
    <row r="79" spans="2:18" ht="12.75" customHeight="1" x14ac:dyDescent="0.2">
      <c r="B79" s="803"/>
      <c r="C79" s="100" t="s">
        <v>196</v>
      </c>
      <c r="D79" s="782" t="s">
        <v>187</v>
      </c>
      <c r="E79" s="783"/>
      <c r="F79" s="818"/>
      <c r="G79" s="73">
        <f>+O43</f>
        <v>3250</v>
      </c>
      <c r="H79" s="101">
        <f>+IF(+G79&lt;25000,+G79,25000)</f>
        <v>3250</v>
      </c>
      <c r="I79" s="87"/>
    </row>
    <row r="80" spans="2:18" x14ac:dyDescent="0.2">
      <c r="B80" s="803"/>
      <c r="C80" s="100" t="s">
        <v>197</v>
      </c>
      <c r="D80" s="784" t="s">
        <v>198</v>
      </c>
      <c r="E80" s="785"/>
      <c r="F80" s="786"/>
      <c r="G80" s="102"/>
      <c r="H80" s="103">
        <f>+IF(+G80&lt;40000,+G80,40000)</f>
        <v>0</v>
      </c>
      <c r="I80" s="63"/>
      <c r="J80" s="106"/>
    </row>
    <row r="81" spans="2:12" x14ac:dyDescent="0.2">
      <c r="B81" s="803"/>
      <c r="C81" s="100" t="s">
        <v>199</v>
      </c>
      <c r="D81" s="784" t="s">
        <v>200</v>
      </c>
      <c r="E81" s="785"/>
      <c r="F81" s="786"/>
      <c r="G81" s="81">
        <v>0</v>
      </c>
      <c r="H81" s="104">
        <f>+G81</f>
        <v>0</v>
      </c>
      <c r="I81" s="63"/>
    </row>
    <row r="82" spans="2:12" x14ac:dyDescent="0.2">
      <c r="B82" s="803"/>
      <c r="C82" s="100" t="s">
        <v>201</v>
      </c>
      <c r="D82" s="784" t="s">
        <v>202</v>
      </c>
      <c r="E82" s="785"/>
      <c r="F82" s="786"/>
      <c r="G82" s="81"/>
      <c r="H82" s="104">
        <v>0</v>
      </c>
      <c r="I82" s="63"/>
    </row>
    <row r="83" spans="2:12" ht="13.5" thickBot="1" x14ac:dyDescent="0.25">
      <c r="B83" s="804"/>
      <c r="C83" s="100" t="s">
        <v>203</v>
      </c>
      <c r="D83" s="784" t="s">
        <v>204</v>
      </c>
      <c r="E83" s="785"/>
      <c r="F83" s="786"/>
      <c r="G83" s="102"/>
      <c r="H83" s="103">
        <f>+IF(+G83&lt;100000,+G83,10000)</f>
        <v>0</v>
      </c>
      <c r="I83" s="63"/>
    </row>
    <row r="84" spans="2:12" ht="13.5" thickBot="1" x14ac:dyDescent="0.25">
      <c r="B84" s="787" t="s">
        <v>205</v>
      </c>
      <c r="C84" s="788"/>
      <c r="D84" s="788"/>
      <c r="E84" s="788"/>
      <c r="F84" s="788"/>
      <c r="G84" s="107">
        <f>SUM(G79:G83)</f>
        <v>3250</v>
      </c>
      <c r="H84" s="108">
        <f>SUM(H78:H83)</f>
        <v>43850</v>
      </c>
    </row>
    <row r="85" spans="2:12" ht="13.5" thickBot="1" x14ac:dyDescent="0.25"/>
    <row r="86" spans="2:12" ht="13.5" thickBot="1" x14ac:dyDescent="0.25">
      <c r="B86" s="789" t="s">
        <v>206</v>
      </c>
      <c r="C86" s="790"/>
      <c r="D86" s="790"/>
      <c r="E86" s="790"/>
      <c r="F86" s="791"/>
      <c r="G86" s="792">
        <f>+G65-H84</f>
        <v>577426</v>
      </c>
      <c r="H86" s="791"/>
      <c r="J86" s="251">
        <f>C38+D38+E38+F38</f>
        <v>515376</v>
      </c>
      <c r="K86" s="16" t="s">
        <v>235</v>
      </c>
    </row>
    <row r="87" spans="2:12" x14ac:dyDescent="0.2">
      <c r="B87" s="110"/>
      <c r="F87" s="105"/>
      <c r="J87" s="251">
        <f>G38+H38+I38</f>
        <v>146900</v>
      </c>
      <c r="K87" s="16" t="s">
        <v>236</v>
      </c>
    </row>
    <row r="88" spans="2:12" x14ac:dyDescent="0.2">
      <c r="C88" s="793" t="s">
        <v>207</v>
      </c>
      <c r="D88" s="794"/>
      <c r="E88" s="111" t="s">
        <v>208</v>
      </c>
      <c r="F88" s="111" t="s">
        <v>209</v>
      </c>
      <c r="G88" s="111" t="s">
        <v>210</v>
      </c>
      <c r="H88" s="111" t="s">
        <v>211</v>
      </c>
      <c r="J88" s="251">
        <f>J38+K38+L38</f>
        <v>0</v>
      </c>
      <c r="K88" s="47" t="s">
        <v>237</v>
      </c>
    </row>
    <row r="89" spans="2:12" x14ac:dyDescent="0.2">
      <c r="C89" s="795" t="str">
        <f>IF(I6="M","0          - 250000","0          -  250000")</f>
        <v>0          - 250000</v>
      </c>
      <c r="D89" s="796"/>
      <c r="E89" s="112">
        <v>0</v>
      </c>
      <c r="F89" s="113">
        <f>IF(I6="M",(IF(G86&lt;250000,G86,250000)),(IF(G86&lt;250000,G86,250000)))</f>
        <v>250000</v>
      </c>
      <c r="G89" s="113">
        <f>G86-F89</f>
        <v>327426</v>
      </c>
      <c r="H89" s="113">
        <f>E89*F89</f>
        <v>0</v>
      </c>
      <c r="J89" s="16">
        <f>M38+N38</f>
        <v>0</v>
      </c>
      <c r="K89" s="1" t="s">
        <v>238</v>
      </c>
    </row>
    <row r="90" spans="2:12" x14ac:dyDescent="0.2">
      <c r="C90" s="795" t="str">
        <f>IF(I6="M","250001 - 500000","250001-500000")</f>
        <v>250001 - 500000</v>
      </c>
      <c r="D90" s="796"/>
      <c r="E90" s="112">
        <v>0.05</v>
      </c>
      <c r="F90" s="113">
        <f>IF(I6="M",(IF(G89&lt;250000,G89,250000)),(IF(G89&lt;250000,G89,250000)))</f>
        <v>250000</v>
      </c>
      <c r="G90" s="113">
        <f>G89-F90</f>
        <v>77426</v>
      </c>
      <c r="H90" s="114">
        <f>ROUND(E90*F90,0.1)</f>
        <v>12500</v>
      </c>
      <c r="J90" s="115">
        <f>SUM(J86:J89)</f>
        <v>662276</v>
      </c>
    </row>
    <row r="91" spans="2:12" x14ac:dyDescent="0.2">
      <c r="C91" s="797" t="s">
        <v>212</v>
      </c>
      <c r="D91" s="798"/>
      <c r="E91" s="112">
        <v>0.2</v>
      </c>
      <c r="F91" s="113">
        <f>IF(G90&lt;500000,G90,500000)</f>
        <v>77426</v>
      </c>
      <c r="G91" s="113">
        <f>G90-F91</f>
        <v>0</v>
      </c>
      <c r="H91" s="114">
        <f>ROUND(E91*F91,0.1)</f>
        <v>15485</v>
      </c>
      <c r="J91" s="16">
        <f>+G86</f>
        <v>577426</v>
      </c>
    </row>
    <row r="92" spans="2:12" x14ac:dyDescent="0.2">
      <c r="C92" s="795" t="s">
        <v>213</v>
      </c>
      <c r="D92" s="796"/>
      <c r="E92" s="112">
        <v>0.3</v>
      </c>
      <c r="F92" s="113">
        <f>G91</f>
        <v>0</v>
      </c>
      <c r="G92" s="113">
        <f>G91-F92</f>
        <v>0</v>
      </c>
      <c r="H92" s="114">
        <f>ROUND(E92*F92,0.1)</f>
        <v>0</v>
      </c>
      <c r="J92" s="16">
        <f>+J90-J91</f>
        <v>84850</v>
      </c>
    </row>
    <row r="93" spans="2:12" ht="12.75" customHeight="1" thickBot="1" x14ac:dyDescent="0.25">
      <c r="B93" s="116"/>
      <c r="C93" s="117"/>
      <c r="D93" s="47"/>
      <c r="E93" s="47"/>
      <c r="F93" s="47"/>
      <c r="J93" s="87"/>
      <c r="K93" s="118"/>
    </row>
    <row r="94" spans="2:12" ht="13.5" thickBot="1" x14ac:dyDescent="0.25">
      <c r="B94" s="799" t="s">
        <v>239</v>
      </c>
      <c r="C94" s="800"/>
      <c r="D94" s="800"/>
      <c r="E94" s="800"/>
      <c r="F94" s="801"/>
      <c r="G94" s="771">
        <f>H89+H90+H91+H92</f>
        <v>27985</v>
      </c>
      <c r="H94" s="772"/>
    </row>
    <row r="95" spans="2:12" ht="13.5" thickBot="1" x14ac:dyDescent="0.25">
      <c r="B95" s="119" t="s">
        <v>215</v>
      </c>
      <c r="C95" s="120"/>
      <c r="D95" s="120"/>
      <c r="E95" s="120"/>
      <c r="F95" s="120"/>
      <c r="G95" s="884">
        <f>IF((G65&lt;500000),5000,0)</f>
        <v>0</v>
      </c>
      <c r="H95" s="885">
        <f>IF(H93&lt;200000,0,IF(H93&lt;220000,((H93-200000)*10%),IF(H93&lt;=500000,2000,IF(H93&gt;=500000,0))))</f>
        <v>0</v>
      </c>
      <c r="J95" s="1"/>
      <c r="K95" s="121"/>
      <c r="L95" s="121"/>
    </row>
    <row r="96" spans="2:12" ht="13.5" thickBot="1" x14ac:dyDescent="0.25">
      <c r="B96" s="122" t="s">
        <v>216</v>
      </c>
      <c r="C96" s="123"/>
      <c r="D96" s="123"/>
      <c r="E96" s="123"/>
      <c r="F96" s="123"/>
      <c r="G96" s="771">
        <f>IF((G94-G95)&lt;0,0,(G94-G95))</f>
        <v>27985</v>
      </c>
      <c r="H96" s="772"/>
      <c r="I96" s="37"/>
    </row>
    <row r="97" spans="2:9" ht="13.5" thickBot="1" x14ac:dyDescent="0.25">
      <c r="B97" s="773" t="s">
        <v>240</v>
      </c>
      <c r="C97" s="774"/>
      <c r="D97" s="774"/>
      <c r="E97" s="774"/>
      <c r="F97" s="775"/>
      <c r="G97" s="776">
        <f>ROUND((IF(G96&gt;0,(G96*4%),0)),0)</f>
        <v>1119</v>
      </c>
      <c r="H97" s="777"/>
      <c r="I97" s="37"/>
    </row>
    <row r="98" spans="2:9" ht="13.5" thickBot="1" x14ac:dyDescent="0.25">
      <c r="B98" s="778" t="s">
        <v>218</v>
      </c>
      <c r="C98" s="779"/>
      <c r="D98" s="779"/>
      <c r="E98" s="779"/>
      <c r="F98" s="779"/>
      <c r="G98" s="780">
        <f>G96+G97</f>
        <v>29104</v>
      </c>
      <c r="H98" s="781"/>
      <c r="I98" s="121"/>
    </row>
    <row r="99" spans="2:9" ht="13.5" thickBot="1" x14ac:dyDescent="0.25">
      <c r="B99" s="765" t="s">
        <v>219</v>
      </c>
      <c r="C99" s="766"/>
      <c r="D99" s="766"/>
      <c r="E99" s="766"/>
      <c r="F99" s="766"/>
      <c r="G99" s="767">
        <f>O39</f>
        <v>33000</v>
      </c>
      <c r="H99" s="768"/>
      <c r="I99" s="121"/>
    </row>
    <row r="100" spans="2:9" ht="13.5" thickBot="1" x14ac:dyDescent="0.25">
      <c r="B100" s="765" t="str">
        <f>IF(G100&gt;0,"TAX PAYABLE","TAX REFUND")</f>
        <v>TAX REFUND</v>
      </c>
      <c r="C100" s="766"/>
      <c r="D100" s="766"/>
      <c r="E100" s="766"/>
      <c r="F100" s="766"/>
      <c r="G100" s="767">
        <f>+G98-G99</f>
        <v>-3896</v>
      </c>
      <c r="H100" s="768"/>
      <c r="I100" s="37"/>
    </row>
    <row r="101" spans="2:9" x14ac:dyDescent="0.2">
      <c r="C101" s="124"/>
      <c r="D101" s="45"/>
      <c r="E101" s="118"/>
      <c r="F101" s="118"/>
      <c r="G101" s="118"/>
      <c r="H101" s="118"/>
      <c r="I101" s="125"/>
    </row>
    <row r="102" spans="2:9" x14ac:dyDescent="0.2">
      <c r="C102" s="47"/>
      <c r="D102" s="50"/>
      <c r="E102" s="117"/>
      <c r="F102" s="47"/>
      <c r="G102" s="47"/>
      <c r="H102" s="47"/>
      <c r="I102" s="125"/>
    </row>
    <row r="103" spans="2:9" x14ac:dyDescent="0.2">
      <c r="C103" s="39"/>
      <c r="D103" s="126"/>
      <c r="E103" s="126"/>
      <c r="F103" s="126"/>
      <c r="G103" s="39"/>
      <c r="H103" s="39"/>
      <c r="I103" s="37"/>
    </row>
    <row r="104" spans="2:9" x14ac:dyDescent="0.2">
      <c r="C104" s="39"/>
      <c r="D104" s="126"/>
      <c r="E104" s="126"/>
      <c r="F104" s="39"/>
      <c r="G104" s="39"/>
      <c r="H104" s="39"/>
      <c r="I104" s="37"/>
    </row>
    <row r="105" spans="2:9" x14ac:dyDescent="0.2">
      <c r="C105" s="39"/>
      <c r="D105" s="126"/>
      <c r="E105" s="126"/>
      <c r="F105" s="39"/>
      <c r="G105" s="39"/>
      <c r="H105" s="39"/>
      <c r="I105" s="37"/>
    </row>
    <row r="106" spans="2:9" x14ac:dyDescent="0.2">
      <c r="C106" s="39"/>
      <c r="D106" s="39"/>
      <c r="E106" s="39"/>
      <c r="F106" s="39"/>
      <c r="G106" s="39"/>
      <c r="H106" s="39"/>
      <c r="I106" s="37"/>
    </row>
    <row r="107" spans="2:9" x14ac:dyDescent="0.2">
      <c r="C107" s="39"/>
      <c r="D107" s="39"/>
      <c r="E107" s="39"/>
      <c r="F107" s="39"/>
      <c r="G107" s="39"/>
      <c r="H107" s="39"/>
    </row>
    <row r="108" spans="2:9" x14ac:dyDescent="0.2">
      <c r="C108" s="39"/>
      <c r="D108" s="39"/>
      <c r="E108" s="39"/>
      <c r="F108" s="39"/>
      <c r="G108" s="39"/>
      <c r="H108"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7:B37"/>
    <mergeCell ref="A5:C5"/>
    <mergeCell ref="D5:F5"/>
    <mergeCell ref="G5:H5"/>
    <mergeCell ref="I5:O5"/>
    <mergeCell ref="A6:C6"/>
    <mergeCell ref="D6:F6"/>
    <mergeCell ref="G6:H6"/>
    <mergeCell ref="J6:O6"/>
    <mergeCell ref="L7:O7"/>
    <mergeCell ref="A8:B8"/>
    <mergeCell ref="A22:A34"/>
    <mergeCell ref="A35:B35"/>
    <mergeCell ref="A36:B36"/>
    <mergeCell ref="A39:A49"/>
    <mergeCell ref="A50:B50"/>
    <mergeCell ref="A51:B51"/>
    <mergeCell ref="B54:F54"/>
    <mergeCell ref="G54:H54"/>
    <mergeCell ref="B60:F60"/>
    <mergeCell ref="G60:H60"/>
    <mergeCell ref="J60:O60"/>
    <mergeCell ref="B56:B58"/>
    <mergeCell ref="C56:C58"/>
    <mergeCell ref="D56:F56"/>
    <mergeCell ref="G56:H56"/>
    <mergeCell ref="D57:F57"/>
    <mergeCell ref="G57:H57"/>
    <mergeCell ref="J57:L57"/>
    <mergeCell ref="M57:O57"/>
    <mergeCell ref="D58:F58"/>
    <mergeCell ref="G58:H58"/>
    <mergeCell ref="J63:O63"/>
    <mergeCell ref="D81:F81"/>
    <mergeCell ref="J68:K68"/>
    <mergeCell ref="B65:F65"/>
    <mergeCell ref="G65:H65"/>
    <mergeCell ref="D76:F76"/>
    <mergeCell ref="D77:F77"/>
    <mergeCell ref="E78:F78"/>
    <mergeCell ref="D79:F79"/>
    <mergeCell ref="D80:F80"/>
    <mergeCell ref="D71:F71"/>
    <mergeCell ref="D72:F72"/>
    <mergeCell ref="C69:C75"/>
    <mergeCell ref="D69:F69"/>
    <mergeCell ref="D70:F70"/>
    <mergeCell ref="D74:F74"/>
    <mergeCell ref="G62:H62"/>
    <mergeCell ref="C63:F63"/>
    <mergeCell ref="G63:H63"/>
    <mergeCell ref="B62:F62"/>
    <mergeCell ref="D73:F73"/>
    <mergeCell ref="D75:F75"/>
    <mergeCell ref="G94:H94"/>
    <mergeCell ref="D82:F82"/>
    <mergeCell ref="D83:F83"/>
    <mergeCell ref="B84:F84"/>
    <mergeCell ref="B86:F86"/>
    <mergeCell ref="G86:H86"/>
    <mergeCell ref="C88:D88"/>
    <mergeCell ref="C89:D89"/>
    <mergeCell ref="C90:D90"/>
    <mergeCell ref="C91:D91"/>
    <mergeCell ref="C92:D92"/>
    <mergeCell ref="B94:F94"/>
    <mergeCell ref="B69:B83"/>
    <mergeCell ref="B100:F100"/>
    <mergeCell ref="G100:H100"/>
    <mergeCell ref="G95:H95"/>
    <mergeCell ref="G96:H96"/>
    <mergeCell ref="B97:F97"/>
    <mergeCell ref="G97:H97"/>
    <mergeCell ref="B98:F98"/>
    <mergeCell ref="G98:H98"/>
    <mergeCell ref="B99:F99"/>
    <mergeCell ref="G99:H99"/>
  </mergeCells>
  <conditionalFormatting sqref="B91:F91 B100:F100 B94:F98">
    <cfRule type="cellIs" dxfId="2139" priority="3" stopIfTrue="1" operator="equal">
      <formula>"TAX PAYABLE"</formula>
    </cfRule>
    <cfRule type="cellIs" dxfId="2138" priority="4" stopIfTrue="1" operator="equal">
      <formula>"TAX REFUND"</formula>
    </cfRule>
  </conditionalFormatting>
  <conditionalFormatting sqref="G91:H91">
    <cfRule type="cellIs" dxfId="2137" priority="5" stopIfTrue="1" operator="lessThan">
      <formula>0</formula>
    </cfRule>
    <cfRule type="cellIs" dxfId="2136" priority="6" stopIfTrue="1" operator="greaterThan">
      <formula>0</formula>
    </cfRule>
  </conditionalFormatting>
  <conditionalFormatting sqref="G100:H100">
    <cfRule type="cellIs" dxfId="2135" priority="1" stopIfTrue="1" operator="greaterThan">
      <formula>0</formula>
    </cfRule>
    <cfRule type="cellIs" dxfId="2134" priority="2" stopIfTrue="1" operator="lessThanOrEqual">
      <formula>0</formula>
    </cfRule>
  </conditionalFormatting>
  <hyperlinks>
    <hyperlink ref="J52" r:id="rId1" display="+J37-@sum(J22:J36)"/>
  </hyperlinks>
  <pageMargins left="0.7" right="0.7" top="0.75" bottom="0.75" header="0.3" footer="0.3"/>
  <pageSetup paperSize="5" orientation="landscape" horizontalDpi="300" verticalDpi="300" r:id="rId2"/>
  <headerFooter alignWithMargins="0"/>
  <legacy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08"/>
  <sheetViews>
    <sheetView topLeftCell="A66" workbookViewId="0">
      <selection activeCell="O38" sqref="O38"/>
    </sheetView>
  </sheetViews>
  <sheetFormatPr defaultRowHeight="12.75" x14ac:dyDescent="0.2"/>
  <cols>
    <col min="1" max="1" width="5" style="16" customWidth="1"/>
    <col min="2" max="2" width="18.42578125" style="37" customWidth="1"/>
    <col min="3" max="3" width="8.28515625" style="16" customWidth="1"/>
    <col min="4" max="4" width="7.28515625" style="16" customWidth="1"/>
    <col min="5" max="5" width="8.5703125" style="16" customWidth="1"/>
    <col min="6" max="8" width="8.140625" style="16" customWidth="1"/>
    <col min="9" max="9" width="8.7109375" style="16" customWidth="1"/>
    <col min="10" max="12" width="8.42578125" style="16" customWidth="1"/>
    <col min="13" max="13" width="7.85546875" style="16" customWidth="1"/>
    <col min="14" max="14" width="7.5703125" style="16" customWidth="1"/>
    <col min="15" max="15" width="8.4257812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8.42578125" style="16" customWidth="1"/>
    <col min="259" max="259" width="8.28515625" style="16" customWidth="1"/>
    <col min="260" max="260" width="7.28515625" style="16" customWidth="1"/>
    <col min="261" max="261" width="8.5703125" style="16" customWidth="1"/>
    <col min="262" max="264" width="8.140625" style="16" customWidth="1"/>
    <col min="265" max="265" width="8.7109375" style="16" customWidth="1"/>
    <col min="266" max="268" width="8.42578125" style="16" customWidth="1"/>
    <col min="269" max="269" width="7.85546875" style="16" customWidth="1"/>
    <col min="270" max="270" width="7.5703125" style="16" customWidth="1"/>
    <col min="271" max="271" width="8.4257812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8.42578125" style="16" customWidth="1"/>
    <col min="515" max="515" width="8.28515625" style="16" customWidth="1"/>
    <col min="516" max="516" width="7.28515625" style="16" customWidth="1"/>
    <col min="517" max="517" width="8.5703125" style="16" customWidth="1"/>
    <col min="518" max="520" width="8.140625" style="16" customWidth="1"/>
    <col min="521" max="521" width="8.7109375" style="16" customWidth="1"/>
    <col min="522" max="524" width="8.42578125" style="16" customWidth="1"/>
    <col min="525" max="525" width="7.85546875" style="16" customWidth="1"/>
    <col min="526" max="526" width="7.5703125" style="16" customWidth="1"/>
    <col min="527" max="527" width="8.4257812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8.42578125" style="16" customWidth="1"/>
    <col min="771" max="771" width="8.28515625" style="16" customWidth="1"/>
    <col min="772" max="772" width="7.28515625" style="16" customWidth="1"/>
    <col min="773" max="773" width="8.5703125" style="16" customWidth="1"/>
    <col min="774" max="776" width="8.140625" style="16" customWidth="1"/>
    <col min="777" max="777" width="8.7109375" style="16" customWidth="1"/>
    <col min="778" max="780" width="8.42578125" style="16" customWidth="1"/>
    <col min="781" max="781" width="7.85546875" style="16" customWidth="1"/>
    <col min="782" max="782" width="7.5703125" style="16" customWidth="1"/>
    <col min="783" max="783" width="8.4257812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8.42578125" style="16" customWidth="1"/>
    <col min="1027" max="1027" width="8.28515625" style="16" customWidth="1"/>
    <col min="1028" max="1028" width="7.28515625" style="16" customWidth="1"/>
    <col min="1029" max="1029" width="8.5703125" style="16" customWidth="1"/>
    <col min="1030" max="1032" width="8.140625" style="16" customWidth="1"/>
    <col min="1033" max="1033" width="8.7109375" style="16" customWidth="1"/>
    <col min="1034" max="1036" width="8.42578125" style="16" customWidth="1"/>
    <col min="1037" max="1037" width="7.85546875" style="16" customWidth="1"/>
    <col min="1038" max="1038" width="7.5703125" style="16" customWidth="1"/>
    <col min="1039" max="1039" width="8.4257812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8.42578125" style="16" customWidth="1"/>
    <col min="1283" max="1283" width="8.28515625" style="16" customWidth="1"/>
    <col min="1284" max="1284" width="7.28515625" style="16" customWidth="1"/>
    <col min="1285" max="1285" width="8.5703125" style="16" customWidth="1"/>
    <col min="1286" max="1288" width="8.140625" style="16" customWidth="1"/>
    <col min="1289" max="1289" width="8.7109375" style="16" customWidth="1"/>
    <col min="1290" max="1292" width="8.42578125" style="16" customWidth="1"/>
    <col min="1293" max="1293" width="7.85546875" style="16" customWidth="1"/>
    <col min="1294" max="1294" width="7.5703125" style="16" customWidth="1"/>
    <col min="1295" max="1295" width="8.4257812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8.42578125" style="16" customWidth="1"/>
    <col min="1539" max="1539" width="8.28515625" style="16" customWidth="1"/>
    <col min="1540" max="1540" width="7.28515625" style="16" customWidth="1"/>
    <col min="1541" max="1541" width="8.5703125" style="16" customWidth="1"/>
    <col min="1542" max="1544" width="8.140625" style="16" customWidth="1"/>
    <col min="1545" max="1545" width="8.7109375" style="16" customWidth="1"/>
    <col min="1546" max="1548" width="8.42578125" style="16" customWidth="1"/>
    <col min="1549" max="1549" width="7.85546875" style="16" customWidth="1"/>
    <col min="1550" max="1550" width="7.5703125" style="16" customWidth="1"/>
    <col min="1551" max="1551" width="8.4257812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8.42578125" style="16" customWidth="1"/>
    <col min="1795" max="1795" width="8.28515625" style="16" customWidth="1"/>
    <col min="1796" max="1796" width="7.28515625" style="16" customWidth="1"/>
    <col min="1797" max="1797" width="8.5703125" style="16" customWidth="1"/>
    <col min="1798" max="1800" width="8.140625" style="16" customWidth="1"/>
    <col min="1801" max="1801" width="8.7109375" style="16" customWidth="1"/>
    <col min="1802" max="1804" width="8.42578125" style="16" customWidth="1"/>
    <col min="1805" max="1805" width="7.85546875" style="16" customWidth="1"/>
    <col min="1806" max="1806" width="7.5703125" style="16" customWidth="1"/>
    <col min="1807" max="1807" width="8.4257812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8.42578125" style="16" customWidth="1"/>
    <col min="2051" max="2051" width="8.28515625" style="16" customWidth="1"/>
    <col min="2052" max="2052" width="7.28515625" style="16" customWidth="1"/>
    <col min="2053" max="2053" width="8.5703125" style="16" customWidth="1"/>
    <col min="2054" max="2056" width="8.140625" style="16" customWidth="1"/>
    <col min="2057" max="2057" width="8.7109375" style="16" customWidth="1"/>
    <col min="2058" max="2060" width="8.42578125" style="16" customWidth="1"/>
    <col min="2061" max="2061" width="7.85546875" style="16" customWidth="1"/>
    <col min="2062" max="2062" width="7.5703125" style="16" customWidth="1"/>
    <col min="2063" max="2063" width="8.4257812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8.42578125" style="16" customWidth="1"/>
    <col min="2307" max="2307" width="8.28515625" style="16" customWidth="1"/>
    <col min="2308" max="2308" width="7.28515625" style="16" customWidth="1"/>
    <col min="2309" max="2309" width="8.5703125" style="16" customWidth="1"/>
    <col min="2310" max="2312" width="8.140625" style="16" customWidth="1"/>
    <col min="2313" max="2313" width="8.7109375" style="16" customWidth="1"/>
    <col min="2314" max="2316" width="8.42578125" style="16" customWidth="1"/>
    <col min="2317" max="2317" width="7.85546875" style="16" customWidth="1"/>
    <col min="2318" max="2318" width="7.5703125" style="16" customWidth="1"/>
    <col min="2319" max="2319" width="8.4257812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8.42578125" style="16" customWidth="1"/>
    <col min="2563" max="2563" width="8.28515625" style="16" customWidth="1"/>
    <col min="2564" max="2564" width="7.28515625" style="16" customWidth="1"/>
    <col min="2565" max="2565" width="8.5703125" style="16" customWidth="1"/>
    <col min="2566" max="2568" width="8.140625" style="16" customWidth="1"/>
    <col min="2569" max="2569" width="8.7109375" style="16" customWidth="1"/>
    <col min="2570" max="2572" width="8.42578125" style="16" customWidth="1"/>
    <col min="2573" max="2573" width="7.85546875" style="16" customWidth="1"/>
    <col min="2574" max="2574" width="7.5703125" style="16" customWidth="1"/>
    <col min="2575" max="2575" width="8.4257812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8.42578125" style="16" customWidth="1"/>
    <col min="2819" max="2819" width="8.28515625" style="16" customWidth="1"/>
    <col min="2820" max="2820" width="7.28515625" style="16" customWidth="1"/>
    <col min="2821" max="2821" width="8.5703125" style="16" customWidth="1"/>
    <col min="2822" max="2824" width="8.140625" style="16" customWidth="1"/>
    <col min="2825" max="2825" width="8.7109375" style="16" customWidth="1"/>
    <col min="2826" max="2828" width="8.42578125" style="16" customWidth="1"/>
    <col min="2829" max="2829" width="7.85546875" style="16" customWidth="1"/>
    <col min="2830" max="2830" width="7.5703125" style="16" customWidth="1"/>
    <col min="2831" max="2831" width="8.4257812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8.42578125" style="16" customWidth="1"/>
    <col min="3075" max="3075" width="8.28515625" style="16" customWidth="1"/>
    <col min="3076" max="3076" width="7.28515625" style="16" customWidth="1"/>
    <col min="3077" max="3077" width="8.5703125" style="16" customWidth="1"/>
    <col min="3078" max="3080" width="8.140625" style="16" customWidth="1"/>
    <col min="3081" max="3081" width="8.7109375" style="16" customWidth="1"/>
    <col min="3082" max="3084" width="8.42578125" style="16" customWidth="1"/>
    <col min="3085" max="3085" width="7.85546875" style="16" customWidth="1"/>
    <col min="3086" max="3086" width="7.5703125" style="16" customWidth="1"/>
    <col min="3087" max="3087" width="8.4257812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8.42578125" style="16" customWidth="1"/>
    <col min="3331" max="3331" width="8.28515625" style="16" customWidth="1"/>
    <col min="3332" max="3332" width="7.28515625" style="16" customWidth="1"/>
    <col min="3333" max="3333" width="8.5703125" style="16" customWidth="1"/>
    <col min="3334" max="3336" width="8.140625" style="16" customWidth="1"/>
    <col min="3337" max="3337" width="8.7109375" style="16" customWidth="1"/>
    <col min="3338" max="3340" width="8.42578125" style="16" customWidth="1"/>
    <col min="3341" max="3341" width="7.85546875" style="16" customWidth="1"/>
    <col min="3342" max="3342" width="7.5703125" style="16" customWidth="1"/>
    <col min="3343" max="3343" width="8.4257812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8.42578125" style="16" customWidth="1"/>
    <col min="3587" max="3587" width="8.28515625" style="16" customWidth="1"/>
    <col min="3588" max="3588" width="7.28515625" style="16" customWidth="1"/>
    <col min="3589" max="3589" width="8.5703125" style="16" customWidth="1"/>
    <col min="3590" max="3592" width="8.140625" style="16" customWidth="1"/>
    <col min="3593" max="3593" width="8.7109375" style="16" customWidth="1"/>
    <col min="3594" max="3596" width="8.42578125" style="16" customWidth="1"/>
    <col min="3597" max="3597" width="7.85546875" style="16" customWidth="1"/>
    <col min="3598" max="3598" width="7.5703125" style="16" customWidth="1"/>
    <col min="3599" max="3599" width="8.4257812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8.42578125" style="16" customWidth="1"/>
    <col min="3843" max="3843" width="8.28515625" style="16" customWidth="1"/>
    <col min="3844" max="3844" width="7.28515625" style="16" customWidth="1"/>
    <col min="3845" max="3845" width="8.5703125" style="16" customWidth="1"/>
    <col min="3846" max="3848" width="8.140625" style="16" customWidth="1"/>
    <col min="3849" max="3849" width="8.7109375" style="16" customWidth="1"/>
    <col min="3850" max="3852" width="8.42578125" style="16" customWidth="1"/>
    <col min="3853" max="3853" width="7.85546875" style="16" customWidth="1"/>
    <col min="3854" max="3854" width="7.5703125" style="16" customWidth="1"/>
    <col min="3855" max="3855" width="8.4257812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8.42578125" style="16" customWidth="1"/>
    <col min="4099" max="4099" width="8.28515625" style="16" customWidth="1"/>
    <col min="4100" max="4100" width="7.28515625" style="16" customWidth="1"/>
    <col min="4101" max="4101" width="8.5703125" style="16" customWidth="1"/>
    <col min="4102" max="4104" width="8.140625" style="16" customWidth="1"/>
    <col min="4105" max="4105" width="8.7109375" style="16" customWidth="1"/>
    <col min="4106" max="4108" width="8.42578125" style="16" customWidth="1"/>
    <col min="4109" max="4109" width="7.85546875" style="16" customWidth="1"/>
    <col min="4110" max="4110" width="7.5703125" style="16" customWidth="1"/>
    <col min="4111" max="4111" width="8.4257812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8.42578125" style="16" customWidth="1"/>
    <col min="4355" max="4355" width="8.28515625" style="16" customWidth="1"/>
    <col min="4356" max="4356" width="7.28515625" style="16" customWidth="1"/>
    <col min="4357" max="4357" width="8.5703125" style="16" customWidth="1"/>
    <col min="4358" max="4360" width="8.140625" style="16" customWidth="1"/>
    <col min="4361" max="4361" width="8.7109375" style="16" customWidth="1"/>
    <col min="4362" max="4364" width="8.42578125" style="16" customWidth="1"/>
    <col min="4365" max="4365" width="7.85546875" style="16" customWidth="1"/>
    <col min="4366" max="4366" width="7.5703125" style="16" customWidth="1"/>
    <col min="4367" max="4367" width="8.4257812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8.42578125" style="16" customWidth="1"/>
    <col min="4611" max="4611" width="8.28515625" style="16" customWidth="1"/>
    <col min="4612" max="4612" width="7.28515625" style="16" customWidth="1"/>
    <col min="4613" max="4613" width="8.5703125" style="16" customWidth="1"/>
    <col min="4614" max="4616" width="8.140625" style="16" customWidth="1"/>
    <col min="4617" max="4617" width="8.7109375" style="16" customWidth="1"/>
    <col min="4618" max="4620" width="8.42578125" style="16" customWidth="1"/>
    <col min="4621" max="4621" width="7.85546875" style="16" customWidth="1"/>
    <col min="4622" max="4622" width="7.5703125" style="16" customWidth="1"/>
    <col min="4623" max="4623" width="8.4257812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8.42578125" style="16" customWidth="1"/>
    <col min="4867" max="4867" width="8.28515625" style="16" customWidth="1"/>
    <col min="4868" max="4868" width="7.28515625" style="16" customWidth="1"/>
    <col min="4869" max="4869" width="8.5703125" style="16" customWidth="1"/>
    <col min="4870" max="4872" width="8.140625" style="16" customWidth="1"/>
    <col min="4873" max="4873" width="8.7109375" style="16" customWidth="1"/>
    <col min="4874" max="4876" width="8.42578125" style="16" customWidth="1"/>
    <col min="4877" max="4877" width="7.85546875" style="16" customWidth="1"/>
    <col min="4878" max="4878" width="7.5703125" style="16" customWidth="1"/>
    <col min="4879" max="4879" width="8.4257812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8.42578125" style="16" customWidth="1"/>
    <col min="5123" max="5123" width="8.28515625" style="16" customWidth="1"/>
    <col min="5124" max="5124" width="7.28515625" style="16" customWidth="1"/>
    <col min="5125" max="5125" width="8.5703125" style="16" customWidth="1"/>
    <col min="5126" max="5128" width="8.140625" style="16" customWidth="1"/>
    <col min="5129" max="5129" width="8.7109375" style="16" customWidth="1"/>
    <col min="5130" max="5132" width="8.42578125" style="16" customWidth="1"/>
    <col min="5133" max="5133" width="7.85546875" style="16" customWidth="1"/>
    <col min="5134" max="5134" width="7.5703125" style="16" customWidth="1"/>
    <col min="5135" max="5135" width="8.4257812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8.42578125" style="16" customWidth="1"/>
    <col min="5379" max="5379" width="8.28515625" style="16" customWidth="1"/>
    <col min="5380" max="5380" width="7.28515625" style="16" customWidth="1"/>
    <col min="5381" max="5381" width="8.5703125" style="16" customWidth="1"/>
    <col min="5382" max="5384" width="8.140625" style="16" customWidth="1"/>
    <col min="5385" max="5385" width="8.7109375" style="16" customWidth="1"/>
    <col min="5386" max="5388" width="8.42578125" style="16" customWidth="1"/>
    <col min="5389" max="5389" width="7.85546875" style="16" customWidth="1"/>
    <col min="5390" max="5390" width="7.5703125" style="16" customWidth="1"/>
    <col min="5391" max="5391" width="8.4257812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8.42578125" style="16" customWidth="1"/>
    <col min="5635" max="5635" width="8.28515625" style="16" customWidth="1"/>
    <col min="5636" max="5636" width="7.28515625" style="16" customWidth="1"/>
    <col min="5637" max="5637" width="8.5703125" style="16" customWidth="1"/>
    <col min="5638" max="5640" width="8.140625" style="16" customWidth="1"/>
    <col min="5641" max="5641" width="8.7109375" style="16" customWidth="1"/>
    <col min="5642" max="5644" width="8.42578125" style="16" customWidth="1"/>
    <col min="5645" max="5645" width="7.85546875" style="16" customWidth="1"/>
    <col min="5646" max="5646" width="7.5703125" style="16" customWidth="1"/>
    <col min="5647" max="5647" width="8.4257812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8.42578125" style="16" customWidth="1"/>
    <col min="5891" max="5891" width="8.28515625" style="16" customWidth="1"/>
    <col min="5892" max="5892" width="7.28515625" style="16" customWidth="1"/>
    <col min="5893" max="5893" width="8.5703125" style="16" customWidth="1"/>
    <col min="5894" max="5896" width="8.140625" style="16" customWidth="1"/>
    <col min="5897" max="5897" width="8.7109375" style="16" customWidth="1"/>
    <col min="5898" max="5900" width="8.42578125" style="16" customWidth="1"/>
    <col min="5901" max="5901" width="7.85546875" style="16" customWidth="1"/>
    <col min="5902" max="5902" width="7.5703125" style="16" customWidth="1"/>
    <col min="5903" max="5903" width="8.4257812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8.42578125" style="16" customWidth="1"/>
    <col min="6147" max="6147" width="8.28515625" style="16" customWidth="1"/>
    <col min="6148" max="6148" width="7.28515625" style="16" customWidth="1"/>
    <col min="6149" max="6149" width="8.5703125" style="16" customWidth="1"/>
    <col min="6150" max="6152" width="8.140625" style="16" customWidth="1"/>
    <col min="6153" max="6153" width="8.7109375" style="16" customWidth="1"/>
    <col min="6154" max="6156" width="8.42578125" style="16" customWidth="1"/>
    <col min="6157" max="6157" width="7.85546875" style="16" customWidth="1"/>
    <col min="6158" max="6158" width="7.5703125" style="16" customWidth="1"/>
    <col min="6159" max="6159" width="8.4257812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8.42578125" style="16" customWidth="1"/>
    <col min="6403" max="6403" width="8.28515625" style="16" customWidth="1"/>
    <col min="6404" max="6404" width="7.28515625" style="16" customWidth="1"/>
    <col min="6405" max="6405" width="8.5703125" style="16" customWidth="1"/>
    <col min="6406" max="6408" width="8.140625" style="16" customWidth="1"/>
    <col min="6409" max="6409" width="8.7109375" style="16" customWidth="1"/>
    <col min="6410" max="6412" width="8.42578125" style="16" customWidth="1"/>
    <col min="6413" max="6413" width="7.85546875" style="16" customWidth="1"/>
    <col min="6414" max="6414" width="7.5703125" style="16" customWidth="1"/>
    <col min="6415" max="6415" width="8.4257812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8.42578125" style="16" customWidth="1"/>
    <col min="6659" max="6659" width="8.28515625" style="16" customWidth="1"/>
    <col min="6660" max="6660" width="7.28515625" style="16" customWidth="1"/>
    <col min="6661" max="6661" width="8.5703125" style="16" customWidth="1"/>
    <col min="6662" max="6664" width="8.140625" style="16" customWidth="1"/>
    <col min="6665" max="6665" width="8.7109375" style="16" customWidth="1"/>
    <col min="6666" max="6668" width="8.42578125" style="16" customWidth="1"/>
    <col min="6669" max="6669" width="7.85546875" style="16" customWidth="1"/>
    <col min="6670" max="6670" width="7.5703125" style="16" customWidth="1"/>
    <col min="6671" max="6671" width="8.4257812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8.42578125" style="16" customWidth="1"/>
    <col min="6915" max="6915" width="8.28515625" style="16" customWidth="1"/>
    <col min="6916" max="6916" width="7.28515625" style="16" customWidth="1"/>
    <col min="6917" max="6917" width="8.5703125" style="16" customWidth="1"/>
    <col min="6918" max="6920" width="8.140625" style="16" customWidth="1"/>
    <col min="6921" max="6921" width="8.7109375" style="16" customWidth="1"/>
    <col min="6922" max="6924" width="8.42578125" style="16" customWidth="1"/>
    <col min="6925" max="6925" width="7.85546875" style="16" customWidth="1"/>
    <col min="6926" max="6926" width="7.5703125" style="16" customWidth="1"/>
    <col min="6927" max="6927" width="8.4257812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8.42578125" style="16" customWidth="1"/>
    <col min="7171" max="7171" width="8.28515625" style="16" customWidth="1"/>
    <col min="7172" max="7172" width="7.28515625" style="16" customWidth="1"/>
    <col min="7173" max="7173" width="8.5703125" style="16" customWidth="1"/>
    <col min="7174" max="7176" width="8.140625" style="16" customWidth="1"/>
    <col min="7177" max="7177" width="8.7109375" style="16" customWidth="1"/>
    <col min="7178" max="7180" width="8.42578125" style="16" customWidth="1"/>
    <col min="7181" max="7181" width="7.85546875" style="16" customWidth="1"/>
    <col min="7182" max="7182" width="7.5703125" style="16" customWidth="1"/>
    <col min="7183" max="7183" width="8.4257812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8.42578125" style="16" customWidth="1"/>
    <col min="7427" max="7427" width="8.28515625" style="16" customWidth="1"/>
    <col min="7428" max="7428" width="7.28515625" style="16" customWidth="1"/>
    <col min="7429" max="7429" width="8.5703125" style="16" customWidth="1"/>
    <col min="7430" max="7432" width="8.140625" style="16" customWidth="1"/>
    <col min="7433" max="7433" width="8.7109375" style="16" customWidth="1"/>
    <col min="7434" max="7436" width="8.42578125" style="16" customWidth="1"/>
    <col min="7437" max="7437" width="7.85546875" style="16" customWidth="1"/>
    <col min="7438" max="7438" width="7.5703125" style="16" customWidth="1"/>
    <col min="7439" max="7439" width="8.4257812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8.42578125" style="16" customWidth="1"/>
    <col min="7683" max="7683" width="8.28515625" style="16" customWidth="1"/>
    <col min="7684" max="7684" width="7.28515625" style="16" customWidth="1"/>
    <col min="7685" max="7685" width="8.5703125" style="16" customWidth="1"/>
    <col min="7686" max="7688" width="8.140625" style="16" customWidth="1"/>
    <col min="7689" max="7689" width="8.7109375" style="16" customWidth="1"/>
    <col min="7690" max="7692" width="8.42578125" style="16" customWidth="1"/>
    <col min="7693" max="7693" width="7.85546875" style="16" customWidth="1"/>
    <col min="7694" max="7694" width="7.5703125" style="16" customWidth="1"/>
    <col min="7695" max="7695" width="8.4257812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8.42578125" style="16" customWidth="1"/>
    <col min="7939" max="7939" width="8.28515625" style="16" customWidth="1"/>
    <col min="7940" max="7940" width="7.28515625" style="16" customWidth="1"/>
    <col min="7941" max="7941" width="8.5703125" style="16" customWidth="1"/>
    <col min="7942" max="7944" width="8.140625" style="16" customWidth="1"/>
    <col min="7945" max="7945" width="8.7109375" style="16" customWidth="1"/>
    <col min="7946" max="7948" width="8.42578125" style="16" customWidth="1"/>
    <col min="7949" max="7949" width="7.85546875" style="16" customWidth="1"/>
    <col min="7950" max="7950" width="7.5703125" style="16" customWidth="1"/>
    <col min="7951" max="7951" width="8.4257812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8.42578125" style="16" customWidth="1"/>
    <col min="8195" max="8195" width="8.28515625" style="16" customWidth="1"/>
    <col min="8196" max="8196" width="7.28515625" style="16" customWidth="1"/>
    <col min="8197" max="8197" width="8.5703125" style="16" customWidth="1"/>
    <col min="8198" max="8200" width="8.140625" style="16" customWidth="1"/>
    <col min="8201" max="8201" width="8.7109375" style="16" customWidth="1"/>
    <col min="8202" max="8204" width="8.42578125" style="16" customWidth="1"/>
    <col min="8205" max="8205" width="7.85546875" style="16" customWidth="1"/>
    <col min="8206" max="8206" width="7.5703125" style="16" customWidth="1"/>
    <col min="8207" max="8207" width="8.4257812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8.42578125" style="16" customWidth="1"/>
    <col min="8451" max="8451" width="8.28515625" style="16" customWidth="1"/>
    <col min="8452" max="8452" width="7.28515625" style="16" customWidth="1"/>
    <col min="8453" max="8453" width="8.5703125" style="16" customWidth="1"/>
    <col min="8454" max="8456" width="8.140625" style="16" customWidth="1"/>
    <col min="8457" max="8457" width="8.7109375" style="16" customWidth="1"/>
    <col min="8458" max="8460" width="8.42578125" style="16" customWidth="1"/>
    <col min="8461" max="8461" width="7.85546875" style="16" customWidth="1"/>
    <col min="8462" max="8462" width="7.5703125" style="16" customWidth="1"/>
    <col min="8463" max="8463" width="8.4257812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8.42578125" style="16" customWidth="1"/>
    <col min="8707" max="8707" width="8.28515625" style="16" customWidth="1"/>
    <col min="8708" max="8708" width="7.28515625" style="16" customWidth="1"/>
    <col min="8709" max="8709" width="8.5703125" style="16" customWidth="1"/>
    <col min="8710" max="8712" width="8.140625" style="16" customWidth="1"/>
    <col min="8713" max="8713" width="8.7109375" style="16" customWidth="1"/>
    <col min="8714" max="8716" width="8.42578125" style="16" customWidth="1"/>
    <col min="8717" max="8717" width="7.85546875" style="16" customWidth="1"/>
    <col min="8718" max="8718" width="7.5703125" style="16" customWidth="1"/>
    <col min="8719" max="8719" width="8.4257812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8.42578125" style="16" customWidth="1"/>
    <col min="8963" max="8963" width="8.28515625" style="16" customWidth="1"/>
    <col min="8964" max="8964" width="7.28515625" style="16" customWidth="1"/>
    <col min="8965" max="8965" width="8.5703125" style="16" customWidth="1"/>
    <col min="8966" max="8968" width="8.140625" style="16" customWidth="1"/>
    <col min="8969" max="8969" width="8.7109375" style="16" customWidth="1"/>
    <col min="8970" max="8972" width="8.42578125" style="16" customWidth="1"/>
    <col min="8973" max="8973" width="7.85546875" style="16" customWidth="1"/>
    <col min="8974" max="8974" width="7.5703125" style="16" customWidth="1"/>
    <col min="8975" max="8975" width="8.4257812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8.42578125" style="16" customWidth="1"/>
    <col min="9219" max="9219" width="8.28515625" style="16" customWidth="1"/>
    <col min="9220" max="9220" width="7.28515625" style="16" customWidth="1"/>
    <col min="9221" max="9221" width="8.5703125" style="16" customWidth="1"/>
    <col min="9222" max="9224" width="8.140625" style="16" customWidth="1"/>
    <col min="9225" max="9225" width="8.7109375" style="16" customWidth="1"/>
    <col min="9226" max="9228" width="8.42578125" style="16" customWidth="1"/>
    <col min="9229" max="9229" width="7.85546875" style="16" customWidth="1"/>
    <col min="9230" max="9230" width="7.5703125" style="16" customWidth="1"/>
    <col min="9231" max="9231" width="8.4257812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8.42578125" style="16" customWidth="1"/>
    <col min="9475" max="9475" width="8.28515625" style="16" customWidth="1"/>
    <col min="9476" max="9476" width="7.28515625" style="16" customWidth="1"/>
    <col min="9477" max="9477" width="8.5703125" style="16" customWidth="1"/>
    <col min="9478" max="9480" width="8.140625" style="16" customWidth="1"/>
    <col min="9481" max="9481" width="8.7109375" style="16" customWidth="1"/>
    <col min="9482" max="9484" width="8.42578125" style="16" customWidth="1"/>
    <col min="9485" max="9485" width="7.85546875" style="16" customWidth="1"/>
    <col min="9486" max="9486" width="7.5703125" style="16" customWidth="1"/>
    <col min="9487" max="9487" width="8.4257812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8.42578125" style="16" customWidth="1"/>
    <col min="9731" max="9731" width="8.28515625" style="16" customWidth="1"/>
    <col min="9732" max="9732" width="7.28515625" style="16" customWidth="1"/>
    <col min="9733" max="9733" width="8.5703125" style="16" customWidth="1"/>
    <col min="9734" max="9736" width="8.140625" style="16" customWidth="1"/>
    <col min="9737" max="9737" width="8.7109375" style="16" customWidth="1"/>
    <col min="9738" max="9740" width="8.42578125" style="16" customWidth="1"/>
    <col min="9741" max="9741" width="7.85546875" style="16" customWidth="1"/>
    <col min="9742" max="9742" width="7.5703125" style="16" customWidth="1"/>
    <col min="9743" max="9743" width="8.4257812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8.42578125" style="16" customWidth="1"/>
    <col min="9987" max="9987" width="8.28515625" style="16" customWidth="1"/>
    <col min="9988" max="9988" width="7.28515625" style="16" customWidth="1"/>
    <col min="9989" max="9989" width="8.5703125" style="16" customWidth="1"/>
    <col min="9990" max="9992" width="8.140625" style="16" customWidth="1"/>
    <col min="9993" max="9993" width="8.7109375" style="16" customWidth="1"/>
    <col min="9994" max="9996" width="8.42578125" style="16" customWidth="1"/>
    <col min="9997" max="9997" width="7.85546875" style="16" customWidth="1"/>
    <col min="9998" max="9998" width="7.5703125" style="16" customWidth="1"/>
    <col min="9999" max="9999" width="8.4257812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8.42578125" style="16" customWidth="1"/>
    <col min="10243" max="10243" width="8.28515625" style="16" customWidth="1"/>
    <col min="10244" max="10244" width="7.28515625" style="16" customWidth="1"/>
    <col min="10245" max="10245" width="8.5703125" style="16" customWidth="1"/>
    <col min="10246" max="10248" width="8.140625" style="16" customWidth="1"/>
    <col min="10249" max="10249" width="8.7109375" style="16" customWidth="1"/>
    <col min="10250" max="10252" width="8.42578125" style="16" customWidth="1"/>
    <col min="10253" max="10253" width="7.85546875" style="16" customWidth="1"/>
    <col min="10254" max="10254" width="7.5703125" style="16" customWidth="1"/>
    <col min="10255" max="10255" width="8.4257812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8.42578125" style="16" customWidth="1"/>
    <col min="10499" max="10499" width="8.28515625" style="16" customWidth="1"/>
    <col min="10500" max="10500" width="7.28515625" style="16" customWidth="1"/>
    <col min="10501" max="10501" width="8.5703125" style="16" customWidth="1"/>
    <col min="10502" max="10504" width="8.140625" style="16" customWidth="1"/>
    <col min="10505" max="10505" width="8.7109375" style="16" customWidth="1"/>
    <col min="10506" max="10508" width="8.42578125" style="16" customWidth="1"/>
    <col min="10509" max="10509" width="7.85546875" style="16" customWidth="1"/>
    <col min="10510" max="10510" width="7.5703125" style="16" customWidth="1"/>
    <col min="10511" max="10511" width="8.4257812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8.42578125" style="16" customWidth="1"/>
    <col min="10755" max="10755" width="8.28515625" style="16" customWidth="1"/>
    <col min="10756" max="10756" width="7.28515625" style="16" customWidth="1"/>
    <col min="10757" max="10757" width="8.5703125" style="16" customWidth="1"/>
    <col min="10758" max="10760" width="8.140625" style="16" customWidth="1"/>
    <col min="10761" max="10761" width="8.7109375" style="16" customWidth="1"/>
    <col min="10762" max="10764" width="8.42578125" style="16" customWidth="1"/>
    <col min="10765" max="10765" width="7.85546875" style="16" customWidth="1"/>
    <col min="10766" max="10766" width="7.5703125" style="16" customWidth="1"/>
    <col min="10767" max="10767" width="8.4257812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8.42578125" style="16" customWidth="1"/>
    <col min="11011" max="11011" width="8.28515625" style="16" customWidth="1"/>
    <col min="11012" max="11012" width="7.28515625" style="16" customWidth="1"/>
    <col min="11013" max="11013" width="8.5703125" style="16" customWidth="1"/>
    <col min="11014" max="11016" width="8.140625" style="16" customWidth="1"/>
    <col min="11017" max="11017" width="8.7109375" style="16" customWidth="1"/>
    <col min="11018" max="11020" width="8.42578125" style="16" customWidth="1"/>
    <col min="11021" max="11021" width="7.85546875" style="16" customWidth="1"/>
    <col min="11022" max="11022" width="7.5703125" style="16" customWidth="1"/>
    <col min="11023" max="11023" width="8.4257812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8.42578125" style="16" customWidth="1"/>
    <col min="11267" max="11267" width="8.28515625" style="16" customWidth="1"/>
    <col min="11268" max="11268" width="7.28515625" style="16" customWidth="1"/>
    <col min="11269" max="11269" width="8.5703125" style="16" customWidth="1"/>
    <col min="11270" max="11272" width="8.140625" style="16" customWidth="1"/>
    <col min="11273" max="11273" width="8.7109375" style="16" customWidth="1"/>
    <col min="11274" max="11276" width="8.42578125" style="16" customWidth="1"/>
    <col min="11277" max="11277" width="7.85546875" style="16" customWidth="1"/>
    <col min="11278" max="11278" width="7.5703125" style="16" customWidth="1"/>
    <col min="11279" max="11279" width="8.4257812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8.42578125" style="16" customWidth="1"/>
    <col min="11523" max="11523" width="8.28515625" style="16" customWidth="1"/>
    <col min="11524" max="11524" width="7.28515625" style="16" customWidth="1"/>
    <col min="11525" max="11525" width="8.5703125" style="16" customWidth="1"/>
    <col min="11526" max="11528" width="8.140625" style="16" customWidth="1"/>
    <col min="11529" max="11529" width="8.7109375" style="16" customWidth="1"/>
    <col min="11530" max="11532" width="8.42578125" style="16" customWidth="1"/>
    <col min="11533" max="11533" width="7.85546875" style="16" customWidth="1"/>
    <col min="11534" max="11534" width="7.5703125" style="16" customWidth="1"/>
    <col min="11535" max="11535" width="8.4257812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8.42578125" style="16" customWidth="1"/>
    <col min="11779" max="11779" width="8.28515625" style="16" customWidth="1"/>
    <col min="11780" max="11780" width="7.28515625" style="16" customWidth="1"/>
    <col min="11781" max="11781" width="8.5703125" style="16" customWidth="1"/>
    <col min="11782" max="11784" width="8.140625" style="16" customWidth="1"/>
    <col min="11785" max="11785" width="8.7109375" style="16" customWidth="1"/>
    <col min="11786" max="11788" width="8.42578125" style="16" customWidth="1"/>
    <col min="11789" max="11789" width="7.85546875" style="16" customWidth="1"/>
    <col min="11790" max="11790" width="7.5703125" style="16" customWidth="1"/>
    <col min="11791" max="11791" width="8.4257812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8.42578125" style="16" customWidth="1"/>
    <col min="12035" max="12035" width="8.28515625" style="16" customWidth="1"/>
    <col min="12036" max="12036" width="7.28515625" style="16" customWidth="1"/>
    <col min="12037" max="12037" width="8.5703125" style="16" customWidth="1"/>
    <col min="12038" max="12040" width="8.140625" style="16" customWidth="1"/>
    <col min="12041" max="12041" width="8.7109375" style="16" customWidth="1"/>
    <col min="12042" max="12044" width="8.42578125" style="16" customWidth="1"/>
    <col min="12045" max="12045" width="7.85546875" style="16" customWidth="1"/>
    <col min="12046" max="12046" width="7.5703125" style="16" customWidth="1"/>
    <col min="12047" max="12047" width="8.4257812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8.42578125" style="16" customWidth="1"/>
    <col min="12291" max="12291" width="8.28515625" style="16" customWidth="1"/>
    <col min="12292" max="12292" width="7.28515625" style="16" customWidth="1"/>
    <col min="12293" max="12293" width="8.5703125" style="16" customWidth="1"/>
    <col min="12294" max="12296" width="8.140625" style="16" customWidth="1"/>
    <col min="12297" max="12297" width="8.7109375" style="16" customWidth="1"/>
    <col min="12298" max="12300" width="8.42578125" style="16" customWidth="1"/>
    <col min="12301" max="12301" width="7.85546875" style="16" customWidth="1"/>
    <col min="12302" max="12302" width="7.5703125" style="16" customWidth="1"/>
    <col min="12303" max="12303" width="8.4257812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8.42578125" style="16" customWidth="1"/>
    <col min="12547" max="12547" width="8.28515625" style="16" customWidth="1"/>
    <col min="12548" max="12548" width="7.28515625" style="16" customWidth="1"/>
    <col min="12549" max="12549" width="8.5703125" style="16" customWidth="1"/>
    <col min="12550" max="12552" width="8.140625" style="16" customWidth="1"/>
    <col min="12553" max="12553" width="8.7109375" style="16" customWidth="1"/>
    <col min="12554" max="12556" width="8.42578125" style="16" customWidth="1"/>
    <col min="12557" max="12557" width="7.85546875" style="16" customWidth="1"/>
    <col min="12558" max="12558" width="7.5703125" style="16" customWidth="1"/>
    <col min="12559" max="12559" width="8.4257812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8.42578125" style="16" customWidth="1"/>
    <col min="12803" max="12803" width="8.28515625" style="16" customWidth="1"/>
    <col min="12804" max="12804" width="7.28515625" style="16" customWidth="1"/>
    <col min="12805" max="12805" width="8.5703125" style="16" customWidth="1"/>
    <col min="12806" max="12808" width="8.140625" style="16" customWidth="1"/>
    <col min="12809" max="12809" width="8.7109375" style="16" customWidth="1"/>
    <col min="12810" max="12812" width="8.42578125" style="16" customWidth="1"/>
    <col min="12813" max="12813" width="7.85546875" style="16" customWidth="1"/>
    <col min="12814" max="12814" width="7.5703125" style="16" customWidth="1"/>
    <col min="12815" max="12815" width="8.4257812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8.42578125" style="16" customWidth="1"/>
    <col min="13059" max="13059" width="8.28515625" style="16" customWidth="1"/>
    <col min="13060" max="13060" width="7.28515625" style="16" customWidth="1"/>
    <col min="13061" max="13061" width="8.5703125" style="16" customWidth="1"/>
    <col min="13062" max="13064" width="8.140625" style="16" customWidth="1"/>
    <col min="13065" max="13065" width="8.7109375" style="16" customWidth="1"/>
    <col min="13066" max="13068" width="8.42578125" style="16" customWidth="1"/>
    <col min="13069" max="13069" width="7.85546875" style="16" customWidth="1"/>
    <col min="13070" max="13070" width="7.5703125" style="16" customWidth="1"/>
    <col min="13071" max="13071" width="8.4257812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8.42578125" style="16" customWidth="1"/>
    <col min="13315" max="13315" width="8.28515625" style="16" customWidth="1"/>
    <col min="13316" max="13316" width="7.28515625" style="16" customWidth="1"/>
    <col min="13317" max="13317" width="8.5703125" style="16" customWidth="1"/>
    <col min="13318" max="13320" width="8.140625" style="16" customWidth="1"/>
    <col min="13321" max="13321" width="8.7109375" style="16" customWidth="1"/>
    <col min="13322" max="13324" width="8.42578125" style="16" customWidth="1"/>
    <col min="13325" max="13325" width="7.85546875" style="16" customWidth="1"/>
    <col min="13326" max="13326" width="7.5703125" style="16" customWidth="1"/>
    <col min="13327" max="13327" width="8.4257812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8.42578125" style="16" customWidth="1"/>
    <col min="13571" max="13571" width="8.28515625" style="16" customWidth="1"/>
    <col min="13572" max="13572" width="7.28515625" style="16" customWidth="1"/>
    <col min="13573" max="13573" width="8.5703125" style="16" customWidth="1"/>
    <col min="13574" max="13576" width="8.140625" style="16" customWidth="1"/>
    <col min="13577" max="13577" width="8.7109375" style="16" customWidth="1"/>
    <col min="13578" max="13580" width="8.42578125" style="16" customWidth="1"/>
    <col min="13581" max="13581" width="7.85546875" style="16" customWidth="1"/>
    <col min="13582" max="13582" width="7.5703125" style="16" customWidth="1"/>
    <col min="13583" max="13583" width="8.4257812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8.42578125" style="16" customWidth="1"/>
    <col min="13827" max="13827" width="8.28515625" style="16" customWidth="1"/>
    <col min="13828" max="13828" width="7.28515625" style="16" customWidth="1"/>
    <col min="13829" max="13829" width="8.5703125" style="16" customWidth="1"/>
    <col min="13830" max="13832" width="8.140625" style="16" customWidth="1"/>
    <col min="13833" max="13833" width="8.7109375" style="16" customWidth="1"/>
    <col min="13834" max="13836" width="8.42578125" style="16" customWidth="1"/>
    <col min="13837" max="13837" width="7.85546875" style="16" customWidth="1"/>
    <col min="13838" max="13838" width="7.5703125" style="16" customWidth="1"/>
    <col min="13839" max="13839" width="8.4257812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8.42578125" style="16" customWidth="1"/>
    <col min="14083" max="14083" width="8.28515625" style="16" customWidth="1"/>
    <col min="14084" max="14084" width="7.28515625" style="16" customWidth="1"/>
    <col min="14085" max="14085" width="8.5703125" style="16" customWidth="1"/>
    <col min="14086" max="14088" width="8.140625" style="16" customWidth="1"/>
    <col min="14089" max="14089" width="8.7109375" style="16" customWidth="1"/>
    <col min="14090" max="14092" width="8.42578125" style="16" customWidth="1"/>
    <col min="14093" max="14093" width="7.85546875" style="16" customWidth="1"/>
    <col min="14094" max="14094" width="7.5703125" style="16" customWidth="1"/>
    <col min="14095" max="14095" width="8.4257812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8.42578125" style="16" customWidth="1"/>
    <col min="14339" max="14339" width="8.28515625" style="16" customWidth="1"/>
    <col min="14340" max="14340" width="7.28515625" style="16" customWidth="1"/>
    <col min="14341" max="14341" width="8.5703125" style="16" customWidth="1"/>
    <col min="14342" max="14344" width="8.140625" style="16" customWidth="1"/>
    <col min="14345" max="14345" width="8.7109375" style="16" customWidth="1"/>
    <col min="14346" max="14348" width="8.42578125" style="16" customWidth="1"/>
    <col min="14349" max="14349" width="7.85546875" style="16" customWidth="1"/>
    <col min="14350" max="14350" width="7.5703125" style="16" customWidth="1"/>
    <col min="14351" max="14351" width="8.4257812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8.42578125" style="16" customWidth="1"/>
    <col min="14595" max="14595" width="8.28515625" style="16" customWidth="1"/>
    <col min="14596" max="14596" width="7.28515625" style="16" customWidth="1"/>
    <col min="14597" max="14597" width="8.5703125" style="16" customWidth="1"/>
    <col min="14598" max="14600" width="8.140625" style="16" customWidth="1"/>
    <col min="14601" max="14601" width="8.7109375" style="16" customWidth="1"/>
    <col min="14602" max="14604" width="8.42578125" style="16" customWidth="1"/>
    <col min="14605" max="14605" width="7.85546875" style="16" customWidth="1"/>
    <col min="14606" max="14606" width="7.5703125" style="16" customWidth="1"/>
    <col min="14607" max="14607" width="8.4257812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8.42578125" style="16" customWidth="1"/>
    <col min="14851" max="14851" width="8.28515625" style="16" customWidth="1"/>
    <col min="14852" max="14852" width="7.28515625" style="16" customWidth="1"/>
    <col min="14853" max="14853" width="8.5703125" style="16" customWidth="1"/>
    <col min="14854" max="14856" width="8.140625" style="16" customWidth="1"/>
    <col min="14857" max="14857" width="8.7109375" style="16" customWidth="1"/>
    <col min="14858" max="14860" width="8.42578125" style="16" customWidth="1"/>
    <col min="14861" max="14861" width="7.85546875" style="16" customWidth="1"/>
    <col min="14862" max="14862" width="7.5703125" style="16" customWidth="1"/>
    <col min="14863" max="14863" width="8.4257812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8.42578125" style="16" customWidth="1"/>
    <col min="15107" max="15107" width="8.28515625" style="16" customWidth="1"/>
    <col min="15108" max="15108" width="7.28515625" style="16" customWidth="1"/>
    <col min="15109" max="15109" width="8.5703125" style="16" customWidth="1"/>
    <col min="15110" max="15112" width="8.140625" style="16" customWidth="1"/>
    <col min="15113" max="15113" width="8.7109375" style="16" customWidth="1"/>
    <col min="15114" max="15116" width="8.42578125" style="16" customWidth="1"/>
    <col min="15117" max="15117" width="7.85546875" style="16" customWidth="1"/>
    <col min="15118" max="15118" width="7.5703125" style="16" customWidth="1"/>
    <col min="15119" max="15119" width="8.4257812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8.42578125" style="16" customWidth="1"/>
    <col min="15363" max="15363" width="8.28515625" style="16" customWidth="1"/>
    <col min="15364" max="15364" width="7.28515625" style="16" customWidth="1"/>
    <col min="15365" max="15365" width="8.5703125" style="16" customWidth="1"/>
    <col min="15366" max="15368" width="8.140625" style="16" customWidth="1"/>
    <col min="15369" max="15369" width="8.7109375" style="16" customWidth="1"/>
    <col min="15370" max="15372" width="8.42578125" style="16" customWidth="1"/>
    <col min="15373" max="15373" width="7.85546875" style="16" customWidth="1"/>
    <col min="15374" max="15374" width="7.5703125" style="16" customWidth="1"/>
    <col min="15375" max="15375" width="8.4257812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8.42578125" style="16" customWidth="1"/>
    <col min="15619" max="15619" width="8.28515625" style="16" customWidth="1"/>
    <col min="15620" max="15620" width="7.28515625" style="16" customWidth="1"/>
    <col min="15621" max="15621" width="8.5703125" style="16" customWidth="1"/>
    <col min="15622" max="15624" width="8.140625" style="16" customWidth="1"/>
    <col min="15625" max="15625" width="8.7109375" style="16" customWidth="1"/>
    <col min="15626" max="15628" width="8.42578125" style="16" customWidth="1"/>
    <col min="15629" max="15629" width="7.85546875" style="16" customWidth="1"/>
    <col min="15630" max="15630" width="7.5703125" style="16" customWidth="1"/>
    <col min="15631" max="15631" width="8.4257812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8.42578125" style="16" customWidth="1"/>
    <col min="15875" max="15875" width="8.28515625" style="16" customWidth="1"/>
    <col min="15876" max="15876" width="7.28515625" style="16" customWidth="1"/>
    <col min="15877" max="15877" width="8.5703125" style="16" customWidth="1"/>
    <col min="15878" max="15880" width="8.140625" style="16" customWidth="1"/>
    <col min="15881" max="15881" width="8.7109375" style="16" customWidth="1"/>
    <col min="15882" max="15884" width="8.42578125" style="16" customWidth="1"/>
    <col min="15885" max="15885" width="7.85546875" style="16" customWidth="1"/>
    <col min="15886" max="15886" width="7.5703125" style="16" customWidth="1"/>
    <col min="15887" max="15887" width="8.4257812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8.42578125" style="16" customWidth="1"/>
    <col min="16131" max="16131" width="8.28515625" style="16" customWidth="1"/>
    <col min="16132" max="16132" width="7.28515625" style="16" customWidth="1"/>
    <col min="16133" max="16133" width="8.5703125" style="16" customWidth="1"/>
    <col min="16134" max="16136" width="8.140625" style="16" customWidth="1"/>
    <col min="16137" max="16137" width="8.7109375" style="16" customWidth="1"/>
    <col min="16138" max="16140" width="8.42578125" style="16" customWidth="1"/>
    <col min="16141" max="16141" width="7.85546875" style="16" customWidth="1"/>
    <col min="16142" max="16142" width="7.5703125" style="16" customWidth="1"/>
    <col min="16143" max="16143" width="8.4257812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67" t="s">
        <v>100</v>
      </c>
      <c r="B1" s="868"/>
      <c r="C1" s="868"/>
      <c r="D1" s="911" t="s">
        <v>480</v>
      </c>
      <c r="E1" s="868"/>
      <c r="F1" s="868"/>
      <c r="G1" s="867" t="s">
        <v>102</v>
      </c>
      <c r="H1" s="869"/>
      <c r="I1" s="869" t="s">
        <v>481</v>
      </c>
      <c r="J1" s="868"/>
      <c r="K1" s="868"/>
      <c r="L1" s="870"/>
      <c r="M1" s="870"/>
      <c r="N1" s="870"/>
      <c r="O1" s="870"/>
    </row>
    <row r="2" spans="1:15" s="1" customFormat="1" x14ac:dyDescent="0.2">
      <c r="A2" s="867" t="s">
        <v>103</v>
      </c>
      <c r="B2" s="868"/>
      <c r="C2" s="868"/>
      <c r="D2" s="869"/>
      <c r="E2" s="868"/>
      <c r="F2" s="868"/>
      <c r="G2" s="867" t="s">
        <v>104</v>
      </c>
      <c r="H2" s="869"/>
      <c r="I2" s="869" t="s">
        <v>105</v>
      </c>
      <c r="J2" s="868"/>
      <c r="K2" s="868"/>
      <c r="L2" s="870"/>
      <c r="M2" s="870"/>
      <c r="N2" s="870"/>
      <c r="O2" s="870"/>
    </row>
    <row r="3" spans="1:15" s="1" customFormat="1" x14ac:dyDescent="0.2">
      <c r="A3" s="867" t="s">
        <v>106</v>
      </c>
      <c r="B3" s="868"/>
      <c r="C3" s="868"/>
      <c r="D3" s="883">
        <v>21251</v>
      </c>
      <c r="E3" s="868"/>
      <c r="F3" s="868"/>
      <c r="G3" s="867" t="s">
        <v>107</v>
      </c>
      <c r="H3" s="869"/>
      <c r="I3" s="869" t="s">
        <v>108</v>
      </c>
      <c r="J3" s="868"/>
      <c r="K3" s="868"/>
      <c r="L3" s="870"/>
      <c r="M3" s="870"/>
      <c r="N3" s="870"/>
      <c r="O3" s="870"/>
    </row>
    <row r="4" spans="1:15" s="1" customFormat="1" x14ac:dyDescent="0.2">
      <c r="A4" s="867" t="s">
        <v>109</v>
      </c>
      <c r="B4" s="868"/>
      <c r="C4" s="868"/>
      <c r="D4" s="869"/>
      <c r="E4" s="868"/>
      <c r="F4" s="868"/>
      <c r="G4" s="867" t="s">
        <v>110</v>
      </c>
      <c r="H4" s="869"/>
      <c r="I4" s="869" t="s">
        <v>111</v>
      </c>
      <c r="J4" s="868"/>
      <c r="K4" s="868"/>
      <c r="L4" s="870"/>
      <c r="M4" s="870"/>
      <c r="N4" s="870"/>
      <c r="O4" s="870"/>
    </row>
    <row r="5" spans="1:15" s="1" customFormat="1" x14ac:dyDescent="0.2">
      <c r="A5" s="867" t="s">
        <v>443</v>
      </c>
      <c r="B5" s="868"/>
      <c r="C5" s="868"/>
      <c r="D5" s="869" t="s">
        <v>482</v>
      </c>
      <c r="E5" s="868"/>
      <c r="F5" s="868"/>
      <c r="G5" s="867"/>
      <c r="H5" s="868"/>
      <c r="I5" s="869" t="s">
        <v>113</v>
      </c>
      <c r="J5" s="868"/>
      <c r="K5" s="868"/>
      <c r="L5" s="870"/>
      <c r="M5" s="870"/>
      <c r="N5" s="870"/>
      <c r="O5" s="870"/>
    </row>
    <row r="6" spans="1:15" s="1" customFormat="1" x14ac:dyDescent="0.2">
      <c r="A6" s="871" t="s">
        <v>114</v>
      </c>
      <c r="B6" s="872"/>
      <c r="C6" s="872"/>
      <c r="D6" s="868" t="s">
        <v>26</v>
      </c>
      <c r="E6" s="868"/>
      <c r="F6" s="868"/>
      <c r="G6" s="871" t="s">
        <v>115</v>
      </c>
      <c r="H6" s="871"/>
      <c r="I6" s="2" t="s">
        <v>222</v>
      </c>
      <c r="J6" s="888"/>
      <c r="K6" s="888"/>
      <c r="L6" s="888"/>
      <c r="M6" s="888"/>
      <c r="N6" s="888"/>
      <c r="O6" s="889"/>
    </row>
    <row r="7" spans="1:15" s="1" customFormat="1" ht="13.5" thickBot="1" x14ac:dyDescent="0.25">
      <c r="A7" s="3"/>
      <c r="B7" s="4"/>
      <c r="C7" s="5"/>
      <c r="D7" s="6"/>
      <c r="E7" s="6"/>
      <c r="F7" s="6"/>
      <c r="G7" s="6"/>
      <c r="H7" s="6"/>
      <c r="I7" s="6"/>
      <c r="J7" s="7"/>
      <c r="K7" s="8"/>
      <c r="L7" s="875" t="s">
        <v>223</v>
      </c>
      <c r="M7" s="875"/>
      <c r="N7" s="875"/>
      <c r="O7" s="875"/>
    </row>
    <row r="8" spans="1:15" s="11" customFormat="1" x14ac:dyDescent="0.2">
      <c r="A8" s="876" t="str">
        <f>I1</f>
        <v>Mr. Vandana K.Vaidya</v>
      </c>
      <c r="B8" s="877"/>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42800</v>
      </c>
      <c r="D9" s="14">
        <v>42800</v>
      </c>
      <c r="E9" s="14">
        <v>42800</v>
      </c>
      <c r="F9" s="14">
        <v>42800</v>
      </c>
      <c r="G9" s="14">
        <v>44100</v>
      </c>
      <c r="H9" s="14">
        <v>44100</v>
      </c>
      <c r="I9" s="14">
        <v>44100</v>
      </c>
      <c r="J9" s="14">
        <v>44100</v>
      </c>
      <c r="K9" s="14">
        <v>44100</v>
      </c>
      <c r="L9" s="14">
        <v>44100</v>
      </c>
      <c r="M9" s="14">
        <v>44100</v>
      </c>
      <c r="N9" s="14">
        <v>44100</v>
      </c>
      <c r="O9" s="15">
        <f>SUM(C9:N9)</f>
        <v>524000</v>
      </c>
    </row>
    <row r="10" spans="1:15" ht="15" x14ac:dyDescent="0.2">
      <c r="A10" s="12"/>
      <c r="B10" s="13" t="s">
        <v>119</v>
      </c>
      <c r="C10" s="17">
        <v>0</v>
      </c>
      <c r="D10" s="17">
        <f t="shared" ref="D10:N25" si="0">+C10</f>
        <v>0</v>
      </c>
      <c r="E10" s="17">
        <f t="shared" si="0"/>
        <v>0</v>
      </c>
      <c r="F10" s="17">
        <f t="shared" si="0"/>
        <v>0</v>
      </c>
      <c r="G10" s="17">
        <f t="shared" si="0"/>
        <v>0</v>
      </c>
      <c r="H10" s="17">
        <v>0</v>
      </c>
      <c r="I10" s="17">
        <f t="shared" si="0"/>
        <v>0</v>
      </c>
      <c r="J10" s="17">
        <f t="shared" si="0"/>
        <v>0</v>
      </c>
      <c r="K10" s="17">
        <f t="shared" si="0"/>
        <v>0</v>
      </c>
      <c r="L10" s="17">
        <f t="shared" si="0"/>
        <v>0</v>
      </c>
      <c r="M10" s="17">
        <f t="shared" si="0"/>
        <v>0</v>
      </c>
      <c r="N10" s="17">
        <f t="shared" si="0"/>
        <v>0</v>
      </c>
      <c r="O10" s="18">
        <f>SUM(C10:N10)</f>
        <v>0</v>
      </c>
    </row>
    <row r="11" spans="1:15" ht="15" x14ac:dyDescent="0.2">
      <c r="A11" s="12"/>
      <c r="B11" s="13" t="s">
        <v>120</v>
      </c>
      <c r="C11" s="17">
        <v>2140</v>
      </c>
      <c r="D11" s="17">
        <v>2996</v>
      </c>
      <c r="E11" s="17">
        <f t="shared" si="0"/>
        <v>2996</v>
      </c>
      <c r="F11" s="17">
        <f t="shared" si="0"/>
        <v>2996</v>
      </c>
      <c r="G11" s="17">
        <v>3087</v>
      </c>
      <c r="H11" s="17">
        <v>3087</v>
      </c>
      <c r="I11" s="17">
        <v>3087</v>
      </c>
      <c r="J11" s="17">
        <v>3969</v>
      </c>
      <c r="K11" s="17">
        <f t="shared" si="0"/>
        <v>3969</v>
      </c>
      <c r="L11" s="17">
        <f t="shared" si="0"/>
        <v>3969</v>
      </c>
      <c r="M11" s="17">
        <f t="shared" si="0"/>
        <v>3969</v>
      </c>
      <c r="N11" s="17">
        <f t="shared" si="0"/>
        <v>3969</v>
      </c>
      <c r="O11" s="18">
        <f>SUM(C11:N11)</f>
        <v>40234</v>
      </c>
    </row>
    <row r="12" spans="1:15" ht="15" x14ac:dyDescent="0.2">
      <c r="A12" s="12"/>
      <c r="B12" s="13" t="s">
        <v>121</v>
      </c>
      <c r="C12" s="17">
        <v>0</v>
      </c>
      <c r="D12" s="17">
        <f>+C12</f>
        <v>0</v>
      </c>
      <c r="E12" s="17">
        <f t="shared" si="0"/>
        <v>0</v>
      </c>
      <c r="F12" s="17">
        <f t="shared" si="0"/>
        <v>0</v>
      </c>
      <c r="G12" s="17">
        <f>+F12</f>
        <v>0</v>
      </c>
      <c r="H12" s="17">
        <v>0</v>
      </c>
      <c r="I12" s="17">
        <f t="shared" si="0"/>
        <v>0</v>
      </c>
      <c r="J12" s="17">
        <f t="shared" si="0"/>
        <v>0</v>
      </c>
      <c r="K12" s="17">
        <f t="shared" si="0"/>
        <v>0</v>
      </c>
      <c r="L12" s="17">
        <f t="shared" si="0"/>
        <v>0</v>
      </c>
      <c r="M12" s="17">
        <f t="shared" si="0"/>
        <v>0</v>
      </c>
      <c r="N12" s="17">
        <f t="shared" si="0"/>
        <v>0</v>
      </c>
      <c r="O12" s="18">
        <f>SUM(C12:N12)</f>
        <v>0</v>
      </c>
    </row>
    <row r="13" spans="1:15" ht="30" hidden="1" x14ac:dyDescent="0.2">
      <c r="A13" s="12"/>
      <c r="B13" s="13" t="s">
        <v>141</v>
      </c>
      <c r="C13" s="17">
        <v>0</v>
      </c>
      <c r="D13" s="17">
        <f>+C13</f>
        <v>0</v>
      </c>
      <c r="E13" s="17">
        <f t="shared" si="0"/>
        <v>0</v>
      </c>
      <c r="F13" s="17">
        <f t="shared" si="0"/>
        <v>0</v>
      </c>
      <c r="G13" s="17">
        <f>+F13</f>
        <v>0</v>
      </c>
      <c r="H13" s="17">
        <v>0</v>
      </c>
      <c r="I13" s="17">
        <f t="shared" si="0"/>
        <v>0</v>
      </c>
      <c r="J13" s="17">
        <f t="shared" si="0"/>
        <v>0</v>
      </c>
      <c r="K13" s="17">
        <f t="shared" si="0"/>
        <v>0</v>
      </c>
      <c r="L13" s="17">
        <f t="shared" si="0"/>
        <v>0</v>
      </c>
      <c r="M13" s="17">
        <f t="shared" si="0"/>
        <v>0</v>
      </c>
      <c r="N13" s="17">
        <f t="shared" si="0"/>
        <v>0</v>
      </c>
      <c r="O13" s="18">
        <f t="shared" ref="O13:O37" si="1">SUM(C13:N13)</f>
        <v>0</v>
      </c>
    </row>
    <row r="14" spans="1:15" ht="15" customHeight="1" x14ac:dyDescent="0.2">
      <c r="A14" s="12"/>
      <c r="B14" s="13" t="s">
        <v>123</v>
      </c>
      <c r="C14" s="17">
        <v>3780</v>
      </c>
      <c r="D14" s="17">
        <v>3852</v>
      </c>
      <c r="E14" s="17">
        <f>+D14</f>
        <v>3852</v>
      </c>
      <c r="F14" s="17">
        <f>+E14</f>
        <v>3852</v>
      </c>
      <c r="G14" s="17">
        <f>+F14</f>
        <v>3852</v>
      </c>
      <c r="H14" s="17">
        <f>+G14</f>
        <v>3852</v>
      </c>
      <c r="I14" s="17">
        <f>+H14</f>
        <v>3852</v>
      </c>
      <c r="J14" s="17">
        <v>3924</v>
      </c>
      <c r="K14" s="17">
        <f t="shared" si="0"/>
        <v>3924</v>
      </c>
      <c r="L14" s="17">
        <f t="shared" si="0"/>
        <v>3924</v>
      </c>
      <c r="M14" s="17">
        <f t="shared" si="0"/>
        <v>3924</v>
      </c>
      <c r="N14" s="17">
        <f t="shared" si="0"/>
        <v>3924</v>
      </c>
      <c r="O14" s="18">
        <f t="shared" si="1"/>
        <v>46512</v>
      </c>
    </row>
    <row r="15" spans="1:15" ht="15" customHeight="1" x14ac:dyDescent="0.2">
      <c r="A15" s="12"/>
      <c r="B15" s="13" t="s">
        <v>124</v>
      </c>
      <c r="C15" s="17">
        <v>0</v>
      </c>
      <c r="D15" s="17">
        <f t="shared" ref="D15:G30" si="2">+C15</f>
        <v>0</v>
      </c>
      <c r="E15" s="17">
        <f t="shared" si="2"/>
        <v>0</v>
      </c>
      <c r="F15" s="17">
        <f t="shared" si="2"/>
        <v>0</v>
      </c>
      <c r="G15" s="17">
        <f t="shared" si="2"/>
        <v>0</v>
      </c>
      <c r="H15" s="17">
        <v>0</v>
      </c>
      <c r="I15" s="17">
        <f t="shared" si="0"/>
        <v>0</v>
      </c>
      <c r="J15" s="17">
        <f t="shared" si="0"/>
        <v>0</v>
      </c>
      <c r="K15" s="17">
        <f t="shared" si="0"/>
        <v>0</v>
      </c>
      <c r="L15" s="17">
        <f t="shared" si="0"/>
        <v>0</v>
      </c>
      <c r="M15" s="17">
        <f t="shared" si="0"/>
        <v>0</v>
      </c>
      <c r="N15" s="17">
        <f t="shared" si="0"/>
        <v>0</v>
      </c>
      <c r="O15" s="18">
        <f t="shared" si="1"/>
        <v>0</v>
      </c>
    </row>
    <row r="16" spans="1:15" ht="15.75" customHeight="1" x14ac:dyDescent="0.2">
      <c r="A16" s="12"/>
      <c r="B16" s="13" t="s">
        <v>141</v>
      </c>
      <c r="C16" s="17">
        <v>0</v>
      </c>
      <c r="D16" s="17">
        <f t="shared" si="2"/>
        <v>0</v>
      </c>
      <c r="E16" s="17">
        <f t="shared" si="2"/>
        <v>0</v>
      </c>
      <c r="F16" s="17">
        <f t="shared" si="2"/>
        <v>0</v>
      </c>
      <c r="G16" s="17">
        <f t="shared" si="2"/>
        <v>0</v>
      </c>
      <c r="H16" s="17">
        <v>0</v>
      </c>
      <c r="I16" s="17">
        <f t="shared" si="0"/>
        <v>0</v>
      </c>
      <c r="J16" s="17">
        <f t="shared" si="0"/>
        <v>0</v>
      </c>
      <c r="K16" s="17">
        <f t="shared" si="0"/>
        <v>0</v>
      </c>
      <c r="L16" s="17">
        <f t="shared" si="0"/>
        <v>0</v>
      </c>
      <c r="M16" s="17">
        <f t="shared" si="0"/>
        <v>0</v>
      </c>
      <c r="N16" s="17">
        <f t="shared" si="0"/>
        <v>0</v>
      </c>
      <c r="O16" s="18">
        <f t="shared" si="1"/>
        <v>0</v>
      </c>
    </row>
    <row r="17" spans="1:15" ht="14.25" customHeight="1" x14ac:dyDescent="0.2">
      <c r="A17" s="12"/>
      <c r="B17" s="13" t="s">
        <v>126</v>
      </c>
      <c r="C17" s="17">
        <v>0</v>
      </c>
      <c r="D17" s="17">
        <f t="shared" si="2"/>
        <v>0</v>
      </c>
      <c r="E17" s="17">
        <f t="shared" si="2"/>
        <v>0</v>
      </c>
      <c r="F17" s="17">
        <f t="shared" si="2"/>
        <v>0</v>
      </c>
      <c r="G17" s="17">
        <f t="shared" si="2"/>
        <v>0</v>
      </c>
      <c r="H17" s="17">
        <v>0</v>
      </c>
      <c r="I17" s="17">
        <f t="shared" si="0"/>
        <v>0</v>
      </c>
      <c r="J17" s="17">
        <f t="shared" si="0"/>
        <v>0</v>
      </c>
      <c r="K17" s="17">
        <f t="shared" si="0"/>
        <v>0</v>
      </c>
      <c r="L17" s="17">
        <f t="shared" si="0"/>
        <v>0</v>
      </c>
      <c r="M17" s="17">
        <f t="shared" si="0"/>
        <v>0</v>
      </c>
      <c r="N17" s="17">
        <f t="shared" si="0"/>
        <v>0</v>
      </c>
      <c r="O17" s="18">
        <f t="shared" si="1"/>
        <v>0</v>
      </c>
    </row>
    <row r="18" spans="1:15" ht="15" x14ac:dyDescent="0.2">
      <c r="A18" s="12"/>
      <c r="B18" s="13" t="s">
        <v>127</v>
      </c>
      <c r="C18" s="17">
        <v>0</v>
      </c>
      <c r="D18" s="17">
        <f t="shared" si="2"/>
        <v>0</v>
      </c>
      <c r="E18" s="17">
        <f t="shared" si="2"/>
        <v>0</v>
      </c>
      <c r="F18" s="17">
        <f t="shared" si="2"/>
        <v>0</v>
      </c>
      <c r="G18" s="17">
        <f t="shared" si="2"/>
        <v>0</v>
      </c>
      <c r="H18" s="17">
        <v>0</v>
      </c>
      <c r="I18" s="17">
        <f t="shared" si="0"/>
        <v>0</v>
      </c>
      <c r="J18" s="17">
        <f t="shared" si="0"/>
        <v>0</v>
      </c>
      <c r="K18" s="17">
        <f t="shared" si="0"/>
        <v>0</v>
      </c>
      <c r="L18" s="17">
        <f t="shared" si="0"/>
        <v>0</v>
      </c>
      <c r="M18" s="17">
        <f t="shared" si="0"/>
        <v>0</v>
      </c>
      <c r="N18" s="17">
        <f t="shared" si="0"/>
        <v>0</v>
      </c>
      <c r="O18" s="18">
        <f t="shared" si="1"/>
        <v>0</v>
      </c>
    </row>
    <row r="19" spans="1:15" ht="15" x14ac:dyDescent="0.2">
      <c r="A19" s="12"/>
      <c r="B19" s="13" t="s">
        <v>128</v>
      </c>
      <c r="C19" s="17">
        <v>10272</v>
      </c>
      <c r="D19" s="17">
        <f t="shared" si="2"/>
        <v>10272</v>
      </c>
      <c r="E19" s="17">
        <f t="shared" si="2"/>
        <v>10272</v>
      </c>
      <c r="F19" s="17">
        <f t="shared" si="2"/>
        <v>10272</v>
      </c>
      <c r="G19" s="17">
        <v>10584</v>
      </c>
      <c r="H19" s="17">
        <v>10584</v>
      </c>
      <c r="I19" s="17">
        <v>10584</v>
      </c>
      <c r="J19" s="17">
        <v>10584</v>
      </c>
      <c r="K19" s="17">
        <v>10584</v>
      </c>
      <c r="L19" s="17">
        <v>10584</v>
      </c>
      <c r="M19" s="17">
        <v>10584</v>
      </c>
      <c r="N19" s="17">
        <v>10584</v>
      </c>
      <c r="O19" s="18">
        <f t="shared" si="1"/>
        <v>125760</v>
      </c>
    </row>
    <row r="20" spans="1:15" x14ac:dyDescent="0.2">
      <c r="A20" s="12"/>
      <c r="B20" s="166" t="s">
        <v>280</v>
      </c>
      <c r="C20" s="17">
        <v>0</v>
      </c>
      <c r="D20" s="17">
        <f t="shared" si="2"/>
        <v>0</v>
      </c>
      <c r="E20" s="17">
        <f t="shared" si="2"/>
        <v>0</v>
      </c>
      <c r="F20" s="17">
        <f t="shared" si="2"/>
        <v>0</v>
      </c>
      <c r="G20" s="17">
        <f t="shared" si="2"/>
        <v>0</v>
      </c>
      <c r="H20" s="17">
        <v>0</v>
      </c>
      <c r="I20" s="17">
        <f t="shared" si="0"/>
        <v>0</v>
      </c>
      <c r="J20" s="17">
        <f t="shared" si="0"/>
        <v>0</v>
      </c>
      <c r="K20" s="17">
        <f t="shared" si="0"/>
        <v>0</v>
      </c>
      <c r="L20" s="17">
        <f t="shared" si="0"/>
        <v>0</v>
      </c>
      <c r="M20" s="17">
        <f t="shared" si="0"/>
        <v>0</v>
      </c>
      <c r="N20" s="17">
        <f t="shared" si="0"/>
        <v>0</v>
      </c>
      <c r="O20" s="18">
        <f>SUM(C20:N20)</f>
        <v>0</v>
      </c>
    </row>
    <row r="21" spans="1:15" ht="15" customHeight="1" x14ac:dyDescent="0.2">
      <c r="A21" s="12"/>
      <c r="B21" s="13" t="s">
        <v>129</v>
      </c>
      <c r="C21" s="17">
        <v>0</v>
      </c>
      <c r="D21" s="17">
        <f t="shared" si="2"/>
        <v>0</v>
      </c>
      <c r="E21" s="17">
        <f t="shared" si="2"/>
        <v>0</v>
      </c>
      <c r="F21" s="17">
        <f t="shared" si="2"/>
        <v>0</v>
      </c>
      <c r="G21" s="17">
        <f t="shared" si="2"/>
        <v>0</v>
      </c>
      <c r="H21" s="17">
        <v>0</v>
      </c>
      <c r="I21" s="17">
        <f t="shared" si="0"/>
        <v>0</v>
      </c>
      <c r="J21" s="17">
        <f t="shared" si="0"/>
        <v>0</v>
      </c>
      <c r="K21" s="17">
        <f t="shared" si="0"/>
        <v>0</v>
      </c>
      <c r="L21" s="17">
        <f t="shared" si="0"/>
        <v>0</v>
      </c>
      <c r="M21" s="17">
        <f t="shared" si="0"/>
        <v>0</v>
      </c>
      <c r="N21" s="17">
        <f t="shared" si="0"/>
        <v>0</v>
      </c>
      <c r="O21" s="18">
        <f t="shared" si="1"/>
        <v>0</v>
      </c>
    </row>
    <row r="22" spans="1:15" ht="15" hidden="1" customHeight="1" x14ac:dyDescent="0.2">
      <c r="A22" s="878" t="s">
        <v>130</v>
      </c>
      <c r="B22" s="19" t="s">
        <v>131</v>
      </c>
      <c r="C22" s="17">
        <v>0</v>
      </c>
      <c r="D22" s="17">
        <f t="shared" si="2"/>
        <v>0</v>
      </c>
      <c r="E22" s="17">
        <f t="shared" si="2"/>
        <v>0</v>
      </c>
      <c r="F22" s="17">
        <f t="shared" si="2"/>
        <v>0</v>
      </c>
      <c r="G22" s="17">
        <f t="shared" si="2"/>
        <v>0</v>
      </c>
      <c r="H22" s="17">
        <v>0</v>
      </c>
      <c r="I22" s="17">
        <f t="shared" si="0"/>
        <v>0</v>
      </c>
      <c r="J22" s="17">
        <f t="shared" si="0"/>
        <v>0</v>
      </c>
      <c r="K22" s="17">
        <f t="shared" si="0"/>
        <v>0</v>
      </c>
      <c r="L22" s="17">
        <f t="shared" si="0"/>
        <v>0</v>
      </c>
      <c r="M22" s="17">
        <f t="shared" si="0"/>
        <v>0</v>
      </c>
      <c r="N22" s="17">
        <f t="shared" si="0"/>
        <v>0</v>
      </c>
      <c r="O22" s="18">
        <f t="shared" si="1"/>
        <v>0</v>
      </c>
    </row>
    <row r="23" spans="1:15" ht="15" customHeight="1" x14ac:dyDescent="0.2">
      <c r="A23" s="879"/>
      <c r="B23" s="19" t="s">
        <v>132</v>
      </c>
      <c r="C23" s="17">
        <v>0</v>
      </c>
      <c r="D23" s="17">
        <f t="shared" si="2"/>
        <v>0</v>
      </c>
      <c r="E23" s="17">
        <f t="shared" si="2"/>
        <v>0</v>
      </c>
      <c r="F23" s="17">
        <f t="shared" si="2"/>
        <v>0</v>
      </c>
      <c r="G23" s="17">
        <f t="shared" si="2"/>
        <v>0</v>
      </c>
      <c r="H23" s="17">
        <v>0</v>
      </c>
      <c r="I23" s="17">
        <f t="shared" si="0"/>
        <v>0</v>
      </c>
      <c r="J23" s="17">
        <v>6908</v>
      </c>
      <c r="K23" s="17">
        <f t="shared" si="0"/>
        <v>6908</v>
      </c>
      <c r="L23" s="17">
        <f t="shared" si="0"/>
        <v>6908</v>
      </c>
      <c r="M23" s="17">
        <f t="shared" si="0"/>
        <v>6908</v>
      </c>
      <c r="N23" s="17">
        <f t="shared" si="0"/>
        <v>6908</v>
      </c>
      <c r="O23" s="18">
        <f t="shared" si="1"/>
        <v>34540</v>
      </c>
    </row>
    <row r="24" spans="1:15" ht="15" hidden="1" customHeight="1" x14ac:dyDescent="0.2">
      <c r="A24" s="879"/>
      <c r="B24" s="19" t="s">
        <v>133</v>
      </c>
      <c r="C24" s="17">
        <v>0</v>
      </c>
      <c r="D24" s="17">
        <f t="shared" si="2"/>
        <v>0</v>
      </c>
      <c r="E24" s="17">
        <f t="shared" si="2"/>
        <v>0</v>
      </c>
      <c r="F24" s="17">
        <f t="shared" si="2"/>
        <v>0</v>
      </c>
      <c r="G24" s="17">
        <f t="shared" si="2"/>
        <v>0</v>
      </c>
      <c r="H24" s="17">
        <v>0</v>
      </c>
      <c r="I24" s="17">
        <f t="shared" si="0"/>
        <v>0</v>
      </c>
      <c r="J24" s="17">
        <f t="shared" si="0"/>
        <v>0</v>
      </c>
      <c r="K24" s="17">
        <f t="shared" si="0"/>
        <v>0</v>
      </c>
      <c r="L24" s="17">
        <f t="shared" si="0"/>
        <v>0</v>
      </c>
      <c r="M24" s="17">
        <f t="shared" si="0"/>
        <v>0</v>
      </c>
      <c r="N24" s="17">
        <f t="shared" si="0"/>
        <v>0</v>
      </c>
      <c r="O24" s="18">
        <f t="shared" si="1"/>
        <v>0</v>
      </c>
    </row>
    <row r="25" spans="1:15" ht="15" hidden="1" customHeight="1" x14ac:dyDescent="0.2">
      <c r="A25" s="879"/>
      <c r="B25" s="19" t="s">
        <v>134</v>
      </c>
      <c r="C25" s="17">
        <v>0</v>
      </c>
      <c r="D25" s="17">
        <f t="shared" si="2"/>
        <v>0</v>
      </c>
      <c r="E25" s="17">
        <f t="shared" si="2"/>
        <v>0</v>
      </c>
      <c r="F25" s="17">
        <f t="shared" si="2"/>
        <v>0</v>
      </c>
      <c r="G25" s="17">
        <f t="shared" si="2"/>
        <v>0</v>
      </c>
      <c r="H25" s="17">
        <v>0</v>
      </c>
      <c r="I25" s="17">
        <f t="shared" si="0"/>
        <v>0</v>
      </c>
      <c r="J25" s="17">
        <f t="shared" si="0"/>
        <v>0</v>
      </c>
      <c r="K25" s="17">
        <f t="shared" si="0"/>
        <v>0</v>
      </c>
      <c r="L25" s="17">
        <f t="shared" si="0"/>
        <v>0</v>
      </c>
      <c r="M25" s="17">
        <f t="shared" si="0"/>
        <v>0</v>
      </c>
      <c r="N25" s="17">
        <f t="shared" si="0"/>
        <v>0</v>
      </c>
      <c r="O25" s="18">
        <f t="shared" si="1"/>
        <v>0</v>
      </c>
    </row>
    <row r="26" spans="1:15" ht="15" hidden="1" customHeight="1" x14ac:dyDescent="0.2">
      <c r="A26" s="879"/>
      <c r="B26" s="19" t="s">
        <v>135</v>
      </c>
      <c r="C26" s="17">
        <v>0</v>
      </c>
      <c r="D26" s="17">
        <f t="shared" si="2"/>
        <v>0</v>
      </c>
      <c r="E26" s="17">
        <f t="shared" si="2"/>
        <v>0</v>
      </c>
      <c r="F26" s="17">
        <f t="shared" si="2"/>
        <v>0</v>
      </c>
      <c r="G26" s="17">
        <f t="shared" si="2"/>
        <v>0</v>
      </c>
      <c r="H26" s="17">
        <v>0</v>
      </c>
      <c r="I26" s="17">
        <f t="shared" ref="I26:N34" si="3">+H26</f>
        <v>0</v>
      </c>
      <c r="J26" s="17">
        <f t="shared" si="3"/>
        <v>0</v>
      </c>
      <c r="K26" s="17">
        <f t="shared" si="3"/>
        <v>0</v>
      </c>
      <c r="L26" s="17">
        <f t="shared" si="3"/>
        <v>0</v>
      </c>
      <c r="M26" s="17">
        <f t="shared" si="3"/>
        <v>0</v>
      </c>
      <c r="N26" s="17">
        <f t="shared" si="3"/>
        <v>0</v>
      </c>
      <c r="O26" s="18">
        <f t="shared" si="1"/>
        <v>0</v>
      </c>
    </row>
    <row r="27" spans="1:15" ht="15" hidden="1" customHeight="1" x14ac:dyDescent="0.2">
      <c r="A27" s="879"/>
      <c r="B27" s="19" t="s">
        <v>136</v>
      </c>
      <c r="C27" s="17">
        <v>0</v>
      </c>
      <c r="D27" s="17">
        <f t="shared" si="2"/>
        <v>0</v>
      </c>
      <c r="E27" s="17">
        <f t="shared" si="2"/>
        <v>0</v>
      </c>
      <c r="F27" s="17">
        <f t="shared" si="2"/>
        <v>0</v>
      </c>
      <c r="G27" s="17">
        <f t="shared" si="2"/>
        <v>0</v>
      </c>
      <c r="H27" s="17">
        <v>0</v>
      </c>
      <c r="I27" s="17">
        <f t="shared" si="3"/>
        <v>0</v>
      </c>
      <c r="J27" s="17">
        <f t="shared" si="3"/>
        <v>0</v>
      </c>
      <c r="K27" s="17">
        <f t="shared" si="3"/>
        <v>0</v>
      </c>
      <c r="L27" s="17">
        <f t="shared" si="3"/>
        <v>0</v>
      </c>
      <c r="M27" s="17">
        <f t="shared" si="3"/>
        <v>0</v>
      </c>
      <c r="N27" s="17">
        <f t="shared" si="3"/>
        <v>0</v>
      </c>
      <c r="O27" s="18">
        <f t="shared" si="1"/>
        <v>0</v>
      </c>
    </row>
    <row r="28" spans="1:15" ht="15" hidden="1" customHeight="1" x14ac:dyDescent="0.2">
      <c r="A28" s="879"/>
      <c r="B28" s="19" t="s">
        <v>137</v>
      </c>
      <c r="C28" s="17">
        <v>0</v>
      </c>
      <c r="D28" s="17">
        <f t="shared" si="2"/>
        <v>0</v>
      </c>
      <c r="E28" s="17">
        <f t="shared" si="2"/>
        <v>0</v>
      </c>
      <c r="F28" s="17">
        <f t="shared" si="2"/>
        <v>0</v>
      </c>
      <c r="G28" s="17">
        <f t="shared" si="2"/>
        <v>0</v>
      </c>
      <c r="H28" s="17">
        <v>0</v>
      </c>
      <c r="I28" s="17">
        <f t="shared" si="3"/>
        <v>0</v>
      </c>
      <c r="J28" s="17">
        <f t="shared" si="3"/>
        <v>0</v>
      </c>
      <c r="K28" s="17">
        <f t="shared" si="3"/>
        <v>0</v>
      </c>
      <c r="L28" s="17">
        <f t="shared" si="3"/>
        <v>0</v>
      </c>
      <c r="M28" s="17">
        <f t="shared" si="3"/>
        <v>0</v>
      </c>
      <c r="N28" s="17">
        <f t="shared" si="3"/>
        <v>0</v>
      </c>
      <c r="O28" s="18">
        <f t="shared" si="1"/>
        <v>0</v>
      </c>
    </row>
    <row r="29" spans="1:15" ht="15" hidden="1" customHeight="1" x14ac:dyDescent="0.2">
      <c r="A29" s="879"/>
      <c r="B29" s="19" t="s">
        <v>138</v>
      </c>
      <c r="C29" s="17">
        <v>0</v>
      </c>
      <c r="D29" s="17">
        <f t="shared" si="2"/>
        <v>0</v>
      </c>
      <c r="E29" s="17">
        <f t="shared" si="2"/>
        <v>0</v>
      </c>
      <c r="F29" s="17">
        <f t="shared" si="2"/>
        <v>0</v>
      </c>
      <c r="G29" s="17">
        <f t="shared" si="2"/>
        <v>0</v>
      </c>
      <c r="H29" s="17">
        <v>0</v>
      </c>
      <c r="I29" s="17">
        <f t="shared" si="3"/>
        <v>0</v>
      </c>
      <c r="J29" s="17">
        <f t="shared" si="3"/>
        <v>0</v>
      </c>
      <c r="K29" s="17">
        <f t="shared" si="3"/>
        <v>0</v>
      </c>
      <c r="L29" s="17">
        <f t="shared" si="3"/>
        <v>0</v>
      </c>
      <c r="M29" s="17">
        <f t="shared" si="3"/>
        <v>0</v>
      </c>
      <c r="N29" s="17">
        <f t="shared" si="3"/>
        <v>0</v>
      </c>
      <c r="O29" s="18">
        <f t="shared" si="1"/>
        <v>0</v>
      </c>
    </row>
    <row r="30" spans="1:15" ht="15" hidden="1" customHeight="1" x14ac:dyDescent="0.2">
      <c r="A30" s="879"/>
      <c r="B30" s="19" t="s">
        <v>139</v>
      </c>
      <c r="C30" s="17">
        <v>0</v>
      </c>
      <c r="D30" s="17">
        <f t="shared" si="2"/>
        <v>0</v>
      </c>
      <c r="E30" s="17">
        <f t="shared" si="2"/>
        <v>0</v>
      </c>
      <c r="F30" s="17">
        <f t="shared" si="2"/>
        <v>0</v>
      </c>
      <c r="G30" s="17">
        <f t="shared" si="2"/>
        <v>0</v>
      </c>
      <c r="H30" s="17">
        <v>0</v>
      </c>
      <c r="I30" s="17">
        <f t="shared" si="3"/>
        <v>0</v>
      </c>
      <c r="J30" s="17">
        <f t="shared" si="3"/>
        <v>0</v>
      </c>
      <c r="K30" s="17">
        <f t="shared" si="3"/>
        <v>0</v>
      </c>
      <c r="L30" s="17">
        <f t="shared" si="3"/>
        <v>0</v>
      </c>
      <c r="M30" s="17">
        <f t="shared" si="3"/>
        <v>0</v>
      </c>
      <c r="N30" s="17">
        <f t="shared" si="3"/>
        <v>0</v>
      </c>
      <c r="O30" s="18">
        <f t="shared" si="1"/>
        <v>0</v>
      </c>
    </row>
    <row r="31" spans="1:15" ht="15" hidden="1" customHeight="1" x14ac:dyDescent="0.2">
      <c r="A31" s="879"/>
      <c r="B31" s="19" t="s">
        <v>140</v>
      </c>
      <c r="C31" s="17">
        <v>0</v>
      </c>
      <c r="D31" s="17">
        <f t="shared" ref="D31:G37" si="4">+C31</f>
        <v>0</v>
      </c>
      <c r="E31" s="17">
        <f t="shared" si="4"/>
        <v>0</v>
      </c>
      <c r="F31" s="17">
        <f t="shared" si="4"/>
        <v>0</v>
      </c>
      <c r="G31" s="17">
        <f t="shared" si="4"/>
        <v>0</v>
      </c>
      <c r="H31" s="17">
        <v>0</v>
      </c>
      <c r="I31" s="17">
        <f t="shared" si="3"/>
        <v>0</v>
      </c>
      <c r="J31" s="17">
        <f t="shared" si="3"/>
        <v>0</v>
      </c>
      <c r="K31" s="17">
        <f t="shared" si="3"/>
        <v>0</v>
      </c>
      <c r="L31" s="17">
        <f t="shared" si="3"/>
        <v>0</v>
      </c>
      <c r="M31" s="17">
        <f t="shared" si="3"/>
        <v>0</v>
      </c>
      <c r="N31" s="17">
        <f t="shared" si="3"/>
        <v>0</v>
      </c>
      <c r="O31" s="18">
        <f t="shared" si="1"/>
        <v>0</v>
      </c>
    </row>
    <row r="32" spans="1:15" ht="15" hidden="1" customHeight="1" x14ac:dyDescent="0.2">
      <c r="A32" s="879"/>
      <c r="B32" s="19" t="s">
        <v>225</v>
      </c>
      <c r="C32" s="17">
        <v>0</v>
      </c>
      <c r="D32" s="17">
        <f t="shared" si="4"/>
        <v>0</v>
      </c>
      <c r="E32" s="17">
        <f t="shared" si="4"/>
        <v>0</v>
      </c>
      <c r="F32" s="17">
        <f t="shared" si="4"/>
        <v>0</v>
      </c>
      <c r="G32" s="17">
        <f t="shared" si="4"/>
        <v>0</v>
      </c>
      <c r="H32" s="17">
        <v>0</v>
      </c>
      <c r="I32" s="17">
        <f t="shared" si="3"/>
        <v>0</v>
      </c>
      <c r="J32" s="17">
        <f t="shared" si="3"/>
        <v>0</v>
      </c>
      <c r="K32" s="17">
        <f t="shared" si="3"/>
        <v>0</v>
      </c>
      <c r="L32" s="17">
        <f t="shared" si="3"/>
        <v>0</v>
      </c>
      <c r="M32" s="17">
        <f t="shared" si="3"/>
        <v>0</v>
      </c>
      <c r="N32" s="17">
        <f t="shared" si="3"/>
        <v>0</v>
      </c>
      <c r="O32" s="18">
        <f t="shared" si="1"/>
        <v>0</v>
      </c>
    </row>
    <row r="33" spans="1:16" ht="15" customHeight="1" x14ac:dyDescent="0.2">
      <c r="A33" s="879"/>
      <c r="B33" s="21" t="s">
        <v>142</v>
      </c>
      <c r="C33" s="17">
        <v>0</v>
      </c>
      <c r="D33" s="17">
        <f t="shared" si="4"/>
        <v>0</v>
      </c>
      <c r="E33" s="17">
        <f t="shared" si="4"/>
        <v>0</v>
      </c>
      <c r="F33" s="17">
        <f t="shared" si="4"/>
        <v>0</v>
      </c>
      <c r="G33" s="17">
        <f t="shared" si="4"/>
        <v>0</v>
      </c>
      <c r="H33" s="17">
        <v>0</v>
      </c>
      <c r="I33" s="17">
        <f t="shared" si="3"/>
        <v>0</v>
      </c>
      <c r="J33" s="17">
        <f t="shared" si="3"/>
        <v>0</v>
      </c>
      <c r="K33" s="17">
        <f t="shared" si="3"/>
        <v>0</v>
      </c>
      <c r="L33" s="17">
        <f t="shared" si="3"/>
        <v>0</v>
      </c>
      <c r="M33" s="17">
        <f t="shared" si="3"/>
        <v>0</v>
      </c>
      <c r="N33" s="17">
        <f t="shared" si="3"/>
        <v>0</v>
      </c>
      <c r="O33" s="18">
        <f t="shared" si="1"/>
        <v>0</v>
      </c>
    </row>
    <row r="34" spans="1:16" ht="15" hidden="1" customHeight="1" x14ac:dyDescent="0.2">
      <c r="A34" s="880"/>
      <c r="B34" s="19" t="s">
        <v>226</v>
      </c>
      <c r="C34" s="17">
        <v>0</v>
      </c>
      <c r="D34" s="17">
        <f t="shared" si="4"/>
        <v>0</v>
      </c>
      <c r="E34" s="17">
        <f t="shared" si="4"/>
        <v>0</v>
      </c>
      <c r="F34" s="17">
        <f t="shared" si="4"/>
        <v>0</v>
      </c>
      <c r="G34" s="17">
        <f t="shared" si="4"/>
        <v>0</v>
      </c>
      <c r="H34" s="17">
        <v>0</v>
      </c>
      <c r="I34" s="17">
        <f t="shared" si="3"/>
        <v>0</v>
      </c>
      <c r="J34" s="17">
        <f t="shared" si="3"/>
        <v>0</v>
      </c>
      <c r="K34" s="17">
        <f t="shared" si="3"/>
        <v>0</v>
      </c>
      <c r="L34" s="17">
        <f t="shared" si="3"/>
        <v>0</v>
      </c>
      <c r="M34" s="17">
        <f t="shared" si="3"/>
        <v>0</v>
      </c>
      <c r="N34" s="17">
        <f t="shared" si="3"/>
        <v>0</v>
      </c>
      <c r="O34" s="18">
        <f t="shared" si="1"/>
        <v>0</v>
      </c>
    </row>
    <row r="35" spans="1:16" ht="15" customHeight="1" x14ac:dyDescent="0.2">
      <c r="A35" s="865" t="s">
        <v>144</v>
      </c>
      <c r="B35" s="866"/>
      <c r="C35" s="17">
        <v>0</v>
      </c>
      <c r="D35" s="17">
        <f t="shared" si="4"/>
        <v>0</v>
      </c>
      <c r="E35" s="17">
        <f t="shared" si="4"/>
        <v>0</v>
      </c>
      <c r="F35" s="17">
        <f t="shared" si="4"/>
        <v>0</v>
      </c>
      <c r="G35" s="17">
        <f t="shared" si="4"/>
        <v>0</v>
      </c>
      <c r="H35" s="17">
        <v>0</v>
      </c>
      <c r="I35" s="17">
        <v>0</v>
      </c>
      <c r="J35" s="17">
        <v>0</v>
      </c>
      <c r="K35" s="17">
        <v>0</v>
      </c>
      <c r="L35" s="17">
        <v>0</v>
      </c>
      <c r="M35" s="17">
        <v>0</v>
      </c>
      <c r="N35" s="17">
        <v>0</v>
      </c>
      <c r="O35" s="18">
        <f t="shared" si="1"/>
        <v>0</v>
      </c>
    </row>
    <row r="36" spans="1:16" ht="15" customHeight="1" x14ac:dyDescent="0.2">
      <c r="A36" s="865" t="s">
        <v>145</v>
      </c>
      <c r="B36" s="866"/>
      <c r="C36" s="17">
        <v>0</v>
      </c>
      <c r="D36" s="17">
        <v>216</v>
      </c>
      <c r="E36" s="17">
        <v>0</v>
      </c>
      <c r="F36" s="17">
        <f>+E36</f>
        <v>0</v>
      </c>
      <c r="G36" s="17">
        <f t="shared" si="4"/>
        <v>0</v>
      </c>
      <c r="H36" s="17">
        <v>0</v>
      </c>
      <c r="I36" s="17">
        <v>0</v>
      </c>
      <c r="J36" s="17">
        <v>216</v>
      </c>
      <c r="K36" s="17">
        <v>0</v>
      </c>
      <c r="L36" s="17">
        <v>0</v>
      </c>
      <c r="M36" s="17">
        <v>0</v>
      </c>
      <c r="N36" s="17">
        <v>0</v>
      </c>
      <c r="O36" s="18">
        <f t="shared" si="1"/>
        <v>432</v>
      </c>
    </row>
    <row r="37" spans="1:16" ht="15" customHeight="1" x14ac:dyDescent="0.2">
      <c r="A37" s="865" t="s">
        <v>146</v>
      </c>
      <c r="B37" s="866"/>
      <c r="C37" s="17">
        <v>0</v>
      </c>
      <c r="D37" s="17">
        <v>2568</v>
      </c>
      <c r="E37" s="17">
        <v>0</v>
      </c>
      <c r="F37" s="17">
        <f>+E37</f>
        <v>0</v>
      </c>
      <c r="G37" s="17">
        <f t="shared" si="4"/>
        <v>0</v>
      </c>
      <c r="H37" s="17">
        <v>0</v>
      </c>
      <c r="I37" s="17">
        <v>0</v>
      </c>
      <c r="J37" s="17">
        <v>2646</v>
      </c>
      <c r="K37" s="17">
        <v>0</v>
      </c>
      <c r="L37" s="17">
        <v>0</v>
      </c>
      <c r="M37" s="17">
        <v>0</v>
      </c>
      <c r="N37" s="17">
        <v>0</v>
      </c>
      <c r="O37" s="18">
        <f t="shared" si="1"/>
        <v>5214</v>
      </c>
    </row>
    <row r="38" spans="1:16" ht="15" customHeight="1" x14ac:dyDescent="0.2">
      <c r="A38" s="22"/>
      <c r="B38" s="23" t="s">
        <v>147</v>
      </c>
      <c r="C38" s="24">
        <f t="shared" ref="C38:N38" si="5">SUM(C9:C37)</f>
        <v>58992</v>
      </c>
      <c r="D38" s="24">
        <f t="shared" si="5"/>
        <v>62704</v>
      </c>
      <c r="E38" s="24">
        <f t="shared" si="5"/>
        <v>59920</v>
      </c>
      <c r="F38" s="24">
        <f t="shared" si="5"/>
        <v>59920</v>
      </c>
      <c r="G38" s="24">
        <f t="shared" si="5"/>
        <v>61623</v>
      </c>
      <c r="H38" s="24">
        <f t="shared" si="5"/>
        <v>61623</v>
      </c>
      <c r="I38" s="24">
        <f t="shared" si="5"/>
        <v>61623</v>
      </c>
      <c r="J38" s="24">
        <f t="shared" si="5"/>
        <v>72347</v>
      </c>
      <c r="K38" s="24">
        <f t="shared" si="5"/>
        <v>69485</v>
      </c>
      <c r="L38" s="24">
        <f t="shared" si="5"/>
        <v>69485</v>
      </c>
      <c r="M38" s="24">
        <f t="shared" si="5"/>
        <v>69485</v>
      </c>
      <c r="N38" s="24">
        <f t="shared" si="5"/>
        <v>69485</v>
      </c>
      <c r="O38" s="25">
        <f>SUM(C38:N38)</f>
        <v>776692</v>
      </c>
    </row>
    <row r="39" spans="1:16" ht="15" customHeight="1" x14ac:dyDescent="0.2">
      <c r="A39" s="853" t="s">
        <v>148</v>
      </c>
      <c r="B39" s="27" t="s">
        <v>149</v>
      </c>
      <c r="C39" s="147">
        <v>1800</v>
      </c>
      <c r="D39" s="147">
        <v>2000</v>
      </c>
      <c r="E39" s="147">
        <v>1500</v>
      </c>
      <c r="F39" s="147">
        <v>1500</v>
      </c>
      <c r="G39" s="147">
        <v>1500</v>
      </c>
      <c r="H39" s="147">
        <v>1500</v>
      </c>
      <c r="I39" s="147">
        <v>1500</v>
      </c>
      <c r="J39" s="147">
        <v>1500</v>
      </c>
      <c r="K39" s="147">
        <v>4500</v>
      </c>
      <c r="L39" s="147">
        <v>4110</v>
      </c>
      <c r="M39" s="147">
        <v>4110</v>
      </c>
      <c r="N39" s="147">
        <v>4395</v>
      </c>
      <c r="O39" s="18">
        <f>SUM(C39:N39)</f>
        <v>29915</v>
      </c>
      <c r="P39" s="29"/>
    </row>
    <row r="40" spans="1:16" ht="15" x14ac:dyDescent="0.2">
      <c r="A40" s="854"/>
      <c r="B40" s="27" t="s">
        <v>150</v>
      </c>
      <c r="C40" s="147">
        <v>0</v>
      </c>
      <c r="D40" s="147">
        <v>0</v>
      </c>
      <c r="E40" s="147">
        <v>0</v>
      </c>
      <c r="F40" s="147">
        <v>0</v>
      </c>
      <c r="G40" s="147">
        <v>0</v>
      </c>
      <c r="H40" s="147">
        <v>0</v>
      </c>
      <c r="I40" s="147">
        <v>0</v>
      </c>
      <c r="J40" s="147">
        <v>0</v>
      </c>
      <c r="K40" s="147">
        <v>0</v>
      </c>
      <c r="L40" s="147">
        <v>0</v>
      </c>
      <c r="M40" s="147">
        <v>0</v>
      </c>
      <c r="N40" s="147">
        <v>0</v>
      </c>
      <c r="O40" s="18">
        <f>SUM(C40:N40)</f>
        <v>0</v>
      </c>
    </row>
    <row r="41" spans="1:16" ht="15" x14ac:dyDescent="0.2">
      <c r="A41" s="854"/>
      <c r="B41" s="27" t="s">
        <v>151</v>
      </c>
      <c r="C41" s="147">
        <v>30</v>
      </c>
      <c r="D41" s="147">
        <v>30</v>
      </c>
      <c r="E41" s="147">
        <v>30</v>
      </c>
      <c r="F41" s="147">
        <v>30</v>
      </c>
      <c r="G41" s="147">
        <v>30</v>
      </c>
      <c r="H41" s="147">
        <v>30</v>
      </c>
      <c r="I41" s="147">
        <v>30</v>
      </c>
      <c r="J41" s="147">
        <v>30</v>
      </c>
      <c r="K41" s="147">
        <v>30</v>
      </c>
      <c r="L41" s="147">
        <v>30</v>
      </c>
      <c r="M41" s="147">
        <v>30</v>
      </c>
      <c r="N41" s="147">
        <v>30</v>
      </c>
      <c r="O41" s="18">
        <f t="shared" ref="O41:O51" si="6">SUM(C41:N41)</f>
        <v>360</v>
      </c>
    </row>
    <row r="42" spans="1:16" ht="15" x14ac:dyDescent="0.2">
      <c r="A42" s="854"/>
      <c r="B42" s="27" t="s">
        <v>152</v>
      </c>
      <c r="C42" s="147">
        <v>0</v>
      </c>
      <c r="D42" s="147">
        <v>0</v>
      </c>
      <c r="E42" s="147">
        <v>0</v>
      </c>
      <c r="F42" s="147">
        <v>0</v>
      </c>
      <c r="G42" s="147">
        <v>0</v>
      </c>
      <c r="H42" s="147">
        <v>0</v>
      </c>
      <c r="I42" s="147">
        <v>0</v>
      </c>
      <c r="J42" s="147">
        <v>0</v>
      </c>
      <c r="K42" s="147">
        <v>0</v>
      </c>
      <c r="L42" s="147">
        <v>0</v>
      </c>
      <c r="M42" s="147">
        <v>0</v>
      </c>
      <c r="N42" s="147">
        <v>0</v>
      </c>
      <c r="O42" s="18">
        <f t="shared" si="6"/>
        <v>0</v>
      </c>
    </row>
    <row r="43" spans="1:16" ht="15" x14ac:dyDescent="0.2">
      <c r="A43" s="854"/>
      <c r="B43" s="27" t="s">
        <v>153</v>
      </c>
      <c r="C43" s="147">
        <v>250</v>
      </c>
      <c r="D43" s="147">
        <v>250</v>
      </c>
      <c r="E43" s="147">
        <v>250</v>
      </c>
      <c r="F43" s="147">
        <v>250</v>
      </c>
      <c r="G43" s="147">
        <v>250</v>
      </c>
      <c r="H43" s="147">
        <v>250</v>
      </c>
      <c r="I43" s="147">
        <v>250</v>
      </c>
      <c r="J43" s="147">
        <v>250</v>
      </c>
      <c r="K43" s="147">
        <v>250</v>
      </c>
      <c r="L43" s="147">
        <v>250</v>
      </c>
      <c r="M43" s="147">
        <v>250</v>
      </c>
      <c r="N43" s="147">
        <v>250</v>
      </c>
      <c r="O43" s="18">
        <f t="shared" si="6"/>
        <v>3000</v>
      </c>
    </row>
    <row r="44" spans="1:16" ht="15" x14ac:dyDescent="0.2">
      <c r="A44" s="854"/>
      <c r="B44" s="27" t="s">
        <v>154</v>
      </c>
      <c r="C44" s="147">
        <v>30000</v>
      </c>
      <c r="D44" s="147">
        <v>30000</v>
      </c>
      <c r="E44" s="147">
        <v>30000</v>
      </c>
      <c r="F44" s="147">
        <v>30000</v>
      </c>
      <c r="G44" s="147">
        <v>30000</v>
      </c>
      <c r="H44" s="147">
        <v>30000</v>
      </c>
      <c r="I44" s="147">
        <v>30000</v>
      </c>
      <c r="J44" s="147">
        <v>30000</v>
      </c>
      <c r="K44" s="147">
        <v>30000</v>
      </c>
      <c r="L44" s="147">
        <v>30000</v>
      </c>
      <c r="M44" s="147">
        <v>30000</v>
      </c>
      <c r="N44" s="147">
        <v>30000</v>
      </c>
      <c r="O44" s="18">
        <f>SUM(C44:N44)</f>
        <v>360000</v>
      </c>
    </row>
    <row r="45" spans="1:16" ht="15" x14ac:dyDescent="0.2">
      <c r="A45" s="854"/>
      <c r="B45" s="27" t="s">
        <v>155</v>
      </c>
      <c r="C45" s="147">
        <v>200</v>
      </c>
      <c r="D45" s="147">
        <v>200</v>
      </c>
      <c r="E45" s="147">
        <v>200</v>
      </c>
      <c r="F45" s="147">
        <v>200</v>
      </c>
      <c r="G45" s="147">
        <v>200</v>
      </c>
      <c r="H45" s="147">
        <v>200</v>
      </c>
      <c r="I45" s="147">
        <v>200</v>
      </c>
      <c r="J45" s="147">
        <v>200</v>
      </c>
      <c r="K45" s="147">
        <v>200</v>
      </c>
      <c r="L45" s="147">
        <v>200</v>
      </c>
      <c r="M45" s="147">
        <v>200</v>
      </c>
      <c r="N45" s="147">
        <v>200</v>
      </c>
      <c r="O45" s="18">
        <f t="shared" si="6"/>
        <v>2400</v>
      </c>
    </row>
    <row r="46" spans="1:16" ht="15" x14ac:dyDescent="0.2">
      <c r="A46" s="854"/>
      <c r="B46" s="27" t="s">
        <v>248</v>
      </c>
      <c r="C46" s="147">
        <v>0</v>
      </c>
      <c r="D46" s="147">
        <v>0</v>
      </c>
      <c r="E46" s="147">
        <v>0</v>
      </c>
      <c r="F46" s="147">
        <v>0</v>
      </c>
      <c r="G46" s="147">
        <v>0</v>
      </c>
      <c r="H46" s="147">
        <v>0</v>
      </c>
      <c r="I46" s="147">
        <v>0</v>
      </c>
      <c r="J46" s="147">
        <v>0</v>
      </c>
      <c r="K46" s="147">
        <v>0</v>
      </c>
      <c r="L46" s="147">
        <v>0</v>
      </c>
      <c r="M46" s="147">
        <v>0</v>
      </c>
      <c r="N46" s="147">
        <v>0</v>
      </c>
      <c r="O46" s="18">
        <f t="shared" si="6"/>
        <v>0</v>
      </c>
    </row>
    <row r="47" spans="1:16" ht="15" x14ac:dyDescent="0.2">
      <c r="A47" s="854"/>
      <c r="B47" s="27" t="s">
        <v>157</v>
      </c>
      <c r="C47" s="147">
        <v>0</v>
      </c>
      <c r="D47" s="147">
        <v>0</v>
      </c>
      <c r="E47" s="147">
        <v>0</v>
      </c>
      <c r="F47" s="147">
        <v>0</v>
      </c>
      <c r="G47" s="147">
        <v>0</v>
      </c>
      <c r="H47" s="147">
        <v>0</v>
      </c>
      <c r="I47" s="147">
        <v>0</v>
      </c>
      <c r="J47" s="147">
        <v>0</v>
      </c>
      <c r="K47" s="147">
        <v>0</v>
      </c>
      <c r="L47" s="147">
        <v>0</v>
      </c>
      <c r="M47" s="147">
        <v>0</v>
      </c>
      <c r="N47" s="147">
        <v>0</v>
      </c>
      <c r="O47" s="18">
        <f t="shared" si="6"/>
        <v>0</v>
      </c>
    </row>
    <row r="48" spans="1:16" ht="28.5" customHeight="1" x14ac:dyDescent="0.2">
      <c r="A48" s="855"/>
      <c r="B48" s="30" t="s">
        <v>483</v>
      </c>
      <c r="C48" s="147">
        <v>504</v>
      </c>
      <c r="D48" s="147">
        <v>504</v>
      </c>
      <c r="E48" s="147">
        <v>504</v>
      </c>
      <c r="F48" s="147">
        <v>504</v>
      </c>
      <c r="G48" s="147">
        <v>504</v>
      </c>
      <c r="H48" s="147">
        <v>504</v>
      </c>
      <c r="I48" s="147">
        <v>504</v>
      </c>
      <c r="J48" s="147">
        <v>504</v>
      </c>
      <c r="K48" s="147">
        <v>504</v>
      </c>
      <c r="L48" s="147">
        <v>504</v>
      </c>
      <c r="M48" s="147">
        <v>504</v>
      </c>
      <c r="N48" s="147">
        <v>504</v>
      </c>
      <c r="O48" s="31">
        <f t="shared" si="6"/>
        <v>6048</v>
      </c>
    </row>
    <row r="49" spans="1:18" ht="30" x14ac:dyDescent="0.2">
      <c r="A49" s="856"/>
      <c r="B49" s="127" t="s">
        <v>228</v>
      </c>
      <c r="C49" s="147">
        <v>0</v>
      </c>
      <c r="D49" s="147">
        <v>0</v>
      </c>
      <c r="E49" s="147">
        <v>0</v>
      </c>
      <c r="F49" s="147">
        <v>0</v>
      </c>
      <c r="G49" s="147">
        <v>0</v>
      </c>
      <c r="H49" s="147">
        <v>0</v>
      </c>
      <c r="I49" s="147">
        <v>0</v>
      </c>
      <c r="J49" s="147">
        <v>0</v>
      </c>
      <c r="K49" s="147">
        <v>0</v>
      </c>
      <c r="L49" s="147">
        <v>0</v>
      </c>
      <c r="M49" s="147">
        <v>0</v>
      </c>
      <c r="N49" s="147">
        <v>0</v>
      </c>
      <c r="O49" s="31">
        <f t="shared" si="6"/>
        <v>0</v>
      </c>
    </row>
    <row r="50" spans="1:18" ht="15" x14ac:dyDescent="0.2">
      <c r="A50" s="857" t="s">
        <v>160</v>
      </c>
      <c r="B50" s="858"/>
      <c r="C50" s="33">
        <f t="shared" ref="C50:N50" si="7">SUM(C39:C49)</f>
        <v>32784</v>
      </c>
      <c r="D50" s="33">
        <f t="shared" si="7"/>
        <v>32984</v>
      </c>
      <c r="E50" s="33">
        <f t="shared" si="7"/>
        <v>32484</v>
      </c>
      <c r="F50" s="33">
        <f t="shared" si="7"/>
        <v>32484</v>
      </c>
      <c r="G50" s="33">
        <f t="shared" si="7"/>
        <v>32484</v>
      </c>
      <c r="H50" s="33">
        <f t="shared" si="7"/>
        <v>32484</v>
      </c>
      <c r="I50" s="33">
        <f t="shared" si="7"/>
        <v>32484</v>
      </c>
      <c r="J50" s="33">
        <f t="shared" si="7"/>
        <v>32484</v>
      </c>
      <c r="K50" s="33">
        <f t="shared" si="7"/>
        <v>35484</v>
      </c>
      <c r="L50" s="33">
        <f t="shared" si="7"/>
        <v>35094</v>
      </c>
      <c r="M50" s="33">
        <f t="shared" si="7"/>
        <v>35094</v>
      </c>
      <c r="N50" s="33">
        <f t="shared" si="7"/>
        <v>35379</v>
      </c>
      <c r="O50" s="34">
        <f t="shared" si="6"/>
        <v>401723</v>
      </c>
    </row>
    <row r="51" spans="1:18" ht="15.75" thickBot="1" x14ac:dyDescent="0.25">
      <c r="A51" s="859" t="s">
        <v>161</v>
      </c>
      <c r="B51" s="860"/>
      <c r="C51" s="35">
        <f t="shared" ref="C51:N51" si="8">C38-C50</f>
        <v>26208</v>
      </c>
      <c r="D51" s="35">
        <f t="shared" si="8"/>
        <v>29720</v>
      </c>
      <c r="E51" s="35">
        <f t="shared" si="8"/>
        <v>27436</v>
      </c>
      <c r="F51" s="35">
        <f t="shared" si="8"/>
        <v>27436</v>
      </c>
      <c r="G51" s="35">
        <f t="shared" si="8"/>
        <v>29139</v>
      </c>
      <c r="H51" s="35">
        <f t="shared" si="8"/>
        <v>29139</v>
      </c>
      <c r="I51" s="35">
        <f t="shared" si="8"/>
        <v>29139</v>
      </c>
      <c r="J51" s="35">
        <f t="shared" si="8"/>
        <v>39863</v>
      </c>
      <c r="K51" s="35">
        <f t="shared" si="8"/>
        <v>34001</v>
      </c>
      <c r="L51" s="35">
        <f t="shared" si="8"/>
        <v>34391</v>
      </c>
      <c r="M51" s="35">
        <f t="shared" si="8"/>
        <v>34391</v>
      </c>
      <c r="N51" s="35">
        <f t="shared" si="8"/>
        <v>34106</v>
      </c>
      <c r="O51" s="36">
        <f t="shared" si="6"/>
        <v>374969</v>
      </c>
    </row>
    <row r="52" spans="1:18" x14ac:dyDescent="0.2">
      <c r="J52" s="128">
        <f>+J38-SUM(J23:J37)</f>
        <v>62577</v>
      </c>
      <c r="Q52" s="38"/>
    </row>
    <row r="53" spans="1:18" ht="13.5" thickBot="1" x14ac:dyDescent="0.25">
      <c r="J53" s="38">
        <f>+J52-J50</f>
        <v>30093</v>
      </c>
    </row>
    <row r="54" spans="1:18" ht="13.5" thickBot="1" x14ac:dyDescent="0.25">
      <c r="B54" s="789" t="s">
        <v>162</v>
      </c>
      <c r="C54" s="861"/>
      <c r="D54" s="861"/>
      <c r="E54" s="861"/>
      <c r="F54" s="862"/>
      <c r="G54" s="863">
        <f>O38</f>
        <v>776692</v>
      </c>
      <c r="H54" s="864"/>
    </row>
    <row r="55" spans="1:18" ht="13.5" thickBot="1" x14ac:dyDescent="0.25"/>
    <row r="56" spans="1:18" x14ac:dyDescent="0.2">
      <c r="B56" s="830" t="s">
        <v>163</v>
      </c>
      <c r="C56" s="833" t="s">
        <v>164</v>
      </c>
      <c r="D56" s="836" t="s">
        <v>165</v>
      </c>
      <c r="E56" s="837"/>
      <c r="F56" s="838"/>
      <c r="G56" s="839">
        <v>40000</v>
      </c>
      <c r="H56" s="840"/>
    </row>
    <row r="57" spans="1:18" x14ac:dyDescent="0.2">
      <c r="B57" s="831"/>
      <c r="C57" s="834"/>
      <c r="D57" s="841" t="s">
        <v>166</v>
      </c>
      <c r="E57" s="842"/>
      <c r="F57" s="843"/>
      <c r="G57" s="844">
        <f>+O45</f>
        <v>2400</v>
      </c>
      <c r="H57" s="845"/>
      <c r="I57" s="39"/>
      <c r="J57" s="846"/>
      <c r="K57" s="846"/>
      <c r="L57" s="846"/>
      <c r="M57" s="847"/>
      <c r="N57" s="847"/>
      <c r="O57" s="847"/>
    </row>
    <row r="58" spans="1:18" ht="13.5" thickBot="1" x14ac:dyDescent="0.25">
      <c r="B58" s="832"/>
      <c r="C58" s="835"/>
      <c r="D58" s="848" t="s">
        <v>167</v>
      </c>
      <c r="E58" s="849"/>
      <c r="F58" s="850"/>
      <c r="G58" s="851">
        <f>IF(O18&gt;15000,15000,+O18)</f>
        <v>0</v>
      </c>
      <c r="H58" s="852"/>
      <c r="J58" s="47"/>
      <c r="K58" s="47"/>
      <c r="L58" s="47"/>
      <c r="M58" s="47"/>
      <c r="N58" s="47"/>
      <c r="O58" s="47"/>
    </row>
    <row r="59" spans="1:18" ht="13.5" thickBot="1" x14ac:dyDescent="0.25">
      <c r="B59" s="48"/>
      <c r="J59" s="47"/>
      <c r="K59" s="47"/>
      <c r="L59" s="47"/>
      <c r="M59" s="47"/>
      <c r="N59" s="47"/>
      <c r="O59" s="47"/>
    </row>
    <row r="60" spans="1:18" ht="13.5" thickBot="1" x14ac:dyDescent="0.25">
      <c r="B60" s="789" t="s">
        <v>168</v>
      </c>
      <c r="C60" s="790"/>
      <c r="D60" s="790"/>
      <c r="E60" s="790"/>
      <c r="F60" s="791"/>
      <c r="G60" s="825">
        <f>+G54-SUM(G56:H58)</f>
        <v>734292</v>
      </c>
      <c r="H60" s="826"/>
      <c r="J60" s="827" t="s">
        <v>169</v>
      </c>
      <c r="K60" s="828"/>
      <c r="L60" s="828"/>
      <c r="M60" s="828"/>
      <c r="N60" s="828"/>
      <c r="O60" s="829"/>
    </row>
    <row r="61" spans="1:18" ht="13.5" thickBot="1" x14ac:dyDescent="0.25">
      <c r="B61" s="49"/>
      <c r="C61" s="50"/>
      <c r="D61" s="50"/>
      <c r="E61" s="50"/>
      <c r="F61" s="50"/>
      <c r="G61" s="45"/>
      <c r="H61" s="50"/>
      <c r="J61" s="51"/>
      <c r="K61" s="52"/>
      <c r="L61" s="52"/>
      <c r="M61" s="52"/>
      <c r="N61" s="52"/>
      <c r="O61" s="53"/>
    </row>
    <row r="62" spans="1:18" ht="13.5" thickBot="1" x14ac:dyDescent="0.25">
      <c r="B62" s="789" t="s">
        <v>170</v>
      </c>
      <c r="C62" s="790"/>
      <c r="D62" s="790"/>
      <c r="E62" s="790"/>
      <c r="F62" s="791"/>
      <c r="G62" s="805"/>
      <c r="H62" s="791"/>
      <c r="J62" s="54"/>
      <c r="K62" s="55"/>
      <c r="L62" s="55"/>
      <c r="M62" s="55"/>
      <c r="N62" s="55"/>
      <c r="O62" s="56"/>
    </row>
    <row r="63" spans="1:18" ht="12.75" customHeight="1" x14ac:dyDescent="0.2">
      <c r="B63" s="57" t="s">
        <v>171</v>
      </c>
      <c r="C63" s="806" t="s">
        <v>172</v>
      </c>
      <c r="D63" s="807"/>
      <c r="E63" s="807"/>
      <c r="F63" s="808"/>
      <c r="G63" s="809">
        <v>0</v>
      </c>
      <c r="H63" s="809"/>
      <c r="I63" s="58"/>
      <c r="J63" s="810" t="s">
        <v>173</v>
      </c>
      <c r="K63" s="811"/>
      <c r="L63" s="811"/>
      <c r="M63" s="811"/>
      <c r="N63" s="811"/>
      <c r="O63" s="812"/>
      <c r="Q63" s="59"/>
      <c r="R63" s="59"/>
    </row>
    <row r="64" spans="1:18" ht="13.5" thickBot="1" x14ac:dyDescent="0.25">
      <c r="D64" s="37"/>
      <c r="I64" s="58"/>
      <c r="J64" s="60"/>
      <c r="K64" s="61"/>
      <c r="L64" s="61"/>
      <c r="M64" s="61"/>
      <c r="N64" s="61"/>
      <c r="O64" s="62"/>
      <c r="Q64" s="59"/>
      <c r="R64" s="59"/>
    </row>
    <row r="65" spans="2:18" ht="13.5" thickBot="1" x14ac:dyDescent="0.25">
      <c r="B65" s="789" t="s">
        <v>175</v>
      </c>
      <c r="C65" s="790"/>
      <c r="D65" s="790"/>
      <c r="E65" s="790"/>
      <c r="F65" s="791"/>
      <c r="G65" s="805">
        <f>+G60-G63</f>
        <v>734292</v>
      </c>
      <c r="H65" s="791"/>
      <c r="I65" s="63"/>
      <c r="J65" s="64" t="s">
        <v>484</v>
      </c>
      <c r="K65" s="39"/>
      <c r="L65" s="39"/>
      <c r="M65" s="39"/>
      <c r="N65" s="39" t="s">
        <v>388</v>
      </c>
      <c r="O65" s="65">
        <v>0</v>
      </c>
      <c r="Q65" s="59"/>
      <c r="R65" s="59"/>
    </row>
    <row r="66" spans="2:18" ht="12.75" customHeight="1" x14ac:dyDescent="0.2">
      <c r="B66" s="48"/>
      <c r="C66" s="48"/>
      <c r="I66" s="63"/>
      <c r="J66" s="64"/>
      <c r="K66" s="39"/>
      <c r="L66" s="39"/>
      <c r="M66" s="39"/>
      <c r="N66" s="39"/>
      <c r="O66" s="65"/>
      <c r="Q66" s="59"/>
      <c r="R66" s="59"/>
    </row>
    <row r="67" spans="2:18" x14ac:dyDescent="0.2">
      <c r="B67" s="66" t="s">
        <v>176</v>
      </c>
      <c r="C67" s="48"/>
      <c r="I67" s="63"/>
      <c r="J67" s="67"/>
      <c r="K67" s="68"/>
      <c r="L67" s="68"/>
      <c r="M67" s="68"/>
      <c r="N67" s="68"/>
      <c r="O67" s="69"/>
      <c r="Q67" s="59"/>
      <c r="R67" s="59"/>
    </row>
    <row r="68" spans="2:18" ht="26.25" customHeight="1" thickBot="1" x14ac:dyDescent="0.25">
      <c r="B68" s="66"/>
      <c r="C68" s="48"/>
      <c r="G68" s="70" t="s">
        <v>177</v>
      </c>
      <c r="H68" s="70" t="s">
        <v>178</v>
      </c>
      <c r="I68" s="63"/>
      <c r="J68" s="810" t="s">
        <v>179</v>
      </c>
      <c r="K68" s="811"/>
      <c r="L68" s="71"/>
      <c r="M68" s="71"/>
      <c r="N68" s="71"/>
      <c r="O68" s="72"/>
      <c r="Q68" s="59"/>
      <c r="R68" s="59"/>
    </row>
    <row r="69" spans="2:18" ht="12.75" customHeight="1" x14ac:dyDescent="0.2">
      <c r="B69" s="802" t="s">
        <v>180</v>
      </c>
      <c r="C69" s="821" t="s">
        <v>181</v>
      </c>
      <c r="D69" s="823" t="s">
        <v>182</v>
      </c>
      <c r="E69" s="824"/>
      <c r="F69" s="824"/>
      <c r="G69" s="73">
        <f>+O44</f>
        <v>360000</v>
      </c>
      <c r="H69" s="74">
        <f t="shared" ref="H69:H77" si="9">+G69</f>
        <v>360000</v>
      </c>
      <c r="I69" s="63"/>
      <c r="J69" s="75" t="s">
        <v>231</v>
      </c>
      <c r="K69" s="58"/>
      <c r="L69" s="58"/>
      <c r="M69" s="58"/>
      <c r="N69" s="58"/>
      <c r="O69" s="76"/>
      <c r="Q69" s="59"/>
      <c r="R69" s="59"/>
    </row>
    <row r="70" spans="2:18" ht="12.75" customHeight="1" x14ac:dyDescent="0.2">
      <c r="B70" s="803"/>
      <c r="C70" s="822"/>
      <c r="D70" s="782" t="s">
        <v>184</v>
      </c>
      <c r="E70" s="783"/>
      <c r="F70" s="783"/>
      <c r="G70" s="77">
        <v>0</v>
      </c>
      <c r="H70" s="78">
        <f t="shared" si="9"/>
        <v>0</v>
      </c>
      <c r="I70" s="63"/>
      <c r="J70" s="181"/>
      <c r="K70" s="68"/>
      <c r="L70" s="68"/>
      <c r="M70" s="135" t="s">
        <v>232</v>
      </c>
      <c r="N70" s="135" t="s">
        <v>276</v>
      </c>
      <c r="O70" s="136"/>
      <c r="Q70" s="59"/>
      <c r="R70" s="59"/>
    </row>
    <row r="71" spans="2:18" ht="12.75" customHeight="1" x14ac:dyDescent="0.2">
      <c r="B71" s="803"/>
      <c r="C71" s="822"/>
      <c r="D71" s="819" t="s">
        <v>185</v>
      </c>
      <c r="E71" s="820"/>
      <c r="F71" s="820"/>
      <c r="G71" s="80">
        <f>O41</f>
        <v>360</v>
      </c>
      <c r="H71" s="78">
        <f t="shared" si="9"/>
        <v>360</v>
      </c>
      <c r="I71" s="63"/>
      <c r="J71" s="67"/>
      <c r="K71" s="68"/>
      <c r="L71" s="68"/>
      <c r="M71" s="68"/>
      <c r="N71" s="68"/>
      <c r="O71" s="69"/>
    </row>
    <row r="72" spans="2:18" x14ac:dyDescent="0.2">
      <c r="B72" s="803"/>
      <c r="C72" s="822"/>
      <c r="D72" s="782" t="s">
        <v>186</v>
      </c>
      <c r="E72" s="783"/>
      <c r="F72" s="783"/>
      <c r="G72" s="81">
        <v>0</v>
      </c>
      <c r="H72" s="78">
        <f t="shared" si="9"/>
        <v>0</v>
      </c>
      <c r="I72" s="63"/>
      <c r="J72" s="64"/>
      <c r="K72" s="39"/>
      <c r="L72" s="39"/>
      <c r="M72" s="39"/>
      <c r="N72" s="39"/>
      <c r="O72" s="65"/>
    </row>
    <row r="73" spans="2:18" ht="12.75" customHeight="1" x14ac:dyDescent="0.2">
      <c r="B73" s="803"/>
      <c r="C73" s="822"/>
      <c r="D73" s="784" t="s">
        <v>188</v>
      </c>
      <c r="E73" s="783"/>
      <c r="F73" s="783"/>
      <c r="G73" s="80">
        <v>0</v>
      </c>
      <c r="H73" s="78">
        <f t="shared" si="9"/>
        <v>0</v>
      </c>
      <c r="I73" s="63"/>
      <c r="J73" s="85"/>
      <c r="K73" s="63"/>
      <c r="L73" s="63"/>
      <c r="M73" s="63"/>
      <c r="N73" s="63"/>
      <c r="O73" s="86"/>
    </row>
    <row r="74" spans="2:18" ht="14.25" customHeight="1" x14ac:dyDescent="0.2">
      <c r="B74" s="803"/>
      <c r="C74" s="822"/>
      <c r="D74" s="782" t="s">
        <v>190</v>
      </c>
      <c r="E74" s="783"/>
      <c r="F74" s="783"/>
      <c r="G74" s="84">
        <v>0</v>
      </c>
      <c r="H74" s="78">
        <f t="shared" si="9"/>
        <v>0</v>
      </c>
      <c r="I74" s="63"/>
      <c r="J74" s="82" t="s">
        <v>187</v>
      </c>
      <c r="K74" s="71"/>
      <c r="L74" s="71"/>
      <c r="M74" s="71"/>
      <c r="N74" s="71"/>
      <c r="O74" s="72"/>
    </row>
    <row r="75" spans="2:18" x14ac:dyDescent="0.2">
      <c r="B75" s="803"/>
      <c r="C75" s="822"/>
      <c r="D75" s="782" t="s">
        <v>191</v>
      </c>
      <c r="E75" s="783"/>
      <c r="F75" s="783"/>
      <c r="G75" s="81">
        <v>0</v>
      </c>
      <c r="H75" s="78">
        <f t="shared" si="9"/>
        <v>0</v>
      </c>
      <c r="I75" s="58"/>
      <c r="J75" s="75" t="s">
        <v>189</v>
      </c>
      <c r="K75" s="50"/>
      <c r="L75" s="50"/>
      <c r="M75" s="50"/>
      <c r="N75" s="50"/>
      <c r="O75" s="83">
        <f>O43</f>
        <v>3000</v>
      </c>
    </row>
    <row r="76" spans="2:18" ht="13.5" thickBot="1" x14ac:dyDescent="0.25">
      <c r="B76" s="803"/>
      <c r="C76" s="88" t="s">
        <v>192</v>
      </c>
      <c r="D76" s="813" t="s">
        <v>193</v>
      </c>
      <c r="E76" s="814"/>
      <c r="F76" s="814"/>
      <c r="G76" s="80">
        <v>0</v>
      </c>
      <c r="H76" s="78">
        <f t="shared" si="9"/>
        <v>0</v>
      </c>
      <c r="I76" s="58"/>
      <c r="J76" s="97"/>
      <c r="K76" s="98"/>
      <c r="L76" s="98"/>
      <c r="M76" s="98"/>
      <c r="N76" s="98"/>
      <c r="O76" s="99"/>
    </row>
    <row r="77" spans="2:18" ht="13.5" customHeight="1" thickBot="1" x14ac:dyDescent="0.25">
      <c r="B77" s="803"/>
      <c r="C77" s="88" t="s">
        <v>194</v>
      </c>
      <c r="D77" s="815" t="s">
        <v>195</v>
      </c>
      <c r="E77" s="815"/>
      <c r="F77" s="815"/>
      <c r="G77" s="89">
        <v>0</v>
      </c>
      <c r="H77" s="90">
        <f t="shared" si="9"/>
        <v>0</v>
      </c>
      <c r="I77" s="63"/>
    </row>
    <row r="78" spans="2:18" ht="13.5" thickBot="1" x14ac:dyDescent="0.25">
      <c r="B78" s="803"/>
      <c r="C78" s="93"/>
      <c r="D78" s="94"/>
      <c r="E78" s="816" t="s">
        <v>117</v>
      </c>
      <c r="F78" s="817"/>
      <c r="G78" s="95">
        <f>SUM(G69:G77)</f>
        <v>360360</v>
      </c>
      <c r="H78" s="96">
        <f>IF(SUM(G69:G75)&lt;150000,SUM(G69:G75),150000)+IF(+G76&lt;20000,+G76,20000)</f>
        <v>150000</v>
      </c>
      <c r="I78" s="63"/>
    </row>
    <row r="79" spans="2:18" ht="12.75" customHeight="1" x14ac:dyDescent="0.2">
      <c r="B79" s="803"/>
      <c r="C79" s="100" t="s">
        <v>196</v>
      </c>
      <c r="D79" s="782" t="s">
        <v>187</v>
      </c>
      <c r="E79" s="783"/>
      <c r="F79" s="818"/>
      <c r="G79" s="73">
        <f>+O43</f>
        <v>3000</v>
      </c>
      <c r="H79" s="101">
        <f>+IF(+G79&lt;25000,+G79,25000)</f>
        <v>3000</v>
      </c>
      <c r="I79" s="87"/>
    </row>
    <row r="80" spans="2:18" x14ac:dyDescent="0.2">
      <c r="B80" s="803"/>
      <c r="C80" s="100" t="s">
        <v>197</v>
      </c>
      <c r="D80" s="784" t="s">
        <v>198</v>
      </c>
      <c r="E80" s="785"/>
      <c r="F80" s="786"/>
      <c r="G80" s="102"/>
      <c r="H80" s="103">
        <f>+IF(+G80&lt;40000,+G80,40000)</f>
        <v>0</v>
      </c>
      <c r="I80" s="63"/>
      <c r="J80" s="106"/>
    </row>
    <row r="81" spans="2:12" x14ac:dyDescent="0.2">
      <c r="B81" s="803"/>
      <c r="C81" s="100" t="s">
        <v>199</v>
      </c>
      <c r="D81" s="784" t="s">
        <v>200</v>
      </c>
      <c r="E81" s="785"/>
      <c r="F81" s="786"/>
      <c r="G81" s="81">
        <v>0</v>
      </c>
      <c r="H81" s="104">
        <f>+G81</f>
        <v>0</v>
      </c>
      <c r="I81" s="63"/>
    </row>
    <row r="82" spans="2:12" x14ac:dyDescent="0.2">
      <c r="B82" s="803"/>
      <c r="C82" s="100" t="s">
        <v>201</v>
      </c>
      <c r="D82" s="784" t="s">
        <v>202</v>
      </c>
      <c r="E82" s="785"/>
      <c r="F82" s="786"/>
      <c r="G82" s="81"/>
      <c r="H82" s="104">
        <v>0</v>
      </c>
      <c r="I82" s="63"/>
    </row>
    <row r="83" spans="2:12" ht="13.5" thickBot="1" x14ac:dyDescent="0.25">
      <c r="B83" s="804"/>
      <c r="C83" s="100" t="s">
        <v>203</v>
      </c>
      <c r="D83" s="784" t="s">
        <v>204</v>
      </c>
      <c r="E83" s="785"/>
      <c r="F83" s="786"/>
      <c r="G83" s="102"/>
      <c r="H83" s="103">
        <f>+IF(+G83&lt;100000,+G83,10000)</f>
        <v>0</v>
      </c>
      <c r="I83" s="63"/>
    </row>
    <row r="84" spans="2:12" ht="13.5" thickBot="1" x14ac:dyDescent="0.25">
      <c r="B84" s="787" t="s">
        <v>205</v>
      </c>
      <c r="C84" s="788"/>
      <c r="D84" s="788"/>
      <c r="E84" s="788"/>
      <c r="F84" s="788"/>
      <c r="G84" s="107">
        <f>SUM(G79:G83)</f>
        <v>3000</v>
      </c>
      <c r="H84" s="108">
        <f>SUM(H78:H83)</f>
        <v>153000</v>
      </c>
    </row>
    <row r="85" spans="2:12" ht="13.5" thickBot="1" x14ac:dyDescent="0.25"/>
    <row r="86" spans="2:12" ht="13.5" thickBot="1" x14ac:dyDescent="0.25">
      <c r="B86" s="789" t="s">
        <v>206</v>
      </c>
      <c r="C86" s="790"/>
      <c r="D86" s="790"/>
      <c r="E86" s="790"/>
      <c r="F86" s="791"/>
      <c r="G86" s="792">
        <f>+G65-H84</f>
        <v>581292</v>
      </c>
      <c r="H86" s="791"/>
      <c r="J86" s="251">
        <f>C38+D38+E38+F38</f>
        <v>241536</v>
      </c>
      <c r="K86" s="16" t="s">
        <v>235</v>
      </c>
    </row>
    <row r="87" spans="2:12" x14ac:dyDescent="0.2">
      <c r="B87" s="110"/>
      <c r="F87" s="105"/>
      <c r="J87" s="251">
        <f>G38+H38+I38</f>
        <v>184869</v>
      </c>
      <c r="K87" s="16" t="s">
        <v>236</v>
      </c>
    </row>
    <row r="88" spans="2:12" x14ac:dyDescent="0.2">
      <c r="C88" s="793" t="s">
        <v>207</v>
      </c>
      <c r="D88" s="794"/>
      <c r="E88" s="111" t="s">
        <v>208</v>
      </c>
      <c r="F88" s="111" t="s">
        <v>209</v>
      </c>
      <c r="G88" s="111" t="s">
        <v>210</v>
      </c>
      <c r="H88" s="111" t="s">
        <v>211</v>
      </c>
      <c r="J88" s="251">
        <f>J38+K38+L38</f>
        <v>211317</v>
      </c>
      <c r="K88" s="47" t="s">
        <v>237</v>
      </c>
    </row>
    <row r="89" spans="2:12" x14ac:dyDescent="0.2">
      <c r="C89" s="795" t="str">
        <f>IF(I6="M","0          - 250000","0          -  250000")</f>
        <v>0          -  250000</v>
      </c>
      <c r="D89" s="796"/>
      <c r="E89" s="112">
        <v>0</v>
      </c>
      <c r="F89" s="113">
        <f>IF(I6="M",(IF(G86&lt;250000,G86,250000)),(IF(G86&lt;250000,G86,250000)))</f>
        <v>250000</v>
      </c>
      <c r="G89" s="113">
        <f>G86-F89</f>
        <v>331292</v>
      </c>
      <c r="H89" s="113">
        <f>E89*F89</f>
        <v>0</v>
      </c>
      <c r="J89" s="16">
        <f>M38+N38</f>
        <v>138970</v>
      </c>
      <c r="K89" s="1" t="s">
        <v>238</v>
      </c>
    </row>
    <row r="90" spans="2:12" x14ac:dyDescent="0.2">
      <c r="C90" s="795" t="str">
        <f>IF(I6="M","250001 - 500000","250001-500000")</f>
        <v>250001-500000</v>
      </c>
      <c r="D90" s="796"/>
      <c r="E90" s="112">
        <v>0.05</v>
      </c>
      <c r="F90" s="113">
        <f>IF(I6="M",(IF(G89&lt;250000,G89,250000)),(IF(G89&lt;250000,G89,250000)))</f>
        <v>250000</v>
      </c>
      <c r="G90" s="113">
        <f>G89-F90</f>
        <v>81292</v>
      </c>
      <c r="H90" s="114">
        <f>ROUND(E90*F90,0.1)</f>
        <v>12500</v>
      </c>
      <c r="J90" s="115">
        <f>SUM(J86:J89)</f>
        <v>776692</v>
      </c>
    </row>
    <row r="91" spans="2:12" x14ac:dyDescent="0.2">
      <c r="C91" s="797" t="s">
        <v>212</v>
      </c>
      <c r="D91" s="798"/>
      <c r="E91" s="112">
        <v>0.2</v>
      </c>
      <c r="F91" s="113">
        <f>IF(G90&lt;500000,G90,500000)</f>
        <v>81292</v>
      </c>
      <c r="G91" s="113">
        <f>G90-F91</f>
        <v>0</v>
      </c>
      <c r="H91" s="114">
        <f>ROUND(E91*F91,0.1)</f>
        <v>16258</v>
      </c>
      <c r="J91" s="16">
        <f>+G86</f>
        <v>581292</v>
      </c>
    </row>
    <row r="92" spans="2:12" x14ac:dyDescent="0.2">
      <c r="C92" s="795" t="s">
        <v>213</v>
      </c>
      <c r="D92" s="796"/>
      <c r="E92" s="112">
        <v>0.3</v>
      </c>
      <c r="F92" s="113">
        <f>G91</f>
        <v>0</v>
      </c>
      <c r="G92" s="113">
        <f>G91-F92</f>
        <v>0</v>
      </c>
      <c r="H92" s="114">
        <f>ROUND(E92*F92,0.1)</f>
        <v>0</v>
      </c>
      <c r="J92" s="16">
        <f>+J90-J91</f>
        <v>195400</v>
      </c>
    </row>
    <row r="93" spans="2:12" ht="12.75" customHeight="1" thickBot="1" x14ac:dyDescent="0.25">
      <c r="B93" s="116"/>
      <c r="C93" s="117"/>
      <c r="D93" s="47"/>
      <c r="E93" s="47"/>
      <c r="F93" s="47"/>
      <c r="J93" s="87"/>
      <c r="K93" s="118"/>
    </row>
    <row r="94" spans="2:12" ht="13.5" thickBot="1" x14ac:dyDescent="0.25">
      <c r="B94" s="799" t="s">
        <v>239</v>
      </c>
      <c r="C94" s="800"/>
      <c r="D94" s="800"/>
      <c r="E94" s="800"/>
      <c r="F94" s="801"/>
      <c r="G94" s="771">
        <f>H89+H90+H91+H92</f>
        <v>28758</v>
      </c>
      <c r="H94" s="772"/>
    </row>
    <row r="95" spans="2:12" ht="13.5" thickBot="1" x14ac:dyDescent="0.25">
      <c r="B95" s="119" t="s">
        <v>215</v>
      </c>
      <c r="C95" s="120"/>
      <c r="D95" s="120"/>
      <c r="E95" s="120"/>
      <c r="F95" s="120"/>
      <c r="G95" s="884">
        <f>IF((G65&lt;500000),5000,0)</f>
        <v>0</v>
      </c>
      <c r="H95" s="885">
        <f>IF(H93&lt;200000,0,IF(H93&lt;220000,((H93-200000)*10%),IF(H93&lt;=500000,2000,IF(H93&gt;=500000,0))))</f>
        <v>0</v>
      </c>
      <c r="J95" s="1"/>
      <c r="K95" s="121"/>
      <c r="L95" s="121"/>
    </row>
    <row r="96" spans="2:12" ht="13.5" thickBot="1" x14ac:dyDescent="0.25">
      <c r="B96" s="122" t="s">
        <v>216</v>
      </c>
      <c r="C96" s="123"/>
      <c r="D96" s="123"/>
      <c r="E96" s="123"/>
      <c r="F96" s="123"/>
      <c r="G96" s="771">
        <f>IF((G94-G95)&lt;0,0,(G94-G95))</f>
        <v>28758</v>
      </c>
      <c r="H96" s="772"/>
      <c r="I96" s="37"/>
    </row>
    <row r="97" spans="2:9" ht="13.5" thickBot="1" x14ac:dyDescent="0.25">
      <c r="B97" s="773" t="s">
        <v>240</v>
      </c>
      <c r="C97" s="774"/>
      <c r="D97" s="774"/>
      <c r="E97" s="774"/>
      <c r="F97" s="775"/>
      <c r="G97" s="776">
        <f>ROUND((IF(G96&gt;0,(G96*4%),0)),0)</f>
        <v>1150</v>
      </c>
      <c r="H97" s="777"/>
      <c r="I97" s="37"/>
    </row>
    <row r="98" spans="2:9" ht="13.5" thickBot="1" x14ac:dyDescent="0.25">
      <c r="B98" s="778" t="s">
        <v>218</v>
      </c>
      <c r="C98" s="779"/>
      <c r="D98" s="779"/>
      <c r="E98" s="779"/>
      <c r="F98" s="779"/>
      <c r="G98" s="780">
        <f>G96+G97</f>
        <v>29908</v>
      </c>
      <c r="H98" s="781"/>
      <c r="I98" s="121"/>
    </row>
    <row r="99" spans="2:9" ht="13.5" thickBot="1" x14ac:dyDescent="0.25">
      <c r="B99" s="765" t="s">
        <v>219</v>
      </c>
      <c r="C99" s="766"/>
      <c r="D99" s="766"/>
      <c r="E99" s="766"/>
      <c r="F99" s="766"/>
      <c r="G99" s="767">
        <f>O39</f>
        <v>29915</v>
      </c>
      <c r="H99" s="768"/>
      <c r="I99" s="121"/>
    </row>
    <row r="100" spans="2:9" ht="13.5" thickBot="1" x14ac:dyDescent="0.25">
      <c r="B100" s="765" t="str">
        <f>IF(G100&gt;0,"TAX PAYABLE","TAX REFUND")</f>
        <v>TAX REFUND</v>
      </c>
      <c r="C100" s="766"/>
      <c r="D100" s="766"/>
      <c r="E100" s="766"/>
      <c r="F100" s="766"/>
      <c r="G100" s="767">
        <f>+G98-G99</f>
        <v>-7</v>
      </c>
      <c r="H100" s="768"/>
      <c r="I100" s="37"/>
    </row>
    <row r="101" spans="2:9" x14ac:dyDescent="0.2">
      <c r="C101" s="124"/>
      <c r="D101" s="45"/>
      <c r="E101" s="118"/>
      <c r="F101" s="118"/>
      <c r="G101" s="118"/>
      <c r="H101" s="118"/>
      <c r="I101" s="125"/>
    </row>
    <row r="102" spans="2:9" x14ac:dyDescent="0.2">
      <c r="C102" s="47"/>
      <c r="D102" s="50"/>
      <c r="E102" s="117"/>
      <c r="F102" s="47"/>
      <c r="G102" s="47"/>
      <c r="H102" s="47"/>
      <c r="I102" s="125"/>
    </row>
    <row r="103" spans="2:9" x14ac:dyDescent="0.2">
      <c r="C103" s="39"/>
      <c r="D103" s="126"/>
      <c r="E103" s="126"/>
      <c r="F103" s="126"/>
      <c r="G103" s="39"/>
      <c r="H103" s="39"/>
      <c r="I103" s="37"/>
    </row>
    <row r="104" spans="2:9" x14ac:dyDescent="0.2">
      <c r="C104" s="39"/>
      <c r="D104" s="126"/>
      <c r="E104" s="126"/>
      <c r="F104" s="39"/>
      <c r="G104" s="39"/>
      <c r="H104" s="39"/>
      <c r="I104" s="37"/>
    </row>
    <row r="105" spans="2:9" x14ac:dyDescent="0.2">
      <c r="C105" s="39"/>
      <c r="D105" s="126"/>
      <c r="E105" s="126"/>
      <c r="F105" s="39"/>
      <c r="G105" s="39"/>
      <c r="H105" s="39"/>
      <c r="I105" s="37"/>
    </row>
    <row r="106" spans="2:9" x14ac:dyDescent="0.2">
      <c r="C106" s="39"/>
      <c r="D106" s="39"/>
      <c r="E106" s="39"/>
      <c r="F106" s="39"/>
      <c r="G106" s="39"/>
      <c r="H106" s="39"/>
      <c r="I106" s="37"/>
    </row>
    <row r="107" spans="2:9" x14ac:dyDescent="0.2">
      <c r="C107" s="39"/>
      <c r="D107" s="39"/>
      <c r="E107" s="39"/>
      <c r="F107" s="39"/>
      <c r="G107" s="39"/>
      <c r="H107" s="39"/>
    </row>
    <row r="108" spans="2:9" x14ac:dyDescent="0.2">
      <c r="C108" s="39"/>
      <c r="D108" s="39"/>
      <c r="E108" s="39"/>
      <c r="F108" s="39"/>
      <c r="G108" s="39"/>
      <c r="H108"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7:B37"/>
    <mergeCell ref="A5:C5"/>
    <mergeCell ref="D5:F5"/>
    <mergeCell ref="G5:H5"/>
    <mergeCell ref="I5:O5"/>
    <mergeCell ref="A6:C6"/>
    <mergeCell ref="D6:F6"/>
    <mergeCell ref="G6:H6"/>
    <mergeCell ref="J6:O6"/>
    <mergeCell ref="L7:O7"/>
    <mergeCell ref="A8:B8"/>
    <mergeCell ref="A22:A34"/>
    <mergeCell ref="A35:B35"/>
    <mergeCell ref="A36:B36"/>
    <mergeCell ref="A39:A49"/>
    <mergeCell ref="A50:B50"/>
    <mergeCell ref="A51:B51"/>
    <mergeCell ref="B54:F54"/>
    <mergeCell ref="G54:H54"/>
    <mergeCell ref="B60:F60"/>
    <mergeCell ref="G60:H60"/>
    <mergeCell ref="J60:O60"/>
    <mergeCell ref="B56:B58"/>
    <mergeCell ref="C56:C58"/>
    <mergeCell ref="D56:F56"/>
    <mergeCell ref="G56:H56"/>
    <mergeCell ref="D57:F57"/>
    <mergeCell ref="G57:H57"/>
    <mergeCell ref="J57:L57"/>
    <mergeCell ref="M57:O57"/>
    <mergeCell ref="D58:F58"/>
    <mergeCell ref="G58:H58"/>
    <mergeCell ref="J63:O63"/>
    <mergeCell ref="D81:F81"/>
    <mergeCell ref="J68:K68"/>
    <mergeCell ref="B65:F65"/>
    <mergeCell ref="G65:H65"/>
    <mergeCell ref="D76:F76"/>
    <mergeCell ref="D77:F77"/>
    <mergeCell ref="E78:F78"/>
    <mergeCell ref="D79:F79"/>
    <mergeCell ref="D80:F80"/>
    <mergeCell ref="D71:F71"/>
    <mergeCell ref="D72:F72"/>
    <mergeCell ref="C69:C75"/>
    <mergeCell ref="D69:F69"/>
    <mergeCell ref="D70:F70"/>
    <mergeCell ref="D74:F74"/>
    <mergeCell ref="G62:H62"/>
    <mergeCell ref="C63:F63"/>
    <mergeCell ref="G63:H63"/>
    <mergeCell ref="B62:F62"/>
    <mergeCell ref="D73:F73"/>
    <mergeCell ref="D75:F75"/>
    <mergeCell ref="G94:H94"/>
    <mergeCell ref="D82:F82"/>
    <mergeCell ref="D83:F83"/>
    <mergeCell ref="B84:F84"/>
    <mergeCell ref="B86:F86"/>
    <mergeCell ref="G86:H86"/>
    <mergeCell ref="C88:D88"/>
    <mergeCell ref="C89:D89"/>
    <mergeCell ref="C90:D90"/>
    <mergeCell ref="C91:D91"/>
    <mergeCell ref="C92:D92"/>
    <mergeCell ref="B94:F94"/>
    <mergeCell ref="B69:B83"/>
    <mergeCell ref="B100:F100"/>
    <mergeCell ref="G100:H100"/>
    <mergeCell ref="G95:H95"/>
    <mergeCell ref="G96:H96"/>
    <mergeCell ref="B97:F97"/>
    <mergeCell ref="G97:H97"/>
    <mergeCell ref="B98:F98"/>
    <mergeCell ref="G98:H98"/>
    <mergeCell ref="B99:F99"/>
    <mergeCell ref="G99:H99"/>
  </mergeCells>
  <conditionalFormatting sqref="B91:F91 B100:F100 B94:F98">
    <cfRule type="cellIs" dxfId="2133" priority="1" stopIfTrue="1" operator="equal">
      <formula>"TAX PAYABLE"</formula>
    </cfRule>
    <cfRule type="cellIs" dxfId="2132" priority="2" stopIfTrue="1" operator="equal">
      <formula>"TAX REFUND"</formula>
    </cfRule>
  </conditionalFormatting>
  <conditionalFormatting sqref="G91:H91">
    <cfRule type="cellIs" dxfId="2131" priority="3" stopIfTrue="1" operator="lessThan">
      <formula>0</formula>
    </cfRule>
    <cfRule type="cellIs" dxfId="2130" priority="4" stopIfTrue="1" operator="greaterThan">
      <formula>0</formula>
    </cfRule>
  </conditionalFormatting>
  <conditionalFormatting sqref="G100:H100">
    <cfRule type="cellIs" dxfId="2129" priority="5" stopIfTrue="1" operator="greaterThan">
      <formula>0</formula>
    </cfRule>
    <cfRule type="cellIs" dxfId="2128" priority="6" stopIfTrue="1" operator="lessThanOrEqual">
      <formula>0</formula>
    </cfRule>
  </conditionalFormatting>
  <hyperlinks>
    <hyperlink ref="J52" r:id="rId1" display="+J37-@sum(J22:J36)"/>
  </hyperlinks>
  <pageMargins left="0.75" right="0.75" top="1" bottom="1" header="0.5" footer="0.5"/>
  <headerFooter alignWithMargins="0"/>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09"/>
  <sheetViews>
    <sheetView topLeftCell="A58" workbookViewId="0">
      <selection activeCell="D78" sqref="D78:F78"/>
    </sheetView>
  </sheetViews>
  <sheetFormatPr defaultRowHeight="12.75" x14ac:dyDescent="0.2"/>
  <cols>
    <col min="1" max="1" width="5" style="16" customWidth="1"/>
    <col min="2" max="2" width="18.140625" style="37" customWidth="1"/>
    <col min="3" max="3" width="10.7109375" style="16" bestFit="1" customWidth="1"/>
    <col min="4" max="4" width="6.7109375" style="16" customWidth="1"/>
    <col min="5" max="5" width="8.5703125" style="16" customWidth="1"/>
    <col min="6" max="6" width="9.28515625" style="16" customWidth="1"/>
    <col min="7" max="7" width="10.42578125" style="16" bestFit="1" customWidth="1"/>
    <col min="8" max="8" width="10.28515625" style="16" bestFit="1" customWidth="1"/>
    <col min="9" max="9" width="7" style="16" customWidth="1"/>
    <col min="10" max="10" width="7.7109375" style="16" customWidth="1"/>
    <col min="11" max="12" width="7" style="16" customWidth="1"/>
    <col min="13" max="13" width="6.85546875" style="16" customWidth="1"/>
    <col min="14" max="14" width="7" style="16" customWidth="1"/>
    <col min="15" max="15" width="7.14062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8.140625" style="16" customWidth="1"/>
    <col min="259" max="259" width="10.7109375" style="16" bestFit="1" customWidth="1"/>
    <col min="260" max="260" width="6.7109375" style="16" customWidth="1"/>
    <col min="261" max="261" width="8.5703125" style="16" customWidth="1"/>
    <col min="262" max="262" width="9.28515625" style="16" customWidth="1"/>
    <col min="263" max="263" width="10.42578125" style="16" bestFit="1" customWidth="1"/>
    <col min="264" max="264" width="10.28515625" style="16" bestFit="1" customWidth="1"/>
    <col min="265" max="265" width="7" style="16" customWidth="1"/>
    <col min="266" max="266" width="7.7109375" style="16" customWidth="1"/>
    <col min="267" max="268" width="7" style="16" customWidth="1"/>
    <col min="269" max="269" width="6.85546875" style="16" customWidth="1"/>
    <col min="270" max="270" width="7" style="16" customWidth="1"/>
    <col min="271" max="271" width="7.14062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8.140625" style="16" customWidth="1"/>
    <col min="515" max="515" width="10.7109375" style="16" bestFit="1" customWidth="1"/>
    <col min="516" max="516" width="6.7109375" style="16" customWidth="1"/>
    <col min="517" max="517" width="8.5703125" style="16" customWidth="1"/>
    <col min="518" max="518" width="9.28515625" style="16" customWidth="1"/>
    <col min="519" max="519" width="10.42578125" style="16" bestFit="1" customWidth="1"/>
    <col min="520" max="520" width="10.28515625" style="16" bestFit="1" customWidth="1"/>
    <col min="521" max="521" width="7" style="16" customWidth="1"/>
    <col min="522" max="522" width="7.7109375" style="16" customWidth="1"/>
    <col min="523" max="524" width="7" style="16" customWidth="1"/>
    <col min="525" max="525" width="6.85546875" style="16" customWidth="1"/>
    <col min="526" max="526" width="7" style="16" customWidth="1"/>
    <col min="527" max="527" width="7.14062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8.140625" style="16" customWidth="1"/>
    <col min="771" max="771" width="10.7109375" style="16" bestFit="1" customWidth="1"/>
    <col min="772" max="772" width="6.7109375" style="16" customWidth="1"/>
    <col min="773" max="773" width="8.5703125" style="16" customWidth="1"/>
    <col min="774" max="774" width="9.28515625" style="16" customWidth="1"/>
    <col min="775" max="775" width="10.42578125" style="16" bestFit="1" customWidth="1"/>
    <col min="776" max="776" width="10.28515625" style="16" bestFit="1" customWidth="1"/>
    <col min="777" max="777" width="7" style="16" customWidth="1"/>
    <col min="778" max="778" width="7.7109375" style="16" customWidth="1"/>
    <col min="779" max="780" width="7" style="16" customWidth="1"/>
    <col min="781" max="781" width="6.85546875" style="16" customWidth="1"/>
    <col min="782" max="782" width="7" style="16" customWidth="1"/>
    <col min="783" max="783" width="7.14062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8.140625" style="16" customWidth="1"/>
    <col min="1027" max="1027" width="10.7109375" style="16" bestFit="1" customWidth="1"/>
    <col min="1028" max="1028" width="6.7109375" style="16" customWidth="1"/>
    <col min="1029" max="1029" width="8.5703125" style="16" customWidth="1"/>
    <col min="1030" max="1030" width="9.28515625" style="16" customWidth="1"/>
    <col min="1031" max="1031" width="10.42578125" style="16" bestFit="1" customWidth="1"/>
    <col min="1032" max="1032" width="10.28515625" style="16" bestFit="1" customWidth="1"/>
    <col min="1033" max="1033" width="7" style="16" customWidth="1"/>
    <col min="1034" max="1034" width="7.7109375" style="16" customWidth="1"/>
    <col min="1035" max="1036" width="7" style="16" customWidth="1"/>
    <col min="1037" max="1037" width="6.85546875" style="16" customWidth="1"/>
    <col min="1038" max="1038" width="7" style="16" customWidth="1"/>
    <col min="1039" max="1039" width="7.14062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8.140625" style="16" customWidth="1"/>
    <col min="1283" max="1283" width="10.7109375" style="16" bestFit="1" customWidth="1"/>
    <col min="1284" max="1284" width="6.7109375" style="16" customWidth="1"/>
    <col min="1285" max="1285" width="8.5703125" style="16" customWidth="1"/>
    <col min="1286" max="1286" width="9.28515625" style="16" customWidth="1"/>
    <col min="1287" max="1287" width="10.42578125" style="16" bestFit="1" customWidth="1"/>
    <col min="1288" max="1288" width="10.28515625" style="16" bestFit="1" customWidth="1"/>
    <col min="1289" max="1289" width="7" style="16" customWidth="1"/>
    <col min="1290" max="1290" width="7.7109375" style="16" customWidth="1"/>
    <col min="1291" max="1292" width="7" style="16" customWidth="1"/>
    <col min="1293" max="1293" width="6.85546875" style="16" customWidth="1"/>
    <col min="1294" max="1294" width="7" style="16" customWidth="1"/>
    <col min="1295" max="1295" width="7.14062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8.140625" style="16" customWidth="1"/>
    <col min="1539" max="1539" width="10.7109375" style="16" bestFit="1" customWidth="1"/>
    <col min="1540" max="1540" width="6.7109375" style="16" customWidth="1"/>
    <col min="1541" max="1541" width="8.5703125" style="16" customWidth="1"/>
    <col min="1542" max="1542" width="9.28515625" style="16" customWidth="1"/>
    <col min="1543" max="1543" width="10.42578125" style="16" bestFit="1" customWidth="1"/>
    <col min="1544" max="1544" width="10.28515625" style="16" bestFit="1" customWidth="1"/>
    <col min="1545" max="1545" width="7" style="16" customWidth="1"/>
    <col min="1546" max="1546" width="7.7109375" style="16" customWidth="1"/>
    <col min="1547" max="1548" width="7" style="16" customWidth="1"/>
    <col min="1549" max="1549" width="6.85546875" style="16" customWidth="1"/>
    <col min="1550" max="1550" width="7" style="16" customWidth="1"/>
    <col min="1551" max="1551" width="7.14062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8.140625" style="16" customWidth="1"/>
    <col min="1795" max="1795" width="10.7109375" style="16" bestFit="1" customWidth="1"/>
    <col min="1796" max="1796" width="6.7109375" style="16" customWidth="1"/>
    <col min="1797" max="1797" width="8.5703125" style="16" customWidth="1"/>
    <col min="1798" max="1798" width="9.28515625" style="16" customWidth="1"/>
    <col min="1799" max="1799" width="10.42578125" style="16" bestFit="1" customWidth="1"/>
    <col min="1800" max="1800" width="10.28515625" style="16" bestFit="1" customWidth="1"/>
    <col min="1801" max="1801" width="7" style="16" customWidth="1"/>
    <col min="1802" max="1802" width="7.7109375" style="16" customWidth="1"/>
    <col min="1803" max="1804" width="7" style="16" customWidth="1"/>
    <col min="1805" max="1805" width="6.85546875" style="16" customWidth="1"/>
    <col min="1806" max="1806" width="7" style="16" customWidth="1"/>
    <col min="1807" max="1807" width="7.14062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8.140625" style="16" customWidth="1"/>
    <col min="2051" max="2051" width="10.7109375" style="16" bestFit="1" customWidth="1"/>
    <col min="2052" max="2052" width="6.7109375" style="16" customWidth="1"/>
    <col min="2053" max="2053" width="8.5703125" style="16" customWidth="1"/>
    <col min="2054" max="2054" width="9.28515625" style="16" customWidth="1"/>
    <col min="2055" max="2055" width="10.42578125" style="16" bestFit="1" customWidth="1"/>
    <col min="2056" max="2056" width="10.28515625" style="16" bestFit="1" customWidth="1"/>
    <col min="2057" max="2057" width="7" style="16" customWidth="1"/>
    <col min="2058" max="2058" width="7.7109375" style="16" customWidth="1"/>
    <col min="2059" max="2060" width="7" style="16" customWidth="1"/>
    <col min="2061" max="2061" width="6.85546875" style="16" customWidth="1"/>
    <col min="2062" max="2062" width="7" style="16" customWidth="1"/>
    <col min="2063" max="2063" width="7.14062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8.140625" style="16" customWidth="1"/>
    <col min="2307" max="2307" width="10.7109375" style="16" bestFit="1" customWidth="1"/>
    <col min="2308" max="2308" width="6.7109375" style="16" customWidth="1"/>
    <col min="2309" max="2309" width="8.5703125" style="16" customWidth="1"/>
    <col min="2310" max="2310" width="9.28515625" style="16" customWidth="1"/>
    <col min="2311" max="2311" width="10.42578125" style="16" bestFit="1" customWidth="1"/>
    <col min="2312" max="2312" width="10.28515625" style="16" bestFit="1" customWidth="1"/>
    <col min="2313" max="2313" width="7" style="16" customWidth="1"/>
    <col min="2314" max="2314" width="7.7109375" style="16" customWidth="1"/>
    <col min="2315" max="2316" width="7" style="16" customWidth="1"/>
    <col min="2317" max="2317" width="6.85546875" style="16" customWidth="1"/>
    <col min="2318" max="2318" width="7" style="16" customWidth="1"/>
    <col min="2319" max="2319" width="7.14062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8.140625" style="16" customWidth="1"/>
    <col min="2563" max="2563" width="10.7109375" style="16" bestFit="1" customWidth="1"/>
    <col min="2564" max="2564" width="6.7109375" style="16" customWidth="1"/>
    <col min="2565" max="2565" width="8.5703125" style="16" customWidth="1"/>
    <col min="2566" max="2566" width="9.28515625" style="16" customWidth="1"/>
    <col min="2567" max="2567" width="10.42578125" style="16" bestFit="1" customWidth="1"/>
    <col min="2568" max="2568" width="10.28515625" style="16" bestFit="1" customWidth="1"/>
    <col min="2569" max="2569" width="7" style="16" customWidth="1"/>
    <col min="2570" max="2570" width="7.7109375" style="16" customWidth="1"/>
    <col min="2571" max="2572" width="7" style="16" customWidth="1"/>
    <col min="2573" max="2573" width="6.85546875" style="16" customWidth="1"/>
    <col min="2574" max="2574" width="7" style="16" customWidth="1"/>
    <col min="2575" max="2575" width="7.14062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8.140625" style="16" customWidth="1"/>
    <col min="2819" max="2819" width="10.7109375" style="16" bestFit="1" customWidth="1"/>
    <col min="2820" max="2820" width="6.7109375" style="16" customWidth="1"/>
    <col min="2821" max="2821" width="8.5703125" style="16" customWidth="1"/>
    <col min="2822" max="2822" width="9.28515625" style="16" customWidth="1"/>
    <col min="2823" max="2823" width="10.42578125" style="16" bestFit="1" customWidth="1"/>
    <col min="2824" max="2824" width="10.28515625" style="16" bestFit="1" customWidth="1"/>
    <col min="2825" max="2825" width="7" style="16" customWidth="1"/>
    <col min="2826" max="2826" width="7.7109375" style="16" customWidth="1"/>
    <col min="2827" max="2828" width="7" style="16" customWidth="1"/>
    <col min="2829" max="2829" width="6.85546875" style="16" customWidth="1"/>
    <col min="2830" max="2830" width="7" style="16" customWidth="1"/>
    <col min="2831" max="2831" width="7.14062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8.140625" style="16" customWidth="1"/>
    <col min="3075" max="3075" width="10.7109375" style="16" bestFit="1" customWidth="1"/>
    <col min="3076" max="3076" width="6.7109375" style="16" customWidth="1"/>
    <col min="3077" max="3077" width="8.5703125" style="16" customWidth="1"/>
    <col min="3078" max="3078" width="9.28515625" style="16" customWidth="1"/>
    <col min="3079" max="3079" width="10.42578125" style="16" bestFit="1" customWidth="1"/>
    <col min="3080" max="3080" width="10.28515625" style="16" bestFit="1" customWidth="1"/>
    <col min="3081" max="3081" width="7" style="16" customWidth="1"/>
    <col min="3082" max="3082" width="7.7109375" style="16" customWidth="1"/>
    <col min="3083" max="3084" width="7" style="16" customWidth="1"/>
    <col min="3085" max="3085" width="6.85546875" style="16" customWidth="1"/>
    <col min="3086" max="3086" width="7" style="16" customWidth="1"/>
    <col min="3087" max="3087" width="7.14062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8.140625" style="16" customWidth="1"/>
    <col min="3331" max="3331" width="10.7109375" style="16" bestFit="1" customWidth="1"/>
    <col min="3332" max="3332" width="6.7109375" style="16" customWidth="1"/>
    <col min="3333" max="3333" width="8.5703125" style="16" customWidth="1"/>
    <col min="3334" max="3334" width="9.28515625" style="16" customWidth="1"/>
    <col min="3335" max="3335" width="10.42578125" style="16" bestFit="1" customWidth="1"/>
    <col min="3336" max="3336" width="10.28515625" style="16" bestFit="1" customWidth="1"/>
    <col min="3337" max="3337" width="7" style="16" customWidth="1"/>
    <col min="3338" max="3338" width="7.7109375" style="16" customWidth="1"/>
    <col min="3339" max="3340" width="7" style="16" customWidth="1"/>
    <col min="3341" max="3341" width="6.85546875" style="16" customWidth="1"/>
    <col min="3342" max="3342" width="7" style="16" customWidth="1"/>
    <col min="3343" max="3343" width="7.14062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8.140625" style="16" customWidth="1"/>
    <col min="3587" max="3587" width="10.7109375" style="16" bestFit="1" customWidth="1"/>
    <col min="3588" max="3588" width="6.7109375" style="16" customWidth="1"/>
    <col min="3589" max="3589" width="8.5703125" style="16" customWidth="1"/>
    <col min="3590" max="3590" width="9.28515625" style="16" customWidth="1"/>
    <col min="3591" max="3591" width="10.42578125" style="16" bestFit="1" customWidth="1"/>
    <col min="3592" max="3592" width="10.28515625" style="16" bestFit="1" customWidth="1"/>
    <col min="3593" max="3593" width="7" style="16" customWidth="1"/>
    <col min="3594" max="3594" width="7.7109375" style="16" customWidth="1"/>
    <col min="3595" max="3596" width="7" style="16" customWidth="1"/>
    <col min="3597" max="3597" width="6.85546875" style="16" customWidth="1"/>
    <col min="3598" max="3598" width="7" style="16" customWidth="1"/>
    <col min="3599" max="3599" width="7.14062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8.140625" style="16" customWidth="1"/>
    <col min="3843" max="3843" width="10.7109375" style="16" bestFit="1" customWidth="1"/>
    <col min="3844" max="3844" width="6.7109375" style="16" customWidth="1"/>
    <col min="3845" max="3845" width="8.5703125" style="16" customWidth="1"/>
    <col min="3846" max="3846" width="9.28515625" style="16" customWidth="1"/>
    <col min="3847" max="3847" width="10.42578125" style="16" bestFit="1" customWidth="1"/>
    <col min="3848" max="3848" width="10.28515625" style="16" bestFit="1" customWidth="1"/>
    <col min="3849" max="3849" width="7" style="16" customWidth="1"/>
    <col min="3850" max="3850" width="7.7109375" style="16" customWidth="1"/>
    <col min="3851" max="3852" width="7" style="16" customWidth="1"/>
    <col min="3853" max="3853" width="6.85546875" style="16" customWidth="1"/>
    <col min="3854" max="3854" width="7" style="16" customWidth="1"/>
    <col min="3855" max="3855" width="7.14062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8.140625" style="16" customWidth="1"/>
    <col min="4099" max="4099" width="10.7109375" style="16" bestFit="1" customWidth="1"/>
    <col min="4100" max="4100" width="6.7109375" style="16" customWidth="1"/>
    <col min="4101" max="4101" width="8.5703125" style="16" customWidth="1"/>
    <col min="4102" max="4102" width="9.28515625" style="16" customWidth="1"/>
    <col min="4103" max="4103" width="10.42578125" style="16" bestFit="1" customWidth="1"/>
    <col min="4104" max="4104" width="10.28515625" style="16" bestFit="1" customWidth="1"/>
    <col min="4105" max="4105" width="7" style="16" customWidth="1"/>
    <col min="4106" max="4106" width="7.7109375" style="16" customWidth="1"/>
    <col min="4107" max="4108" width="7" style="16" customWidth="1"/>
    <col min="4109" max="4109" width="6.85546875" style="16" customWidth="1"/>
    <col min="4110" max="4110" width="7" style="16" customWidth="1"/>
    <col min="4111" max="4111" width="7.14062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8.140625" style="16" customWidth="1"/>
    <col min="4355" max="4355" width="10.7109375" style="16" bestFit="1" customWidth="1"/>
    <col min="4356" max="4356" width="6.7109375" style="16" customWidth="1"/>
    <col min="4357" max="4357" width="8.5703125" style="16" customWidth="1"/>
    <col min="4358" max="4358" width="9.28515625" style="16" customWidth="1"/>
    <col min="4359" max="4359" width="10.42578125" style="16" bestFit="1" customWidth="1"/>
    <col min="4360" max="4360" width="10.28515625" style="16" bestFit="1" customWidth="1"/>
    <col min="4361" max="4361" width="7" style="16" customWidth="1"/>
    <col min="4362" max="4362" width="7.7109375" style="16" customWidth="1"/>
    <col min="4363" max="4364" width="7" style="16" customWidth="1"/>
    <col min="4365" max="4365" width="6.85546875" style="16" customWidth="1"/>
    <col min="4366" max="4366" width="7" style="16" customWidth="1"/>
    <col min="4367" max="4367" width="7.14062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8.140625" style="16" customWidth="1"/>
    <col min="4611" max="4611" width="10.7109375" style="16" bestFit="1" customWidth="1"/>
    <col min="4612" max="4612" width="6.7109375" style="16" customWidth="1"/>
    <col min="4613" max="4613" width="8.5703125" style="16" customWidth="1"/>
    <col min="4614" max="4614" width="9.28515625" style="16" customWidth="1"/>
    <col min="4615" max="4615" width="10.42578125" style="16" bestFit="1" customWidth="1"/>
    <col min="4616" max="4616" width="10.28515625" style="16" bestFit="1" customWidth="1"/>
    <col min="4617" max="4617" width="7" style="16" customWidth="1"/>
    <col min="4618" max="4618" width="7.7109375" style="16" customWidth="1"/>
    <col min="4619" max="4620" width="7" style="16" customWidth="1"/>
    <col min="4621" max="4621" width="6.85546875" style="16" customWidth="1"/>
    <col min="4622" max="4622" width="7" style="16" customWidth="1"/>
    <col min="4623" max="4623" width="7.14062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8.140625" style="16" customWidth="1"/>
    <col min="4867" max="4867" width="10.7109375" style="16" bestFit="1" customWidth="1"/>
    <col min="4868" max="4868" width="6.7109375" style="16" customWidth="1"/>
    <col min="4869" max="4869" width="8.5703125" style="16" customWidth="1"/>
    <col min="4870" max="4870" width="9.28515625" style="16" customWidth="1"/>
    <col min="4871" max="4871" width="10.42578125" style="16" bestFit="1" customWidth="1"/>
    <col min="4872" max="4872" width="10.28515625" style="16" bestFit="1" customWidth="1"/>
    <col min="4873" max="4873" width="7" style="16" customWidth="1"/>
    <col min="4874" max="4874" width="7.7109375" style="16" customWidth="1"/>
    <col min="4875" max="4876" width="7" style="16" customWidth="1"/>
    <col min="4877" max="4877" width="6.85546875" style="16" customWidth="1"/>
    <col min="4878" max="4878" width="7" style="16" customWidth="1"/>
    <col min="4879" max="4879" width="7.14062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8.140625" style="16" customWidth="1"/>
    <col min="5123" max="5123" width="10.7109375" style="16" bestFit="1" customWidth="1"/>
    <col min="5124" max="5124" width="6.7109375" style="16" customWidth="1"/>
    <col min="5125" max="5125" width="8.5703125" style="16" customWidth="1"/>
    <col min="5126" max="5126" width="9.28515625" style="16" customWidth="1"/>
    <col min="5127" max="5127" width="10.42578125" style="16" bestFit="1" customWidth="1"/>
    <col min="5128" max="5128" width="10.28515625" style="16" bestFit="1" customWidth="1"/>
    <col min="5129" max="5129" width="7" style="16" customWidth="1"/>
    <col min="5130" max="5130" width="7.7109375" style="16" customWidth="1"/>
    <col min="5131" max="5132" width="7" style="16" customWidth="1"/>
    <col min="5133" max="5133" width="6.85546875" style="16" customWidth="1"/>
    <col min="5134" max="5134" width="7" style="16" customWidth="1"/>
    <col min="5135" max="5135" width="7.14062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8.140625" style="16" customWidth="1"/>
    <col min="5379" max="5379" width="10.7109375" style="16" bestFit="1" customWidth="1"/>
    <col min="5380" max="5380" width="6.7109375" style="16" customWidth="1"/>
    <col min="5381" max="5381" width="8.5703125" style="16" customWidth="1"/>
    <col min="5382" max="5382" width="9.28515625" style="16" customWidth="1"/>
    <col min="5383" max="5383" width="10.42578125" style="16" bestFit="1" customWidth="1"/>
    <col min="5384" max="5384" width="10.28515625" style="16" bestFit="1" customWidth="1"/>
    <col min="5385" max="5385" width="7" style="16" customWidth="1"/>
    <col min="5386" max="5386" width="7.7109375" style="16" customWidth="1"/>
    <col min="5387" max="5388" width="7" style="16" customWidth="1"/>
    <col min="5389" max="5389" width="6.85546875" style="16" customWidth="1"/>
    <col min="5390" max="5390" width="7" style="16" customWidth="1"/>
    <col min="5391" max="5391" width="7.14062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8.140625" style="16" customWidth="1"/>
    <col min="5635" max="5635" width="10.7109375" style="16" bestFit="1" customWidth="1"/>
    <col min="5636" max="5636" width="6.7109375" style="16" customWidth="1"/>
    <col min="5637" max="5637" width="8.5703125" style="16" customWidth="1"/>
    <col min="5638" max="5638" width="9.28515625" style="16" customWidth="1"/>
    <col min="5639" max="5639" width="10.42578125" style="16" bestFit="1" customWidth="1"/>
    <col min="5640" max="5640" width="10.28515625" style="16" bestFit="1" customWidth="1"/>
    <col min="5641" max="5641" width="7" style="16" customWidth="1"/>
    <col min="5642" max="5642" width="7.7109375" style="16" customWidth="1"/>
    <col min="5643" max="5644" width="7" style="16" customWidth="1"/>
    <col min="5645" max="5645" width="6.85546875" style="16" customWidth="1"/>
    <col min="5646" max="5646" width="7" style="16" customWidth="1"/>
    <col min="5647" max="5647" width="7.14062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8.140625" style="16" customWidth="1"/>
    <col min="5891" max="5891" width="10.7109375" style="16" bestFit="1" customWidth="1"/>
    <col min="5892" max="5892" width="6.7109375" style="16" customWidth="1"/>
    <col min="5893" max="5893" width="8.5703125" style="16" customWidth="1"/>
    <col min="5894" max="5894" width="9.28515625" style="16" customWidth="1"/>
    <col min="5895" max="5895" width="10.42578125" style="16" bestFit="1" customWidth="1"/>
    <col min="5896" max="5896" width="10.28515625" style="16" bestFit="1" customWidth="1"/>
    <col min="5897" max="5897" width="7" style="16" customWidth="1"/>
    <col min="5898" max="5898" width="7.7109375" style="16" customWidth="1"/>
    <col min="5899" max="5900" width="7" style="16" customWidth="1"/>
    <col min="5901" max="5901" width="6.85546875" style="16" customWidth="1"/>
    <col min="5902" max="5902" width="7" style="16" customWidth="1"/>
    <col min="5903" max="5903" width="7.14062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8.140625" style="16" customWidth="1"/>
    <col min="6147" max="6147" width="10.7109375" style="16" bestFit="1" customWidth="1"/>
    <col min="6148" max="6148" width="6.7109375" style="16" customWidth="1"/>
    <col min="6149" max="6149" width="8.5703125" style="16" customWidth="1"/>
    <col min="6150" max="6150" width="9.28515625" style="16" customWidth="1"/>
    <col min="6151" max="6151" width="10.42578125" style="16" bestFit="1" customWidth="1"/>
    <col min="6152" max="6152" width="10.28515625" style="16" bestFit="1" customWidth="1"/>
    <col min="6153" max="6153" width="7" style="16" customWidth="1"/>
    <col min="6154" max="6154" width="7.7109375" style="16" customWidth="1"/>
    <col min="6155" max="6156" width="7" style="16" customWidth="1"/>
    <col min="6157" max="6157" width="6.85546875" style="16" customWidth="1"/>
    <col min="6158" max="6158" width="7" style="16" customWidth="1"/>
    <col min="6159" max="6159" width="7.14062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8.140625" style="16" customWidth="1"/>
    <col min="6403" max="6403" width="10.7109375" style="16" bestFit="1" customWidth="1"/>
    <col min="6404" max="6404" width="6.7109375" style="16" customWidth="1"/>
    <col min="6405" max="6405" width="8.5703125" style="16" customWidth="1"/>
    <col min="6406" max="6406" width="9.28515625" style="16" customWidth="1"/>
    <col min="6407" max="6407" width="10.42578125" style="16" bestFit="1" customWidth="1"/>
    <col min="6408" max="6408" width="10.28515625" style="16" bestFit="1" customWidth="1"/>
    <col min="6409" max="6409" width="7" style="16" customWidth="1"/>
    <col min="6410" max="6410" width="7.7109375" style="16" customWidth="1"/>
    <col min="6411" max="6412" width="7" style="16" customWidth="1"/>
    <col min="6413" max="6413" width="6.85546875" style="16" customWidth="1"/>
    <col min="6414" max="6414" width="7" style="16" customWidth="1"/>
    <col min="6415" max="6415" width="7.14062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8.140625" style="16" customWidth="1"/>
    <col min="6659" max="6659" width="10.7109375" style="16" bestFit="1" customWidth="1"/>
    <col min="6660" max="6660" width="6.7109375" style="16" customWidth="1"/>
    <col min="6661" max="6661" width="8.5703125" style="16" customWidth="1"/>
    <col min="6662" max="6662" width="9.28515625" style="16" customWidth="1"/>
    <col min="6663" max="6663" width="10.42578125" style="16" bestFit="1" customWidth="1"/>
    <col min="6664" max="6664" width="10.28515625" style="16" bestFit="1" customWidth="1"/>
    <col min="6665" max="6665" width="7" style="16" customWidth="1"/>
    <col min="6666" max="6666" width="7.7109375" style="16" customWidth="1"/>
    <col min="6667" max="6668" width="7" style="16" customWidth="1"/>
    <col min="6669" max="6669" width="6.85546875" style="16" customWidth="1"/>
    <col min="6670" max="6670" width="7" style="16" customWidth="1"/>
    <col min="6671" max="6671" width="7.14062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8.140625" style="16" customWidth="1"/>
    <col min="6915" max="6915" width="10.7109375" style="16" bestFit="1" customWidth="1"/>
    <col min="6916" max="6916" width="6.7109375" style="16" customWidth="1"/>
    <col min="6917" max="6917" width="8.5703125" style="16" customWidth="1"/>
    <col min="6918" max="6918" width="9.28515625" style="16" customWidth="1"/>
    <col min="6919" max="6919" width="10.42578125" style="16" bestFit="1" customWidth="1"/>
    <col min="6920" max="6920" width="10.28515625" style="16" bestFit="1" customWidth="1"/>
    <col min="6921" max="6921" width="7" style="16" customWidth="1"/>
    <col min="6922" max="6922" width="7.7109375" style="16" customWidth="1"/>
    <col min="6923" max="6924" width="7" style="16" customWidth="1"/>
    <col min="6925" max="6925" width="6.85546875" style="16" customWidth="1"/>
    <col min="6926" max="6926" width="7" style="16" customWidth="1"/>
    <col min="6927" max="6927" width="7.14062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8.140625" style="16" customWidth="1"/>
    <col min="7171" max="7171" width="10.7109375" style="16" bestFit="1" customWidth="1"/>
    <col min="7172" max="7172" width="6.7109375" style="16" customWidth="1"/>
    <col min="7173" max="7173" width="8.5703125" style="16" customWidth="1"/>
    <col min="7174" max="7174" width="9.28515625" style="16" customWidth="1"/>
    <col min="7175" max="7175" width="10.42578125" style="16" bestFit="1" customWidth="1"/>
    <col min="7176" max="7176" width="10.28515625" style="16" bestFit="1" customWidth="1"/>
    <col min="7177" max="7177" width="7" style="16" customWidth="1"/>
    <col min="7178" max="7178" width="7.7109375" style="16" customWidth="1"/>
    <col min="7179" max="7180" width="7" style="16" customWidth="1"/>
    <col min="7181" max="7181" width="6.85546875" style="16" customWidth="1"/>
    <col min="7182" max="7182" width="7" style="16" customWidth="1"/>
    <col min="7183" max="7183" width="7.14062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8.140625" style="16" customWidth="1"/>
    <col min="7427" max="7427" width="10.7109375" style="16" bestFit="1" customWidth="1"/>
    <col min="7428" max="7428" width="6.7109375" style="16" customWidth="1"/>
    <col min="7429" max="7429" width="8.5703125" style="16" customWidth="1"/>
    <col min="7430" max="7430" width="9.28515625" style="16" customWidth="1"/>
    <col min="7431" max="7431" width="10.42578125" style="16" bestFit="1" customWidth="1"/>
    <col min="7432" max="7432" width="10.28515625" style="16" bestFit="1" customWidth="1"/>
    <col min="7433" max="7433" width="7" style="16" customWidth="1"/>
    <col min="7434" max="7434" width="7.7109375" style="16" customWidth="1"/>
    <col min="7435" max="7436" width="7" style="16" customWidth="1"/>
    <col min="7437" max="7437" width="6.85546875" style="16" customWidth="1"/>
    <col min="7438" max="7438" width="7" style="16" customWidth="1"/>
    <col min="7439" max="7439" width="7.14062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8.140625" style="16" customWidth="1"/>
    <col min="7683" max="7683" width="10.7109375" style="16" bestFit="1" customWidth="1"/>
    <col min="7684" max="7684" width="6.7109375" style="16" customWidth="1"/>
    <col min="7685" max="7685" width="8.5703125" style="16" customWidth="1"/>
    <col min="7686" max="7686" width="9.28515625" style="16" customWidth="1"/>
    <col min="7687" max="7687" width="10.42578125" style="16" bestFit="1" customWidth="1"/>
    <col min="7688" max="7688" width="10.28515625" style="16" bestFit="1" customWidth="1"/>
    <col min="7689" max="7689" width="7" style="16" customWidth="1"/>
    <col min="7690" max="7690" width="7.7109375" style="16" customWidth="1"/>
    <col min="7691" max="7692" width="7" style="16" customWidth="1"/>
    <col min="7693" max="7693" width="6.85546875" style="16" customWidth="1"/>
    <col min="7694" max="7694" width="7" style="16" customWidth="1"/>
    <col min="7695" max="7695" width="7.14062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8.140625" style="16" customWidth="1"/>
    <col min="7939" max="7939" width="10.7109375" style="16" bestFit="1" customWidth="1"/>
    <col min="7940" max="7940" width="6.7109375" style="16" customWidth="1"/>
    <col min="7941" max="7941" width="8.5703125" style="16" customWidth="1"/>
    <col min="7942" max="7942" width="9.28515625" style="16" customWidth="1"/>
    <col min="7943" max="7943" width="10.42578125" style="16" bestFit="1" customWidth="1"/>
    <col min="7944" max="7944" width="10.28515625" style="16" bestFit="1" customWidth="1"/>
    <col min="7945" max="7945" width="7" style="16" customWidth="1"/>
    <col min="7946" max="7946" width="7.7109375" style="16" customWidth="1"/>
    <col min="7947" max="7948" width="7" style="16" customWidth="1"/>
    <col min="7949" max="7949" width="6.85546875" style="16" customWidth="1"/>
    <col min="7950" max="7950" width="7" style="16" customWidth="1"/>
    <col min="7951" max="7951" width="7.14062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8.140625" style="16" customWidth="1"/>
    <col min="8195" max="8195" width="10.7109375" style="16" bestFit="1" customWidth="1"/>
    <col min="8196" max="8196" width="6.7109375" style="16" customWidth="1"/>
    <col min="8197" max="8197" width="8.5703125" style="16" customWidth="1"/>
    <col min="8198" max="8198" width="9.28515625" style="16" customWidth="1"/>
    <col min="8199" max="8199" width="10.42578125" style="16" bestFit="1" customWidth="1"/>
    <col min="8200" max="8200" width="10.28515625" style="16" bestFit="1" customWidth="1"/>
    <col min="8201" max="8201" width="7" style="16" customWidth="1"/>
    <col min="8202" max="8202" width="7.7109375" style="16" customWidth="1"/>
    <col min="8203" max="8204" width="7" style="16" customWidth="1"/>
    <col min="8205" max="8205" width="6.85546875" style="16" customWidth="1"/>
    <col min="8206" max="8206" width="7" style="16" customWidth="1"/>
    <col min="8207" max="8207" width="7.14062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8.140625" style="16" customWidth="1"/>
    <col min="8451" max="8451" width="10.7109375" style="16" bestFit="1" customWidth="1"/>
    <col min="8452" max="8452" width="6.7109375" style="16" customWidth="1"/>
    <col min="8453" max="8453" width="8.5703125" style="16" customWidth="1"/>
    <col min="8454" max="8454" width="9.28515625" style="16" customWidth="1"/>
    <col min="8455" max="8455" width="10.42578125" style="16" bestFit="1" customWidth="1"/>
    <col min="8456" max="8456" width="10.28515625" style="16" bestFit="1" customWidth="1"/>
    <col min="8457" max="8457" width="7" style="16" customWidth="1"/>
    <col min="8458" max="8458" width="7.7109375" style="16" customWidth="1"/>
    <col min="8459" max="8460" width="7" style="16" customWidth="1"/>
    <col min="8461" max="8461" width="6.85546875" style="16" customWidth="1"/>
    <col min="8462" max="8462" width="7" style="16" customWidth="1"/>
    <col min="8463" max="8463" width="7.14062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8.140625" style="16" customWidth="1"/>
    <col min="8707" max="8707" width="10.7109375" style="16" bestFit="1" customWidth="1"/>
    <col min="8708" max="8708" width="6.7109375" style="16" customWidth="1"/>
    <col min="8709" max="8709" width="8.5703125" style="16" customWidth="1"/>
    <col min="8710" max="8710" width="9.28515625" style="16" customWidth="1"/>
    <col min="8711" max="8711" width="10.42578125" style="16" bestFit="1" customWidth="1"/>
    <col min="8712" max="8712" width="10.28515625" style="16" bestFit="1" customWidth="1"/>
    <col min="8713" max="8713" width="7" style="16" customWidth="1"/>
    <col min="8714" max="8714" width="7.7109375" style="16" customWidth="1"/>
    <col min="8715" max="8716" width="7" style="16" customWidth="1"/>
    <col min="8717" max="8717" width="6.85546875" style="16" customWidth="1"/>
    <col min="8718" max="8718" width="7" style="16" customWidth="1"/>
    <col min="8719" max="8719" width="7.14062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8.140625" style="16" customWidth="1"/>
    <col min="8963" max="8963" width="10.7109375" style="16" bestFit="1" customWidth="1"/>
    <col min="8964" max="8964" width="6.7109375" style="16" customWidth="1"/>
    <col min="8965" max="8965" width="8.5703125" style="16" customWidth="1"/>
    <col min="8966" max="8966" width="9.28515625" style="16" customWidth="1"/>
    <col min="8967" max="8967" width="10.42578125" style="16" bestFit="1" customWidth="1"/>
    <col min="8968" max="8968" width="10.28515625" style="16" bestFit="1" customWidth="1"/>
    <col min="8969" max="8969" width="7" style="16" customWidth="1"/>
    <col min="8970" max="8970" width="7.7109375" style="16" customWidth="1"/>
    <col min="8971" max="8972" width="7" style="16" customWidth="1"/>
    <col min="8973" max="8973" width="6.85546875" style="16" customWidth="1"/>
    <col min="8974" max="8974" width="7" style="16" customWidth="1"/>
    <col min="8975" max="8975" width="7.14062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8.140625" style="16" customWidth="1"/>
    <col min="9219" max="9219" width="10.7109375" style="16" bestFit="1" customWidth="1"/>
    <col min="9220" max="9220" width="6.7109375" style="16" customWidth="1"/>
    <col min="9221" max="9221" width="8.5703125" style="16" customWidth="1"/>
    <col min="9222" max="9222" width="9.28515625" style="16" customWidth="1"/>
    <col min="9223" max="9223" width="10.42578125" style="16" bestFit="1" customWidth="1"/>
    <col min="9224" max="9224" width="10.28515625" style="16" bestFit="1" customWidth="1"/>
    <col min="9225" max="9225" width="7" style="16" customWidth="1"/>
    <col min="9226" max="9226" width="7.7109375" style="16" customWidth="1"/>
    <col min="9227" max="9228" width="7" style="16" customWidth="1"/>
    <col min="9229" max="9229" width="6.85546875" style="16" customWidth="1"/>
    <col min="9230" max="9230" width="7" style="16" customWidth="1"/>
    <col min="9231" max="9231" width="7.14062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8.140625" style="16" customWidth="1"/>
    <col min="9475" max="9475" width="10.7109375" style="16" bestFit="1" customWidth="1"/>
    <col min="9476" max="9476" width="6.7109375" style="16" customWidth="1"/>
    <col min="9477" max="9477" width="8.5703125" style="16" customWidth="1"/>
    <col min="9478" max="9478" width="9.28515625" style="16" customWidth="1"/>
    <col min="9479" max="9479" width="10.42578125" style="16" bestFit="1" customWidth="1"/>
    <col min="9480" max="9480" width="10.28515625" style="16" bestFit="1" customWidth="1"/>
    <col min="9481" max="9481" width="7" style="16" customWidth="1"/>
    <col min="9482" max="9482" width="7.7109375" style="16" customWidth="1"/>
    <col min="9483" max="9484" width="7" style="16" customWidth="1"/>
    <col min="9485" max="9485" width="6.85546875" style="16" customWidth="1"/>
    <col min="9486" max="9486" width="7" style="16" customWidth="1"/>
    <col min="9487" max="9487" width="7.14062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8.140625" style="16" customWidth="1"/>
    <col min="9731" max="9731" width="10.7109375" style="16" bestFit="1" customWidth="1"/>
    <col min="9732" max="9732" width="6.7109375" style="16" customWidth="1"/>
    <col min="9733" max="9733" width="8.5703125" style="16" customWidth="1"/>
    <col min="9734" max="9734" width="9.28515625" style="16" customWidth="1"/>
    <col min="9735" max="9735" width="10.42578125" style="16" bestFit="1" customWidth="1"/>
    <col min="9736" max="9736" width="10.28515625" style="16" bestFit="1" customWidth="1"/>
    <col min="9737" max="9737" width="7" style="16" customWidth="1"/>
    <col min="9738" max="9738" width="7.7109375" style="16" customWidth="1"/>
    <col min="9739" max="9740" width="7" style="16" customWidth="1"/>
    <col min="9741" max="9741" width="6.85546875" style="16" customWidth="1"/>
    <col min="9742" max="9742" width="7" style="16" customWidth="1"/>
    <col min="9743" max="9743" width="7.14062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8.140625" style="16" customWidth="1"/>
    <col min="9987" max="9987" width="10.7109375" style="16" bestFit="1" customWidth="1"/>
    <col min="9988" max="9988" width="6.7109375" style="16" customWidth="1"/>
    <col min="9989" max="9989" width="8.5703125" style="16" customWidth="1"/>
    <col min="9990" max="9990" width="9.28515625" style="16" customWidth="1"/>
    <col min="9991" max="9991" width="10.42578125" style="16" bestFit="1" customWidth="1"/>
    <col min="9992" max="9992" width="10.28515625" style="16" bestFit="1" customWidth="1"/>
    <col min="9993" max="9993" width="7" style="16" customWidth="1"/>
    <col min="9994" max="9994" width="7.7109375" style="16" customWidth="1"/>
    <col min="9995" max="9996" width="7" style="16" customWidth="1"/>
    <col min="9997" max="9997" width="6.85546875" style="16" customWidth="1"/>
    <col min="9998" max="9998" width="7" style="16" customWidth="1"/>
    <col min="9999" max="9999" width="7.14062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8.140625" style="16" customWidth="1"/>
    <col min="10243" max="10243" width="10.7109375" style="16" bestFit="1" customWidth="1"/>
    <col min="10244" max="10244" width="6.7109375" style="16" customWidth="1"/>
    <col min="10245" max="10245" width="8.5703125" style="16" customWidth="1"/>
    <col min="10246" max="10246" width="9.28515625" style="16" customWidth="1"/>
    <col min="10247" max="10247" width="10.42578125" style="16" bestFit="1" customWidth="1"/>
    <col min="10248" max="10248" width="10.28515625" style="16" bestFit="1" customWidth="1"/>
    <col min="10249" max="10249" width="7" style="16" customWidth="1"/>
    <col min="10250" max="10250" width="7.7109375" style="16" customWidth="1"/>
    <col min="10251" max="10252" width="7" style="16" customWidth="1"/>
    <col min="10253" max="10253" width="6.85546875" style="16" customWidth="1"/>
    <col min="10254" max="10254" width="7" style="16" customWidth="1"/>
    <col min="10255" max="10255" width="7.14062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8.140625" style="16" customWidth="1"/>
    <col min="10499" max="10499" width="10.7109375" style="16" bestFit="1" customWidth="1"/>
    <col min="10500" max="10500" width="6.7109375" style="16" customWidth="1"/>
    <col min="10501" max="10501" width="8.5703125" style="16" customWidth="1"/>
    <col min="10502" max="10502" width="9.28515625" style="16" customWidth="1"/>
    <col min="10503" max="10503" width="10.42578125" style="16" bestFit="1" customWidth="1"/>
    <col min="10504" max="10504" width="10.28515625" style="16" bestFit="1" customWidth="1"/>
    <col min="10505" max="10505" width="7" style="16" customWidth="1"/>
    <col min="10506" max="10506" width="7.7109375" style="16" customWidth="1"/>
    <col min="10507" max="10508" width="7" style="16" customWidth="1"/>
    <col min="10509" max="10509" width="6.85546875" style="16" customWidth="1"/>
    <col min="10510" max="10510" width="7" style="16" customWidth="1"/>
    <col min="10511" max="10511" width="7.14062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8.140625" style="16" customWidth="1"/>
    <col min="10755" max="10755" width="10.7109375" style="16" bestFit="1" customWidth="1"/>
    <col min="10756" max="10756" width="6.7109375" style="16" customWidth="1"/>
    <col min="10757" max="10757" width="8.5703125" style="16" customWidth="1"/>
    <col min="10758" max="10758" width="9.28515625" style="16" customWidth="1"/>
    <col min="10759" max="10759" width="10.42578125" style="16" bestFit="1" customWidth="1"/>
    <col min="10760" max="10760" width="10.28515625" style="16" bestFit="1" customWidth="1"/>
    <col min="10761" max="10761" width="7" style="16" customWidth="1"/>
    <col min="10762" max="10762" width="7.7109375" style="16" customWidth="1"/>
    <col min="10763" max="10764" width="7" style="16" customWidth="1"/>
    <col min="10765" max="10765" width="6.85546875" style="16" customWidth="1"/>
    <col min="10766" max="10766" width="7" style="16" customWidth="1"/>
    <col min="10767" max="10767" width="7.14062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8.140625" style="16" customWidth="1"/>
    <col min="11011" max="11011" width="10.7109375" style="16" bestFit="1" customWidth="1"/>
    <col min="11012" max="11012" width="6.7109375" style="16" customWidth="1"/>
    <col min="11013" max="11013" width="8.5703125" style="16" customWidth="1"/>
    <col min="11014" max="11014" width="9.28515625" style="16" customWidth="1"/>
    <col min="11015" max="11015" width="10.42578125" style="16" bestFit="1" customWidth="1"/>
    <col min="11016" max="11016" width="10.28515625" style="16" bestFit="1" customWidth="1"/>
    <col min="11017" max="11017" width="7" style="16" customWidth="1"/>
    <col min="11018" max="11018" width="7.7109375" style="16" customWidth="1"/>
    <col min="11019" max="11020" width="7" style="16" customWidth="1"/>
    <col min="11021" max="11021" width="6.85546875" style="16" customWidth="1"/>
    <col min="11022" max="11022" width="7" style="16" customWidth="1"/>
    <col min="11023" max="11023" width="7.14062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8.140625" style="16" customWidth="1"/>
    <col min="11267" max="11267" width="10.7109375" style="16" bestFit="1" customWidth="1"/>
    <col min="11268" max="11268" width="6.7109375" style="16" customWidth="1"/>
    <col min="11269" max="11269" width="8.5703125" style="16" customWidth="1"/>
    <col min="11270" max="11270" width="9.28515625" style="16" customWidth="1"/>
    <col min="11271" max="11271" width="10.42578125" style="16" bestFit="1" customWidth="1"/>
    <col min="11272" max="11272" width="10.28515625" style="16" bestFit="1" customWidth="1"/>
    <col min="11273" max="11273" width="7" style="16" customWidth="1"/>
    <col min="11274" max="11274" width="7.7109375" style="16" customWidth="1"/>
    <col min="11275" max="11276" width="7" style="16" customWidth="1"/>
    <col min="11277" max="11277" width="6.85546875" style="16" customWidth="1"/>
    <col min="11278" max="11278" width="7" style="16" customWidth="1"/>
    <col min="11279" max="11279" width="7.14062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8.140625" style="16" customWidth="1"/>
    <col min="11523" max="11523" width="10.7109375" style="16" bestFit="1" customWidth="1"/>
    <col min="11524" max="11524" width="6.7109375" style="16" customWidth="1"/>
    <col min="11525" max="11525" width="8.5703125" style="16" customWidth="1"/>
    <col min="11526" max="11526" width="9.28515625" style="16" customWidth="1"/>
    <col min="11527" max="11527" width="10.42578125" style="16" bestFit="1" customWidth="1"/>
    <col min="11528" max="11528" width="10.28515625" style="16" bestFit="1" customWidth="1"/>
    <col min="11529" max="11529" width="7" style="16" customWidth="1"/>
    <col min="11530" max="11530" width="7.7109375" style="16" customWidth="1"/>
    <col min="11531" max="11532" width="7" style="16" customWidth="1"/>
    <col min="11533" max="11533" width="6.85546875" style="16" customWidth="1"/>
    <col min="11534" max="11534" width="7" style="16" customWidth="1"/>
    <col min="11535" max="11535" width="7.14062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8.140625" style="16" customWidth="1"/>
    <col min="11779" max="11779" width="10.7109375" style="16" bestFit="1" customWidth="1"/>
    <col min="11780" max="11780" width="6.7109375" style="16" customWidth="1"/>
    <col min="11781" max="11781" width="8.5703125" style="16" customWidth="1"/>
    <col min="11782" max="11782" width="9.28515625" style="16" customWidth="1"/>
    <col min="11783" max="11783" width="10.42578125" style="16" bestFit="1" customWidth="1"/>
    <col min="11784" max="11784" width="10.28515625" style="16" bestFit="1" customWidth="1"/>
    <col min="11785" max="11785" width="7" style="16" customWidth="1"/>
    <col min="11786" max="11786" width="7.7109375" style="16" customWidth="1"/>
    <col min="11787" max="11788" width="7" style="16" customWidth="1"/>
    <col min="11789" max="11789" width="6.85546875" style="16" customWidth="1"/>
    <col min="11790" max="11790" width="7" style="16" customWidth="1"/>
    <col min="11791" max="11791" width="7.14062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8.140625" style="16" customWidth="1"/>
    <col min="12035" max="12035" width="10.7109375" style="16" bestFit="1" customWidth="1"/>
    <col min="12036" max="12036" width="6.7109375" style="16" customWidth="1"/>
    <col min="12037" max="12037" width="8.5703125" style="16" customWidth="1"/>
    <col min="12038" max="12038" width="9.28515625" style="16" customWidth="1"/>
    <col min="12039" max="12039" width="10.42578125" style="16" bestFit="1" customWidth="1"/>
    <col min="12040" max="12040" width="10.28515625" style="16" bestFit="1" customWidth="1"/>
    <col min="12041" max="12041" width="7" style="16" customWidth="1"/>
    <col min="12042" max="12042" width="7.7109375" style="16" customWidth="1"/>
    <col min="12043" max="12044" width="7" style="16" customWidth="1"/>
    <col min="12045" max="12045" width="6.85546875" style="16" customWidth="1"/>
    <col min="12046" max="12046" width="7" style="16" customWidth="1"/>
    <col min="12047" max="12047" width="7.14062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8.140625" style="16" customWidth="1"/>
    <col min="12291" max="12291" width="10.7109375" style="16" bestFit="1" customWidth="1"/>
    <col min="12292" max="12292" width="6.7109375" style="16" customWidth="1"/>
    <col min="12293" max="12293" width="8.5703125" style="16" customWidth="1"/>
    <col min="12294" max="12294" width="9.28515625" style="16" customWidth="1"/>
    <col min="12295" max="12295" width="10.42578125" style="16" bestFit="1" customWidth="1"/>
    <col min="12296" max="12296" width="10.28515625" style="16" bestFit="1" customWidth="1"/>
    <col min="12297" max="12297" width="7" style="16" customWidth="1"/>
    <col min="12298" max="12298" width="7.7109375" style="16" customWidth="1"/>
    <col min="12299" max="12300" width="7" style="16" customWidth="1"/>
    <col min="12301" max="12301" width="6.85546875" style="16" customWidth="1"/>
    <col min="12302" max="12302" width="7" style="16" customWidth="1"/>
    <col min="12303" max="12303" width="7.14062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8.140625" style="16" customWidth="1"/>
    <col min="12547" max="12547" width="10.7109375" style="16" bestFit="1" customWidth="1"/>
    <col min="12548" max="12548" width="6.7109375" style="16" customWidth="1"/>
    <col min="12549" max="12549" width="8.5703125" style="16" customWidth="1"/>
    <col min="12550" max="12550" width="9.28515625" style="16" customWidth="1"/>
    <col min="12551" max="12551" width="10.42578125" style="16" bestFit="1" customWidth="1"/>
    <col min="12552" max="12552" width="10.28515625" style="16" bestFit="1" customWidth="1"/>
    <col min="12553" max="12553" width="7" style="16" customWidth="1"/>
    <col min="12554" max="12554" width="7.7109375" style="16" customWidth="1"/>
    <col min="12555" max="12556" width="7" style="16" customWidth="1"/>
    <col min="12557" max="12557" width="6.85546875" style="16" customWidth="1"/>
    <col min="12558" max="12558" width="7" style="16" customWidth="1"/>
    <col min="12559" max="12559" width="7.14062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8.140625" style="16" customWidth="1"/>
    <col min="12803" max="12803" width="10.7109375" style="16" bestFit="1" customWidth="1"/>
    <col min="12804" max="12804" width="6.7109375" style="16" customWidth="1"/>
    <col min="12805" max="12805" width="8.5703125" style="16" customWidth="1"/>
    <col min="12806" max="12806" width="9.28515625" style="16" customWidth="1"/>
    <col min="12807" max="12807" width="10.42578125" style="16" bestFit="1" customWidth="1"/>
    <col min="12808" max="12808" width="10.28515625" style="16" bestFit="1" customWidth="1"/>
    <col min="12809" max="12809" width="7" style="16" customWidth="1"/>
    <col min="12810" max="12810" width="7.7109375" style="16" customWidth="1"/>
    <col min="12811" max="12812" width="7" style="16" customWidth="1"/>
    <col min="12813" max="12813" width="6.85546875" style="16" customWidth="1"/>
    <col min="12814" max="12814" width="7" style="16" customWidth="1"/>
    <col min="12815" max="12815" width="7.14062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8.140625" style="16" customWidth="1"/>
    <col min="13059" max="13059" width="10.7109375" style="16" bestFit="1" customWidth="1"/>
    <col min="13060" max="13060" width="6.7109375" style="16" customWidth="1"/>
    <col min="13061" max="13061" width="8.5703125" style="16" customWidth="1"/>
    <col min="13062" max="13062" width="9.28515625" style="16" customWidth="1"/>
    <col min="13063" max="13063" width="10.42578125" style="16" bestFit="1" customWidth="1"/>
    <col min="13064" max="13064" width="10.28515625" style="16" bestFit="1" customWidth="1"/>
    <col min="13065" max="13065" width="7" style="16" customWidth="1"/>
    <col min="13066" max="13066" width="7.7109375" style="16" customWidth="1"/>
    <col min="13067" max="13068" width="7" style="16" customWidth="1"/>
    <col min="13069" max="13069" width="6.85546875" style="16" customWidth="1"/>
    <col min="13070" max="13070" width="7" style="16" customWidth="1"/>
    <col min="13071" max="13071" width="7.14062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8.140625" style="16" customWidth="1"/>
    <col min="13315" max="13315" width="10.7109375" style="16" bestFit="1" customWidth="1"/>
    <col min="13316" max="13316" width="6.7109375" style="16" customWidth="1"/>
    <col min="13317" max="13317" width="8.5703125" style="16" customWidth="1"/>
    <col min="13318" max="13318" width="9.28515625" style="16" customWidth="1"/>
    <col min="13319" max="13319" width="10.42578125" style="16" bestFit="1" customWidth="1"/>
    <col min="13320" max="13320" width="10.28515625" style="16" bestFit="1" customWidth="1"/>
    <col min="13321" max="13321" width="7" style="16" customWidth="1"/>
    <col min="13322" max="13322" width="7.7109375" style="16" customWidth="1"/>
    <col min="13323" max="13324" width="7" style="16" customWidth="1"/>
    <col min="13325" max="13325" width="6.85546875" style="16" customWidth="1"/>
    <col min="13326" max="13326" width="7" style="16" customWidth="1"/>
    <col min="13327" max="13327" width="7.14062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8.140625" style="16" customWidth="1"/>
    <col min="13571" max="13571" width="10.7109375" style="16" bestFit="1" customWidth="1"/>
    <col min="13572" max="13572" width="6.7109375" style="16" customWidth="1"/>
    <col min="13573" max="13573" width="8.5703125" style="16" customWidth="1"/>
    <col min="13574" max="13574" width="9.28515625" style="16" customWidth="1"/>
    <col min="13575" max="13575" width="10.42578125" style="16" bestFit="1" customWidth="1"/>
    <col min="13576" max="13576" width="10.28515625" style="16" bestFit="1" customWidth="1"/>
    <col min="13577" max="13577" width="7" style="16" customWidth="1"/>
    <col min="13578" max="13578" width="7.7109375" style="16" customWidth="1"/>
    <col min="13579" max="13580" width="7" style="16" customWidth="1"/>
    <col min="13581" max="13581" width="6.85546875" style="16" customWidth="1"/>
    <col min="13582" max="13582" width="7" style="16" customWidth="1"/>
    <col min="13583" max="13583" width="7.14062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8.140625" style="16" customWidth="1"/>
    <col min="13827" max="13827" width="10.7109375" style="16" bestFit="1" customWidth="1"/>
    <col min="13828" max="13828" width="6.7109375" style="16" customWidth="1"/>
    <col min="13829" max="13829" width="8.5703125" style="16" customWidth="1"/>
    <col min="13830" max="13830" width="9.28515625" style="16" customWidth="1"/>
    <col min="13831" max="13831" width="10.42578125" style="16" bestFit="1" customWidth="1"/>
    <col min="13832" max="13832" width="10.28515625" style="16" bestFit="1" customWidth="1"/>
    <col min="13833" max="13833" width="7" style="16" customWidth="1"/>
    <col min="13834" max="13834" width="7.7109375" style="16" customWidth="1"/>
    <col min="13835" max="13836" width="7" style="16" customWidth="1"/>
    <col min="13837" max="13837" width="6.85546875" style="16" customWidth="1"/>
    <col min="13838" max="13838" width="7" style="16" customWidth="1"/>
    <col min="13839" max="13839" width="7.14062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8.140625" style="16" customWidth="1"/>
    <col min="14083" max="14083" width="10.7109375" style="16" bestFit="1" customWidth="1"/>
    <col min="14084" max="14084" width="6.7109375" style="16" customWidth="1"/>
    <col min="14085" max="14085" width="8.5703125" style="16" customWidth="1"/>
    <col min="14086" max="14086" width="9.28515625" style="16" customWidth="1"/>
    <col min="14087" max="14087" width="10.42578125" style="16" bestFit="1" customWidth="1"/>
    <col min="14088" max="14088" width="10.28515625" style="16" bestFit="1" customWidth="1"/>
    <col min="14089" max="14089" width="7" style="16" customWidth="1"/>
    <col min="14090" max="14090" width="7.7109375" style="16" customWidth="1"/>
    <col min="14091" max="14092" width="7" style="16" customWidth="1"/>
    <col min="14093" max="14093" width="6.85546875" style="16" customWidth="1"/>
    <col min="14094" max="14094" width="7" style="16" customWidth="1"/>
    <col min="14095" max="14095" width="7.14062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8.140625" style="16" customWidth="1"/>
    <col min="14339" max="14339" width="10.7109375" style="16" bestFit="1" customWidth="1"/>
    <col min="14340" max="14340" width="6.7109375" style="16" customWidth="1"/>
    <col min="14341" max="14341" width="8.5703125" style="16" customWidth="1"/>
    <col min="14342" max="14342" width="9.28515625" style="16" customWidth="1"/>
    <col min="14343" max="14343" width="10.42578125" style="16" bestFit="1" customWidth="1"/>
    <col min="14344" max="14344" width="10.28515625" style="16" bestFit="1" customWidth="1"/>
    <col min="14345" max="14345" width="7" style="16" customWidth="1"/>
    <col min="14346" max="14346" width="7.7109375" style="16" customWidth="1"/>
    <col min="14347" max="14348" width="7" style="16" customWidth="1"/>
    <col min="14349" max="14349" width="6.85546875" style="16" customWidth="1"/>
    <col min="14350" max="14350" width="7" style="16" customWidth="1"/>
    <col min="14351" max="14351" width="7.14062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8.140625" style="16" customWidth="1"/>
    <col min="14595" max="14595" width="10.7109375" style="16" bestFit="1" customWidth="1"/>
    <col min="14596" max="14596" width="6.7109375" style="16" customWidth="1"/>
    <col min="14597" max="14597" width="8.5703125" style="16" customWidth="1"/>
    <col min="14598" max="14598" width="9.28515625" style="16" customWidth="1"/>
    <col min="14599" max="14599" width="10.42578125" style="16" bestFit="1" customWidth="1"/>
    <col min="14600" max="14600" width="10.28515625" style="16" bestFit="1" customWidth="1"/>
    <col min="14601" max="14601" width="7" style="16" customWidth="1"/>
    <col min="14602" max="14602" width="7.7109375" style="16" customWidth="1"/>
    <col min="14603" max="14604" width="7" style="16" customWidth="1"/>
    <col min="14605" max="14605" width="6.85546875" style="16" customWidth="1"/>
    <col min="14606" max="14606" width="7" style="16" customWidth="1"/>
    <col min="14607" max="14607" width="7.14062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8.140625" style="16" customWidth="1"/>
    <col min="14851" max="14851" width="10.7109375" style="16" bestFit="1" customWidth="1"/>
    <col min="14852" max="14852" width="6.7109375" style="16" customWidth="1"/>
    <col min="14853" max="14853" width="8.5703125" style="16" customWidth="1"/>
    <col min="14854" max="14854" width="9.28515625" style="16" customWidth="1"/>
    <col min="14855" max="14855" width="10.42578125" style="16" bestFit="1" customWidth="1"/>
    <col min="14856" max="14856" width="10.28515625" style="16" bestFit="1" customWidth="1"/>
    <col min="14857" max="14857" width="7" style="16" customWidth="1"/>
    <col min="14858" max="14858" width="7.7109375" style="16" customWidth="1"/>
    <col min="14859" max="14860" width="7" style="16" customWidth="1"/>
    <col min="14861" max="14861" width="6.85546875" style="16" customWidth="1"/>
    <col min="14862" max="14862" width="7" style="16" customWidth="1"/>
    <col min="14863" max="14863" width="7.14062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8.140625" style="16" customWidth="1"/>
    <col min="15107" max="15107" width="10.7109375" style="16" bestFit="1" customWidth="1"/>
    <col min="15108" max="15108" width="6.7109375" style="16" customWidth="1"/>
    <col min="15109" max="15109" width="8.5703125" style="16" customWidth="1"/>
    <col min="15110" max="15110" width="9.28515625" style="16" customWidth="1"/>
    <col min="15111" max="15111" width="10.42578125" style="16" bestFit="1" customWidth="1"/>
    <col min="15112" max="15112" width="10.28515625" style="16" bestFit="1" customWidth="1"/>
    <col min="15113" max="15113" width="7" style="16" customWidth="1"/>
    <col min="15114" max="15114" width="7.7109375" style="16" customWidth="1"/>
    <col min="15115" max="15116" width="7" style="16" customWidth="1"/>
    <col min="15117" max="15117" width="6.85546875" style="16" customWidth="1"/>
    <col min="15118" max="15118" width="7" style="16" customWidth="1"/>
    <col min="15119" max="15119" width="7.14062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8.140625" style="16" customWidth="1"/>
    <col min="15363" max="15363" width="10.7109375" style="16" bestFit="1" customWidth="1"/>
    <col min="15364" max="15364" width="6.7109375" style="16" customWidth="1"/>
    <col min="15365" max="15365" width="8.5703125" style="16" customWidth="1"/>
    <col min="15366" max="15366" width="9.28515625" style="16" customWidth="1"/>
    <col min="15367" max="15367" width="10.42578125" style="16" bestFit="1" customWidth="1"/>
    <col min="15368" max="15368" width="10.28515625" style="16" bestFit="1" customWidth="1"/>
    <col min="15369" max="15369" width="7" style="16" customWidth="1"/>
    <col min="15370" max="15370" width="7.7109375" style="16" customWidth="1"/>
    <col min="15371" max="15372" width="7" style="16" customWidth="1"/>
    <col min="15373" max="15373" width="6.85546875" style="16" customWidth="1"/>
    <col min="15374" max="15374" width="7" style="16" customWidth="1"/>
    <col min="15375" max="15375" width="7.14062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8.140625" style="16" customWidth="1"/>
    <col min="15619" max="15619" width="10.7109375" style="16" bestFit="1" customWidth="1"/>
    <col min="15620" max="15620" width="6.7109375" style="16" customWidth="1"/>
    <col min="15621" max="15621" width="8.5703125" style="16" customWidth="1"/>
    <col min="15622" max="15622" width="9.28515625" style="16" customWidth="1"/>
    <col min="15623" max="15623" width="10.42578125" style="16" bestFit="1" customWidth="1"/>
    <col min="15624" max="15624" width="10.28515625" style="16" bestFit="1" customWidth="1"/>
    <col min="15625" max="15625" width="7" style="16" customWidth="1"/>
    <col min="15626" max="15626" width="7.7109375" style="16" customWidth="1"/>
    <col min="15627" max="15628" width="7" style="16" customWidth="1"/>
    <col min="15629" max="15629" width="6.85546875" style="16" customWidth="1"/>
    <col min="15630" max="15630" width="7" style="16" customWidth="1"/>
    <col min="15631" max="15631" width="7.14062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8.140625" style="16" customWidth="1"/>
    <col min="15875" max="15875" width="10.7109375" style="16" bestFit="1" customWidth="1"/>
    <col min="15876" max="15876" width="6.7109375" style="16" customWidth="1"/>
    <col min="15877" max="15877" width="8.5703125" style="16" customWidth="1"/>
    <col min="15878" max="15878" width="9.28515625" style="16" customWidth="1"/>
    <col min="15879" max="15879" width="10.42578125" style="16" bestFit="1" customWidth="1"/>
    <col min="15880" max="15880" width="10.28515625" style="16" bestFit="1" customWidth="1"/>
    <col min="15881" max="15881" width="7" style="16" customWidth="1"/>
    <col min="15882" max="15882" width="7.7109375" style="16" customWidth="1"/>
    <col min="15883" max="15884" width="7" style="16" customWidth="1"/>
    <col min="15885" max="15885" width="6.85546875" style="16" customWidth="1"/>
    <col min="15886" max="15886" width="7" style="16" customWidth="1"/>
    <col min="15887" max="15887" width="7.14062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8.140625" style="16" customWidth="1"/>
    <col min="16131" max="16131" width="10.7109375" style="16" bestFit="1" customWidth="1"/>
    <col min="16132" max="16132" width="6.7109375" style="16" customWidth="1"/>
    <col min="16133" max="16133" width="8.5703125" style="16" customWidth="1"/>
    <col min="16134" max="16134" width="9.28515625" style="16" customWidth="1"/>
    <col min="16135" max="16135" width="10.42578125" style="16" bestFit="1" customWidth="1"/>
    <col min="16136" max="16136" width="10.28515625" style="16" bestFit="1" customWidth="1"/>
    <col min="16137" max="16137" width="7" style="16" customWidth="1"/>
    <col min="16138" max="16138" width="7.7109375" style="16" customWidth="1"/>
    <col min="16139" max="16140" width="7" style="16" customWidth="1"/>
    <col min="16141" max="16141" width="6.85546875" style="16" customWidth="1"/>
    <col min="16142" max="16142" width="7" style="16" customWidth="1"/>
    <col min="16143" max="16143" width="7.14062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ht="12.75" customHeight="1" x14ac:dyDescent="0.2">
      <c r="A1" s="867" t="s">
        <v>100</v>
      </c>
      <c r="B1" s="868"/>
      <c r="C1" s="868"/>
      <c r="D1" s="869"/>
      <c r="E1" s="868"/>
      <c r="F1" s="868"/>
      <c r="G1" s="867" t="s">
        <v>102</v>
      </c>
      <c r="H1" s="869"/>
      <c r="I1" s="869" t="s">
        <v>27</v>
      </c>
      <c r="J1" s="868"/>
      <c r="K1" s="868"/>
      <c r="L1" s="870"/>
      <c r="M1" s="870"/>
      <c r="N1" s="870"/>
      <c r="O1" s="870"/>
    </row>
    <row r="2" spans="1:15" s="1" customFormat="1" ht="12.75" customHeight="1" x14ac:dyDescent="0.2">
      <c r="A2" s="867" t="s">
        <v>103</v>
      </c>
      <c r="B2" s="868"/>
      <c r="C2" s="868"/>
      <c r="D2" s="869"/>
      <c r="E2" s="868"/>
      <c r="F2" s="868"/>
      <c r="G2" s="867" t="s">
        <v>104</v>
      </c>
      <c r="H2" s="869"/>
      <c r="I2" s="869" t="s">
        <v>105</v>
      </c>
      <c r="J2" s="868"/>
      <c r="K2" s="868"/>
      <c r="L2" s="870"/>
      <c r="M2" s="870"/>
      <c r="N2" s="870"/>
      <c r="O2" s="870"/>
    </row>
    <row r="3" spans="1:15" s="1" customFormat="1" ht="12.75" customHeight="1" x14ac:dyDescent="0.2">
      <c r="A3" s="867" t="s">
        <v>106</v>
      </c>
      <c r="B3" s="868"/>
      <c r="C3" s="868"/>
      <c r="D3" s="883" t="s">
        <v>455</v>
      </c>
      <c r="E3" s="868"/>
      <c r="F3" s="868"/>
      <c r="G3" s="867" t="s">
        <v>107</v>
      </c>
      <c r="H3" s="869"/>
      <c r="I3" s="869" t="s">
        <v>108</v>
      </c>
      <c r="J3" s="868"/>
      <c r="K3" s="868"/>
      <c r="L3" s="870"/>
      <c r="M3" s="870"/>
      <c r="N3" s="870"/>
      <c r="O3" s="870"/>
    </row>
    <row r="4" spans="1:15" s="1" customFormat="1" ht="12.75" customHeight="1" x14ac:dyDescent="0.2">
      <c r="A4" s="867" t="s">
        <v>109</v>
      </c>
      <c r="B4" s="868"/>
      <c r="C4" s="868"/>
      <c r="D4" s="869"/>
      <c r="E4" s="868"/>
      <c r="F4" s="868"/>
      <c r="G4" s="867" t="s">
        <v>110</v>
      </c>
      <c r="H4" s="869"/>
      <c r="I4" s="869" t="s">
        <v>456</v>
      </c>
      <c r="J4" s="868"/>
      <c r="K4" s="868"/>
      <c r="L4" s="870"/>
      <c r="M4" s="870"/>
      <c r="N4" s="870"/>
      <c r="O4" s="870"/>
    </row>
    <row r="5" spans="1:15" s="1" customFormat="1" ht="12.75" customHeight="1" x14ac:dyDescent="0.2">
      <c r="A5" s="867" t="s">
        <v>443</v>
      </c>
      <c r="B5" s="868"/>
      <c r="C5" s="868"/>
      <c r="D5" s="869" t="s">
        <v>457</v>
      </c>
      <c r="E5" s="868"/>
      <c r="F5" s="868"/>
      <c r="G5" s="867"/>
      <c r="H5" s="868"/>
      <c r="I5" s="869" t="s">
        <v>113</v>
      </c>
      <c r="J5" s="868"/>
      <c r="K5" s="868"/>
      <c r="L5" s="870"/>
      <c r="M5" s="870"/>
      <c r="N5" s="870"/>
      <c r="O5" s="870"/>
    </row>
    <row r="6" spans="1:15" s="1" customFormat="1" x14ac:dyDescent="0.2">
      <c r="A6" s="871" t="s">
        <v>114</v>
      </c>
      <c r="B6" s="872"/>
      <c r="C6" s="872"/>
      <c r="D6" s="868" t="s">
        <v>28</v>
      </c>
      <c r="E6" s="868"/>
      <c r="F6" s="868"/>
      <c r="G6" s="871" t="s">
        <v>115</v>
      </c>
      <c r="H6" s="871"/>
      <c r="I6" s="2" t="s">
        <v>222</v>
      </c>
      <c r="J6" s="888"/>
      <c r="K6" s="888"/>
      <c r="L6" s="888"/>
      <c r="M6" s="888"/>
      <c r="N6" s="888"/>
      <c r="O6" s="889"/>
    </row>
    <row r="7" spans="1:15" s="1" customFormat="1" ht="13.5" thickBot="1" x14ac:dyDescent="0.25">
      <c r="A7" s="3"/>
      <c r="B7" s="4"/>
      <c r="C7" s="5"/>
      <c r="D7" s="6"/>
      <c r="E7" s="6"/>
      <c r="F7" s="6"/>
      <c r="G7" s="6"/>
      <c r="H7" s="6"/>
      <c r="I7" s="6"/>
      <c r="J7" s="7"/>
      <c r="K7" s="8"/>
      <c r="L7" s="875" t="s">
        <v>223</v>
      </c>
      <c r="M7" s="875"/>
      <c r="N7" s="875"/>
      <c r="O7" s="875"/>
    </row>
    <row r="8" spans="1:15" s="11" customFormat="1" x14ac:dyDescent="0.2">
      <c r="A8" s="876" t="str">
        <f>I1</f>
        <v>Ms. U. S. Sonawane</v>
      </c>
      <c r="B8" s="877"/>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39200</v>
      </c>
      <c r="D9" s="14">
        <v>39200</v>
      </c>
      <c r="E9" s="14">
        <v>39200</v>
      </c>
      <c r="F9" s="14">
        <v>39200</v>
      </c>
      <c r="G9" s="14">
        <v>40400</v>
      </c>
      <c r="H9" s="14">
        <v>40400</v>
      </c>
      <c r="I9" s="14">
        <v>40400</v>
      </c>
      <c r="J9" s="14">
        <v>40400</v>
      </c>
      <c r="K9" s="14">
        <v>40400</v>
      </c>
      <c r="L9" s="14">
        <v>40400</v>
      </c>
      <c r="M9" s="14">
        <v>40400</v>
      </c>
      <c r="N9" s="14">
        <v>40400</v>
      </c>
      <c r="O9" s="15">
        <f>SUM(C9:N9)</f>
        <v>480000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1960</v>
      </c>
      <c r="D11" s="17">
        <v>2744</v>
      </c>
      <c r="E11" s="17">
        <v>2744</v>
      </c>
      <c r="F11" s="17">
        <v>2744</v>
      </c>
      <c r="G11" s="17">
        <v>2828</v>
      </c>
      <c r="H11" s="17">
        <v>2828</v>
      </c>
      <c r="I11" s="17">
        <v>2828</v>
      </c>
      <c r="J11" s="17">
        <v>3636</v>
      </c>
      <c r="K11" s="17">
        <v>3636</v>
      </c>
      <c r="L11" s="17">
        <v>3636</v>
      </c>
      <c r="M11" s="17">
        <v>3636</v>
      </c>
      <c r="N11" s="17">
        <v>3636</v>
      </c>
      <c r="O11" s="18">
        <f>SUM(C11:N11)</f>
        <v>36856</v>
      </c>
    </row>
    <row r="12" spans="1:15"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x14ac:dyDescent="0.2">
      <c r="A14" s="12"/>
      <c r="B14" s="13" t="s">
        <v>123</v>
      </c>
      <c r="C14" s="17">
        <v>3780</v>
      </c>
      <c r="D14" s="17">
        <v>3852</v>
      </c>
      <c r="E14" s="17">
        <v>3852</v>
      </c>
      <c r="F14" s="17">
        <v>3852</v>
      </c>
      <c r="G14" s="17">
        <v>3852</v>
      </c>
      <c r="H14" s="17">
        <v>3852</v>
      </c>
      <c r="I14" s="17">
        <v>3852</v>
      </c>
      <c r="J14" s="17">
        <v>3924</v>
      </c>
      <c r="K14" s="17">
        <v>3924</v>
      </c>
      <c r="L14" s="17">
        <v>3924</v>
      </c>
      <c r="M14" s="17">
        <v>3924</v>
      </c>
      <c r="N14" s="17">
        <v>3924</v>
      </c>
      <c r="O14" s="18">
        <f t="shared" si="0"/>
        <v>46512</v>
      </c>
    </row>
    <row r="15" spans="1:15"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hidden="1" x14ac:dyDescent="0.2">
      <c r="A16" s="12"/>
      <c r="B16" s="13" t="s">
        <v>405</v>
      </c>
      <c r="C16" s="17">
        <v>0</v>
      </c>
      <c r="D16" s="17">
        <v>0</v>
      </c>
      <c r="E16" s="17">
        <v>0</v>
      </c>
      <c r="F16" s="17">
        <v>0</v>
      </c>
      <c r="G16" s="17">
        <v>0</v>
      </c>
      <c r="H16" s="17">
        <v>0</v>
      </c>
      <c r="I16" s="17">
        <v>0</v>
      </c>
      <c r="J16" s="17">
        <v>0</v>
      </c>
      <c r="K16" s="17">
        <v>0</v>
      </c>
      <c r="L16" s="17">
        <v>0</v>
      </c>
      <c r="M16" s="17">
        <v>0</v>
      </c>
      <c r="N16" s="17">
        <v>0</v>
      </c>
      <c r="O16" s="18">
        <f t="shared" si="0"/>
        <v>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458</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9408</v>
      </c>
      <c r="D19" s="17">
        <v>9408</v>
      </c>
      <c r="E19" s="17">
        <v>9408</v>
      </c>
      <c r="F19" s="17">
        <v>9408</v>
      </c>
      <c r="G19" s="17">
        <v>9696</v>
      </c>
      <c r="H19" s="17">
        <v>9696</v>
      </c>
      <c r="I19" s="17">
        <v>9696</v>
      </c>
      <c r="J19" s="17">
        <v>9696</v>
      </c>
      <c r="K19" s="17">
        <v>9696</v>
      </c>
      <c r="L19" s="17">
        <v>9696</v>
      </c>
      <c r="M19" s="17">
        <v>9696</v>
      </c>
      <c r="N19" s="17">
        <v>9696</v>
      </c>
      <c r="O19" s="18">
        <f t="shared" si="0"/>
        <v>115200</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78"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79"/>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5" ht="15" hidden="1" customHeight="1" x14ac:dyDescent="0.2">
      <c r="A23" s="879"/>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79"/>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79"/>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79"/>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79"/>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79"/>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79"/>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79"/>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customHeight="1" x14ac:dyDescent="0.2">
      <c r="A31" s="879"/>
      <c r="B31" s="240" t="s">
        <v>246</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79"/>
      <c r="B32" s="21" t="s">
        <v>142</v>
      </c>
      <c r="C32" s="17">
        <v>0</v>
      </c>
      <c r="D32" s="17">
        <v>0</v>
      </c>
      <c r="E32" s="17">
        <v>0</v>
      </c>
      <c r="F32" s="17">
        <v>0</v>
      </c>
      <c r="G32" s="17">
        <v>0</v>
      </c>
      <c r="H32" s="17">
        <v>0</v>
      </c>
      <c r="I32" s="17">
        <v>0</v>
      </c>
      <c r="J32" s="17">
        <v>0</v>
      </c>
      <c r="K32" s="17">
        <v>0</v>
      </c>
      <c r="L32" s="17">
        <v>0</v>
      </c>
      <c r="M32" s="17">
        <v>0</v>
      </c>
      <c r="N32" s="17">
        <v>0</v>
      </c>
      <c r="O32" s="18">
        <f t="shared" si="0"/>
        <v>0</v>
      </c>
    </row>
    <row r="33" spans="1:17" ht="15" hidden="1" customHeight="1" x14ac:dyDescent="0.2">
      <c r="A33" s="880"/>
      <c r="B33" s="19" t="s">
        <v>226</v>
      </c>
      <c r="C33" s="17">
        <v>0</v>
      </c>
      <c r="D33" s="17">
        <v>0</v>
      </c>
      <c r="E33" s="17">
        <v>0</v>
      </c>
      <c r="F33" s="17">
        <v>0</v>
      </c>
      <c r="G33" s="17">
        <v>0</v>
      </c>
      <c r="H33" s="17">
        <v>0</v>
      </c>
      <c r="I33" s="17">
        <v>0</v>
      </c>
      <c r="J33" s="17">
        <v>0</v>
      </c>
      <c r="K33" s="17">
        <v>0</v>
      </c>
      <c r="L33" s="17">
        <v>0</v>
      </c>
      <c r="M33" s="17">
        <v>0</v>
      </c>
      <c r="N33" s="17">
        <v>0</v>
      </c>
      <c r="O33" s="18">
        <f t="shared" si="0"/>
        <v>0</v>
      </c>
    </row>
    <row r="34" spans="1:17" ht="15" customHeight="1" x14ac:dyDescent="0.2">
      <c r="A34" s="219"/>
      <c r="B34" s="220" t="s">
        <v>144</v>
      </c>
      <c r="C34" s="17">
        <v>0</v>
      </c>
      <c r="D34" s="17">
        <v>0</v>
      </c>
      <c r="E34" s="17">
        <v>0</v>
      </c>
      <c r="F34" s="17">
        <v>0</v>
      </c>
      <c r="G34" s="17">
        <v>0</v>
      </c>
      <c r="H34" s="17">
        <v>0</v>
      </c>
      <c r="I34" s="17">
        <v>0</v>
      </c>
      <c r="J34" s="17">
        <v>0</v>
      </c>
      <c r="K34" s="17">
        <v>0</v>
      </c>
      <c r="L34" s="17">
        <v>0</v>
      </c>
      <c r="M34" s="17">
        <v>0</v>
      </c>
      <c r="N34" s="17">
        <v>0</v>
      </c>
      <c r="O34" s="18">
        <f t="shared" si="0"/>
        <v>0</v>
      </c>
      <c r="Q34" s="16" t="s">
        <v>459</v>
      </c>
    </row>
    <row r="35" spans="1:17" ht="15" customHeight="1" x14ac:dyDescent="0.2">
      <c r="A35" s="865" t="s">
        <v>145</v>
      </c>
      <c r="B35" s="866"/>
      <c r="C35" s="17">
        <v>0</v>
      </c>
      <c r="D35" s="17">
        <v>216</v>
      </c>
      <c r="E35" s="17">
        <v>0</v>
      </c>
      <c r="F35" s="17">
        <v>0</v>
      </c>
      <c r="G35" s="17">
        <v>0</v>
      </c>
      <c r="H35" s="17">
        <v>0</v>
      </c>
      <c r="I35" s="17">
        <v>0</v>
      </c>
      <c r="J35" s="17">
        <v>216</v>
      </c>
      <c r="K35" s="17">
        <v>0</v>
      </c>
      <c r="L35" s="17">
        <v>0</v>
      </c>
      <c r="M35" s="17">
        <v>0</v>
      </c>
      <c r="N35" s="17">
        <v>0</v>
      </c>
      <c r="O35" s="18">
        <f t="shared" si="0"/>
        <v>432</v>
      </c>
      <c r="Q35" s="16" t="s">
        <v>460</v>
      </c>
    </row>
    <row r="36" spans="1:17" ht="15" customHeight="1" x14ac:dyDescent="0.2">
      <c r="A36" s="865" t="s">
        <v>146</v>
      </c>
      <c r="B36" s="866"/>
      <c r="C36" s="17">
        <v>0</v>
      </c>
      <c r="D36" s="17">
        <v>2352</v>
      </c>
      <c r="E36" s="17">
        <v>0</v>
      </c>
      <c r="F36" s="17">
        <v>0</v>
      </c>
      <c r="G36" s="17">
        <v>0</v>
      </c>
      <c r="H36" s="17">
        <v>0</v>
      </c>
      <c r="I36" s="17">
        <v>0</v>
      </c>
      <c r="J36" s="17">
        <v>2424</v>
      </c>
      <c r="K36" s="17">
        <v>0</v>
      </c>
      <c r="L36" s="17">
        <v>0</v>
      </c>
      <c r="M36" s="17">
        <v>0</v>
      </c>
      <c r="N36" s="17">
        <v>0</v>
      </c>
      <c r="O36" s="18">
        <f t="shared" si="0"/>
        <v>4776</v>
      </c>
    </row>
    <row r="37" spans="1:17" ht="15" customHeight="1" x14ac:dyDescent="0.2">
      <c r="A37" s="22"/>
      <c r="B37" s="23" t="s">
        <v>147</v>
      </c>
      <c r="C37" s="24">
        <f t="shared" ref="C37:N37" si="1">SUM(C9:C36)</f>
        <v>54348</v>
      </c>
      <c r="D37" s="24">
        <f t="shared" si="1"/>
        <v>57772</v>
      </c>
      <c r="E37" s="24">
        <f t="shared" si="1"/>
        <v>55204</v>
      </c>
      <c r="F37" s="24">
        <f t="shared" si="1"/>
        <v>55204</v>
      </c>
      <c r="G37" s="24">
        <f t="shared" si="1"/>
        <v>56776</v>
      </c>
      <c r="H37" s="24">
        <f t="shared" si="1"/>
        <v>56776</v>
      </c>
      <c r="I37" s="24">
        <f t="shared" si="1"/>
        <v>56776</v>
      </c>
      <c r="J37" s="24">
        <f t="shared" si="1"/>
        <v>67204</v>
      </c>
      <c r="K37" s="24">
        <f t="shared" si="1"/>
        <v>57656</v>
      </c>
      <c r="L37" s="24">
        <f t="shared" si="1"/>
        <v>57656</v>
      </c>
      <c r="M37" s="24">
        <f t="shared" si="1"/>
        <v>57656</v>
      </c>
      <c r="N37" s="24">
        <f t="shared" si="1"/>
        <v>57656</v>
      </c>
      <c r="O37" s="25">
        <f t="shared" ref="O37:O52" si="2">SUM(C37:N37)</f>
        <v>690684</v>
      </c>
    </row>
    <row r="38" spans="1:17" ht="15" customHeight="1" x14ac:dyDescent="0.2">
      <c r="A38" s="853" t="s">
        <v>148</v>
      </c>
      <c r="B38" s="27" t="s">
        <v>149</v>
      </c>
      <c r="C38" s="147">
        <v>0</v>
      </c>
      <c r="D38" s="147">
        <v>0</v>
      </c>
      <c r="E38" s="147">
        <v>0</v>
      </c>
      <c r="F38" s="147">
        <v>0</v>
      </c>
      <c r="G38" s="147">
        <v>0</v>
      </c>
      <c r="H38" s="147">
        <v>0</v>
      </c>
      <c r="I38" s="147">
        <v>0</v>
      </c>
      <c r="J38" s="147">
        <v>0</v>
      </c>
      <c r="K38" s="147">
        <v>3750</v>
      </c>
      <c r="L38" s="147">
        <v>2878</v>
      </c>
      <c r="M38" s="147">
        <v>2878</v>
      </c>
      <c r="N38" s="147">
        <v>2878</v>
      </c>
      <c r="O38" s="18">
        <f t="shared" si="2"/>
        <v>12384</v>
      </c>
      <c r="P38" s="29"/>
    </row>
    <row r="39" spans="1:17" ht="15" x14ac:dyDescent="0.2">
      <c r="A39" s="854"/>
      <c r="B39" s="27" t="s">
        <v>150</v>
      </c>
      <c r="C39" s="147">
        <v>0</v>
      </c>
      <c r="D39" s="147">
        <v>0</v>
      </c>
      <c r="E39" s="147">
        <v>0</v>
      </c>
      <c r="F39" s="147">
        <v>0</v>
      </c>
      <c r="G39" s="147">
        <v>0</v>
      </c>
      <c r="H39" s="147">
        <v>0</v>
      </c>
      <c r="I39" s="147">
        <v>0</v>
      </c>
      <c r="J39" s="147">
        <v>0</v>
      </c>
      <c r="K39" s="147">
        <v>0</v>
      </c>
      <c r="L39" s="147">
        <v>0</v>
      </c>
      <c r="M39" s="147">
        <v>0</v>
      </c>
      <c r="N39" s="147">
        <v>0</v>
      </c>
      <c r="O39" s="18">
        <f t="shared" si="2"/>
        <v>0</v>
      </c>
    </row>
    <row r="40" spans="1:17" ht="15" x14ac:dyDescent="0.2">
      <c r="A40" s="854"/>
      <c r="B40" s="27" t="s">
        <v>151</v>
      </c>
      <c r="C40" s="147">
        <v>30</v>
      </c>
      <c r="D40" s="147">
        <v>30</v>
      </c>
      <c r="E40" s="147">
        <v>30</v>
      </c>
      <c r="F40" s="147">
        <v>30</v>
      </c>
      <c r="G40" s="147">
        <v>30</v>
      </c>
      <c r="H40" s="147">
        <v>30</v>
      </c>
      <c r="I40" s="147">
        <v>30</v>
      </c>
      <c r="J40" s="147">
        <v>30</v>
      </c>
      <c r="K40" s="147">
        <v>30</v>
      </c>
      <c r="L40" s="147">
        <v>30</v>
      </c>
      <c r="M40" s="147">
        <v>30</v>
      </c>
      <c r="N40" s="147">
        <v>30</v>
      </c>
      <c r="O40" s="18">
        <f t="shared" si="2"/>
        <v>360</v>
      </c>
    </row>
    <row r="41" spans="1:17" ht="15" x14ac:dyDescent="0.2">
      <c r="A41" s="854"/>
      <c r="B41" s="27" t="s">
        <v>152</v>
      </c>
      <c r="C41" s="147">
        <v>0</v>
      </c>
      <c r="D41" s="147">
        <v>0</v>
      </c>
      <c r="E41" s="147">
        <v>0</v>
      </c>
      <c r="F41" s="147">
        <v>0</v>
      </c>
      <c r="G41" s="147">
        <v>0</v>
      </c>
      <c r="H41" s="147">
        <v>0</v>
      </c>
      <c r="I41" s="147">
        <v>0</v>
      </c>
      <c r="J41" s="147">
        <v>0</v>
      </c>
      <c r="K41" s="147">
        <v>0</v>
      </c>
      <c r="L41" s="147">
        <v>0</v>
      </c>
      <c r="M41" s="147">
        <v>0</v>
      </c>
      <c r="N41" s="147">
        <v>0</v>
      </c>
      <c r="O41" s="18">
        <f t="shared" si="2"/>
        <v>0</v>
      </c>
    </row>
    <row r="42" spans="1:17" ht="15" x14ac:dyDescent="0.2">
      <c r="A42" s="854"/>
      <c r="B42" s="27" t="s">
        <v>153</v>
      </c>
      <c r="C42" s="147">
        <v>0</v>
      </c>
      <c r="D42" s="147">
        <v>0</v>
      </c>
      <c r="E42" s="147">
        <v>0</v>
      </c>
      <c r="F42" s="147">
        <v>0</v>
      </c>
      <c r="G42" s="147">
        <v>0</v>
      </c>
      <c r="H42" s="147">
        <v>0</v>
      </c>
      <c r="I42" s="147">
        <v>0</v>
      </c>
      <c r="J42" s="147">
        <v>0</v>
      </c>
      <c r="K42" s="147">
        <v>0</v>
      </c>
      <c r="L42" s="147">
        <v>0</v>
      </c>
      <c r="M42" s="147">
        <v>0</v>
      </c>
      <c r="N42" s="147">
        <v>0</v>
      </c>
      <c r="O42" s="18">
        <f t="shared" si="2"/>
        <v>0</v>
      </c>
    </row>
    <row r="43" spans="1:17" ht="15" x14ac:dyDescent="0.2">
      <c r="A43" s="854"/>
      <c r="B43" s="27" t="s">
        <v>154</v>
      </c>
      <c r="C43" s="147">
        <v>4000</v>
      </c>
      <c r="D43" s="147">
        <v>4000</v>
      </c>
      <c r="E43" s="147">
        <v>4000</v>
      </c>
      <c r="F43" s="147">
        <v>4000</v>
      </c>
      <c r="G43" s="147">
        <v>4000</v>
      </c>
      <c r="H43" s="147">
        <v>4000</v>
      </c>
      <c r="I43" s="147">
        <v>15000</v>
      </c>
      <c r="J43" s="147">
        <v>15000</v>
      </c>
      <c r="K43" s="147">
        <v>15000</v>
      </c>
      <c r="L43" s="147">
        <v>15000</v>
      </c>
      <c r="M43" s="147">
        <v>15000</v>
      </c>
      <c r="N43" s="147">
        <v>15000</v>
      </c>
      <c r="O43" s="18">
        <f t="shared" si="2"/>
        <v>114000</v>
      </c>
    </row>
    <row r="44" spans="1:17" ht="15" x14ac:dyDescent="0.2">
      <c r="A44" s="854"/>
      <c r="B44" s="27" t="s">
        <v>155</v>
      </c>
      <c r="C44" s="147">
        <v>200</v>
      </c>
      <c r="D44" s="147">
        <v>200</v>
      </c>
      <c r="E44" s="147">
        <v>200</v>
      </c>
      <c r="F44" s="147">
        <v>200</v>
      </c>
      <c r="G44" s="147">
        <v>200</v>
      </c>
      <c r="H44" s="147">
        <v>200</v>
      </c>
      <c r="I44" s="147">
        <v>200</v>
      </c>
      <c r="J44" s="147">
        <v>200</v>
      </c>
      <c r="K44" s="147">
        <v>200</v>
      </c>
      <c r="L44" s="147">
        <v>200</v>
      </c>
      <c r="M44" s="147">
        <v>200</v>
      </c>
      <c r="N44" s="147">
        <v>300</v>
      </c>
      <c r="O44" s="18">
        <f t="shared" si="2"/>
        <v>2500</v>
      </c>
    </row>
    <row r="45" spans="1:17" ht="15" x14ac:dyDescent="0.2">
      <c r="A45" s="854"/>
      <c r="B45" s="27" t="s">
        <v>156</v>
      </c>
      <c r="C45" s="147">
        <v>0</v>
      </c>
      <c r="D45" s="147">
        <v>0</v>
      </c>
      <c r="E45" s="147">
        <v>0</v>
      </c>
      <c r="F45" s="147">
        <v>0</v>
      </c>
      <c r="G45" s="147">
        <v>0</v>
      </c>
      <c r="H45" s="147">
        <v>0</v>
      </c>
      <c r="I45" s="147">
        <v>0</v>
      </c>
      <c r="J45" s="147">
        <v>0</v>
      </c>
      <c r="K45" s="147">
        <v>0</v>
      </c>
      <c r="L45" s="147">
        <v>0</v>
      </c>
      <c r="M45" s="147">
        <v>0</v>
      </c>
      <c r="N45" s="147">
        <v>0</v>
      </c>
      <c r="O45" s="18">
        <f t="shared" si="2"/>
        <v>0</v>
      </c>
    </row>
    <row r="46" spans="1:17" ht="15" x14ac:dyDescent="0.2">
      <c r="A46" s="854"/>
      <c r="B46" s="27" t="s">
        <v>157</v>
      </c>
      <c r="C46" s="147">
        <v>2500</v>
      </c>
      <c r="D46" s="147">
        <v>2500</v>
      </c>
      <c r="E46" s="147">
        <v>2500</v>
      </c>
      <c r="F46" s="147">
        <v>2500</v>
      </c>
      <c r="G46" s="147">
        <v>2500</v>
      </c>
      <c r="H46" s="147">
        <v>2500</v>
      </c>
      <c r="I46" s="147">
        <v>0</v>
      </c>
      <c r="J46" s="147">
        <v>0</v>
      </c>
      <c r="K46" s="147">
        <v>0</v>
      </c>
      <c r="L46" s="147">
        <v>0</v>
      </c>
      <c r="M46" s="147">
        <v>0</v>
      </c>
      <c r="N46" s="147">
        <v>0</v>
      </c>
      <c r="O46" s="18">
        <f t="shared" si="2"/>
        <v>15000</v>
      </c>
    </row>
    <row r="47" spans="1:17" ht="28.5" customHeight="1" x14ac:dyDescent="0.2">
      <c r="A47" s="855"/>
      <c r="B47" s="241" t="s">
        <v>158</v>
      </c>
      <c r="C47" s="147">
        <v>510</v>
      </c>
      <c r="D47" s="147">
        <v>510</v>
      </c>
      <c r="E47" s="147">
        <v>510</v>
      </c>
      <c r="F47" s="147">
        <v>510</v>
      </c>
      <c r="G47" s="147">
        <v>510</v>
      </c>
      <c r="H47" s="147">
        <v>510</v>
      </c>
      <c r="I47" s="147">
        <v>510</v>
      </c>
      <c r="J47" s="147">
        <v>510</v>
      </c>
      <c r="K47" s="147">
        <v>510</v>
      </c>
      <c r="L47" s="147">
        <v>510</v>
      </c>
      <c r="M47" s="147">
        <v>510</v>
      </c>
      <c r="N47" s="147">
        <v>510</v>
      </c>
      <c r="O47" s="31">
        <f t="shared" si="2"/>
        <v>6120</v>
      </c>
    </row>
    <row r="48" spans="1:17" ht="14.25" customHeight="1" x14ac:dyDescent="0.2">
      <c r="A48" s="855"/>
      <c r="B48" s="241" t="s">
        <v>461</v>
      </c>
      <c r="C48" s="147">
        <v>1000</v>
      </c>
      <c r="D48" s="147">
        <v>0</v>
      </c>
      <c r="E48" s="147">
        <v>0</v>
      </c>
      <c r="F48" s="147">
        <v>0</v>
      </c>
      <c r="G48" s="147">
        <v>0</v>
      </c>
      <c r="H48" s="147">
        <v>0</v>
      </c>
      <c r="I48" s="147">
        <v>0</v>
      </c>
      <c r="J48" s="147">
        <v>0</v>
      </c>
      <c r="K48" s="147">
        <v>0</v>
      </c>
      <c r="L48" s="147">
        <v>0</v>
      </c>
      <c r="M48" s="147">
        <v>0</v>
      </c>
      <c r="N48" s="147">
        <v>0</v>
      </c>
      <c r="O48" s="242">
        <f>SUM(C48:N48)</f>
        <v>1000</v>
      </c>
    </row>
    <row r="49" spans="1:18" ht="14.25" customHeight="1" x14ac:dyDescent="0.2">
      <c r="A49" s="855"/>
      <c r="B49" s="241" t="s">
        <v>462</v>
      </c>
      <c r="C49" s="147">
        <v>0</v>
      </c>
      <c r="D49" s="147">
        <v>0</v>
      </c>
      <c r="E49" s="147">
        <v>0</v>
      </c>
      <c r="F49" s="147">
        <v>0</v>
      </c>
      <c r="G49" s="147">
        <v>0</v>
      </c>
      <c r="H49" s="147">
        <v>0</v>
      </c>
      <c r="I49" s="147">
        <v>0</v>
      </c>
      <c r="J49" s="147">
        <v>0</v>
      </c>
      <c r="K49" s="147">
        <v>0</v>
      </c>
      <c r="L49" s="147">
        <v>0</v>
      </c>
      <c r="M49" s="147">
        <v>0</v>
      </c>
      <c r="N49" s="147">
        <v>0</v>
      </c>
      <c r="O49" s="242"/>
    </row>
    <row r="50" spans="1:18" x14ac:dyDescent="0.2">
      <c r="A50" s="856"/>
      <c r="B50" s="169" t="s">
        <v>228</v>
      </c>
      <c r="C50" s="147">
        <v>0</v>
      </c>
      <c r="D50" s="147">
        <v>0</v>
      </c>
      <c r="E50" s="147">
        <v>0</v>
      </c>
      <c r="F50" s="147">
        <v>0</v>
      </c>
      <c r="G50" s="147">
        <v>0</v>
      </c>
      <c r="H50" s="147">
        <v>0</v>
      </c>
      <c r="I50" s="147">
        <v>0</v>
      </c>
      <c r="J50" s="147">
        <v>0</v>
      </c>
      <c r="K50" s="147">
        <v>0</v>
      </c>
      <c r="L50" s="147">
        <v>0</v>
      </c>
      <c r="M50" s="147">
        <v>0</v>
      </c>
      <c r="N50" s="147">
        <v>0</v>
      </c>
      <c r="O50" s="31">
        <f t="shared" si="2"/>
        <v>0</v>
      </c>
    </row>
    <row r="51" spans="1:18" ht="15" x14ac:dyDescent="0.2">
      <c r="A51" s="857" t="s">
        <v>160</v>
      </c>
      <c r="B51" s="858"/>
      <c r="C51" s="33">
        <f t="shared" ref="C51:N51" si="3">SUM(C38:C50)</f>
        <v>8240</v>
      </c>
      <c r="D51" s="33">
        <f t="shared" si="3"/>
        <v>7240</v>
      </c>
      <c r="E51" s="33">
        <f t="shared" si="3"/>
        <v>7240</v>
      </c>
      <c r="F51" s="33">
        <f t="shared" si="3"/>
        <v>7240</v>
      </c>
      <c r="G51" s="33">
        <f t="shared" si="3"/>
        <v>7240</v>
      </c>
      <c r="H51" s="33">
        <f t="shared" si="3"/>
        <v>7240</v>
      </c>
      <c r="I51" s="33">
        <f t="shared" si="3"/>
        <v>15740</v>
      </c>
      <c r="J51" s="33">
        <f t="shared" si="3"/>
        <v>15740</v>
      </c>
      <c r="K51" s="33">
        <f t="shared" si="3"/>
        <v>19490</v>
      </c>
      <c r="L51" s="33">
        <f t="shared" si="3"/>
        <v>18618</v>
      </c>
      <c r="M51" s="33">
        <f t="shared" si="3"/>
        <v>18618</v>
      </c>
      <c r="N51" s="33">
        <f t="shared" si="3"/>
        <v>18718</v>
      </c>
      <c r="O51" s="34">
        <f t="shared" si="2"/>
        <v>151364</v>
      </c>
    </row>
    <row r="52" spans="1:18" ht="15.75" thickBot="1" x14ac:dyDescent="0.25">
      <c r="A52" s="859" t="s">
        <v>161</v>
      </c>
      <c r="B52" s="860"/>
      <c r="C52" s="35">
        <f t="shared" ref="C52:N52" si="4">C37-C51</f>
        <v>46108</v>
      </c>
      <c r="D52" s="35">
        <f t="shared" si="4"/>
        <v>50532</v>
      </c>
      <c r="E52" s="35">
        <f t="shared" si="4"/>
        <v>47964</v>
      </c>
      <c r="F52" s="35">
        <f t="shared" si="4"/>
        <v>47964</v>
      </c>
      <c r="G52" s="35">
        <f t="shared" si="4"/>
        <v>49536</v>
      </c>
      <c r="H52" s="35">
        <f t="shared" si="4"/>
        <v>49536</v>
      </c>
      <c r="I52" s="35">
        <f t="shared" si="4"/>
        <v>41036</v>
      </c>
      <c r="J52" s="35">
        <f t="shared" si="4"/>
        <v>51464</v>
      </c>
      <c r="K52" s="35">
        <f t="shared" si="4"/>
        <v>38166</v>
      </c>
      <c r="L52" s="35">
        <f t="shared" si="4"/>
        <v>39038</v>
      </c>
      <c r="M52" s="35">
        <f t="shared" si="4"/>
        <v>39038</v>
      </c>
      <c r="N52" s="35">
        <f t="shared" si="4"/>
        <v>38938</v>
      </c>
      <c r="O52" s="36">
        <f t="shared" si="2"/>
        <v>539320</v>
      </c>
      <c r="Q52" s="16">
        <f>22218+22218+4460+23213+23333+2500+24110+24110+24485+4293+3454+25541+25541+25541+23524+27301+8556+27201</f>
        <v>341599</v>
      </c>
    </row>
    <row r="53" spans="1:18" x14ac:dyDescent="0.2">
      <c r="G53" s="38"/>
      <c r="J53" s="128">
        <f>+J37-SUM(J22:J36)</f>
        <v>57656</v>
      </c>
      <c r="M53" s="38">
        <f>+M52-M32</f>
        <v>39038</v>
      </c>
      <c r="Q53" s="38"/>
    </row>
    <row r="54" spans="1:18" ht="13.5" thickBot="1" x14ac:dyDescent="0.25">
      <c r="J54" s="38">
        <f>+J53-J51</f>
        <v>41916</v>
      </c>
    </row>
    <row r="55" spans="1:18" ht="13.5" thickBot="1" x14ac:dyDescent="0.25">
      <c r="B55" s="789" t="s">
        <v>162</v>
      </c>
      <c r="C55" s="861"/>
      <c r="D55" s="861"/>
      <c r="E55" s="861"/>
      <c r="F55" s="862"/>
      <c r="G55" s="863">
        <f>O37</f>
        <v>690684</v>
      </c>
      <c r="H55" s="864"/>
    </row>
    <row r="56" spans="1:18" ht="13.5" thickBot="1" x14ac:dyDescent="0.25"/>
    <row r="57" spans="1:18" x14ac:dyDescent="0.2">
      <c r="B57" s="830" t="s">
        <v>163</v>
      </c>
      <c r="C57" s="833" t="s">
        <v>164</v>
      </c>
      <c r="D57" s="836" t="s">
        <v>425</v>
      </c>
      <c r="E57" s="837"/>
      <c r="F57" s="838"/>
      <c r="G57" s="839">
        <v>40000</v>
      </c>
      <c r="H57" s="840"/>
    </row>
    <row r="58" spans="1:18" x14ac:dyDescent="0.2">
      <c r="B58" s="831"/>
      <c r="C58" s="834"/>
      <c r="D58" s="841" t="s">
        <v>166</v>
      </c>
      <c r="E58" s="842"/>
      <c r="F58" s="843"/>
      <c r="G58" s="844">
        <f>+O44</f>
        <v>2500</v>
      </c>
      <c r="H58" s="845"/>
      <c r="I58" s="39"/>
      <c r="J58" s="918"/>
      <c r="K58" s="918"/>
      <c r="L58" s="918"/>
      <c r="M58" s="847"/>
      <c r="N58" s="847"/>
      <c r="O58" s="847"/>
    </row>
    <row r="59" spans="1:18" ht="13.5" thickBot="1" x14ac:dyDescent="0.25">
      <c r="B59" s="832"/>
      <c r="C59" s="835"/>
      <c r="D59" s="848" t="s">
        <v>266</v>
      </c>
      <c r="E59" s="849"/>
      <c r="F59" s="850"/>
      <c r="G59" s="851">
        <v>0</v>
      </c>
      <c r="H59" s="852"/>
      <c r="J59" s="47"/>
      <c r="K59" s="47"/>
      <c r="L59" s="47"/>
      <c r="M59" s="47"/>
      <c r="N59" s="47"/>
      <c r="O59" s="47"/>
    </row>
    <row r="60" spans="1:18" ht="13.5" thickBot="1" x14ac:dyDescent="0.25">
      <c r="B60" s="48"/>
      <c r="J60" s="47"/>
      <c r="K60" s="47"/>
      <c r="L60" s="47"/>
      <c r="M60" s="47"/>
      <c r="N60" s="47"/>
      <c r="O60" s="47"/>
    </row>
    <row r="61" spans="1:18" ht="13.5" thickBot="1" x14ac:dyDescent="0.25">
      <c r="B61" s="789" t="s">
        <v>168</v>
      </c>
      <c r="C61" s="790"/>
      <c r="D61" s="790"/>
      <c r="E61" s="790"/>
      <c r="F61" s="791"/>
      <c r="G61" s="825">
        <f>+G55-SUM(G57:H59)</f>
        <v>648184</v>
      </c>
      <c r="H61" s="826"/>
      <c r="J61" s="827" t="s">
        <v>169</v>
      </c>
      <c r="K61" s="828"/>
      <c r="L61" s="828"/>
      <c r="M61" s="828"/>
      <c r="N61" s="828"/>
      <c r="O61" s="829"/>
    </row>
    <row r="62" spans="1:18" ht="13.5" thickBot="1" x14ac:dyDescent="0.25">
      <c r="B62" s="49"/>
      <c r="C62" s="50"/>
      <c r="D62" s="50"/>
      <c r="E62" s="50"/>
      <c r="F62" s="50"/>
      <c r="G62" s="45"/>
      <c r="H62" s="50"/>
      <c r="J62" s="129"/>
      <c r="K62" s="130"/>
      <c r="L62" s="130"/>
      <c r="M62" s="130"/>
      <c r="N62" s="130"/>
      <c r="O62" s="131"/>
    </row>
    <row r="63" spans="1:18" ht="13.5" thickBot="1" x14ac:dyDescent="0.25">
      <c r="B63" s="789" t="s">
        <v>170</v>
      </c>
      <c r="C63" s="790"/>
      <c r="D63" s="790"/>
      <c r="E63" s="790"/>
      <c r="F63" s="791"/>
      <c r="G63" s="805">
        <v>0</v>
      </c>
      <c r="H63" s="791"/>
      <c r="J63" s="129"/>
      <c r="K63" s="130"/>
      <c r="L63" s="130"/>
      <c r="M63" s="130"/>
      <c r="N63" s="130"/>
      <c r="O63" s="131"/>
    </row>
    <row r="64" spans="1:18" ht="12.75" customHeight="1" x14ac:dyDescent="0.2">
      <c r="B64" s="57" t="s">
        <v>171</v>
      </c>
      <c r="C64" s="806" t="s">
        <v>172</v>
      </c>
      <c r="D64" s="807"/>
      <c r="E64" s="807"/>
      <c r="F64" s="808"/>
      <c r="G64" s="809">
        <v>0</v>
      </c>
      <c r="H64" s="809"/>
      <c r="I64" s="58"/>
      <c r="J64" s="810" t="s">
        <v>173</v>
      </c>
      <c r="K64" s="811"/>
      <c r="L64" s="811"/>
      <c r="M64" s="811"/>
      <c r="N64" s="811"/>
      <c r="O64" s="812"/>
      <c r="Q64" s="59"/>
      <c r="R64" s="59"/>
    </row>
    <row r="65" spans="2:18" ht="13.5" thickBot="1" x14ac:dyDescent="0.25">
      <c r="D65" s="37"/>
      <c r="I65" s="58"/>
      <c r="J65" s="60" t="s">
        <v>463</v>
      </c>
      <c r="K65" s="132"/>
      <c r="L65" s="132"/>
      <c r="M65" s="133"/>
      <c r="N65" s="133"/>
      <c r="O65" s="134"/>
      <c r="Q65" s="59"/>
      <c r="R65" s="59"/>
    </row>
    <row r="66" spans="2:18" ht="13.5" thickBot="1" x14ac:dyDescent="0.25">
      <c r="B66" s="789" t="s">
        <v>175</v>
      </c>
      <c r="C66" s="790"/>
      <c r="D66" s="790"/>
      <c r="E66" s="790"/>
      <c r="F66" s="791"/>
      <c r="G66" s="805">
        <f>+G61-G64</f>
        <v>648184</v>
      </c>
      <c r="H66" s="791"/>
      <c r="I66" s="63"/>
      <c r="J66" s="75" t="s">
        <v>464</v>
      </c>
      <c r="K66" s="39"/>
      <c r="L66" s="39"/>
      <c r="M66" s="39">
        <v>1</v>
      </c>
      <c r="N66" s="39"/>
      <c r="O66" s="65"/>
      <c r="Q66" s="59"/>
      <c r="R66" s="59"/>
    </row>
    <row r="67" spans="2:18" ht="12.75" customHeight="1" x14ac:dyDescent="0.2">
      <c r="B67" s="48"/>
      <c r="C67" s="48"/>
      <c r="I67" s="63"/>
      <c r="J67" s="64" t="s">
        <v>396</v>
      </c>
      <c r="K67" s="39"/>
      <c r="L67" s="39"/>
      <c r="M67" s="39">
        <v>2</v>
      </c>
      <c r="N67" s="39"/>
      <c r="O67" s="65"/>
      <c r="Q67" s="59"/>
      <c r="R67" s="59"/>
    </row>
    <row r="68" spans="2:18" x14ac:dyDescent="0.2">
      <c r="B68" s="66" t="s">
        <v>176</v>
      </c>
      <c r="C68" s="48"/>
      <c r="I68" s="63"/>
      <c r="J68" s="67"/>
      <c r="K68" s="68"/>
      <c r="L68" s="68"/>
      <c r="M68" s="68"/>
      <c r="N68" s="68"/>
      <c r="O68" s="69"/>
      <c r="Q68" s="59"/>
      <c r="R68" s="59"/>
    </row>
    <row r="69" spans="2:18" ht="26.25" customHeight="1" thickBot="1" x14ac:dyDescent="0.25">
      <c r="B69" s="66"/>
      <c r="C69" s="48"/>
      <c r="G69" s="70" t="s">
        <v>177</v>
      </c>
      <c r="H69" s="70" t="s">
        <v>178</v>
      </c>
      <c r="I69" s="63"/>
      <c r="J69" s="810" t="s">
        <v>179</v>
      </c>
      <c r="K69" s="811"/>
      <c r="L69" s="71"/>
      <c r="M69" s="71"/>
      <c r="N69" s="71"/>
      <c r="O69" s="72"/>
      <c r="Q69" s="59"/>
      <c r="R69" s="59"/>
    </row>
    <row r="70" spans="2:18" ht="12.75" customHeight="1" x14ac:dyDescent="0.2">
      <c r="B70" s="802" t="s">
        <v>180</v>
      </c>
      <c r="C70" s="821" t="s">
        <v>181</v>
      </c>
      <c r="D70" s="823" t="s">
        <v>182</v>
      </c>
      <c r="E70" s="824"/>
      <c r="F70" s="824"/>
      <c r="G70" s="73">
        <f>+O43</f>
        <v>114000</v>
      </c>
      <c r="H70" s="74">
        <f t="shared" ref="H70:H78" si="5">+G70</f>
        <v>114000</v>
      </c>
      <c r="I70" s="63"/>
      <c r="J70" s="75" t="s">
        <v>231</v>
      </c>
      <c r="K70" s="58"/>
      <c r="L70" s="58"/>
      <c r="M70" s="135" t="s">
        <v>232</v>
      </c>
      <c r="N70" s="58" t="s">
        <v>233</v>
      </c>
      <c r="O70" s="76"/>
      <c r="Q70" s="59"/>
      <c r="R70" s="59"/>
    </row>
    <row r="71" spans="2:18" ht="12.75" customHeight="1" x14ac:dyDescent="0.2">
      <c r="B71" s="803"/>
      <c r="C71" s="822"/>
      <c r="D71" s="782" t="s">
        <v>184</v>
      </c>
      <c r="E71" s="783"/>
      <c r="F71" s="783"/>
      <c r="G71" s="77">
        <v>36312</v>
      </c>
      <c r="H71" s="78">
        <f t="shared" si="5"/>
        <v>36312</v>
      </c>
      <c r="I71" s="63"/>
      <c r="J71" s="79" t="s">
        <v>270</v>
      </c>
      <c r="K71" s="68"/>
      <c r="L71" s="68"/>
      <c r="M71" s="68"/>
      <c r="N71" s="135" t="s">
        <v>233</v>
      </c>
      <c r="O71" s="136"/>
      <c r="Q71" s="59"/>
      <c r="R71" s="59"/>
    </row>
    <row r="72" spans="2:18" ht="12.75" customHeight="1" x14ac:dyDescent="0.2">
      <c r="B72" s="803"/>
      <c r="C72" s="822"/>
      <c r="D72" s="819" t="s">
        <v>185</v>
      </c>
      <c r="E72" s="820"/>
      <c r="F72" s="820"/>
      <c r="G72" s="80">
        <f>O40</f>
        <v>360</v>
      </c>
      <c r="H72" s="78">
        <f t="shared" si="5"/>
        <v>360</v>
      </c>
      <c r="I72" s="63"/>
      <c r="J72" s="243" t="s">
        <v>465</v>
      </c>
      <c r="K72" s="68"/>
      <c r="L72" s="68"/>
      <c r="M72" s="135" t="s">
        <v>232</v>
      </c>
      <c r="N72" s="135" t="s">
        <v>233</v>
      </c>
      <c r="O72" s="136"/>
    </row>
    <row r="73" spans="2:18" x14ac:dyDescent="0.2">
      <c r="B73" s="803"/>
      <c r="C73" s="822"/>
      <c r="D73" s="782" t="s">
        <v>186</v>
      </c>
      <c r="E73" s="783"/>
      <c r="F73" s="783"/>
      <c r="G73" s="81">
        <v>0</v>
      </c>
      <c r="H73" s="78">
        <f t="shared" si="5"/>
        <v>0</v>
      </c>
      <c r="I73" s="63"/>
      <c r="J73" s="243" t="s">
        <v>466</v>
      </c>
      <c r="K73" s="68"/>
      <c r="L73" s="68"/>
      <c r="M73" s="135" t="s">
        <v>232</v>
      </c>
      <c r="N73" s="135" t="s">
        <v>233</v>
      </c>
      <c r="O73" s="136"/>
    </row>
    <row r="74" spans="2:18" ht="12.75" customHeight="1" x14ac:dyDescent="0.2">
      <c r="B74" s="803"/>
      <c r="C74" s="822"/>
      <c r="D74" s="784" t="s">
        <v>188</v>
      </c>
      <c r="E74" s="783"/>
      <c r="F74" s="783"/>
      <c r="G74" s="80">
        <v>0</v>
      </c>
      <c r="H74" s="78">
        <f t="shared" si="5"/>
        <v>0</v>
      </c>
      <c r="I74" s="63"/>
      <c r="J74" s="244" t="s">
        <v>467</v>
      </c>
      <c r="K74" s="245"/>
      <c r="L74" s="245"/>
      <c r="M74" s="245"/>
      <c r="N74" s="245" t="s">
        <v>468</v>
      </c>
      <c r="O74" s="245"/>
    </row>
    <row r="75" spans="2:18" ht="14.25" customHeight="1" x14ac:dyDescent="0.2">
      <c r="B75" s="803"/>
      <c r="C75" s="822"/>
      <c r="D75" s="782" t="s">
        <v>270</v>
      </c>
      <c r="E75" s="783"/>
      <c r="F75" s="783"/>
      <c r="G75" s="84">
        <v>11880</v>
      </c>
      <c r="H75" s="78">
        <f t="shared" si="5"/>
        <v>11880</v>
      </c>
      <c r="I75" s="63"/>
      <c r="J75" s="82" t="s">
        <v>187</v>
      </c>
      <c r="K75" s="71"/>
      <c r="L75" s="71"/>
      <c r="M75" s="71"/>
      <c r="N75" s="71"/>
      <c r="O75" s="72"/>
    </row>
    <row r="76" spans="2:18" x14ac:dyDescent="0.2">
      <c r="B76" s="803"/>
      <c r="C76" s="822"/>
      <c r="D76" s="782" t="s">
        <v>191</v>
      </c>
      <c r="E76" s="783"/>
      <c r="F76" s="783"/>
      <c r="G76" s="81">
        <v>0</v>
      </c>
      <c r="H76" s="78">
        <f t="shared" si="5"/>
        <v>0</v>
      </c>
      <c r="I76" s="58"/>
      <c r="J76" s="75" t="s">
        <v>189</v>
      </c>
      <c r="K76" s="50"/>
      <c r="L76" s="50"/>
      <c r="M76" s="50"/>
      <c r="N76" s="50"/>
      <c r="O76" s="83">
        <v>0</v>
      </c>
    </row>
    <row r="77" spans="2:18" x14ac:dyDescent="0.2">
      <c r="B77" s="803"/>
      <c r="C77" s="88" t="s">
        <v>192</v>
      </c>
      <c r="D77" s="813" t="s">
        <v>193</v>
      </c>
      <c r="E77" s="814"/>
      <c r="F77" s="814"/>
      <c r="G77" s="80">
        <v>0</v>
      </c>
      <c r="H77" s="78">
        <f t="shared" si="5"/>
        <v>0</v>
      </c>
      <c r="I77" s="58"/>
      <c r="J77" s="75" t="s">
        <v>469</v>
      </c>
      <c r="K77" s="39"/>
      <c r="L77" s="39"/>
      <c r="M77" s="39"/>
      <c r="N77" s="39"/>
      <c r="O77" s="65"/>
    </row>
    <row r="78" spans="2:18" ht="13.5" customHeight="1" thickBot="1" x14ac:dyDescent="0.25">
      <c r="B78" s="803"/>
      <c r="C78" s="88" t="s">
        <v>194</v>
      </c>
      <c r="D78" s="815" t="s">
        <v>195</v>
      </c>
      <c r="E78" s="815"/>
      <c r="F78" s="815"/>
      <c r="G78" s="89">
        <v>0</v>
      </c>
      <c r="H78" s="90">
        <f t="shared" si="5"/>
        <v>0</v>
      </c>
      <c r="I78" s="63"/>
      <c r="J78" s="137" t="s">
        <v>470</v>
      </c>
      <c r="K78" s="50"/>
      <c r="L78" s="50"/>
      <c r="M78" s="50"/>
      <c r="N78" s="50"/>
      <c r="O78" s="83"/>
    </row>
    <row r="79" spans="2:18" ht="13.5" thickBot="1" x14ac:dyDescent="0.25">
      <c r="B79" s="803"/>
      <c r="C79" s="93"/>
      <c r="D79" s="94"/>
      <c r="E79" s="816" t="s">
        <v>117</v>
      </c>
      <c r="F79" s="817"/>
      <c r="G79" s="95">
        <f>SUM(G70:G78)</f>
        <v>162552</v>
      </c>
      <c r="H79" s="96">
        <f>IF(SUM(G70:G76)&lt;150000,SUM(G70:G76),150000)+IF(+G77&lt;20000,+G77,20000)</f>
        <v>150000</v>
      </c>
      <c r="I79" s="63"/>
      <c r="J79" s="67"/>
      <c r="K79" s="68"/>
      <c r="L79" s="68"/>
      <c r="M79" s="91"/>
      <c r="N79" s="91"/>
      <c r="O79" s="92"/>
    </row>
    <row r="80" spans="2:18" ht="12.75" customHeight="1" thickBot="1" x14ac:dyDescent="0.25">
      <c r="B80" s="803"/>
      <c r="C80" s="100" t="s">
        <v>196</v>
      </c>
      <c r="D80" s="782" t="s">
        <v>187</v>
      </c>
      <c r="E80" s="783"/>
      <c r="F80" s="818"/>
      <c r="G80" s="73">
        <v>10136</v>
      </c>
      <c r="H80" s="101">
        <f>+IF(+G80&lt;25000,+G80,25000)</f>
        <v>10136</v>
      </c>
      <c r="I80" s="87"/>
      <c r="J80" s="140" t="s">
        <v>471</v>
      </c>
      <c r="K80" s="917">
        <v>884814465</v>
      </c>
      <c r="L80" s="917"/>
      <c r="M80" s="142"/>
      <c r="N80" s="246" t="s">
        <v>472</v>
      </c>
      <c r="O80" s="143">
        <v>0</v>
      </c>
    </row>
    <row r="81" spans="2:12" x14ac:dyDescent="0.2">
      <c r="B81" s="803"/>
      <c r="C81" s="100" t="s">
        <v>197</v>
      </c>
      <c r="D81" s="784" t="s">
        <v>198</v>
      </c>
      <c r="E81" s="785"/>
      <c r="F81" s="786"/>
      <c r="G81" s="102"/>
      <c r="H81" s="103">
        <f>+IF(+G81&lt;40000,+G81,40000)</f>
        <v>0</v>
      </c>
      <c r="I81" s="63"/>
    </row>
    <row r="82" spans="2:12" x14ac:dyDescent="0.2">
      <c r="B82" s="803"/>
      <c r="C82" s="100" t="s">
        <v>199</v>
      </c>
      <c r="D82" s="784" t="s">
        <v>200</v>
      </c>
      <c r="E82" s="785"/>
      <c r="F82" s="786"/>
      <c r="G82" s="81"/>
      <c r="H82" s="104">
        <v>0</v>
      </c>
      <c r="I82" s="63"/>
      <c r="J82" s="1"/>
    </row>
    <row r="83" spans="2:12" x14ac:dyDescent="0.2">
      <c r="B83" s="803"/>
      <c r="C83" s="100" t="s">
        <v>201</v>
      </c>
      <c r="D83" s="784" t="s">
        <v>202</v>
      </c>
      <c r="E83" s="785"/>
      <c r="F83" s="786"/>
      <c r="G83" s="81"/>
      <c r="H83" s="104">
        <v>0</v>
      </c>
      <c r="I83" s="63"/>
      <c r="J83" s="1"/>
    </row>
    <row r="84" spans="2:12" ht="13.5" thickBot="1" x14ac:dyDescent="0.25">
      <c r="B84" s="804"/>
      <c r="C84" s="100" t="s">
        <v>203</v>
      </c>
      <c r="D84" s="784" t="s">
        <v>204</v>
      </c>
      <c r="E84" s="785"/>
      <c r="F84" s="786"/>
      <c r="G84" s="102"/>
      <c r="H84" s="103">
        <f>+IF(+G84&lt;100000,+G84,10000)</f>
        <v>0</v>
      </c>
      <c r="I84" s="63"/>
    </row>
    <row r="85" spans="2:12" ht="13.5" thickBot="1" x14ac:dyDescent="0.25">
      <c r="B85" s="787" t="s">
        <v>205</v>
      </c>
      <c r="C85" s="788"/>
      <c r="D85" s="788"/>
      <c r="E85" s="788"/>
      <c r="F85" s="788"/>
      <c r="G85" s="107">
        <f>SUM(G80:G84)</f>
        <v>10136</v>
      </c>
      <c r="H85" s="108">
        <f>SUM(H79:H84)</f>
        <v>160136</v>
      </c>
      <c r="J85" s="106"/>
      <c r="L85" s="1"/>
    </row>
    <row r="86" spans="2:12" ht="13.5" thickBot="1" x14ac:dyDescent="0.25">
      <c r="L86" s="1"/>
    </row>
    <row r="87" spans="2:12" ht="13.5" thickBot="1" x14ac:dyDescent="0.25">
      <c r="B87" s="789" t="s">
        <v>206</v>
      </c>
      <c r="C87" s="790"/>
      <c r="D87" s="790"/>
      <c r="E87" s="790"/>
      <c r="F87" s="791"/>
      <c r="G87" s="792">
        <f>+G66-H85</f>
        <v>488048</v>
      </c>
      <c r="H87" s="791"/>
      <c r="J87" s="105">
        <f>C37+D37+E37+F37</f>
        <v>222528</v>
      </c>
      <c r="K87" s="16" t="s">
        <v>235</v>
      </c>
    </row>
    <row r="88" spans="2:12" x14ac:dyDescent="0.2">
      <c r="B88" s="110"/>
      <c r="F88" s="105"/>
      <c r="J88" s="105">
        <f>G37+H37+I37</f>
        <v>170328</v>
      </c>
      <c r="K88" s="16" t="s">
        <v>236</v>
      </c>
    </row>
    <row r="89" spans="2:12" x14ac:dyDescent="0.2">
      <c r="C89" s="793" t="s">
        <v>207</v>
      </c>
      <c r="D89" s="794"/>
      <c r="E89" s="111" t="s">
        <v>208</v>
      </c>
      <c r="F89" s="111" t="s">
        <v>209</v>
      </c>
      <c r="G89" s="111" t="s">
        <v>210</v>
      </c>
      <c r="H89" s="111" t="s">
        <v>211</v>
      </c>
      <c r="J89" s="213">
        <f>J37+K37+L37</f>
        <v>182516</v>
      </c>
      <c r="K89" s="47" t="s">
        <v>237</v>
      </c>
    </row>
    <row r="90" spans="2:12" x14ac:dyDescent="0.2">
      <c r="C90" s="795" t="str">
        <f>IF(I6="M","0          - 250000","0          -  250000")</f>
        <v>0          -  250000</v>
      </c>
      <c r="D90" s="796"/>
      <c r="E90" s="112">
        <v>0</v>
      </c>
      <c r="F90" s="113">
        <f>IF(I6="M",(IF(G87&lt;250000,G87,250000)),(IF(G87&lt;250000,G87,250000)))</f>
        <v>250000</v>
      </c>
      <c r="G90" s="113">
        <f>G87-F90</f>
        <v>238048</v>
      </c>
      <c r="H90" s="113">
        <f>E90*F90</f>
        <v>0</v>
      </c>
      <c r="J90" s="207">
        <f>M37+N37</f>
        <v>115312</v>
      </c>
      <c r="K90" s="1" t="s">
        <v>238</v>
      </c>
    </row>
    <row r="91" spans="2:12" x14ac:dyDescent="0.2">
      <c r="C91" s="795" t="str">
        <f>IF(I6="M","250001 - 500000","250001-500000")</f>
        <v>250001-500000</v>
      </c>
      <c r="D91" s="796"/>
      <c r="E91" s="112">
        <v>0.05</v>
      </c>
      <c r="F91" s="113">
        <f>IF(I6="M",(IF(G90&lt;250000,G90,250000)),(IF(G90&lt;250000,G90,250000)))</f>
        <v>238048</v>
      </c>
      <c r="G91" s="113">
        <f>G90-F91</f>
        <v>0</v>
      </c>
      <c r="H91" s="114">
        <f>ROUND(E91*F91,0.1)</f>
        <v>11902</v>
      </c>
      <c r="J91" s="115">
        <f>SUM(J87:J90)</f>
        <v>690684</v>
      </c>
    </row>
    <row r="92" spans="2:12" x14ac:dyDescent="0.2">
      <c r="C92" s="797" t="s">
        <v>212</v>
      </c>
      <c r="D92" s="798"/>
      <c r="E92" s="112">
        <v>0.2</v>
      </c>
      <c r="F92" s="113">
        <f>IF(G91&lt;500000,G91,500000)</f>
        <v>0</v>
      </c>
      <c r="G92" s="113">
        <f>G91-F92</f>
        <v>0</v>
      </c>
      <c r="H92" s="114">
        <f>ROUND(E92*F92,0.1)</f>
        <v>0</v>
      </c>
      <c r="J92" s="16">
        <f>+G87</f>
        <v>488048</v>
      </c>
    </row>
    <row r="93" spans="2:12" x14ac:dyDescent="0.2">
      <c r="C93" s="795" t="s">
        <v>213</v>
      </c>
      <c r="D93" s="796"/>
      <c r="E93" s="112">
        <v>0.3</v>
      </c>
      <c r="F93" s="113">
        <f>G92</f>
        <v>0</v>
      </c>
      <c r="G93" s="113">
        <f>G92-F93</f>
        <v>0</v>
      </c>
      <c r="H93" s="114">
        <f>ROUND(E93*F93,0.1)</f>
        <v>0</v>
      </c>
      <c r="J93" s="16">
        <f>+J91-J92</f>
        <v>202636</v>
      </c>
    </row>
    <row r="94" spans="2:12" ht="12.75" customHeight="1" thickBot="1" x14ac:dyDescent="0.25">
      <c r="B94" s="116"/>
      <c r="C94" s="117"/>
      <c r="D94" s="47"/>
      <c r="E94" s="47"/>
      <c r="F94" s="47"/>
      <c r="J94" s="87"/>
      <c r="K94" s="87"/>
    </row>
    <row r="95" spans="2:12" ht="13.5" thickBot="1" x14ac:dyDescent="0.25">
      <c r="B95" s="799" t="s">
        <v>239</v>
      </c>
      <c r="C95" s="800"/>
      <c r="D95" s="800"/>
      <c r="E95" s="800"/>
      <c r="F95" s="801"/>
      <c r="G95" s="771">
        <f>H90+H91+H92+H93</f>
        <v>11902</v>
      </c>
      <c r="H95" s="772"/>
      <c r="J95" s="87"/>
      <c r="K95" s="118"/>
    </row>
    <row r="96" spans="2:12" ht="13.5" thickBot="1" x14ac:dyDescent="0.25">
      <c r="B96" s="119" t="s">
        <v>215</v>
      </c>
      <c r="C96" s="120"/>
      <c r="D96" s="120"/>
      <c r="E96" s="120"/>
      <c r="F96" s="120"/>
      <c r="G96" s="895">
        <f>IF((G66&lt;500000),5000,0)</f>
        <v>0</v>
      </c>
      <c r="H96" s="896">
        <f>IF(H94&lt;200000,0,IF(H94&lt;220000,((H94-200000)*10%),IF(H94&lt;=500000,2000,IF(H94&gt;=500000,0))))</f>
        <v>0</v>
      </c>
      <c r="J96" s="87"/>
      <c r="K96" s="87"/>
    </row>
    <row r="97" spans="2:12" ht="13.5" thickBot="1" x14ac:dyDescent="0.25">
      <c r="B97" s="122" t="s">
        <v>216</v>
      </c>
      <c r="C97" s="123"/>
      <c r="D97" s="123"/>
      <c r="E97" s="123"/>
      <c r="F97" s="123"/>
      <c r="G97" s="897">
        <f>IF((G95-G96)&lt;0,0,(G95-G96))</f>
        <v>11902</v>
      </c>
      <c r="H97" s="898"/>
      <c r="I97" s="37"/>
      <c r="J97" s="1"/>
      <c r="K97" s="121"/>
      <c r="L97" s="121"/>
    </row>
    <row r="98" spans="2:12" ht="13.5" thickBot="1" x14ac:dyDescent="0.25">
      <c r="B98" s="773" t="s">
        <v>473</v>
      </c>
      <c r="C98" s="774"/>
      <c r="D98" s="774"/>
      <c r="E98" s="774"/>
      <c r="F98" s="775"/>
      <c r="G98" s="899">
        <f>ROUND((IF(G97&gt;0,(G97*4%),0)),0)</f>
        <v>476</v>
      </c>
      <c r="H98" s="900"/>
      <c r="I98" s="37"/>
    </row>
    <row r="99" spans="2:12" ht="13.5" thickBot="1" x14ac:dyDescent="0.25">
      <c r="B99" s="778" t="s">
        <v>218</v>
      </c>
      <c r="C99" s="779"/>
      <c r="D99" s="779"/>
      <c r="E99" s="779"/>
      <c r="F99" s="779"/>
      <c r="G99" s="901">
        <f>G97+G98</f>
        <v>12378</v>
      </c>
      <c r="H99" s="902"/>
      <c r="I99" s="121"/>
    </row>
    <row r="100" spans="2:12" ht="13.5" thickBot="1" x14ac:dyDescent="0.25">
      <c r="B100" s="765" t="s">
        <v>219</v>
      </c>
      <c r="C100" s="766"/>
      <c r="D100" s="766"/>
      <c r="E100" s="766"/>
      <c r="F100" s="766"/>
      <c r="G100" s="893">
        <f>O38</f>
        <v>12384</v>
      </c>
      <c r="H100" s="894"/>
      <c r="I100" s="121"/>
    </row>
    <row r="101" spans="2:12" ht="13.5" thickBot="1" x14ac:dyDescent="0.25">
      <c r="B101" s="765" t="str">
        <f>IF(G101&gt;0,"TAX PAYABLE","TAX REFUND")</f>
        <v>TAX REFUND</v>
      </c>
      <c r="C101" s="766"/>
      <c r="D101" s="766"/>
      <c r="E101" s="766"/>
      <c r="F101" s="766"/>
      <c r="G101" s="893">
        <f>+G99-G100</f>
        <v>-6</v>
      </c>
      <c r="H101" s="894"/>
      <c r="I101" s="37"/>
    </row>
    <row r="102" spans="2:12" x14ac:dyDescent="0.2">
      <c r="C102" s="124"/>
      <c r="D102" s="45"/>
      <c r="E102" s="118"/>
      <c r="F102" s="118"/>
      <c r="G102" s="152"/>
      <c r="H102" s="152"/>
      <c r="I102" s="125"/>
    </row>
    <row r="103" spans="2:12" x14ac:dyDescent="0.2">
      <c r="C103" s="47"/>
      <c r="D103" s="50"/>
      <c r="E103" s="117"/>
      <c r="F103" s="47"/>
      <c r="G103" s="47"/>
      <c r="H103" s="47"/>
      <c r="I103" s="125"/>
    </row>
    <row r="104" spans="2:12" x14ac:dyDescent="0.2">
      <c r="C104" s="39"/>
      <c r="D104" s="126"/>
      <c r="E104" s="126"/>
      <c r="F104" s="126"/>
      <c r="G104" s="39"/>
      <c r="H104" s="39"/>
      <c r="I104" s="37"/>
    </row>
    <row r="105" spans="2:12" x14ac:dyDescent="0.2">
      <c r="C105" s="39"/>
      <c r="D105" s="126"/>
      <c r="E105" s="126"/>
      <c r="F105" s="39"/>
      <c r="G105" s="39"/>
      <c r="H105" s="39"/>
      <c r="I105" s="37"/>
    </row>
    <row r="106" spans="2:12" x14ac:dyDescent="0.2">
      <c r="C106" s="39"/>
      <c r="D106" s="126"/>
      <c r="E106" s="126"/>
      <c r="F106" s="39"/>
      <c r="G106" s="39"/>
      <c r="H106" s="39"/>
      <c r="I106" s="37"/>
    </row>
    <row r="107" spans="2:12" x14ac:dyDescent="0.2">
      <c r="C107" s="39"/>
      <c r="D107" s="39"/>
      <c r="E107" s="39"/>
      <c r="F107" s="39"/>
      <c r="G107" s="39"/>
      <c r="H107" s="39"/>
      <c r="I107" s="37"/>
    </row>
    <row r="108" spans="2:12" x14ac:dyDescent="0.2">
      <c r="C108" s="39"/>
      <c r="D108" s="39"/>
      <c r="E108" s="39"/>
      <c r="F108" s="39"/>
      <c r="G108" s="39"/>
      <c r="H108" s="39"/>
    </row>
    <row r="109" spans="2:12" x14ac:dyDescent="0.2">
      <c r="C109" s="39"/>
      <c r="D109" s="39"/>
      <c r="E109" s="39"/>
      <c r="F109" s="39"/>
      <c r="G109" s="39"/>
      <c r="H109"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8:A50"/>
    <mergeCell ref="A5:C5"/>
    <mergeCell ref="D5:F5"/>
    <mergeCell ref="G5:H5"/>
    <mergeCell ref="I5:O5"/>
    <mergeCell ref="A6:C6"/>
    <mergeCell ref="D6:F6"/>
    <mergeCell ref="G6:H6"/>
    <mergeCell ref="J6:O6"/>
    <mergeCell ref="L7:O7"/>
    <mergeCell ref="A8:B8"/>
    <mergeCell ref="A21:A33"/>
    <mergeCell ref="A35:B35"/>
    <mergeCell ref="A36:B36"/>
    <mergeCell ref="A51:B51"/>
    <mergeCell ref="A52:B52"/>
    <mergeCell ref="B55:F55"/>
    <mergeCell ref="G55:H55"/>
    <mergeCell ref="B57:B59"/>
    <mergeCell ref="C57:C59"/>
    <mergeCell ref="D57:F57"/>
    <mergeCell ref="G57:H57"/>
    <mergeCell ref="D58:F58"/>
    <mergeCell ref="G58:H58"/>
    <mergeCell ref="B66:F66"/>
    <mergeCell ref="G66:H66"/>
    <mergeCell ref="J58:L58"/>
    <mergeCell ref="M58:O58"/>
    <mergeCell ref="D59:F59"/>
    <mergeCell ref="G59:H59"/>
    <mergeCell ref="B61:F61"/>
    <mergeCell ref="G61:H61"/>
    <mergeCell ref="J61:O61"/>
    <mergeCell ref="B63:F63"/>
    <mergeCell ref="G63:H63"/>
    <mergeCell ref="C64:F64"/>
    <mergeCell ref="G64:H64"/>
    <mergeCell ref="J64:O64"/>
    <mergeCell ref="K80:L80"/>
    <mergeCell ref="D81:F81"/>
    <mergeCell ref="J69:K69"/>
    <mergeCell ref="B70:B84"/>
    <mergeCell ref="C70:C76"/>
    <mergeCell ref="D70:F70"/>
    <mergeCell ref="D71:F71"/>
    <mergeCell ref="D72:F72"/>
    <mergeCell ref="D73:F73"/>
    <mergeCell ref="D74:F74"/>
    <mergeCell ref="D75:F75"/>
    <mergeCell ref="D76:F76"/>
    <mergeCell ref="G87:H87"/>
    <mergeCell ref="D77:F77"/>
    <mergeCell ref="D78:F78"/>
    <mergeCell ref="E79:F79"/>
    <mergeCell ref="D80:F80"/>
    <mergeCell ref="D82:F82"/>
    <mergeCell ref="D83:F83"/>
    <mergeCell ref="D84:F84"/>
    <mergeCell ref="B85:F85"/>
    <mergeCell ref="B87:F87"/>
    <mergeCell ref="C89:D89"/>
    <mergeCell ref="C90:D90"/>
    <mergeCell ref="C91:D91"/>
    <mergeCell ref="C92:D92"/>
    <mergeCell ref="C93:D93"/>
    <mergeCell ref="B100:F100"/>
    <mergeCell ref="G100:H100"/>
    <mergeCell ref="B101:F101"/>
    <mergeCell ref="G101:H101"/>
    <mergeCell ref="G95:H95"/>
    <mergeCell ref="G96:H96"/>
    <mergeCell ref="G97:H97"/>
    <mergeCell ref="B98:F98"/>
    <mergeCell ref="G98:H98"/>
    <mergeCell ref="B99:F99"/>
    <mergeCell ref="G99:H99"/>
    <mergeCell ref="B95:F95"/>
  </mergeCells>
  <conditionalFormatting sqref="B92:F92 B101:F101 B95:F99">
    <cfRule type="cellIs" dxfId="2127" priority="3" stopIfTrue="1" operator="equal">
      <formula>"TAX PAYABLE"</formula>
    </cfRule>
    <cfRule type="cellIs" dxfId="2126" priority="4" stopIfTrue="1" operator="equal">
      <formula>"TAX REFUND"</formula>
    </cfRule>
  </conditionalFormatting>
  <conditionalFormatting sqref="G92:H92">
    <cfRule type="cellIs" dxfId="2125" priority="5" stopIfTrue="1" operator="lessThan">
      <formula>0</formula>
    </cfRule>
    <cfRule type="cellIs" dxfId="2124" priority="6" stopIfTrue="1" operator="greaterThan">
      <formula>0</formula>
    </cfRule>
  </conditionalFormatting>
  <conditionalFormatting sqref="G101:H101">
    <cfRule type="cellIs" dxfId="2123" priority="1" stopIfTrue="1" operator="greaterThan">
      <formula>0</formula>
    </cfRule>
    <cfRule type="cellIs" dxfId="2122"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hyperlinks>
    <hyperlink ref="J53" r:id="rId1" display="+J37-@sum(J22:J36)"/>
  </hyperlinks>
  <pageMargins left="0.7" right="0.7" top="0.75" bottom="0.75" header="0.3" footer="0.3"/>
  <pageSetup paperSize="5" orientation="landscape" horizontalDpi="300" verticalDpi="300" r:id="rId2"/>
  <headerFooter alignWithMargins="0"/>
  <legacyDrawing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7"/>
  <sheetViews>
    <sheetView topLeftCell="A59" workbookViewId="0">
      <selection activeCell="G79" sqref="G79"/>
    </sheetView>
  </sheetViews>
  <sheetFormatPr defaultRowHeight="12.75" x14ac:dyDescent="0.2"/>
  <cols>
    <col min="1" max="1" width="5" style="16" customWidth="1"/>
    <col min="2" max="2" width="19.5703125" style="37" customWidth="1"/>
    <col min="3" max="3" width="10.7109375" style="16" bestFit="1" customWidth="1"/>
    <col min="4" max="4" width="6.7109375" style="16" customWidth="1"/>
    <col min="5" max="5" width="8.5703125" style="16" customWidth="1"/>
    <col min="6" max="6" width="9.28515625" style="16" customWidth="1"/>
    <col min="7" max="7" width="10.42578125" style="16" bestFit="1" customWidth="1"/>
    <col min="8" max="8" width="10.28515625" style="16" bestFit="1" customWidth="1"/>
    <col min="9" max="9" width="7.140625" style="16" customWidth="1"/>
    <col min="10" max="10" width="9" style="16" customWidth="1"/>
    <col min="11" max="12" width="7" style="16" customWidth="1"/>
    <col min="13" max="13" width="6.85546875" style="16" customWidth="1"/>
    <col min="14" max="14" width="7" style="16" customWidth="1"/>
    <col min="15" max="15" width="9.570312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9.5703125" style="16" customWidth="1"/>
    <col min="259" max="259" width="10.7109375" style="16" bestFit="1" customWidth="1"/>
    <col min="260" max="260" width="6.7109375" style="16" customWidth="1"/>
    <col min="261" max="261" width="8.5703125" style="16" customWidth="1"/>
    <col min="262" max="262" width="9.28515625" style="16" customWidth="1"/>
    <col min="263" max="263" width="10.42578125" style="16" bestFit="1" customWidth="1"/>
    <col min="264" max="264" width="10.28515625" style="16" bestFit="1" customWidth="1"/>
    <col min="265" max="265" width="7.140625" style="16" customWidth="1"/>
    <col min="266" max="266" width="9" style="16" customWidth="1"/>
    <col min="267" max="268" width="7" style="16" customWidth="1"/>
    <col min="269" max="269" width="6.85546875" style="16" customWidth="1"/>
    <col min="270" max="270" width="7" style="16" customWidth="1"/>
    <col min="271" max="271" width="9.570312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9.5703125" style="16" customWidth="1"/>
    <col min="515" max="515" width="10.7109375" style="16" bestFit="1" customWidth="1"/>
    <col min="516" max="516" width="6.7109375" style="16" customWidth="1"/>
    <col min="517" max="517" width="8.5703125" style="16" customWidth="1"/>
    <col min="518" max="518" width="9.28515625" style="16" customWidth="1"/>
    <col min="519" max="519" width="10.42578125" style="16" bestFit="1" customWidth="1"/>
    <col min="520" max="520" width="10.28515625" style="16" bestFit="1" customWidth="1"/>
    <col min="521" max="521" width="7.140625" style="16" customWidth="1"/>
    <col min="522" max="522" width="9" style="16" customWidth="1"/>
    <col min="523" max="524" width="7" style="16" customWidth="1"/>
    <col min="525" max="525" width="6.85546875" style="16" customWidth="1"/>
    <col min="526" max="526" width="7" style="16" customWidth="1"/>
    <col min="527" max="527" width="9.570312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9.5703125" style="16" customWidth="1"/>
    <col min="771" max="771" width="10.7109375" style="16" bestFit="1" customWidth="1"/>
    <col min="772" max="772" width="6.7109375" style="16" customWidth="1"/>
    <col min="773" max="773" width="8.5703125" style="16" customWidth="1"/>
    <col min="774" max="774" width="9.28515625" style="16" customWidth="1"/>
    <col min="775" max="775" width="10.42578125" style="16" bestFit="1" customWidth="1"/>
    <col min="776" max="776" width="10.28515625" style="16" bestFit="1" customWidth="1"/>
    <col min="777" max="777" width="7.140625" style="16" customWidth="1"/>
    <col min="778" max="778" width="9" style="16" customWidth="1"/>
    <col min="779" max="780" width="7" style="16" customWidth="1"/>
    <col min="781" max="781" width="6.85546875" style="16" customWidth="1"/>
    <col min="782" max="782" width="7" style="16" customWidth="1"/>
    <col min="783" max="783" width="9.570312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9.5703125" style="16" customWidth="1"/>
    <col min="1027" max="1027" width="10.7109375" style="16" bestFit="1" customWidth="1"/>
    <col min="1028" max="1028" width="6.7109375" style="16" customWidth="1"/>
    <col min="1029" max="1029" width="8.5703125" style="16" customWidth="1"/>
    <col min="1030" max="1030" width="9.28515625" style="16" customWidth="1"/>
    <col min="1031" max="1031" width="10.42578125" style="16" bestFit="1" customWidth="1"/>
    <col min="1032" max="1032" width="10.28515625" style="16" bestFit="1" customWidth="1"/>
    <col min="1033" max="1033" width="7.140625" style="16" customWidth="1"/>
    <col min="1034" max="1034" width="9" style="16" customWidth="1"/>
    <col min="1035" max="1036" width="7" style="16" customWidth="1"/>
    <col min="1037" max="1037" width="6.85546875" style="16" customWidth="1"/>
    <col min="1038" max="1038" width="7" style="16" customWidth="1"/>
    <col min="1039" max="1039" width="9.570312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9.5703125" style="16" customWidth="1"/>
    <col min="1283" max="1283" width="10.7109375" style="16" bestFit="1" customWidth="1"/>
    <col min="1284" max="1284" width="6.7109375" style="16" customWidth="1"/>
    <col min="1285" max="1285" width="8.5703125" style="16" customWidth="1"/>
    <col min="1286" max="1286" width="9.28515625" style="16" customWidth="1"/>
    <col min="1287" max="1287" width="10.42578125" style="16" bestFit="1" customWidth="1"/>
    <col min="1288" max="1288" width="10.28515625" style="16" bestFit="1" customWidth="1"/>
    <col min="1289" max="1289" width="7.140625" style="16" customWidth="1"/>
    <col min="1290" max="1290" width="9" style="16" customWidth="1"/>
    <col min="1291" max="1292" width="7" style="16" customWidth="1"/>
    <col min="1293" max="1293" width="6.85546875" style="16" customWidth="1"/>
    <col min="1294" max="1294" width="7" style="16" customWidth="1"/>
    <col min="1295" max="1295" width="9.570312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9.5703125" style="16" customWidth="1"/>
    <col min="1539" max="1539" width="10.7109375" style="16" bestFit="1" customWidth="1"/>
    <col min="1540" max="1540" width="6.7109375" style="16" customWidth="1"/>
    <col min="1541" max="1541" width="8.5703125" style="16" customWidth="1"/>
    <col min="1542" max="1542" width="9.28515625" style="16" customWidth="1"/>
    <col min="1543" max="1543" width="10.42578125" style="16" bestFit="1" customWidth="1"/>
    <col min="1544" max="1544" width="10.28515625" style="16" bestFit="1" customWidth="1"/>
    <col min="1545" max="1545" width="7.140625" style="16" customWidth="1"/>
    <col min="1546" max="1546" width="9" style="16" customWidth="1"/>
    <col min="1547" max="1548" width="7" style="16" customWidth="1"/>
    <col min="1549" max="1549" width="6.85546875" style="16" customWidth="1"/>
    <col min="1550" max="1550" width="7" style="16" customWidth="1"/>
    <col min="1551" max="1551" width="9.570312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9.5703125" style="16" customWidth="1"/>
    <col min="1795" max="1795" width="10.7109375" style="16" bestFit="1" customWidth="1"/>
    <col min="1796" max="1796" width="6.7109375" style="16" customWidth="1"/>
    <col min="1797" max="1797" width="8.5703125" style="16" customWidth="1"/>
    <col min="1798" max="1798" width="9.28515625" style="16" customWidth="1"/>
    <col min="1799" max="1799" width="10.42578125" style="16" bestFit="1" customWidth="1"/>
    <col min="1800" max="1800" width="10.28515625" style="16" bestFit="1" customWidth="1"/>
    <col min="1801" max="1801" width="7.140625" style="16" customWidth="1"/>
    <col min="1802" max="1802" width="9" style="16" customWidth="1"/>
    <col min="1803" max="1804" width="7" style="16" customWidth="1"/>
    <col min="1805" max="1805" width="6.85546875" style="16" customWidth="1"/>
    <col min="1806" max="1806" width="7" style="16" customWidth="1"/>
    <col min="1807" max="1807" width="9.570312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9.5703125" style="16" customWidth="1"/>
    <col min="2051" max="2051" width="10.7109375" style="16" bestFit="1" customWidth="1"/>
    <col min="2052" max="2052" width="6.7109375" style="16" customWidth="1"/>
    <col min="2053" max="2053" width="8.5703125" style="16" customWidth="1"/>
    <col min="2054" max="2054" width="9.28515625" style="16" customWidth="1"/>
    <col min="2055" max="2055" width="10.42578125" style="16" bestFit="1" customWidth="1"/>
    <col min="2056" max="2056" width="10.28515625" style="16" bestFit="1" customWidth="1"/>
    <col min="2057" max="2057" width="7.140625" style="16" customWidth="1"/>
    <col min="2058" max="2058" width="9" style="16" customWidth="1"/>
    <col min="2059" max="2060" width="7" style="16" customWidth="1"/>
    <col min="2061" max="2061" width="6.85546875" style="16" customWidth="1"/>
    <col min="2062" max="2062" width="7" style="16" customWidth="1"/>
    <col min="2063" max="2063" width="9.570312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9.5703125" style="16" customWidth="1"/>
    <col min="2307" max="2307" width="10.7109375" style="16" bestFit="1" customWidth="1"/>
    <col min="2308" max="2308" width="6.7109375" style="16" customWidth="1"/>
    <col min="2309" max="2309" width="8.5703125" style="16" customWidth="1"/>
    <col min="2310" max="2310" width="9.28515625" style="16" customWidth="1"/>
    <col min="2311" max="2311" width="10.42578125" style="16" bestFit="1" customWidth="1"/>
    <col min="2312" max="2312" width="10.28515625" style="16" bestFit="1" customWidth="1"/>
    <col min="2313" max="2313" width="7.140625" style="16" customWidth="1"/>
    <col min="2314" max="2314" width="9" style="16" customWidth="1"/>
    <col min="2315" max="2316" width="7" style="16" customWidth="1"/>
    <col min="2317" max="2317" width="6.85546875" style="16" customWidth="1"/>
    <col min="2318" max="2318" width="7" style="16" customWidth="1"/>
    <col min="2319" max="2319" width="9.570312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9.5703125" style="16" customWidth="1"/>
    <col min="2563" max="2563" width="10.7109375" style="16" bestFit="1" customWidth="1"/>
    <col min="2564" max="2564" width="6.7109375" style="16" customWidth="1"/>
    <col min="2565" max="2565" width="8.5703125" style="16" customWidth="1"/>
    <col min="2566" max="2566" width="9.28515625" style="16" customWidth="1"/>
    <col min="2567" max="2567" width="10.42578125" style="16" bestFit="1" customWidth="1"/>
    <col min="2568" max="2568" width="10.28515625" style="16" bestFit="1" customWidth="1"/>
    <col min="2569" max="2569" width="7.140625" style="16" customWidth="1"/>
    <col min="2570" max="2570" width="9" style="16" customWidth="1"/>
    <col min="2571" max="2572" width="7" style="16" customWidth="1"/>
    <col min="2573" max="2573" width="6.85546875" style="16" customWidth="1"/>
    <col min="2574" max="2574" width="7" style="16" customWidth="1"/>
    <col min="2575" max="2575" width="9.570312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9.5703125" style="16" customWidth="1"/>
    <col min="2819" max="2819" width="10.7109375" style="16" bestFit="1" customWidth="1"/>
    <col min="2820" max="2820" width="6.7109375" style="16" customWidth="1"/>
    <col min="2821" max="2821" width="8.5703125" style="16" customWidth="1"/>
    <col min="2822" max="2822" width="9.28515625" style="16" customWidth="1"/>
    <col min="2823" max="2823" width="10.42578125" style="16" bestFit="1" customWidth="1"/>
    <col min="2824" max="2824" width="10.28515625" style="16" bestFit="1" customWidth="1"/>
    <col min="2825" max="2825" width="7.140625" style="16" customWidth="1"/>
    <col min="2826" max="2826" width="9" style="16" customWidth="1"/>
    <col min="2827" max="2828" width="7" style="16" customWidth="1"/>
    <col min="2829" max="2829" width="6.85546875" style="16" customWidth="1"/>
    <col min="2830" max="2830" width="7" style="16" customWidth="1"/>
    <col min="2831" max="2831" width="9.570312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9.5703125" style="16" customWidth="1"/>
    <col min="3075" max="3075" width="10.7109375" style="16" bestFit="1" customWidth="1"/>
    <col min="3076" max="3076" width="6.7109375" style="16" customWidth="1"/>
    <col min="3077" max="3077" width="8.5703125" style="16" customWidth="1"/>
    <col min="3078" max="3078" width="9.28515625" style="16" customWidth="1"/>
    <col min="3079" max="3079" width="10.42578125" style="16" bestFit="1" customWidth="1"/>
    <col min="3080" max="3080" width="10.28515625" style="16" bestFit="1" customWidth="1"/>
    <col min="3081" max="3081" width="7.140625" style="16" customWidth="1"/>
    <col min="3082" max="3082" width="9" style="16" customWidth="1"/>
    <col min="3083" max="3084" width="7" style="16" customWidth="1"/>
    <col min="3085" max="3085" width="6.85546875" style="16" customWidth="1"/>
    <col min="3086" max="3086" width="7" style="16" customWidth="1"/>
    <col min="3087" max="3087" width="9.570312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9.5703125" style="16" customWidth="1"/>
    <col min="3331" max="3331" width="10.7109375" style="16" bestFit="1" customWidth="1"/>
    <col min="3332" max="3332" width="6.7109375" style="16" customWidth="1"/>
    <col min="3333" max="3333" width="8.5703125" style="16" customWidth="1"/>
    <col min="3334" max="3334" width="9.28515625" style="16" customWidth="1"/>
    <col min="3335" max="3335" width="10.42578125" style="16" bestFit="1" customWidth="1"/>
    <col min="3336" max="3336" width="10.28515625" style="16" bestFit="1" customWidth="1"/>
    <col min="3337" max="3337" width="7.140625" style="16" customWidth="1"/>
    <col min="3338" max="3338" width="9" style="16" customWidth="1"/>
    <col min="3339" max="3340" width="7" style="16" customWidth="1"/>
    <col min="3341" max="3341" width="6.85546875" style="16" customWidth="1"/>
    <col min="3342" max="3342" width="7" style="16" customWidth="1"/>
    <col min="3343" max="3343" width="9.570312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9.5703125" style="16" customWidth="1"/>
    <col min="3587" max="3587" width="10.7109375" style="16" bestFit="1" customWidth="1"/>
    <col min="3588" max="3588" width="6.7109375" style="16" customWidth="1"/>
    <col min="3589" max="3589" width="8.5703125" style="16" customWidth="1"/>
    <col min="3590" max="3590" width="9.28515625" style="16" customWidth="1"/>
    <col min="3591" max="3591" width="10.42578125" style="16" bestFit="1" customWidth="1"/>
    <col min="3592" max="3592" width="10.28515625" style="16" bestFit="1" customWidth="1"/>
    <col min="3593" max="3593" width="7.140625" style="16" customWidth="1"/>
    <col min="3594" max="3594" width="9" style="16" customWidth="1"/>
    <col min="3595" max="3596" width="7" style="16" customWidth="1"/>
    <col min="3597" max="3597" width="6.85546875" style="16" customWidth="1"/>
    <col min="3598" max="3598" width="7" style="16" customWidth="1"/>
    <col min="3599" max="3599" width="9.570312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9.5703125" style="16" customWidth="1"/>
    <col min="3843" max="3843" width="10.7109375" style="16" bestFit="1" customWidth="1"/>
    <col min="3844" max="3844" width="6.7109375" style="16" customWidth="1"/>
    <col min="3845" max="3845" width="8.5703125" style="16" customWidth="1"/>
    <col min="3846" max="3846" width="9.28515625" style="16" customWidth="1"/>
    <col min="3847" max="3847" width="10.42578125" style="16" bestFit="1" customWidth="1"/>
    <col min="3848" max="3848" width="10.28515625" style="16" bestFit="1" customWidth="1"/>
    <col min="3849" max="3849" width="7.140625" style="16" customWidth="1"/>
    <col min="3850" max="3850" width="9" style="16" customWidth="1"/>
    <col min="3851" max="3852" width="7" style="16" customWidth="1"/>
    <col min="3853" max="3853" width="6.85546875" style="16" customWidth="1"/>
    <col min="3854" max="3854" width="7" style="16" customWidth="1"/>
    <col min="3855" max="3855" width="9.570312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9.5703125" style="16" customWidth="1"/>
    <col min="4099" max="4099" width="10.7109375" style="16" bestFit="1" customWidth="1"/>
    <col min="4100" max="4100" width="6.7109375" style="16" customWidth="1"/>
    <col min="4101" max="4101" width="8.5703125" style="16" customWidth="1"/>
    <col min="4102" max="4102" width="9.28515625" style="16" customWidth="1"/>
    <col min="4103" max="4103" width="10.42578125" style="16" bestFit="1" customWidth="1"/>
    <col min="4104" max="4104" width="10.28515625" style="16" bestFit="1" customWidth="1"/>
    <col min="4105" max="4105" width="7.140625" style="16" customWidth="1"/>
    <col min="4106" max="4106" width="9" style="16" customWidth="1"/>
    <col min="4107" max="4108" width="7" style="16" customWidth="1"/>
    <col min="4109" max="4109" width="6.85546875" style="16" customWidth="1"/>
    <col min="4110" max="4110" width="7" style="16" customWidth="1"/>
    <col min="4111" max="4111" width="9.570312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9.5703125" style="16" customWidth="1"/>
    <col min="4355" max="4355" width="10.7109375" style="16" bestFit="1" customWidth="1"/>
    <col min="4356" max="4356" width="6.7109375" style="16" customWidth="1"/>
    <col min="4357" max="4357" width="8.5703125" style="16" customWidth="1"/>
    <col min="4358" max="4358" width="9.28515625" style="16" customWidth="1"/>
    <col min="4359" max="4359" width="10.42578125" style="16" bestFit="1" customWidth="1"/>
    <col min="4360" max="4360" width="10.28515625" style="16" bestFit="1" customWidth="1"/>
    <col min="4361" max="4361" width="7.140625" style="16" customWidth="1"/>
    <col min="4362" max="4362" width="9" style="16" customWidth="1"/>
    <col min="4363" max="4364" width="7" style="16" customWidth="1"/>
    <col min="4365" max="4365" width="6.85546875" style="16" customWidth="1"/>
    <col min="4366" max="4366" width="7" style="16" customWidth="1"/>
    <col min="4367" max="4367" width="9.570312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9.5703125" style="16" customWidth="1"/>
    <col min="4611" max="4611" width="10.7109375" style="16" bestFit="1" customWidth="1"/>
    <col min="4612" max="4612" width="6.7109375" style="16" customWidth="1"/>
    <col min="4613" max="4613" width="8.5703125" style="16" customWidth="1"/>
    <col min="4614" max="4614" width="9.28515625" style="16" customWidth="1"/>
    <col min="4615" max="4615" width="10.42578125" style="16" bestFit="1" customWidth="1"/>
    <col min="4616" max="4616" width="10.28515625" style="16" bestFit="1" customWidth="1"/>
    <col min="4617" max="4617" width="7.140625" style="16" customWidth="1"/>
    <col min="4618" max="4618" width="9" style="16" customWidth="1"/>
    <col min="4619" max="4620" width="7" style="16" customWidth="1"/>
    <col min="4621" max="4621" width="6.85546875" style="16" customWidth="1"/>
    <col min="4622" max="4622" width="7" style="16" customWidth="1"/>
    <col min="4623" max="4623" width="9.570312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9.5703125" style="16" customWidth="1"/>
    <col min="4867" max="4867" width="10.7109375" style="16" bestFit="1" customWidth="1"/>
    <col min="4868" max="4868" width="6.7109375" style="16" customWidth="1"/>
    <col min="4869" max="4869" width="8.5703125" style="16" customWidth="1"/>
    <col min="4870" max="4870" width="9.28515625" style="16" customWidth="1"/>
    <col min="4871" max="4871" width="10.42578125" style="16" bestFit="1" customWidth="1"/>
    <col min="4872" max="4872" width="10.28515625" style="16" bestFit="1" customWidth="1"/>
    <col min="4873" max="4873" width="7.140625" style="16" customWidth="1"/>
    <col min="4874" max="4874" width="9" style="16" customWidth="1"/>
    <col min="4875" max="4876" width="7" style="16" customWidth="1"/>
    <col min="4877" max="4877" width="6.85546875" style="16" customWidth="1"/>
    <col min="4878" max="4878" width="7" style="16" customWidth="1"/>
    <col min="4879" max="4879" width="9.570312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9.5703125" style="16" customWidth="1"/>
    <col min="5123" max="5123" width="10.7109375" style="16" bestFit="1" customWidth="1"/>
    <col min="5124" max="5124" width="6.7109375" style="16" customWidth="1"/>
    <col min="5125" max="5125" width="8.5703125" style="16" customWidth="1"/>
    <col min="5126" max="5126" width="9.28515625" style="16" customWidth="1"/>
    <col min="5127" max="5127" width="10.42578125" style="16" bestFit="1" customWidth="1"/>
    <col min="5128" max="5128" width="10.28515625" style="16" bestFit="1" customWidth="1"/>
    <col min="5129" max="5129" width="7.140625" style="16" customWidth="1"/>
    <col min="5130" max="5130" width="9" style="16" customWidth="1"/>
    <col min="5131" max="5132" width="7" style="16" customWidth="1"/>
    <col min="5133" max="5133" width="6.85546875" style="16" customWidth="1"/>
    <col min="5134" max="5134" width="7" style="16" customWidth="1"/>
    <col min="5135" max="5135" width="9.570312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9.5703125" style="16" customWidth="1"/>
    <col min="5379" max="5379" width="10.7109375" style="16" bestFit="1" customWidth="1"/>
    <col min="5380" max="5380" width="6.7109375" style="16" customWidth="1"/>
    <col min="5381" max="5381" width="8.5703125" style="16" customWidth="1"/>
    <col min="5382" max="5382" width="9.28515625" style="16" customWidth="1"/>
    <col min="5383" max="5383" width="10.42578125" style="16" bestFit="1" customWidth="1"/>
    <col min="5384" max="5384" width="10.28515625" style="16" bestFit="1" customWidth="1"/>
    <col min="5385" max="5385" width="7.140625" style="16" customWidth="1"/>
    <col min="5386" max="5386" width="9" style="16" customWidth="1"/>
    <col min="5387" max="5388" width="7" style="16" customWidth="1"/>
    <col min="5389" max="5389" width="6.85546875" style="16" customWidth="1"/>
    <col min="5390" max="5390" width="7" style="16" customWidth="1"/>
    <col min="5391" max="5391" width="9.570312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9.5703125" style="16" customWidth="1"/>
    <col min="5635" max="5635" width="10.7109375" style="16" bestFit="1" customWidth="1"/>
    <col min="5636" max="5636" width="6.7109375" style="16" customWidth="1"/>
    <col min="5637" max="5637" width="8.5703125" style="16" customWidth="1"/>
    <col min="5638" max="5638" width="9.28515625" style="16" customWidth="1"/>
    <col min="5639" max="5639" width="10.42578125" style="16" bestFit="1" customWidth="1"/>
    <col min="5640" max="5640" width="10.28515625" style="16" bestFit="1" customWidth="1"/>
    <col min="5641" max="5641" width="7.140625" style="16" customWidth="1"/>
    <col min="5642" max="5642" width="9" style="16" customWidth="1"/>
    <col min="5643" max="5644" width="7" style="16" customWidth="1"/>
    <col min="5645" max="5645" width="6.85546875" style="16" customWidth="1"/>
    <col min="5646" max="5646" width="7" style="16" customWidth="1"/>
    <col min="5647" max="5647" width="9.570312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9.5703125" style="16" customWidth="1"/>
    <col min="5891" max="5891" width="10.7109375" style="16" bestFit="1" customWidth="1"/>
    <col min="5892" max="5892" width="6.7109375" style="16" customWidth="1"/>
    <col min="5893" max="5893" width="8.5703125" style="16" customWidth="1"/>
    <col min="5894" max="5894" width="9.28515625" style="16" customWidth="1"/>
    <col min="5895" max="5895" width="10.42578125" style="16" bestFit="1" customWidth="1"/>
    <col min="5896" max="5896" width="10.28515625" style="16" bestFit="1" customWidth="1"/>
    <col min="5897" max="5897" width="7.140625" style="16" customWidth="1"/>
    <col min="5898" max="5898" width="9" style="16" customWidth="1"/>
    <col min="5899" max="5900" width="7" style="16" customWidth="1"/>
    <col min="5901" max="5901" width="6.85546875" style="16" customWidth="1"/>
    <col min="5902" max="5902" width="7" style="16" customWidth="1"/>
    <col min="5903" max="5903" width="9.570312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9.5703125" style="16" customWidth="1"/>
    <col min="6147" max="6147" width="10.7109375" style="16" bestFit="1" customWidth="1"/>
    <col min="6148" max="6148" width="6.7109375" style="16" customWidth="1"/>
    <col min="6149" max="6149" width="8.5703125" style="16" customWidth="1"/>
    <col min="6150" max="6150" width="9.28515625" style="16" customWidth="1"/>
    <col min="6151" max="6151" width="10.42578125" style="16" bestFit="1" customWidth="1"/>
    <col min="6152" max="6152" width="10.28515625" style="16" bestFit="1" customWidth="1"/>
    <col min="6153" max="6153" width="7.140625" style="16" customWidth="1"/>
    <col min="6154" max="6154" width="9" style="16" customWidth="1"/>
    <col min="6155" max="6156" width="7" style="16" customWidth="1"/>
    <col min="6157" max="6157" width="6.85546875" style="16" customWidth="1"/>
    <col min="6158" max="6158" width="7" style="16" customWidth="1"/>
    <col min="6159" max="6159" width="9.570312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9.5703125" style="16" customWidth="1"/>
    <col min="6403" max="6403" width="10.7109375" style="16" bestFit="1" customWidth="1"/>
    <col min="6404" max="6404" width="6.7109375" style="16" customWidth="1"/>
    <col min="6405" max="6405" width="8.5703125" style="16" customWidth="1"/>
    <col min="6406" max="6406" width="9.28515625" style="16" customWidth="1"/>
    <col min="6407" max="6407" width="10.42578125" style="16" bestFit="1" customWidth="1"/>
    <col min="6408" max="6408" width="10.28515625" style="16" bestFit="1" customWidth="1"/>
    <col min="6409" max="6409" width="7.140625" style="16" customWidth="1"/>
    <col min="6410" max="6410" width="9" style="16" customWidth="1"/>
    <col min="6411" max="6412" width="7" style="16" customWidth="1"/>
    <col min="6413" max="6413" width="6.85546875" style="16" customWidth="1"/>
    <col min="6414" max="6414" width="7" style="16" customWidth="1"/>
    <col min="6415" max="6415" width="9.570312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9.5703125" style="16" customWidth="1"/>
    <col min="6659" max="6659" width="10.7109375" style="16" bestFit="1" customWidth="1"/>
    <col min="6660" max="6660" width="6.7109375" style="16" customWidth="1"/>
    <col min="6661" max="6661" width="8.5703125" style="16" customWidth="1"/>
    <col min="6662" max="6662" width="9.28515625" style="16" customWidth="1"/>
    <col min="6663" max="6663" width="10.42578125" style="16" bestFit="1" customWidth="1"/>
    <col min="6664" max="6664" width="10.28515625" style="16" bestFit="1" customWidth="1"/>
    <col min="6665" max="6665" width="7.140625" style="16" customWidth="1"/>
    <col min="6666" max="6666" width="9" style="16" customWidth="1"/>
    <col min="6667" max="6668" width="7" style="16" customWidth="1"/>
    <col min="6669" max="6669" width="6.85546875" style="16" customWidth="1"/>
    <col min="6670" max="6670" width="7" style="16" customWidth="1"/>
    <col min="6671" max="6671" width="9.570312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9.5703125" style="16" customWidth="1"/>
    <col min="6915" max="6915" width="10.7109375" style="16" bestFit="1" customWidth="1"/>
    <col min="6916" max="6916" width="6.7109375" style="16" customWidth="1"/>
    <col min="6917" max="6917" width="8.5703125" style="16" customWidth="1"/>
    <col min="6918" max="6918" width="9.28515625" style="16" customWidth="1"/>
    <col min="6919" max="6919" width="10.42578125" style="16" bestFit="1" customWidth="1"/>
    <col min="6920" max="6920" width="10.28515625" style="16" bestFit="1" customWidth="1"/>
    <col min="6921" max="6921" width="7.140625" style="16" customWidth="1"/>
    <col min="6922" max="6922" width="9" style="16" customWidth="1"/>
    <col min="6923" max="6924" width="7" style="16" customWidth="1"/>
    <col min="6925" max="6925" width="6.85546875" style="16" customWidth="1"/>
    <col min="6926" max="6926" width="7" style="16" customWidth="1"/>
    <col min="6927" max="6927" width="9.570312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9.5703125" style="16" customWidth="1"/>
    <col min="7171" max="7171" width="10.7109375" style="16" bestFit="1" customWidth="1"/>
    <col min="7172" max="7172" width="6.7109375" style="16" customWidth="1"/>
    <col min="7173" max="7173" width="8.5703125" style="16" customWidth="1"/>
    <col min="7174" max="7174" width="9.28515625" style="16" customWidth="1"/>
    <col min="7175" max="7175" width="10.42578125" style="16" bestFit="1" customWidth="1"/>
    <col min="7176" max="7176" width="10.28515625" style="16" bestFit="1" customWidth="1"/>
    <col min="7177" max="7177" width="7.140625" style="16" customWidth="1"/>
    <col min="7178" max="7178" width="9" style="16" customWidth="1"/>
    <col min="7179" max="7180" width="7" style="16" customWidth="1"/>
    <col min="7181" max="7181" width="6.85546875" style="16" customWidth="1"/>
    <col min="7182" max="7182" width="7" style="16" customWidth="1"/>
    <col min="7183" max="7183" width="9.570312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9.5703125" style="16" customWidth="1"/>
    <col min="7427" max="7427" width="10.7109375" style="16" bestFit="1" customWidth="1"/>
    <col min="7428" max="7428" width="6.7109375" style="16" customWidth="1"/>
    <col min="7429" max="7429" width="8.5703125" style="16" customWidth="1"/>
    <col min="7430" max="7430" width="9.28515625" style="16" customWidth="1"/>
    <col min="7431" max="7431" width="10.42578125" style="16" bestFit="1" customWidth="1"/>
    <col min="7432" max="7432" width="10.28515625" style="16" bestFit="1" customWidth="1"/>
    <col min="7433" max="7433" width="7.140625" style="16" customWidth="1"/>
    <col min="7434" max="7434" width="9" style="16" customWidth="1"/>
    <col min="7435" max="7436" width="7" style="16" customWidth="1"/>
    <col min="7437" max="7437" width="6.85546875" style="16" customWidth="1"/>
    <col min="7438" max="7438" width="7" style="16" customWidth="1"/>
    <col min="7439" max="7439" width="9.570312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9.5703125" style="16" customWidth="1"/>
    <col min="7683" max="7683" width="10.7109375" style="16" bestFit="1" customWidth="1"/>
    <col min="7684" max="7684" width="6.7109375" style="16" customWidth="1"/>
    <col min="7685" max="7685" width="8.5703125" style="16" customWidth="1"/>
    <col min="7686" max="7686" width="9.28515625" style="16" customWidth="1"/>
    <col min="7687" max="7687" width="10.42578125" style="16" bestFit="1" customWidth="1"/>
    <col min="7688" max="7688" width="10.28515625" style="16" bestFit="1" customWidth="1"/>
    <col min="7689" max="7689" width="7.140625" style="16" customWidth="1"/>
    <col min="7690" max="7690" width="9" style="16" customWidth="1"/>
    <col min="7691" max="7692" width="7" style="16" customWidth="1"/>
    <col min="7693" max="7693" width="6.85546875" style="16" customWidth="1"/>
    <col min="7694" max="7694" width="7" style="16" customWidth="1"/>
    <col min="7695" max="7695" width="9.570312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9.5703125" style="16" customWidth="1"/>
    <col min="7939" max="7939" width="10.7109375" style="16" bestFit="1" customWidth="1"/>
    <col min="7940" max="7940" width="6.7109375" style="16" customWidth="1"/>
    <col min="7941" max="7941" width="8.5703125" style="16" customWidth="1"/>
    <col min="7942" max="7942" width="9.28515625" style="16" customWidth="1"/>
    <col min="7943" max="7943" width="10.42578125" style="16" bestFit="1" customWidth="1"/>
    <col min="7944" max="7944" width="10.28515625" style="16" bestFit="1" customWidth="1"/>
    <col min="7945" max="7945" width="7.140625" style="16" customWidth="1"/>
    <col min="7946" max="7946" width="9" style="16" customWidth="1"/>
    <col min="7947" max="7948" width="7" style="16" customWidth="1"/>
    <col min="7949" max="7949" width="6.85546875" style="16" customWidth="1"/>
    <col min="7950" max="7950" width="7" style="16" customWidth="1"/>
    <col min="7951" max="7951" width="9.570312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9.5703125" style="16" customWidth="1"/>
    <col min="8195" max="8195" width="10.7109375" style="16" bestFit="1" customWidth="1"/>
    <col min="8196" max="8196" width="6.7109375" style="16" customWidth="1"/>
    <col min="8197" max="8197" width="8.5703125" style="16" customWidth="1"/>
    <col min="8198" max="8198" width="9.28515625" style="16" customWidth="1"/>
    <col min="8199" max="8199" width="10.42578125" style="16" bestFit="1" customWidth="1"/>
    <col min="8200" max="8200" width="10.28515625" style="16" bestFit="1" customWidth="1"/>
    <col min="8201" max="8201" width="7.140625" style="16" customWidth="1"/>
    <col min="8202" max="8202" width="9" style="16" customWidth="1"/>
    <col min="8203" max="8204" width="7" style="16" customWidth="1"/>
    <col min="8205" max="8205" width="6.85546875" style="16" customWidth="1"/>
    <col min="8206" max="8206" width="7" style="16" customWidth="1"/>
    <col min="8207" max="8207" width="9.570312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9.5703125" style="16" customWidth="1"/>
    <col min="8451" max="8451" width="10.7109375" style="16" bestFit="1" customWidth="1"/>
    <col min="8452" max="8452" width="6.7109375" style="16" customWidth="1"/>
    <col min="8453" max="8453" width="8.5703125" style="16" customWidth="1"/>
    <col min="8454" max="8454" width="9.28515625" style="16" customWidth="1"/>
    <col min="8455" max="8455" width="10.42578125" style="16" bestFit="1" customWidth="1"/>
    <col min="8456" max="8456" width="10.28515625" style="16" bestFit="1" customWidth="1"/>
    <col min="8457" max="8457" width="7.140625" style="16" customWidth="1"/>
    <col min="8458" max="8458" width="9" style="16" customWidth="1"/>
    <col min="8459" max="8460" width="7" style="16" customWidth="1"/>
    <col min="8461" max="8461" width="6.85546875" style="16" customWidth="1"/>
    <col min="8462" max="8462" width="7" style="16" customWidth="1"/>
    <col min="8463" max="8463" width="9.570312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9.5703125" style="16" customWidth="1"/>
    <col min="8707" max="8707" width="10.7109375" style="16" bestFit="1" customWidth="1"/>
    <col min="8708" max="8708" width="6.7109375" style="16" customWidth="1"/>
    <col min="8709" max="8709" width="8.5703125" style="16" customWidth="1"/>
    <col min="8710" max="8710" width="9.28515625" style="16" customWidth="1"/>
    <col min="8711" max="8711" width="10.42578125" style="16" bestFit="1" customWidth="1"/>
    <col min="8712" max="8712" width="10.28515625" style="16" bestFit="1" customWidth="1"/>
    <col min="8713" max="8713" width="7.140625" style="16" customWidth="1"/>
    <col min="8714" max="8714" width="9" style="16" customWidth="1"/>
    <col min="8715" max="8716" width="7" style="16" customWidth="1"/>
    <col min="8717" max="8717" width="6.85546875" style="16" customWidth="1"/>
    <col min="8718" max="8718" width="7" style="16" customWidth="1"/>
    <col min="8719" max="8719" width="9.570312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9.5703125" style="16" customWidth="1"/>
    <col min="8963" max="8963" width="10.7109375" style="16" bestFit="1" customWidth="1"/>
    <col min="8964" max="8964" width="6.7109375" style="16" customWidth="1"/>
    <col min="8965" max="8965" width="8.5703125" style="16" customWidth="1"/>
    <col min="8966" max="8966" width="9.28515625" style="16" customWidth="1"/>
    <col min="8967" max="8967" width="10.42578125" style="16" bestFit="1" customWidth="1"/>
    <col min="8968" max="8968" width="10.28515625" style="16" bestFit="1" customWidth="1"/>
    <col min="8969" max="8969" width="7.140625" style="16" customWidth="1"/>
    <col min="8970" max="8970" width="9" style="16" customWidth="1"/>
    <col min="8971" max="8972" width="7" style="16" customWidth="1"/>
    <col min="8973" max="8973" width="6.85546875" style="16" customWidth="1"/>
    <col min="8974" max="8974" width="7" style="16" customWidth="1"/>
    <col min="8975" max="8975" width="9.570312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9.5703125" style="16" customWidth="1"/>
    <col min="9219" max="9219" width="10.7109375" style="16" bestFit="1" customWidth="1"/>
    <col min="9220" max="9220" width="6.7109375" style="16" customWidth="1"/>
    <col min="9221" max="9221" width="8.5703125" style="16" customWidth="1"/>
    <col min="9222" max="9222" width="9.28515625" style="16" customWidth="1"/>
    <col min="9223" max="9223" width="10.42578125" style="16" bestFit="1" customWidth="1"/>
    <col min="9224" max="9224" width="10.28515625" style="16" bestFit="1" customWidth="1"/>
    <col min="9225" max="9225" width="7.140625" style="16" customWidth="1"/>
    <col min="9226" max="9226" width="9" style="16" customWidth="1"/>
    <col min="9227" max="9228" width="7" style="16" customWidth="1"/>
    <col min="9229" max="9229" width="6.85546875" style="16" customWidth="1"/>
    <col min="9230" max="9230" width="7" style="16" customWidth="1"/>
    <col min="9231" max="9231" width="9.570312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9.5703125" style="16" customWidth="1"/>
    <col min="9475" max="9475" width="10.7109375" style="16" bestFit="1" customWidth="1"/>
    <col min="9476" max="9476" width="6.7109375" style="16" customWidth="1"/>
    <col min="9477" max="9477" width="8.5703125" style="16" customWidth="1"/>
    <col min="9478" max="9478" width="9.28515625" style="16" customWidth="1"/>
    <col min="9479" max="9479" width="10.42578125" style="16" bestFit="1" customWidth="1"/>
    <col min="9480" max="9480" width="10.28515625" style="16" bestFit="1" customWidth="1"/>
    <col min="9481" max="9481" width="7.140625" style="16" customWidth="1"/>
    <col min="9482" max="9482" width="9" style="16" customWidth="1"/>
    <col min="9483" max="9484" width="7" style="16" customWidth="1"/>
    <col min="9485" max="9485" width="6.85546875" style="16" customWidth="1"/>
    <col min="9486" max="9486" width="7" style="16" customWidth="1"/>
    <col min="9487" max="9487" width="9.570312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9.5703125" style="16" customWidth="1"/>
    <col min="9731" max="9731" width="10.7109375" style="16" bestFit="1" customWidth="1"/>
    <col min="9732" max="9732" width="6.7109375" style="16" customWidth="1"/>
    <col min="9733" max="9733" width="8.5703125" style="16" customWidth="1"/>
    <col min="9734" max="9734" width="9.28515625" style="16" customWidth="1"/>
    <col min="9735" max="9735" width="10.42578125" style="16" bestFit="1" customWidth="1"/>
    <col min="9736" max="9736" width="10.28515625" style="16" bestFit="1" customWidth="1"/>
    <col min="9737" max="9737" width="7.140625" style="16" customWidth="1"/>
    <col min="9738" max="9738" width="9" style="16" customWidth="1"/>
    <col min="9739" max="9740" width="7" style="16" customWidth="1"/>
    <col min="9741" max="9741" width="6.85546875" style="16" customWidth="1"/>
    <col min="9742" max="9742" width="7" style="16" customWidth="1"/>
    <col min="9743" max="9743" width="9.570312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9.5703125" style="16" customWidth="1"/>
    <col min="9987" max="9987" width="10.7109375" style="16" bestFit="1" customWidth="1"/>
    <col min="9988" max="9988" width="6.7109375" style="16" customWidth="1"/>
    <col min="9989" max="9989" width="8.5703125" style="16" customWidth="1"/>
    <col min="9990" max="9990" width="9.28515625" style="16" customWidth="1"/>
    <col min="9991" max="9991" width="10.42578125" style="16" bestFit="1" customWidth="1"/>
    <col min="9992" max="9992" width="10.28515625" style="16" bestFit="1" customWidth="1"/>
    <col min="9993" max="9993" width="7.140625" style="16" customWidth="1"/>
    <col min="9994" max="9994" width="9" style="16" customWidth="1"/>
    <col min="9995" max="9996" width="7" style="16" customWidth="1"/>
    <col min="9997" max="9997" width="6.85546875" style="16" customWidth="1"/>
    <col min="9998" max="9998" width="7" style="16" customWidth="1"/>
    <col min="9999" max="9999" width="9.570312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9.5703125" style="16" customWidth="1"/>
    <col min="10243" max="10243" width="10.7109375" style="16" bestFit="1" customWidth="1"/>
    <col min="10244" max="10244" width="6.7109375" style="16" customWidth="1"/>
    <col min="10245" max="10245" width="8.5703125" style="16" customWidth="1"/>
    <col min="10246" max="10246" width="9.28515625" style="16" customWidth="1"/>
    <col min="10247" max="10247" width="10.42578125" style="16" bestFit="1" customWidth="1"/>
    <col min="10248" max="10248" width="10.28515625" style="16" bestFit="1" customWidth="1"/>
    <col min="10249" max="10249" width="7.140625" style="16" customWidth="1"/>
    <col min="10250" max="10250" width="9" style="16" customWidth="1"/>
    <col min="10251" max="10252" width="7" style="16" customWidth="1"/>
    <col min="10253" max="10253" width="6.85546875" style="16" customWidth="1"/>
    <col min="10254" max="10254" width="7" style="16" customWidth="1"/>
    <col min="10255" max="10255" width="9.570312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9.5703125" style="16" customWidth="1"/>
    <col min="10499" max="10499" width="10.7109375" style="16" bestFit="1" customWidth="1"/>
    <col min="10500" max="10500" width="6.7109375" style="16" customWidth="1"/>
    <col min="10501" max="10501" width="8.5703125" style="16" customWidth="1"/>
    <col min="10502" max="10502" width="9.28515625" style="16" customWidth="1"/>
    <col min="10503" max="10503" width="10.42578125" style="16" bestFit="1" customWidth="1"/>
    <col min="10504" max="10504" width="10.28515625" style="16" bestFit="1" customWidth="1"/>
    <col min="10505" max="10505" width="7.140625" style="16" customWidth="1"/>
    <col min="10506" max="10506" width="9" style="16" customWidth="1"/>
    <col min="10507" max="10508" width="7" style="16" customWidth="1"/>
    <col min="10509" max="10509" width="6.85546875" style="16" customWidth="1"/>
    <col min="10510" max="10510" width="7" style="16" customWidth="1"/>
    <col min="10511" max="10511" width="9.570312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9.5703125" style="16" customWidth="1"/>
    <col min="10755" max="10755" width="10.7109375" style="16" bestFit="1" customWidth="1"/>
    <col min="10756" max="10756" width="6.7109375" style="16" customWidth="1"/>
    <col min="10757" max="10757" width="8.5703125" style="16" customWidth="1"/>
    <col min="10758" max="10758" width="9.28515625" style="16" customWidth="1"/>
    <col min="10759" max="10759" width="10.42578125" style="16" bestFit="1" customWidth="1"/>
    <col min="10760" max="10760" width="10.28515625" style="16" bestFit="1" customWidth="1"/>
    <col min="10761" max="10761" width="7.140625" style="16" customWidth="1"/>
    <col min="10762" max="10762" width="9" style="16" customWidth="1"/>
    <col min="10763" max="10764" width="7" style="16" customWidth="1"/>
    <col min="10765" max="10765" width="6.85546875" style="16" customWidth="1"/>
    <col min="10766" max="10766" width="7" style="16" customWidth="1"/>
    <col min="10767" max="10767" width="9.570312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9.5703125" style="16" customWidth="1"/>
    <col min="11011" max="11011" width="10.7109375" style="16" bestFit="1" customWidth="1"/>
    <col min="11012" max="11012" width="6.7109375" style="16" customWidth="1"/>
    <col min="11013" max="11013" width="8.5703125" style="16" customWidth="1"/>
    <col min="11014" max="11014" width="9.28515625" style="16" customWidth="1"/>
    <col min="11015" max="11015" width="10.42578125" style="16" bestFit="1" customWidth="1"/>
    <col min="11016" max="11016" width="10.28515625" style="16" bestFit="1" customWidth="1"/>
    <col min="11017" max="11017" width="7.140625" style="16" customWidth="1"/>
    <col min="11018" max="11018" width="9" style="16" customWidth="1"/>
    <col min="11019" max="11020" width="7" style="16" customWidth="1"/>
    <col min="11021" max="11021" width="6.85546875" style="16" customWidth="1"/>
    <col min="11022" max="11022" width="7" style="16" customWidth="1"/>
    <col min="11023" max="11023" width="9.570312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9.5703125" style="16" customWidth="1"/>
    <col min="11267" max="11267" width="10.7109375" style="16" bestFit="1" customWidth="1"/>
    <col min="11268" max="11268" width="6.7109375" style="16" customWidth="1"/>
    <col min="11269" max="11269" width="8.5703125" style="16" customWidth="1"/>
    <col min="11270" max="11270" width="9.28515625" style="16" customWidth="1"/>
    <col min="11271" max="11271" width="10.42578125" style="16" bestFit="1" customWidth="1"/>
    <col min="11272" max="11272" width="10.28515625" style="16" bestFit="1" customWidth="1"/>
    <col min="11273" max="11273" width="7.140625" style="16" customWidth="1"/>
    <col min="11274" max="11274" width="9" style="16" customWidth="1"/>
    <col min="11275" max="11276" width="7" style="16" customWidth="1"/>
    <col min="11277" max="11277" width="6.85546875" style="16" customWidth="1"/>
    <col min="11278" max="11278" width="7" style="16" customWidth="1"/>
    <col min="11279" max="11279" width="9.570312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9.5703125" style="16" customWidth="1"/>
    <col min="11523" max="11523" width="10.7109375" style="16" bestFit="1" customWidth="1"/>
    <col min="11524" max="11524" width="6.7109375" style="16" customWidth="1"/>
    <col min="11525" max="11525" width="8.5703125" style="16" customWidth="1"/>
    <col min="11526" max="11526" width="9.28515625" style="16" customWidth="1"/>
    <col min="11527" max="11527" width="10.42578125" style="16" bestFit="1" customWidth="1"/>
    <col min="11528" max="11528" width="10.28515625" style="16" bestFit="1" customWidth="1"/>
    <col min="11529" max="11529" width="7.140625" style="16" customWidth="1"/>
    <col min="11530" max="11530" width="9" style="16" customWidth="1"/>
    <col min="11531" max="11532" width="7" style="16" customWidth="1"/>
    <col min="11533" max="11533" width="6.85546875" style="16" customWidth="1"/>
    <col min="11534" max="11534" width="7" style="16" customWidth="1"/>
    <col min="11535" max="11535" width="9.570312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9.5703125" style="16" customWidth="1"/>
    <col min="11779" max="11779" width="10.7109375" style="16" bestFit="1" customWidth="1"/>
    <col min="11780" max="11780" width="6.7109375" style="16" customWidth="1"/>
    <col min="11781" max="11781" width="8.5703125" style="16" customWidth="1"/>
    <col min="11782" max="11782" width="9.28515625" style="16" customWidth="1"/>
    <col min="11783" max="11783" width="10.42578125" style="16" bestFit="1" customWidth="1"/>
    <col min="11784" max="11784" width="10.28515625" style="16" bestFit="1" customWidth="1"/>
    <col min="11785" max="11785" width="7.140625" style="16" customWidth="1"/>
    <col min="11786" max="11786" width="9" style="16" customWidth="1"/>
    <col min="11787" max="11788" width="7" style="16" customWidth="1"/>
    <col min="11789" max="11789" width="6.85546875" style="16" customWidth="1"/>
    <col min="11790" max="11790" width="7" style="16" customWidth="1"/>
    <col min="11791" max="11791" width="9.570312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9.5703125" style="16" customWidth="1"/>
    <col min="12035" max="12035" width="10.7109375" style="16" bestFit="1" customWidth="1"/>
    <col min="12036" max="12036" width="6.7109375" style="16" customWidth="1"/>
    <col min="12037" max="12037" width="8.5703125" style="16" customWidth="1"/>
    <col min="12038" max="12038" width="9.28515625" style="16" customWidth="1"/>
    <col min="12039" max="12039" width="10.42578125" style="16" bestFit="1" customWidth="1"/>
    <col min="12040" max="12040" width="10.28515625" style="16" bestFit="1" customWidth="1"/>
    <col min="12041" max="12041" width="7.140625" style="16" customWidth="1"/>
    <col min="12042" max="12042" width="9" style="16" customWidth="1"/>
    <col min="12043" max="12044" width="7" style="16" customWidth="1"/>
    <col min="12045" max="12045" width="6.85546875" style="16" customWidth="1"/>
    <col min="12046" max="12046" width="7" style="16" customWidth="1"/>
    <col min="12047" max="12047" width="9.570312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9.5703125" style="16" customWidth="1"/>
    <col min="12291" max="12291" width="10.7109375" style="16" bestFit="1" customWidth="1"/>
    <col min="12292" max="12292" width="6.7109375" style="16" customWidth="1"/>
    <col min="12293" max="12293" width="8.5703125" style="16" customWidth="1"/>
    <col min="12294" max="12294" width="9.28515625" style="16" customWidth="1"/>
    <col min="12295" max="12295" width="10.42578125" style="16" bestFit="1" customWidth="1"/>
    <col min="12296" max="12296" width="10.28515625" style="16" bestFit="1" customWidth="1"/>
    <col min="12297" max="12297" width="7.140625" style="16" customWidth="1"/>
    <col min="12298" max="12298" width="9" style="16" customWidth="1"/>
    <col min="12299" max="12300" width="7" style="16" customWidth="1"/>
    <col min="12301" max="12301" width="6.85546875" style="16" customWidth="1"/>
    <col min="12302" max="12302" width="7" style="16" customWidth="1"/>
    <col min="12303" max="12303" width="9.570312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9.5703125" style="16" customWidth="1"/>
    <col min="12547" max="12547" width="10.7109375" style="16" bestFit="1" customWidth="1"/>
    <col min="12548" max="12548" width="6.7109375" style="16" customWidth="1"/>
    <col min="12549" max="12549" width="8.5703125" style="16" customWidth="1"/>
    <col min="12550" max="12550" width="9.28515625" style="16" customWidth="1"/>
    <col min="12551" max="12551" width="10.42578125" style="16" bestFit="1" customWidth="1"/>
    <col min="12552" max="12552" width="10.28515625" style="16" bestFit="1" customWidth="1"/>
    <col min="12553" max="12553" width="7.140625" style="16" customWidth="1"/>
    <col min="12554" max="12554" width="9" style="16" customWidth="1"/>
    <col min="12555" max="12556" width="7" style="16" customWidth="1"/>
    <col min="12557" max="12557" width="6.85546875" style="16" customWidth="1"/>
    <col min="12558" max="12558" width="7" style="16" customWidth="1"/>
    <col min="12559" max="12559" width="9.570312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9.5703125" style="16" customWidth="1"/>
    <col min="12803" max="12803" width="10.7109375" style="16" bestFit="1" customWidth="1"/>
    <col min="12804" max="12804" width="6.7109375" style="16" customWidth="1"/>
    <col min="12805" max="12805" width="8.5703125" style="16" customWidth="1"/>
    <col min="12806" max="12806" width="9.28515625" style="16" customWidth="1"/>
    <col min="12807" max="12807" width="10.42578125" style="16" bestFit="1" customWidth="1"/>
    <col min="12808" max="12808" width="10.28515625" style="16" bestFit="1" customWidth="1"/>
    <col min="12809" max="12809" width="7.140625" style="16" customWidth="1"/>
    <col min="12810" max="12810" width="9" style="16" customWidth="1"/>
    <col min="12811" max="12812" width="7" style="16" customWidth="1"/>
    <col min="12813" max="12813" width="6.85546875" style="16" customWidth="1"/>
    <col min="12814" max="12814" width="7" style="16" customWidth="1"/>
    <col min="12815" max="12815" width="9.570312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9.5703125" style="16" customWidth="1"/>
    <col min="13059" max="13059" width="10.7109375" style="16" bestFit="1" customWidth="1"/>
    <col min="13060" max="13060" width="6.7109375" style="16" customWidth="1"/>
    <col min="13061" max="13061" width="8.5703125" style="16" customWidth="1"/>
    <col min="13062" max="13062" width="9.28515625" style="16" customWidth="1"/>
    <col min="13063" max="13063" width="10.42578125" style="16" bestFit="1" customWidth="1"/>
    <col min="13064" max="13064" width="10.28515625" style="16" bestFit="1" customWidth="1"/>
    <col min="13065" max="13065" width="7.140625" style="16" customWidth="1"/>
    <col min="13066" max="13066" width="9" style="16" customWidth="1"/>
    <col min="13067" max="13068" width="7" style="16" customWidth="1"/>
    <col min="13069" max="13069" width="6.85546875" style="16" customWidth="1"/>
    <col min="13070" max="13070" width="7" style="16" customWidth="1"/>
    <col min="13071" max="13071" width="9.570312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9.5703125" style="16" customWidth="1"/>
    <col min="13315" max="13315" width="10.7109375" style="16" bestFit="1" customWidth="1"/>
    <col min="13316" max="13316" width="6.7109375" style="16" customWidth="1"/>
    <col min="13317" max="13317" width="8.5703125" style="16" customWidth="1"/>
    <col min="13318" max="13318" width="9.28515625" style="16" customWidth="1"/>
    <col min="13319" max="13319" width="10.42578125" style="16" bestFit="1" customWidth="1"/>
    <col min="13320" max="13320" width="10.28515625" style="16" bestFit="1" customWidth="1"/>
    <col min="13321" max="13321" width="7.140625" style="16" customWidth="1"/>
    <col min="13322" max="13322" width="9" style="16" customWidth="1"/>
    <col min="13323" max="13324" width="7" style="16" customWidth="1"/>
    <col min="13325" max="13325" width="6.85546875" style="16" customWidth="1"/>
    <col min="13326" max="13326" width="7" style="16" customWidth="1"/>
    <col min="13327" max="13327" width="9.570312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9.5703125" style="16" customWidth="1"/>
    <col min="13571" max="13571" width="10.7109375" style="16" bestFit="1" customWidth="1"/>
    <col min="13572" max="13572" width="6.7109375" style="16" customWidth="1"/>
    <col min="13573" max="13573" width="8.5703125" style="16" customWidth="1"/>
    <col min="13574" max="13574" width="9.28515625" style="16" customWidth="1"/>
    <col min="13575" max="13575" width="10.42578125" style="16" bestFit="1" customWidth="1"/>
    <col min="13576" max="13576" width="10.28515625" style="16" bestFit="1" customWidth="1"/>
    <col min="13577" max="13577" width="7.140625" style="16" customWidth="1"/>
    <col min="13578" max="13578" width="9" style="16" customWidth="1"/>
    <col min="13579" max="13580" width="7" style="16" customWidth="1"/>
    <col min="13581" max="13581" width="6.85546875" style="16" customWidth="1"/>
    <col min="13582" max="13582" width="7" style="16" customWidth="1"/>
    <col min="13583" max="13583" width="9.570312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9.5703125" style="16" customWidth="1"/>
    <col min="13827" max="13827" width="10.7109375" style="16" bestFit="1" customWidth="1"/>
    <col min="13828" max="13828" width="6.7109375" style="16" customWidth="1"/>
    <col min="13829" max="13829" width="8.5703125" style="16" customWidth="1"/>
    <col min="13830" max="13830" width="9.28515625" style="16" customWidth="1"/>
    <col min="13831" max="13831" width="10.42578125" style="16" bestFit="1" customWidth="1"/>
    <col min="13832" max="13832" width="10.28515625" style="16" bestFit="1" customWidth="1"/>
    <col min="13833" max="13833" width="7.140625" style="16" customWidth="1"/>
    <col min="13834" max="13834" width="9" style="16" customWidth="1"/>
    <col min="13835" max="13836" width="7" style="16" customWidth="1"/>
    <col min="13837" max="13837" width="6.85546875" style="16" customWidth="1"/>
    <col min="13838" max="13838" width="7" style="16" customWidth="1"/>
    <col min="13839" max="13839" width="9.570312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9.5703125" style="16" customWidth="1"/>
    <col min="14083" max="14083" width="10.7109375" style="16" bestFit="1" customWidth="1"/>
    <col min="14084" max="14084" width="6.7109375" style="16" customWidth="1"/>
    <col min="14085" max="14085" width="8.5703125" style="16" customWidth="1"/>
    <col min="14086" max="14086" width="9.28515625" style="16" customWidth="1"/>
    <col min="14087" max="14087" width="10.42578125" style="16" bestFit="1" customWidth="1"/>
    <col min="14088" max="14088" width="10.28515625" style="16" bestFit="1" customWidth="1"/>
    <col min="14089" max="14089" width="7.140625" style="16" customWidth="1"/>
    <col min="14090" max="14090" width="9" style="16" customWidth="1"/>
    <col min="14091" max="14092" width="7" style="16" customWidth="1"/>
    <col min="14093" max="14093" width="6.85546875" style="16" customWidth="1"/>
    <col min="14094" max="14094" width="7" style="16" customWidth="1"/>
    <col min="14095" max="14095" width="9.570312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9.5703125" style="16" customWidth="1"/>
    <col min="14339" max="14339" width="10.7109375" style="16" bestFit="1" customWidth="1"/>
    <col min="14340" max="14340" width="6.7109375" style="16" customWidth="1"/>
    <col min="14341" max="14341" width="8.5703125" style="16" customWidth="1"/>
    <col min="14342" max="14342" width="9.28515625" style="16" customWidth="1"/>
    <col min="14343" max="14343" width="10.42578125" style="16" bestFit="1" customWidth="1"/>
    <col min="14344" max="14344" width="10.28515625" style="16" bestFit="1" customWidth="1"/>
    <col min="14345" max="14345" width="7.140625" style="16" customWidth="1"/>
    <col min="14346" max="14346" width="9" style="16" customWidth="1"/>
    <col min="14347" max="14348" width="7" style="16" customWidth="1"/>
    <col min="14349" max="14349" width="6.85546875" style="16" customWidth="1"/>
    <col min="14350" max="14350" width="7" style="16" customWidth="1"/>
    <col min="14351" max="14351" width="9.570312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9.5703125" style="16" customWidth="1"/>
    <col min="14595" max="14595" width="10.7109375" style="16" bestFit="1" customWidth="1"/>
    <col min="14596" max="14596" width="6.7109375" style="16" customWidth="1"/>
    <col min="14597" max="14597" width="8.5703125" style="16" customWidth="1"/>
    <col min="14598" max="14598" width="9.28515625" style="16" customWidth="1"/>
    <col min="14599" max="14599" width="10.42578125" style="16" bestFit="1" customWidth="1"/>
    <col min="14600" max="14600" width="10.28515625" style="16" bestFit="1" customWidth="1"/>
    <col min="14601" max="14601" width="7.140625" style="16" customWidth="1"/>
    <col min="14602" max="14602" width="9" style="16" customWidth="1"/>
    <col min="14603" max="14604" width="7" style="16" customWidth="1"/>
    <col min="14605" max="14605" width="6.85546875" style="16" customWidth="1"/>
    <col min="14606" max="14606" width="7" style="16" customWidth="1"/>
    <col min="14607" max="14607" width="9.570312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9.5703125" style="16" customWidth="1"/>
    <col min="14851" max="14851" width="10.7109375" style="16" bestFit="1" customWidth="1"/>
    <col min="14852" max="14852" width="6.7109375" style="16" customWidth="1"/>
    <col min="14853" max="14853" width="8.5703125" style="16" customWidth="1"/>
    <col min="14854" max="14854" width="9.28515625" style="16" customWidth="1"/>
    <col min="14855" max="14855" width="10.42578125" style="16" bestFit="1" customWidth="1"/>
    <col min="14856" max="14856" width="10.28515625" style="16" bestFit="1" customWidth="1"/>
    <col min="14857" max="14857" width="7.140625" style="16" customWidth="1"/>
    <col min="14858" max="14858" width="9" style="16" customWidth="1"/>
    <col min="14859" max="14860" width="7" style="16" customWidth="1"/>
    <col min="14861" max="14861" width="6.85546875" style="16" customWidth="1"/>
    <col min="14862" max="14862" width="7" style="16" customWidth="1"/>
    <col min="14863" max="14863" width="9.570312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9.5703125" style="16" customWidth="1"/>
    <col min="15107" max="15107" width="10.7109375" style="16" bestFit="1" customWidth="1"/>
    <col min="15108" max="15108" width="6.7109375" style="16" customWidth="1"/>
    <col min="15109" max="15109" width="8.5703125" style="16" customWidth="1"/>
    <col min="15110" max="15110" width="9.28515625" style="16" customWidth="1"/>
    <col min="15111" max="15111" width="10.42578125" style="16" bestFit="1" customWidth="1"/>
    <col min="15112" max="15112" width="10.28515625" style="16" bestFit="1" customWidth="1"/>
    <col min="15113" max="15113" width="7.140625" style="16" customWidth="1"/>
    <col min="15114" max="15114" width="9" style="16" customWidth="1"/>
    <col min="15115" max="15116" width="7" style="16" customWidth="1"/>
    <col min="15117" max="15117" width="6.85546875" style="16" customWidth="1"/>
    <col min="15118" max="15118" width="7" style="16" customWidth="1"/>
    <col min="15119" max="15119" width="9.570312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9.5703125" style="16" customWidth="1"/>
    <col min="15363" max="15363" width="10.7109375" style="16" bestFit="1" customWidth="1"/>
    <col min="15364" max="15364" width="6.7109375" style="16" customWidth="1"/>
    <col min="15365" max="15365" width="8.5703125" style="16" customWidth="1"/>
    <col min="15366" max="15366" width="9.28515625" style="16" customWidth="1"/>
    <col min="15367" max="15367" width="10.42578125" style="16" bestFit="1" customWidth="1"/>
    <col min="15368" max="15368" width="10.28515625" style="16" bestFit="1" customWidth="1"/>
    <col min="15369" max="15369" width="7.140625" style="16" customWidth="1"/>
    <col min="15370" max="15370" width="9" style="16" customWidth="1"/>
    <col min="15371" max="15372" width="7" style="16" customWidth="1"/>
    <col min="15373" max="15373" width="6.85546875" style="16" customWidth="1"/>
    <col min="15374" max="15374" width="7" style="16" customWidth="1"/>
    <col min="15375" max="15375" width="9.570312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9.5703125" style="16" customWidth="1"/>
    <col min="15619" max="15619" width="10.7109375" style="16" bestFit="1" customWidth="1"/>
    <col min="15620" max="15620" width="6.7109375" style="16" customWidth="1"/>
    <col min="15621" max="15621" width="8.5703125" style="16" customWidth="1"/>
    <col min="15622" max="15622" width="9.28515625" style="16" customWidth="1"/>
    <col min="15623" max="15623" width="10.42578125" style="16" bestFit="1" customWidth="1"/>
    <col min="15624" max="15624" width="10.28515625" style="16" bestFit="1" customWidth="1"/>
    <col min="15625" max="15625" width="7.140625" style="16" customWidth="1"/>
    <col min="15626" max="15626" width="9" style="16" customWidth="1"/>
    <col min="15627" max="15628" width="7" style="16" customWidth="1"/>
    <col min="15629" max="15629" width="6.85546875" style="16" customWidth="1"/>
    <col min="15630" max="15630" width="7" style="16" customWidth="1"/>
    <col min="15631" max="15631" width="9.570312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9.5703125" style="16" customWidth="1"/>
    <col min="15875" max="15875" width="10.7109375" style="16" bestFit="1" customWidth="1"/>
    <col min="15876" max="15876" width="6.7109375" style="16" customWidth="1"/>
    <col min="15877" max="15877" width="8.5703125" style="16" customWidth="1"/>
    <col min="15878" max="15878" width="9.28515625" style="16" customWidth="1"/>
    <col min="15879" max="15879" width="10.42578125" style="16" bestFit="1" customWidth="1"/>
    <col min="15880" max="15880" width="10.28515625" style="16" bestFit="1" customWidth="1"/>
    <col min="15881" max="15881" width="7.140625" style="16" customWidth="1"/>
    <col min="15882" max="15882" width="9" style="16" customWidth="1"/>
    <col min="15883" max="15884" width="7" style="16" customWidth="1"/>
    <col min="15885" max="15885" width="6.85546875" style="16" customWidth="1"/>
    <col min="15886" max="15886" width="7" style="16" customWidth="1"/>
    <col min="15887" max="15887" width="9.570312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9.5703125" style="16" customWidth="1"/>
    <col min="16131" max="16131" width="10.7109375" style="16" bestFit="1" customWidth="1"/>
    <col min="16132" max="16132" width="6.7109375" style="16" customWidth="1"/>
    <col min="16133" max="16133" width="8.5703125" style="16" customWidth="1"/>
    <col min="16134" max="16134" width="9.28515625" style="16" customWidth="1"/>
    <col min="16135" max="16135" width="10.42578125" style="16" bestFit="1" customWidth="1"/>
    <col min="16136" max="16136" width="10.28515625" style="16" bestFit="1" customWidth="1"/>
    <col min="16137" max="16137" width="7.140625" style="16" customWidth="1"/>
    <col min="16138" max="16138" width="9" style="16" customWidth="1"/>
    <col min="16139" max="16140" width="7" style="16" customWidth="1"/>
    <col min="16141" max="16141" width="6.85546875" style="16" customWidth="1"/>
    <col min="16142" max="16142" width="7" style="16" customWidth="1"/>
    <col min="16143" max="16143" width="9.570312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67" t="s">
        <v>100</v>
      </c>
      <c r="B1" s="868"/>
      <c r="C1" s="868"/>
      <c r="D1" s="911" t="s">
        <v>440</v>
      </c>
      <c r="E1" s="868"/>
      <c r="F1" s="868"/>
      <c r="G1" s="867" t="s">
        <v>102</v>
      </c>
      <c r="H1" s="869"/>
      <c r="I1" s="869" t="s">
        <v>29</v>
      </c>
      <c r="J1" s="868"/>
      <c r="K1" s="868"/>
      <c r="L1" s="870"/>
      <c r="M1" s="870"/>
      <c r="N1" s="870"/>
      <c r="O1" s="870"/>
    </row>
    <row r="2" spans="1:15" s="1" customFormat="1" x14ac:dyDescent="0.2">
      <c r="A2" s="867" t="s">
        <v>103</v>
      </c>
      <c r="B2" s="868"/>
      <c r="C2" s="868"/>
      <c r="D2" s="869"/>
      <c r="E2" s="868"/>
      <c r="F2" s="868"/>
      <c r="G2" s="867" t="s">
        <v>104</v>
      </c>
      <c r="H2" s="869"/>
      <c r="I2" s="869" t="s">
        <v>105</v>
      </c>
      <c r="J2" s="868"/>
      <c r="K2" s="868"/>
      <c r="L2" s="870"/>
      <c r="M2" s="870"/>
      <c r="N2" s="870"/>
      <c r="O2" s="870"/>
    </row>
    <row r="3" spans="1:15" s="1" customFormat="1" x14ac:dyDescent="0.2">
      <c r="A3" s="867" t="s">
        <v>106</v>
      </c>
      <c r="B3" s="868"/>
      <c r="C3" s="868"/>
      <c r="D3" s="883" t="s">
        <v>441</v>
      </c>
      <c r="E3" s="868"/>
      <c r="F3" s="868"/>
      <c r="G3" s="867" t="s">
        <v>107</v>
      </c>
      <c r="H3" s="869"/>
      <c r="I3" s="869" t="s">
        <v>108</v>
      </c>
      <c r="J3" s="868"/>
      <c r="K3" s="868"/>
      <c r="L3" s="870"/>
      <c r="M3" s="870"/>
      <c r="N3" s="870"/>
      <c r="O3" s="870"/>
    </row>
    <row r="4" spans="1:15" s="1" customFormat="1" x14ac:dyDescent="0.2">
      <c r="A4" s="867" t="s">
        <v>109</v>
      </c>
      <c r="B4" s="868"/>
      <c r="C4" s="868"/>
      <c r="D4" s="869"/>
      <c r="E4" s="868"/>
      <c r="F4" s="868"/>
      <c r="G4" s="867" t="s">
        <v>110</v>
      </c>
      <c r="H4" s="869"/>
      <c r="I4" s="869" t="s">
        <v>442</v>
      </c>
      <c r="J4" s="868"/>
      <c r="K4" s="868"/>
      <c r="L4" s="870"/>
      <c r="M4" s="870"/>
      <c r="N4" s="870"/>
      <c r="O4" s="870"/>
    </row>
    <row r="5" spans="1:15" s="1" customFormat="1" x14ac:dyDescent="0.2">
      <c r="A5" s="867" t="s">
        <v>443</v>
      </c>
      <c r="B5" s="868"/>
      <c r="C5" s="868"/>
      <c r="D5" s="869" t="s">
        <v>444</v>
      </c>
      <c r="E5" s="868"/>
      <c r="F5" s="868"/>
      <c r="G5" s="867"/>
      <c r="H5" s="868"/>
      <c r="I5" s="869" t="s">
        <v>113</v>
      </c>
      <c r="J5" s="868"/>
      <c r="K5" s="868"/>
      <c r="L5" s="870"/>
      <c r="M5" s="870"/>
      <c r="N5" s="870"/>
      <c r="O5" s="870"/>
    </row>
    <row r="6" spans="1:15" s="1" customFormat="1" x14ac:dyDescent="0.2">
      <c r="A6" s="871" t="s">
        <v>114</v>
      </c>
      <c r="B6" s="872"/>
      <c r="C6" s="872"/>
      <c r="D6" s="868" t="s">
        <v>30</v>
      </c>
      <c r="E6" s="868"/>
      <c r="F6" s="868"/>
      <c r="G6" s="871" t="s">
        <v>115</v>
      </c>
      <c r="H6" s="871"/>
      <c r="I6" s="2" t="s">
        <v>116</v>
      </c>
      <c r="J6" s="888"/>
      <c r="K6" s="888"/>
      <c r="L6" s="888"/>
      <c r="M6" s="888"/>
      <c r="N6" s="888"/>
      <c r="O6" s="889"/>
    </row>
    <row r="7" spans="1:15" s="1" customFormat="1" ht="13.5" thickBot="1" x14ac:dyDescent="0.25">
      <c r="A7" s="3"/>
      <c r="B7" s="4"/>
      <c r="C7" s="5"/>
      <c r="D7" s="6"/>
      <c r="E7" s="6"/>
      <c r="F7" s="6"/>
      <c r="G7" s="6"/>
      <c r="H7" s="6"/>
      <c r="I7" s="6"/>
      <c r="J7" s="7"/>
      <c r="K7" s="8"/>
      <c r="L7" s="875" t="s">
        <v>223</v>
      </c>
      <c r="M7" s="875"/>
      <c r="N7" s="875"/>
      <c r="O7" s="875"/>
    </row>
    <row r="8" spans="1:15" s="11" customFormat="1" x14ac:dyDescent="0.2">
      <c r="A8" s="876" t="str">
        <f>I1</f>
        <v>Mr. Mukund Shrivastav</v>
      </c>
      <c r="B8" s="877"/>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83300</v>
      </c>
      <c r="D9" s="14">
        <f>+C9</f>
        <v>83300</v>
      </c>
      <c r="E9" s="14">
        <f>+D9</f>
        <v>83300</v>
      </c>
      <c r="F9" s="14">
        <f>+E9</f>
        <v>83300</v>
      </c>
      <c r="G9" s="14">
        <v>85800</v>
      </c>
      <c r="H9" s="14">
        <f t="shared" ref="H9:N9" si="0">+G9</f>
        <v>85800</v>
      </c>
      <c r="I9" s="14">
        <f t="shared" si="0"/>
        <v>85800</v>
      </c>
      <c r="J9" s="14">
        <f t="shared" si="0"/>
        <v>85800</v>
      </c>
      <c r="K9" s="14">
        <f t="shared" si="0"/>
        <v>85800</v>
      </c>
      <c r="L9" s="14">
        <f t="shared" si="0"/>
        <v>85800</v>
      </c>
      <c r="M9" s="14">
        <f t="shared" si="0"/>
        <v>85800</v>
      </c>
      <c r="N9" s="14">
        <f t="shared" si="0"/>
        <v>85800</v>
      </c>
      <c r="O9" s="15">
        <f>SUM(C9:N9)</f>
        <v>1019600</v>
      </c>
    </row>
    <row r="10" spans="1:15" ht="15" x14ac:dyDescent="0.2">
      <c r="A10" s="12"/>
      <c r="B10" s="13" t="s">
        <v>119</v>
      </c>
      <c r="C10" s="17">
        <v>0</v>
      </c>
      <c r="D10" s="17">
        <f t="shared" ref="D10:N34" si="1">+C10</f>
        <v>0</v>
      </c>
      <c r="E10" s="17">
        <f t="shared" si="1"/>
        <v>0</v>
      </c>
      <c r="F10" s="17">
        <f t="shared" si="1"/>
        <v>0</v>
      </c>
      <c r="G10" s="17">
        <f t="shared" si="1"/>
        <v>0</v>
      </c>
      <c r="H10" s="17">
        <v>0</v>
      </c>
      <c r="I10" s="17">
        <f t="shared" si="1"/>
        <v>0</v>
      </c>
      <c r="J10" s="17">
        <f t="shared" si="1"/>
        <v>0</v>
      </c>
      <c r="K10" s="17">
        <f t="shared" si="1"/>
        <v>0</v>
      </c>
      <c r="L10" s="17">
        <f t="shared" si="1"/>
        <v>0</v>
      </c>
      <c r="M10" s="17">
        <f t="shared" si="1"/>
        <v>0</v>
      </c>
      <c r="N10" s="17">
        <f t="shared" si="1"/>
        <v>0</v>
      </c>
      <c r="O10" s="18">
        <f>SUM(C10:N10)</f>
        <v>0</v>
      </c>
    </row>
    <row r="11" spans="1:15" ht="15" x14ac:dyDescent="0.2">
      <c r="A11" s="12"/>
      <c r="B11" s="13" t="s">
        <v>120</v>
      </c>
      <c r="C11" s="17">
        <v>4165</v>
      </c>
      <c r="D11" s="17">
        <v>5831</v>
      </c>
      <c r="E11" s="17">
        <f t="shared" si="1"/>
        <v>5831</v>
      </c>
      <c r="F11" s="17">
        <f t="shared" si="1"/>
        <v>5831</v>
      </c>
      <c r="G11" s="17">
        <v>6006</v>
      </c>
      <c r="H11" s="17">
        <v>6006</v>
      </c>
      <c r="I11" s="17">
        <v>6006</v>
      </c>
      <c r="J11" s="17">
        <f>+I11</f>
        <v>6006</v>
      </c>
      <c r="K11" s="17">
        <f>+J11</f>
        <v>6006</v>
      </c>
      <c r="L11" s="17">
        <f>+K11</f>
        <v>6006</v>
      </c>
      <c r="M11" s="17">
        <f>+L11</f>
        <v>6006</v>
      </c>
      <c r="N11" s="17">
        <f>+M11</f>
        <v>6006</v>
      </c>
      <c r="O11" s="18">
        <f>SUM(C11:N11)</f>
        <v>69706</v>
      </c>
    </row>
    <row r="12" spans="1:15" ht="15" hidden="1" x14ac:dyDescent="0.2">
      <c r="A12" s="12"/>
      <c r="B12" s="13" t="s">
        <v>121</v>
      </c>
      <c r="C12" s="17">
        <v>0</v>
      </c>
      <c r="D12" s="17">
        <f t="shared" si="1"/>
        <v>0</v>
      </c>
      <c r="E12" s="17">
        <f t="shared" si="1"/>
        <v>0</v>
      </c>
      <c r="F12" s="17">
        <f t="shared" si="1"/>
        <v>0</v>
      </c>
      <c r="G12" s="17">
        <f t="shared" si="1"/>
        <v>0</v>
      </c>
      <c r="H12" s="17">
        <v>0</v>
      </c>
      <c r="I12" s="17">
        <f t="shared" ref="I12:N13" si="2">+H12</f>
        <v>0</v>
      </c>
      <c r="J12" s="17">
        <f t="shared" si="2"/>
        <v>0</v>
      </c>
      <c r="K12" s="17">
        <f t="shared" si="2"/>
        <v>0</v>
      </c>
      <c r="L12" s="17">
        <f t="shared" si="2"/>
        <v>0</v>
      </c>
      <c r="M12" s="17">
        <f t="shared" si="2"/>
        <v>0</v>
      </c>
      <c r="N12" s="17">
        <f t="shared" si="2"/>
        <v>0</v>
      </c>
      <c r="O12" s="18">
        <f>SUM(C12:N12)</f>
        <v>0</v>
      </c>
    </row>
    <row r="13" spans="1:15" ht="15" hidden="1" x14ac:dyDescent="0.2">
      <c r="A13" s="12"/>
      <c r="B13" s="13" t="s">
        <v>122</v>
      </c>
      <c r="C13" s="17">
        <v>0</v>
      </c>
      <c r="D13" s="17">
        <f t="shared" si="1"/>
        <v>0</v>
      </c>
      <c r="E13" s="17">
        <f t="shared" si="1"/>
        <v>0</v>
      </c>
      <c r="F13" s="17">
        <f t="shared" si="1"/>
        <v>0</v>
      </c>
      <c r="G13" s="17">
        <f t="shared" si="1"/>
        <v>0</v>
      </c>
      <c r="H13" s="17">
        <v>0</v>
      </c>
      <c r="I13" s="17">
        <f t="shared" si="2"/>
        <v>0</v>
      </c>
      <c r="J13" s="17">
        <f t="shared" si="2"/>
        <v>0</v>
      </c>
      <c r="K13" s="17">
        <f t="shared" si="2"/>
        <v>0</v>
      </c>
      <c r="L13" s="17">
        <f t="shared" si="2"/>
        <v>0</v>
      </c>
      <c r="M13" s="17">
        <f t="shared" si="2"/>
        <v>0</v>
      </c>
      <c r="N13" s="17">
        <f t="shared" si="2"/>
        <v>0</v>
      </c>
      <c r="O13" s="18">
        <f t="shared" ref="O13:O36" si="3">SUM(C13:N13)</f>
        <v>0</v>
      </c>
    </row>
    <row r="14" spans="1:15" ht="15" x14ac:dyDescent="0.2">
      <c r="A14" s="12"/>
      <c r="B14" s="13" t="s">
        <v>123</v>
      </c>
      <c r="C14" s="17">
        <v>7560</v>
      </c>
      <c r="D14" s="17">
        <v>7704</v>
      </c>
      <c r="E14" s="17">
        <f t="shared" si="1"/>
        <v>7704</v>
      </c>
      <c r="F14" s="17">
        <f t="shared" si="1"/>
        <v>7704</v>
      </c>
      <c r="G14" s="17">
        <f t="shared" si="1"/>
        <v>7704</v>
      </c>
      <c r="H14" s="17">
        <f t="shared" si="1"/>
        <v>7704</v>
      </c>
      <c r="I14" s="17">
        <f t="shared" si="1"/>
        <v>7704</v>
      </c>
      <c r="J14" s="17">
        <v>7848</v>
      </c>
      <c r="K14" s="17">
        <f>+J14</f>
        <v>7848</v>
      </c>
      <c r="L14" s="17">
        <f>+K14</f>
        <v>7848</v>
      </c>
      <c r="M14" s="17">
        <f>+L14</f>
        <v>7848</v>
      </c>
      <c r="N14" s="17">
        <f>+M14</f>
        <v>7848</v>
      </c>
      <c r="O14" s="18">
        <f t="shared" si="3"/>
        <v>93024</v>
      </c>
    </row>
    <row r="15" spans="1:15" ht="15" hidden="1" x14ac:dyDescent="0.2">
      <c r="A15" s="12"/>
      <c r="B15" s="13" t="s">
        <v>124</v>
      </c>
      <c r="C15" s="17">
        <v>0</v>
      </c>
      <c r="D15" s="17">
        <f t="shared" si="1"/>
        <v>0</v>
      </c>
      <c r="E15" s="17">
        <f t="shared" si="1"/>
        <v>0</v>
      </c>
      <c r="F15" s="17">
        <f t="shared" si="1"/>
        <v>0</v>
      </c>
      <c r="G15" s="17">
        <f t="shared" si="1"/>
        <v>0</v>
      </c>
      <c r="H15" s="17">
        <v>0</v>
      </c>
      <c r="I15" s="17">
        <f t="shared" si="1"/>
        <v>0</v>
      </c>
      <c r="J15" s="17">
        <f t="shared" si="1"/>
        <v>0</v>
      </c>
      <c r="K15" s="17">
        <f t="shared" si="1"/>
        <v>0</v>
      </c>
      <c r="L15" s="17">
        <f t="shared" si="1"/>
        <v>0</v>
      </c>
      <c r="M15" s="17">
        <f t="shared" si="1"/>
        <v>0</v>
      </c>
      <c r="N15" s="17">
        <f t="shared" si="1"/>
        <v>0</v>
      </c>
      <c r="O15" s="18">
        <f t="shared" si="3"/>
        <v>0</v>
      </c>
    </row>
    <row r="16" spans="1:15" ht="15" hidden="1" x14ac:dyDescent="0.2">
      <c r="A16" s="12"/>
      <c r="B16" s="13" t="s">
        <v>125</v>
      </c>
      <c r="C16" s="17">
        <v>0</v>
      </c>
      <c r="D16" s="17">
        <f t="shared" si="1"/>
        <v>0</v>
      </c>
      <c r="E16" s="17">
        <f t="shared" si="1"/>
        <v>0</v>
      </c>
      <c r="F16" s="17">
        <f t="shared" si="1"/>
        <v>0</v>
      </c>
      <c r="G16" s="17">
        <f t="shared" si="1"/>
        <v>0</v>
      </c>
      <c r="H16" s="17">
        <v>0</v>
      </c>
      <c r="I16" s="17">
        <f t="shared" si="1"/>
        <v>0</v>
      </c>
      <c r="J16" s="17">
        <f t="shared" si="1"/>
        <v>0</v>
      </c>
      <c r="K16" s="17">
        <f t="shared" si="1"/>
        <v>0</v>
      </c>
      <c r="L16" s="17">
        <f t="shared" si="1"/>
        <v>0</v>
      </c>
      <c r="M16" s="17">
        <f t="shared" si="1"/>
        <v>0</v>
      </c>
      <c r="N16" s="17">
        <f t="shared" si="1"/>
        <v>0</v>
      </c>
      <c r="O16" s="18">
        <f t="shared" si="3"/>
        <v>0</v>
      </c>
    </row>
    <row r="17" spans="1:15" ht="15" hidden="1" x14ac:dyDescent="0.2">
      <c r="A17" s="12"/>
      <c r="B17" s="13" t="s">
        <v>126</v>
      </c>
      <c r="C17" s="17">
        <v>0</v>
      </c>
      <c r="D17" s="17">
        <f t="shared" si="1"/>
        <v>0</v>
      </c>
      <c r="E17" s="17">
        <f t="shared" si="1"/>
        <v>0</v>
      </c>
      <c r="F17" s="17">
        <f t="shared" si="1"/>
        <v>0</v>
      </c>
      <c r="G17" s="17">
        <f t="shared" si="1"/>
        <v>0</v>
      </c>
      <c r="H17" s="17">
        <v>0</v>
      </c>
      <c r="I17" s="17">
        <f t="shared" si="1"/>
        <v>0</v>
      </c>
      <c r="J17" s="17">
        <f t="shared" si="1"/>
        <v>0</v>
      </c>
      <c r="K17" s="17">
        <f t="shared" si="1"/>
        <v>0</v>
      </c>
      <c r="L17" s="17">
        <f t="shared" si="1"/>
        <v>0</v>
      </c>
      <c r="M17" s="17">
        <f t="shared" si="1"/>
        <v>0</v>
      </c>
      <c r="N17" s="17">
        <f t="shared" si="1"/>
        <v>0</v>
      </c>
      <c r="O17" s="18">
        <f t="shared" si="3"/>
        <v>0</v>
      </c>
    </row>
    <row r="18" spans="1:15" ht="15" x14ac:dyDescent="0.2">
      <c r="A18" s="12"/>
      <c r="B18" s="13" t="s">
        <v>127</v>
      </c>
      <c r="C18" s="17">
        <v>0</v>
      </c>
      <c r="D18" s="17">
        <f t="shared" si="1"/>
        <v>0</v>
      </c>
      <c r="E18" s="17">
        <f t="shared" si="1"/>
        <v>0</v>
      </c>
      <c r="F18" s="17">
        <f t="shared" si="1"/>
        <v>0</v>
      </c>
      <c r="G18" s="17">
        <f t="shared" si="1"/>
        <v>0</v>
      </c>
      <c r="H18" s="17">
        <v>0</v>
      </c>
      <c r="I18" s="17">
        <f t="shared" si="1"/>
        <v>0</v>
      </c>
      <c r="J18" s="17">
        <f t="shared" si="1"/>
        <v>0</v>
      </c>
      <c r="K18" s="17">
        <f t="shared" si="1"/>
        <v>0</v>
      </c>
      <c r="L18" s="17">
        <f t="shared" si="1"/>
        <v>0</v>
      </c>
      <c r="M18" s="17">
        <f t="shared" si="1"/>
        <v>0</v>
      </c>
      <c r="N18" s="17">
        <f t="shared" si="1"/>
        <v>0</v>
      </c>
      <c r="O18" s="18">
        <f t="shared" si="3"/>
        <v>0</v>
      </c>
    </row>
    <row r="19" spans="1:15" ht="15" x14ac:dyDescent="0.2">
      <c r="A19" s="12"/>
      <c r="B19" s="13" t="s">
        <v>128</v>
      </c>
      <c r="C19" s="17">
        <v>0</v>
      </c>
      <c r="D19" s="17">
        <f t="shared" si="1"/>
        <v>0</v>
      </c>
      <c r="E19" s="17">
        <f t="shared" si="1"/>
        <v>0</v>
      </c>
      <c r="F19" s="17">
        <f t="shared" si="1"/>
        <v>0</v>
      </c>
      <c r="G19" s="17">
        <f t="shared" si="1"/>
        <v>0</v>
      </c>
      <c r="H19" s="17">
        <v>0</v>
      </c>
      <c r="I19" s="17">
        <f t="shared" si="1"/>
        <v>0</v>
      </c>
      <c r="J19" s="17">
        <f t="shared" si="1"/>
        <v>0</v>
      </c>
      <c r="K19" s="17">
        <f t="shared" si="1"/>
        <v>0</v>
      </c>
      <c r="L19" s="17">
        <f t="shared" si="1"/>
        <v>0</v>
      </c>
      <c r="M19" s="17">
        <f t="shared" si="1"/>
        <v>0</v>
      </c>
      <c r="N19" s="17">
        <f t="shared" si="1"/>
        <v>0</v>
      </c>
      <c r="O19" s="18">
        <f t="shared" si="3"/>
        <v>0</v>
      </c>
    </row>
    <row r="20" spans="1:15" ht="15" customHeight="1" x14ac:dyDescent="0.2">
      <c r="A20" s="12"/>
      <c r="B20" s="13" t="s">
        <v>143</v>
      </c>
      <c r="C20" s="17">
        <v>0</v>
      </c>
      <c r="D20" s="17">
        <f t="shared" si="1"/>
        <v>0</v>
      </c>
      <c r="E20" s="17">
        <f t="shared" si="1"/>
        <v>0</v>
      </c>
      <c r="F20" s="17">
        <f t="shared" si="1"/>
        <v>0</v>
      </c>
      <c r="G20" s="17">
        <f t="shared" si="1"/>
        <v>0</v>
      </c>
      <c r="H20" s="17">
        <v>0</v>
      </c>
      <c r="I20" s="17">
        <f t="shared" si="1"/>
        <v>0</v>
      </c>
      <c r="J20" s="17">
        <f t="shared" si="1"/>
        <v>0</v>
      </c>
      <c r="K20" s="17">
        <f t="shared" si="1"/>
        <v>0</v>
      </c>
      <c r="L20" s="17">
        <f t="shared" si="1"/>
        <v>0</v>
      </c>
      <c r="M20" s="17">
        <f t="shared" si="1"/>
        <v>0</v>
      </c>
      <c r="N20" s="17">
        <f t="shared" si="1"/>
        <v>0</v>
      </c>
      <c r="O20" s="18">
        <f t="shared" si="3"/>
        <v>0</v>
      </c>
    </row>
    <row r="21" spans="1:15" ht="15" hidden="1" customHeight="1" x14ac:dyDescent="0.2">
      <c r="A21" s="878" t="s">
        <v>130</v>
      </c>
      <c r="B21" s="19" t="s">
        <v>131</v>
      </c>
      <c r="C21" s="17">
        <v>0</v>
      </c>
      <c r="D21" s="17">
        <f t="shared" si="1"/>
        <v>0</v>
      </c>
      <c r="E21" s="17">
        <f t="shared" si="1"/>
        <v>0</v>
      </c>
      <c r="F21" s="17">
        <f t="shared" si="1"/>
        <v>0</v>
      </c>
      <c r="G21" s="17">
        <f t="shared" si="1"/>
        <v>0</v>
      </c>
      <c r="H21" s="17">
        <v>0</v>
      </c>
      <c r="I21" s="17">
        <f t="shared" si="1"/>
        <v>0</v>
      </c>
      <c r="J21" s="17">
        <f t="shared" si="1"/>
        <v>0</v>
      </c>
      <c r="K21" s="17">
        <f t="shared" si="1"/>
        <v>0</v>
      </c>
      <c r="L21" s="17">
        <f t="shared" si="1"/>
        <v>0</v>
      </c>
      <c r="M21" s="17">
        <f t="shared" si="1"/>
        <v>0</v>
      </c>
      <c r="N21" s="17">
        <f t="shared" si="1"/>
        <v>0</v>
      </c>
      <c r="O21" s="18">
        <f t="shared" si="3"/>
        <v>0</v>
      </c>
    </row>
    <row r="22" spans="1:15" ht="15" customHeight="1" x14ac:dyDescent="0.2">
      <c r="A22" s="879"/>
      <c r="B22" s="19" t="s">
        <v>132</v>
      </c>
      <c r="C22" s="17">
        <v>0</v>
      </c>
      <c r="D22" s="17">
        <f t="shared" si="1"/>
        <v>0</v>
      </c>
      <c r="E22" s="17">
        <f t="shared" si="1"/>
        <v>0</v>
      </c>
      <c r="F22" s="17">
        <f t="shared" si="1"/>
        <v>0</v>
      </c>
      <c r="G22" s="17">
        <f t="shared" si="1"/>
        <v>0</v>
      </c>
      <c r="H22" s="17">
        <v>0</v>
      </c>
      <c r="I22" s="17">
        <f t="shared" si="1"/>
        <v>0</v>
      </c>
      <c r="J22" s="17">
        <v>6908</v>
      </c>
      <c r="K22" s="17">
        <v>0</v>
      </c>
      <c r="L22" s="17">
        <f t="shared" si="1"/>
        <v>0</v>
      </c>
      <c r="M22" s="17">
        <f t="shared" si="1"/>
        <v>0</v>
      </c>
      <c r="N22" s="17">
        <f t="shared" si="1"/>
        <v>0</v>
      </c>
      <c r="O22" s="18">
        <f t="shared" si="3"/>
        <v>6908</v>
      </c>
    </row>
    <row r="23" spans="1:15" ht="15" hidden="1" customHeight="1" x14ac:dyDescent="0.2">
      <c r="A23" s="879"/>
      <c r="B23" s="19" t="s">
        <v>133</v>
      </c>
      <c r="C23" s="17">
        <v>0</v>
      </c>
      <c r="D23" s="17">
        <f t="shared" si="1"/>
        <v>0</v>
      </c>
      <c r="E23" s="17">
        <f t="shared" si="1"/>
        <v>0</v>
      </c>
      <c r="F23" s="17">
        <f t="shared" si="1"/>
        <v>0</v>
      </c>
      <c r="G23" s="17">
        <f t="shared" si="1"/>
        <v>0</v>
      </c>
      <c r="H23" s="17">
        <v>0</v>
      </c>
      <c r="I23" s="17">
        <f t="shared" si="1"/>
        <v>0</v>
      </c>
      <c r="J23" s="17">
        <f t="shared" si="1"/>
        <v>0</v>
      </c>
      <c r="K23" s="17">
        <f t="shared" si="1"/>
        <v>0</v>
      </c>
      <c r="L23" s="17">
        <f t="shared" si="1"/>
        <v>0</v>
      </c>
      <c r="M23" s="17">
        <f t="shared" si="1"/>
        <v>0</v>
      </c>
      <c r="N23" s="17">
        <f t="shared" si="1"/>
        <v>0</v>
      </c>
      <c r="O23" s="18">
        <f t="shared" si="3"/>
        <v>0</v>
      </c>
    </row>
    <row r="24" spans="1:15" ht="15" hidden="1" customHeight="1" x14ac:dyDescent="0.2">
      <c r="A24" s="879"/>
      <c r="B24" s="19" t="s">
        <v>134</v>
      </c>
      <c r="C24" s="17">
        <v>0</v>
      </c>
      <c r="D24" s="17">
        <f t="shared" si="1"/>
        <v>0</v>
      </c>
      <c r="E24" s="17">
        <f t="shared" si="1"/>
        <v>0</v>
      </c>
      <c r="F24" s="17">
        <f t="shared" si="1"/>
        <v>0</v>
      </c>
      <c r="G24" s="17">
        <f t="shared" si="1"/>
        <v>0</v>
      </c>
      <c r="H24" s="17">
        <v>0</v>
      </c>
      <c r="I24" s="17">
        <f t="shared" si="1"/>
        <v>0</v>
      </c>
      <c r="J24" s="17">
        <f t="shared" si="1"/>
        <v>0</v>
      </c>
      <c r="K24" s="17">
        <f t="shared" si="1"/>
        <v>0</v>
      </c>
      <c r="L24" s="17">
        <f t="shared" si="1"/>
        <v>0</v>
      </c>
      <c r="M24" s="17">
        <f t="shared" si="1"/>
        <v>0</v>
      </c>
      <c r="N24" s="17">
        <f t="shared" si="1"/>
        <v>0</v>
      </c>
      <c r="O24" s="18">
        <f t="shared" si="3"/>
        <v>0</v>
      </c>
    </row>
    <row r="25" spans="1:15" ht="15" hidden="1" customHeight="1" x14ac:dyDescent="0.2">
      <c r="A25" s="879"/>
      <c r="B25" s="19" t="s">
        <v>135</v>
      </c>
      <c r="C25" s="17">
        <v>0</v>
      </c>
      <c r="D25" s="17">
        <f t="shared" si="1"/>
        <v>0</v>
      </c>
      <c r="E25" s="17">
        <f t="shared" si="1"/>
        <v>0</v>
      </c>
      <c r="F25" s="17">
        <f t="shared" si="1"/>
        <v>0</v>
      </c>
      <c r="G25" s="17">
        <f t="shared" si="1"/>
        <v>0</v>
      </c>
      <c r="H25" s="17">
        <v>0</v>
      </c>
      <c r="I25" s="17">
        <f t="shared" si="1"/>
        <v>0</v>
      </c>
      <c r="J25" s="17">
        <f t="shared" si="1"/>
        <v>0</v>
      </c>
      <c r="K25" s="17">
        <f t="shared" si="1"/>
        <v>0</v>
      </c>
      <c r="L25" s="17">
        <f t="shared" si="1"/>
        <v>0</v>
      </c>
      <c r="M25" s="17">
        <f t="shared" si="1"/>
        <v>0</v>
      </c>
      <c r="N25" s="17">
        <f t="shared" si="1"/>
        <v>0</v>
      </c>
      <c r="O25" s="18">
        <f t="shared" si="3"/>
        <v>0</v>
      </c>
    </row>
    <row r="26" spans="1:15" ht="15" hidden="1" customHeight="1" x14ac:dyDescent="0.2">
      <c r="A26" s="879"/>
      <c r="B26" s="19" t="s">
        <v>136</v>
      </c>
      <c r="C26" s="17">
        <v>0</v>
      </c>
      <c r="D26" s="17">
        <f t="shared" si="1"/>
        <v>0</v>
      </c>
      <c r="E26" s="17">
        <f t="shared" si="1"/>
        <v>0</v>
      </c>
      <c r="F26" s="17">
        <f t="shared" si="1"/>
        <v>0</v>
      </c>
      <c r="G26" s="17">
        <f t="shared" si="1"/>
        <v>0</v>
      </c>
      <c r="H26" s="17">
        <v>0</v>
      </c>
      <c r="I26" s="17">
        <f t="shared" si="1"/>
        <v>0</v>
      </c>
      <c r="J26" s="17">
        <f t="shared" si="1"/>
        <v>0</v>
      </c>
      <c r="K26" s="17">
        <f t="shared" si="1"/>
        <v>0</v>
      </c>
      <c r="L26" s="17">
        <f t="shared" si="1"/>
        <v>0</v>
      </c>
      <c r="M26" s="17">
        <f t="shared" si="1"/>
        <v>0</v>
      </c>
      <c r="N26" s="17">
        <f t="shared" si="1"/>
        <v>0</v>
      </c>
      <c r="O26" s="18">
        <f t="shared" si="3"/>
        <v>0</v>
      </c>
    </row>
    <row r="27" spans="1:15" ht="15" hidden="1" customHeight="1" x14ac:dyDescent="0.2">
      <c r="A27" s="879"/>
      <c r="B27" s="19" t="s">
        <v>137</v>
      </c>
      <c r="C27" s="17">
        <v>0</v>
      </c>
      <c r="D27" s="17">
        <f t="shared" si="1"/>
        <v>0</v>
      </c>
      <c r="E27" s="17">
        <f t="shared" si="1"/>
        <v>0</v>
      </c>
      <c r="F27" s="17">
        <f t="shared" si="1"/>
        <v>0</v>
      </c>
      <c r="G27" s="17">
        <f t="shared" si="1"/>
        <v>0</v>
      </c>
      <c r="H27" s="17">
        <v>0</v>
      </c>
      <c r="I27" s="17">
        <f t="shared" si="1"/>
        <v>0</v>
      </c>
      <c r="J27" s="17">
        <f t="shared" si="1"/>
        <v>0</v>
      </c>
      <c r="K27" s="17">
        <f t="shared" si="1"/>
        <v>0</v>
      </c>
      <c r="L27" s="17">
        <f t="shared" si="1"/>
        <v>0</v>
      </c>
      <c r="M27" s="17">
        <f t="shared" si="1"/>
        <v>0</v>
      </c>
      <c r="N27" s="17">
        <f t="shared" si="1"/>
        <v>0</v>
      </c>
      <c r="O27" s="18">
        <f t="shared" si="3"/>
        <v>0</v>
      </c>
    </row>
    <row r="28" spans="1:15" ht="15" hidden="1" customHeight="1" x14ac:dyDescent="0.2">
      <c r="A28" s="879"/>
      <c r="B28" s="19" t="s">
        <v>138</v>
      </c>
      <c r="C28" s="17">
        <v>0</v>
      </c>
      <c r="D28" s="17">
        <f t="shared" si="1"/>
        <v>0</v>
      </c>
      <c r="E28" s="17">
        <f t="shared" si="1"/>
        <v>0</v>
      </c>
      <c r="F28" s="17">
        <f t="shared" si="1"/>
        <v>0</v>
      </c>
      <c r="G28" s="17">
        <f t="shared" si="1"/>
        <v>0</v>
      </c>
      <c r="H28" s="17">
        <v>0</v>
      </c>
      <c r="I28" s="17">
        <f t="shared" si="1"/>
        <v>0</v>
      </c>
      <c r="J28" s="17">
        <f t="shared" si="1"/>
        <v>0</v>
      </c>
      <c r="K28" s="17">
        <f t="shared" si="1"/>
        <v>0</v>
      </c>
      <c r="L28" s="17">
        <f t="shared" si="1"/>
        <v>0</v>
      </c>
      <c r="M28" s="17">
        <f t="shared" si="1"/>
        <v>0</v>
      </c>
      <c r="N28" s="17">
        <f t="shared" si="1"/>
        <v>0</v>
      </c>
      <c r="O28" s="18">
        <f t="shared" si="3"/>
        <v>0</v>
      </c>
    </row>
    <row r="29" spans="1:15" ht="15" hidden="1" customHeight="1" x14ac:dyDescent="0.2">
      <c r="A29" s="879"/>
      <c r="B29" s="19" t="s">
        <v>139</v>
      </c>
      <c r="C29" s="17">
        <v>0</v>
      </c>
      <c r="D29" s="17">
        <f t="shared" si="1"/>
        <v>0</v>
      </c>
      <c r="E29" s="17">
        <f t="shared" si="1"/>
        <v>0</v>
      </c>
      <c r="F29" s="17">
        <f t="shared" si="1"/>
        <v>0</v>
      </c>
      <c r="G29" s="17">
        <f t="shared" si="1"/>
        <v>0</v>
      </c>
      <c r="H29" s="17">
        <v>0</v>
      </c>
      <c r="I29" s="17">
        <f t="shared" si="1"/>
        <v>0</v>
      </c>
      <c r="J29" s="17">
        <f t="shared" si="1"/>
        <v>0</v>
      </c>
      <c r="K29" s="17">
        <f t="shared" si="1"/>
        <v>0</v>
      </c>
      <c r="L29" s="17">
        <f t="shared" si="1"/>
        <v>0</v>
      </c>
      <c r="M29" s="17">
        <f t="shared" si="1"/>
        <v>0</v>
      </c>
      <c r="N29" s="17">
        <f t="shared" si="1"/>
        <v>0</v>
      </c>
      <c r="O29" s="18">
        <f t="shared" si="3"/>
        <v>0</v>
      </c>
    </row>
    <row r="30" spans="1:15" ht="15" hidden="1" customHeight="1" x14ac:dyDescent="0.2">
      <c r="A30" s="879"/>
      <c r="B30" s="19" t="s">
        <v>140</v>
      </c>
      <c r="C30" s="17">
        <v>0</v>
      </c>
      <c r="D30" s="17">
        <f t="shared" si="1"/>
        <v>0</v>
      </c>
      <c r="E30" s="17">
        <f t="shared" si="1"/>
        <v>0</v>
      </c>
      <c r="F30" s="17">
        <f t="shared" si="1"/>
        <v>0</v>
      </c>
      <c r="G30" s="17">
        <f t="shared" si="1"/>
        <v>0</v>
      </c>
      <c r="H30" s="17">
        <v>0</v>
      </c>
      <c r="I30" s="17">
        <f t="shared" si="1"/>
        <v>0</v>
      </c>
      <c r="J30" s="17">
        <f t="shared" si="1"/>
        <v>0</v>
      </c>
      <c r="K30" s="17">
        <f t="shared" si="1"/>
        <v>0</v>
      </c>
      <c r="L30" s="17">
        <f t="shared" si="1"/>
        <v>0</v>
      </c>
      <c r="M30" s="17">
        <f t="shared" si="1"/>
        <v>0</v>
      </c>
      <c r="N30" s="17">
        <f t="shared" si="1"/>
        <v>0</v>
      </c>
      <c r="O30" s="18">
        <f t="shared" si="3"/>
        <v>0</v>
      </c>
    </row>
    <row r="31" spans="1:15" ht="15" hidden="1" customHeight="1" x14ac:dyDescent="0.2">
      <c r="A31" s="879"/>
      <c r="B31" s="19" t="s">
        <v>225</v>
      </c>
      <c r="C31" s="17">
        <v>0</v>
      </c>
      <c r="D31" s="17">
        <f t="shared" si="1"/>
        <v>0</v>
      </c>
      <c r="E31" s="17">
        <f t="shared" si="1"/>
        <v>0</v>
      </c>
      <c r="F31" s="17">
        <f t="shared" si="1"/>
        <v>0</v>
      </c>
      <c r="G31" s="17">
        <f t="shared" si="1"/>
        <v>0</v>
      </c>
      <c r="H31" s="17">
        <v>0</v>
      </c>
      <c r="I31" s="17">
        <f t="shared" si="1"/>
        <v>0</v>
      </c>
      <c r="J31" s="17">
        <f t="shared" si="1"/>
        <v>0</v>
      </c>
      <c r="K31" s="17">
        <f t="shared" si="1"/>
        <v>0</v>
      </c>
      <c r="L31" s="17">
        <f t="shared" si="1"/>
        <v>0</v>
      </c>
      <c r="M31" s="17">
        <f t="shared" si="1"/>
        <v>0</v>
      </c>
      <c r="N31" s="17">
        <f t="shared" si="1"/>
        <v>0</v>
      </c>
      <c r="O31" s="18">
        <f t="shared" si="3"/>
        <v>0</v>
      </c>
    </row>
    <row r="32" spans="1:15" ht="15" customHeight="1" x14ac:dyDescent="0.2">
      <c r="A32" s="879"/>
      <c r="B32" s="21" t="s">
        <v>142</v>
      </c>
      <c r="C32" s="17">
        <v>0</v>
      </c>
      <c r="D32" s="17">
        <f t="shared" si="1"/>
        <v>0</v>
      </c>
      <c r="E32" s="17">
        <f t="shared" si="1"/>
        <v>0</v>
      </c>
      <c r="F32" s="17">
        <f t="shared" si="1"/>
        <v>0</v>
      </c>
      <c r="G32" s="17">
        <f t="shared" si="1"/>
        <v>0</v>
      </c>
      <c r="H32" s="17">
        <v>53954</v>
      </c>
      <c r="I32" s="17">
        <v>0</v>
      </c>
      <c r="J32" s="17">
        <f>+I32</f>
        <v>0</v>
      </c>
      <c r="K32" s="17">
        <f>+J32</f>
        <v>0</v>
      </c>
      <c r="L32" s="17">
        <f>+K32</f>
        <v>0</v>
      </c>
      <c r="M32" s="17">
        <f>+L32</f>
        <v>0</v>
      </c>
      <c r="N32" s="17">
        <f>+M32</f>
        <v>0</v>
      </c>
      <c r="O32" s="18">
        <f t="shared" si="3"/>
        <v>53954</v>
      </c>
    </row>
    <row r="33" spans="1:16" ht="15" hidden="1" customHeight="1" x14ac:dyDescent="0.2">
      <c r="A33" s="880"/>
      <c r="B33" s="19" t="s">
        <v>226</v>
      </c>
      <c r="C33" s="17">
        <v>0</v>
      </c>
      <c r="D33" s="17">
        <f t="shared" si="1"/>
        <v>0</v>
      </c>
      <c r="E33" s="17">
        <f t="shared" si="1"/>
        <v>0</v>
      </c>
      <c r="F33" s="17">
        <f t="shared" si="1"/>
        <v>0</v>
      </c>
      <c r="G33" s="17">
        <f t="shared" si="1"/>
        <v>0</v>
      </c>
      <c r="H33" s="17">
        <v>0</v>
      </c>
      <c r="I33" s="17">
        <f t="shared" ref="I33:N36" si="4">+H33</f>
        <v>0</v>
      </c>
      <c r="J33" s="17">
        <f t="shared" si="4"/>
        <v>0</v>
      </c>
      <c r="K33" s="17">
        <f t="shared" si="4"/>
        <v>0</v>
      </c>
      <c r="L33" s="17">
        <f t="shared" si="4"/>
        <v>0</v>
      </c>
      <c r="M33" s="17">
        <f t="shared" si="4"/>
        <v>0</v>
      </c>
      <c r="N33" s="17">
        <f t="shared" si="4"/>
        <v>0</v>
      </c>
      <c r="O33" s="18">
        <f t="shared" si="3"/>
        <v>0</v>
      </c>
    </row>
    <row r="34" spans="1:16" ht="15" customHeight="1" x14ac:dyDescent="0.2">
      <c r="A34" s="865" t="s">
        <v>144</v>
      </c>
      <c r="B34" s="866"/>
      <c r="C34" s="17">
        <v>0</v>
      </c>
      <c r="D34" s="17">
        <f t="shared" si="1"/>
        <v>0</v>
      </c>
      <c r="E34" s="17">
        <f t="shared" si="1"/>
        <v>0</v>
      </c>
      <c r="F34" s="17">
        <f t="shared" si="1"/>
        <v>0</v>
      </c>
      <c r="G34" s="17">
        <f t="shared" si="1"/>
        <v>0</v>
      </c>
      <c r="H34" s="17">
        <v>0</v>
      </c>
      <c r="I34" s="17">
        <f t="shared" si="4"/>
        <v>0</v>
      </c>
      <c r="J34" s="17">
        <f t="shared" si="4"/>
        <v>0</v>
      </c>
      <c r="K34" s="17">
        <f t="shared" si="4"/>
        <v>0</v>
      </c>
      <c r="L34" s="17">
        <f t="shared" si="4"/>
        <v>0</v>
      </c>
      <c r="M34" s="17">
        <f t="shared" si="4"/>
        <v>0</v>
      </c>
      <c r="N34" s="17">
        <f t="shared" si="4"/>
        <v>0</v>
      </c>
      <c r="O34" s="18">
        <f t="shared" si="3"/>
        <v>0</v>
      </c>
    </row>
    <row r="35" spans="1:16" ht="15" customHeight="1" x14ac:dyDescent="0.2">
      <c r="A35" s="865" t="s">
        <v>145</v>
      </c>
      <c r="B35" s="866"/>
      <c r="C35" s="17">
        <v>0</v>
      </c>
      <c r="D35" s="17">
        <v>432</v>
      </c>
      <c r="E35" s="17">
        <v>0</v>
      </c>
      <c r="F35" s="17">
        <f>+E35</f>
        <v>0</v>
      </c>
      <c r="G35" s="17">
        <f>+F35</f>
        <v>0</v>
      </c>
      <c r="H35" s="17">
        <v>0</v>
      </c>
      <c r="I35" s="17">
        <f t="shared" si="4"/>
        <v>0</v>
      </c>
      <c r="J35" s="17">
        <v>432</v>
      </c>
      <c r="K35" s="17">
        <v>0</v>
      </c>
      <c r="L35" s="17">
        <f t="shared" si="4"/>
        <v>0</v>
      </c>
      <c r="M35" s="17">
        <f t="shared" si="4"/>
        <v>0</v>
      </c>
      <c r="N35" s="17">
        <f t="shared" si="4"/>
        <v>0</v>
      </c>
      <c r="O35" s="18">
        <f t="shared" si="3"/>
        <v>864</v>
      </c>
    </row>
    <row r="36" spans="1:16" ht="15" customHeight="1" x14ac:dyDescent="0.2">
      <c r="A36" s="865" t="s">
        <v>146</v>
      </c>
      <c r="B36" s="866"/>
      <c r="C36" s="17">
        <v>0</v>
      </c>
      <c r="D36" s="17">
        <v>4998</v>
      </c>
      <c r="E36" s="17">
        <v>0</v>
      </c>
      <c r="F36" s="17">
        <f>+E36</f>
        <v>0</v>
      </c>
      <c r="G36" s="17">
        <f>+F36</f>
        <v>0</v>
      </c>
      <c r="H36" s="17">
        <v>0</v>
      </c>
      <c r="I36" s="17">
        <f t="shared" si="4"/>
        <v>0</v>
      </c>
      <c r="J36" s="17">
        <v>5148</v>
      </c>
      <c r="K36" s="17">
        <v>0</v>
      </c>
      <c r="L36" s="17">
        <f t="shared" si="4"/>
        <v>0</v>
      </c>
      <c r="M36" s="17">
        <f t="shared" si="4"/>
        <v>0</v>
      </c>
      <c r="N36" s="17">
        <f t="shared" si="4"/>
        <v>0</v>
      </c>
      <c r="O36" s="18">
        <f t="shared" si="3"/>
        <v>10146</v>
      </c>
    </row>
    <row r="37" spans="1:16" ht="15" customHeight="1" x14ac:dyDescent="0.2">
      <c r="A37" s="22"/>
      <c r="B37" s="23" t="s">
        <v>147</v>
      </c>
      <c r="C37" s="24">
        <f t="shared" ref="C37:N37" si="5">SUM(C9:C36)</f>
        <v>95025</v>
      </c>
      <c r="D37" s="24">
        <f t="shared" si="5"/>
        <v>102265</v>
      </c>
      <c r="E37" s="24">
        <f t="shared" si="5"/>
        <v>96835</v>
      </c>
      <c r="F37" s="24">
        <f t="shared" si="5"/>
        <v>96835</v>
      </c>
      <c r="G37" s="24">
        <f t="shared" si="5"/>
        <v>99510</v>
      </c>
      <c r="H37" s="24">
        <f t="shared" si="5"/>
        <v>153464</v>
      </c>
      <c r="I37" s="24">
        <f t="shared" si="5"/>
        <v>99510</v>
      </c>
      <c r="J37" s="24">
        <f t="shared" si="5"/>
        <v>112142</v>
      </c>
      <c r="K37" s="24">
        <f t="shared" si="5"/>
        <v>99654</v>
      </c>
      <c r="L37" s="24">
        <f t="shared" si="5"/>
        <v>99654</v>
      </c>
      <c r="M37" s="24">
        <f t="shared" si="5"/>
        <v>99654</v>
      </c>
      <c r="N37" s="24">
        <f t="shared" si="5"/>
        <v>99654</v>
      </c>
      <c r="O37" s="25">
        <f>SUM(C37:N37)</f>
        <v>1254202</v>
      </c>
    </row>
    <row r="38" spans="1:16" ht="15" customHeight="1" x14ac:dyDescent="0.2">
      <c r="A38" s="853" t="s">
        <v>148</v>
      </c>
      <c r="B38" s="27" t="s">
        <v>149</v>
      </c>
      <c r="C38" s="147">
        <v>9800</v>
      </c>
      <c r="D38" s="147">
        <v>9800</v>
      </c>
      <c r="E38" s="147">
        <v>10000</v>
      </c>
      <c r="F38" s="147">
        <v>10000</v>
      </c>
      <c r="G38" s="147">
        <v>10000</v>
      </c>
      <c r="H38" s="147">
        <v>15395</v>
      </c>
      <c r="I38" s="147">
        <v>10000</v>
      </c>
      <c r="J38" s="147">
        <v>10000</v>
      </c>
      <c r="K38" s="147">
        <v>14000</v>
      </c>
      <c r="L38" s="147">
        <v>14200</v>
      </c>
      <c r="M38" s="147">
        <v>14195</v>
      </c>
      <c r="N38" s="147">
        <v>1375</v>
      </c>
      <c r="O38" s="18">
        <f>SUM(C38:N38)</f>
        <v>128765</v>
      </c>
      <c r="P38" s="29"/>
    </row>
    <row r="39" spans="1:16" ht="15" x14ac:dyDescent="0.2">
      <c r="A39" s="854"/>
      <c r="B39" s="27" t="s">
        <v>150</v>
      </c>
      <c r="C39" s="147">
        <v>0</v>
      </c>
      <c r="D39" s="147">
        <v>0</v>
      </c>
      <c r="E39" s="147">
        <v>0</v>
      </c>
      <c r="F39" s="147">
        <v>0</v>
      </c>
      <c r="G39" s="147">
        <v>0</v>
      </c>
      <c r="H39" s="147">
        <v>0</v>
      </c>
      <c r="I39" s="147">
        <v>0</v>
      </c>
      <c r="J39" s="147">
        <v>0</v>
      </c>
      <c r="K39" s="147">
        <v>0</v>
      </c>
      <c r="L39" s="147">
        <v>0</v>
      </c>
      <c r="M39" s="147">
        <v>0</v>
      </c>
      <c r="N39" s="147">
        <v>0</v>
      </c>
      <c r="O39" s="18">
        <f>SUM(C39:N39)</f>
        <v>0</v>
      </c>
    </row>
    <row r="40" spans="1:16" ht="15" x14ac:dyDescent="0.2">
      <c r="A40" s="854"/>
      <c r="B40" s="27" t="s">
        <v>151</v>
      </c>
      <c r="C40" s="147">
        <v>60</v>
      </c>
      <c r="D40" s="147">
        <v>60</v>
      </c>
      <c r="E40" s="147">
        <v>60</v>
      </c>
      <c r="F40" s="147">
        <v>60</v>
      </c>
      <c r="G40" s="147">
        <v>60</v>
      </c>
      <c r="H40" s="147">
        <v>60</v>
      </c>
      <c r="I40" s="147">
        <v>60</v>
      </c>
      <c r="J40" s="147">
        <v>60</v>
      </c>
      <c r="K40" s="147">
        <v>60</v>
      </c>
      <c r="L40" s="147">
        <v>60</v>
      </c>
      <c r="M40" s="147">
        <v>60</v>
      </c>
      <c r="N40" s="147">
        <v>60</v>
      </c>
      <c r="O40" s="18">
        <f t="shared" ref="O40:O50" si="6">SUM(C40:N40)</f>
        <v>720</v>
      </c>
    </row>
    <row r="41" spans="1:16" ht="15" x14ac:dyDescent="0.2">
      <c r="A41" s="854"/>
      <c r="B41" s="27" t="s">
        <v>152</v>
      </c>
      <c r="C41" s="147">
        <v>0</v>
      </c>
      <c r="D41" s="147">
        <v>0</v>
      </c>
      <c r="E41" s="147">
        <v>0</v>
      </c>
      <c r="F41" s="147">
        <v>0</v>
      </c>
      <c r="G41" s="147">
        <v>0</v>
      </c>
      <c r="H41" s="147">
        <v>0</v>
      </c>
      <c r="I41" s="147">
        <v>0</v>
      </c>
      <c r="J41" s="147">
        <v>0</v>
      </c>
      <c r="K41" s="147">
        <v>0</v>
      </c>
      <c r="L41" s="147">
        <v>0</v>
      </c>
      <c r="M41" s="147">
        <v>0</v>
      </c>
      <c r="N41" s="147">
        <v>0</v>
      </c>
      <c r="O41" s="18">
        <f t="shared" si="6"/>
        <v>0</v>
      </c>
    </row>
    <row r="42" spans="1:16" ht="15" x14ac:dyDescent="0.2">
      <c r="A42" s="854"/>
      <c r="B42" s="27" t="s">
        <v>153</v>
      </c>
      <c r="C42" s="147">
        <v>650</v>
      </c>
      <c r="D42" s="147">
        <v>650</v>
      </c>
      <c r="E42" s="147">
        <v>650</v>
      </c>
      <c r="F42" s="147">
        <v>650</v>
      </c>
      <c r="G42" s="147">
        <v>650</v>
      </c>
      <c r="H42" s="147">
        <v>650</v>
      </c>
      <c r="I42" s="147">
        <v>650</v>
      </c>
      <c r="J42" s="147">
        <v>650</v>
      </c>
      <c r="K42" s="147">
        <v>650</v>
      </c>
      <c r="L42" s="147">
        <v>650</v>
      </c>
      <c r="M42" s="147">
        <v>650</v>
      </c>
      <c r="N42" s="147">
        <v>650</v>
      </c>
      <c r="O42" s="18">
        <f t="shared" si="6"/>
        <v>7800</v>
      </c>
    </row>
    <row r="43" spans="1:16" ht="15" x14ac:dyDescent="0.2">
      <c r="A43" s="854"/>
      <c r="B43" s="27" t="s">
        <v>154</v>
      </c>
      <c r="C43" s="147">
        <v>10000</v>
      </c>
      <c r="D43" s="147">
        <v>10000</v>
      </c>
      <c r="E43" s="147">
        <v>10000</v>
      </c>
      <c r="F43" s="147">
        <v>10000</v>
      </c>
      <c r="G43" s="147">
        <v>10000</v>
      </c>
      <c r="H43" s="147">
        <v>10000</v>
      </c>
      <c r="I43" s="147">
        <v>10000</v>
      </c>
      <c r="J43" s="147">
        <v>10000</v>
      </c>
      <c r="K43" s="147">
        <v>10000</v>
      </c>
      <c r="L43" s="147">
        <v>10000</v>
      </c>
      <c r="M43" s="147">
        <v>10000</v>
      </c>
      <c r="N43" s="147">
        <v>10000</v>
      </c>
      <c r="O43" s="18">
        <f t="shared" si="6"/>
        <v>120000</v>
      </c>
    </row>
    <row r="44" spans="1:16" ht="15" x14ac:dyDescent="0.2">
      <c r="A44" s="854"/>
      <c r="B44" s="27" t="s">
        <v>155</v>
      </c>
      <c r="C44" s="147">
        <v>200</v>
      </c>
      <c r="D44" s="147">
        <v>200</v>
      </c>
      <c r="E44" s="147">
        <v>200</v>
      </c>
      <c r="F44" s="147">
        <v>200</v>
      </c>
      <c r="G44" s="147">
        <v>200</v>
      </c>
      <c r="H44" s="147">
        <v>200</v>
      </c>
      <c r="I44" s="147">
        <v>200</v>
      </c>
      <c r="J44" s="147">
        <v>200</v>
      </c>
      <c r="K44" s="147">
        <v>200</v>
      </c>
      <c r="L44" s="147">
        <v>200</v>
      </c>
      <c r="M44" s="147">
        <v>200</v>
      </c>
      <c r="N44" s="147">
        <v>300</v>
      </c>
      <c r="O44" s="18">
        <f t="shared" si="6"/>
        <v>2500</v>
      </c>
    </row>
    <row r="45" spans="1:16" ht="15" x14ac:dyDescent="0.2">
      <c r="A45" s="854"/>
      <c r="B45" s="27" t="s">
        <v>281</v>
      </c>
      <c r="C45" s="147">
        <v>440</v>
      </c>
      <c r="D45" s="147">
        <v>440</v>
      </c>
      <c r="E45" s="147">
        <v>440</v>
      </c>
      <c r="F45" s="147">
        <v>440</v>
      </c>
      <c r="G45" s="147">
        <v>440</v>
      </c>
      <c r="H45" s="147">
        <v>440</v>
      </c>
      <c r="I45" s="147">
        <v>440</v>
      </c>
      <c r="J45" s="147">
        <v>440</v>
      </c>
      <c r="K45" s="147">
        <v>440</v>
      </c>
      <c r="L45" s="147">
        <v>440</v>
      </c>
      <c r="M45" s="147">
        <v>440</v>
      </c>
      <c r="N45" s="147">
        <v>440</v>
      </c>
      <c r="O45" s="18">
        <f t="shared" si="6"/>
        <v>5280</v>
      </c>
    </row>
    <row r="46" spans="1:16" ht="15" x14ac:dyDescent="0.2">
      <c r="A46" s="854"/>
      <c r="B46" s="27" t="s">
        <v>157</v>
      </c>
      <c r="C46" s="147">
        <v>0</v>
      </c>
      <c r="D46" s="147">
        <v>0</v>
      </c>
      <c r="E46" s="147">
        <v>0</v>
      </c>
      <c r="F46" s="147">
        <v>0</v>
      </c>
      <c r="G46" s="147">
        <v>0</v>
      </c>
      <c r="H46" s="147">
        <v>0</v>
      </c>
      <c r="I46" s="147">
        <v>0</v>
      </c>
      <c r="J46" s="147">
        <v>0</v>
      </c>
      <c r="K46" s="147">
        <v>0</v>
      </c>
      <c r="L46" s="147">
        <v>0</v>
      </c>
      <c r="M46" s="147">
        <v>0</v>
      </c>
      <c r="N46" s="147">
        <v>0</v>
      </c>
      <c r="O46" s="18">
        <f t="shared" si="6"/>
        <v>0</v>
      </c>
    </row>
    <row r="47" spans="1:16" ht="28.5" customHeight="1" x14ac:dyDescent="0.2">
      <c r="A47" s="855"/>
      <c r="B47" s="30" t="s">
        <v>158</v>
      </c>
      <c r="C47" s="147">
        <v>0</v>
      </c>
      <c r="D47" s="147">
        <v>0</v>
      </c>
      <c r="E47" s="147">
        <v>0</v>
      </c>
      <c r="F47" s="147">
        <v>0</v>
      </c>
      <c r="G47" s="147">
        <v>0</v>
      </c>
      <c r="H47" s="147">
        <v>0</v>
      </c>
      <c r="I47" s="147">
        <v>0</v>
      </c>
      <c r="J47" s="147">
        <v>0</v>
      </c>
      <c r="K47" s="147">
        <v>0</v>
      </c>
      <c r="L47" s="147">
        <v>0</v>
      </c>
      <c r="M47" s="147">
        <v>0</v>
      </c>
      <c r="N47" s="147">
        <v>0</v>
      </c>
      <c r="O47" s="31">
        <f t="shared" si="6"/>
        <v>0</v>
      </c>
    </row>
    <row r="48" spans="1:16" x14ac:dyDescent="0.2">
      <c r="A48" s="856"/>
      <c r="B48" s="169" t="s">
        <v>445</v>
      </c>
      <c r="C48" s="147">
        <v>0</v>
      </c>
      <c r="D48" s="147">
        <v>0</v>
      </c>
      <c r="E48" s="147">
        <v>0</v>
      </c>
      <c r="F48" s="147">
        <v>0</v>
      </c>
      <c r="G48" s="147">
        <v>0</v>
      </c>
      <c r="H48" s="147">
        <v>0</v>
      </c>
      <c r="I48" s="147">
        <v>0</v>
      </c>
      <c r="J48" s="147">
        <v>0</v>
      </c>
      <c r="K48" s="147">
        <v>0</v>
      </c>
      <c r="L48" s="147">
        <v>0</v>
      </c>
      <c r="M48" s="147">
        <v>0</v>
      </c>
      <c r="N48" s="147">
        <v>0</v>
      </c>
      <c r="O48" s="31">
        <f t="shared" si="6"/>
        <v>0</v>
      </c>
    </row>
    <row r="49" spans="1:18" ht="15" x14ac:dyDescent="0.2">
      <c r="A49" s="857" t="s">
        <v>160</v>
      </c>
      <c r="B49" s="858"/>
      <c r="C49" s="33">
        <f t="shared" ref="C49:N49" si="7">SUM(C38:C48)</f>
        <v>21150</v>
      </c>
      <c r="D49" s="33">
        <f t="shared" si="7"/>
        <v>21150</v>
      </c>
      <c r="E49" s="33">
        <f t="shared" si="7"/>
        <v>21350</v>
      </c>
      <c r="F49" s="33">
        <f t="shared" si="7"/>
        <v>21350</v>
      </c>
      <c r="G49" s="33">
        <f t="shared" si="7"/>
        <v>21350</v>
      </c>
      <c r="H49" s="33">
        <f t="shared" si="7"/>
        <v>26745</v>
      </c>
      <c r="I49" s="33">
        <f t="shared" si="7"/>
        <v>21350</v>
      </c>
      <c r="J49" s="33">
        <f t="shared" si="7"/>
        <v>21350</v>
      </c>
      <c r="K49" s="33">
        <f t="shared" si="7"/>
        <v>25350</v>
      </c>
      <c r="L49" s="33">
        <f t="shared" si="7"/>
        <v>25550</v>
      </c>
      <c r="M49" s="33">
        <f t="shared" si="7"/>
        <v>25545</v>
      </c>
      <c r="N49" s="33">
        <f t="shared" si="7"/>
        <v>12825</v>
      </c>
      <c r="O49" s="34">
        <f t="shared" si="6"/>
        <v>265065</v>
      </c>
    </row>
    <row r="50" spans="1:18" ht="15.75" thickBot="1" x14ac:dyDescent="0.25">
      <c r="A50" s="859" t="s">
        <v>161</v>
      </c>
      <c r="B50" s="860"/>
      <c r="C50" s="35">
        <f t="shared" ref="C50:N50" si="8">C37-C49</f>
        <v>73875</v>
      </c>
      <c r="D50" s="35">
        <f t="shared" si="8"/>
        <v>81115</v>
      </c>
      <c r="E50" s="35">
        <f t="shared" si="8"/>
        <v>75485</v>
      </c>
      <c r="F50" s="35">
        <f t="shared" si="8"/>
        <v>75485</v>
      </c>
      <c r="G50" s="35">
        <f t="shared" si="8"/>
        <v>78160</v>
      </c>
      <c r="H50" s="35">
        <f t="shared" si="8"/>
        <v>126719</v>
      </c>
      <c r="I50" s="35">
        <f t="shared" si="8"/>
        <v>78160</v>
      </c>
      <c r="J50" s="35">
        <f t="shared" si="8"/>
        <v>90792</v>
      </c>
      <c r="K50" s="35">
        <f t="shared" si="8"/>
        <v>74304</v>
      </c>
      <c r="L50" s="35">
        <f t="shared" si="8"/>
        <v>74104</v>
      </c>
      <c r="M50" s="35">
        <f t="shared" si="8"/>
        <v>74109</v>
      </c>
      <c r="N50" s="35">
        <f t="shared" si="8"/>
        <v>86829</v>
      </c>
      <c r="O50" s="36">
        <f t="shared" si="6"/>
        <v>989137</v>
      </c>
      <c r="Q50" s="16">
        <f>38984+36334+9292+38657+38657+40061+39011+39011+2500+8946+3454+40793*2+40793*2+40561</f>
        <v>498640</v>
      </c>
    </row>
    <row r="51" spans="1:18" x14ac:dyDescent="0.2">
      <c r="J51" s="128">
        <f>+J37-SUM(J22:J36)</f>
        <v>99654</v>
      </c>
      <c r="Q51" s="38"/>
    </row>
    <row r="52" spans="1:18" ht="13.5" thickBot="1" x14ac:dyDescent="0.25">
      <c r="J52" s="38">
        <f>+J51-J49</f>
        <v>78304</v>
      </c>
    </row>
    <row r="53" spans="1:18" ht="13.5" thickBot="1" x14ac:dyDescent="0.25">
      <c r="B53" s="789" t="s">
        <v>162</v>
      </c>
      <c r="C53" s="861"/>
      <c r="D53" s="861"/>
      <c r="E53" s="861"/>
      <c r="F53" s="862"/>
      <c r="G53" s="863">
        <f>O37</f>
        <v>1254202</v>
      </c>
      <c r="H53" s="864"/>
    </row>
    <row r="54" spans="1:18" ht="13.5" thickBot="1" x14ac:dyDescent="0.25"/>
    <row r="55" spans="1:18" x14ac:dyDescent="0.2">
      <c r="B55" s="830" t="s">
        <v>163</v>
      </c>
      <c r="C55" s="833" t="s">
        <v>164</v>
      </c>
      <c r="D55" s="836" t="s">
        <v>425</v>
      </c>
      <c r="E55" s="837"/>
      <c r="F55" s="838"/>
      <c r="G55" s="839">
        <v>40000</v>
      </c>
      <c r="H55" s="840"/>
    </row>
    <row r="56" spans="1:18" x14ac:dyDescent="0.2">
      <c r="B56" s="831"/>
      <c r="C56" s="834"/>
      <c r="D56" s="841" t="s">
        <v>166</v>
      </c>
      <c r="E56" s="842"/>
      <c r="F56" s="843"/>
      <c r="G56" s="844">
        <f>+O44</f>
        <v>2500</v>
      </c>
      <c r="H56" s="845"/>
      <c r="I56" s="39"/>
      <c r="J56" s="846"/>
      <c r="K56" s="846"/>
      <c r="L56" s="846"/>
      <c r="M56" s="847"/>
      <c r="N56" s="847"/>
      <c r="O56" s="847"/>
    </row>
    <row r="57" spans="1:18" ht="13.5" thickBot="1" x14ac:dyDescent="0.25">
      <c r="B57" s="832"/>
      <c r="C57" s="835"/>
      <c r="D57" s="848" t="s">
        <v>266</v>
      </c>
      <c r="E57" s="849"/>
      <c r="F57" s="850"/>
      <c r="G57" s="851">
        <v>0</v>
      </c>
      <c r="H57" s="852"/>
      <c r="J57" s="47"/>
      <c r="K57" s="47"/>
      <c r="L57" s="47"/>
      <c r="M57" s="47"/>
      <c r="N57" s="47"/>
      <c r="O57" s="47"/>
    </row>
    <row r="58" spans="1:18" ht="13.5" thickBot="1" x14ac:dyDescent="0.25">
      <c r="B58" s="48"/>
      <c r="J58" s="47"/>
      <c r="K58" s="47"/>
      <c r="L58" s="47"/>
      <c r="M58" s="47"/>
      <c r="N58" s="47"/>
      <c r="O58" s="47"/>
    </row>
    <row r="59" spans="1:18" ht="13.5" thickBot="1" x14ac:dyDescent="0.25">
      <c r="B59" s="789" t="s">
        <v>168</v>
      </c>
      <c r="C59" s="790"/>
      <c r="D59" s="790"/>
      <c r="E59" s="790"/>
      <c r="F59" s="791"/>
      <c r="G59" s="825">
        <f>+G53-SUM(G55:H57)</f>
        <v>1211702</v>
      </c>
      <c r="H59" s="826"/>
      <c r="J59" s="827" t="s">
        <v>169</v>
      </c>
      <c r="K59" s="828"/>
      <c r="L59" s="828"/>
      <c r="M59" s="828"/>
      <c r="N59" s="828"/>
      <c r="O59" s="829"/>
    </row>
    <row r="60" spans="1:18" ht="13.5" thickBot="1" x14ac:dyDescent="0.25">
      <c r="B60" s="49"/>
      <c r="C60" s="50"/>
      <c r="D60" s="50"/>
      <c r="E60" s="50"/>
      <c r="F60" s="50"/>
      <c r="G60" s="45"/>
      <c r="H60" s="50"/>
      <c r="J60" s="51"/>
      <c r="K60" s="52"/>
      <c r="L60" s="52"/>
      <c r="M60" s="52"/>
      <c r="N60" s="52"/>
      <c r="O60" s="53"/>
    </row>
    <row r="61" spans="1:18" ht="13.5" thickBot="1" x14ac:dyDescent="0.25">
      <c r="B61" s="789" t="s">
        <v>170</v>
      </c>
      <c r="C61" s="790"/>
      <c r="D61" s="790"/>
      <c r="E61" s="790"/>
      <c r="F61" s="791"/>
      <c r="G61" s="805"/>
      <c r="H61" s="791"/>
      <c r="J61" s="54"/>
      <c r="K61" s="55"/>
      <c r="L61" s="55"/>
      <c r="M61" s="55"/>
      <c r="N61" s="55"/>
      <c r="O61" s="56"/>
    </row>
    <row r="62" spans="1:18" ht="12.75" customHeight="1" x14ac:dyDescent="0.2">
      <c r="B62" s="57" t="s">
        <v>171</v>
      </c>
      <c r="C62" s="806" t="s">
        <v>172</v>
      </c>
      <c r="D62" s="807"/>
      <c r="E62" s="807"/>
      <c r="F62" s="808"/>
      <c r="G62" s="809">
        <v>0</v>
      </c>
      <c r="H62" s="809"/>
      <c r="I62" s="58"/>
      <c r="J62" s="810" t="s">
        <v>173</v>
      </c>
      <c r="K62" s="811"/>
      <c r="L62" s="811"/>
      <c r="M62" s="811"/>
      <c r="N62" s="811"/>
      <c r="O62" s="812"/>
      <c r="Q62" s="59"/>
      <c r="R62" s="59"/>
    </row>
    <row r="63" spans="1:18" ht="13.5" thickBot="1" x14ac:dyDescent="0.25">
      <c r="D63" s="37"/>
      <c r="I63" s="58"/>
      <c r="J63" s="60" t="s">
        <v>254</v>
      </c>
      <c r="K63" s="61"/>
      <c r="L63" s="61"/>
      <c r="M63" s="61"/>
      <c r="N63" s="61"/>
      <c r="O63" s="62"/>
      <c r="Q63" s="59"/>
      <c r="R63" s="59"/>
    </row>
    <row r="64" spans="1:18" ht="13.5" thickBot="1" x14ac:dyDescent="0.25">
      <c r="B64" s="789" t="s">
        <v>175</v>
      </c>
      <c r="C64" s="790"/>
      <c r="D64" s="790"/>
      <c r="E64" s="790"/>
      <c r="F64" s="791"/>
      <c r="G64" s="805">
        <f>+G59-G62</f>
        <v>1211702</v>
      </c>
      <c r="H64" s="791"/>
      <c r="I64" s="63"/>
      <c r="J64" s="64"/>
      <c r="K64" s="39"/>
      <c r="L64" s="39"/>
      <c r="M64" s="39"/>
      <c r="N64" s="39"/>
      <c r="O64" s="65"/>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6.25" customHeight="1" thickBot="1" x14ac:dyDescent="0.25">
      <c r="B67" s="66"/>
      <c r="C67" s="48"/>
      <c r="G67" s="70" t="s">
        <v>177</v>
      </c>
      <c r="H67" s="70" t="s">
        <v>178</v>
      </c>
      <c r="I67" s="63"/>
      <c r="J67" s="810" t="s">
        <v>179</v>
      </c>
      <c r="K67" s="811"/>
      <c r="L67" s="71"/>
      <c r="M67" s="71"/>
      <c r="N67" s="71"/>
      <c r="O67" s="72"/>
      <c r="Q67" s="59"/>
      <c r="R67" s="59"/>
    </row>
    <row r="68" spans="2:18" ht="12.75" customHeight="1" x14ac:dyDescent="0.2">
      <c r="B68" s="802" t="s">
        <v>180</v>
      </c>
      <c r="C68" s="821" t="s">
        <v>181</v>
      </c>
      <c r="D68" s="823" t="s">
        <v>182</v>
      </c>
      <c r="E68" s="824"/>
      <c r="F68" s="824"/>
      <c r="G68" s="73">
        <f>+O43</f>
        <v>120000</v>
      </c>
      <c r="H68" s="74">
        <f t="shared" ref="H68:H76" si="9">+G68</f>
        <v>120000</v>
      </c>
      <c r="I68" s="63"/>
      <c r="J68" s="75" t="s">
        <v>446</v>
      </c>
      <c r="K68" s="58"/>
      <c r="L68" s="58"/>
      <c r="M68" s="58"/>
      <c r="N68" s="58"/>
      <c r="O68" s="76">
        <v>0</v>
      </c>
      <c r="Q68" s="59" t="s">
        <v>447</v>
      </c>
      <c r="R68" s="59"/>
    </row>
    <row r="69" spans="2:18" ht="12.75" customHeight="1" x14ac:dyDescent="0.2">
      <c r="B69" s="803"/>
      <c r="C69" s="822"/>
      <c r="D69" s="782" t="s">
        <v>184</v>
      </c>
      <c r="E69" s="783"/>
      <c r="F69" s="783"/>
      <c r="G69" s="77">
        <v>35667</v>
      </c>
      <c r="H69" s="78">
        <f t="shared" si="9"/>
        <v>35667</v>
      </c>
      <c r="I69" s="63"/>
      <c r="J69" s="79"/>
      <c r="K69" s="68"/>
      <c r="L69" s="68"/>
      <c r="M69" s="68"/>
      <c r="N69" s="68"/>
      <c r="O69" s="69"/>
      <c r="Q69" s="59"/>
      <c r="R69" s="59"/>
    </row>
    <row r="70" spans="2:18" ht="12.75" customHeight="1" x14ac:dyDescent="0.2">
      <c r="B70" s="803"/>
      <c r="C70" s="822"/>
      <c r="D70" s="819" t="s">
        <v>185</v>
      </c>
      <c r="E70" s="820"/>
      <c r="F70" s="820"/>
      <c r="G70" s="80">
        <f>O40</f>
        <v>720</v>
      </c>
      <c r="H70" s="78">
        <f t="shared" si="9"/>
        <v>720</v>
      </c>
      <c r="I70" s="63"/>
      <c r="J70" s="67"/>
      <c r="K70" s="68"/>
      <c r="L70" s="68"/>
      <c r="M70" s="68"/>
      <c r="N70" s="68"/>
      <c r="O70" s="69"/>
    </row>
    <row r="71" spans="2:18" x14ac:dyDescent="0.2">
      <c r="B71" s="803"/>
      <c r="C71" s="822"/>
      <c r="D71" s="782" t="s">
        <v>186</v>
      </c>
      <c r="E71" s="783"/>
      <c r="F71" s="783"/>
      <c r="G71" s="81">
        <v>0</v>
      </c>
      <c r="H71" s="78">
        <f t="shared" si="9"/>
        <v>0</v>
      </c>
      <c r="I71" s="63"/>
      <c r="J71" s="82" t="s">
        <v>187</v>
      </c>
      <c r="K71" s="71"/>
      <c r="L71" s="71"/>
      <c r="M71" s="71"/>
      <c r="N71" s="71"/>
      <c r="O71" s="72"/>
    </row>
    <row r="72" spans="2:18" ht="12.75" customHeight="1" x14ac:dyDescent="0.2">
      <c r="B72" s="803"/>
      <c r="C72" s="822"/>
      <c r="D72" s="784" t="s">
        <v>188</v>
      </c>
      <c r="E72" s="783"/>
      <c r="F72" s="783"/>
      <c r="G72" s="80">
        <v>0</v>
      </c>
      <c r="H72" s="78">
        <f t="shared" si="9"/>
        <v>0</v>
      </c>
      <c r="I72" s="63"/>
      <c r="J72" s="75" t="s">
        <v>189</v>
      </c>
      <c r="K72" s="50"/>
      <c r="L72" s="50"/>
      <c r="M72" s="50"/>
      <c r="N72" s="50"/>
      <c r="O72" s="83">
        <f>O42</f>
        <v>7800</v>
      </c>
    </row>
    <row r="73" spans="2:18" ht="14.25" customHeight="1" x14ac:dyDescent="0.2">
      <c r="B73" s="803"/>
      <c r="C73" s="822"/>
      <c r="D73" s="782" t="s">
        <v>190</v>
      </c>
      <c r="E73" s="783"/>
      <c r="F73" s="783"/>
      <c r="G73" s="84">
        <v>0</v>
      </c>
      <c r="H73" s="78">
        <f t="shared" si="9"/>
        <v>0</v>
      </c>
      <c r="I73" s="63"/>
      <c r="J73" s="64"/>
      <c r="K73" s="39"/>
      <c r="L73" s="39"/>
      <c r="M73" s="39"/>
      <c r="N73" s="39"/>
      <c r="O73" s="65"/>
    </row>
    <row r="74" spans="2:18" x14ac:dyDescent="0.2">
      <c r="B74" s="803"/>
      <c r="C74" s="822"/>
      <c r="D74" s="782" t="s">
        <v>191</v>
      </c>
      <c r="E74" s="783"/>
      <c r="F74" s="783"/>
      <c r="G74" s="81">
        <v>0</v>
      </c>
      <c r="H74" s="78">
        <f t="shared" si="9"/>
        <v>0</v>
      </c>
      <c r="I74" s="58"/>
      <c r="J74" s="85"/>
      <c r="K74" s="63"/>
      <c r="L74" s="63"/>
      <c r="M74" s="63"/>
      <c r="N74" s="63"/>
      <c r="O74" s="86"/>
    </row>
    <row r="75" spans="2:18" x14ac:dyDescent="0.2">
      <c r="B75" s="803"/>
      <c r="C75" s="88" t="s">
        <v>192</v>
      </c>
      <c r="D75" s="813" t="s">
        <v>193</v>
      </c>
      <c r="E75" s="814"/>
      <c r="F75" s="814"/>
      <c r="G75" s="80">
        <v>0</v>
      </c>
      <c r="H75" s="78">
        <f t="shared" si="9"/>
        <v>0</v>
      </c>
      <c r="I75" s="58"/>
      <c r="J75" s="60"/>
      <c r="K75" s="68"/>
      <c r="L75" s="68"/>
      <c r="M75" s="50"/>
      <c r="N75" s="50"/>
      <c r="O75" s="83"/>
    </row>
    <row r="76" spans="2:18" ht="13.5" customHeight="1" thickBot="1" x14ac:dyDescent="0.25">
      <c r="B76" s="803"/>
      <c r="C76" s="88" t="s">
        <v>194</v>
      </c>
      <c r="D76" s="815" t="s">
        <v>195</v>
      </c>
      <c r="E76" s="815"/>
      <c r="F76" s="815"/>
      <c r="G76" s="89">
        <v>0</v>
      </c>
      <c r="H76" s="90">
        <f t="shared" si="9"/>
        <v>0</v>
      </c>
      <c r="I76" s="63"/>
      <c r="J76" s="75"/>
      <c r="K76" s="68"/>
      <c r="L76" s="68"/>
      <c r="M76" s="91"/>
      <c r="N76" s="91"/>
      <c r="O76" s="92"/>
    </row>
    <row r="77" spans="2:18" ht="13.5" thickBot="1" x14ac:dyDescent="0.25">
      <c r="B77" s="803"/>
      <c r="C77" s="93"/>
      <c r="D77" s="94"/>
      <c r="E77" s="816" t="s">
        <v>117</v>
      </c>
      <c r="F77" s="817"/>
      <c r="G77" s="95">
        <f>SUM(G68:G76)</f>
        <v>156387</v>
      </c>
      <c r="H77" s="96">
        <f>IF(SUM(G68:G74)&lt;150000,SUM(G68:G74),150000)+IF(+G75&lt;20000,+G75,20000)</f>
        <v>150000</v>
      </c>
      <c r="I77" s="63"/>
      <c r="J77" s="97"/>
      <c r="K77" s="98"/>
      <c r="L77" s="98"/>
      <c r="M77" s="98"/>
      <c r="N77" s="98"/>
      <c r="O77" s="99"/>
    </row>
    <row r="78" spans="2:18" ht="12.75" customHeight="1" x14ac:dyDescent="0.2">
      <c r="B78" s="803"/>
      <c r="C78" s="100" t="s">
        <v>196</v>
      </c>
      <c r="D78" s="782" t="s">
        <v>187</v>
      </c>
      <c r="E78" s="783"/>
      <c r="F78" s="818"/>
      <c r="G78" s="73">
        <v>30181</v>
      </c>
      <c r="H78" s="101">
        <f>+IF(+G78&lt;25000,+G78,25000)</f>
        <v>25000</v>
      </c>
      <c r="I78" s="87"/>
    </row>
    <row r="79" spans="2:18" x14ac:dyDescent="0.2">
      <c r="B79" s="803"/>
      <c r="C79" s="100" t="s">
        <v>197</v>
      </c>
      <c r="D79" s="784" t="s">
        <v>198</v>
      </c>
      <c r="E79" s="785"/>
      <c r="F79" s="786"/>
      <c r="G79" s="102"/>
      <c r="H79" s="103">
        <f>+IF(+G79&lt;40000,+G79,40000)</f>
        <v>0</v>
      </c>
      <c r="I79" s="63"/>
    </row>
    <row r="80" spans="2:18" x14ac:dyDescent="0.2">
      <c r="B80" s="803"/>
      <c r="C80" s="100" t="s">
        <v>199</v>
      </c>
      <c r="D80" s="784" t="s">
        <v>200</v>
      </c>
      <c r="E80" s="785"/>
      <c r="F80" s="786"/>
      <c r="G80" s="81"/>
      <c r="H80" s="104">
        <v>0</v>
      </c>
      <c r="I80" s="63"/>
      <c r="J80" s="1" t="s">
        <v>448</v>
      </c>
    </row>
    <row r="81" spans="2:12" x14ac:dyDescent="0.2">
      <c r="B81" s="803"/>
      <c r="C81" s="100" t="s">
        <v>201</v>
      </c>
      <c r="D81" s="784" t="s">
        <v>202</v>
      </c>
      <c r="E81" s="785"/>
      <c r="F81" s="786"/>
      <c r="G81" s="81"/>
      <c r="H81" s="104">
        <v>0</v>
      </c>
      <c r="I81" s="63"/>
    </row>
    <row r="82" spans="2:12" ht="13.5" thickBot="1" x14ac:dyDescent="0.25">
      <c r="B82" s="804"/>
      <c r="C82" s="100" t="s">
        <v>203</v>
      </c>
      <c r="D82" s="784" t="s">
        <v>204</v>
      </c>
      <c r="E82" s="785"/>
      <c r="F82" s="786"/>
      <c r="G82" s="102"/>
      <c r="H82" s="103">
        <f>+IF(+G82&lt;100000,+G82,10000)</f>
        <v>0</v>
      </c>
      <c r="I82" s="63"/>
    </row>
    <row r="83" spans="2:12" ht="13.5" thickBot="1" x14ac:dyDescent="0.25">
      <c r="B83" s="787" t="s">
        <v>205</v>
      </c>
      <c r="C83" s="788"/>
      <c r="D83" s="788"/>
      <c r="E83" s="788"/>
      <c r="F83" s="788"/>
      <c r="G83" s="107">
        <f>SUM(G78:G82)</f>
        <v>30181</v>
      </c>
      <c r="H83" s="108">
        <f>SUM(H77:H82)</f>
        <v>175000</v>
      </c>
    </row>
    <row r="84" spans="2:12" ht="13.5" thickBot="1" x14ac:dyDescent="0.25"/>
    <row r="85" spans="2:12" ht="13.5" thickBot="1" x14ac:dyDescent="0.25">
      <c r="B85" s="789" t="s">
        <v>206</v>
      </c>
      <c r="C85" s="790"/>
      <c r="D85" s="790"/>
      <c r="E85" s="790"/>
      <c r="F85" s="791"/>
      <c r="G85" s="792">
        <f>+G64-H83</f>
        <v>1036702</v>
      </c>
      <c r="H85" s="791"/>
      <c r="J85" s="105">
        <f>C37+D37+E37+F37</f>
        <v>390960</v>
      </c>
      <c r="K85" s="16" t="s">
        <v>235</v>
      </c>
    </row>
    <row r="86" spans="2:12" x14ac:dyDescent="0.2">
      <c r="B86" s="110"/>
      <c r="F86" s="105"/>
      <c r="J86" s="105">
        <f>G37+H37+I37</f>
        <v>352484</v>
      </c>
      <c r="K86" s="16" t="s">
        <v>236</v>
      </c>
      <c r="L86" s="16">
        <f>+J86/3</f>
        <v>117494.66666666667</v>
      </c>
    </row>
    <row r="87" spans="2:12" x14ac:dyDescent="0.2">
      <c r="C87" s="793" t="s">
        <v>207</v>
      </c>
      <c r="D87" s="794"/>
      <c r="E87" s="111" t="s">
        <v>208</v>
      </c>
      <c r="F87" s="111" t="s">
        <v>209</v>
      </c>
      <c r="G87" s="111" t="s">
        <v>210</v>
      </c>
      <c r="H87" s="111" t="s">
        <v>211</v>
      </c>
      <c r="J87" s="213">
        <f>J37+K37+L37</f>
        <v>311450</v>
      </c>
      <c r="K87" s="47" t="s">
        <v>237</v>
      </c>
    </row>
    <row r="88" spans="2:12" x14ac:dyDescent="0.2">
      <c r="C88" s="795" t="str">
        <f>IF(I6="M","0          - 250000","0          -  250000")</f>
        <v>0          - 250000</v>
      </c>
      <c r="D88" s="796"/>
      <c r="E88" s="112">
        <v>0</v>
      </c>
      <c r="F88" s="113">
        <f>IF(I6="M",(IF(G85&lt;250000,G85,250000)),(IF(G85&lt;250000,G85,250000)))</f>
        <v>250000</v>
      </c>
      <c r="G88" s="113">
        <f>G85-F88</f>
        <v>786702</v>
      </c>
      <c r="H88" s="113">
        <f>E88*F88</f>
        <v>0</v>
      </c>
      <c r="J88" s="207">
        <f>M37+N37</f>
        <v>199308</v>
      </c>
      <c r="K88" s="1" t="s">
        <v>238</v>
      </c>
    </row>
    <row r="89" spans="2:12" x14ac:dyDescent="0.2">
      <c r="C89" s="795" t="str">
        <f>IF(I6="M","250001 - 500000","250001-500000")</f>
        <v>250001 - 500000</v>
      </c>
      <c r="D89" s="796"/>
      <c r="E89" s="112">
        <v>0.05</v>
      </c>
      <c r="F89" s="113">
        <f>IF(I6="M",(IF(G88&lt;250000,G88,250000)),(IF(G88&lt;250000,G88,250000)))</f>
        <v>250000</v>
      </c>
      <c r="G89" s="113">
        <f>G88-F89</f>
        <v>536702</v>
      </c>
      <c r="H89" s="114">
        <f>ROUND(E89*F89,0.1)</f>
        <v>12500</v>
      </c>
      <c r="J89" s="115">
        <f>SUM(J85:J88)</f>
        <v>1254202</v>
      </c>
    </row>
    <row r="90" spans="2:12" x14ac:dyDescent="0.2">
      <c r="C90" s="797" t="s">
        <v>212</v>
      </c>
      <c r="D90" s="798"/>
      <c r="E90" s="112">
        <v>0.2</v>
      </c>
      <c r="F90" s="113">
        <f>IF(G89&lt;500000,G89,500000)</f>
        <v>500000</v>
      </c>
      <c r="G90" s="113">
        <f>G89-F90</f>
        <v>36702</v>
      </c>
      <c r="H90" s="114">
        <f>ROUND(E90*F90,0.1)</f>
        <v>100000</v>
      </c>
      <c r="J90" s="16">
        <f>+G85</f>
        <v>1036702</v>
      </c>
    </row>
    <row r="91" spans="2:12" x14ac:dyDescent="0.2">
      <c r="C91" s="795" t="s">
        <v>213</v>
      </c>
      <c r="D91" s="796"/>
      <c r="E91" s="112">
        <v>0.3</v>
      </c>
      <c r="F91" s="113">
        <f>G90</f>
        <v>36702</v>
      </c>
      <c r="G91" s="113">
        <f>G90-F91</f>
        <v>0</v>
      </c>
      <c r="H91" s="114">
        <f>ROUND(E91*F91,0.1)</f>
        <v>11011</v>
      </c>
      <c r="J91" s="16">
        <f>+J89-J90</f>
        <v>217500</v>
      </c>
    </row>
    <row r="92" spans="2:12" ht="12.75" customHeight="1" thickBot="1" x14ac:dyDescent="0.25">
      <c r="B92" s="116"/>
      <c r="C92" s="117"/>
      <c r="D92" s="47"/>
      <c r="E92" s="47"/>
      <c r="F92" s="47"/>
      <c r="J92" s="87"/>
      <c r="K92" s="118"/>
    </row>
    <row r="93" spans="2:12" ht="13.5" thickBot="1" x14ac:dyDescent="0.25">
      <c r="B93" s="799" t="s">
        <v>239</v>
      </c>
      <c r="C93" s="800"/>
      <c r="D93" s="800"/>
      <c r="E93" s="800"/>
      <c r="F93" s="801"/>
      <c r="G93" s="771">
        <f>H88+H89+H90+H91</f>
        <v>123511</v>
      </c>
      <c r="H93" s="772"/>
    </row>
    <row r="94" spans="2:12" ht="13.5" thickBot="1" x14ac:dyDescent="0.25">
      <c r="B94" s="119" t="s">
        <v>215</v>
      </c>
      <c r="C94" s="120"/>
      <c r="D94" s="120"/>
      <c r="E94" s="120"/>
      <c r="F94" s="120"/>
      <c r="G94" s="884">
        <f>IF((G64&lt;500000),5000,0)</f>
        <v>0</v>
      </c>
      <c r="H94" s="885">
        <f>IF(H92&lt;200000,0,IF(H92&lt;220000,((H92-200000)*10%),IF(H92&lt;=500000,2000,IF(H92&gt;=500000,0))))</f>
        <v>0</v>
      </c>
      <c r="J94" s="1"/>
      <c r="K94" s="121"/>
      <c r="L94" s="121"/>
    </row>
    <row r="95" spans="2:12" ht="13.5" thickBot="1" x14ac:dyDescent="0.25">
      <c r="B95" s="122" t="s">
        <v>216</v>
      </c>
      <c r="C95" s="123"/>
      <c r="D95" s="123"/>
      <c r="E95" s="123"/>
      <c r="F95" s="123"/>
      <c r="G95" s="771">
        <f>IF((G93-G94)&lt;0,0,(G93-G94))</f>
        <v>123511</v>
      </c>
      <c r="H95" s="772"/>
      <c r="I95" s="37"/>
    </row>
    <row r="96" spans="2:12" ht="13.5" thickBot="1" x14ac:dyDescent="0.25">
      <c r="B96" s="773" t="s">
        <v>240</v>
      </c>
      <c r="C96" s="774"/>
      <c r="D96" s="774"/>
      <c r="E96" s="774"/>
      <c r="F96" s="775"/>
      <c r="G96" s="776">
        <f>ROUND((IF(G95&gt;0,(G95*4%),0)),0)</f>
        <v>4940</v>
      </c>
      <c r="H96" s="777"/>
      <c r="I96" s="37"/>
    </row>
    <row r="97" spans="2:9" ht="13.5" thickBot="1" x14ac:dyDescent="0.25">
      <c r="B97" s="778" t="s">
        <v>218</v>
      </c>
      <c r="C97" s="779"/>
      <c r="D97" s="779"/>
      <c r="E97" s="779"/>
      <c r="F97" s="779"/>
      <c r="G97" s="780">
        <f>G95+G96</f>
        <v>128451</v>
      </c>
      <c r="H97" s="781"/>
      <c r="I97" s="121"/>
    </row>
    <row r="98" spans="2:9" ht="13.5" thickBot="1" x14ac:dyDescent="0.25">
      <c r="B98" s="765" t="s">
        <v>219</v>
      </c>
      <c r="C98" s="766"/>
      <c r="D98" s="766"/>
      <c r="E98" s="766"/>
      <c r="F98" s="766"/>
      <c r="G98" s="767">
        <f>O38</f>
        <v>128765</v>
      </c>
      <c r="H98" s="768"/>
      <c r="I98" s="121"/>
    </row>
    <row r="99" spans="2:9" ht="13.5" thickBot="1" x14ac:dyDescent="0.25">
      <c r="B99" s="765" t="str">
        <f>IF(G99&gt;0,"TAX PAYABLE","TAX REFUND")</f>
        <v>TAX REFUND</v>
      </c>
      <c r="C99" s="766"/>
      <c r="D99" s="766"/>
      <c r="E99" s="766"/>
      <c r="F99" s="766"/>
      <c r="G99" s="767">
        <f>+G97-G98</f>
        <v>-314</v>
      </c>
      <c r="H99" s="768"/>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0:F90 B99:F99 B93:F97">
    <cfRule type="cellIs" dxfId="2121" priority="3" stopIfTrue="1" operator="equal">
      <formula>"TAX PAYABLE"</formula>
    </cfRule>
    <cfRule type="cellIs" dxfId="2120" priority="4" stopIfTrue="1" operator="equal">
      <formula>"TAX REFUND"</formula>
    </cfRule>
  </conditionalFormatting>
  <conditionalFormatting sqref="G90">
    <cfRule type="cellIs" dxfId="2119" priority="5" stopIfTrue="1" operator="lessThan">
      <formula>0</formula>
    </cfRule>
    <cfRule type="cellIs" dxfId="2118" priority="6" stopIfTrue="1" operator="greaterThan">
      <formula>0</formula>
    </cfRule>
  </conditionalFormatting>
  <conditionalFormatting sqref="G99:H99">
    <cfRule type="cellIs" dxfId="2117" priority="1" stopIfTrue="1" operator="greaterThan">
      <formula>0</formula>
    </cfRule>
    <cfRule type="cellIs" dxfId="2116"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hyperlinks>
    <hyperlink ref="J51" r:id="rId1" display="+J37-@sum(J22:J36)"/>
  </hyperlinks>
  <pageMargins left="0.7" right="0.7" top="0.75" bottom="0.75" header="0.3" footer="0.3"/>
  <pageSetup paperSize="5" orientation="landscape" horizontalDpi="300" verticalDpi="300" r:id="rId2"/>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7"/>
  <sheetViews>
    <sheetView topLeftCell="A65" workbookViewId="0">
      <selection activeCell="N39" sqref="N39"/>
    </sheetView>
  </sheetViews>
  <sheetFormatPr defaultRowHeight="12.75" x14ac:dyDescent="0.2"/>
  <cols>
    <col min="1" max="1" width="5" style="16" customWidth="1"/>
    <col min="2" max="2" width="18.42578125" style="37" customWidth="1"/>
    <col min="3" max="3" width="8.7109375" style="16" customWidth="1"/>
    <col min="4" max="5" width="8.28515625" style="16" customWidth="1"/>
    <col min="6" max="8" width="8.5703125" style="16" customWidth="1"/>
    <col min="9" max="15" width="8.2851562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8.42578125" style="16" customWidth="1"/>
    <col min="259" max="259" width="8.7109375" style="16" customWidth="1"/>
    <col min="260" max="261" width="8.28515625" style="16" customWidth="1"/>
    <col min="262" max="264" width="8.5703125" style="16" customWidth="1"/>
    <col min="265" max="271" width="8.2851562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8.42578125" style="16" customWidth="1"/>
    <col min="515" max="515" width="8.7109375" style="16" customWidth="1"/>
    <col min="516" max="517" width="8.28515625" style="16" customWidth="1"/>
    <col min="518" max="520" width="8.5703125" style="16" customWidth="1"/>
    <col min="521" max="527" width="8.2851562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8.42578125" style="16" customWidth="1"/>
    <col min="771" max="771" width="8.7109375" style="16" customWidth="1"/>
    <col min="772" max="773" width="8.28515625" style="16" customWidth="1"/>
    <col min="774" max="776" width="8.5703125" style="16" customWidth="1"/>
    <col min="777" max="783" width="8.2851562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8.42578125" style="16" customWidth="1"/>
    <col min="1027" max="1027" width="8.7109375" style="16" customWidth="1"/>
    <col min="1028" max="1029" width="8.28515625" style="16" customWidth="1"/>
    <col min="1030" max="1032" width="8.5703125" style="16" customWidth="1"/>
    <col min="1033" max="1039" width="8.2851562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8.42578125" style="16" customWidth="1"/>
    <col min="1283" max="1283" width="8.7109375" style="16" customWidth="1"/>
    <col min="1284" max="1285" width="8.28515625" style="16" customWidth="1"/>
    <col min="1286" max="1288" width="8.5703125" style="16" customWidth="1"/>
    <col min="1289" max="1295" width="8.2851562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8.42578125" style="16" customWidth="1"/>
    <col min="1539" max="1539" width="8.7109375" style="16" customWidth="1"/>
    <col min="1540" max="1541" width="8.28515625" style="16" customWidth="1"/>
    <col min="1542" max="1544" width="8.5703125" style="16" customWidth="1"/>
    <col min="1545" max="1551" width="8.2851562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8.42578125" style="16" customWidth="1"/>
    <col min="1795" max="1795" width="8.7109375" style="16" customWidth="1"/>
    <col min="1796" max="1797" width="8.28515625" style="16" customWidth="1"/>
    <col min="1798" max="1800" width="8.5703125" style="16" customWidth="1"/>
    <col min="1801" max="1807" width="8.2851562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8.42578125" style="16" customWidth="1"/>
    <col min="2051" max="2051" width="8.7109375" style="16" customWidth="1"/>
    <col min="2052" max="2053" width="8.28515625" style="16" customWidth="1"/>
    <col min="2054" max="2056" width="8.5703125" style="16" customWidth="1"/>
    <col min="2057" max="2063" width="8.2851562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8.42578125" style="16" customWidth="1"/>
    <col min="2307" max="2307" width="8.7109375" style="16" customWidth="1"/>
    <col min="2308" max="2309" width="8.28515625" style="16" customWidth="1"/>
    <col min="2310" max="2312" width="8.5703125" style="16" customWidth="1"/>
    <col min="2313" max="2319" width="8.2851562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8.42578125" style="16" customWidth="1"/>
    <col min="2563" max="2563" width="8.7109375" style="16" customWidth="1"/>
    <col min="2564" max="2565" width="8.28515625" style="16" customWidth="1"/>
    <col min="2566" max="2568" width="8.5703125" style="16" customWidth="1"/>
    <col min="2569" max="2575" width="8.2851562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8.42578125" style="16" customWidth="1"/>
    <col min="2819" max="2819" width="8.7109375" style="16" customWidth="1"/>
    <col min="2820" max="2821" width="8.28515625" style="16" customWidth="1"/>
    <col min="2822" max="2824" width="8.5703125" style="16" customWidth="1"/>
    <col min="2825" max="2831" width="8.2851562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8.42578125" style="16" customWidth="1"/>
    <col min="3075" max="3075" width="8.7109375" style="16" customWidth="1"/>
    <col min="3076" max="3077" width="8.28515625" style="16" customWidth="1"/>
    <col min="3078" max="3080" width="8.5703125" style="16" customWidth="1"/>
    <col min="3081" max="3087" width="8.2851562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8.42578125" style="16" customWidth="1"/>
    <col min="3331" max="3331" width="8.7109375" style="16" customWidth="1"/>
    <col min="3332" max="3333" width="8.28515625" style="16" customWidth="1"/>
    <col min="3334" max="3336" width="8.5703125" style="16" customWidth="1"/>
    <col min="3337" max="3343" width="8.2851562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8.42578125" style="16" customWidth="1"/>
    <col min="3587" max="3587" width="8.7109375" style="16" customWidth="1"/>
    <col min="3588" max="3589" width="8.28515625" style="16" customWidth="1"/>
    <col min="3590" max="3592" width="8.5703125" style="16" customWidth="1"/>
    <col min="3593" max="3599" width="8.2851562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8.42578125" style="16" customWidth="1"/>
    <col min="3843" max="3843" width="8.7109375" style="16" customWidth="1"/>
    <col min="3844" max="3845" width="8.28515625" style="16" customWidth="1"/>
    <col min="3846" max="3848" width="8.5703125" style="16" customWidth="1"/>
    <col min="3849" max="3855" width="8.2851562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8.42578125" style="16" customWidth="1"/>
    <col min="4099" max="4099" width="8.7109375" style="16" customWidth="1"/>
    <col min="4100" max="4101" width="8.28515625" style="16" customWidth="1"/>
    <col min="4102" max="4104" width="8.5703125" style="16" customWidth="1"/>
    <col min="4105" max="4111" width="8.2851562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8.42578125" style="16" customWidth="1"/>
    <col min="4355" max="4355" width="8.7109375" style="16" customWidth="1"/>
    <col min="4356" max="4357" width="8.28515625" style="16" customWidth="1"/>
    <col min="4358" max="4360" width="8.5703125" style="16" customWidth="1"/>
    <col min="4361" max="4367" width="8.2851562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8.42578125" style="16" customWidth="1"/>
    <col min="4611" max="4611" width="8.7109375" style="16" customWidth="1"/>
    <col min="4612" max="4613" width="8.28515625" style="16" customWidth="1"/>
    <col min="4614" max="4616" width="8.5703125" style="16" customWidth="1"/>
    <col min="4617" max="4623" width="8.2851562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8.42578125" style="16" customWidth="1"/>
    <col min="4867" max="4867" width="8.7109375" style="16" customWidth="1"/>
    <col min="4868" max="4869" width="8.28515625" style="16" customWidth="1"/>
    <col min="4870" max="4872" width="8.5703125" style="16" customWidth="1"/>
    <col min="4873" max="4879" width="8.2851562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8.42578125" style="16" customWidth="1"/>
    <col min="5123" max="5123" width="8.7109375" style="16" customWidth="1"/>
    <col min="5124" max="5125" width="8.28515625" style="16" customWidth="1"/>
    <col min="5126" max="5128" width="8.5703125" style="16" customWidth="1"/>
    <col min="5129" max="5135" width="8.2851562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8.42578125" style="16" customWidth="1"/>
    <col min="5379" max="5379" width="8.7109375" style="16" customWidth="1"/>
    <col min="5380" max="5381" width="8.28515625" style="16" customWidth="1"/>
    <col min="5382" max="5384" width="8.5703125" style="16" customWidth="1"/>
    <col min="5385" max="5391" width="8.2851562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8.42578125" style="16" customWidth="1"/>
    <col min="5635" max="5635" width="8.7109375" style="16" customWidth="1"/>
    <col min="5636" max="5637" width="8.28515625" style="16" customWidth="1"/>
    <col min="5638" max="5640" width="8.5703125" style="16" customWidth="1"/>
    <col min="5641" max="5647" width="8.2851562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8.42578125" style="16" customWidth="1"/>
    <col min="5891" max="5891" width="8.7109375" style="16" customWidth="1"/>
    <col min="5892" max="5893" width="8.28515625" style="16" customWidth="1"/>
    <col min="5894" max="5896" width="8.5703125" style="16" customWidth="1"/>
    <col min="5897" max="5903" width="8.2851562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8.42578125" style="16" customWidth="1"/>
    <col min="6147" max="6147" width="8.7109375" style="16" customWidth="1"/>
    <col min="6148" max="6149" width="8.28515625" style="16" customWidth="1"/>
    <col min="6150" max="6152" width="8.5703125" style="16" customWidth="1"/>
    <col min="6153" max="6159" width="8.2851562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8.42578125" style="16" customWidth="1"/>
    <col min="6403" max="6403" width="8.7109375" style="16" customWidth="1"/>
    <col min="6404" max="6405" width="8.28515625" style="16" customWidth="1"/>
    <col min="6406" max="6408" width="8.5703125" style="16" customWidth="1"/>
    <col min="6409" max="6415" width="8.2851562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8.42578125" style="16" customWidth="1"/>
    <col min="6659" max="6659" width="8.7109375" style="16" customWidth="1"/>
    <col min="6660" max="6661" width="8.28515625" style="16" customWidth="1"/>
    <col min="6662" max="6664" width="8.5703125" style="16" customWidth="1"/>
    <col min="6665" max="6671" width="8.2851562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8.42578125" style="16" customWidth="1"/>
    <col min="6915" max="6915" width="8.7109375" style="16" customWidth="1"/>
    <col min="6916" max="6917" width="8.28515625" style="16" customWidth="1"/>
    <col min="6918" max="6920" width="8.5703125" style="16" customWidth="1"/>
    <col min="6921" max="6927" width="8.2851562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8.42578125" style="16" customWidth="1"/>
    <col min="7171" max="7171" width="8.7109375" style="16" customWidth="1"/>
    <col min="7172" max="7173" width="8.28515625" style="16" customWidth="1"/>
    <col min="7174" max="7176" width="8.5703125" style="16" customWidth="1"/>
    <col min="7177" max="7183" width="8.2851562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8.42578125" style="16" customWidth="1"/>
    <col min="7427" max="7427" width="8.7109375" style="16" customWidth="1"/>
    <col min="7428" max="7429" width="8.28515625" style="16" customWidth="1"/>
    <col min="7430" max="7432" width="8.5703125" style="16" customWidth="1"/>
    <col min="7433" max="7439" width="8.2851562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8.42578125" style="16" customWidth="1"/>
    <col min="7683" max="7683" width="8.7109375" style="16" customWidth="1"/>
    <col min="7684" max="7685" width="8.28515625" style="16" customWidth="1"/>
    <col min="7686" max="7688" width="8.5703125" style="16" customWidth="1"/>
    <col min="7689" max="7695" width="8.2851562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8.42578125" style="16" customWidth="1"/>
    <col min="7939" max="7939" width="8.7109375" style="16" customWidth="1"/>
    <col min="7940" max="7941" width="8.28515625" style="16" customWidth="1"/>
    <col min="7942" max="7944" width="8.5703125" style="16" customWidth="1"/>
    <col min="7945" max="7951" width="8.2851562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8.42578125" style="16" customWidth="1"/>
    <col min="8195" max="8195" width="8.7109375" style="16" customWidth="1"/>
    <col min="8196" max="8197" width="8.28515625" style="16" customWidth="1"/>
    <col min="8198" max="8200" width="8.5703125" style="16" customWidth="1"/>
    <col min="8201" max="8207" width="8.2851562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8.42578125" style="16" customWidth="1"/>
    <col min="8451" max="8451" width="8.7109375" style="16" customWidth="1"/>
    <col min="8452" max="8453" width="8.28515625" style="16" customWidth="1"/>
    <col min="8454" max="8456" width="8.5703125" style="16" customWidth="1"/>
    <col min="8457" max="8463" width="8.2851562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8.42578125" style="16" customWidth="1"/>
    <col min="8707" max="8707" width="8.7109375" style="16" customWidth="1"/>
    <col min="8708" max="8709" width="8.28515625" style="16" customWidth="1"/>
    <col min="8710" max="8712" width="8.5703125" style="16" customWidth="1"/>
    <col min="8713" max="8719" width="8.2851562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8.42578125" style="16" customWidth="1"/>
    <col min="8963" max="8963" width="8.7109375" style="16" customWidth="1"/>
    <col min="8964" max="8965" width="8.28515625" style="16" customWidth="1"/>
    <col min="8966" max="8968" width="8.5703125" style="16" customWidth="1"/>
    <col min="8969" max="8975" width="8.2851562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8.42578125" style="16" customWidth="1"/>
    <col min="9219" max="9219" width="8.7109375" style="16" customWidth="1"/>
    <col min="9220" max="9221" width="8.28515625" style="16" customWidth="1"/>
    <col min="9222" max="9224" width="8.5703125" style="16" customWidth="1"/>
    <col min="9225" max="9231" width="8.2851562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8.42578125" style="16" customWidth="1"/>
    <col min="9475" max="9475" width="8.7109375" style="16" customWidth="1"/>
    <col min="9476" max="9477" width="8.28515625" style="16" customWidth="1"/>
    <col min="9478" max="9480" width="8.5703125" style="16" customWidth="1"/>
    <col min="9481" max="9487" width="8.2851562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8.42578125" style="16" customWidth="1"/>
    <col min="9731" max="9731" width="8.7109375" style="16" customWidth="1"/>
    <col min="9732" max="9733" width="8.28515625" style="16" customWidth="1"/>
    <col min="9734" max="9736" width="8.5703125" style="16" customWidth="1"/>
    <col min="9737" max="9743" width="8.2851562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8.42578125" style="16" customWidth="1"/>
    <col min="9987" max="9987" width="8.7109375" style="16" customWidth="1"/>
    <col min="9988" max="9989" width="8.28515625" style="16" customWidth="1"/>
    <col min="9990" max="9992" width="8.5703125" style="16" customWidth="1"/>
    <col min="9993" max="9999" width="8.2851562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8.42578125" style="16" customWidth="1"/>
    <col min="10243" max="10243" width="8.7109375" style="16" customWidth="1"/>
    <col min="10244" max="10245" width="8.28515625" style="16" customWidth="1"/>
    <col min="10246" max="10248" width="8.5703125" style="16" customWidth="1"/>
    <col min="10249" max="10255" width="8.2851562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8.42578125" style="16" customWidth="1"/>
    <col min="10499" max="10499" width="8.7109375" style="16" customWidth="1"/>
    <col min="10500" max="10501" width="8.28515625" style="16" customWidth="1"/>
    <col min="10502" max="10504" width="8.5703125" style="16" customWidth="1"/>
    <col min="10505" max="10511" width="8.2851562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8.42578125" style="16" customWidth="1"/>
    <col min="10755" max="10755" width="8.7109375" style="16" customWidth="1"/>
    <col min="10756" max="10757" width="8.28515625" style="16" customWidth="1"/>
    <col min="10758" max="10760" width="8.5703125" style="16" customWidth="1"/>
    <col min="10761" max="10767" width="8.2851562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8.42578125" style="16" customWidth="1"/>
    <col min="11011" max="11011" width="8.7109375" style="16" customWidth="1"/>
    <col min="11012" max="11013" width="8.28515625" style="16" customWidth="1"/>
    <col min="11014" max="11016" width="8.5703125" style="16" customWidth="1"/>
    <col min="11017" max="11023" width="8.2851562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8.42578125" style="16" customWidth="1"/>
    <col min="11267" max="11267" width="8.7109375" style="16" customWidth="1"/>
    <col min="11268" max="11269" width="8.28515625" style="16" customWidth="1"/>
    <col min="11270" max="11272" width="8.5703125" style="16" customWidth="1"/>
    <col min="11273" max="11279" width="8.2851562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8.42578125" style="16" customWidth="1"/>
    <col min="11523" max="11523" width="8.7109375" style="16" customWidth="1"/>
    <col min="11524" max="11525" width="8.28515625" style="16" customWidth="1"/>
    <col min="11526" max="11528" width="8.5703125" style="16" customWidth="1"/>
    <col min="11529" max="11535" width="8.2851562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8.42578125" style="16" customWidth="1"/>
    <col min="11779" max="11779" width="8.7109375" style="16" customWidth="1"/>
    <col min="11780" max="11781" width="8.28515625" style="16" customWidth="1"/>
    <col min="11782" max="11784" width="8.5703125" style="16" customWidth="1"/>
    <col min="11785" max="11791" width="8.2851562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8.42578125" style="16" customWidth="1"/>
    <col min="12035" max="12035" width="8.7109375" style="16" customWidth="1"/>
    <col min="12036" max="12037" width="8.28515625" style="16" customWidth="1"/>
    <col min="12038" max="12040" width="8.5703125" style="16" customWidth="1"/>
    <col min="12041" max="12047" width="8.2851562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8.42578125" style="16" customWidth="1"/>
    <col min="12291" max="12291" width="8.7109375" style="16" customWidth="1"/>
    <col min="12292" max="12293" width="8.28515625" style="16" customWidth="1"/>
    <col min="12294" max="12296" width="8.5703125" style="16" customWidth="1"/>
    <col min="12297" max="12303" width="8.2851562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8.42578125" style="16" customWidth="1"/>
    <col min="12547" max="12547" width="8.7109375" style="16" customWidth="1"/>
    <col min="12548" max="12549" width="8.28515625" style="16" customWidth="1"/>
    <col min="12550" max="12552" width="8.5703125" style="16" customWidth="1"/>
    <col min="12553" max="12559" width="8.2851562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8.42578125" style="16" customWidth="1"/>
    <col min="12803" max="12803" width="8.7109375" style="16" customWidth="1"/>
    <col min="12804" max="12805" width="8.28515625" style="16" customWidth="1"/>
    <col min="12806" max="12808" width="8.5703125" style="16" customWidth="1"/>
    <col min="12809" max="12815" width="8.2851562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8.42578125" style="16" customWidth="1"/>
    <col min="13059" max="13059" width="8.7109375" style="16" customWidth="1"/>
    <col min="13060" max="13061" width="8.28515625" style="16" customWidth="1"/>
    <col min="13062" max="13064" width="8.5703125" style="16" customWidth="1"/>
    <col min="13065" max="13071" width="8.2851562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8.42578125" style="16" customWidth="1"/>
    <col min="13315" max="13315" width="8.7109375" style="16" customWidth="1"/>
    <col min="13316" max="13317" width="8.28515625" style="16" customWidth="1"/>
    <col min="13318" max="13320" width="8.5703125" style="16" customWidth="1"/>
    <col min="13321" max="13327" width="8.2851562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8.42578125" style="16" customWidth="1"/>
    <col min="13571" max="13571" width="8.7109375" style="16" customWidth="1"/>
    <col min="13572" max="13573" width="8.28515625" style="16" customWidth="1"/>
    <col min="13574" max="13576" width="8.5703125" style="16" customWidth="1"/>
    <col min="13577" max="13583" width="8.2851562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8.42578125" style="16" customWidth="1"/>
    <col min="13827" max="13827" width="8.7109375" style="16" customWidth="1"/>
    <col min="13828" max="13829" width="8.28515625" style="16" customWidth="1"/>
    <col min="13830" max="13832" width="8.5703125" style="16" customWidth="1"/>
    <col min="13833" max="13839" width="8.2851562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8.42578125" style="16" customWidth="1"/>
    <col min="14083" max="14083" width="8.7109375" style="16" customWidth="1"/>
    <col min="14084" max="14085" width="8.28515625" style="16" customWidth="1"/>
    <col min="14086" max="14088" width="8.5703125" style="16" customWidth="1"/>
    <col min="14089" max="14095" width="8.2851562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8.42578125" style="16" customWidth="1"/>
    <col min="14339" max="14339" width="8.7109375" style="16" customWidth="1"/>
    <col min="14340" max="14341" width="8.28515625" style="16" customWidth="1"/>
    <col min="14342" max="14344" width="8.5703125" style="16" customWidth="1"/>
    <col min="14345" max="14351" width="8.2851562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8.42578125" style="16" customWidth="1"/>
    <col min="14595" max="14595" width="8.7109375" style="16" customWidth="1"/>
    <col min="14596" max="14597" width="8.28515625" style="16" customWidth="1"/>
    <col min="14598" max="14600" width="8.5703125" style="16" customWidth="1"/>
    <col min="14601" max="14607" width="8.2851562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8.42578125" style="16" customWidth="1"/>
    <col min="14851" max="14851" width="8.7109375" style="16" customWidth="1"/>
    <col min="14852" max="14853" width="8.28515625" style="16" customWidth="1"/>
    <col min="14854" max="14856" width="8.5703125" style="16" customWidth="1"/>
    <col min="14857" max="14863" width="8.2851562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8.42578125" style="16" customWidth="1"/>
    <col min="15107" max="15107" width="8.7109375" style="16" customWidth="1"/>
    <col min="15108" max="15109" width="8.28515625" style="16" customWidth="1"/>
    <col min="15110" max="15112" width="8.5703125" style="16" customWidth="1"/>
    <col min="15113" max="15119" width="8.2851562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8.42578125" style="16" customWidth="1"/>
    <col min="15363" max="15363" width="8.7109375" style="16" customWidth="1"/>
    <col min="15364" max="15365" width="8.28515625" style="16" customWidth="1"/>
    <col min="15366" max="15368" width="8.5703125" style="16" customWidth="1"/>
    <col min="15369" max="15375" width="8.2851562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8.42578125" style="16" customWidth="1"/>
    <col min="15619" max="15619" width="8.7109375" style="16" customWidth="1"/>
    <col min="15620" max="15621" width="8.28515625" style="16" customWidth="1"/>
    <col min="15622" max="15624" width="8.5703125" style="16" customWidth="1"/>
    <col min="15625" max="15631" width="8.2851562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8.42578125" style="16" customWidth="1"/>
    <col min="15875" max="15875" width="8.7109375" style="16" customWidth="1"/>
    <col min="15876" max="15877" width="8.28515625" style="16" customWidth="1"/>
    <col min="15878" max="15880" width="8.5703125" style="16" customWidth="1"/>
    <col min="15881" max="15887" width="8.2851562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8.42578125" style="16" customWidth="1"/>
    <col min="16131" max="16131" width="8.7109375" style="16" customWidth="1"/>
    <col min="16132" max="16133" width="8.28515625" style="16" customWidth="1"/>
    <col min="16134" max="16136" width="8.5703125" style="16" customWidth="1"/>
    <col min="16137" max="16143" width="8.2851562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67" t="s">
        <v>100</v>
      </c>
      <c r="B1" s="868"/>
      <c r="C1" s="868"/>
      <c r="D1" s="911" t="s">
        <v>1149</v>
      </c>
      <c r="E1" s="868"/>
      <c r="F1" s="868"/>
      <c r="G1" s="867" t="s">
        <v>102</v>
      </c>
      <c r="H1" s="869"/>
      <c r="I1" s="869" t="s">
        <v>31</v>
      </c>
      <c r="J1" s="868"/>
      <c r="K1" s="868"/>
      <c r="L1" s="870"/>
      <c r="M1" s="870"/>
      <c r="N1" s="870"/>
      <c r="O1" s="870"/>
    </row>
    <row r="2" spans="1:15" s="1" customFormat="1" x14ac:dyDescent="0.2">
      <c r="A2" s="867" t="s">
        <v>103</v>
      </c>
      <c r="B2" s="868"/>
      <c r="C2" s="868"/>
      <c r="D2" s="869"/>
      <c r="E2" s="868"/>
      <c r="F2" s="868"/>
      <c r="G2" s="867" t="s">
        <v>104</v>
      </c>
      <c r="H2" s="869"/>
      <c r="I2" s="869" t="s">
        <v>105</v>
      </c>
      <c r="J2" s="868"/>
      <c r="K2" s="868"/>
      <c r="L2" s="870"/>
      <c r="M2" s="870"/>
      <c r="N2" s="870"/>
      <c r="O2" s="870"/>
    </row>
    <row r="3" spans="1:15" s="1" customFormat="1" x14ac:dyDescent="0.2">
      <c r="A3" s="867" t="s">
        <v>106</v>
      </c>
      <c r="B3" s="868"/>
      <c r="C3" s="868"/>
      <c r="D3" s="883" t="s">
        <v>1150</v>
      </c>
      <c r="E3" s="868"/>
      <c r="F3" s="868"/>
      <c r="G3" s="867" t="s">
        <v>107</v>
      </c>
      <c r="H3" s="869"/>
      <c r="I3" s="869" t="s">
        <v>108</v>
      </c>
      <c r="J3" s="868"/>
      <c r="K3" s="868"/>
      <c r="L3" s="870"/>
      <c r="M3" s="870"/>
      <c r="N3" s="870"/>
      <c r="O3" s="870"/>
    </row>
    <row r="4" spans="1:15" s="1" customFormat="1" x14ac:dyDescent="0.2">
      <c r="A4" s="867" t="s">
        <v>109</v>
      </c>
      <c r="B4" s="868"/>
      <c r="C4" s="868"/>
      <c r="D4" s="869"/>
      <c r="E4" s="868"/>
      <c r="F4" s="868"/>
      <c r="G4" s="867" t="s">
        <v>110</v>
      </c>
      <c r="H4" s="869"/>
      <c r="I4" s="869" t="s">
        <v>419</v>
      </c>
      <c r="J4" s="868"/>
      <c r="K4" s="868"/>
      <c r="L4" s="870"/>
      <c r="M4" s="870"/>
      <c r="N4" s="870"/>
      <c r="O4" s="870"/>
    </row>
    <row r="5" spans="1:15" s="1" customFormat="1" x14ac:dyDescent="0.2">
      <c r="A5" s="867" t="s">
        <v>278</v>
      </c>
      <c r="B5" s="868"/>
      <c r="C5" s="868"/>
      <c r="D5" s="869" t="s">
        <v>1151</v>
      </c>
      <c r="E5" s="868"/>
      <c r="F5" s="868"/>
      <c r="G5" s="867"/>
      <c r="H5" s="868"/>
      <c r="I5" s="869" t="s">
        <v>113</v>
      </c>
      <c r="J5" s="868"/>
      <c r="K5" s="868"/>
      <c r="L5" s="870"/>
      <c r="M5" s="870"/>
      <c r="N5" s="870"/>
      <c r="O5" s="870"/>
    </row>
    <row r="6" spans="1:15" s="1" customFormat="1" x14ac:dyDescent="0.2">
      <c r="A6" s="871" t="s">
        <v>114</v>
      </c>
      <c r="B6" s="872"/>
      <c r="C6" s="872"/>
      <c r="D6" s="868" t="s">
        <v>32</v>
      </c>
      <c r="E6" s="868"/>
      <c r="F6" s="868"/>
      <c r="G6" s="871" t="s">
        <v>115</v>
      </c>
      <c r="H6" s="871"/>
      <c r="I6" s="2" t="s">
        <v>116</v>
      </c>
      <c r="J6" s="888"/>
      <c r="K6" s="888"/>
      <c r="L6" s="888"/>
      <c r="M6" s="888"/>
      <c r="N6" s="888"/>
      <c r="O6" s="889"/>
    </row>
    <row r="7" spans="1:15" s="1" customFormat="1" ht="13.5" thickBot="1" x14ac:dyDescent="0.25">
      <c r="A7" s="3"/>
      <c r="B7" s="4"/>
      <c r="C7" s="5"/>
      <c r="D7" s="6"/>
      <c r="E7" s="6"/>
      <c r="F7" s="6"/>
      <c r="G7" s="6"/>
      <c r="H7" s="6"/>
      <c r="I7" s="6"/>
      <c r="J7" s="7"/>
      <c r="K7" s="8"/>
      <c r="L7" s="875" t="s">
        <v>223</v>
      </c>
      <c r="M7" s="875"/>
      <c r="N7" s="875"/>
      <c r="O7" s="875"/>
    </row>
    <row r="8" spans="1:15" s="11" customFormat="1" x14ac:dyDescent="0.2">
      <c r="A8" s="876" t="str">
        <f>I1</f>
        <v>Mr B. R. Rumde</v>
      </c>
      <c r="B8" s="877"/>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81200</v>
      </c>
      <c r="D9" s="14">
        <f t="shared" ref="D9:N24" si="0">+C9</f>
        <v>81200</v>
      </c>
      <c r="E9" s="14">
        <f t="shared" si="0"/>
        <v>81200</v>
      </c>
      <c r="F9" s="14">
        <f t="shared" si="0"/>
        <v>81200</v>
      </c>
      <c r="G9" s="14">
        <v>83600</v>
      </c>
      <c r="H9" s="14">
        <f t="shared" si="0"/>
        <v>83600</v>
      </c>
      <c r="I9" s="14">
        <f t="shared" si="0"/>
        <v>83600</v>
      </c>
      <c r="J9" s="14">
        <f t="shared" si="0"/>
        <v>83600</v>
      </c>
      <c r="K9" s="14">
        <f t="shared" si="0"/>
        <v>83600</v>
      </c>
      <c r="L9" s="14">
        <f t="shared" si="0"/>
        <v>83600</v>
      </c>
      <c r="M9" s="14">
        <f t="shared" si="0"/>
        <v>83600</v>
      </c>
      <c r="N9" s="14">
        <f t="shared" si="0"/>
        <v>83600</v>
      </c>
      <c r="O9" s="15">
        <f>SUM(C9:N9)</f>
        <v>993600</v>
      </c>
    </row>
    <row r="10" spans="1:15" ht="15" x14ac:dyDescent="0.2">
      <c r="A10" s="12"/>
      <c r="B10" s="13" t="s">
        <v>119</v>
      </c>
      <c r="C10" s="17">
        <v>0</v>
      </c>
      <c r="D10" s="17">
        <f t="shared" si="0"/>
        <v>0</v>
      </c>
      <c r="E10" s="17">
        <f t="shared" si="0"/>
        <v>0</v>
      </c>
      <c r="F10" s="17">
        <f t="shared" si="0"/>
        <v>0</v>
      </c>
      <c r="G10" s="17">
        <f t="shared" si="0"/>
        <v>0</v>
      </c>
      <c r="H10" s="17">
        <v>0</v>
      </c>
      <c r="I10" s="17">
        <f t="shared" si="0"/>
        <v>0</v>
      </c>
      <c r="J10" s="17">
        <f t="shared" si="0"/>
        <v>0</v>
      </c>
      <c r="K10" s="17">
        <f t="shared" si="0"/>
        <v>0</v>
      </c>
      <c r="L10" s="17">
        <f t="shared" si="0"/>
        <v>0</v>
      </c>
      <c r="M10" s="17">
        <f t="shared" si="0"/>
        <v>0</v>
      </c>
      <c r="N10" s="17">
        <f t="shared" si="0"/>
        <v>0</v>
      </c>
      <c r="O10" s="18">
        <f>SUM(C10:N10)</f>
        <v>0</v>
      </c>
    </row>
    <row r="11" spans="1:15" ht="15" x14ac:dyDescent="0.2">
      <c r="A11" s="12"/>
      <c r="B11" s="13" t="s">
        <v>120</v>
      </c>
      <c r="C11" s="17">
        <v>4060</v>
      </c>
      <c r="D11" s="17">
        <v>5684</v>
      </c>
      <c r="E11" s="17">
        <f t="shared" si="0"/>
        <v>5684</v>
      </c>
      <c r="F11" s="17">
        <f t="shared" si="0"/>
        <v>5684</v>
      </c>
      <c r="G11" s="17">
        <v>5852</v>
      </c>
      <c r="H11" s="17">
        <v>5852</v>
      </c>
      <c r="I11" s="17">
        <f t="shared" si="0"/>
        <v>5852</v>
      </c>
      <c r="J11" s="17">
        <v>7524</v>
      </c>
      <c r="K11" s="17">
        <f t="shared" si="0"/>
        <v>7524</v>
      </c>
      <c r="L11" s="17">
        <f t="shared" si="0"/>
        <v>7524</v>
      </c>
      <c r="M11" s="17">
        <f t="shared" si="0"/>
        <v>7524</v>
      </c>
      <c r="N11" s="17">
        <f t="shared" si="0"/>
        <v>7524</v>
      </c>
      <c r="O11" s="18">
        <f>SUM(C11:N11)</f>
        <v>76288</v>
      </c>
    </row>
    <row r="12" spans="1:15" ht="15" hidden="1" x14ac:dyDescent="0.2">
      <c r="A12" s="12"/>
      <c r="B12" s="13" t="s">
        <v>121</v>
      </c>
      <c r="C12" s="17">
        <v>0</v>
      </c>
      <c r="D12" s="17">
        <f t="shared" si="0"/>
        <v>0</v>
      </c>
      <c r="E12" s="17">
        <f t="shared" si="0"/>
        <v>0</v>
      </c>
      <c r="F12" s="17">
        <f t="shared" si="0"/>
        <v>0</v>
      </c>
      <c r="G12" s="17">
        <f t="shared" si="0"/>
        <v>0</v>
      </c>
      <c r="H12" s="17">
        <v>0</v>
      </c>
      <c r="I12" s="17">
        <f t="shared" si="0"/>
        <v>0</v>
      </c>
      <c r="J12" s="17">
        <f t="shared" si="0"/>
        <v>0</v>
      </c>
      <c r="K12" s="17">
        <f t="shared" si="0"/>
        <v>0</v>
      </c>
      <c r="L12" s="17">
        <f t="shared" si="0"/>
        <v>0</v>
      </c>
      <c r="M12" s="17">
        <f t="shared" si="0"/>
        <v>0</v>
      </c>
      <c r="N12" s="17">
        <f t="shared" si="0"/>
        <v>0</v>
      </c>
      <c r="O12" s="18">
        <f>SUM(C12:N12)</f>
        <v>0</v>
      </c>
    </row>
    <row r="13" spans="1:15" ht="15" hidden="1" x14ac:dyDescent="0.2">
      <c r="A13" s="12"/>
      <c r="B13" s="13" t="s">
        <v>122</v>
      </c>
      <c r="C13" s="17">
        <v>0</v>
      </c>
      <c r="D13" s="17">
        <f t="shared" si="0"/>
        <v>0</v>
      </c>
      <c r="E13" s="17">
        <f t="shared" si="0"/>
        <v>0</v>
      </c>
      <c r="F13" s="17">
        <f t="shared" si="0"/>
        <v>0</v>
      </c>
      <c r="G13" s="17">
        <f t="shared" si="0"/>
        <v>0</v>
      </c>
      <c r="H13" s="17">
        <v>0</v>
      </c>
      <c r="I13" s="17">
        <f t="shared" si="0"/>
        <v>0</v>
      </c>
      <c r="J13" s="17">
        <f t="shared" si="0"/>
        <v>0</v>
      </c>
      <c r="K13" s="17">
        <f t="shared" si="0"/>
        <v>0</v>
      </c>
      <c r="L13" s="17">
        <f t="shared" si="0"/>
        <v>0</v>
      </c>
      <c r="M13" s="17">
        <f t="shared" si="0"/>
        <v>0</v>
      </c>
      <c r="N13" s="17">
        <f t="shared" si="0"/>
        <v>0</v>
      </c>
      <c r="O13" s="18">
        <f t="shared" ref="O13:O36" si="1">SUM(C13:N13)</f>
        <v>0</v>
      </c>
    </row>
    <row r="14" spans="1:15" ht="15" x14ac:dyDescent="0.2">
      <c r="A14" s="12"/>
      <c r="B14" s="13" t="s">
        <v>123</v>
      </c>
      <c r="C14" s="17">
        <v>3780</v>
      </c>
      <c r="D14" s="17">
        <v>3852</v>
      </c>
      <c r="E14" s="17">
        <f t="shared" si="0"/>
        <v>3852</v>
      </c>
      <c r="F14" s="17">
        <f t="shared" si="0"/>
        <v>3852</v>
      </c>
      <c r="G14" s="17">
        <f t="shared" si="0"/>
        <v>3852</v>
      </c>
      <c r="H14" s="17">
        <f t="shared" si="0"/>
        <v>3852</v>
      </c>
      <c r="I14" s="17">
        <f t="shared" si="0"/>
        <v>3852</v>
      </c>
      <c r="J14" s="17">
        <v>3924</v>
      </c>
      <c r="K14" s="17">
        <f t="shared" si="0"/>
        <v>3924</v>
      </c>
      <c r="L14" s="17">
        <f t="shared" si="0"/>
        <v>3924</v>
      </c>
      <c r="M14" s="17">
        <f t="shared" si="0"/>
        <v>3924</v>
      </c>
      <c r="N14" s="17">
        <f t="shared" si="0"/>
        <v>3924</v>
      </c>
      <c r="O14" s="18">
        <f t="shared" si="1"/>
        <v>46512</v>
      </c>
    </row>
    <row r="15" spans="1:15" ht="15" hidden="1" x14ac:dyDescent="0.2">
      <c r="A15" s="12"/>
      <c r="B15" s="13" t="s">
        <v>124</v>
      </c>
      <c r="C15" s="17">
        <v>0</v>
      </c>
      <c r="D15" s="17">
        <f t="shared" si="0"/>
        <v>0</v>
      </c>
      <c r="E15" s="17">
        <f t="shared" si="0"/>
        <v>0</v>
      </c>
      <c r="F15" s="17">
        <f t="shared" si="0"/>
        <v>0</v>
      </c>
      <c r="G15" s="17">
        <f t="shared" si="0"/>
        <v>0</v>
      </c>
      <c r="H15" s="17">
        <v>0</v>
      </c>
      <c r="I15" s="17">
        <f t="shared" si="0"/>
        <v>0</v>
      </c>
      <c r="J15" s="17">
        <f t="shared" si="0"/>
        <v>0</v>
      </c>
      <c r="K15" s="17">
        <f t="shared" si="0"/>
        <v>0</v>
      </c>
      <c r="L15" s="17">
        <f t="shared" si="0"/>
        <v>0</v>
      </c>
      <c r="M15" s="17">
        <f t="shared" si="0"/>
        <v>0</v>
      </c>
      <c r="N15" s="17">
        <f t="shared" si="0"/>
        <v>0</v>
      </c>
      <c r="O15" s="18">
        <f t="shared" si="1"/>
        <v>0</v>
      </c>
    </row>
    <row r="16" spans="1:15" ht="15" hidden="1" x14ac:dyDescent="0.2">
      <c r="A16" s="12"/>
      <c r="B16" s="13" t="s">
        <v>125</v>
      </c>
      <c r="C16" s="17">
        <v>0</v>
      </c>
      <c r="D16" s="17">
        <f t="shared" si="0"/>
        <v>0</v>
      </c>
      <c r="E16" s="17">
        <f t="shared" si="0"/>
        <v>0</v>
      </c>
      <c r="F16" s="17">
        <f t="shared" si="0"/>
        <v>0</v>
      </c>
      <c r="G16" s="17">
        <f t="shared" si="0"/>
        <v>0</v>
      </c>
      <c r="H16" s="17">
        <v>0</v>
      </c>
      <c r="I16" s="17">
        <f t="shared" si="0"/>
        <v>0</v>
      </c>
      <c r="J16" s="17">
        <f t="shared" si="0"/>
        <v>0</v>
      </c>
      <c r="K16" s="17">
        <f t="shared" si="0"/>
        <v>0</v>
      </c>
      <c r="L16" s="17">
        <f t="shared" si="0"/>
        <v>0</v>
      </c>
      <c r="M16" s="17">
        <f t="shared" si="0"/>
        <v>0</v>
      </c>
      <c r="N16" s="17">
        <f t="shared" si="0"/>
        <v>0</v>
      </c>
      <c r="O16" s="18">
        <f t="shared" si="1"/>
        <v>0</v>
      </c>
    </row>
    <row r="17" spans="1:15" ht="15" hidden="1" x14ac:dyDescent="0.2">
      <c r="A17" s="12"/>
      <c r="B17" s="13" t="s">
        <v>126</v>
      </c>
      <c r="C17" s="17">
        <v>0</v>
      </c>
      <c r="D17" s="17">
        <f t="shared" si="0"/>
        <v>0</v>
      </c>
      <c r="E17" s="17">
        <f t="shared" si="0"/>
        <v>0</v>
      </c>
      <c r="F17" s="17">
        <f t="shared" si="0"/>
        <v>0</v>
      </c>
      <c r="G17" s="17">
        <f t="shared" si="0"/>
        <v>0</v>
      </c>
      <c r="H17" s="17">
        <v>0</v>
      </c>
      <c r="I17" s="17">
        <f t="shared" si="0"/>
        <v>0</v>
      </c>
      <c r="J17" s="17">
        <f t="shared" si="0"/>
        <v>0</v>
      </c>
      <c r="K17" s="17">
        <f t="shared" si="0"/>
        <v>0</v>
      </c>
      <c r="L17" s="17">
        <f t="shared" si="0"/>
        <v>0</v>
      </c>
      <c r="M17" s="17">
        <f t="shared" si="0"/>
        <v>0</v>
      </c>
      <c r="N17" s="17">
        <f t="shared" si="0"/>
        <v>0</v>
      </c>
      <c r="O17" s="18">
        <f t="shared" si="1"/>
        <v>0</v>
      </c>
    </row>
    <row r="18" spans="1:15" ht="15" x14ac:dyDescent="0.2">
      <c r="A18" s="12"/>
      <c r="B18" s="13" t="s">
        <v>127</v>
      </c>
      <c r="C18" s="17">
        <v>0</v>
      </c>
      <c r="D18" s="17">
        <f t="shared" si="0"/>
        <v>0</v>
      </c>
      <c r="E18" s="17">
        <f t="shared" si="0"/>
        <v>0</v>
      </c>
      <c r="F18" s="17">
        <f t="shared" si="0"/>
        <v>0</v>
      </c>
      <c r="G18" s="17">
        <f t="shared" si="0"/>
        <v>0</v>
      </c>
      <c r="H18" s="17">
        <v>0</v>
      </c>
      <c r="I18" s="17">
        <f t="shared" si="0"/>
        <v>0</v>
      </c>
      <c r="J18" s="17">
        <f t="shared" si="0"/>
        <v>0</v>
      </c>
      <c r="K18" s="17">
        <f t="shared" si="0"/>
        <v>0</v>
      </c>
      <c r="L18" s="17">
        <f t="shared" si="0"/>
        <v>0</v>
      </c>
      <c r="M18" s="17">
        <f t="shared" si="0"/>
        <v>0</v>
      </c>
      <c r="N18" s="17">
        <f t="shared" si="0"/>
        <v>0</v>
      </c>
      <c r="O18" s="18">
        <f t="shared" si="1"/>
        <v>0</v>
      </c>
    </row>
    <row r="19" spans="1:15" ht="15" x14ac:dyDescent="0.2">
      <c r="A19" s="12"/>
      <c r="B19" s="13" t="s">
        <v>128</v>
      </c>
      <c r="C19" s="17">
        <v>19488</v>
      </c>
      <c r="D19" s="17">
        <f t="shared" si="0"/>
        <v>19488</v>
      </c>
      <c r="E19" s="17">
        <f t="shared" si="0"/>
        <v>19488</v>
      </c>
      <c r="F19" s="17">
        <f t="shared" si="0"/>
        <v>19488</v>
      </c>
      <c r="G19" s="17">
        <v>20064</v>
      </c>
      <c r="H19" s="17">
        <v>20064</v>
      </c>
      <c r="I19" s="17">
        <v>20064</v>
      </c>
      <c r="J19" s="17">
        <v>20064</v>
      </c>
      <c r="K19" s="17">
        <v>20064</v>
      </c>
      <c r="L19" s="17">
        <v>20064</v>
      </c>
      <c r="M19" s="17">
        <v>20064</v>
      </c>
      <c r="N19" s="17">
        <v>20064</v>
      </c>
      <c r="O19" s="18">
        <f t="shared" si="1"/>
        <v>238464</v>
      </c>
    </row>
    <row r="20" spans="1:15" ht="15" customHeight="1" x14ac:dyDescent="0.2">
      <c r="A20" s="12"/>
      <c r="B20" s="13" t="s">
        <v>129</v>
      </c>
      <c r="C20" s="17">
        <v>0</v>
      </c>
      <c r="D20" s="17">
        <f t="shared" si="0"/>
        <v>0</v>
      </c>
      <c r="E20" s="17">
        <f t="shared" si="0"/>
        <v>0</v>
      </c>
      <c r="F20" s="17">
        <f t="shared" si="0"/>
        <v>0</v>
      </c>
      <c r="G20" s="17">
        <f t="shared" si="0"/>
        <v>0</v>
      </c>
      <c r="H20" s="17">
        <v>0</v>
      </c>
      <c r="I20" s="17">
        <f t="shared" si="0"/>
        <v>0</v>
      </c>
      <c r="J20" s="17">
        <f t="shared" si="0"/>
        <v>0</v>
      </c>
      <c r="K20" s="17">
        <f t="shared" si="0"/>
        <v>0</v>
      </c>
      <c r="L20" s="17">
        <f t="shared" si="0"/>
        <v>0</v>
      </c>
      <c r="M20" s="17">
        <f t="shared" si="0"/>
        <v>0</v>
      </c>
      <c r="N20" s="17">
        <f t="shared" si="0"/>
        <v>0</v>
      </c>
      <c r="O20" s="18">
        <f t="shared" si="1"/>
        <v>0</v>
      </c>
    </row>
    <row r="21" spans="1:15" ht="15" hidden="1" customHeight="1" x14ac:dyDescent="0.2">
      <c r="A21" s="878" t="s">
        <v>130</v>
      </c>
      <c r="B21" s="19" t="s">
        <v>131</v>
      </c>
      <c r="C21" s="17">
        <v>0</v>
      </c>
      <c r="D21" s="17">
        <f t="shared" si="0"/>
        <v>0</v>
      </c>
      <c r="E21" s="17">
        <f t="shared" si="0"/>
        <v>0</v>
      </c>
      <c r="F21" s="17">
        <f t="shared" si="0"/>
        <v>0</v>
      </c>
      <c r="G21" s="17">
        <f t="shared" si="0"/>
        <v>0</v>
      </c>
      <c r="H21" s="17">
        <v>0</v>
      </c>
      <c r="I21" s="17">
        <f t="shared" si="0"/>
        <v>0</v>
      </c>
      <c r="J21" s="17">
        <f t="shared" si="0"/>
        <v>0</v>
      </c>
      <c r="K21" s="17">
        <f t="shared" si="0"/>
        <v>0</v>
      </c>
      <c r="L21" s="17">
        <f t="shared" si="0"/>
        <v>0</v>
      </c>
      <c r="M21" s="17">
        <f t="shared" si="0"/>
        <v>0</v>
      </c>
      <c r="N21" s="17">
        <f t="shared" si="0"/>
        <v>0</v>
      </c>
      <c r="O21" s="18">
        <f t="shared" si="1"/>
        <v>0</v>
      </c>
    </row>
    <row r="22" spans="1:15" ht="15" customHeight="1" x14ac:dyDescent="0.2">
      <c r="A22" s="879"/>
      <c r="B22" s="19" t="s">
        <v>132</v>
      </c>
      <c r="C22" s="17">
        <v>0</v>
      </c>
      <c r="D22" s="17">
        <f t="shared" si="0"/>
        <v>0</v>
      </c>
      <c r="E22" s="17">
        <f t="shared" si="0"/>
        <v>0</v>
      </c>
      <c r="F22" s="17">
        <f t="shared" si="0"/>
        <v>0</v>
      </c>
      <c r="G22" s="17">
        <f t="shared" si="0"/>
        <v>0</v>
      </c>
      <c r="H22" s="17">
        <v>0</v>
      </c>
      <c r="I22" s="17">
        <f t="shared" si="0"/>
        <v>0</v>
      </c>
      <c r="J22" s="17">
        <v>6908</v>
      </c>
      <c r="K22" s="17">
        <v>0</v>
      </c>
      <c r="L22" s="17">
        <v>0</v>
      </c>
      <c r="M22" s="17">
        <v>0</v>
      </c>
      <c r="N22" s="17">
        <v>0</v>
      </c>
      <c r="O22" s="18">
        <f t="shared" si="1"/>
        <v>6908</v>
      </c>
    </row>
    <row r="23" spans="1:15" ht="15" hidden="1" customHeight="1" x14ac:dyDescent="0.2">
      <c r="A23" s="879"/>
      <c r="B23" s="19" t="s">
        <v>133</v>
      </c>
      <c r="C23" s="17">
        <v>0</v>
      </c>
      <c r="D23" s="17">
        <f t="shared" si="0"/>
        <v>0</v>
      </c>
      <c r="E23" s="17">
        <f t="shared" si="0"/>
        <v>0</v>
      </c>
      <c r="F23" s="17">
        <f t="shared" si="0"/>
        <v>0</v>
      </c>
      <c r="G23" s="17">
        <f t="shared" si="0"/>
        <v>0</v>
      </c>
      <c r="H23" s="17">
        <v>0</v>
      </c>
      <c r="I23" s="17">
        <f t="shared" si="0"/>
        <v>0</v>
      </c>
      <c r="J23" s="17">
        <f t="shared" si="0"/>
        <v>0</v>
      </c>
      <c r="K23" s="17">
        <f t="shared" si="0"/>
        <v>0</v>
      </c>
      <c r="L23" s="17">
        <f t="shared" si="0"/>
        <v>0</v>
      </c>
      <c r="M23" s="17">
        <f t="shared" si="0"/>
        <v>0</v>
      </c>
      <c r="N23" s="17">
        <f t="shared" si="0"/>
        <v>0</v>
      </c>
      <c r="O23" s="18">
        <f t="shared" si="1"/>
        <v>0</v>
      </c>
    </row>
    <row r="24" spans="1:15" ht="15" hidden="1" customHeight="1" x14ac:dyDescent="0.2">
      <c r="A24" s="879"/>
      <c r="B24" s="19" t="s">
        <v>134</v>
      </c>
      <c r="C24" s="17">
        <v>0</v>
      </c>
      <c r="D24" s="17">
        <f t="shared" si="0"/>
        <v>0</v>
      </c>
      <c r="E24" s="17">
        <f t="shared" si="0"/>
        <v>0</v>
      </c>
      <c r="F24" s="17">
        <f t="shared" si="0"/>
        <v>0</v>
      </c>
      <c r="G24" s="17">
        <f t="shared" si="0"/>
        <v>0</v>
      </c>
      <c r="H24" s="17">
        <v>0</v>
      </c>
      <c r="I24" s="17">
        <f t="shared" si="0"/>
        <v>0</v>
      </c>
      <c r="J24" s="17">
        <f t="shared" si="0"/>
        <v>0</v>
      </c>
      <c r="K24" s="17">
        <f t="shared" si="0"/>
        <v>0</v>
      </c>
      <c r="L24" s="17">
        <f t="shared" si="0"/>
        <v>0</v>
      </c>
      <c r="M24" s="17">
        <f t="shared" si="0"/>
        <v>0</v>
      </c>
      <c r="N24" s="17">
        <f t="shared" si="0"/>
        <v>0</v>
      </c>
      <c r="O24" s="18">
        <f t="shared" si="1"/>
        <v>0</v>
      </c>
    </row>
    <row r="25" spans="1:15" ht="15" hidden="1" customHeight="1" x14ac:dyDescent="0.2">
      <c r="A25" s="879"/>
      <c r="B25" s="19" t="s">
        <v>135</v>
      </c>
      <c r="C25" s="17">
        <v>0</v>
      </c>
      <c r="D25" s="17">
        <f t="shared" ref="D25:G34" si="2">+C25</f>
        <v>0</v>
      </c>
      <c r="E25" s="17">
        <f t="shared" si="2"/>
        <v>0</v>
      </c>
      <c r="F25" s="17">
        <f t="shared" si="2"/>
        <v>0</v>
      </c>
      <c r="G25" s="17">
        <f t="shared" si="2"/>
        <v>0</v>
      </c>
      <c r="H25" s="17">
        <v>0</v>
      </c>
      <c r="I25" s="17">
        <f t="shared" ref="I25:N33" si="3">+H25</f>
        <v>0</v>
      </c>
      <c r="J25" s="17">
        <f t="shared" si="3"/>
        <v>0</v>
      </c>
      <c r="K25" s="17">
        <f t="shared" si="3"/>
        <v>0</v>
      </c>
      <c r="L25" s="17">
        <f t="shared" si="3"/>
        <v>0</v>
      </c>
      <c r="M25" s="17">
        <f t="shared" si="3"/>
        <v>0</v>
      </c>
      <c r="N25" s="17">
        <f t="shared" si="3"/>
        <v>0</v>
      </c>
      <c r="O25" s="18">
        <f t="shared" si="1"/>
        <v>0</v>
      </c>
    </row>
    <row r="26" spans="1:15" ht="15" hidden="1" customHeight="1" x14ac:dyDescent="0.2">
      <c r="A26" s="879"/>
      <c r="B26" s="19" t="s">
        <v>136</v>
      </c>
      <c r="C26" s="17">
        <v>0</v>
      </c>
      <c r="D26" s="17">
        <f t="shared" si="2"/>
        <v>0</v>
      </c>
      <c r="E26" s="17">
        <f t="shared" si="2"/>
        <v>0</v>
      </c>
      <c r="F26" s="17">
        <f t="shared" si="2"/>
        <v>0</v>
      </c>
      <c r="G26" s="17">
        <f t="shared" si="2"/>
        <v>0</v>
      </c>
      <c r="H26" s="17">
        <v>0</v>
      </c>
      <c r="I26" s="17">
        <f t="shared" si="3"/>
        <v>0</v>
      </c>
      <c r="J26" s="17">
        <f t="shared" si="3"/>
        <v>0</v>
      </c>
      <c r="K26" s="17">
        <f t="shared" si="3"/>
        <v>0</v>
      </c>
      <c r="L26" s="17">
        <f t="shared" si="3"/>
        <v>0</v>
      </c>
      <c r="M26" s="17">
        <f t="shared" si="3"/>
        <v>0</v>
      </c>
      <c r="N26" s="17">
        <f t="shared" si="3"/>
        <v>0</v>
      </c>
      <c r="O26" s="18">
        <f t="shared" si="1"/>
        <v>0</v>
      </c>
    </row>
    <row r="27" spans="1:15" ht="15" hidden="1" customHeight="1" x14ac:dyDescent="0.2">
      <c r="A27" s="879"/>
      <c r="B27" s="19" t="s">
        <v>137</v>
      </c>
      <c r="C27" s="17">
        <v>0</v>
      </c>
      <c r="D27" s="17">
        <f t="shared" si="2"/>
        <v>0</v>
      </c>
      <c r="E27" s="17">
        <f t="shared" si="2"/>
        <v>0</v>
      </c>
      <c r="F27" s="17">
        <f t="shared" si="2"/>
        <v>0</v>
      </c>
      <c r="G27" s="17">
        <f t="shared" si="2"/>
        <v>0</v>
      </c>
      <c r="H27" s="17">
        <v>0</v>
      </c>
      <c r="I27" s="17">
        <f t="shared" si="3"/>
        <v>0</v>
      </c>
      <c r="J27" s="17">
        <f t="shared" si="3"/>
        <v>0</v>
      </c>
      <c r="K27" s="17">
        <f t="shared" si="3"/>
        <v>0</v>
      </c>
      <c r="L27" s="17">
        <f t="shared" si="3"/>
        <v>0</v>
      </c>
      <c r="M27" s="17">
        <f t="shared" si="3"/>
        <v>0</v>
      </c>
      <c r="N27" s="17">
        <f t="shared" si="3"/>
        <v>0</v>
      </c>
      <c r="O27" s="18">
        <f t="shared" si="1"/>
        <v>0</v>
      </c>
    </row>
    <row r="28" spans="1:15" ht="15" hidden="1" customHeight="1" x14ac:dyDescent="0.2">
      <c r="A28" s="879"/>
      <c r="B28" s="19" t="s">
        <v>138</v>
      </c>
      <c r="C28" s="17">
        <v>0</v>
      </c>
      <c r="D28" s="17">
        <f t="shared" si="2"/>
        <v>0</v>
      </c>
      <c r="E28" s="17">
        <f t="shared" si="2"/>
        <v>0</v>
      </c>
      <c r="F28" s="17">
        <f t="shared" si="2"/>
        <v>0</v>
      </c>
      <c r="G28" s="17">
        <f t="shared" si="2"/>
        <v>0</v>
      </c>
      <c r="H28" s="17">
        <v>0</v>
      </c>
      <c r="I28" s="17">
        <f t="shared" si="3"/>
        <v>0</v>
      </c>
      <c r="J28" s="17">
        <f t="shared" si="3"/>
        <v>0</v>
      </c>
      <c r="K28" s="17">
        <f t="shared" si="3"/>
        <v>0</v>
      </c>
      <c r="L28" s="17">
        <f t="shared" si="3"/>
        <v>0</v>
      </c>
      <c r="M28" s="17">
        <f t="shared" si="3"/>
        <v>0</v>
      </c>
      <c r="N28" s="17">
        <f t="shared" si="3"/>
        <v>0</v>
      </c>
      <c r="O28" s="18">
        <f t="shared" si="1"/>
        <v>0</v>
      </c>
    </row>
    <row r="29" spans="1:15" ht="15" hidden="1" customHeight="1" x14ac:dyDescent="0.2">
      <c r="A29" s="879"/>
      <c r="B29" s="19" t="s">
        <v>139</v>
      </c>
      <c r="C29" s="17">
        <v>0</v>
      </c>
      <c r="D29" s="17">
        <f t="shared" si="2"/>
        <v>0</v>
      </c>
      <c r="E29" s="17">
        <f t="shared" si="2"/>
        <v>0</v>
      </c>
      <c r="F29" s="17">
        <f t="shared" si="2"/>
        <v>0</v>
      </c>
      <c r="G29" s="17">
        <f t="shared" si="2"/>
        <v>0</v>
      </c>
      <c r="H29" s="17">
        <v>0</v>
      </c>
      <c r="I29" s="17">
        <f t="shared" si="3"/>
        <v>0</v>
      </c>
      <c r="J29" s="17">
        <f t="shared" si="3"/>
        <v>0</v>
      </c>
      <c r="K29" s="17">
        <f t="shared" si="3"/>
        <v>0</v>
      </c>
      <c r="L29" s="17">
        <f t="shared" si="3"/>
        <v>0</v>
      </c>
      <c r="M29" s="17">
        <f t="shared" si="3"/>
        <v>0</v>
      </c>
      <c r="N29" s="17">
        <f t="shared" si="3"/>
        <v>0</v>
      </c>
      <c r="O29" s="18">
        <f t="shared" si="1"/>
        <v>0</v>
      </c>
    </row>
    <row r="30" spans="1:15" ht="15" hidden="1" customHeight="1" x14ac:dyDescent="0.2">
      <c r="A30" s="879"/>
      <c r="B30" s="19" t="s">
        <v>140</v>
      </c>
      <c r="C30" s="17">
        <v>0</v>
      </c>
      <c r="D30" s="17">
        <f t="shared" si="2"/>
        <v>0</v>
      </c>
      <c r="E30" s="17">
        <f t="shared" si="2"/>
        <v>0</v>
      </c>
      <c r="F30" s="17">
        <f t="shared" si="2"/>
        <v>0</v>
      </c>
      <c r="G30" s="17">
        <f t="shared" si="2"/>
        <v>0</v>
      </c>
      <c r="H30" s="17">
        <v>0</v>
      </c>
      <c r="I30" s="17">
        <f t="shared" si="3"/>
        <v>0</v>
      </c>
      <c r="J30" s="17">
        <f t="shared" si="3"/>
        <v>0</v>
      </c>
      <c r="K30" s="17">
        <f t="shared" si="3"/>
        <v>0</v>
      </c>
      <c r="L30" s="17">
        <f t="shared" si="3"/>
        <v>0</v>
      </c>
      <c r="M30" s="17">
        <f t="shared" si="3"/>
        <v>0</v>
      </c>
      <c r="N30" s="17">
        <f t="shared" si="3"/>
        <v>0</v>
      </c>
      <c r="O30" s="18">
        <f t="shared" si="1"/>
        <v>0</v>
      </c>
    </row>
    <row r="31" spans="1:15" ht="15" hidden="1" customHeight="1" x14ac:dyDescent="0.2">
      <c r="A31" s="879"/>
      <c r="B31" s="19" t="s">
        <v>225</v>
      </c>
      <c r="C31" s="17">
        <v>0</v>
      </c>
      <c r="D31" s="17">
        <f t="shared" si="2"/>
        <v>0</v>
      </c>
      <c r="E31" s="17">
        <f t="shared" si="2"/>
        <v>0</v>
      </c>
      <c r="F31" s="17">
        <f t="shared" si="2"/>
        <v>0</v>
      </c>
      <c r="G31" s="17">
        <f t="shared" si="2"/>
        <v>0</v>
      </c>
      <c r="H31" s="17">
        <v>0</v>
      </c>
      <c r="I31" s="17">
        <f t="shared" si="3"/>
        <v>0</v>
      </c>
      <c r="J31" s="17">
        <f t="shared" si="3"/>
        <v>0</v>
      </c>
      <c r="K31" s="17">
        <f t="shared" si="3"/>
        <v>0</v>
      </c>
      <c r="L31" s="17">
        <f t="shared" si="3"/>
        <v>0</v>
      </c>
      <c r="M31" s="17">
        <f t="shared" si="3"/>
        <v>0</v>
      </c>
      <c r="N31" s="17">
        <f t="shared" si="3"/>
        <v>0</v>
      </c>
      <c r="O31" s="18">
        <f t="shared" si="1"/>
        <v>0</v>
      </c>
    </row>
    <row r="32" spans="1:15" ht="15" customHeight="1" x14ac:dyDescent="0.2">
      <c r="A32" s="879"/>
      <c r="B32" s="21" t="s">
        <v>142</v>
      </c>
      <c r="C32" s="17">
        <v>0</v>
      </c>
      <c r="D32" s="17">
        <f t="shared" si="2"/>
        <v>0</v>
      </c>
      <c r="E32" s="17">
        <f t="shared" si="2"/>
        <v>0</v>
      </c>
      <c r="F32" s="17">
        <f t="shared" si="2"/>
        <v>0</v>
      </c>
      <c r="G32" s="17">
        <f t="shared" si="2"/>
        <v>0</v>
      </c>
      <c r="H32" s="17">
        <v>0</v>
      </c>
      <c r="I32" s="17">
        <f t="shared" si="3"/>
        <v>0</v>
      </c>
      <c r="J32" s="17">
        <f t="shared" si="3"/>
        <v>0</v>
      </c>
      <c r="K32" s="17">
        <f t="shared" si="3"/>
        <v>0</v>
      </c>
      <c r="L32" s="17">
        <f t="shared" si="3"/>
        <v>0</v>
      </c>
      <c r="M32" s="17">
        <f t="shared" si="3"/>
        <v>0</v>
      </c>
      <c r="N32" s="17">
        <f t="shared" si="3"/>
        <v>0</v>
      </c>
      <c r="O32" s="18">
        <f t="shared" si="1"/>
        <v>0</v>
      </c>
    </row>
    <row r="33" spans="1:17" ht="15" hidden="1" customHeight="1" x14ac:dyDescent="0.2">
      <c r="A33" s="880"/>
      <c r="B33" s="19" t="s">
        <v>226</v>
      </c>
      <c r="C33" s="17">
        <v>0</v>
      </c>
      <c r="D33" s="17">
        <f t="shared" si="2"/>
        <v>0</v>
      </c>
      <c r="E33" s="17">
        <f t="shared" si="2"/>
        <v>0</v>
      </c>
      <c r="F33" s="17">
        <f t="shared" si="2"/>
        <v>0</v>
      </c>
      <c r="G33" s="17">
        <f t="shared" si="2"/>
        <v>0</v>
      </c>
      <c r="H33" s="17">
        <v>0</v>
      </c>
      <c r="I33" s="17">
        <f t="shared" si="3"/>
        <v>0</v>
      </c>
      <c r="J33" s="17">
        <f t="shared" si="3"/>
        <v>0</v>
      </c>
      <c r="K33" s="17">
        <f t="shared" si="3"/>
        <v>0</v>
      </c>
      <c r="L33" s="17">
        <f t="shared" si="3"/>
        <v>0</v>
      </c>
      <c r="M33" s="17">
        <f t="shared" si="3"/>
        <v>0</v>
      </c>
      <c r="N33" s="17">
        <f t="shared" si="3"/>
        <v>0</v>
      </c>
      <c r="O33" s="18">
        <f t="shared" si="1"/>
        <v>0</v>
      </c>
    </row>
    <row r="34" spans="1:17" ht="15" customHeight="1" x14ac:dyDescent="0.2">
      <c r="A34" s="865" t="s">
        <v>143</v>
      </c>
      <c r="B34" s="866"/>
      <c r="C34" s="17">
        <v>0</v>
      </c>
      <c r="D34" s="17">
        <f t="shared" si="2"/>
        <v>0</v>
      </c>
      <c r="E34" s="17">
        <v>0</v>
      </c>
      <c r="F34" s="17">
        <v>0</v>
      </c>
      <c r="G34" s="17">
        <v>0</v>
      </c>
      <c r="H34" s="17">
        <v>0</v>
      </c>
      <c r="I34" s="17">
        <v>0</v>
      </c>
      <c r="J34" s="17">
        <v>0</v>
      </c>
      <c r="K34" s="17">
        <v>0</v>
      </c>
      <c r="L34" s="17">
        <v>0</v>
      </c>
      <c r="M34" s="17">
        <v>0</v>
      </c>
      <c r="N34" s="17">
        <v>0</v>
      </c>
      <c r="O34" s="18">
        <f t="shared" si="1"/>
        <v>0</v>
      </c>
    </row>
    <row r="35" spans="1:17" ht="15" customHeight="1" x14ac:dyDescent="0.2">
      <c r="A35" s="865" t="s">
        <v>145</v>
      </c>
      <c r="B35" s="866"/>
      <c r="C35" s="17">
        <v>0</v>
      </c>
      <c r="D35" s="17">
        <v>216</v>
      </c>
      <c r="E35" s="17">
        <v>0</v>
      </c>
      <c r="F35" s="17">
        <v>0</v>
      </c>
      <c r="G35" s="17">
        <v>0</v>
      </c>
      <c r="H35" s="17">
        <v>0</v>
      </c>
      <c r="I35" s="17">
        <v>0</v>
      </c>
      <c r="J35" s="17">
        <v>216</v>
      </c>
      <c r="K35" s="17">
        <v>0</v>
      </c>
      <c r="L35" s="17">
        <v>0</v>
      </c>
      <c r="M35" s="17">
        <v>0</v>
      </c>
      <c r="N35" s="17">
        <v>0</v>
      </c>
      <c r="O35" s="18">
        <f t="shared" si="1"/>
        <v>432</v>
      </c>
    </row>
    <row r="36" spans="1:17" ht="15" customHeight="1" x14ac:dyDescent="0.2">
      <c r="A36" s="865" t="s">
        <v>146</v>
      </c>
      <c r="B36" s="866"/>
      <c r="C36" s="17">
        <v>0</v>
      </c>
      <c r="D36" s="17">
        <v>4872</v>
      </c>
      <c r="E36" s="17">
        <v>0</v>
      </c>
      <c r="F36" s="17">
        <v>0</v>
      </c>
      <c r="G36" s="17">
        <v>0</v>
      </c>
      <c r="H36" s="17">
        <v>0</v>
      </c>
      <c r="I36" s="17">
        <v>0</v>
      </c>
      <c r="J36" s="17">
        <v>5016</v>
      </c>
      <c r="K36" s="17">
        <v>0</v>
      </c>
      <c r="L36" s="17">
        <v>0</v>
      </c>
      <c r="M36" s="17">
        <v>0</v>
      </c>
      <c r="N36" s="17">
        <v>0</v>
      </c>
      <c r="O36" s="18">
        <f t="shared" si="1"/>
        <v>9888</v>
      </c>
    </row>
    <row r="37" spans="1:17" ht="15" customHeight="1" x14ac:dyDescent="0.2">
      <c r="A37" s="22"/>
      <c r="B37" s="23" t="s">
        <v>147</v>
      </c>
      <c r="C37" s="24">
        <f t="shared" ref="C37:N37" si="4">SUM(C9:C36)</f>
        <v>108528</v>
      </c>
      <c r="D37" s="24">
        <f t="shared" si="4"/>
        <v>115312</v>
      </c>
      <c r="E37" s="24">
        <f t="shared" si="4"/>
        <v>110224</v>
      </c>
      <c r="F37" s="24">
        <f t="shared" si="4"/>
        <v>110224</v>
      </c>
      <c r="G37" s="24">
        <f t="shared" si="4"/>
        <v>113368</v>
      </c>
      <c r="H37" s="24">
        <f t="shared" si="4"/>
        <v>113368</v>
      </c>
      <c r="I37" s="24">
        <f t="shared" si="4"/>
        <v>113368</v>
      </c>
      <c r="J37" s="24">
        <f t="shared" si="4"/>
        <v>127252</v>
      </c>
      <c r="K37" s="24">
        <f t="shared" si="4"/>
        <v>115112</v>
      </c>
      <c r="L37" s="24">
        <f t="shared" si="4"/>
        <v>115112</v>
      </c>
      <c r="M37" s="24">
        <f t="shared" si="4"/>
        <v>115112</v>
      </c>
      <c r="N37" s="24">
        <f t="shared" si="4"/>
        <v>115112</v>
      </c>
      <c r="O37" s="25">
        <f>SUM(C37:N37)</f>
        <v>1372092</v>
      </c>
      <c r="Q37" s="16">
        <f>57454*2+9176+59748*2+61470*2+2000+61470+8850+3454+64420*5</f>
        <v>764394</v>
      </c>
    </row>
    <row r="38" spans="1:17" ht="15" customHeight="1" x14ac:dyDescent="0.2">
      <c r="A38" s="853" t="s">
        <v>148</v>
      </c>
      <c r="B38" s="27" t="s">
        <v>149</v>
      </c>
      <c r="C38" s="147">
        <v>13000</v>
      </c>
      <c r="D38" s="147">
        <v>13000</v>
      </c>
      <c r="E38" s="147">
        <v>13000</v>
      </c>
      <c r="F38" s="147">
        <v>13000</v>
      </c>
      <c r="G38" s="147">
        <v>13000</v>
      </c>
      <c r="H38" s="147">
        <v>13000</v>
      </c>
      <c r="I38" s="147">
        <v>13000</v>
      </c>
      <c r="J38" s="147">
        <v>13000</v>
      </c>
      <c r="K38" s="147">
        <v>17500</v>
      </c>
      <c r="L38" s="147">
        <v>16625</v>
      </c>
      <c r="M38" s="147">
        <v>16625</v>
      </c>
      <c r="N38" s="147">
        <v>18290</v>
      </c>
      <c r="O38" s="18">
        <f>SUM(C38:N38)</f>
        <v>173040</v>
      </c>
    </row>
    <row r="39" spans="1:17" ht="15" x14ac:dyDescent="0.2">
      <c r="A39" s="854"/>
      <c r="B39" s="27" t="s">
        <v>150</v>
      </c>
      <c r="C39" s="147">
        <v>0</v>
      </c>
      <c r="D39" s="147">
        <v>0</v>
      </c>
      <c r="E39" s="147">
        <v>0</v>
      </c>
      <c r="F39" s="147">
        <v>0</v>
      </c>
      <c r="G39" s="147">
        <v>0</v>
      </c>
      <c r="H39" s="147">
        <v>0</v>
      </c>
      <c r="I39" s="147">
        <v>0</v>
      </c>
      <c r="J39" s="147">
        <v>0</v>
      </c>
      <c r="K39" s="147">
        <v>0</v>
      </c>
      <c r="L39" s="147">
        <v>0</v>
      </c>
      <c r="M39" s="147">
        <v>0</v>
      </c>
      <c r="N39" s="147">
        <v>0</v>
      </c>
      <c r="O39" s="18">
        <f>SUM(C39:N39)</f>
        <v>0</v>
      </c>
    </row>
    <row r="40" spans="1:17" ht="15" x14ac:dyDescent="0.2">
      <c r="A40" s="854"/>
      <c r="B40" s="27" t="s">
        <v>151</v>
      </c>
      <c r="C40" s="147">
        <v>60</v>
      </c>
      <c r="D40" s="147">
        <v>60</v>
      </c>
      <c r="E40" s="147">
        <v>60</v>
      </c>
      <c r="F40" s="147">
        <v>60</v>
      </c>
      <c r="G40" s="147">
        <v>60</v>
      </c>
      <c r="H40" s="147">
        <v>60</v>
      </c>
      <c r="I40" s="147">
        <v>60</v>
      </c>
      <c r="J40" s="147">
        <v>60</v>
      </c>
      <c r="K40" s="147">
        <v>60</v>
      </c>
      <c r="L40" s="147">
        <v>60</v>
      </c>
      <c r="M40" s="147">
        <v>60</v>
      </c>
      <c r="N40" s="147">
        <v>60</v>
      </c>
      <c r="O40" s="18">
        <f t="shared" ref="O40:O50" si="5">SUM(C40:N40)</f>
        <v>720</v>
      </c>
    </row>
    <row r="41" spans="1:17" ht="15" x14ac:dyDescent="0.2">
      <c r="A41" s="854"/>
      <c r="B41" s="27" t="s">
        <v>152</v>
      </c>
      <c r="C41" s="147">
        <v>0</v>
      </c>
      <c r="D41" s="147">
        <v>0</v>
      </c>
      <c r="E41" s="147">
        <v>0</v>
      </c>
      <c r="F41" s="147">
        <v>0</v>
      </c>
      <c r="G41" s="147">
        <v>0</v>
      </c>
      <c r="H41" s="147">
        <v>0</v>
      </c>
      <c r="I41" s="147">
        <v>0</v>
      </c>
      <c r="J41" s="147">
        <v>0</v>
      </c>
      <c r="K41" s="147">
        <v>0</v>
      </c>
      <c r="L41" s="147">
        <v>0</v>
      </c>
      <c r="M41" s="147">
        <v>0</v>
      </c>
      <c r="N41" s="147">
        <v>0</v>
      </c>
      <c r="O41" s="18">
        <f t="shared" si="5"/>
        <v>0</v>
      </c>
    </row>
    <row r="42" spans="1:17" ht="15" x14ac:dyDescent="0.2">
      <c r="A42" s="854"/>
      <c r="B42" s="27" t="s">
        <v>153</v>
      </c>
      <c r="C42" s="147">
        <v>0</v>
      </c>
      <c r="D42" s="147">
        <v>0</v>
      </c>
      <c r="E42" s="147">
        <v>0</v>
      </c>
      <c r="F42" s="147">
        <v>0</v>
      </c>
      <c r="G42" s="147">
        <v>0</v>
      </c>
      <c r="H42" s="147">
        <v>0</v>
      </c>
      <c r="I42" s="147">
        <v>0</v>
      </c>
      <c r="J42" s="147">
        <v>0</v>
      </c>
      <c r="K42" s="147">
        <v>0</v>
      </c>
      <c r="L42" s="147">
        <v>0</v>
      </c>
      <c r="M42" s="147">
        <v>0</v>
      </c>
      <c r="N42" s="147">
        <v>0</v>
      </c>
      <c r="O42" s="18">
        <f t="shared" si="5"/>
        <v>0</v>
      </c>
    </row>
    <row r="43" spans="1:17" ht="15" x14ac:dyDescent="0.2">
      <c r="A43" s="854"/>
      <c r="B43" s="27" t="s">
        <v>154</v>
      </c>
      <c r="C43" s="147">
        <v>15000</v>
      </c>
      <c r="D43" s="147">
        <v>18000</v>
      </c>
      <c r="E43" s="147">
        <v>18000</v>
      </c>
      <c r="F43" s="147">
        <v>18000</v>
      </c>
      <c r="G43" s="147">
        <v>18000</v>
      </c>
      <c r="H43" s="147">
        <v>18000</v>
      </c>
      <c r="I43" s="147">
        <v>18000</v>
      </c>
      <c r="J43" s="147">
        <v>18000</v>
      </c>
      <c r="K43" s="147">
        <v>18000</v>
      </c>
      <c r="L43" s="147">
        <v>18000</v>
      </c>
      <c r="M43" s="147">
        <v>18000</v>
      </c>
      <c r="N43" s="147">
        <v>18000</v>
      </c>
      <c r="O43" s="18">
        <f t="shared" si="5"/>
        <v>213000</v>
      </c>
    </row>
    <row r="44" spans="1:17" ht="15" x14ac:dyDescent="0.2">
      <c r="A44" s="854"/>
      <c r="B44" s="27" t="s">
        <v>155</v>
      </c>
      <c r="C44" s="147">
        <v>200</v>
      </c>
      <c r="D44" s="147">
        <v>200</v>
      </c>
      <c r="E44" s="147">
        <v>200</v>
      </c>
      <c r="F44" s="147">
        <v>200</v>
      </c>
      <c r="G44" s="147">
        <v>200</v>
      </c>
      <c r="H44" s="147">
        <v>200</v>
      </c>
      <c r="I44" s="147">
        <v>200</v>
      </c>
      <c r="J44" s="147">
        <v>200</v>
      </c>
      <c r="K44" s="147">
        <v>200</v>
      </c>
      <c r="L44" s="147">
        <v>200</v>
      </c>
      <c r="M44" s="147">
        <v>200</v>
      </c>
      <c r="N44" s="147">
        <v>300</v>
      </c>
      <c r="O44" s="18">
        <f t="shared" si="5"/>
        <v>2500</v>
      </c>
    </row>
    <row r="45" spans="1:17" ht="30" x14ac:dyDescent="0.2">
      <c r="A45" s="854"/>
      <c r="B45" s="27" t="s">
        <v>424</v>
      </c>
      <c r="C45" s="147">
        <v>0</v>
      </c>
      <c r="D45" s="147">
        <v>0</v>
      </c>
      <c r="E45" s="147">
        <v>0</v>
      </c>
      <c r="F45" s="147">
        <v>0</v>
      </c>
      <c r="G45" s="147">
        <v>0</v>
      </c>
      <c r="H45" s="147">
        <v>0</v>
      </c>
      <c r="I45" s="147">
        <v>0</v>
      </c>
      <c r="J45" s="147">
        <v>0</v>
      </c>
      <c r="K45" s="147">
        <v>0</v>
      </c>
      <c r="L45" s="147">
        <v>0</v>
      </c>
      <c r="M45" s="147">
        <v>0</v>
      </c>
      <c r="N45" s="147">
        <v>0</v>
      </c>
      <c r="O45" s="18">
        <f t="shared" si="5"/>
        <v>0</v>
      </c>
    </row>
    <row r="46" spans="1:17" ht="15" x14ac:dyDescent="0.2">
      <c r="A46" s="854"/>
      <c r="B46" s="27" t="s">
        <v>157</v>
      </c>
      <c r="C46" s="147">
        <v>0</v>
      </c>
      <c r="D46" s="147">
        <v>0</v>
      </c>
      <c r="E46" s="147">
        <v>0</v>
      </c>
      <c r="F46" s="147">
        <v>0</v>
      </c>
      <c r="G46" s="147">
        <v>0</v>
      </c>
      <c r="H46" s="147">
        <v>0</v>
      </c>
      <c r="I46" s="147">
        <v>0</v>
      </c>
      <c r="J46" s="147">
        <v>0</v>
      </c>
      <c r="K46" s="147">
        <v>0</v>
      </c>
      <c r="L46" s="147">
        <v>0</v>
      </c>
      <c r="M46" s="147">
        <v>0</v>
      </c>
      <c r="N46" s="147">
        <v>0</v>
      </c>
      <c r="O46" s="18">
        <f t="shared" si="5"/>
        <v>0</v>
      </c>
    </row>
    <row r="47" spans="1:17" ht="28.5" customHeight="1" x14ac:dyDescent="0.2">
      <c r="A47" s="855"/>
      <c r="B47" s="30" t="s">
        <v>158</v>
      </c>
      <c r="C47" s="147">
        <v>582</v>
      </c>
      <c r="D47" s="147">
        <v>582</v>
      </c>
      <c r="E47" s="147">
        <v>582</v>
      </c>
      <c r="F47" s="147">
        <v>582</v>
      </c>
      <c r="G47" s="147">
        <v>582</v>
      </c>
      <c r="H47" s="147">
        <v>582</v>
      </c>
      <c r="I47" s="147">
        <v>582</v>
      </c>
      <c r="J47" s="147">
        <v>582</v>
      </c>
      <c r="K47" s="147">
        <v>582</v>
      </c>
      <c r="L47" s="147">
        <v>582</v>
      </c>
      <c r="M47" s="147">
        <v>582</v>
      </c>
      <c r="N47" s="147">
        <v>582</v>
      </c>
      <c r="O47" s="31">
        <f t="shared" si="5"/>
        <v>6984</v>
      </c>
    </row>
    <row r="48" spans="1:17" ht="28.5" x14ac:dyDescent="0.2">
      <c r="A48" s="856"/>
      <c r="B48" s="408" t="s">
        <v>323</v>
      </c>
      <c r="C48" s="147">
        <v>0</v>
      </c>
      <c r="D48" s="147">
        <v>0</v>
      </c>
      <c r="E48" s="147">
        <v>0</v>
      </c>
      <c r="F48" s="147">
        <v>0</v>
      </c>
      <c r="G48" s="147">
        <v>0</v>
      </c>
      <c r="H48" s="147">
        <v>0</v>
      </c>
      <c r="I48" s="147">
        <v>0</v>
      </c>
      <c r="J48" s="147">
        <v>0</v>
      </c>
      <c r="K48" s="147">
        <v>0</v>
      </c>
      <c r="L48" s="147">
        <v>0</v>
      </c>
      <c r="M48" s="147">
        <v>0</v>
      </c>
      <c r="N48" s="147">
        <v>0</v>
      </c>
      <c r="O48" s="31">
        <f t="shared" si="5"/>
        <v>0</v>
      </c>
    </row>
    <row r="49" spans="1:18" ht="15" x14ac:dyDescent="0.2">
      <c r="A49" s="857" t="s">
        <v>160</v>
      </c>
      <c r="B49" s="858"/>
      <c r="C49" s="33">
        <f t="shared" ref="C49:N49" si="6">SUM(C38:C48)</f>
        <v>28842</v>
      </c>
      <c r="D49" s="33">
        <f t="shared" si="6"/>
        <v>31842</v>
      </c>
      <c r="E49" s="33">
        <f t="shared" si="6"/>
        <v>31842</v>
      </c>
      <c r="F49" s="33">
        <f t="shared" si="6"/>
        <v>31842</v>
      </c>
      <c r="G49" s="33">
        <f t="shared" si="6"/>
        <v>31842</v>
      </c>
      <c r="H49" s="33">
        <f t="shared" si="6"/>
        <v>31842</v>
      </c>
      <c r="I49" s="33">
        <f t="shared" si="6"/>
        <v>31842</v>
      </c>
      <c r="J49" s="33">
        <f t="shared" si="6"/>
        <v>31842</v>
      </c>
      <c r="K49" s="33">
        <f t="shared" si="6"/>
        <v>36342</v>
      </c>
      <c r="L49" s="33">
        <f t="shared" si="6"/>
        <v>35467</v>
      </c>
      <c r="M49" s="33">
        <f t="shared" si="6"/>
        <v>35467</v>
      </c>
      <c r="N49" s="33">
        <f t="shared" si="6"/>
        <v>37232</v>
      </c>
      <c r="O49" s="34">
        <f t="shared" si="5"/>
        <v>396244</v>
      </c>
    </row>
    <row r="50" spans="1:18" ht="15.75" thickBot="1" x14ac:dyDescent="0.25">
      <c r="A50" s="859" t="s">
        <v>161</v>
      </c>
      <c r="B50" s="860"/>
      <c r="C50" s="35">
        <f t="shared" ref="C50:N50" si="7">C37-C49</f>
        <v>79686</v>
      </c>
      <c r="D50" s="35">
        <f t="shared" si="7"/>
        <v>83470</v>
      </c>
      <c r="E50" s="35">
        <f t="shared" si="7"/>
        <v>78382</v>
      </c>
      <c r="F50" s="35">
        <f t="shared" si="7"/>
        <v>78382</v>
      </c>
      <c r="G50" s="35">
        <f t="shared" si="7"/>
        <v>81526</v>
      </c>
      <c r="H50" s="35">
        <f t="shared" si="7"/>
        <v>81526</v>
      </c>
      <c r="I50" s="35">
        <f t="shared" si="7"/>
        <v>81526</v>
      </c>
      <c r="J50" s="35">
        <f t="shared" si="7"/>
        <v>95410</v>
      </c>
      <c r="K50" s="35">
        <f t="shared" si="7"/>
        <v>78770</v>
      </c>
      <c r="L50" s="35">
        <f t="shared" si="7"/>
        <v>79645</v>
      </c>
      <c r="M50" s="35">
        <f t="shared" si="7"/>
        <v>79645</v>
      </c>
      <c r="N50" s="35">
        <f t="shared" si="7"/>
        <v>77880</v>
      </c>
      <c r="O50" s="36">
        <f t="shared" si="5"/>
        <v>975848</v>
      </c>
      <c r="Q50" s="16">
        <f>40602+36402+9176+38586+38706+40428+39128+2000+39128+8850+3454+40778+40303*3+40130</f>
        <v>498277</v>
      </c>
    </row>
    <row r="51" spans="1:18" x14ac:dyDescent="0.2">
      <c r="J51" s="295">
        <f>+J37-SUM(J22:J36)</f>
        <v>115112</v>
      </c>
      <c r="Q51" s="38"/>
    </row>
    <row r="52" spans="1:18" ht="13.5" thickBot="1" x14ac:dyDescent="0.25">
      <c r="J52" s="38">
        <f>+J51-J49</f>
        <v>83270</v>
      </c>
    </row>
    <row r="53" spans="1:18" ht="13.5" thickBot="1" x14ac:dyDescent="0.25">
      <c r="B53" s="789" t="s">
        <v>162</v>
      </c>
      <c r="C53" s="861"/>
      <c r="D53" s="861"/>
      <c r="E53" s="861"/>
      <c r="F53" s="862"/>
      <c r="G53" s="863">
        <f>O37</f>
        <v>1372092</v>
      </c>
      <c r="H53" s="864"/>
    </row>
    <row r="54" spans="1:18" ht="13.5" thickBot="1" x14ac:dyDescent="0.25"/>
    <row r="55" spans="1:18" x14ac:dyDescent="0.2">
      <c r="B55" s="830" t="s">
        <v>163</v>
      </c>
      <c r="C55" s="833" t="s">
        <v>164</v>
      </c>
      <c r="D55" s="836" t="s">
        <v>229</v>
      </c>
      <c r="E55" s="837"/>
      <c r="F55" s="838"/>
      <c r="G55" s="839">
        <v>40000</v>
      </c>
      <c r="H55" s="840"/>
    </row>
    <row r="56" spans="1:18" x14ac:dyDescent="0.2">
      <c r="B56" s="831"/>
      <c r="C56" s="834"/>
      <c r="D56" s="841" t="s">
        <v>166</v>
      </c>
      <c r="E56" s="842"/>
      <c r="F56" s="843"/>
      <c r="G56" s="844">
        <f>+O44</f>
        <v>2500</v>
      </c>
      <c r="H56" s="845"/>
      <c r="I56" s="39"/>
      <c r="J56" s="846"/>
      <c r="K56" s="846"/>
      <c r="L56" s="846"/>
      <c r="M56" s="847"/>
      <c r="N56" s="847"/>
      <c r="O56" s="847"/>
    </row>
    <row r="57" spans="1:18" ht="13.5" thickBot="1" x14ac:dyDescent="0.25">
      <c r="B57" s="832"/>
      <c r="C57" s="835"/>
      <c r="D57" s="848" t="s">
        <v>266</v>
      </c>
      <c r="E57" s="849"/>
      <c r="F57" s="850"/>
      <c r="G57" s="851">
        <v>0</v>
      </c>
      <c r="H57" s="852"/>
      <c r="J57" s="47"/>
      <c r="K57" s="47"/>
      <c r="L57" s="47"/>
      <c r="M57" s="47"/>
      <c r="N57" s="47"/>
      <c r="O57" s="47"/>
    </row>
    <row r="58" spans="1:18" ht="13.5" thickBot="1" x14ac:dyDescent="0.25">
      <c r="B58" s="48"/>
      <c r="J58" s="47"/>
      <c r="K58" s="47"/>
      <c r="L58" s="47"/>
      <c r="M58" s="47"/>
      <c r="N58" s="47"/>
      <c r="O58" s="47"/>
    </row>
    <row r="59" spans="1:18" ht="13.5" thickBot="1" x14ac:dyDescent="0.25">
      <c r="B59" s="789" t="s">
        <v>168</v>
      </c>
      <c r="C59" s="790"/>
      <c r="D59" s="790"/>
      <c r="E59" s="790"/>
      <c r="F59" s="791"/>
      <c r="G59" s="825">
        <f>+G53-SUM(G55:H57)</f>
        <v>1329592</v>
      </c>
      <c r="H59" s="826"/>
      <c r="J59" s="827" t="s">
        <v>169</v>
      </c>
      <c r="K59" s="828"/>
      <c r="L59" s="828"/>
      <c r="M59" s="828"/>
      <c r="N59" s="828"/>
      <c r="O59" s="829"/>
    </row>
    <row r="60" spans="1:18" ht="13.5" thickBot="1" x14ac:dyDescent="0.25">
      <c r="B60" s="49"/>
      <c r="C60" s="50"/>
      <c r="D60" s="50"/>
      <c r="E60" s="50"/>
      <c r="F60" s="50"/>
      <c r="G60" s="45"/>
      <c r="H60" s="50"/>
      <c r="J60" s="51"/>
      <c r="K60" s="52"/>
      <c r="L60" s="52"/>
      <c r="M60" s="52"/>
      <c r="N60" s="52"/>
      <c r="O60" s="53"/>
    </row>
    <row r="61" spans="1:18" ht="13.5" thickBot="1" x14ac:dyDescent="0.25">
      <c r="B61" s="789" t="s">
        <v>170</v>
      </c>
      <c r="C61" s="790"/>
      <c r="D61" s="790"/>
      <c r="E61" s="790"/>
      <c r="F61" s="791"/>
      <c r="G61" s="805"/>
      <c r="H61" s="791"/>
      <c r="J61" s="54"/>
      <c r="K61" s="55"/>
      <c r="L61" s="55"/>
      <c r="M61" s="55"/>
      <c r="N61" s="55"/>
      <c r="O61" s="56"/>
    </row>
    <row r="62" spans="1:18" ht="12.75" customHeight="1" x14ac:dyDescent="0.2">
      <c r="B62" s="57" t="s">
        <v>171</v>
      </c>
      <c r="C62" s="806" t="s">
        <v>172</v>
      </c>
      <c r="D62" s="807"/>
      <c r="E62" s="807"/>
      <c r="F62" s="808"/>
      <c r="G62" s="809">
        <v>0</v>
      </c>
      <c r="H62" s="809"/>
      <c r="I62" s="58"/>
      <c r="J62" s="810" t="s">
        <v>173</v>
      </c>
      <c r="K62" s="811"/>
      <c r="L62" s="811"/>
      <c r="M62" s="811"/>
      <c r="N62" s="811"/>
      <c r="O62" s="812"/>
      <c r="Q62" s="59"/>
      <c r="R62" s="59"/>
    </row>
    <row r="63" spans="1:18" ht="13.5" thickBot="1" x14ac:dyDescent="0.25">
      <c r="D63" s="37"/>
      <c r="I63" s="58"/>
      <c r="J63" s="60" t="s">
        <v>254</v>
      </c>
      <c r="K63" s="61"/>
      <c r="L63" s="61"/>
      <c r="M63" s="61"/>
      <c r="N63" s="61"/>
      <c r="O63" s="62"/>
      <c r="Q63" s="59"/>
      <c r="R63" s="59"/>
    </row>
    <row r="64" spans="1:18" ht="13.5" thickBot="1" x14ac:dyDescent="0.25">
      <c r="B64" s="789" t="s">
        <v>175</v>
      </c>
      <c r="C64" s="790"/>
      <c r="D64" s="790"/>
      <c r="E64" s="790"/>
      <c r="F64" s="791"/>
      <c r="G64" s="805">
        <f>+G59-G62</f>
        <v>1329592</v>
      </c>
      <c r="H64" s="791"/>
      <c r="I64" s="63"/>
      <c r="J64" s="64"/>
      <c r="K64" s="39"/>
      <c r="L64" s="39"/>
      <c r="M64" s="39"/>
      <c r="N64" s="39"/>
      <c r="O64" s="65"/>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6.25" customHeight="1" thickBot="1" x14ac:dyDescent="0.25">
      <c r="B67" s="66"/>
      <c r="C67" s="48"/>
      <c r="G67" s="70" t="s">
        <v>177</v>
      </c>
      <c r="H67" s="70" t="s">
        <v>178</v>
      </c>
      <c r="I67" s="63"/>
      <c r="J67" s="810" t="s">
        <v>179</v>
      </c>
      <c r="K67" s="811"/>
      <c r="L67" s="71"/>
      <c r="M67" s="71"/>
      <c r="N67" s="71"/>
      <c r="O67" s="72"/>
      <c r="Q67" s="59"/>
      <c r="R67" s="59"/>
    </row>
    <row r="68" spans="2:18" ht="12.75" customHeight="1" x14ac:dyDescent="0.2">
      <c r="B68" s="802" t="s">
        <v>180</v>
      </c>
      <c r="C68" s="821" t="s">
        <v>181</v>
      </c>
      <c r="D68" s="823" t="s">
        <v>182</v>
      </c>
      <c r="E68" s="824"/>
      <c r="F68" s="824"/>
      <c r="G68" s="73">
        <f>+O43</f>
        <v>213000</v>
      </c>
      <c r="H68" s="74">
        <f t="shared" ref="H68:H76" si="8">+G68</f>
        <v>213000</v>
      </c>
      <c r="I68" s="63"/>
      <c r="J68" s="75" t="s">
        <v>231</v>
      </c>
      <c r="K68" s="58"/>
      <c r="L68" s="58"/>
      <c r="M68" s="58"/>
      <c r="N68" s="58"/>
      <c r="O68" s="76">
        <v>6984</v>
      </c>
      <c r="Q68" s="59"/>
      <c r="R68" s="59"/>
    </row>
    <row r="69" spans="2:18" ht="12.75" customHeight="1" x14ac:dyDescent="0.2">
      <c r="B69" s="803"/>
      <c r="C69" s="822"/>
      <c r="D69" s="782" t="s">
        <v>184</v>
      </c>
      <c r="E69" s="783"/>
      <c r="F69" s="783"/>
      <c r="G69" s="77">
        <f>+O47</f>
        <v>6984</v>
      </c>
      <c r="H69" s="78">
        <f t="shared" si="8"/>
        <v>6984</v>
      </c>
      <c r="I69" s="63"/>
      <c r="J69" s="79"/>
      <c r="K69" s="68"/>
      <c r="L69" s="68"/>
      <c r="M69" s="68"/>
      <c r="N69" s="68"/>
      <c r="O69" s="69"/>
      <c r="Q69" s="59"/>
      <c r="R69" s="59"/>
    </row>
    <row r="70" spans="2:18" ht="12.75" customHeight="1" x14ac:dyDescent="0.2">
      <c r="B70" s="803"/>
      <c r="C70" s="822"/>
      <c r="D70" s="819" t="s">
        <v>185</v>
      </c>
      <c r="E70" s="820"/>
      <c r="F70" s="820"/>
      <c r="G70" s="80">
        <f>O40</f>
        <v>720</v>
      </c>
      <c r="H70" s="78">
        <f t="shared" si="8"/>
        <v>720</v>
      </c>
      <c r="I70" s="63"/>
      <c r="J70" s="67"/>
      <c r="K70" s="68"/>
      <c r="L70" s="68"/>
      <c r="M70" s="68"/>
      <c r="N70" s="68"/>
      <c r="O70" s="69"/>
    </row>
    <row r="71" spans="2:18" x14ac:dyDescent="0.2">
      <c r="B71" s="803"/>
      <c r="C71" s="822"/>
      <c r="D71" s="782" t="s">
        <v>186</v>
      </c>
      <c r="E71" s="783"/>
      <c r="F71" s="783"/>
      <c r="G71" s="81">
        <v>0</v>
      </c>
      <c r="H71" s="78">
        <f t="shared" si="8"/>
        <v>0</v>
      </c>
      <c r="I71" s="63"/>
      <c r="J71" s="82" t="s">
        <v>187</v>
      </c>
      <c r="K71" s="71"/>
      <c r="L71" s="71"/>
      <c r="M71" s="71"/>
      <c r="N71" s="71"/>
      <c r="O71" s="72"/>
    </row>
    <row r="72" spans="2:18" ht="12.75" customHeight="1" x14ac:dyDescent="0.2">
      <c r="B72" s="803"/>
      <c r="C72" s="822"/>
      <c r="D72" s="784" t="s">
        <v>188</v>
      </c>
      <c r="E72" s="783"/>
      <c r="F72" s="783"/>
      <c r="G72" s="80">
        <v>0</v>
      </c>
      <c r="H72" s="78">
        <f t="shared" si="8"/>
        <v>0</v>
      </c>
      <c r="I72" s="63"/>
      <c r="J72" s="75" t="s">
        <v>189</v>
      </c>
      <c r="K72" s="50"/>
      <c r="L72" s="50"/>
      <c r="M72" s="50"/>
      <c r="N72" s="50"/>
      <c r="O72" s="83">
        <v>0</v>
      </c>
    </row>
    <row r="73" spans="2:18" ht="14.25" customHeight="1" x14ac:dyDescent="0.2">
      <c r="B73" s="803"/>
      <c r="C73" s="822"/>
      <c r="D73" s="782" t="s">
        <v>190</v>
      </c>
      <c r="E73" s="783"/>
      <c r="F73" s="783"/>
      <c r="G73" s="84">
        <v>0</v>
      </c>
      <c r="H73" s="78">
        <f t="shared" si="8"/>
        <v>0</v>
      </c>
      <c r="I73" s="63"/>
      <c r="J73" s="64"/>
      <c r="K73" s="39"/>
      <c r="L73" s="39"/>
      <c r="M73" s="39"/>
      <c r="N73" s="39"/>
      <c r="O73" s="65"/>
    </row>
    <row r="74" spans="2:18" x14ac:dyDescent="0.2">
      <c r="B74" s="803"/>
      <c r="C74" s="822"/>
      <c r="D74" s="782" t="s">
        <v>191</v>
      </c>
      <c r="E74" s="783"/>
      <c r="F74" s="783"/>
      <c r="G74" s="81">
        <v>0</v>
      </c>
      <c r="H74" s="78">
        <f t="shared" si="8"/>
        <v>0</v>
      </c>
      <c r="I74" s="58"/>
      <c r="J74" s="85"/>
      <c r="K74" s="63"/>
      <c r="L74" s="63"/>
      <c r="M74" s="63"/>
      <c r="N74" s="63"/>
      <c r="O74" s="86"/>
    </row>
    <row r="75" spans="2:18" x14ac:dyDescent="0.2">
      <c r="B75" s="803"/>
      <c r="C75" s="88" t="s">
        <v>192</v>
      </c>
      <c r="D75" s="813" t="s">
        <v>193</v>
      </c>
      <c r="E75" s="814"/>
      <c r="F75" s="814"/>
      <c r="G75" s="80">
        <v>0</v>
      </c>
      <c r="H75" s="78">
        <f t="shared" si="8"/>
        <v>0</v>
      </c>
      <c r="I75" s="58"/>
      <c r="J75" s="60"/>
      <c r="K75" s="68"/>
      <c r="L75" s="68"/>
      <c r="M75" s="50"/>
      <c r="N75" s="50"/>
      <c r="O75" s="83"/>
    </row>
    <row r="76" spans="2:18" ht="13.5" customHeight="1" thickBot="1" x14ac:dyDescent="0.25">
      <c r="B76" s="803"/>
      <c r="C76" s="88" t="s">
        <v>194</v>
      </c>
      <c r="D76" s="815" t="s">
        <v>195</v>
      </c>
      <c r="E76" s="815"/>
      <c r="F76" s="815"/>
      <c r="G76" s="89">
        <v>0</v>
      </c>
      <c r="H76" s="90">
        <f t="shared" si="8"/>
        <v>0</v>
      </c>
      <c r="I76" s="63"/>
      <c r="J76" s="75"/>
      <c r="K76" s="68"/>
      <c r="L76" s="68"/>
      <c r="M76" s="91"/>
      <c r="N76" s="91"/>
      <c r="O76" s="92"/>
    </row>
    <row r="77" spans="2:18" ht="13.5" thickBot="1" x14ac:dyDescent="0.25">
      <c r="B77" s="803"/>
      <c r="C77" s="93"/>
      <c r="D77" s="94"/>
      <c r="E77" s="816" t="s">
        <v>117</v>
      </c>
      <c r="F77" s="817"/>
      <c r="G77" s="95">
        <f>SUM(G68:G76)</f>
        <v>220704</v>
      </c>
      <c r="H77" s="96">
        <f>IF(SUM(G68:G74)&lt;150000,SUM(G68:G74),150000)+IF(+G75&lt;20000,+G75,20000)</f>
        <v>150000</v>
      </c>
      <c r="I77" s="63"/>
      <c r="J77" s="97"/>
      <c r="K77" s="98"/>
      <c r="L77" s="98"/>
      <c r="M77" s="98"/>
      <c r="N77" s="98"/>
      <c r="O77" s="99"/>
    </row>
    <row r="78" spans="2:18" ht="12.75" customHeight="1" x14ac:dyDescent="0.2">
      <c r="B78" s="803"/>
      <c r="C78" s="100" t="s">
        <v>196</v>
      </c>
      <c r="D78" s="782" t="s">
        <v>187</v>
      </c>
      <c r="E78" s="783"/>
      <c r="F78" s="818"/>
      <c r="G78" s="73">
        <f>+O42</f>
        <v>0</v>
      </c>
      <c r="H78" s="101">
        <f>+IF(+G78&lt;25000,+G78,25000)</f>
        <v>0</v>
      </c>
      <c r="I78" s="87"/>
    </row>
    <row r="79" spans="2:18" x14ac:dyDescent="0.2">
      <c r="B79" s="803"/>
      <c r="C79" s="100" t="s">
        <v>197</v>
      </c>
      <c r="D79" s="784" t="s">
        <v>198</v>
      </c>
      <c r="E79" s="785"/>
      <c r="F79" s="786"/>
      <c r="G79" s="102"/>
      <c r="H79" s="103">
        <f>+IF(+G79&lt;40000,+G79,40000)</f>
        <v>0</v>
      </c>
      <c r="I79" s="63"/>
    </row>
    <row r="80" spans="2:18" x14ac:dyDescent="0.2">
      <c r="B80" s="803"/>
      <c r="C80" s="100" t="s">
        <v>199</v>
      </c>
      <c r="D80" s="784" t="s">
        <v>200</v>
      </c>
      <c r="E80" s="785"/>
      <c r="F80" s="786"/>
      <c r="G80" s="81"/>
      <c r="H80" s="104">
        <v>0</v>
      </c>
      <c r="I80" s="63"/>
      <c r="J80" s="106"/>
    </row>
    <row r="81" spans="2:12" x14ac:dyDescent="0.2">
      <c r="B81" s="803"/>
      <c r="C81" s="100" t="s">
        <v>201</v>
      </c>
      <c r="D81" s="784" t="s">
        <v>202</v>
      </c>
      <c r="E81" s="785"/>
      <c r="F81" s="786"/>
      <c r="G81" s="81"/>
      <c r="H81" s="104">
        <v>0</v>
      </c>
      <c r="I81" s="63"/>
    </row>
    <row r="82" spans="2:12" ht="13.5" thickBot="1" x14ac:dyDescent="0.25">
      <c r="B82" s="804"/>
      <c r="C82" s="100" t="s">
        <v>203</v>
      </c>
      <c r="D82" s="784" t="s">
        <v>204</v>
      </c>
      <c r="E82" s="785"/>
      <c r="F82" s="786"/>
      <c r="G82" s="102"/>
      <c r="H82" s="103">
        <f>+IF(+G82&lt;100000,+G82,10000)</f>
        <v>0</v>
      </c>
      <c r="I82" s="63"/>
    </row>
    <row r="83" spans="2:12" ht="13.5" thickBot="1" x14ac:dyDescent="0.25">
      <c r="B83" s="787" t="s">
        <v>205</v>
      </c>
      <c r="C83" s="788"/>
      <c r="D83" s="788"/>
      <c r="E83" s="788"/>
      <c r="F83" s="788"/>
      <c r="G83" s="107">
        <f>SUM(G78:G82)</f>
        <v>0</v>
      </c>
      <c r="H83" s="108">
        <f>SUM(H77:H82)</f>
        <v>150000</v>
      </c>
    </row>
    <row r="84" spans="2:12" ht="13.5" thickBot="1" x14ac:dyDescent="0.25"/>
    <row r="85" spans="2:12" ht="13.5" thickBot="1" x14ac:dyDescent="0.25">
      <c r="B85" s="789" t="s">
        <v>206</v>
      </c>
      <c r="C85" s="790"/>
      <c r="D85" s="790"/>
      <c r="E85" s="790"/>
      <c r="F85" s="791"/>
      <c r="G85" s="792">
        <f>+G64-H83</f>
        <v>1179592</v>
      </c>
      <c r="H85" s="791"/>
      <c r="J85" s="109">
        <f>C37+D37+E37+F37</f>
        <v>444288</v>
      </c>
      <c r="K85" s="16" t="s">
        <v>235</v>
      </c>
    </row>
    <row r="86" spans="2:12" x14ac:dyDescent="0.2">
      <c r="B86" s="110"/>
      <c r="F86" s="105"/>
      <c r="J86" s="109">
        <f>G37+H37+I37</f>
        <v>340104</v>
      </c>
      <c r="K86" s="16" t="s">
        <v>236</v>
      </c>
      <c r="L86" s="16">
        <f>+J86/3</f>
        <v>113368</v>
      </c>
    </row>
    <row r="87" spans="2:12" x14ac:dyDescent="0.2">
      <c r="C87" s="793" t="s">
        <v>207</v>
      </c>
      <c r="D87" s="794"/>
      <c r="E87" s="111" t="s">
        <v>208</v>
      </c>
      <c r="F87" s="111" t="s">
        <v>209</v>
      </c>
      <c r="G87" s="111" t="s">
        <v>210</v>
      </c>
      <c r="H87" s="111" t="s">
        <v>211</v>
      </c>
      <c r="J87" s="109">
        <f>J37+K37+L37</f>
        <v>357476</v>
      </c>
      <c r="K87" s="47" t="s">
        <v>237</v>
      </c>
    </row>
    <row r="88" spans="2:12" x14ac:dyDescent="0.2">
      <c r="C88" s="795" t="str">
        <f>IF(I6="M","0          - 250000","0          -  250000")</f>
        <v>0          - 250000</v>
      </c>
      <c r="D88" s="796"/>
      <c r="E88" s="112">
        <v>0</v>
      </c>
      <c r="F88" s="113">
        <f>IF(I6="M",(IF(G85&lt;250000,G85,250000)),(IF(G85&lt;250000,G85,250000)))</f>
        <v>250000</v>
      </c>
      <c r="G88" s="113">
        <f>G85-F88</f>
        <v>929592</v>
      </c>
      <c r="H88" s="113">
        <f>E88*F88</f>
        <v>0</v>
      </c>
      <c r="J88" s="16">
        <f>M37+N37</f>
        <v>230224</v>
      </c>
      <c r="K88" s="1" t="s">
        <v>238</v>
      </c>
    </row>
    <row r="89" spans="2:12" x14ac:dyDescent="0.2">
      <c r="C89" s="795" t="str">
        <f>IF(I6="M","250001 - 500000","250001-500000")</f>
        <v>250001 - 500000</v>
      </c>
      <c r="D89" s="796"/>
      <c r="E89" s="112">
        <v>0.05</v>
      </c>
      <c r="F89" s="113">
        <f>IF(I6="M",(IF(G88&lt;250000,G88,250000)),(IF(G88&lt;250000,G88,250000)))</f>
        <v>250000</v>
      </c>
      <c r="G89" s="113">
        <f>G88-F89</f>
        <v>679592</v>
      </c>
      <c r="H89" s="114">
        <f>ROUND(E89*F89,0.1)</f>
        <v>12500</v>
      </c>
      <c r="J89" s="115">
        <f>SUM(J85:J88)</f>
        <v>1372092</v>
      </c>
    </row>
    <row r="90" spans="2:12" x14ac:dyDescent="0.2">
      <c r="C90" s="797" t="s">
        <v>212</v>
      </c>
      <c r="D90" s="798"/>
      <c r="E90" s="112">
        <v>0.2</v>
      </c>
      <c r="F90" s="113">
        <f>IF(G89&lt;500000,G89,500000)</f>
        <v>500000</v>
      </c>
      <c r="G90" s="113">
        <f>G89-F90</f>
        <v>179592</v>
      </c>
      <c r="H90" s="114">
        <f>ROUND(E90*F90,0.1)</f>
        <v>100000</v>
      </c>
      <c r="J90" s="16">
        <f>+G85</f>
        <v>1179592</v>
      </c>
    </row>
    <row r="91" spans="2:12" x14ac:dyDescent="0.2">
      <c r="C91" s="795" t="s">
        <v>213</v>
      </c>
      <c r="D91" s="796"/>
      <c r="E91" s="112">
        <v>0.3</v>
      </c>
      <c r="F91" s="113">
        <f>G90</f>
        <v>179592</v>
      </c>
      <c r="G91" s="113">
        <f>G90-F91</f>
        <v>0</v>
      </c>
      <c r="H91" s="114">
        <f>ROUND(E91*F91,0.1)</f>
        <v>53878</v>
      </c>
      <c r="J91" s="16">
        <f>+J89-J90</f>
        <v>192500</v>
      </c>
    </row>
    <row r="92" spans="2:12" ht="12.75" customHeight="1" thickBot="1" x14ac:dyDescent="0.25">
      <c r="B92" s="116"/>
      <c r="C92" s="117"/>
      <c r="D92" s="47"/>
      <c r="E92" s="47"/>
      <c r="F92" s="47"/>
      <c r="J92" s="87"/>
      <c r="K92" s="118"/>
    </row>
    <row r="93" spans="2:12" ht="13.5" thickBot="1" x14ac:dyDescent="0.25">
      <c r="B93" s="799" t="s">
        <v>239</v>
      </c>
      <c r="C93" s="800"/>
      <c r="D93" s="800"/>
      <c r="E93" s="800"/>
      <c r="F93" s="801"/>
      <c r="G93" s="771">
        <f>H88+H89+H90+H91</f>
        <v>166378</v>
      </c>
      <c r="H93" s="772"/>
    </row>
    <row r="94" spans="2:12" ht="13.5" thickBot="1" x14ac:dyDescent="0.25">
      <c r="B94" s="119" t="s">
        <v>215</v>
      </c>
      <c r="C94" s="120"/>
      <c r="D94" s="120"/>
      <c r="E94" s="120"/>
      <c r="F94" s="120"/>
      <c r="G94" s="884">
        <f>IF((G64&lt;500000),5000,0)</f>
        <v>0</v>
      </c>
      <c r="H94" s="885">
        <f>IF(H92&lt;200000,0,IF(H92&lt;220000,((H92-200000)*10%),IF(H92&lt;=500000,2000,IF(H92&gt;=500000,0))))</f>
        <v>0</v>
      </c>
      <c r="J94" s="1"/>
      <c r="K94" s="121"/>
      <c r="L94" s="121"/>
    </row>
    <row r="95" spans="2:12" ht="13.5" thickBot="1" x14ac:dyDescent="0.25">
      <c r="B95" s="122" t="s">
        <v>216</v>
      </c>
      <c r="C95" s="123"/>
      <c r="D95" s="123"/>
      <c r="E95" s="123"/>
      <c r="F95" s="123"/>
      <c r="G95" s="771">
        <f>IF((G93-G94)&lt;0,0,(G93-G94))</f>
        <v>166378</v>
      </c>
      <c r="H95" s="772"/>
      <c r="I95" s="37"/>
    </row>
    <row r="96" spans="2:12" ht="13.5" thickBot="1" x14ac:dyDescent="0.25">
      <c r="B96" s="773" t="s">
        <v>240</v>
      </c>
      <c r="C96" s="774"/>
      <c r="D96" s="774"/>
      <c r="E96" s="774"/>
      <c r="F96" s="775"/>
      <c r="G96" s="776">
        <f>ROUND((IF(G95&gt;0,(G95*4%),0)),0)</f>
        <v>6655</v>
      </c>
      <c r="H96" s="777"/>
      <c r="I96" s="37"/>
    </row>
    <row r="97" spans="2:9" ht="13.5" thickBot="1" x14ac:dyDescent="0.25">
      <c r="B97" s="778" t="s">
        <v>218</v>
      </c>
      <c r="C97" s="779"/>
      <c r="D97" s="779"/>
      <c r="E97" s="779"/>
      <c r="F97" s="779"/>
      <c r="G97" s="780">
        <f>G95+G96</f>
        <v>173033</v>
      </c>
      <c r="H97" s="781"/>
      <c r="I97" s="121"/>
    </row>
    <row r="98" spans="2:9" ht="13.5" thickBot="1" x14ac:dyDescent="0.25">
      <c r="B98" s="765" t="s">
        <v>219</v>
      </c>
      <c r="C98" s="766"/>
      <c r="D98" s="766"/>
      <c r="E98" s="766"/>
      <c r="F98" s="766"/>
      <c r="G98" s="767">
        <f>O38</f>
        <v>173040</v>
      </c>
      <c r="H98" s="768"/>
      <c r="I98" s="121"/>
    </row>
    <row r="99" spans="2:9" ht="13.5" thickBot="1" x14ac:dyDescent="0.25">
      <c r="B99" s="765" t="str">
        <f>IF(G99&gt;0,"TAX PAYABLE","TAX REFUND")</f>
        <v>TAX REFUND</v>
      </c>
      <c r="C99" s="766"/>
      <c r="D99" s="766"/>
      <c r="E99" s="766"/>
      <c r="F99" s="766"/>
      <c r="G99" s="767">
        <f>G97-G98</f>
        <v>-7</v>
      </c>
      <c r="H99" s="768"/>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9:F99 B93:F97">
    <cfRule type="cellIs" dxfId="2115" priority="1" stopIfTrue="1" operator="equal">
      <formula>"TAX PAYABLE"</formula>
    </cfRule>
    <cfRule type="cellIs" dxfId="2114" priority="2" stopIfTrue="1" operator="equal">
      <formula>"TAX REFUND"</formula>
    </cfRule>
  </conditionalFormatting>
  <conditionalFormatting sqref="G99:H99">
    <cfRule type="cellIs" dxfId="2113" priority="3" stopIfTrue="1" operator="greaterThan">
      <formula>0</formula>
    </cfRule>
    <cfRule type="cellIs" dxfId="2112" priority="4"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hyperlinks>
    <hyperlink ref="J51" r:id="rId1" display="+J37-@sum(J22:J36)"/>
  </hyperlinks>
  <pageMargins left="0.75" right="0.75" top="1" bottom="1" header="0.5" footer="0.5"/>
  <headerFooter alignWithMargins="0"/>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07"/>
  <sheetViews>
    <sheetView topLeftCell="A62" workbookViewId="0">
      <selection activeCell="G68" sqref="G68"/>
    </sheetView>
  </sheetViews>
  <sheetFormatPr defaultRowHeight="12.75" x14ac:dyDescent="0.2"/>
  <cols>
    <col min="1" max="1" width="5" style="16" customWidth="1"/>
    <col min="2" max="2" width="19.140625" style="37" customWidth="1"/>
    <col min="3" max="3" width="9.28515625" style="16" customWidth="1"/>
    <col min="4" max="4" width="6.7109375" style="16" bestFit="1" customWidth="1"/>
    <col min="5" max="5" width="8.5703125" style="16" bestFit="1" customWidth="1"/>
    <col min="6" max="8" width="8" style="16" customWidth="1"/>
    <col min="9" max="9" width="7.140625" style="16" bestFit="1" customWidth="1"/>
    <col min="10" max="10" width="9" style="16" customWidth="1"/>
    <col min="11" max="12" width="7" style="16" bestFit="1" customWidth="1"/>
    <col min="13" max="13" width="6.85546875" style="16" bestFit="1" customWidth="1"/>
    <col min="14" max="14" width="7" style="16" bestFit="1" customWidth="1"/>
    <col min="15" max="15" width="8.2851562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9.140625" style="16" customWidth="1"/>
    <col min="259" max="259" width="9.28515625" style="16" customWidth="1"/>
    <col min="260" max="260" width="6.7109375" style="16" bestFit="1" customWidth="1"/>
    <col min="261" max="261" width="8.5703125" style="16" bestFit="1" customWidth="1"/>
    <col min="262" max="264" width="8" style="16" customWidth="1"/>
    <col min="265" max="265" width="7.140625" style="16" bestFit="1" customWidth="1"/>
    <col min="266" max="266" width="9" style="16" customWidth="1"/>
    <col min="267" max="268" width="7" style="16" bestFit="1" customWidth="1"/>
    <col min="269" max="269" width="6.85546875" style="16" bestFit="1" customWidth="1"/>
    <col min="270" max="270" width="7" style="16" bestFit="1" customWidth="1"/>
    <col min="271" max="271" width="8.2851562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9.140625" style="16" customWidth="1"/>
    <col min="515" max="515" width="9.28515625" style="16" customWidth="1"/>
    <col min="516" max="516" width="6.7109375" style="16" bestFit="1" customWidth="1"/>
    <col min="517" max="517" width="8.5703125" style="16" bestFit="1" customWidth="1"/>
    <col min="518" max="520" width="8" style="16" customWidth="1"/>
    <col min="521" max="521" width="7.140625" style="16" bestFit="1" customWidth="1"/>
    <col min="522" max="522" width="9" style="16" customWidth="1"/>
    <col min="523" max="524" width="7" style="16" bestFit="1" customWidth="1"/>
    <col min="525" max="525" width="6.85546875" style="16" bestFit="1" customWidth="1"/>
    <col min="526" max="526" width="7" style="16" bestFit="1" customWidth="1"/>
    <col min="527" max="527" width="8.2851562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9.140625" style="16" customWidth="1"/>
    <col min="771" max="771" width="9.28515625" style="16" customWidth="1"/>
    <col min="772" max="772" width="6.7109375" style="16" bestFit="1" customWidth="1"/>
    <col min="773" max="773" width="8.5703125" style="16" bestFit="1" customWidth="1"/>
    <col min="774" max="776" width="8" style="16" customWidth="1"/>
    <col min="777" max="777" width="7.140625" style="16" bestFit="1" customWidth="1"/>
    <col min="778" max="778" width="9" style="16" customWidth="1"/>
    <col min="779" max="780" width="7" style="16" bestFit="1" customWidth="1"/>
    <col min="781" max="781" width="6.85546875" style="16" bestFit="1" customWidth="1"/>
    <col min="782" max="782" width="7" style="16" bestFit="1" customWidth="1"/>
    <col min="783" max="783" width="8.2851562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9.140625" style="16" customWidth="1"/>
    <col min="1027" max="1027" width="9.28515625" style="16" customWidth="1"/>
    <col min="1028" max="1028" width="6.7109375" style="16" bestFit="1" customWidth="1"/>
    <col min="1029" max="1029" width="8.5703125" style="16" bestFit="1" customWidth="1"/>
    <col min="1030" max="1032" width="8" style="16" customWidth="1"/>
    <col min="1033" max="1033" width="7.140625" style="16" bestFit="1" customWidth="1"/>
    <col min="1034" max="1034" width="9" style="16" customWidth="1"/>
    <col min="1035" max="1036" width="7" style="16" bestFit="1" customWidth="1"/>
    <col min="1037" max="1037" width="6.85546875" style="16" bestFit="1" customWidth="1"/>
    <col min="1038" max="1038" width="7" style="16" bestFit="1" customWidth="1"/>
    <col min="1039" max="1039" width="8.2851562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9.140625" style="16" customWidth="1"/>
    <col min="1283" max="1283" width="9.28515625" style="16" customWidth="1"/>
    <col min="1284" max="1284" width="6.7109375" style="16" bestFit="1" customWidth="1"/>
    <col min="1285" max="1285" width="8.5703125" style="16" bestFit="1" customWidth="1"/>
    <col min="1286" max="1288" width="8" style="16" customWidth="1"/>
    <col min="1289" max="1289" width="7.140625" style="16" bestFit="1" customWidth="1"/>
    <col min="1290" max="1290" width="9" style="16" customWidth="1"/>
    <col min="1291" max="1292" width="7" style="16" bestFit="1" customWidth="1"/>
    <col min="1293" max="1293" width="6.85546875" style="16" bestFit="1" customWidth="1"/>
    <col min="1294" max="1294" width="7" style="16" bestFit="1" customWidth="1"/>
    <col min="1295" max="1295" width="8.2851562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9.140625" style="16" customWidth="1"/>
    <col min="1539" max="1539" width="9.28515625" style="16" customWidth="1"/>
    <col min="1540" max="1540" width="6.7109375" style="16" bestFit="1" customWidth="1"/>
    <col min="1541" max="1541" width="8.5703125" style="16" bestFit="1" customWidth="1"/>
    <col min="1542" max="1544" width="8" style="16" customWidth="1"/>
    <col min="1545" max="1545" width="7.140625" style="16" bestFit="1" customWidth="1"/>
    <col min="1546" max="1546" width="9" style="16" customWidth="1"/>
    <col min="1547" max="1548" width="7" style="16" bestFit="1" customWidth="1"/>
    <col min="1549" max="1549" width="6.85546875" style="16" bestFit="1" customWidth="1"/>
    <col min="1550" max="1550" width="7" style="16" bestFit="1" customWidth="1"/>
    <col min="1551" max="1551" width="8.2851562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9.140625" style="16" customWidth="1"/>
    <col min="1795" max="1795" width="9.28515625" style="16" customWidth="1"/>
    <col min="1796" max="1796" width="6.7109375" style="16" bestFit="1" customWidth="1"/>
    <col min="1797" max="1797" width="8.5703125" style="16" bestFit="1" customWidth="1"/>
    <col min="1798" max="1800" width="8" style="16" customWidth="1"/>
    <col min="1801" max="1801" width="7.140625" style="16" bestFit="1" customWidth="1"/>
    <col min="1802" max="1802" width="9" style="16" customWidth="1"/>
    <col min="1803" max="1804" width="7" style="16" bestFit="1" customWidth="1"/>
    <col min="1805" max="1805" width="6.85546875" style="16" bestFit="1" customWidth="1"/>
    <col min="1806" max="1806" width="7" style="16" bestFit="1" customWidth="1"/>
    <col min="1807" max="1807" width="8.2851562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9.140625" style="16" customWidth="1"/>
    <col min="2051" max="2051" width="9.28515625" style="16" customWidth="1"/>
    <col min="2052" max="2052" width="6.7109375" style="16" bestFit="1" customWidth="1"/>
    <col min="2053" max="2053" width="8.5703125" style="16" bestFit="1" customWidth="1"/>
    <col min="2054" max="2056" width="8" style="16" customWidth="1"/>
    <col min="2057" max="2057" width="7.140625" style="16" bestFit="1" customWidth="1"/>
    <col min="2058" max="2058" width="9" style="16" customWidth="1"/>
    <col min="2059" max="2060" width="7" style="16" bestFit="1" customWidth="1"/>
    <col min="2061" max="2061" width="6.85546875" style="16" bestFit="1" customWidth="1"/>
    <col min="2062" max="2062" width="7" style="16" bestFit="1" customWidth="1"/>
    <col min="2063" max="2063" width="8.2851562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9.140625" style="16" customWidth="1"/>
    <col min="2307" max="2307" width="9.28515625" style="16" customWidth="1"/>
    <col min="2308" max="2308" width="6.7109375" style="16" bestFit="1" customWidth="1"/>
    <col min="2309" max="2309" width="8.5703125" style="16" bestFit="1" customWidth="1"/>
    <col min="2310" max="2312" width="8" style="16" customWidth="1"/>
    <col min="2313" max="2313" width="7.140625" style="16" bestFit="1" customWidth="1"/>
    <col min="2314" max="2314" width="9" style="16" customWidth="1"/>
    <col min="2315" max="2316" width="7" style="16" bestFit="1" customWidth="1"/>
    <col min="2317" max="2317" width="6.85546875" style="16" bestFit="1" customWidth="1"/>
    <col min="2318" max="2318" width="7" style="16" bestFit="1" customWidth="1"/>
    <col min="2319" max="2319" width="8.2851562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9.140625" style="16" customWidth="1"/>
    <col min="2563" max="2563" width="9.28515625" style="16" customWidth="1"/>
    <col min="2564" max="2564" width="6.7109375" style="16" bestFit="1" customWidth="1"/>
    <col min="2565" max="2565" width="8.5703125" style="16" bestFit="1" customWidth="1"/>
    <col min="2566" max="2568" width="8" style="16" customWidth="1"/>
    <col min="2569" max="2569" width="7.140625" style="16" bestFit="1" customWidth="1"/>
    <col min="2570" max="2570" width="9" style="16" customWidth="1"/>
    <col min="2571" max="2572" width="7" style="16" bestFit="1" customWidth="1"/>
    <col min="2573" max="2573" width="6.85546875" style="16" bestFit="1" customWidth="1"/>
    <col min="2574" max="2574" width="7" style="16" bestFit="1" customWidth="1"/>
    <col min="2575" max="2575" width="8.2851562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9.140625" style="16" customWidth="1"/>
    <col min="2819" max="2819" width="9.28515625" style="16" customWidth="1"/>
    <col min="2820" max="2820" width="6.7109375" style="16" bestFit="1" customWidth="1"/>
    <col min="2821" max="2821" width="8.5703125" style="16" bestFit="1" customWidth="1"/>
    <col min="2822" max="2824" width="8" style="16" customWidth="1"/>
    <col min="2825" max="2825" width="7.140625" style="16" bestFit="1" customWidth="1"/>
    <col min="2826" max="2826" width="9" style="16" customWidth="1"/>
    <col min="2827" max="2828" width="7" style="16" bestFit="1" customWidth="1"/>
    <col min="2829" max="2829" width="6.85546875" style="16" bestFit="1" customWidth="1"/>
    <col min="2830" max="2830" width="7" style="16" bestFit="1" customWidth="1"/>
    <col min="2831" max="2831" width="8.2851562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9.140625" style="16" customWidth="1"/>
    <col min="3075" max="3075" width="9.28515625" style="16" customWidth="1"/>
    <col min="3076" max="3076" width="6.7109375" style="16" bestFit="1" customWidth="1"/>
    <col min="3077" max="3077" width="8.5703125" style="16" bestFit="1" customWidth="1"/>
    <col min="3078" max="3080" width="8" style="16" customWidth="1"/>
    <col min="3081" max="3081" width="7.140625" style="16" bestFit="1" customWidth="1"/>
    <col min="3082" max="3082" width="9" style="16" customWidth="1"/>
    <col min="3083" max="3084" width="7" style="16" bestFit="1" customWidth="1"/>
    <col min="3085" max="3085" width="6.85546875" style="16" bestFit="1" customWidth="1"/>
    <col min="3086" max="3086" width="7" style="16" bestFit="1" customWidth="1"/>
    <col min="3087" max="3087" width="8.2851562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9.140625" style="16" customWidth="1"/>
    <col min="3331" max="3331" width="9.28515625" style="16" customWidth="1"/>
    <col min="3332" max="3332" width="6.7109375" style="16" bestFit="1" customWidth="1"/>
    <col min="3333" max="3333" width="8.5703125" style="16" bestFit="1" customWidth="1"/>
    <col min="3334" max="3336" width="8" style="16" customWidth="1"/>
    <col min="3337" max="3337" width="7.140625" style="16" bestFit="1" customWidth="1"/>
    <col min="3338" max="3338" width="9" style="16" customWidth="1"/>
    <col min="3339" max="3340" width="7" style="16" bestFit="1" customWidth="1"/>
    <col min="3341" max="3341" width="6.85546875" style="16" bestFit="1" customWidth="1"/>
    <col min="3342" max="3342" width="7" style="16" bestFit="1" customWidth="1"/>
    <col min="3343" max="3343" width="8.2851562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9.140625" style="16" customWidth="1"/>
    <col min="3587" max="3587" width="9.28515625" style="16" customWidth="1"/>
    <col min="3588" max="3588" width="6.7109375" style="16" bestFit="1" customWidth="1"/>
    <col min="3589" max="3589" width="8.5703125" style="16" bestFit="1" customWidth="1"/>
    <col min="3590" max="3592" width="8" style="16" customWidth="1"/>
    <col min="3593" max="3593" width="7.140625" style="16" bestFit="1" customWidth="1"/>
    <col min="3594" max="3594" width="9" style="16" customWidth="1"/>
    <col min="3595" max="3596" width="7" style="16" bestFit="1" customWidth="1"/>
    <col min="3597" max="3597" width="6.85546875" style="16" bestFit="1" customWidth="1"/>
    <col min="3598" max="3598" width="7" style="16" bestFit="1" customWidth="1"/>
    <col min="3599" max="3599" width="8.2851562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9.140625" style="16" customWidth="1"/>
    <col min="3843" max="3843" width="9.28515625" style="16" customWidth="1"/>
    <col min="3844" max="3844" width="6.7109375" style="16" bestFit="1" customWidth="1"/>
    <col min="3845" max="3845" width="8.5703125" style="16" bestFit="1" customWidth="1"/>
    <col min="3846" max="3848" width="8" style="16" customWidth="1"/>
    <col min="3849" max="3849" width="7.140625" style="16" bestFit="1" customWidth="1"/>
    <col min="3850" max="3850" width="9" style="16" customWidth="1"/>
    <col min="3851" max="3852" width="7" style="16" bestFit="1" customWidth="1"/>
    <col min="3853" max="3853" width="6.85546875" style="16" bestFit="1" customWidth="1"/>
    <col min="3854" max="3854" width="7" style="16" bestFit="1" customWidth="1"/>
    <col min="3855" max="3855" width="8.2851562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9.140625" style="16" customWidth="1"/>
    <col min="4099" max="4099" width="9.28515625" style="16" customWidth="1"/>
    <col min="4100" max="4100" width="6.7109375" style="16" bestFit="1" customWidth="1"/>
    <col min="4101" max="4101" width="8.5703125" style="16" bestFit="1" customWidth="1"/>
    <col min="4102" max="4104" width="8" style="16" customWidth="1"/>
    <col min="4105" max="4105" width="7.140625" style="16" bestFit="1" customWidth="1"/>
    <col min="4106" max="4106" width="9" style="16" customWidth="1"/>
    <col min="4107" max="4108" width="7" style="16" bestFit="1" customWidth="1"/>
    <col min="4109" max="4109" width="6.85546875" style="16" bestFit="1" customWidth="1"/>
    <col min="4110" max="4110" width="7" style="16" bestFit="1" customWidth="1"/>
    <col min="4111" max="4111" width="8.2851562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9.140625" style="16" customWidth="1"/>
    <col min="4355" max="4355" width="9.28515625" style="16" customWidth="1"/>
    <col min="4356" max="4356" width="6.7109375" style="16" bestFit="1" customWidth="1"/>
    <col min="4357" max="4357" width="8.5703125" style="16" bestFit="1" customWidth="1"/>
    <col min="4358" max="4360" width="8" style="16" customWidth="1"/>
    <col min="4361" max="4361" width="7.140625" style="16" bestFit="1" customWidth="1"/>
    <col min="4362" max="4362" width="9" style="16" customWidth="1"/>
    <col min="4363" max="4364" width="7" style="16" bestFit="1" customWidth="1"/>
    <col min="4365" max="4365" width="6.85546875" style="16" bestFit="1" customWidth="1"/>
    <col min="4366" max="4366" width="7" style="16" bestFit="1" customWidth="1"/>
    <col min="4367" max="4367" width="8.2851562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9.140625" style="16" customWidth="1"/>
    <col min="4611" max="4611" width="9.28515625" style="16" customWidth="1"/>
    <col min="4612" max="4612" width="6.7109375" style="16" bestFit="1" customWidth="1"/>
    <col min="4613" max="4613" width="8.5703125" style="16" bestFit="1" customWidth="1"/>
    <col min="4614" max="4616" width="8" style="16" customWidth="1"/>
    <col min="4617" max="4617" width="7.140625" style="16" bestFit="1" customWidth="1"/>
    <col min="4618" max="4618" width="9" style="16" customWidth="1"/>
    <col min="4619" max="4620" width="7" style="16" bestFit="1" customWidth="1"/>
    <col min="4621" max="4621" width="6.85546875" style="16" bestFit="1" customWidth="1"/>
    <col min="4622" max="4622" width="7" style="16" bestFit="1" customWidth="1"/>
    <col min="4623" max="4623" width="8.2851562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9.140625" style="16" customWidth="1"/>
    <col min="4867" max="4867" width="9.28515625" style="16" customWidth="1"/>
    <col min="4868" max="4868" width="6.7109375" style="16" bestFit="1" customWidth="1"/>
    <col min="4869" max="4869" width="8.5703125" style="16" bestFit="1" customWidth="1"/>
    <col min="4870" max="4872" width="8" style="16" customWidth="1"/>
    <col min="4873" max="4873" width="7.140625" style="16" bestFit="1" customWidth="1"/>
    <col min="4874" max="4874" width="9" style="16" customWidth="1"/>
    <col min="4875" max="4876" width="7" style="16" bestFit="1" customWidth="1"/>
    <col min="4877" max="4877" width="6.85546875" style="16" bestFit="1" customWidth="1"/>
    <col min="4878" max="4878" width="7" style="16" bestFit="1" customWidth="1"/>
    <col min="4879" max="4879" width="8.2851562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9.140625" style="16" customWidth="1"/>
    <col min="5123" max="5123" width="9.28515625" style="16" customWidth="1"/>
    <col min="5124" max="5124" width="6.7109375" style="16" bestFit="1" customWidth="1"/>
    <col min="5125" max="5125" width="8.5703125" style="16" bestFit="1" customWidth="1"/>
    <col min="5126" max="5128" width="8" style="16" customWidth="1"/>
    <col min="5129" max="5129" width="7.140625" style="16" bestFit="1" customWidth="1"/>
    <col min="5130" max="5130" width="9" style="16" customWidth="1"/>
    <col min="5131" max="5132" width="7" style="16" bestFit="1" customWidth="1"/>
    <col min="5133" max="5133" width="6.85546875" style="16" bestFit="1" customWidth="1"/>
    <col min="5134" max="5134" width="7" style="16" bestFit="1" customWidth="1"/>
    <col min="5135" max="5135" width="8.2851562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9.140625" style="16" customWidth="1"/>
    <col min="5379" max="5379" width="9.28515625" style="16" customWidth="1"/>
    <col min="5380" max="5380" width="6.7109375" style="16" bestFit="1" customWidth="1"/>
    <col min="5381" max="5381" width="8.5703125" style="16" bestFit="1" customWidth="1"/>
    <col min="5382" max="5384" width="8" style="16" customWidth="1"/>
    <col min="5385" max="5385" width="7.140625" style="16" bestFit="1" customWidth="1"/>
    <col min="5386" max="5386" width="9" style="16" customWidth="1"/>
    <col min="5387" max="5388" width="7" style="16" bestFit="1" customWidth="1"/>
    <col min="5389" max="5389" width="6.85546875" style="16" bestFit="1" customWidth="1"/>
    <col min="5390" max="5390" width="7" style="16" bestFit="1" customWidth="1"/>
    <col min="5391" max="5391" width="8.2851562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9.140625" style="16" customWidth="1"/>
    <col min="5635" max="5635" width="9.28515625" style="16" customWidth="1"/>
    <col min="5636" max="5636" width="6.7109375" style="16" bestFit="1" customWidth="1"/>
    <col min="5637" max="5637" width="8.5703125" style="16" bestFit="1" customWidth="1"/>
    <col min="5638" max="5640" width="8" style="16" customWidth="1"/>
    <col min="5641" max="5641" width="7.140625" style="16" bestFit="1" customWidth="1"/>
    <col min="5642" max="5642" width="9" style="16" customWidth="1"/>
    <col min="5643" max="5644" width="7" style="16" bestFit="1" customWidth="1"/>
    <col min="5645" max="5645" width="6.85546875" style="16" bestFit="1" customWidth="1"/>
    <col min="5646" max="5646" width="7" style="16" bestFit="1" customWidth="1"/>
    <col min="5647" max="5647" width="8.2851562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9.140625" style="16" customWidth="1"/>
    <col min="5891" max="5891" width="9.28515625" style="16" customWidth="1"/>
    <col min="5892" max="5892" width="6.7109375" style="16" bestFit="1" customWidth="1"/>
    <col min="5893" max="5893" width="8.5703125" style="16" bestFit="1" customWidth="1"/>
    <col min="5894" max="5896" width="8" style="16" customWidth="1"/>
    <col min="5897" max="5897" width="7.140625" style="16" bestFit="1" customWidth="1"/>
    <col min="5898" max="5898" width="9" style="16" customWidth="1"/>
    <col min="5899" max="5900" width="7" style="16" bestFit="1" customWidth="1"/>
    <col min="5901" max="5901" width="6.85546875" style="16" bestFit="1" customWidth="1"/>
    <col min="5902" max="5902" width="7" style="16" bestFit="1" customWidth="1"/>
    <col min="5903" max="5903" width="8.2851562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9.140625" style="16" customWidth="1"/>
    <col min="6147" max="6147" width="9.28515625" style="16" customWidth="1"/>
    <col min="6148" max="6148" width="6.7109375" style="16" bestFit="1" customWidth="1"/>
    <col min="6149" max="6149" width="8.5703125" style="16" bestFit="1" customWidth="1"/>
    <col min="6150" max="6152" width="8" style="16" customWidth="1"/>
    <col min="6153" max="6153" width="7.140625" style="16" bestFit="1" customWidth="1"/>
    <col min="6154" max="6154" width="9" style="16" customWidth="1"/>
    <col min="6155" max="6156" width="7" style="16" bestFit="1" customWidth="1"/>
    <col min="6157" max="6157" width="6.85546875" style="16" bestFit="1" customWidth="1"/>
    <col min="6158" max="6158" width="7" style="16" bestFit="1" customWidth="1"/>
    <col min="6159" max="6159" width="8.2851562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9.140625" style="16" customWidth="1"/>
    <col min="6403" max="6403" width="9.28515625" style="16" customWidth="1"/>
    <col min="6404" max="6404" width="6.7109375" style="16" bestFit="1" customWidth="1"/>
    <col min="6405" max="6405" width="8.5703125" style="16" bestFit="1" customWidth="1"/>
    <col min="6406" max="6408" width="8" style="16" customWidth="1"/>
    <col min="6409" max="6409" width="7.140625" style="16" bestFit="1" customWidth="1"/>
    <col min="6410" max="6410" width="9" style="16" customWidth="1"/>
    <col min="6411" max="6412" width="7" style="16" bestFit="1" customWidth="1"/>
    <col min="6413" max="6413" width="6.85546875" style="16" bestFit="1" customWidth="1"/>
    <col min="6414" max="6414" width="7" style="16" bestFit="1" customWidth="1"/>
    <col min="6415" max="6415" width="8.2851562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9.140625" style="16" customWidth="1"/>
    <col min="6659" max="6659" width="9.28515625" style="16" customWidth="1"/>
    <col min="6660" max="6660" width="6.7109375" style="16" bestFit="1" customWidth="1"/>
    <col min="6661" max="6661" width="8.5703125" style="16" bestFit="1" customWidth="1"/>
    <col min="6662" max="6664" width="8" style="16" customWidth="1"/>
    <col min="6665" max="6665" width="7.140625" style="16" bestFit="1" customWidth="1"/>
    <col min="6666" max="6666" width="9" style="16" customWidth="1"/>
    <col min="6667" max="6668" width="7" style="16" bestFit="1" customWidth="1"/>
    <col min="6669" max="6669" width="6.85546875" style="16" bestFit="1" customWidth="1"/>
    <col min="6670" max="6670" width="7" style="16" bestFit="1" customWidth="1"/>
    <col min="6671" max="6671" width="8.2851562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9.140625" style="16" customWidth="1"/>
    <col min="6915" max="6915" width="9.28515625" style="16" customWidth="1"/>
    <col min="6916" max="6916" width="6.7109375" style="16" bestFit="1" customWidth="1"/>
    <col min="6917" max="6917" width="8.5703125" style="16" bestFit="1" customWidth="1"/>
    <col min="6918" max="6920" width="8" style="16" customWidth="1"/>
    <col min="6921" max="6921" width="7.140625" style="16" bestFit="1" customWidth="1"/>
    <col min="6922" max="6922" width="9" style="16" customWidth="1"/>
    <col min="6923" max="6924" width="7" style="16" bestFit="1" customWidth="1"/>
    <col min="6925" max="6925" width="6.85546875" style="16" bestFit="1" customWidth="1"/>
    <col min="6926" max="6926" width="7" style="16" bestFit="1" customWidth="1"/>
    <col min="6927" max="6927" width="8.2851562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9.140625" style="16" customWidth="1"/>
    <col min="7171" max="7171" width="9.28515625" style="16" customWidth="1"/>
    <col min="7172" max="7172" width="6.7109375" style="16" bestFit="1" customWidth="1"/>
    <col min="7173" max="7173" width="8.5703125" style="16" bestFit="1" customWidth="1"/>
    <col min="7174" max="7176" width="8" style="16" customWidth="1"/>
    <col min="7177" max="7177" width="7.140625" style="16" bestFit="1" customWidth="1"/>
    <col min="7178" max="7178" width="9" style="16" customWidth="1"/>
    <col min="7179" max="7180" width="7" style="16" bestFit="1" customWidth="1"/>
    <col min="7181" max="7181" width="6.85546875" style="16" bestFit="1" customWidth="1"/>
    <col min="7182" max="7182" width="7" style="16" bestFit="1" customWidth="1"/>
    <col min="7183" max="7183" width="8.2851562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9.140625" style="16" customWidth="1"/>
    <col min="7427" max="7427" width="9.28515625" style="16" customWidth="1"/>
    <col min="7428" max="7428" width="6.7109375" style="16" bestFit="1" customWidth="1"/>
    <col min="7429" max="7429" width="8.5703125" style="16" bestFit="1" customWidth="1"/>
    <col min="7430" max="7432" width="8" style="16" customWidth="1"/>
    <col min="7433" max="7433" width="7.140625" style="16" bestFit="1" customWidth="1"/>
    <col min="7434" max="7434" width="9" style="16" customWidth="1"/>
    <col min="7435" max="7436" width="7" style="16" bestFit="1" customWidth="1"/>
    <col min="7437" max="7437" width="6.85546875" style="16" bestFit="1" customWidth="1"/>
    <col min="7438" max="7438" width="7" style="16" bestFit="1" customWidth="1"/>
    <col min="7439" max="7439" width="8.2851562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9.140625" style="16" customWidth="1"/>
    <col min="7683" max="7683" width="9.28515625" style="16" customWidth="1"/>
    <col min="7684" max="7684" width="6.7109375" style="16" bestFit="1" customWidth="1"/>
    <col min="7685" max="7685" width="8.5703125" style="16" bestFit="1" customWidth="1"/>
    <col min="7686" max="7688" width="8" style="16" customWidth="1"/>
    <col min="7689" max="7689" width="7.140625" style="16" bestFit="1" customWidth="1"/>
    <col min="7690" max="7690" width="9" style="16" customWidth="1"/>
    <col min="7691" max="7692" width="7" style="16" bestFit="1" customWidth="1"/>
    <col min="7693" max="7693" width="6.85546875" style="16" bestFit="1" customWidth="1"/>
    <col min="7694" max="7694" width="7" style="16" bestFit="1" customWidth="1"/>
    <col min="7695" max="7695" width="8.2851562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9.140625" style="16" customWidth="1"/>
    <col min="7939" max="7939" width="9.28515625" style="16" customWidth="1"/>
    <col min="7940" max="7940" width="6.7109375" style="16" bestFit="1" customWidth="1"/>
    <col min="7941" max="7941" width="8.5703125" style="16" bestFit="1" customWidth="1"/>
    <col min="7942" max="7944" width="8" style="16" customWidth="1"/>
    <col min="7945" max="7945" width="7.140625" style="16" bestFit="1" customWidth="1"/>
    <col min="7946" max="7946" width="9" style="16" customWidth="1"/>
    <col min="7947" max="7948" width="7" style="16" bestFit="1" customWidth="1"/>
    <col min="7949" max="7949" width="6.85546875" style="16" bestFit="1" customWidth="1"/>
    <col min="7950" max="7950" width="7" style="16" bestFit="1" customWidth="1"/>
    <col min="7951" max="7951" width="8.2851562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9.140625" style="16" customWidth="1"/>
    <col min="8195" max="8195" width="9.28515625" style="16" customWidth="1"/>
    <col min="8196" max="8196" width="6.7109375" style="16" bestFit="1" customWidth="1"/>
    <col min="8197" max="8197" width="8.5703125" style="16" bestFit="1" customWidth="1"/>
    <col min="8198" max="8200" width="8" style="16" customWidth="1"/>
    <col min="8201" max="8201" width="7.140625" style="16" bestFit="1" customWidth="1"/>
    <col min="8202" max="8202" width="9" style="16" customWidth="1"/>
    <col min="8203" max="8204" width="7" style="16" bestFit="1" customWidth="1"/>
    <col min="8205" max="8205" width="6.85546875" style="16" bestFit="1" customWidth="1"/>
    <col min="8206" max="8206" width="7" style="16" bestFit="1" customWidth="1"/>
    <col min="8207" max="8207" width="8.2851562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9.140625" style="16" customWidth="1"/>
    <col min="8451" max="8451" width="9.28515625" style="16" customWidth="1"/>
    <col min="8452" max="8452" width="6.7109375" style="16" bestFit="1" customWidth="1"/>
    <col min="8453" max="8453" width="8.5703125" style="16" bestFit="1" customWidth="1"/>
    <col min="8454" max="8456" width="8" style="16" customWidth="1"/>
    <col min="8457" max="8457" width="7.140625" style="16" bestFit="1" customWidth="1"/>
    <col min="8458" max="8458" width="9" style="16" customWidth="1"/>
    <col min="8459" max="8460" width="7" style="16" bestFit="1" customWidth="1"/>
    <col min="8461" max="8461" width="6.85546875" style="16" bestFit="1" customWidth="1"/>
    <col min="8462" max="8462" width="7" style="16" bestFit="1" customWidth="1"/>
    <col min="8463" max="8463" width="8.2851562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9.140625" style="16" customWidth="1"/>
    <col min="8707" max="8707" width="9.28515625" style="16" customWidth="1"/>
    <col min="8708" max="8708" width="6.7109375" style="16" bestFit="1" customWidth="1"/>
    <col min="8709" max="8709" width="8.5703125" style="16" bestFit="1" customWidth="1"/>
    <col min="8710" max="8712" width="8" style="16" customWidth="1"/>
    <col min="8713" max="8713" width="7.140625" style="16" bestFit="1" customWidth="1"/>
    <col min="8714" max="8714" width="9" style="16" customWidth="1"/>
    <col min="8715" max="8716" width="7" style="16" bestFit="1" customWidth="1"/>
    <col min="8717" max="8717" width="6.85546875" style="16" bestFit="1" customWidth="1"/>
    <col min="8718" max="8718" width="7" style="16" bestFit="1" customWidth="1"/>
    <col min="8719" max="8719" width="8.2851562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9.140625" style="16" customWidth="1"/>
    <col min="8963" max="8963" width="9.28515625" style="16" customWidth="1"/>
    <col min="8964" max="8964" width="6.7109375" style="16" bestFit="1" customWidth="1"/>
    <col min="8965" max="8965" width="8.5703125" style="16" bestFit="1" customWidth="1"/>
    <col min="8966" max="8968" width="8" style="16" customWidth="1"/>
    <col min="8969" max="8969" width="7.140625" style="16" bestFit="1" customWidth="1"/>
    <col min="8970" max="8970" width="9" style="16" customWidth="1"/>
    <col min="8971" max="8972" width="7" style="16" bestFit="1" customWidth="1"/>
    <col min="8973" max="8973" width="6.85546875" style="16" bestFit="1" customWidth="1"/>
    <col min="8974" max="8974" width="7" style="16" bestFit="1" customWidth="1"/>
    <col min="8975" max="8975" width="8.2851562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9.140625" style="16" customWidth="1"/>
    <col min="9219" max="9219" width="9.28515625" style="16" customWidth="1"/>
    <col min="9220" max="9220" width="6.7109375" style="16" bestFit="1" customWidth="1"/>
    <col min="9221" max="9221" width="8.5703125" style="16" bestFit="1" customWidth="1"/>
    <col min="9222" max="9224" width="8" style="16" customWidth="1"/>
    <col min="9225" max="9225" width="7.140625" style="16" bestFit="1" customWidth="1"/>
    <col min="9226" max="9226" width="9" style="16" customWidth="1"/>
    <col min="9227" max="9228" width="7" style="16" bestFit="1" customWidth="1"/>
    <col min="9229" max="9229" width="6.85546875" style="16" bestFit="1" customWidth="1"/>
    <col min="9230" max="9230" width="7" style="16" bestFit="1" customWidth="1"/>
    <col min="9231" max="9231" width="8.2851562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9.140625" style="16" customWidth="1"/>
    <col min="9475" max="9475" width="9.28515625" style="16" customWidth="1"/>
    <col min="9476" max="9476" width="6.7109375" style="16" bestFit="1" customWidth="1"/>
    <col min="9477" max="9477" width="8.5703125" style="16" bestFit="1" customWidth="1"/>
    <col min="9478" max="9480" width="8" style="16" customWidth="1"/>
    <col min="9481" max="9481" width="7.140625" style="16" bestFit="1" customWidth="1"/>
    <col min="9482" max="9482" width="9" style="16" customWidth="1"/>
    <col min="9483" max="9484" width="7" style="16" bestFit="1" customWidth="1"/>
    <col min="9485" max="9485" width="6.85546875" style="16" bestFit="1" customWidth="1"/>
    <col min="9486" max="9486" width="7" style="16" bestFit="1" customWidth="1"/>
    <col min="9487" max="9487" width="8.2851562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9.140625" style="16" customWidth="1"/>
    <col min="9731" max="9731" width="9.28515625" style="16" customWidth="1"/>
    <col min="9732" max="9732" width="6.7109375" style="16" bestFit="1" customWidth="1"/>
    <col min="9733" max="9733" width="8.5703125" style="16" bestFit="1" customWidth="1"/>
    <col min="9734" max="9736" width="8" style="16" customWidth="1"/>
    <col min="9737" max="9737" width="7.140625" style="16" bestFit="1" customWidth="1"/>
    <col min="9738" max="9738" width="9" style="16" customWidth="1"/>
    <col min="9739" max="9740" width="7" style="16" bestFit="1" customWidth="1"/>
    <col min="9741" max="9741" width="6.85546875" style="16" bestFit="1" customWidth="1"/>
    <col min="9742" max="9742" width="7" style="16" bestFit="1" customWidth="1"/>
    <col min="9743" max="9743" width="8.2851562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9.140625" style="16" customWidth="1"/>
    <col min="9987" max="9987" width="9.28515625" style="16" customWidth="1"/>
    <col min="9988" max="9988" width="6.7109375" style="16" bestFit="1" customWidth="1"/>
    <col min="9989" max="9989" width="8.5703125" style="16" bestFit="1" customWidth="1"/>
    <col min="9990" max="9992" width="8" style="16" customWidth="1"/>
    <col min="9993" max="9993" width="7.140625" style="16" bestFit="1" customWidth="1"/>
    <col min="9994" max="9994" width="9" style="16" customWidth="1"/>
    <col min="9995" max="9996" width="7" style="16" bestFit="1" customWidth="1"/>
    <col min="9997" max="9997" width="6.85546875" style="16" bestFit="1" customWidth="1"/>
    <col min="9998" max="9998" width="7" style="16" bestFit="1" customWidth="1"/>
    <col min="9999" max="9999" width="8.2851562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9.140625" style="16" customWidth="1"/>
    <col min="10243" max="10243" width="9.28515625" style="16" customWidth="1"/>
    <col min="10244" max="10244" width="6.7109375" style="16" bestFit="1" customWidth="1"/>
    <col min="10245" max="10245" width="8.5703125" style="16" bestFit="1" customWidth="1"/>
    <col min="10246" max="10248" width="8" style="16" customWidth="1"/>
    <col min="10249" max="10249" width="7.140625" style="16" bestFit="1" customWidth="1"/>
    <col min="10250" max="10250" width="9" style="16" customWidth="1"/>
    <col min="10251" max="10252" width="7" style="16" bestFit="1" customWidth="1"/>
    <col min="10253" max="10253" width="6.85546875" style="16" bestFit="1" customWidth="1"/>
    <col min="10254" max="10254" width="7" style="16" bestFit="1" customWidth="1"/>
    <col min="10255" max="10255" width="8.2851562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9.140625" style="16" customWidth="1"/>
    <col min="10499" max="10499" width="9.28515625" style="16" customWidth="1"/>
    <col min="10500" max="10500" width="6.7109375" style="16" bestFit="1" customWidth="1"/>
    <col min="10501" max="10501" width="8.5703125" style="16" bestFit="1" customWidth="1"/>
    <col min="10502" max="10504" width="8" style="16" customWidth="1"/>
    <col min="10505" max="10505" width="7.140625" style="16" bestFit="1" customWidth="1"/>
    <col min="10506" max="10506" width="9" style="16" customWidth="1"/>
    <col min="10507" max="10508" width="7" style="16" bestFit="1" customWidth="1"/>
    <col min="10509" max="10509" width="6.85546875" style="16" bestFit="1" customWidth="1"/>
    <col min="10510" max="10510" width="7" style="16" bestFit="1" customWidth="1"/>
    <col min="10511" max="10511" width="8.2851562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9.140625" style="16" customWidth="1"/>
    <col min="10755" max="10755" width="9.28515625" style="16" customWidth="1"/>
    <col min="10756" max="10756" width="6.7109375" style="16" bestFit="1" customWidth="1"/>
    <col min="10757" max="10757" width="8.5703125" style="16" bestFit="1" customWidth="1"/>
    <col min="10758" max="10760" width="8" style="16" customWidth="1"/>
    <col min="10761" max="10761" width="7.140625" style="16" bestFit="1" customWidth="1"/>
    <col min="10762" max="10762" width="9" style="16" customWidth="1"/>
    <col min="10763" max="10764" width="7" style="16" bestFit="1" customWidth="1"/>
    <col min="10765" max="10765" width="6.85546875" style="16" bestFit="1" customWidth="1"/>
    <col min="10766" max="10766" width="7" style="16" bestFit="1" customWidth="1"/>
    <col min="10767" max="10767" width="8.2851562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9.140625" style="16" customWidth="1"/>
    <col min="11011" max="11011" width="9.28515625" style="16" customWidth="1"/>
    <col min="11012" max="11012" width="6.7109375" style="16" bestFit="1" customWidth="1"/>
    <col min="11013" max="11013" width="8.5703125" style="16" bestFit="1" customWidth="1"/>
    <col min="11014" max="11016" width="8" style="16" customWidth="1"/>
    <col min="11017" max="11017" width="7.140625" style="16" bestFit="1" customWidth="1"/>
    <col min="11018" max="11018" width="9" style="16" customWidth="1"/>
    <col min="11019" max="11020" width="7" style="16" bestFit="1" customWidth="1"/>
    <col min="11021" max="11021" width="6.85546875" style="16" bestFit="1" customWidth="1"/>
    <col min="11022" max="11022" width="7" style="16" bestFit="1" customWidth="1"/>
    <col min="11023" max="11023" width="8.2851562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9.140625" style="16" customWidth="1"/>
    <col min="11267" max="11267" width="9.28515625" style="16" customWidth="1"/>
    <col min="11268" max="11268" width="6.7109375" style="16" bestFit="1" customWidth="1"/>
    <col min="11269" max="11269" width="8.5703125" style="16" bestFit="1" customWidth="1"/>
    <col min="11270" max="11272" width="8" style="16" customWidth="1"/>
    <col min="11273" max="11273" width="7.140625" style="16" bestFit="1" customWidth="1"/>
    <col min="11274" max="11274" width="9" style="16" customWidth="1"/>
    <col min="11275" max="11276" width="7" style="16" bestFit="1" customWidth="1"/>
    <col min="11277" max="11277" width="6.85546875" style="16" bestFit="1" customWidth="1"/>
    <col min="11278" max="11278" width="7" style="16" bestFit="1" customWidth="1"/>
    <col min="11279" max="11279" width="8.2851562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9.140625" style="16" customWidth="1"/>
    <col min="11523" max="11523" width="9.28515625" style="16" customWidth="1"/>
    <col min="11524" max="11524" width="6.7109375" style="16" bestFit="1" customWidth="1"/>
    <col min="11525" max="11525" width="8.5703125" style="16" bestFit="1" customWidth="1"/>
    <col min="11526" max="11528" width="8" style="16" customWidth="1"/>
    <col min="11529" max="11529" width="7.140625" style="16" bestFit="1" customWidth="1"/>
    <col min="11530" max="11530" width="9" style="16" customWidth="1"/>
    <col min="11531" max="11532" width="7" style="16" bestFit="1" customWidth="1"/>
    <col min="11533" max="11533" width="6.85546875" style="16" bestFit="1" customWidth="1"/>
    <col min="11534" max="11534" width="7" style="16" bestFit="1" customWidth="1"/>
    <col min="11535" max="11535" width="8.2851562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9.140625" style="16" customWidth="1"/>
    <col min="11779" max="11779" width="9.28515625" style="16" customWidth="1"/>
    <col min="11780" max="11780" width="6.7109375" style="16" bestFit="1" customWidth="1"/>
    <col min="11781" max="11781" width="8.5703125" style="16" bestFit="1" customWidth="1"/>
    <col min="11782" max="11784" width="8" style="16" customWidth="1"/>
    <col min="11785" max="11785" width="7.140625" style="16" bestFit="1" customWidth="1"/>
    <col min="11786" max="11786" width="9" style="16" customWidth="1"/>
    <col min="11787" max="11788" width="7" style="16" bestFit="1" customWidth="1"/>
    <col min="11789" max="11789" width="6.85546875" style="16" bestFit="1" customWidth="1"/>
    <col min="11790" max="11790" width="7" style="16" bestFit="1" customWidth="1"/>
    <col min="11791" max="11791" width="8.2851562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9.140625" style="16" customWidth="1"/>
    <col min="12035" max="12035" width="9.28515625" style="16" customWidth="1"/>
    <col min="12036" max="12036" width="6.7109375" style="16" bestFit="1" customWidth="1"/>
    <col min="12037" max="12037" width="8.5703125" style="16" bestFit="1" customWidth="1"/>
    <col min="12038" max="12040" width="8" style="16" customWidth="1"/>
    <col min="12041" max="12041" width="7.140625" style="16" bestFit="1" customWidth="1"/>
    <col min="12042" max="12042" width="9" style="16" customWidth="1"/>
    <col min="12043" max="12044" width="7" style="16" bestFit="1" customWidth="1"/>
    <col min="12045" max="12045" width="6.85546875" style="16" bestFit="1" customWidth="1"/>
    <col min="12046" max="12046" width="7" style="16" bestFit="1" customWidth="1"/>
    <col min="12047" max="12047" width="8.2851562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9.140625" style="16" customWidth="1"/>
    <col min="12291" max="12291" width="9.28515625" style="16" customWidth="1"/>
    <col min="12292" max="12292" width="6.7109375" style="16" bestFit="1" customWidth="1"/>
    <col min="12293" max="12293" width="8.5703125" style="16" bestFit="1" customWidth="1"/>
    <col min="12294" max="12296" width="8" style="16" customWidth="1"/>
    <col min="12297" max="12297" width="7.140625" style="16" bestFit="1" customWidth="1"/>
    <col min="12298" max="12298" width="9" style="16" customWidth="1"/>
    <col min="12299" max="12300" width="7" style="16" bestFit="1" customWidth="1"/>
    <col min="12301" max="12301" width="6.85546875" style="16" bestFit="1" customWidth="1"/>
    <col min="12302" max="12302" width="7" style="16" bestFit="1" customWidth="1"/>
    <col min="12303" max="12303" width="8.2851562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9.140625" style="16" customWidth="1"/>
    <col min="12547" max="12547" width="9.28515625" style="16" customWidth="1"/>
    <col min="12548" max="12548" width="6.7109375" style="16" bestFit="1" customWidth="1"/>
    <col min="12549" max="12549" width="8.5703125" style="16" bestFit="1" customWidth="1"/>
    <col min="12550" max="12552" width="8" style="16" customWidth="1"/>
    <col min="12553" max="12553" width="7.140625" style="16" bestFit="1" customWidth="1"/>
    <col min="12554" max="12554" width="9" style="16" customWidth="1"/>
    <col min="12555" max="12556" width="7" style="16" bestFit="1" customWidth="1"/>
    <col min="12557" max="12557" width="6.85546875" style="16" bestFit="1" customWidth="1"/>
    <col min="12558" max="12558" width="7" style="16" bestFit="1" customWidth="1"/>
    <col min="12559" max="12559" width="8.2851562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9.140625" style="16" customWidth="1"/>
    <col min="12803" max="12803" width="9.28515625" style="16" customWidth="1"/>
    <col min="12804" max="12804" width="6.7109375" style="16" bestFit="1" customWidth="1"/>
    <col min="12805" max="12805" width="8.5703125" style="16" bestFit="1" customWidth="1"/>
    <col min="12806" max="12808" width="8" style="16" customWidth="1"/>
    <col min="12809" max="12809" width="7.140625" style="16" bestFit="1" customWidth="1"/>
    <col min="12810" max="12810" width="9" style="16" customWidth="1"/>
    <col min="12811" max="12812" width="7" style="16" bestFit="1" customWidth="1"/>
    <col min="12813" max="12813" width="6.85546875" style="16" bestFit="1" customWidth="1"/>
    <col min="12814" max="12814" width="7" style="16" bestFit="1" customWidth="1"/>
    <col min="12815" max="12815" width="8.2851562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9.140625" style="16" customWidth="1"/>
    <col min="13059" max="13059" width="9.28515625" style="16" customWidth="1"/>
    <col min="13060" max="13060" width="6.7109375" style="16" bestFit="1" customWidth="1"/>
    <col min="13061" max="13061" width="8.5703125" style="16" bestFit="1" customWidth="1"/>
    <col min="13062" max="13064" width="8" style="16" customWidth="1"/>
    <col min="13065" max="13065" width="7.140625" style="16" bestFit="1" customWidth="1"/>
    <col min="13066" max="13066" width="9" style="16" customWidth="1"/>
    <col min="13067" max="13068" width="7" style="16" bestFit="1" customWidth="1"/>
    <col min="13069" max="13069" width="6.85546875" style="16" bestFit="1" customWidth="1"/>
    <col min="13070" max="13070" width="7" style="16" bestFit="1" customWidth="1"/>
    <col min="13071" max="13071" width="8.2851562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9.140625" style="16" customWidth="1"/>
    <col min="13315" max="13315" width="9.28515625" style="16" customWidth="1"/>
    <col min="13316" max="13316" width="6.7109375" style="16" bestFit="1" customWidth="1"/>
    <col min="13317" max="13317" width="8.5703125" style="16" bestFit="1" customWidth="1"/>
    <col min="13318" max="13320" width="8" style="16" customWidth="1"/>
    <col min="13321" max="13321" width="7.140625" style="16" bestFit="1" customWidth="1"/>
    <col min="13322" max="13322" width="9" style="16" customWidth="1"/>
    <col min="13323" max="13324" width="7" style="16" bestFit="1" customWidth="1"/>
    <col min="13325" max="13325" width="6.85546875" style="16" bestFit="1" customWidth="1"/>
    <col min="13326" max="13326" width="7" style="16" bestFit="1" customWidth="1"/>
    <col min="13327" max="13327" width="8.2851562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9.140625" style="16" customWidth="1"/>
    <col min="13571" max="13571" width="9.28515625" style="16" customWidth="1"/>
    <col min="13572" max="13572" width="6.7109375" style="16" bestFit="1" customWidth="1"/>
    <col min="13573" max="13573" width="8.5703125" style="16" bestFit="1" customWidth="1"/>
    <col min="13574" max="13576" width="8" style="16" customWidth="1"/>
    <col min="13577" max="13577" width="7.140625" style="16" bestFit="1" customWidth="1"/>
    <col min="13578" max="13578" width="9" style="16" customWidth="1"/>
    <col min="13579" max="13580" width="7" style="16" bestFit="1" customWidth="1"/>
    <col min="13581" max="13581" width="6.85546875" style="16" bestFit="1" customWidth="1"/>
    <col min="13582" max="13582" width="7" style="16" bestFit="1" customWidth="1"/>
    <col min="13583" max="13583" width="8.2851562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9.140625" style="16" customWidth="1"/>
    <col min="13827" max="13827" width="9.28515625" style="16" customWidth="1"/>
    <col min="13828" max="13828" width="6.7109375" style="16" bestFit="1" customWidth="1"/>
    <col min="13829" max="13829" width="8.5703125" style="16" bestFit="1" customWidth="1"/>
    <col min="13830" max="13832" width="8" style="16" customWidth="1"/>
    <col min="13833" max="13833" width="7.140625" style="16" bestFit="1" customWidth="1"/>
    <col min="13834" max="13834" width="9" style="16" customWidth="1"/>
    <col min="13835" max="13836" width="7" style="16" bestFit="1" customWidth="1"/>
    <col min="13837" max="13837" width="6.85546875" style="16" bestFit="1" customWidth="1"/>
    <col min="13838" max="13838" width="7" style="16" bestFit="1" customWidth="1"/>
    <col min="13839" max="13839" width="8.2851562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9.140625" style="16" customWidth="1"/>
    <col min="14083" max="14083" width="9.28515625" style="16" customWidth="1"/>
    <col min="14084" max="14084" width="6.7109375" style="16" bestFit="1" customWidth="1"/>
    <col min="14085" max="14085" width="8.5703125" style="16" bestFit="1" customWidth="1"/>
    <col min="14086" max="14088" width="8" style="16" customWidth="1"/>
    <col min="14089" max="14089" width="7.140625" style="16" bestFit="1" customWidth="1"/>
    <col min="14090" max="14090" width="9" style="16" customWidth="1"/>
    <col min="14091" max="14092" width="7" style="16" bestFit="1" customWidth="1"/>
    <col min="14093" max="14093" width="6.85546875" style="16" bestFit="1" customWidth="1"/>
    <col min="14094" max="14094" width="7" style="16" bestFit="1" customWidth="1"/>
    <col min="14095" max="14095" width="8.2851562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9.140625" style="16" customWidth="1"/>
    <col min="14339" max="14339" width="9.28515625" style="16" customWidth="1"/>
    <col min="14340" max="14340" width="6.7109375" style="16" bestFit="1" customWidth="1"/>
    <col min="14341" max="14341" width="8.5703125" style="16" bestFit="1" customWidth="1"/>
    <col min="14342" max="14344" width="8" style="16" customWidth="1"/>
    <col min="14345" max="14345" width="7.140625" style="16" bestFit="1" customWidth="1"/>
    <col min="14346" max="14346" width="9" style="16" customWidth="1"/>
    <col min="14347" max="14348" width="7" style="16" bestFit="1" customWidth="1"/>
    <col min="14349" max="14349" width="6.85546875" style="16" bestFit="1" customWidth="1"/>
    <col min="14350" max="14350" width="7" style="16" bestFit="1" customWidth="1"/>
    <col min="14351" max="14351" width="8.2851562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9.140625" style="16" customWidth="1"/>
    <col min="14595" max="14595" width="9.28515625" style="16" customWidth="1"/>
    <col min="14596" max="14596" width="6.7109375" style="16" bestFit="1" customWidth="1"/>
    <col min="14597" max="14597" width="8.5703125" style="16" bestFit="1" customWidth="1"/>
    <col min="14598" max="14600" width="8" style="16" customWidth="1"/>
    <col min="14601" max="14601" width="7.140625" style="16" bestFit="1" customWidth="1"/>
    <col min="14602" max="14602" width="9" style="16" customWidth="1"/>
    <col min="14603" max="14604" width="7" style="16" bestFit="1" customWidth="1"/>
    <col min="14605" max="14605" width="6.85546875" style="16" bestFit="1" customWidth="1"/>
    <col min="14606" max="14606" width="7" style="16" bestFit="1" customWidth="1"/>
    <col min="14607" max="14607" width="8.2851562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9.140625" style="16" customWidth="1"/>
    <col min="14851" max="14851" width="9.28515625" style="16" customWidth="1"/>
    <col min="14852" max="14852" width="6.7109375" style="16" bestFit="1" customWidth="1"/>
    <col min="14853" max="14853" width="8.5703125" style="16" bestFit="1" customWidth="1"/>
    <col min="14854" max="14856" width="8" style="16" customWidth="1"/>
    <col min="14857" max="14857" width="7.140625" style="16" bestFit="1" customWidth="1"/>
    <col min="14858" max="14858" width="9" style="16" customWidth="1"/>
    <col min="14859" max="14860" width="7" style="16" bestFit="1" customWidth="1"/>
    <col min="14861" max="14861" width="6.85546875" style="16" bestFit="1" customWidth="1"/>
    <col min="14862" max="14862" width="7" style="16" bestFit="1" customWidth="1"/>
    <col min="14863" max="14863" width="8.2851562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9.140625" style="16" customWidth="1"/>
    <col min="15107" max="15107" width="9.28515625" style="16" customWidth="1"/>
    <col min="15108" max="15108" width="6.7109375" style="16" bestFit="1" customWidth="1"/>
    <col min="15109" max="15109" width="8.5703125" style="16" bestFit="1" customWidth="1"/>
    <col min="15110" max="15112" width="8" style="16" customWidth="1"/>
    <col min="15113" max="15113" width="7.140625" style="16" bestFit="1" customWidth="1"/>
    <col min="15114" max="15114" width="9" style="16" customWidth="1"/>
    <col min="15115" max="15116" width="7" style="16" bestFit="1" customWidth="1"/>
    <col min="15117" max="15117" width="6.85546875" style="16" bestFit="1" customWidth="1"/>
    <col min="15118" max="15118" width="7" style="16" bestFit="1" customWidth="1"/>
    <col min="15119" max="15119" width="8.2851562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9.140625" style="16" customWidth="1"/>
    <col min="15363" max="15363" width="9.28515625" style="16" customWidth="1"/>
    <col min="15364" max="15364" width="6.7109375" style="16" bestFit="1" customWidth="1"/>
    <col min="15365" max="15365" width="8.5703125" style="16" bestFit="1" customWidth="1"/>
    <col min="15366" max="15368" width="8" style="16" customWidth="1"/>
    <col min="15369" max="15369" width="7.140625" style="16" bestFit="1" customWidth="1"/>
    <col min="15370" max="15370" width="9" style="16" customWidth="1"/>
    <col min="15371" max="15372" width="7" style="16" bestFit="1" customWidth="1"/>
    <col min="15373" max="15373" width="6.85546875" style="16" bestFit="1" customWidth="1"/>
    <col min="15374" max="15374" width="7" style="16" bestFit="1" customWidth="1"/>
    <col min="15375" max="15375" width="8.2851562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9.140625" style="16" customWidth="1"/>
    <col min="15619" max="15619" width="9.28515625" style="16" customWidth="1"/>
    <col min="15620" max="15620" width="6.7109375" style="16" bestFit="1" customWidth="1"/>
    <col min="15621" max="15621" width="8.5703125" style="16" bestFit="1" customWidth="1"/>
    <col min="15622" max="15624" width="8" style="16" customWidth="1"/>
    <col min="15625" max="15625" width="7.140625" style="16" bestFit="1" customWidth="1"/>
    <col min="15626" max="15626" width="9" style="16" customWidth="1"/>
    <col min="15627" max="15628" width="7" style="16" bestFit="1" customWidth="1"/>
    <col min="15629" max="15629" width="6.85546875" style="16" bestFit="1" customWidth="1"/>
    <col min="15630" max="15630" width="7" style="16" bestFit="1" customWidth="1"/>
    <col min="15631" max="15631" width="8.2851562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9.140625" style="16" customWidth="1"/>
    <col min="15875" max="15875" width="9.28515625" style="16" customWidth="1"/>
    <col min="15876" max="15876" width="6.7109375" style="16" bestFit="1" customWidth="1"/>
    <col min="15877" max="15877" width="8.5703125" style="16" bestFit="1" customWidth="1"/>
    <col min="15878" max="15880" width="8" style="16" customWidth="1"/>
    <col min="15881" max="15881" width="7.140625" style="16" bestFit="1" customWidth="1"/>
    <col min="15882" max="15882" width="9" style="16" customWidth="1"/>
    <col min="15883" max="15884" width="7" style="16" bestFit="1" customWidth="1"/>
    <col min="15885" max="15885" width="6.85546875" style="16" bestFit="1" customWidth="1"/>
    <col min="15886" max="15886" width="7" style="16" bestFit="1" customWidth="1"/>
    <col min="15887" max="15887" width="8.2851562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9.140625" style="16" customWidth="1"/>
    <col min="16131" max="16131" width="9.28515625" style="16" customWidth="1"/>
    <col min="16132" max="16132" width="6.7109375" style="16" bestFit="1" customWidth="1"/>
    <col min="16133" max="16133" width="8.5703125" style="16" bestFit="1" customWidth="1"/>
    <col min="16134" max="16136" width="8" style="16" customWidth="1"/>
    <col min="16137" max="16137" width="7.140625" style="16" bestFit="1" customWidth="1"/>
    <col min="16138" max="16138" width="9" style="16" customWidth="1"/>
    <col min="16139" max="16140" width="7" style="16" bestFit="1" customWidth="1"/>
    <col min="16141" max="16141" width="6.85546875" style="16" bestFit="1" customWidth="1"/>
    <col min="16142" max="16142" width="7" style="16" bestFit="1" customWidth="1"/>
    <col min="16143" max="16143" width="8.2851562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67" t="s">
        <v>100</v>
      </c>
      <c r="B1" s="868"/>
      <c r="C1" s="868"/>
      <c r="D1" s="911" t="s">
        <v>1146</v>
      </c>
      <c r="E1" s="868"/>
      <c r="F1" s="868"/>
      <c r="G1" s="867" t="s">
        <v>102</v>
      </c>
      <c r="H1" s="869"/>
      <c r="I1" s="869" t="s">
        <v>33</v>
      </c>
      <c r="J1" s="868"/>
      <c r="K1" s="868"/>
      <c r="L1" s="870"/>
      <c r="M1" s="870"/>
      <c r="N1" s="870"/>
      <c r="O1" s="870"/>
    </row>
    <row r="2" spans="1:15" s="1" customFormat="1" x14ac:dyDescent="0.2">
      <c r="A2" s="867" t="s">
        <v>103</v>
      </c>
      <c r="B2" s="868"/>
      <c r="C2" s="868"/>
      <c r="D2" s="869"/>
      <c r="E2" s="868"/>
      <c r="F2" s="868"/>
      <c r="G2" s="867" t="s">
        <v>104</v>
      </c>
      <c r="H2" s="869"/>
      <c r="I2" s="869" t="s">
        <v>105</v>
      </c>
      <c r="J2" s="868"/>
      <c r="K2" s="868"/>
      <c r="L2" s="870"/>
      <c r="M2" s="870"/>
      <c r="N2" s="870"/>
      <c r="O2" s="870"/>
    </row>
    <row r="3" spans="1:15" s="1" customFormat="1" x14ac:dyDescent="0.2">
      <c r="A3" s="867" t="s">
        <v>106</v>
      </c>
      <c r="B3" s="868"/>
      <c r="C3" s="868"/>
      <c r="D3" s="883" t="s">
        <v>1147</v>
      </c>
      <c r="E3" s="868"/>
      <c r="F3" s="868"/>
      <c r="G3" s="867" t="s">
        <v>107</v>
      </c>
      <c r="H3" s="869"/>
      <c r="I3" s="869" t="s">
        <v>108</v>
      </c>
      <c r="J3" s="868"/>
      <c r="K3" s="868"/>
      <c r="L3" s="870"/>
      <c r="M3" s="870"/>
      <c r="N3" s="870"/>
      <c r="O3" s="870"/>
    </row>
    <row r="4" spans="1:15" s="1" customFormat="1" x14ac:dyDescent="0.2">
      <c r="A4" s="867" t="s">
        <v>109</v>
      </c>
      <c r="B4" s="868"/>
      <c r="C4" s="868"/>
      <c r="D4" s="869"/>
      <c r="E4" s="868"/>
      <c r="F4" s="868"/>
      <c r="G4" s="867" t="s">
        <v>110</v>
      </c>
      <c r="H4" s="869"/>
      <c r="I4" s="869" t="s">
        <v>419</v>
      </c>
      <c r="J4" s="868"/>
      <c r="K4" s="868"/>
      <c r="L4" s="870"/>
      <c r="M4" s="870"/>
      <c r="N4" s="870"/>
      <c r="O4" s="870"/>
    </row>
    <row r="5" spans="1:15" s="1" customFormat="1" x14ac:dyDescent="0.2">
      <c r="A5" s="867" t="s">
        <v>278</v>
      </c>
      <c r="B5" s="868"/>
      <c r="C5" s="868"/>
      <c r="D5" s="869" t="s">
        <v>432</v>
      </c>
      <c r="E5" s="868"/>
      <c r="F5" s="868"/>
      <c r="G5" s="867"/>
      <c r="H5" s="868"/>
      <c r="I5" s="869" t="s">
        <v>113</v>
      </c>
      <c r="J5" s="868"/>
      <c r="K5" s="868"/>
      <c r="L5" s="870"/>
      <c r="M5" s="870"/>
      <c r="N5" s="870"/>
      <c r="O5" s="870"/>
    </row>
    <row r="6" spans="1:15" s="1" customFormat="1" x14ac:dyDescent="0.2">
      <c r="A6" s="871" t="s">
        <v>114</v>
      </c>
      <c r="B6" s="872"/>
      <c r="C6" s="872"/>
      <c r="D6" s="868" t="s">
        <v>34</v>
      </c>
      <c r="E6" s="868"/>
      <c r="F6" s="868"/>
      <c r="G6" s="871" t="s">
        <v>115</v>
      </c>
      <c r="H6" s="871"/>
      <c r="I6" s="2" t="s">
        <v>116</v>
      </c>
      <c r="J6" s="888"/>
      <c r="K6" s="888"/>
      <c r="L6" s="888"/>
      <c r="M6" s="888"/>
      <c r="N6" s="888"/>
      <c r="O6" s="889"/>
    </row>
    <row r="7" spans="1:15" s="1" customFormat="1" ht="13.5" thickBot="1" x14ac:dyDescent="0.25">
      <c r="A7" s="3"/>
      <c r="B7" s="4"/>
      <c r="C7" s="5"/>
      <c r="D7" s="6"/>
      <c r="E7" s="6"/>
      <c r="F7" s="6"/>
      <c r="G7" s="6"/>
      <c r="H7" s="6"/>
      <c r="I7" s="6"/>
      <c r="J7" s="7"/>
      <c r="K7" s="8"/>
      <c r="L7" s="875" t="s">
        <v>223</v>
      </c>
      <c r="M7" s="875"/>
      <c r="N7" s="875"/>
      <c r="O7" s="875"/>
    </row>
    <row r="8" spans="1:15" s="11" customFormat="1" x14ac:dyDescent="0.2">
      <c r="A8" s="876" t="str">
        <f>I1</f>
        <v>Mr R.K. Lembhe</v>
      </c>
      <c r="B8" s="877"/>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72100</v>
      </c>
      <c r="D9" s="14">
        <v>72100</v>
      </c>
      <c r="E9" s="14">
        <v>72100</v>
      </c>
      <c r="F9" s="14">
        <v>72100</v>
      </c>
      <c r="G9" s="14">
        <v>74300</v>
      </c>
      <c r="H9" s="14">
        <v>74300</v>
      </c>
      <c r="I9" s="14">
        <v>74300</v>
      </c>
      <c r="J9" s="14">
        <v>74300</v>
      </c>
      <c r="K9" s="14">
        <v>74300</v>
      </c>
      <c r="L9" s="14">
        <v>74300</v>
      </c>
      <c r="M9" s="14">
        <v>74300</v>
      </c>
      <c r="N9" s="14">
        <v>74300</v>
      </c>
      <c r="O9" s="15">
        <f>SUM(C9:N9)</f>
        <v>882800</v>
      </c>
    </row>
    <row r="10" spans="1:15" ht="15" x14ac:dyDescent="0.2">
      <c r="A10" s="12"/>
      <c r="B10" s="13" t="s">
        <v>119</v>
      </c>
      <c r="C10" s="17">
        <v>0</v>
      </c>
      <c r="D10" s="17">
        <f t="shared" ref="D10:N25" si="0">+C10</f>
        <v>0</v>
      </c>
      <c r="E10" s="17">
        <f t="shared" si="0"/>
        <v>0</v>
      </c>
      <c r="F10" s="17">
        <f t="shared" si="0"/>
        <v>0</v>
      </c>
      <c r="G10" s="17">
        <f t="shared" si="0"/>
        <v>0</v>
      </c>
      <c r="H10" s="17">
        <v>0</v>
      </c>
      <c r="I10" s="17">
        <f t="shared" si="0"/>
        <v>0</v>
      </c>
      <c r="J10" s="17">
        <f t="shared" si="0"/>
        <v>0</v>
      </c>
      <c r="K10" s="17">
        <f t="shared" si="0"/>
        <v>0</v>
      </c>
      <c r="L10" s="17">
        <f t="shared" si="0"/>
        <v>0</v>
      </c>
      <c r="M10" s="17">
        <f t="shared" si="0"/>
        <v>0</v>
      </c>
      <c r="N10" s="17">
        <f t="shared" si="0"/>
        <v>0</v>
      </c>
      <c r="O10" s="18">
        <f>SUM(C10:N10)</f>
        <v>0</v>
      </c>
    </row>
    <row r="11" spans="1:15" ht="15" x14ac:dyDescent="0.2">
      <c r="A11" s="12"/>
      <c r="B11" s="13" t="s">
        <v>120</v>
      </c>
      <c r="C11" s="17">
        <v>3605</v>
      </c>
      <c r="D11" s="17">
        <v>5047</v>
      </c>
      <c r="E11" s="17">
        <f t="shared" si="0"/>
        <v>5047</v>
      </c>
      <c r="F11" s="17">
        <f t="shared" si="0"/>
        <v>5047</v>
      </c>
      <c r="G11" s="17">
        <v>5201</v>
      </c>
      <c r="H11" s="17">
        <v>5201</v>
      </c>
      <c r="I11" s="17">
        <v>5201</v>
      </c>
      <c r="J11" s="17">
        <v>6687</v>
      </c>
      <c r="K11" s="17">
        <f t="shared" si="0"/>
        <v>6687</v>
      </c>
      <c r="L11" s="17">
        <f t="shared" si="0"/>
        <v>6687</v>
      </c>
      <c r="M11" s="17">
        <f t="shared" si="0"/>
        <v>6687</v>
      </c>
      <c r="N11" s="17">
        <f t="shared" si="0"/>
        <v>6687</v>
      </c>
      <c r="O11" s="18">
        <f>SUM(C11:N11)</f>
        <v>67784</v>
      </c>
    </row>
    <row r="12" spans="1:15" ht="15" hidden="1" x14ac:dyDescent="0.2">
      <c r="A12" s="12"/>
      <c r="B12" s="13" t="s">
        <v>121</v>
      </c>
      <c r="C12" s="17">
        <v>0</v>
      </c>
      <c r="D12" s="17">
        <f t="shared" si="0"/>
        <v>0</v>
      </c>
      <c r="E12" s="17">
        <f t="shared" si="0"/>
        <v>0</v>
      </c>
      <c r="F12" s="17">
        <f t="shared" si="0"/>
        <v>0</v>
      </c>
      <c r="G12" s="17">
        <f t="shared" si="0"/>
        <v>0</v>
      </c>
      <c r="H12" s="17">
        <v>0</v>
      </c>
      <c r="I12" s="17">
        <f t="shared" si="0"/>
        <v>0</v>
      </c>
      <c r="J12" s="17">
        <f t="shared" si="0"/>
        <v>0</v>
      </c>
      <c r="K12" s="17">
        <f t="shared" si="0"/>
        <v>0</v>
      </c>
      <c r="L12" s="17">
        <f t="shared" si="0"/>
        <v>0</v>
      </c>
      <c r="M12" s="17">
        <f t="shared" si="0"/>
        <v>0</v>
      </c>
      <c r="N12" s="17">
        <f t="shared" si="0"/>
        <v>0</v>
      </c>
      <c r="O12" s="18">
        <f>SUM(C12:N12)</f>
        <v>0</v>
      </c>
    </row>
    <row r="13" spans="1:15" ht="15" hidden="1" x14ac:dyDescent="0.2">
      <c r="A13" s="12"/>
      <c r="B13" s="13" t="s">
        <v>122</v>
      </c>
      <c r="C13" s="17">
        <v>0</v>
      </c>
      <c r="D13" s="17">
        <f t="shared" si="0"/>
        <v>0</v>
      </c>
      <c r="E13" s="17">
        <f t="shared" si="0"/>
        <v>0</v>
      </c>
      <c r="F13" s="17">
        <f t="shared" si="0"/>
        <v>0</v>
      </c>
      <c r="G13" s="17">
        <f t="shared" si="0"/>
        <v>0</v>
      </c>
      <c r="H13" s="17">
        <v>0</v>
      </c>
      <c r="I13" s="17">
        <f t="shared" si="0"/>
        <v>0</v>
      </c>
      <c r="J13" s="17">
        <f t="shared" si="0"/>
        <v>0</v>
      </c>
      <c r="K13" s="17">
        <f t="shared" si="0"/>
        <v>0</v>
      </c>
      <c r="L13" s="17">
        <f t="shared" si="0"/>
        <v>0</v>
      </c>
      <c r="M13" s="17">
        <f t="shared" si="0"/>
        <v>0</v>
      </c>
      <c r="N13" s="17">
        <f t="shared" si="0"/>
        <v>0</v>
      </c>
      <c r="O13" s="18">
        <f t="shared" ref="O13:O36" si="1">SUM(C13:N13)</f>
        <v>0</v>
      </c>
    </row>
    <row r="14" spans="1:15" ht="15" x14ac:dyDescent="0.2">
      <c r="A14" s="12"/>
      <c r="B14" s="13" t="s">
        <v>123</v>
      </c>
      <c r="C14" s="17">
        <v>3780</v>
      </c>
      <c r="D14" s="17">
        <v>3852</v>
      </c>
      <c r="E14" s="17">
        <f t="shared" si="0"/>
        <v>3852</v>
      </c>
      <c r="F14" s="17">
        <f t="shared" si="0"/>
        <v>3852</v>
      </c>
      <c r="G14" s="17">
        <f t="shared" si="0"/>
        <v>3852</v>
      </c>
      <c r="H14" s="17">
        <f t="shared" si="0"/>
        <v>3852</v>
      </c>
      <c r="I14" s="17">
        <f t="shared" si="0"/>
        <v>3852</v>
      </c>
      <c r="J14" s="17">
        <v>3924</v>
      </c>
      <c r="K14" s="17">
        <f t="shared" si="0"/>
        <v>3924</v>
      </c>
      <c r="L14" s="17">
        <f t="shared" si="0"/>
        <v>3924</v>
      </c>
      <c r="M14" s="17">
        <f t="shared" si="0"/>
        <v>3924</v>
      </c>
      <c r="N14" s="17">
        <f t="shared" si="0"/>
        <v>3924</v>
      </c>
      <c r="O14" s="18">
        <f t="shared" si="1"/>
        <v>46512</v>
      </c>
    </row>
    <row r="15" spans="1:15" ht="15" customHeight="1" x14ac:dyDescent="0.2">
      <c r="A15" s="12"/>
      <c r="B15" s="13" t="s">
        <v>124</v>
      </c>
      <c r="C15" s="17">
        <v>0</v>
      </c>
      <c r="D15" s="17">
        <f t="shared" si="0"/>
        <v>0</v>
      </c>
      <c r="E15" s="17">
        <f t="shared" si="0"/>
        <v>0</v>
      </c>
      <c r="F15" s="17">
        <f t="shared" si="0"/>
        <v>0</v>
      </c>
      <c r="G15" s="17">
        <f t="shared" si="0"/>
        <v>0</v>
      </c>
      <c r="H15" s="17">
        <v>0</v>
      </c>
      <c r="I15" s="17">
        <f t="shared" si="0"/>
        <v>0</v>
      </c>
      <c r="J15" s="17">
        <f t="shared" si="0"/>
        <v>0</v>
      </c>
      <c r="K15" s="17">
        <f t="shared" si="0"/>
        <v>0</v>
      </c>
      <c r="L15" s="17">
        <f t="shared" si="0"/>
        <v>0</v>
      </c>
      <c r="M15" s="17">
        <f t="shared" si="0"/>
        <v>0</v>
      </c>
      <c r="N15" s="17">
        <f t="shared" si="0"/>
        <v>0</v>
      </c>
      <c r="O15" s="18">
        <f t="shared" si="1"/>
        <v>0</v>
      </c>
    </row>
    <row r="16" spans="1:15" ht="14.25" hidden="1" customHeight="1" x14ac:dyDescent="0.2">
      <c r="A16" s="12"/>
      <c r="B16" s="13" t="s">
        <v>125</v>
      </c>
      <c r="C16" s="17">
        <v>0</v>
      </c>
      <c r="D16" s="17">
        <f t="shared" si="0"/>
        <v>0</v>
      </c>
      <c r="E16" s="17">
        <f t="shared" si="0"/>
        <v>0</v>
      </c>
      <c r="F16" s="17">
        <f t="shared" si="0"/>
        <v>0</v>
      </c>
      <c r="G16" s="17">
        <f t="shared" si="0"/>
        <v>0</v>
      </c>
      <c r="H16" s="17">
        <v>0</v>
      </c>
      <c r="I16" s="17">
        <f t="shared" si="0"/>
        <v>0</v>
      </c>
      <c r="J16" s="17">
        <f t="shared" si="0"/>
        <v>0</v>
      </c>
      <c r="K16" s="17">
        <f t="shared" si="0"/>
        <v>0</v>
      </c>
      <c r="L16" s="17">
        <f t="shared" si="0"/>
        <v>0</v>
      </c>
      <c r="M16" s="17">
        <f t="shared" si="0"/>
        <v>0</v>
      </c>
      <c r="N16" s="17">
        <f t="shared" si="0"/>
        <v>0</v>
      </c>
      <c r="O16" s="18">
        <f t="shared" si="1"/>
        <v>0</v>
      </c>
    </row>
    <row r="17" spans="1:15" ht="15" hidden="1" customHeight="1" x14ac:dyDescent="0.2">
      <c r="A17" s="12"/>
      <c r="B17" s="13" t="s">
        <v>126</v>
      </c>
      <c r="C17" s="17">
        <v>0</v>
      </c>
      <c r="D17" s="17">
        <f t="shared" si="0"/>
        <v>0</v>
      </c>
      <c r="E17" s="17">
        <f t="shared" si="0"/>
        <v>0</v>
      </c>
      <c r="F17" s="17">
        <f t="shared" si="0"/>
        <v>0</v>
      </c>
      <c r="G17" s="17">
        <f t="shared" si="0"/>
        <v>0</v>
      </c>
      <c r="H17" s="17">
        <v>0</v>
      </c>
      <c r="I17" s="17">
        <f t="shared" si="0"/>
        <v>0</v>
      </c>
      <c r="J17" s="17">
        <f t="shared" si="0"/>
        <v>0</v>
      </c>
      <c r="K17" s="17">
        <f t="shared" si="0"/>
        <v>0</v>
      </c>
      <c r="L17" s="17">
        <f t="shared" si="0"/>
        <v>0</v>
      </c>
      <c r="M17" s="17">
        <f t="shared" si="0"/>
        <v>0</v>
      </c>
      <c r="N17" s="17">
        <f t="shared" si="0"/>
        <v>0</v>
      </c>
      <c r="O17" s="18">
        <f t="shared" si="1"/>
        <v>0</v>
      </c>
    </row>
    <row r="18" spans="1:15" ht="15" x14ac:dyDescent="0.2">
      <c r="A18" s="12"/>
      <c r="B18" s="13" t="s">
        <v>458</v>
      </c>
      <c r="C18" s="17">
        <v>0</v>
      </c>
      <c r="D18" s="17">
        <f t="shared" si="0"/>
        <v>0</v>
      </c>
      <c r="E18" s="17">
        <f t="shared" si="0"/>
        <v>0</v>
      </c>
      <c r="F18" s="17">
        <f t="shared" si="0"/>
        <v>0</v>
      </c>
      <c r="G18" s="17">
        <f t="shared" si="0"/>
        <v>0</v>
      </c>
      <c r="H18" s="17">
        <v>0</v>
      </c>
      <c r="I18" s="17">
        <f t="shared" si="0"/>
        <v>0</v>
      </c>
      <c r="J18" s="17">
        <f t="shared" si="0"/>
        <v>0</v>
      </c>
      <c r="K18" s="17">
        <f t="shared" si="0"/>
        <v>0</v>
      </c>
      <c r="L18" s="17">
        <f t="shared" si="0"/>
        <v>0</v>
      </c>
      <c r="M18" s="17">
        <f t="shared" si="0"/>
        <v>0</v>
      </c>
      <c r="N18" s="17">
        <f t="shared" si="0"/>
        <v>0</v>
      </c>
      <c r="O18" s="18">
        <f t="shared" si="1"/>
        <v>0</v>
      </c>
    </row>
    <row r="19" spans="1:15" ht="15" x14ac:dyDescent="0.2">
      <c r="A19" s="12"/>
      <c r="B19" s="13" t="s">
        <v>128</v>
      </c>
      <c r="C19" s="17">
        <v>17304</v>
      </c>
      <c r="D19" s="17">
        <f t="shared" si="0"/>
        <v>17304</v>
      </c>
      <c r="E19" s="17">
        <f t="shared" si="0"/>
        <v>17304</v>
      </c>
      <c r="F19" s="17">
        <f t="shared" si="0"/>
        <v>17304</v>
      </c>
      <c r="G19" s="17">
        <v>17832</v>
      </c>
      <c r="H19" s="17">
        <v>17832</v>
      </c>
      <c r="I19" s="17">
        <v>17832</v>
      </c>
      <c r="J19" s="17">
        <v>17832</v>
      </c>
      <c r="K19" s="17">
        <v>17832</v>
      </c>
      <c r="L19" s="17">
        <v>17832</v>
      </c>
      <c r="M19" s="17">
        <v>17832</v>
      </c>
      <c r="N19" s="17">
        <v>17832</v>
      </c>
      <c r="O19" s="18">
        <f t="shared" si="1"/>
        <v>211872</v>
      </c>
    </row>
    <row r="20" spans="1:15" ht="15" customHeight="1" x14ac:dyDescent="0.2">
      <c r="A20" s="12"/>
      <c r="B20" s="13" t="s">
        <v>129</v>
      </c>
      <c r="C20" s="17">
        <v>0</v>
      </c>
      <c r="D20" s="17">
        <f t="shared" si="0"/>
        <v>0</v>
      </c>
      <c r="E20" s="17">
        <f t="shared" si="0"/>
        <v>0</v>
      </c>
      <c r="F20" s="17">
        <f t="shared" si="0"/>
        <v>0</v>
      </c>
      <c r="G20" s="17">
        <f t="shared" si="0"/>
        <v>0</v>
      </c>
      <c r="H20" s="17">
        <v>0</v>
      </c>
      <c r="I20" s="17">
        <f t="shared" si="0"/>
        <v>0</v>
      </c>
      <c r="J20" s="17">
        <f t="shared" si="0"/>
        <v>0</v>
      </c>
      <c r="K20" s="17">
        <f t="shared" si="0"/>
        <v>0</v>
      </c>
      <c r="L20" s="17">
        <f t="shared" si="0"/>
        <v>0</v>
      </c>
      <c r="M20" s="17">
        <f t="shared" si="0"/>
        <v>0</v>
      </c>
      <c r="N20" s="17">
        <f t="shared" si="0"/>
        <v>0</v>
      </c>
      <c r="O20" s="18">
        <f t="shared" si="1"/>
        <v>0</v>
      </c>
    </row>
    <row r="21" spans="1:15" ht="15" hidden="1" customHeight="1" x14ac:dyDescent="0.2">
      <c r="A21" s="878" t="s">
        <v>130</v>
      </c>
      <c r="B21" s="19" t="s">
        <v>131</v>
      </c>
      <c r="C21" s="17">
        <v>0</v>
      </c>
      <c r="D21" s="17">
        <f t="shared" si="0"/>
        <v>0</v>
      </c>
      <c r="E21" s="17">
        <f t="shared" si="0"/>
        <v>0</v>
      </c>
      <c r="F21" s="17">
        <f t="shared" si="0"/>
        <v>0</v>
      </c>
      <c r="G21" s="17">
        <f t="shared" si="0"/>
        <v>0</v>
      </c>
      <c r="H21" s="17">
        <v>0</v>
      </c>
      <c r="I21" s="17">
        <f t="shared" si="0"/>
        <v>0</v>
      </c>
      <c r="J21" s="17">
        <f t="shared" si="0"/>
        <v>0</v>
      </c>
      <c r="K21" s="17">
        <f t="shared" si="0"/>
        <v>0</v>
      </c>
      <c r="L21" s="17">
        <f t="shared" si="0"/>
        <v>0</v>
      </c>
      <c r="M21" s="17">
        <f t="shared" si="0"/>
        <v>0</v>
      </c>
      <c r="N21" s="17">
        <f t="shared" si="0"/>
        <v>0</v>
      </c>
      <c r="O21" s="18">
        <f t="shared" si="1"/>
        <v>0</v>
      </c>
    </row>
    <row r="22" spans="1:15" ht="15" customHeight="1" x14ac:dyDescent="0.2">
      <c r="A22" s="879"/>
      <c r="B22" s="19" t="s">
        <v>132</v>
      </c>
      <c r="C22" s="17">
        <v>0</v>
      </c>
      <c r="D22" s="17">
        <f t="shared" si="0"/>
        <v>0</v>
      </c>
      <c r="E22" s="17">
        <f t="shared" si="0"/>
        <v>0</v>
      </c>
      <c r="F22" s="17">
        <f t="shared" si="0"/>
        <v>0</v>
      </c>
      <c r="G22" s="17">
        <f t="shared" si="0"/>
        <v>0</v>
      </c>
      <c r="H22" s="17">
        <v>0</v>
      </c>
      <c r="I22" s="17">
        <f t="shared" si="0"/>
        <v>0</v>
      </c>
      <c r="J22" s="17">
        <v>6908</v>
      </c>
      <c r="K22" s="17">
        <v>0</v>
      </c>
      <c r="L22" s="17">
        <f t="shared" si="0"/>
        <v>0</v>
      </c>
      <c r="M22" s="17">
        <f t="shared" si="0"/>
        <v>0</v>
      </c>
      <c r="N22" s="17">
        <f t="shared" si="0"/>
        <v>0</v>
      </c>
      <c r="O22" s="18">
        <f t="shared" si="1"/>
        <v>6908</v>
      </c>
    </row>
    <row r="23" spans="1:15" ht="15" hidden="1" customHeight="1" x14ac:dyDescent="0.2">
      <c r="A23" s="879"/>
      <c r="B23" s="19" t="s">
        <v>133</v>
      </c>
      <c r="C23" s="17">
        <v>0</v>
      </c>
      <c r="D23" s="17">
        <f t="shared" si="0"/>
        <v>0</v>
      </c>
      <c r="E23" s="17">
        <f t="shared" si="0"/>
        <v>0</v>
      </c>
      <c r="F23" s="17">
        <f t="shared" si="0"/>
        <v>0</v>
      </c>
      <c r="G23" s="17">
        <f t="shared" si="0"/>
        <v>0</v>
      </c>
      <c r="H23" s="17">
        <v>0</v>
      </c>
      <c r="I23" s="17">
        <f t="shared" si="0"/>
        <v>0</v>
      </c>
      <c r="J23" s="17">
        <f t="shared" si="0"/>
        <v>0</v>
      </c>
      <c r="K23" s="17">
        <f t="shared" si="0"/>
        <v>0</v>
      </c>
      <c r="L23" s="17">
        <f t="shared" si="0"/>
        <v>0</v>
      </c>
      <c r="M23" s="17">
        <f t="shared" si="0"/>
        <v>0</v>
      </c>
      <c r="N23" s="17">
        <f t="shared" si="0"/>
        <v>0</v>
      </c>
      <c r="O23" s="18">
        <f t="shared" si="1"/>
        <v>0</v>
      </c>
    </row>
    <row r="24" spans="1:15" ht="15" hidden="1" customHeight="1" x14ac:dyDescent="0.2">
      <c r="A24" s="879"/>
      <c r="B24" s="19" t="s">
        <v>134</v>
      </c>
      <c r="C24" s="17">
        <v>0</v>
      </c>
      <c r="D24" s="17">
        <f t="shared" si="0"/>
        <v>0</v>
      </c>
      <c r="E24" s="17">
        <f t="shared" si="0"/>
        <v>0</v>
      </c>
      <c r="F24" s="17">
        <f t="shared" si="0"/>
        <v>0</v>
      </c>
      <c r="G24" s="17">
        <f t="shared" si="0"/>
        <v>0</v>
      </c>
      <c r="H24" s="17">
        <v>0</v>
      </c>
      <c r="I24" s="17">
        <f t="shared" si="0"/>
        <v>0</v>
      </c>
      <c r="J24" s="17">
        <f t="shared" si="0"/>
        <v>0</v>
      </c>
      <c r="K24" s="17">
        <f t="shared" si="0"/>
        <v>0</v>
      </c>
      <c r="L24" s="17">
        <f t="shared" si="0"/>
        <v>0</v>
      </c>
      <c r="M24" s="17">
        <f t="shared" si="0"/>
        <v>0</v>
      </c>
      <c r="N24" s="17">
        <f t="shared" si="0"/>
        <v>0</v>
      </c>
      <c r="O24" s="18">
        <f t="shared" si="1"/>
        <v>0</v>
      </c>
    </row>
    <row r="25" spans="1:15" ht="15" hidden="1" customHeight="1" x14ac:dyDescent="0.2">
      <c r="A25" s="879"/>
      <c r="B25" s="19" t="s">
        <v>135</v>
      </c>
      <c r="C25" s="17">
        <v>0</v>
      </c>
      <c r="D25" s="17">
        <f t="shared" si="0"/>
        <v>0</v>
      </c>
      <c r="E25" s="17">
        <f t="shared" si="0"/>
        <v>0</v>
      </c>
      <c r="F25" s="17">
        <f t="shared" si="0"/>
        <v>0</v>
      </c>
      <c r="G25" s="17">
        <f t="shared" si="0"/>
        <v>0</v>
      </c>
      <c r="H25" s="17">
        <v>0</v>
      </c>
      <c r="I25" s="17">
        <f t="shared" si="0"/>
        <v>0</v>
      </c>
      <c r="J25" s="17">
        <f t="shared" si="0"/>
        <v>0</v>
      </c>
      <c r="K25" s="17">
        <f t="shared" si="0"/>
        <v>0</v>
      </c>
      <c r="L25" s="17">
        <f t="shared" si="0"/>
        <v>0</v>
      </c>
      <c r="M25" s="17">
        <f t="shared" si="0"/>
        <v>0</v>
      </c>
      <c r="N25" s="17">
        <f t="shared" si="0"/>
        <v>0</v>
      </c>
      <c r="O25" s="18">
        <f t="shared" si="1"/>
        <v>0</v>
      </c>
    </row>
    <row r="26" spans="1:15" ht="15" hidden="1" customHeight="1" x14ac:dyDescent="0.2">
      <c r="A26" s="879"/>
      <c r="B26" s="19" t="s">
        <v>136</v>
      </c>
      <c r="C26" s="17">
        <v>0</v>
      </c>
      <c r="D26" s="17">
        <f t="shared" ref="D26:G34" si="2">+C26</f>
        <v>0</v>
      </c>
      <c r="E26" s="17">
        <f t="shared" si="2"/>
        <v>0</v>
      </c>
      <c r="F26" s="17">
        <f t="shared" si="2"/>
        <v>0</v>
      </c>
      <c r="G26" s="17">
        <f t="shared" si="2"/>
        <v>0</v>
      </c>
      <c r="H26" s="17">
        <v>0</v>
      </c>
      <c r="I26" s="17">
        <f t="shared" ref="I26:N34" si="3">+H26</f>
        <v>0</v>
      </c>
      <c r="J26" s="17">
        <f t="shared" si="3"/>
        <v>0</v>
      </c>
      <c r="K26" s="17">
        <f t="shared" si="3"/>
        <v>0</v>
      </c>
      <c r="L26" s="17">
        <f t="shared" si="3"/>
        <v>0</v>
      </c>
      <c r="M26" s="17">
        <f t="shared" si="3"/>
        <v>0</v>
      </c>
      <c r="N26" s="17">
        <f t="shared" si="3"/>
        <v>0</v>
      </c>
      <c r="O26" s="18">
        <f t="shared" si="1"/>
        <v>0</v>
      </c>
    </row>
    <row r="27" spans="1:15" ht="15" hidden="1" customHeight="1" x14ac:dyDescent="0.2">
      <c r="A27" s="879"/>
      <c r="B27" s="19" t="s">
        <v>137</v>
      </c>
      <c r="C27" s="17">
        <v>0</v>
      </c>
      <c r="D27" s="17">
        <f t="shared" si="2"/>
        <v>0</v>
      </c>
      <c r="E27" s="17">
        <f t="shared" si="2"/>
        <v>0</v>
      </c>
      <c r="F27" s="17">
        <f t="shared" si="2"/>
        <v>0</v>
      </c>
      <c r="G27" s="17">
        <f t="shared" si="2"/>
        <v>0</v>
      </c>
      <c r="H27" s="17">
        <v>0</v>
      </c>
      <c r="I27" s="17">
        <f t="shared" si="3"/>
        <v>0</v>
      </c>
      <c r="J27" s="17">
        <f t="shared" si="3"/>
        <v>0</v>
      </c>
      <c r="K27" s="17">
        <f t="shared" si="3"/>
        <v>0</v>
      </c>
      <c r="L27" s="17">
        <f t="shared" si="3"/>
        <v>0</v>
      </c>
      <c r="M27" s="17">
        <f t="shared" si="3"/>
        <v>0</v>
      </c>
      <c r="N27" s="17">
        <f t="shared" si="3"/>
        <v>0</v>
      </c>
      <c r="O27" s="18">
        <f t="shared" si="1"/>
        <v>0</v>
      </c>
    </row>
    <row r="28" spans="1:15" ht="15" hidden="1" customHeight="1" x14ac:dyDescent="0.2">
      <c r="A28" s="879"/>
      <c r="B28" s="19" t="s">
        <v>138</v>
      </c>
      <c r="C28" s="17">
        <v>0</v>
      </c>
      <c r="D28" s="17">
        <f t="shared" si="2"/>
        <v>0</v>
      </c>
      <c r="E28" s="17">
        <f t="shared" si="2"/>
        <v>0</v>
      </c>
      <c r="F28" s="17">
        <f t="shared" si="2"/>
        <v>0</v>
      </c>
      <c r="G28" s="17">
        <f t="shared" si="2"/>
        <v>0</v>
      </c>
      <c r="H28" s="17">
        <v>0</v>
      </c>
      <c r="I28" s="17">
        <f t="shared" si="3"/>
        <v>0</v>
      </c>
      <c r="J28" s="17">
        <f t="shared" si="3"/>
        <v>0</v>
      </c>
      <c r="K28" s="17">
        <f t="shared" si="3"/>
        <v>0</v>
      </c>
      <c r="L28" s="17">
        <f t="shared" si="3"/>
        <v>0</v>
      </c>
      <c r="M28" s="17">
        <f t="shared" si="3"/>
        <v>0</v>
      </c>
      <c r="N28" s="17">
        <f t="shared" si="3"/>
        <v>0</v>
      </c>
      <c r="O28" s="18">
        <f t="shared" si="1"/>
        <v>0</v>
      </c>
    </row>
    <row r="29" spans="1:15" ht="15" hidden="1" customHeight="1" x14ac:dyDescent="0.2">
      <c r="A29" s="879"/>
      <c r="B29" s="19" t="s">
        <v>139</v>
      </c>
      <c r="C29" s="17">
        <v>0</v>
      </c>
      <c r="D29" s="17">
        <f t="shared" si="2"/>
        <v>0</v>
      </c>
      <c r="E29" s="17">
        <f t="shared" si="2"/>
        <v>0</v>
      </c>
      <c r="F29" s="17">
        <f t="shared" si="2"/>
        <v>0</v>
      </c>
      <c r="G29" s="17">
        <f t="shared" si="2"/>
        <v>0</v>
      </c>
      <c r="H29" s="17">
        <v>0</v>
      </c>
      <c r="I29" s="17">
        <f t="shared" si="3"/>
        <v>0</v>
      </c>
      <c r="J29" s="17">
        <f t="shared" si="3"/>
        <v>0</v>
      </c>
      <c r="K29" s="17">
        <f t="shared" si="3"/>
        <v>0</v>
      </c>
      <c r="L29" s="17">
        <f t="shared" si="3"/>
        <v>0</v>
      </c>
      <c r="M29" s="17">
        <f t="shared" si="3"/>
        <v>0</v>
      </c>
      <c r="N29" s="17">
        <f t="shared" si="3"/>
        <v>0</v>
      </c>
      <c r="O29" s="18">
        <f t="shared" si="1"/>
        <v>0</v>
      </c>
    </row>
    <row r="30" spans="1:15" ht="15" hidden="1" customHeight="1" x14ac:dyDescent="0.2">
      <c r="A30" s="879"/>
      <c r="B30" s="19" t="s">
        <v>140</v>
      </c>
      <c r="C30" s="17">
        <v>0</v>
      </c>
      <c r="D30" s="17">
        <f t="shared" si="2"/>
        <v>0</v>
      </c>
      <c r="E30" s="17">
        <f t="shared" si="2"/>
        <v>0</v>
      </c>
      <c r="F30" s="17">
        <f t="shared" si="2"/>
        <v>0</v>
      </c>
      <c r="G30" s="17">
        <f t="shared" si="2"/>
        <v>0</v>
      </c>
      <c r="H30" s="17">
        <v>0</v>
      </c>
      <c r="I30" s="17">
        <f t="shared" si="3"/>
        <v>0</v>
      </c>
      <c r="J30" s="17">
        <f t="shared" si="3"/>
        <v>0</v>
      </c>
      <c r="K30" s="17">
        <f t="shared" si="3"/>
        <v>0</v>
      </c>
      <c r="L30" s="17">
        <f t="shared" si="3"/>
        <v>0</v>
      </c>
      <c r="M30" s="17">
        <f t="shared" si="3"/>
        <v>0</v>
      </c>
      <c r="N30" s="17">
        <f t="shared" si="3"/>
        <v>0</v>
      </c>
      <c r="O30" s="18">
        <f t="shared" si="1"/>
        <v>0</v>
      </c>
    </row>
    <row r="31" spans="1:15" ht="15" hidden="1" customHeight="1" x14ac:dyDescent="0.2">
      <c r="A31" s="879"/>
      <c r="B31" s="19" t="s">
        <v>225</v>
      </c>
      <c r="C31" s="17">
        <v>0</v>
      </c>
      <c r="D31" s="17">
        <f t="shared" si="2"/>
        <v>0</v>
      </c>
      <c r="E31" s="17">
        <f t="shared" si="2"/>
        <v>0</v>
      </c>
      <c r="F31" s="17">
        <f t="shared" si="2"/>
        <v>0</v>
      </c>
      <c r="G31" s="17">
        <f t="shared" si="2"/>
        <v>0</v>
      </c>
      <c r="H31" s="17">
        <v>0</v>
      </c>
      <c r="I31" s="17">
        <f t="shared" si="3"/>
        <v>0</v>
      </c>
      <c r="J31" s="17">
        <f t="shared" si="3"/>
        <v>0</v>
      </c>
      <c r="K31" s="17">
        <f t="shared" si="3"/>
        <v>0</v>
      </c>
      <c r="L31" s="17">
        <f t="shared" si="3"/>
        <v>0</v>
      </c>
      <c r="M31" s="17">
        <f t="shared" si="3"/>
        <v>0</v>
      </c>
      <c r="N31" s="17">
        <f t="shared" si="3"/>
        <v>0</v>
      </c>
      <c r="O31" s="18">
        <f t="shared" si="1"/>
        <v>0</v>
      </c>
    </row>
    <row r="32" spans="1:15" ht="15" customHeight="1" x14ac:dyDescent="0.2">
      <c r="A32" s="879"/>
      <c r="B32" s="21" t="s">
        <v>142</v>
      </c>
      <c r="C32" s="17">
        <v>0</v>
      </c>
      <c r="D32" s="17">
        <f t="shared" si="2"/>
        <v>0</v>
      </c>
      <c r="E32" s="17">
        <f t="shared" si="2"/>
        <v>0</v>
      </c>
      <c r="F32" s="17">
        <f t="shared" si="2"/>
        <v>0</v>
      </c>
      <c r="G32" s="17">
        <f t="shared" si="2"/>
        <v>0</v>
      </c>
      <c r="H32" s="17">
        <v>0</v>
      </c>
      <c r="I32" s="17">
        <f t="shared" si="3"/>
        <v>0</v>
      </c>
      <c r="J32" s="17">
        <f t="shared" si="3"/>
        <v>0</v>
      </c>
      <c r="K32" s="17">
        <f t="shared" si="3"/>
        <v>0</v>
      </c>
      <c r="L32" s="17">
        <f t="shared" si="3"/>
        <v>0</v>
      </c>
      <c r="M32" s="17">
        <f t="shared" si="3"/>
        <v>0</v>
      </c>
      <c r="N32" s="17">
        <f t="shared" si="3"/>
        <v>0</v>
      </c>
      <c r="O32" s="18">
        <f t="shared" si="1"/>
        <v>0</v>
      </c>
    </row>
    <row r="33" spans="1:16" ht="15" hidden="1" customHeight="1" x14ac:dyDescent="0.2">
      <c r="A33" s="880"/>
      <c r="B33" s="19" t="s">
        <v>226</v>
      </c>
      <c r="C33" s="17">
        <v>0</v>
      </c>
      <c r="D33" s="17">
        <f t="shared" si="2"/>
        <v>0</v>
      </c>
      <c r="E33" s="17">
        <f t="shared" si="2"/>
        <v>0</v>
      </c>
      <c r="F33" s="17">
        <f t="shared" si="2"/>
        <v>0</v>
      </c>
      <c r="G33" s="17">
        <f t="shared" si="2"/>
        <v>0</v>
      </c>
      <c r="H33" s="17">
        <v>0</v>
      </c>
      <c r="I33" s="17">
        <f t="shared" si="3"/>
        <v>0</v>
      </c>
      <c r="J33" s="17">
        <f t="shared" si="3"/>
        <v>0</v>
      </c>
      <c r="K33" s="17">
        <f t="shared" si="3"/>
        <v>0</v>
      </c>
      <c r="L33" s="17">
        <f t="shared" si="3"/>
        <v>0</v>
      </c>
      <c r="M33" s="17">
        <f t="shared" si="3"/>
        <v>0</v>
      </c>
      <c r="N33" s="17">
        <f t="shared" si="3"/>
        <v>0</v>
      </c>
      <c r="O33" s="18">
        <f t="shared" si="1"/>
        <v>0</v>
      </c>
    </row>
    <row r="34" spans="1:16" ht="15" customHeight="1" x14ac:dyDescent="0.2">
      <c r="A34" s="865" t="s">
        <v>143</v>
      </c>
      <c r="B34" s="866"/>
      <c r="C34" s="17">
        <v>0</v>
      </c>
      <c r="D34" s="17">
        <f t="shared" si="2"/>
        <v>0</v>
      </c>
      <c r="E34" s="17">
        <f t="shared" si="2"/>
        <v>0</v>
      </c>
      <c r="F34" s="17">
        <f t="shared" si="2"/>
        <v>0</v>
      </c>
      <c r="G34" s="17">
        <f t="shared" si="2"/>
        <v>0</v>
      </c>
      <c r="H34" s="17">
        <v>0</v>
      </c>
      <c r="I34" s="17">
        <f t="shared" si="3"/>
        <v>0</v>
      </c>
      <c r="J34" s="17">
        <f t="shared" si="3"/>
        <v>0</v>
      </c>
      <c r="K34" s="17">
        <f t="shared" si="3"/>
        <v>0</v>
      </c>
      <c r="L34" s="17">
        <f t="shared" si="3"/>
        <v>0</v>
      </c>
      <c r="M34" s="17">
        <f t="shared" si="3"/>
        <v>0</v>
      </c>
      <c r="N34" s="17">
        <f t="shared" si="3"/>
        <v>0</v>
      </c>
      <c r="O34" s="18">
        <f t="shared" si="1"/>
        <v>0</v>
      </c>
    </row>
    <row r="35" spans="1:16" ht="15" customHeight="1" x14ac:dyDescent="0.2">
      <c r="A35" s="865" t="s">
        <v>145</v>
      </c>
      <c r="B35" s="866"/>
      <c r="C35" s="17">
        <v>0</v>
      </c>
      <c r="D35" s="17">
        <v>216</v>
      </c>
      <c r="E35" s="17">
        <v>0</v>
      </c>
      <c r="F35" s="17">
        <v>0</v>
      </c>
      <c r="G35" s="17">
        <v>0</v>
      </c>
      <c r="H35" s="17">
        <v>0</v>
      </c>
      <c r="I35" s="17">
        <v>0</v>
      </c>
      <c r="J35" s="17">
        <v>216</v>
      </c>
      <c r="K35" s="17">
        <v>0</v>
      </c>
      <c r="L35" s="17">
        <v>0</v>
      </c>
      <c r="M35" s="17">
        <v>0</v>
      </c>
      <c r="N35" s="17">
        <v>0</v>
      </c>
      <c r="O35" s="18">
        <f t="shared" si="1"/>
        <v>432</v>
      </c>
    </row>
    <row r="36" spans="1:16" ht="15" customHeight="1" x14ac:dyDescent="0.2">
      <c r="A36" s="865" t="s">
        <v>146</v>
      </c>
      <c r="B36" s="866"/>
      <c r="C36" s="17">
        <v>0</v>
      </c>
      <c r="D36" s="17">
        <v>4326</v>
      </c>
      <c r="E36" s="17">
        <v>0</v>
      </c>
      <c r="F36" s="17">
        <v>0</v>
      </c>
      <c r="G36" s="17">
        <v>0</v>
      </c>
      <c r="H36" s="17">
        <v>0</v>
      </c>
      <c r="I36" s="17">
        <v>0</v>
      </c>
      <c r="J36" s="17">
        <v>4458</v>
      </c>
      <c r="K36" s="17">
        <v>0</v>
      </c>
      <c r="L36" s="17">
        <v>0</v>
      </c>
      <c r="M36" s="17">
        <v>0</v>
      </c>
      <c r="N36" s="17">
        <v>0</v>
      </c>
      <c r="O36" s="18">
        <f t="shared" si="1"/>
        <v>8784</v>
      </c>
    </row>
    <row r="37" spans="1:16" ht="15" customHeight="1" x14ac:dyDescent="0.2">
      <c r="A37" s="22"/>
      <c r="B37" s="23" t="s">
        <v>147</v>
      </c>
      <c r="C37" s="24">
        <f t="shared" ref="C37:N37" si="4">SUM(C9:C36)</f>
        <v>96789</v>
      </c>
      <c r="D37" s="24">
        <f t="shared" si="4"/>
        <v>102845</v>
      </c>
      <c r="E37" s="24">
        <f t="shared" si="4"/>
        <v>98303</v>
      </c>
      <c r="F37" s="24">
        <f t="shared" si="4"/>
        <v>98303</v>
      </c>
      <c r="G37" s="24">
        <f t="shared" si="4"/>
        <v>101185</v>
      </c>
      <c r="H37" s="24">
        <f t="shared" si="4"/>
        <v>101185</v>
      </c>
      <c r="I37" s="24">
        <f t="shared" si="4"/>
        <v>101185</v>
      </c>
      <c r="J37" s="24">
        <f t="shared" si="4"/>
        <v>114325</v>
      </c>
      <c r="K37" s="24">
        <f t="shared" si="4"/>
        <v>102743</v>
      </c>
      <c r="L37" s="24">
        <f t="shared" si="4"/>
        <v>102743</v>
      </c>
      <c r="M37" s="24">
        <f t="shared" si="4"/>
        <v>102743</v>
      </c>
      <c r="N37" s="24">
        <f t="shared" si="4"/>
        <v>102743</v>
      </c>
      <c r="O37" s="25">
        <f>SUM(C37:N37)</f>
        <v>1225092</v>
      </c>
    </row>
    <row r="38" spans="1:16" ht="15" customHeight="1" x14ac:dyDescent="0.2">
      <c r="A38" s="853" t="s">
        <v>148</v>
      </c>
      <c r="B38" s="27" t="s">
        <v>149</v>
      </c>
      <c r="C38" s="28">
        <v>8900</v>
      </c>
      <c r="D38" s="28">
        <v>9000</v>
      </c>
      <c r="E38" s="28">
        <v>9000</v>
      </c>
      <c r="F38" s="28">
        <v>9000</v>
      </c>
      <c r="G38" s="28">
        <v>9000</v>
      </c>
      <c r="H38" s="28">
        <v>9000</v>
      </c>
      <c r="I38" s="28">
        <v>9000</v>
      </c>
      <c r="J38" s="28">
        <v>9000</v>
      </c>
      <c r="K38" s="28">
        <v>12000</v>
      </c>
      <c r="L38" s="28">
        <v>11000</v>
      </c>
      <c r="M38" s="28">
        <v>11130</v>
      </c>
      <c r="N38" s="28">
        <v>12275</v>
      </c>
      <c r="O38" s="18">
        <f>SUM(C38:N38)</f>
        <v>118305</v>
      </c>
      <c r="P38" s="29"/>
    </row>
    <row r="39" spans="1:16" ht="15" x14ac:dyDescent="0.2">
      <c r="A39" s="854"/>
      <c r="B39" s="27" t="s">
        <v>150</v>
      </c>
      <c r="C39" s="28">
        <v>0</v>
      </c>
      <c r="D39" s="28">
        <v>0</v>
      </c>
      <c r="E39" s="28">
        <v>0</v>
      </c>
      <c r="F39" s="28">
        <v>0</v>
      </c>
      <c r="G39" s="28">
        <v>0</v>
      </c>
      <c r="H39" s="28">
        <v>0</v>
      </c>
      <c r="I39" s="28">
        <v>0</v>
      </c>
      <c r="J39" s="28">
        <v>0</v>
      </c>
      <c r="K39" s="28">
        <v>0</v>
      </c>
      <c r="L39" s="28">
        <v>0</v>
      </c>
      <c r="M39" s="28">
        <v>0</v>
      </c>
      <c r="N39" s="28">
        <v>0</v>
      </c>
      <c r="O39" s="18">
        <f>SUM(C39:N39)</f>
        <v>0</v>
      </c>
    </row>
    <row r="40" spans="1:16" ht="15" x14ac:dyDescent="0.2">
      <c r="A40" s="854"/>
      <c r="B40" s="27" t="s">
        <v>151</v>
      </c>
      <c r="C40" s="28">
        <v>60</v>
      </c>
      <c r="D40" s="28">
        <v>60</v>
      </c>
      <c r="E40" s="28">
        <v>60</v>
      </c>
      <c r="F40" s="28">
        <v>60</v>
      </c>
      <c r="G40" s="28">
        <v>60</v>
      </c>
      <c r="H40" s="28">
        <v>60</v>
      </c>
      <c r="I40" s="28">
        <v>60</v>
      </c>
      <c r="J40" s="28">
        <v>60</v>
      </c>
      <c r="K40" s="28">
        <v>60</v>
      </c>
      <c r="L40" s="28">
        <v>60</v>
      </c>
      <c r="M40" s="28">
        <v>60</v>
      </c>
      <c r="N40" s="28">
        <v>60</v>
      </c>
      <c r="O40" s="18">
        <f t="shared" ref="O40:O50" si="5">SUM(C40:N40)</f>
        <v>720</v>
      </c>
    </row>
    <row r="41" spans="1:16" ht="15" x14ac:dyDescent="0.2">
      <c r="A41" s="854"/>
      <c r="B41" s="27" t="s">
        <v>152</v>
      </c>
      <c r="C41" s="28">
        <v>0</v>
      </c>
      <c r="D41" s="28">
        <v>0</v>
      </c>
      <c r="E41" s="28">
        <v>0</v>
      </c>
      <c r="F41" s="28">
        <v>0</v>
      </c>
      <c r="G41" s="28">
        <v>0</v>
      </c>
      <c r="H41" s="28">
        <v>0</v>
      </c>
      <c r="I41" s="28">
        <v>0</v>
      </c>
      <c r="J41" s="28">
        <v>0</v>
      </c>
      <c r="K41" s="28">
        <v>0</v>
      </c>
      <c r="L41" s="28">
        <v>0</v>
      </c>
      <c r="M41" s="28">
        <v>0</v>
      </c>
      <c r="N41" s="28">
        <v>0</v>
      </c>
      <c r="O41" s="18">
        <f t="shared" si="5"/>
        <v>0</v>
      </c>
    </row>
    <row r="42" spans="1:16" ht="15" x14ac:dyDescent="0.2">
      <c r="A42" s="854"/>
      <c r="B42" s="27" t="s">
        <v>153</v>
      </c>
      <c r="C42" s="28">
        <v>650</v>
      </c>
      <c r="D42" s="28">
        <v>650</v>
      </c>
      <c r="E42" s="28">
        <v>650</v>
      </c>
      <c r="F42" s="28">
        <v>650</v>
      </c>
      <c r="G42" s="28">
        <v>650</v>
      </c>
      <c r="H42" s="28">
        <v>650</v>
      </c>
      <c r="I42" s="28">
        <v>650</v>
      </c>
      <c r="J42" s="28">
        <v>650</v>
      </c>
      <c r="K42" s="28">
        <v>650</v>
      </c>
      <c r="L42" s="28">
        <v>650</v>
      </c>
      <c r="M42" s="28">
        <v>650</v>
      </c>
      <c r="N42" s="28">
        <v>650</v>
      </c>
      <c r="O42" s="18">
        <f t="shared" si="5"/>
        <v>7800</v>
      </c>
    </row>
    <row r="43" spans="1:16" ht="15" x14ac:dyDescent="0.2">
      <c r="A43" s="854"/>
      <c r="B43" s="27" t="s">
        <v>154</v>
      </c>
      <c r="C43" s="28">
        <v>15000</v>
      </c>
      <c r="D43" s="28">
        <v>15000</v>
      </c>
      <c r="E43" s="28">
        <v>15000</v>
      </c>
      <c r="F43" s="28">
        <v>15000</v>
      </c>
      <c r="G43" s="28">
        <v>15000</v>
      </c>
      <c r="H43" s="28">
        <v>15000</v>
      </c>
      <c r="I43" s="28">
        <v>15000</v>
      </c>
      <c r="J43" s="28">
        <v>15000</v>
      </c>
      <c r="K43" s="28">
        <v>15000</v>
      </c>
      <c r="L43" s="28">
        <v>15000</v>
      </c>
      <c r="M43" s="28">
        <v>15000</v>
      </c>
      <c r="N43" s="28">
        <v>15000</v>
      </c>
      <c r="O43" s="18">
        <f t="shared" si="5"/>
        <v>180000</v>
      </c>
    </row>
    <row r="44" spans="1:16" ht="15" x14ac:dyDescent="0.2">
      <c r="A44" s="854"/>
      <c r="B44" s="27" t="s">
        <v>155</v>
      </c>
      <c r="C44" s="28">
        <v>200</v>
      </c>
      <c r="D44" s="28">
        <v>200</v>
      </c>
      <c r="E44" s="28">
        <v>200</v>
      </c>
      <c r="F44" s="28">
        <v>200</v>
      </c>
      <c r="G44" s="28">
        <v>200</v>
      </c>
      <c r="H44" s="28">
        <v>200</v>
      </c>
      <c r="I44" s="28">
        <v>200</v>
      </c>
      <c r="J44" s="28">
        <v>200</v>
      </c>
      <c r="K44" s="28">
        <v>200</v>
      </c>
      <c r="L44" s="28">
        <v>200</v>
      </c>
      <c r="M44" s="28">
        <v>200</v>
      </c>
      <c r="N44" s="28">
        <v>300</v>
      </c>
      <c r="O44" s="18">
        <f t="shared" si="5"/>
        <v>2500</v>
      </c>
    </row>
    <row r="45" spans="1:16" ht="15" x14ac:dyDescent="0.2">
      <c r="A45" s="854"/>
      <c r="B45" s="27" t="s">
        <v>156</v>
      </c>
      <c r="C45" s="28">
        <v>0</v>
      </c>
      <c r="D45" s="28">
        <v>0</v>
      </c>
      <c r="E45" s="28">
        <v>0</v>
      </c>
      <c r="F45" s="28">
        <v>0</v>
      </c>
      <c r="G45" s="28">
        <v>0</v>
      </c>
      <c r="H45" s="28">
        <v>0</v>
      </c>
      <c r="I45" s="28">
        <v>0</v>
      </c>
      <c r="J45" s="28">
        <v>0</v>
      </c>
      <c r="K45" s="28">
        <v>0</v>
      </c>
      <c r="L45" s="28">
        <v>0</v>
      </c>
      <c r="M45" s="28">
        <v>0</v>
      </c>
      <c r="N45" s="28">
        <v>0</v>
      </c>
      <c r="O45" s="18">
        <f t="shared" si="5"/>
        <v>0</v>
      </c>
    </row>
    <row r="46" spans="1:16" ht="15" x14ac:dyDescent="0.2">
      <c r="A46" s="854"/>
      <c r="B46" s="27" t="s">
        <v>157</v>
      </c>
      <c r="C46" s="28">
        <v>0</v>
      </c>
      <c r="D46" s="28">
        <v>0</v>
      </c>
      <c r="E46" s="28">
        <v>0</v>
      </c>
      <c r="F46" s="28">
        <v>0</v>
      </c>
      <c r="G46" s="28">
        <v>0</v>
      </c>
      <c r="H46" s="28">
        <v>0</v>
      </c>
      <c r="I46" s="28">
        <v>0</v>
      </c>
      <c r="J46" s="28">
        <v>0</v>
      </c>
      <c r="K46" s="28">
        <v>0</v>
      </c>
      <c r="L46" s="28">
        <v>0</v>
      </c>
      <c r="M46" s="28">
        <v>0</v>
      </c>
      <c r="N46" s="28">
        <v>0</v>
      </c>
      <c r="O46" s="18">
        <f t="shared" si="5"/>
        <v>0</v>
      </c>
    </row>
    <row r="47" spans="1:16" ht="28.5" customHeight="1" x14ac:dyDescent="0.2">
      <c r="A47" s="855"/>
      <c r="B47" s="30" t="s">
        <v>158</v>
      </c>
      <c r="C47" s="28">
        <v>0</v>
      </c>
      <c r="D47" s="28">
        <v>0</v>
      </c>
      <c r="E47" s="28">
        <v>0</v>
      </c>
      <c r="F47" s="28">
        <v>0</v>
      </c>
      <c r="G47" s="28">
        <v>0</v>
      </c>
      <c r="H47" s="28">
        <v>0</v>
      </c>
      <c r="I47" s="28">
        <v>0</v>
      </c>
      <c r="J47" s="28">
        <v>0</v>
      </c>
      <c r="K47" s="28">
        <v>0</v>
      </c>
      <c r="L47" s="28">
        <v>0</v>
      </c>
      <c r="M47" s="28">
        <v>0</v>
      </c>
      <c r="N47" s="28">
        <v>0</v>
      </c>
      <c r="O47" s="31">
        <f t="shared" si="5"/>
        <v>0</v>
      </c>
    </row>
    <row r="48" spans="1:16" ht="15" x14ac:dyDescent="0.2">
      <c r="A48" s="856"/>
      <c r="B48" s="127" t="s">
        <v>434</v>
      </c>
      <c r="C48" s="28">
        <v>0</v>
      </c>
      <c r="D48" s="28">
        <v>0</v>
      </c>
      <c r="E48" s="28">
        <v>0</v>
      </c>
      <c r="F48" s="28">
        <v>0</v>
      </c>
      <c r="G48" s="28">
        <v>0</v>
      </c>
      <c r="H48" s="28">
        <v>0</v>
      </c>
      <c r="I48" s="28">
        <v>0</v>
      </c>
      <c r="J48" s="28">
        <v>0</v>
      </c>
      <c r="K48" s="28">
        <v>0</v>
      </c>
      <c r="L48" s="28">
        <v>0</v>
      </c>
      <c r="M48" s="28">
        <v>0</v>
      </c>
      <c r="N48" s="28">
        <v>0</v>
      </c>
      <c r="O48" s="31">
        <f t="shared" si="5"/>
        <v>0</v>
      </c>
    </row>
    <row r="49" spans="1:18" ht="15" x14ac:dyDescent="0.2">
      <c r="A49" s="857" t="s">
        <v>160</v>
      </c>
      <c r="B49" s="858"/>
      <c r="C49" s="33">
        <f t="shared" ref="C49:N49" si="6">SUM(C38:C48)</f>
        <v>24810</v>
      </c>
      <c r="D49" s="33">
        <f t="shared" si="6"/>
        <v>24910</v>
      </c>
      <c r="E49" s="33">
        <f t="shared" si="6"/>
        <v>24910</v>
      </c>
      <c r="F49" s="33">
        <f t="shared" si="6"/>
        <v>24910</v>
      </c>
      <c r="G49" s="33">
        <f t="shared" si="6"/>
        <v>24910</v>
      </c>
      <c r="H49" s="33">
        <f t="shared" si="6"/>
        <v>24910</v>
      </c>
      <c r="I49" s="33">
        <f t="shared" si="6"/>
        <v>24910</v>
      </c>
      <c r="J49" s="33">
        <f t="shared" si="6"/>
        <v>24910</v>
      </c>
      <c r="K49" s="33">
        <f t="shared" si="6"/>
        <v>27910</v>
      </c>
      <c r="L49" s="33">
        <f t="shared" si="6"/>
        <v>26910</v>
      </c>
      <c r="M49" s="33">
        <f t="shared" si="6"/>
        <v>27040</v>
      </c>
      <c r="N49" s="33">
        <f t="shared" si="6"/>
        <v>28285</v>
      </c>
      <c r="O49" s="34">
        <f t="shared" si="5"/>
        <v>309325</v>
      </c>
    </row>
    <row r="50" spans="1:18" ht="15.75" thickBot="1" x14ac:dyDescent="0.25">
      <c r="A50" s="859" t="s">
        <v>161</v>
      </c>
      <c r="B50" s="860"/>
      <c r="C50" s="35">
        <f t="shared" ref="C50:N50" si="7">C37-C49</f>
        <v>71979</v>
      </c>
      <c r="D50" s="35">
        <f t="shared" si="7"/>
        <v>77935</v>
      </c>
      <c r="E50" s="35">
        <f t="shared" si="7"/>
        <v>73393</v>
      </c>
      <c r="F50" s="35">
        <f t="shared" si="7"/>
        <v>73393</v>
      </c>
      <c r="G50" s="35">
        <f t="shared" si="7"/>
        <v>76275</v>
      </c>
      <c r="H50" s="35">
        <f t="shared" si="7"/>
        <v>76275</v>
      </c>
      <c r="I50" s="35">
        <f t="shared" si="7"/>
        <v>76275</v>
      </c>
      <c r="J50" s="35">
        <f t="shared" si="7"/>
        <v>89415</v>
      </c>
      <c r="K50" s="35">
        <f t="shared" si="7"/>
        <v>74833</v>
      </c>
      <c r="L50" s="35">
        <f t="shared" si="7"/>
        <v>75833</v>
      </c>
      <c r="M50" s="35">
        <f t="shared" si="7"/>
        <v>75703</v>
      </c>
      <c r="N50" s="35">
        <f t="shared" si="7"/>
        <v>74458</v>
      </c>
      <c r="O50" s="36">
        <f t="shared" si="5"/>
        <v>915767</v>
      </c>
    </row>
    <row r="51" spans="1:18" x14ac:dyDescent="0.2">
      <c r="J51" s="295">
        <f>+J37-SUM(J22:J36)</f>
        <v>102743</v>
      </c>
      <c r="Q51" s="38"/>
    </row>
    <row r="52" spans="1:18" ht="13.5" thickBot="1" x14ac:dyDescent="0.25">
      <c r="J52" s="38">
        <f>+J51-J49</f>
        <v>77833</v>
      </c>
    </row>
    <row r="53" spans="1:18" ht="13.5" thickBot="1" x14ac:dyDescent="0.25">
      <c r="B53" s="789" t="s">
        <v>162</v>
      </c>
      <c r="C53" s="861"/>
      <c r="D53" s="861"/>
      <c r="E53" s="861"/>
      <c r="F53" s="862"/>
      <c r="G53" s="863">
        <f>O37</f>
        <v>1225092</v>
      </c>
      <c r="H53" s="864"/>
    </row>
    <row r="54" spans="1:18" ht="13.5" thickBot="1" x14ac:dyDescent="0.25"/>
    <row r="55" spans="1:18" x14ac:dyDescent="0.2">
      <c r="B55" s="830" t="s">
        <v>163</v>
      </c>
      <c r="C55" s="833" t="s">
        <v>164</v>
      </c>
      <c r="D55" s="836" t="s">
        <v>229</v>
      </c>
      <c r="E55" s="837"/>
      <c r="F55" s="838"/>
      <c r="G55" s="839">
        <v>40000</v>
      </c>
      <c r="H55" s="840"/>
    </row>
    <row r="56" spans="1:18" x14ac:dyDescent="0.2">
      <c r="B56" s="831"/>
      <c r="C56" s="834"/>
      <c r="D56" s="841" t="s">
        <v>166</v>
      </c>
      <c r="E56" s="842"/>
      <c r="F56" s="843"/>
      <c r="G56" s="844">
        <f>+O44</f>
        <v>2500</v>
      </c>
      <c r="H56" s="845"/>
      <c r="I56" s="39"/>
      <c r="J56" s="846"/>
      <c r="K56" s="846"/>
      <c r="L56" s="846"/>
      <c r="M56" s="847"/>
      <c r="N56" s="847"/>
      <c r="O56" s="847"/>
    </row>
    <row r="57" spans="1:18" ht="13.5" thickBot="1" x14ac:dyDescent="0.25">
      <c r="B57" s="832"/>
      <c r="C57" s="835"/>
      <c r="D57" s="921" t="s">
        <v>167</v>
      </c>
      <c r="E57" s="849"/>
      <c r="F57" s="850"/>
      <c r="G57" s="851">
        <f>IF(O18&gt;15000,15000,+O18)</f>
        <v>0</v>
      </c>
      <c r="H57" s="852"/>
      <c r="J57" s="47"/>
      <c r="K57" s="47"/>
      <c r="L57" s="47"/>
      <c r="M57" s="47"/>
      <c r="N57" s="47"/>
      <c r="O57" s="47"/>
    </row>
    <row r="58" spans="1:18" ht="13.5" thickBot="1" x14ac:dyDescent="0.25">
      <c r="B58" s="48"/>
      <c r="J58" s="47"/>
      <c r="K58" s="47"/>
      <c r="L58" s="47"/>
      <c r="M58" s="47"/>
      <c r="N58" s="47"/>
      <c r="O58" s="47"/>
    </row>
    <row r="59" spans="1:18" ht="13.5" thickBot="1" x14ac:dyDescent="0.25">
      <c r="B59" s="789" t="s">
        <v>168</v>
      </c>
      <c r="C59" s="790"/>
      <c r="D59" s="790"/>
      <c r="E59" s="790"/>
      <c r="F59" s="791"/>
      <c r="G59" s="825">
        <f>+G53-SUM(G55:H57)</f>
        <v>1182592</v>
      </c>
      <c r="H59" s="826"/>
      <c r="J59" s="827" t="s">
        <v>169</v>
      </c>
      <c r="K59" s="828"/>
      <c r="L59" s="828"/>
      <c r="M59" s="828"/>
      <c r="N59" s="828"/>
      <c r="O59" s="829"/>
    </row>
    <row r="60" spans="1:18" ht="13.5" thickBot="1" x14ac:dyDescent="0.25">
      <c r="B60" s="49"/>
      <c r="C60" s="50"/>
      <c r="D60" s="50"/>
      <c r="E60" s="50"/>
      <c r="F60" s="50"/>
      <c r="G60" s="45"/>
      <c r="H60" s="50"/>
      <c r="J60" s="129"/>
      <c r="K60" s="130"/>
      <c r="L60" s="130"/>
      <c r="M60" s="130"/>
      <c r="N60" s="130"/>
      <c r="O60" s="131"/>
    </row>
    <row r="61" spans="1:18" ht="13.5" thickBot="1" x14ac:dyDescent="0.25">
      <c r="B61" s="789" t="s">
        <v>170</v>
      </c>
      <c r="C61" s="790"/>
      <c r="D61" s="790"/>
      <c r="E61" s="790"/>
      <c r="F61" s="791"/>
      <c r="G61" s="805"/>
      <c r="H61" s="791"/>
      <c r="J61" s="129"/>
      <c r="K61" s="130"/>
      <c r="L61" s="130"/>
      <c r="M61" s="130"/>
      <c r="N61" s="130"/>
      <c r="O61" s="131"/>
    </row>
    <row r="62" spans="1:18" ht="12.75" customHeight="1" x14ac:dyDescent="0.2">
      <c r="B62" s="57" t="s">
        <v>171</v>
      </c>
      <c r="C62" s="806" t="s">
        <v>172</v>
      </c>
      <c r="D62" s="807"/>
      <c r="E62" s="807"/>
      <c r="F62" s="808"/>
      <c r="G62" s="809">
        <v>3432</v>
      </c>
      <c r="H62" s="809"/>
      <c r="I62" s="58"/>
      <c r="J62" s="810" t="s">
        <v>173</v>
      </c>
      <c r="K62" s="811"/>
      <c r="L62" s="811"/>
      <c r="M62" s="811"/>
      <c r="N62" s="811"/>
      <c r="O62" s="812"/>
      <c r="Q62" s="59"/>
      <c r="R62" s="59"/>
    </row>
    <row r="63" spans="1:18" ht="13.5" thickBot="1" x14ac:dyDescent="0.25">
      <c r="D63" s="37"/>
      <c r="I63" s="58"/>
      <c r="J63" s="60" t="s">
        <v>1148</v>
      </c>
      <c r="K63" s="132"/>
      <c r="L63" s="132"/>
      <c r="M63" s="133"/>
      <c r="N63" s="133"/>
      <c r="O63" s="134"/>
      <c r="Q63" s="59"/>
      <c r="R63" s="59"/>
    </row>
    <row r="64" spans="1:18" ht="13.5" thickBot="1" x14ac:dyDescent="0.25">
      <c r="B64" s="789" t="s">
        <v>175</v>
      </c>
      <c r="C64" s="790"/>
      <c r="D64" s="790"/>
      <c r="E64" s="790"/>
      <c r="F64" s="791"/>
      <c r="G64" s="805">
        <f>+G59-G62</f>
        <v>1179160</v>
      </c>
      <c r="H64" s="791"/>
      <c r="I64" s="63"/>
      <c r="J64" s="75"/>
      <c r="K64" s="39"/>
      <c r="L64" s="39"/>
      <c r="M64" s="39"/>
      <c r="N64" s="39" t="s">
        <v>386</v>
      </c>
      <c r="O64" s="65"/>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6.25" customHeight="1" thickBot="1" x14ac:dyDescent="0.25">
      <c r="B67" s="66"/>
      <c r="C67" s="48"/>
      <c r="G67" s="70" t="s">
        <v>177</v>
      </c>
      <c r="H67" s="70" t="s">
        <v>178</v>
      </c>
      <c r="I67" s="63"/>
      <c r="J67" s="810" t="s">
        <v>179</v>
      </c>
      <c r="K67" s="811"/>
      <c r="L67" s="71"/>
      <c r="M67" s="71"/>
      <c r="N67" s="71"/>
      <c r="O67" s="72"/>
      <c r="Q67" s="59"/>
      <c r="R67" s="59"/>
    </row>
    <row r="68" spans="2:18" ht="12.75" customHeight="1" x14ac:dyDescent="0.2">
      <c r="B68" s="802" t="s">
        <v>180</v>
      </c>
      <c r="C68" s="821" t="s">
        <v>181</v>
      </c>
      <c r="D68" s="823" t="s">
        <v>182</v>
      </c>
      <c r="E68" s="824"/>
      <c r="F68" s="824"/>
      <c r="G68" s="73">
        <f>+O43</f>
        <v>180000</v>
      </c>
      <c r="H68" s="74">
        <f t="shared" ref="H68:H76" si="8">+G68</f>
        <v>180000</v>
      </c>
      <c r="I68" s="63"/>
      <c r="J68" s="919"/>
      <c r="K68" s="920"/>
      <c r="L68" s="58"/>
      <c r="M68" s="58"/>
      <c r="N68" s="58"/>
      <c r="O68" s="76"/>
      <c r="Q68" s="59"/>
      <c r="R68" s="59"/>
    </row>
    <row r="69" spans="2:18" ht="12.75" customHeight="1" x14ac:dyDescent="0.2">
      <c r="B69" s="803"/>
      <c r="C69" s="822"/>
      <c r="D69" s="782" t="s">
        <v>184</v>
      </c>
      <c r="E69" s="783"/>
      <c r="F69" s="783"/>
      <c r="G69" s="77">
        <v>0</v>
      </c>
      <c r="H69" s="78">
        <f t="shared" si="8"/>
        <v>0</v>
      </c>
      <c r="I69" s="63"/>
      <c r="J69" s="79"/>
      <c r="K69" s="68"/>
      <c r="L69" s="68"/>
      <c r="M69" s="68"/>
      <c r="N69" s="68"/>
      <c r="O69" s="69"/>
      <c r="Q69" s="59"/>
      <c r="R69" s="59"/>
    </row>
    <row r="70" spans="2:18" ht="12.75" customHeight="1" x14ac:dyDescent="0.2">
      <c r="B70" s="803"/>
      <c r="C70" s="822"/>
      <c r="D70" s="819" t="s">
        <v>185</v>
      </c>
      <c r="E70" s="820"/>
      <c r="F70" s="820"/>
      <c r="G70" s="80">
        <f>O40</f>
        <v>720</v>
      </c>
      <c r="H70" s="78">
        <f t="shared" si="8"/>
        <v>720</v>
      </c>
      <c r="I70" s="63"/>
      <c r="J70" s="67"/>
      <c r="K70" s="68"/>
      <c r="L70" s="68"/>
      <c r="M70" s="68"/>
      <c r="N70" s="68"/>
      <c r="O70" s="69"/>
    </row>
    <row r="71" spans="2:18" x14ac:dyDescent="0.2">
      <c r="B71" s="803"/>
      <c r="C71" s="822"/>
      <c r="D71" s="782" t="s">
        <v>186</v>
      </c>
      <c r="E71" s="783"/>
      <c r="F71" s="783"/>
      <c r="G71" s="81">
        <v>0</v>
      </c>
      <c r="H71" s="78">
        <f t="shared" si="8"/>
        <v>0</v>
      </c>
      <c r="I71" s="63"/>
      <c r="J71" s="82" t="s">
        <v>187</v>
      </c>
      <c r="K71" s="71"/>
      <c r="L71" s="71"/>
      <c r="M71" s="71"/>
      <c r="N71" s="71"/>
      <c r="O71" s="72"/>
    </row>
    <row r="72" spans="2:18" ht="12.75" customHeight="1" x14ac:dyDescent="0.2">
      <c r="B72" s="803"/>
      <c r="C72" s="822"/>
      <c r="D72" s="784" t="s">
        <v>188</v>
      </c>
      <c r="E72" s="783"/>
      <c r="F72" s="783"/>
      <c r="G72" s="80">
        <v>0</v>
      </c>
      <c r="H72" s="78">
        <f t="shared" si="8"/>
        <v>0</v>
      </c>
      <c r="I72" s="63"/>
      <c r="J72" s="75" t="s">
        <v>189</v>
      </c>
      <c r="K72" s="50"/>
      <c r="L72" s="50"/>
      <c r="M72" s="50"/>
      <c r="N72" s="50"/>
      <c r="O72" s="83">
        <f>O42</f>
        <v>7800</v>
      </c>
    </row>
    <row r="73" spans="2:18" ht="14.25" customHeight="1" x14ac:dyDescent="0.2">
      <c r="B73" s="803"/>
      <c r="C73" s="822"/>
      <c r="D73" s="782" t="s">
        <v>190</v>
      </c>
      <c r="E73" s="783"/>
      <c r="F73" s="783"/>
      <c r="G73" s="84">
        <v>0</v>
      </c>
      <c r="H73" s="78">
        <f t="shared" si="8"/>
        <v>0</v>
      </c>
      <c r="I73" s="63"/>
      <c r="J73" s="64"/>
      <c r="K73" s="39"/>
      <c r="L73" s="39"/>
      <c r="M73" s="39"/>
      <c r="N73" s="39"/>
      <c r="O73" s="65"/>
    </row>
    <row r="74" spans="2:18" x14ac:dyDescent="0.2">
      <c r="B74" s="803"/>
      <c r="C74" s="822"/>
      <c r="D74" s="782" t="s">
        <v>191</v>
      </c>
      <c r="E74" s="783"/>
      <c r="F74" s="783"/>
      <c r="G74" s="81">
        <v>75480</v>
      </c>
      <c r="H74" s="78">
        <f t="shared" si="8"/>
        <v>75480</v>
      </c>
      <c r="I74" s="58"/>
      <c r="J74" s="150"/>
      <c r="K74" s="50"/>
      <c r="L74" s="50"/>
      <c r="M74" s="50"/>
      <c r="N74" s="50"/>
      <c r="O74" s="83"/>
    </row>
    <row r="75" spans="2:18" x14ac:dyDescent="0.2">
      <c r="B75" s="803"/>
      <c r="C75" s="88" t="s">
        <v>192</v>
      </c>
      <c r="D75" s="813" t="s">
        <v>193</v>
      </c>
      <c r="E75" s="814"/>
      <c r="F75" s="814"/>
      <c r="G75" s="80">
        <v>0</v>
      </c>
      <c r="H75" s="78">
        <f t="shared" si="8"/>
        <v>0</v>
      </c>
      <c r="I75" s="58"/>
      <c r="J75" s="79"/>
      <c r="K75" s="39"/>
      <c r="L75" s="39"/>
      <c r="M75" s="39"/>
      <c r="N75" s="39"/>
      <c r="O75" s="65"/>
    </row>
    <row r="76" spans="2:18" ht="13.5" customHeight="1" thickBot="1" x14ac:dyDescent="0.25">
      <c r="B76" s="803"/>
      <c r="C76" s="88" t="s">
        <v>194</v>
      </c>
      <c r="D76" s="815" t="s">
        <v>195</v>
      </c>
      <c r="E76" s="815"/>
      <c r="F76" s="815"/>
      <c r="G76" s="89">
        <v>0</v>
      </c>
      <c r="H76" s="90">
        <f t="shared" si="8"/>
        <v>0</v>
      </c>
      <c r="I76" s="63"/>
      <c r="J76" s="67"/>
      <c r="K76" s="68"/>
      <c r="L76" s="68"/>
      <c r="M76" s="91"/>
      <c r="N76" s="91"/>
      <c r="O76" s="92"/>
    </row>
    <row r="77" spans="2:18" ht="13.5" thickBot="1" x14ac:dyDescent="0.25">
      <c r="B77" s="803"/>
      <c r="C77" s="93"/>
      <c r="D77" s="94"/>
      <c r="E77" s="816" t="s">
        <v>117</v>
      </c>
      <c r="F77" s="817"/>
      <c r="G77" s="95">
        <f>SUM(G68:G76)</f>
        <v>256200</v>
      </c>
      <c r="H77" s="96">
        <f>IF(SUM(G68:G74)&lt;150000,SUM(G68:G74),150000)+IF(+G75&lt;20000,+G75,20000)</f>
        <v>150000</v>
      </c>
      <c r="I77" s="63"/>
      <c r="J77" s="140"/>
      <c r="K77" s="141"/>
      <c r="L77" s="141"/>
      <c r="M77" s="142"/>
      <c r="N77" s="142"/>
      <c r="O77" s="143"/>
    </row>
    <row r="78" spans="2:18" ht="12.75" customHeight="1" x14ac:dyDescent="0.2">
      <c r="B78" s="803"/>
      <c r="C78" s="100" t="s">
        <v>196</v>
      </c>
      <c r="D78" s="782" t="s">
        <v>187</v>
      </c>
      <c r="E78" s="783"/>
      <c r="F78" s="818"/>
      <c r="G78" s="73">
        <v>32795</v>
      </c>
      <c r="H78" s="101">
        <f>+IF(+G78&lt;25000,+G78,25000)</f>
        <v>25000</v>
      </c>
      <c r="I78" s="87"/>
    </row>
    <row r="79" spans="2:18" x14ac:dyDescent="0.2">
      <c r="B79" s="803"/>
      <c r="C79" s="100" t="s">
        <v>197</v>
      </c>
      <c r="D79" s="784" t="s">
        <v>198</v>
      </c>
      <c r="E79" s="785"/>
      <c r="F79" s="786"/>
      <c r="G79" s="102"/>
      <c r="H79" s="103">
        <f>+IF(+G79&lt;40000,+G79,40000)</f>
        <v>0</v>
      </c>
      <c r="I79" s="63"/>
    </row>
    <row r="80" spans="2:18" x14ac:dyDescent="0.2">
      <c r="B80" s="803"/>
      <c r="C80" s="100" t="s">
        <v>199</v>
      </c>
      <c r="D80" s="784" t="s">
        <v>200</v>
      </c>
      <c r="E80" s="785"/>
      <c r="F80" s="786"/>
      <c r="G80" s="81"/>
      <c r="H80" s="104">
        <v>0</v>
      </c>
      <c r="I80" s="63"/>
      <c r="J80" s="106"/>
    </row>
    <row r="81" spans="2:12" x14ac:dyDescent="0.2">
      <c r="B81" s="803"/>
      <c r="C81" s="100" t="s">
        <v>201</v>
      </c>
      <c r="D81" s="784" t="s">
        <v>202</v>
      </c>
      <c r="E81" s="785"/>
      <c r="F81" s="786"/>
      <c r="G81" s="81"/>
      <c r="H81" s="104">
        <v>0</v>
      </c>
      <c r="I81" s="63"/>
    </row>
    <row r="82" spans="2:12" ht="13.5" thickBot="1" x14ac:dyDescent="0.25">
      <c r="B82" s="804"/>
      <c r="C82" s="100" t="s">
        <v>203</v>
      </c>
      <c r="D82" s="784" t="s">
        <v>204</v>
      </c>
      <c r="E82" s="785"/>
      <c r="F82" s="786"/>
      <c r="G82" s="102"/>
      <c r="H82" s="103">
        <f>+IF(+G82&lt;100000,+G82,10000)</f>
        <v>0</v>
      </c>
      <c r="I82" s="63"/>
    </row>
    <row r="83" spans="2:12" ht="13.5" thickBot="1" x14ac:dyDescent="0.25">
      <c r="B83" s="787" t="s">
        <v>205</v>
      </c>
      <c r="C83" s="788"/>
      <c r="D83" s="788"/>
      <c r="E83" s="788"/>
      <c r="F83" s="788"/>
      <c r="G83" s="107">
        <f>SUM(G78:G82)</f>
        <v>32795</v>
      </c>
      <c r="H83" s="108">
        <f>SUM(H77:H82)</f>
        <v>175000</v>
      </c>
    </row>
    <row r="84" spans="2:12" ht="13.5" thickBot="1" x14ac:dyDescent="0.25"/>
    <row r="85" spans="2:12" ht="13.5" thickBot="1" x14ac:dyDescent="0.25">
      <c r="B85" s="789" t="s">
        <v>206</v>
      </c>
      <c r="C85" s="790"/>
      <c r="D85" s="790"/>
      <c r="E85" s="790"/>
      <c r="F85" s="791"/>
      <c r="G85" s="792">
        <f>+G64-H83</f>
        <v>1004160</v>
      </c>
      <c r="H85" s="791"/>
      <c r="J85" s="109">
        <f>C37+D37+E37+F37</f>
        <v>396240</v>
      </c>
      <c r="K85" s="16" t="s">
        <v>235</v>
      </c>
    </row>
    <row r="86" spans="2:12" x14ac:dyDescent="0.2">
      <c r="B86" s="110"/>
      <c r="F86" s="105"/>
      <c r="J86" s="109">
        <f>G37+H37+I37</f>
        <v>303555</v>
      </c>
      <c r="K86" s="16" t="s">
        <v>236</v>
      </c>
      <c r="L86" s="16">
        <f>+J86/3</f>
        <v>101185</v>
      </c>
    </row>
    <row r="87" spans="2:12" x14ac:dyDescent="0.2">
      <c r="C87" s="793" t="s">
        <v>207</v>
      </c>
      <c r="D87" s="794"/>
      <c r="E87" s="111" t="s">
        <v>208</v>
      </c>
      <c r="F87" s="111" t="s">
        <v>209</v>
      </c>
      <c r="G87" s="111" t="s">
        <v>210</v>
      </c>
      <c r="H87" s="111" t="s">
        <v>211</v>
      </c>
      <c r="J87" s="109">
        <f>J37+K37+L37</f>
        <v>319811</v>
      </c>
      <c r="K87" s="47" t="s">
        <v>237</v>
      </c>
    </row>
    <row r="88" spans="2:12" x14ac:dyDescent="0.2">
      <c r="C88" s="795" t="str">
        <f>IF(I6="M","0          - 250000","0          -  250000")</f>
        <v>0          - 250000</v>
      </c>
      <c r="D88" s="796"/>
      <c r="E88" s="112">
        <v>0</v>
      </c>
      <c r="F88" s="113">
        <f>IF(I6="M",(IF(G85&lt;250000,G85,250000)),(IF(G85&lt;250000,G85,250000)))</f>
        <v>250000</v>
      </c>
      <c r="G88" s="113">
        <f>G85-F88</f>
        <v>754160</v>
      </c>
      <c r="H88" s="113">
        <f>E88*F88</f>
        <v>0</v>
      </c>
      <c r="J88" s="16">
        <f>M37+N37</f>
        <v>205486</v>
      </c>
      <c r="K88" s="1" t="s">
        <v>238</v>
      </c>
      <c r="L88" s="16">
        <f>+J88/2</f>
        <v>102743</v>
      </c>
    </row>
    <row r="89" spans="2:12" x14ac:dyDescent="0.2">
      <c r="C89" s="795" t="str">
        <f>IF(I6="M","250001 - 500000","250001-500000")</f>
        <v>250001 - 500000</v>
      </c>
      <c r="D89" s="796"/>
      <c r="E89" s="112">
        <v>0.05</v>
      </c>
      <c r="F89" s="113">
        <f>IF(I6="M",(IF(G88&lt;250000,G88,250000)),(IF(G88&lt;250000,G88,250000)))</f>
        <v>250000</v>
      </c>
      <c r="G89" s="113">
        <f>G88-F89</f>
        <v>504160</v>
      </c>
      <c r="H89" s="114">
        <f>ROUND(E89*F89,0.1)</f>
        <v>12500</v>
      </c>
      <c r="J89" s="115">
        <f>SUM(J85:J88)</f>
        <v>1225092</v>
      </c>
    </row>
    <row r="90" spans="2:12" x14ac:dyDescent="0.2">
      <c r="C90" s="797" t="s">
        <v>212</v>
      </c>
      <c r="D90" s="798"/>
      <c r="E90" s="112">
        <v>0.2</v>
      </c>
      <c r="F90" s="113">
        <f>IF(G89&lt;500000,G89,500000)</f>
        <v>500000</v>
      </c>
      <c r="G90" s="113">
        <f>G89-F90</f>
        <v>4160</v>
      </c>
      <c r="H90" s="114">
        <f>ROUND(E90*F90,0.1)</f>
        <v>100000</v>
      </c>
      <c r="J90" s="16">
        <f>+G85</f>
        <v>1004160</v>
      </c>
    </row>
    <row r="91" spans="2:12" x14ac:dyDescent="0.2">
      <c r="C91" s="795" t="s">
        <v>213</v>
      </c>
      <c r="D91" s="796"/>
      <c r="E91" s="112">
        <v>0.3</v>
      </c>
      <c r="F91" s="113">
        <f>G90</f>
        <v>4160</v>
      </c>
      <c r="G91" s="113">
        <f>G90-F91</f>
        <v>0</v>
      </c>
      <c r="H91" s="114">
        <f>ROUND(E91*F91,0.1)</f>
        <v>1248</v>
      </c>
      <c r="J91" s="16">
        <f>+J89-J90</f>
        <v>220932</v>
      </c>
    </row>
    <row r="92" spans="2:12" ht="12.75" customHeight="1" thickBot="1" x14ac:dyDescent="0.25">
      <c r="B92" s="116"/>
      <c r="C92" s="117"/>
      <c r="D92" s="47"/>
      <c r="E92" s="47"/>
      <c r="F92" s="47"/>
      <c r="J92" s="87"/>
      <c r="K92" s="118"/>
    </row>
    <row r="93" spans="2:12" ht="13.5" thickBot="1" x14ac:dyDescent="0.25">
      <c r="B93" s="799" t="s">
        <v>239</v>
      </c>
      <c r="C93" s="800"/>
      <c r="D93" s="800"/>
      <c r="E93" s="800"/>
      <c r="F93" s="801"/>
      <c r="G93" s="771">
        <f>H88+H89+H90+H91</f>
        <v>113748</v>
      </c>
      <c r="H93" s="772"/>
    </row>
    <row r="94" spans="2:12" ht="13.5" thickBot="1" x14ac:dyDescent="0.25">
      <c r="B94" s="119" t="s">
        <v>215</v>
      </c>
      <c r="C94" s="120"/>
      <c r="D94" s="120"/>
      <c r="E94" s="120"/>
      <c r="F94" s="120"/>
      <c r="G94" s="884">
        <f>IF((G64&lt;500000),5000,0)</f>
        <v>0</v>
      </c>
      <c r="H94" s="885">
        <f>IF(H92&lt;200000,0,IF(H92&lt;220000,((H92-200000)*10%),IF(H92&lt;=500000,2000,IF(H92&gt;=500000,0))))</f>
        <v>0</v>
      </c>
      <c r="J94" s="1"/>
      <c r="K94" s="121"/>
      <c r="L94" s="121"/>
    </row>
    <row r="95" spans="2:12" ht="13.5" thickBot="1" x14ac:dyDescent="0.25">
      <c r="B95" s="122" t="s">
        <v>216</v>
      </c>
      <c r="C95" s="123"/>
      <c r="D95" s="123"/>
      <c r="E95" s="123"/>
      <c r="F95" s="123"/>
      <c r="G95" s="771">
        <f>IF((G93-G94)&lt;0,0,(G93-G94))</f>
        <v>113748</v>
      </c>
      <c r="H95" s="772"/>
      <c r="I95" s="37"/>
    </row>
    <row r="96" spans="2:12" ht="13.5" thickBot="1" x14ac:dyDescent="0.25">
      <c r="B96" s="773" t="s">
        <v>240</v>
      </c>
      <c r="C96" s="774"/>
      <c r="D96" s="774"/>
      <c r="E96" s="774"/>
      <c r="F96" s="775"/>
      <c r="G96" s="776">
        <f>ROUND((IF(G95&gt;0,(G95*4%),0)),0)</f>
        <v>4550</v>
      </c>
      <c r="H96" s="777"/>
      <c r="I96" s="37"/>
    </row>
    <row r="97" spans="2:9" ht="13.5" thickBot="1" x14ac:dyDescent="0.25">
      <c r="B97" s="778" t="s">
        <v>218</v>
      </c>
      <c r="C97" s="779"/>
      <c r="D97" s="779"/>
      <c r="E97" s="779"/>
      <c r="F97" s="779"/>
      <c r="G97" s="780">
        <f>G95+G96</f>
        <v>118298</v>
      </c>
      <c r="H97" s="781"/>
      <c r="I97" s="121"/>
    </row>
    <row r="98" spans="2:9" ht="13.5" thickBot="1" x14ac:dyDescent="0.25">
      <c r="B98" s="765" t="s">
        <v>219</v>
      </c>
      <c r="C98" s="766"/>
      <c r="D98" s="766"/>
      <c r="E98" s="766"/>
      <c r="F98" s="766"/>
      <c r="G98" s="767">
        <f>O38</f>
        <v>118305</v>
      </c>
      <c r="H98" s="768"/>
      <c r="I98" s="121"/>
    </row>
    <row r="99" spans="2:9" ht="13.5" thickBot="1" x14ac:dyDescent="0.25">
      <c r="B99" s="765" t="str">
        <f>IF(G99&gt;0,"TAX PAYABLE","TAX REFUND")</f>
        <v>TAX REFUND</v>
      </c>
      <c r="C99" s="766"/>
      <c r="D99" s="766"/>
      <c r="E99" s="766"/>
      <c r="F99" s="766"/>
      <c r="G99" s="767">
        <f>+G97-G98</f>
        <v>-7</v>
      </c>
      <c r="H99" s="768"/>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4">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G61:H61"/>
    <mergeCell ref="C62:F62"/>
    <mergeCell ref="G62:H62"/>
    <mergeCell ref="J62:O62"/>
    <mergeCell ref="J67:K67"/>
    <mergeCell ref="B64:F64"/>
    <mergeCell ref="G64:H64"/>
    <mergeCell ref="B61:F61"/>
    <mergeCell ref="J68:K68"/>
    <mergeCell ref="D69:F69"/>
    <mergeCell ref="D70:F70"/>
    <mergeCell ref="D71:F71"/>
    <mergeCell ref="D72:F72"/>
    <mergeCell ref="G85:H85"/>
    <mergeCell ref="D74:F74"/>
    <mergeCell ref="D75:F75"/>
    <mergeCell ref="D76:F76"/>
    <mergeCell ref="E77:F77"/>
    <mergeCell ref="D78:F78"/>
    <mergeCell ref="D79:F79"/>
    <mergeCell ref="D80:F80"/>
    <mergeCell ref="D81:F81"/>
    <mergeCell ref="D82:F82"/>
    <mergeCell ref="B83:F83"/>
    <mergeCell ref="B85:F85"/>
    <mergeCell ref="B68:B82"/>
    <mergeCell ref="C68:C74"/>
    <mergeCell ref="D68:F68"/>
    <mergeCell ref="D73:F73"/>
    <mergeCell ref="C87:D87"/>
    <mergeCell ref="C88:D88"/>
    <mergeCell ref="C89:D89"/>
    <mergeCell ref="C90:D90"/>
    <mergeCell ref="C91:D91"/>
    <mergeCell ref="B98:F98"/>
    <mergeCell ref="G98:H98"/>
    <mergeCell ref="B99:F99"/>
    <mergeCell ref="G99:H99"/>
    <mergeCell ref="G93:H93"/>
    <mergeCell ref="G94:H94"/>
    <mergeCell ref="G95:H95"/>
    <mergeCell ref="B96:F96"/>
    <mergeCell ref="G96:H96"/>
    <mergeCell ref="B97:F97"/>
    <mergeCell ref="G97:H97"/>
    <mergeCell ref="B93:F93"/>
  </mergeCells>
  <conditionalFormatting sqref="B90:F90 B99:F99 B93:F97">
    <cfRule type="cellIs" dxfId="2111" priority="1" stopIfTrue="1" operator="equal">
      <formula>"TAX PAYABLE"</formula>
    </cfRule>
    <cfRule type="cellIs" dxfId="2110" priority="2" stopIfTrue="1" operator="equal">
      <formula>"TAX REFUND"</formula>
    </cfRule>
  </conditionalFormatting>
  <conditionalFormatting sqref="G90:H90">
    <cfRule type="cellIs" dxfId="2109" priority="3" stopIfTrue="1" operator="lessThan">
      <formula>0</formula>
    </cfRule>
    <cfRule type="cellIs" dxfId="2108" priority="4" stopIfTrue="1" operator="greaterThan">
      <formula>0</formula>
    </cfRule>
  </conditionalFormatting>
  <conditionalFormatting sqref="G99:H99">
    <cfRule type="cellIs" dxfId="2107" priority="5" stopIfTrue="1" operator="greaterThan">
      <formula>0</formula>
    </cfRule>
    <cfRule type="cellIs" dxfId="2106" priority="6" stopIfTrue="1" operator="lessThanOrEqual">
      <formula>0</formula>
    </cfRule>
  </conditionalFormatting>
  <dataValidations disablePrompts="1"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hyperlinks>
    <hyperlink ref="J51" r:id="rId1" display="+J37-@sum(J22:J36)"/>
  </hyperlinks>
  <pageMargins left="0.75" right="0.75" top="1" bottom="1" header="0.5" footer="0.5"/>
  <headerFooter alignWithMargins="0"/>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09"/>
  <sheetViews>
    <sheetView topLeftCell="A65" workbookViewId="0">
      <selection activeCell="G70" sqref="G70"/>
    </sheetView>
  </sheetViews>
  <sheetFormatPr defaultRowHeight="12.75" x14ac:dyDescent="0.2"/>
  <cols>
    <col min="1" max="1" width="5" style="16" customWidth="1"/>
    <col min="2" max="2" width="18.140625" style="37" customWidth="1"/>
    <col min="3" max="3" width="10.7109375" style="16" bestFit="1" customWidth="1"/>
    <col min="4" max="4" width="6.7109375" style="16" bestFit="1" customWidth="1"/>
    <col min="5" max="5" width="8.5703125" style="16" bestFit="1" customWidth="1"/>
    <col min="6" max="6" width="9.28515625" style="16" bestFit="1" customWidth="1"/>
    <col min="7" max="7" width="10.42578125" style="16" bestFit="1" customWidth="1"/>
    <col min="8" max="8" width="10.28515625" style="16" bestFit="1" customWidth="1"/>
    <col min="9" max="9" width="7.140625" style="16" bestFit="1" customWidth="1"/>
    <col min="10" max="10" width="7.28515625" style="16" customWidth="1"/>
    <col min="11" max="12" width="7" style="16" bestFit="1" customWidth="1"/>
    <col min="13" max="13" width="6.85546875" style="16" bestFit="1" customWidth="1"/>
    <col min="14" max="14" width="7" style="16" bestFit="1" customWidth="1"/>
    <col min="15" max="15" width="8" style="16" bestFit="1"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8.140625" style="16" customWidth="1"/>
    <col min="259" max="259" width="10.7109375" style="16" bestFit="1" customWidth="1"/>
    <col min="260" max="260" width="6.7109375" style="16" bestFit="1" customWidth="1"/>
    <col min="261" max="261" width="8.5703125" style="16" bestFit="1" customWidth="1"/>
    <col min="262" max="262" width="9.28515625" style="16" bestFit="1" customWidth="1"/>
    <col min="263" max="263" width="10.42578125" style="16" bestFit="1" customWidth="1"/>
    <col min="264" max="264" width="10.28515625" style="16" bestFit="1" customWidth="1"/>
    <col min="265" max="265" width="7.140625" style="16" bestFit="1" customWidth="1"/>
    <col min="266" max="266" width="7.28515625" style="16" customWidth="1"/>
    <col min="267" max="268" width="7" style="16" bestFit="1" customWidth="1"/>
    <col min="269" max="269" width="6.85546875" style="16" bestFit="1" customWidth="1"/>
    <col min="270" max="270" width="7" style="16" bestFit="1" customWidth="1"/>
    <col min="271" max="271" width="7.140625" style="16" bestFit="1"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8.140625" style="16" customWidth="1"/>
    <col min="515" max="515" width="10.7109375" style="16" bestFit="1" customWidth="1"/>
    <col min="516" max="516" width="6.7109375" style="16" bestFit="1" customWidth="1"/>
    <col min="517" max="517" width="8.5703125" style="16" bestFit="1" customWidth="1"/>
    <col min="518" max="518" width="9.28515625" style="16" bestFit="1" customWidth="1"/>
    <col min="519" max="519" width="10.42578125" style="16" bestFit="1" customWidth="1"/>
    <col min="520" max="520" width="10.28515625" style="16" bestFit="1" customWidth="1"/>
    <col min="521" max="521" width="7.140625" style="16" bestFit="1" customWidth="1"/>
    <col min="522" max="522" width="7.28515625" style="16" customWidth="1"/>
    <col min="523" max="524" width="7" style="16" bestFit="1" customWidth="1"/>
    <col min="525" max="525" width="6.85546875" style="16" bestFit="1" customWidth="1"/>
    <col min="526" max="526" width="7" style="16" bestFit="1" customWidth="1"/>
    <col min="527" max="527" width="7.140625" style="16" bestFit="1"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8.140625" style="16" customWidth="1"/>
    <col min="771" max="771" width="10.7109375" style="16" bestFit="1" customWidth="1"/>
    <col min="772" max="772" width="6.7109375" style="16" bestFit="1" customWidth="1"/>
    <col min="773" max="773" width="8.5703125" style="16" bestFit="1" customWidth="1"/>
    <col min="774" max="774" width="9.28515625" style="16" bestFit="1" customWidth="1"/>
    <col min="775" max="775" width="10.42578125" style="16" bestFit="1" customWidth="1"/>
    <col min="776" max="776" width="10.28515625" style="16" bestFit="1" customWidth="1"/>
    <col min="777" max="777" width="7.140625" style="16" bestFit="1" customWidth="1"/>
    <col min="778" max="778" width="7.28515625" style="16" customWidth="1"/>
    <col min="779" max="780" width="7" style="16" bestFit="1" customWidth="1"/>
    <col min="781" max="781" width="6.85546875" style="16" bestFit="1" customWidth="1"/>
    <col min="782" max="782" width="7" style="16" bestFit="1" customWidth="1"/>
    <col min="783" max="783" width="7.140625" style="16" bestFit="1"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8.140625" style="16" customWidth="1"/>
    <col min="1027" max="1027" width="10.7109375" style="16" bestFit="1" customWidth="1"/>
    <col min="1028" max="1028" width="6.7109375" style="16" bestFit="1" customWidth="1"/>
    <col min="1029" max="1029" width="8.5703125" style="16" bestFit="1" customWidth="1"/>
    <col min="1030" max="1030" width="9.28515625" style="16" bestFit="1" customWidth="1"/>
    <col min="1031" max="1031" width="10.42578125" style="16" bestFit="1" customWidth="1"/>
    <col min="1032" max="1032" width="10.28515625" style="16" bestFit="1" customWidth="1"/>
    <col min="1033" max="1033" width="7.140625" style="16" bestFit="1" customWidth="1"/>
    <col min="1034" max="1034" width="7.28515625" style="16" customWidth="1"/>
    <col min="1035" max="1036" width="7" style="16" bestFit="1" customWidth="1"/>
    <col min="1037" max="1037" width="6.85546875" style="16" bestFit="1" customWidth="1"/>
    <col min="1038" max="1038" width="7" style="16" bestFit="1" customWidth="1"/>
    <col min="1039" max="1039" width="7.140625" style="16" bestFit="1"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8.140625" style="16" customWidth="1"/>
    <col min="1283" max="1283" width="10.7109375" style="16" bestFit="1" customWidth="1"/>
    <col min="1284" max="1284" width="6.7109375" style="16" bestFit="1" customWidth="1"/>
    <col min="1285" max="1285" width="8.5703125" style="16" bestFit="1" customWidth="1"/>
    <col min="1286" max="1286" width="9.28515625" style="16" bestFit="1" customWidth="1"/>
    <col min="1287" max="1287" width="10.42578125" style="16" bestFit="1" customWidth="1"/>
    <col min="1288" max="1288" width="10.28515625" style="16" bestFit="1" customWidth="1"/>
    <col min="1289" max="1289" width="7.140625" style="16" bestFit="1" customWidth="1"/>
    <col min="1290" max="1290" width="7.28515625" style="16" customWidth="1"/>
    <col min="1291" max="1292" width="7" style="16" bestFit="1" customWidth="1"/>
    <col min="1293" max="1293" width="6.85546875" style="16" bestFit="1" customWidth="1"/>
    <col min="1294" max="1294" width="7" style="16" bestFit="1" customWidth="1"/>
    <col min="1295" max="1295" width="7.140625" style="16" bestFit="1"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8.140625" style="16" customWidth="1"/>
    <col min="1539" max="1539" width="10.7109375" style="16" bestFit="1" customWidth="1"/>
    <col min="1540" max="1540" width="6.7109375" style="16" bestFit="1" customWidth="1"/>
    <col min="1541" max="1541" width="8.5703125" style="16" bestFit="1" customWidth="1"/>
    <col min="1542" max="1542" width="9.28515625" style="16" bestFit="1" customWidth="1"/>
    <col min="1543" max="1543" width="10.42578125" style="16" bestFit="1" customWidth="1"/>
    <col min="1544" max="1544" width="10.28515625" style="16" bestFit="1" customWidth="1"/>
    <col min="1545" max="1545" width="7.140625" style="16" bestFit="1" customWidth="1"/>
    <col min="1546" max="1546" width="7.28515625" style="16" customWidth="1"/>
    <col min="1547" max="1548" width="7" style="16" bestFit="1" customWidth="1"/>
    <col min="1549" max="1549" width="6.85546875" style="16" bestFit="1" customWidth="1"/>
    <col min="1550" max="1550" width="7" style="16" bestFit="1" customWidth="1"/>
    <col min="1551" max="1551" width="7.140625" style="16" bestFit="1"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8.140625" style="16" customWidth="1"/>
    <col min="1795" max="1795" width="10.7109375" style="16" bestFit="1" customWidth="1"/>
    <col min="1796" max="1796" width="6.7109375" style="16" bestFit="1" customWidth="1"/>
    <col min="1797" max="1797" width="8.5703125" style="16" bestFit="1" customWidth="1"/>
    <col min="1798" max="1798" width="9.28515625" style="16" bestFit="1" customWidth="1"/>
    <col min="1799" max="1799" width="10.42578125" style="16" bestFit="1" customWidth="1"/>
    <col min="1800" max="1800" width="10.28515625" style="16" bestFit="1" customWidth="1"/>
    <col min="1801" max="1801" width="7.140625" style="16" bestFit="1" customWidth="1"/>
    <col min="1802" max="1802" width="7.28515625" style="16" customWidth="1"/>
    <col min="1803" max="1804" width="7" style="16" bestFit="1" customWidth="1"/>
    <col min="1805" max="1805" width="6.85546875" style="16" bestFit="1" customWidth="1"/>
    <col min="1806" max="1806" width="7" style="16" bestFit="1" customWidth="1"/>
    <col min="1807" max="1807" width="7.140625" style="16" bestFit="1"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8.140625" style="16" customWidth="1"/>
    <col min="2051" max="2051" width="10.7109375" style="16" bestFit="1" customWidth="1"/>
    <col min="2052" max="2052" width="6.7109375" style="16" bestFit="1" customWidth="1"/>
    <col min="2053" max="2053" width="8.5703125" style="16" bestFit="1" customWidth="1"/>
    <col min="2054" max="2054" width="9.28515625" style="16" bestFit="1" customWidth="1"/>
    <col min="2055" max="2055" width="10.42578125" style="16" bestFit="1" customWidth="1"/>
    <col min="2056" max="2056" width="10.28515625" style="16" bestFit="1" customWidth="1"/>
    <col min="2057" max="2057" width="7.140625" style="16" bestFit="1" customWidth="1"/>
    <col min="2058" max="2058" width="7.28515625" style="16" customWidth="1"/>
    <col min="2059" max="2060" width="7" style="16" bestFit="1" customWidth="1"/>
    <col min="2061" max="2061" width="6.85546875" style="16" bestFit="1" customWidth="1"/>
    <col min="2062" max="2062" width="7" style="16" bestFit="1" customWidth="1"/>
    <col min="2063" max="2063" width="7.140625" style="16" bestFit="1"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8.140625" style="16" customWidth="1"/>
    <col min="2307" max="2307" width="10.7109375" style="16" bestFit="1" customWidth="1"/>
    <col min="2308" max="2308" width="6.7109375" style="16" bestFit="1" customWidth="1"/>
    <col min="2309" max="2309" width="8.5703125" style="16" bestFit="1" customWidth="1"/>
    <col min="2310" max="2310" width="9.28515625" style="16" bestFit="1" customWidth="1"/>
    <col min="2311" max="2311" width="10.42578125" style="16" bestFit="1" customWidth="1"/>
    <col min="2312" max="2312" width="10.28515625" style="16" bestFit="1" customWidth="1"/>
    <col min="2313" max="2313" width="7.140625" style="16" bestFit="1" customWidth="1"/>
    <col min="2314" max="2314" width="7.28515625" style="16" customWidth="1"/>
    <col min="2315" max="2316" width="7" style="16" bestFit="1" customWidth="1"/>
    <col min="2317" max="2317" width="6.85546875" style="16" bestFit="1" customWidth="1"/>
    <col min="2318" max="2318" width="7" style="16" bestFit="1" customWidth="1"/>
    <col min="2319" max="2319" width="7.140625" style="16" bestFit="1"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8.140625" style="16" customWidth="1"/>
    <col min="2563" max="2563" width="10.7109375" style="16" bestFit="1" customWidth="1"/>
    <col min="2564" max="2564" width="6.7109375" style="16" bestFit="1" customWidth="1"/>
    <col min="2565" max="2565" width="8.5703125" style="16" bestFit="1" customWidth="1"/>
    <col min="2566" max="2566" width="9.28515625" style="16" bestFit="1" customWidth="1"/>
    <col min="2567" max="2567" width="10.42578125" style="16" bestFit="1" customWidth="1"/>
    <col min="2568" max="2568" width="10.28515625" style="16" bestFit="1" customWidth="1"/>
    <col min="2569" max="2569" width="7.140625" style="16" bestFit="1" customWidth="1"/>
    <col min="2570" max="2570" width="7.28515625" style="16" customWidth="1"/>
    <col min="2571" max="2572" width="7" style="16" bestFit="1" customWidth="1"/>
    <col min="2573" max="2573" width="6.85546875" style="16" bestFit="1" customWidth="1"/>
    <col min="2574" max="2574" width="7" style="16" bestFit="1" customWidth="1"/>
    <col min="2575" max="2575" width="7.140625" style="16" bestFit="1"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8.140625" style="16" customWidth="1"/>
    <col min="2819" max="2819" width="10.7109375" style="16" bestFit="1" customWidth="1"/>
    <col min="2820" max="2820" width="6.7109375" style="16" bestFit="1" customWidth="1"/>
    <col min="2821" max="2821" width="8.5703125" style="16" bestFit="1" customWidth="1"/>
    <col min="2822" max="2822" width="9.28515625" style="16" bestFit="1" customWidth="1"/>
    <col min="2823" max="2823" width="10.42578125" style="16" bestFit="1" customWidth="1"/>
    <col min="2824" max="2824" width="10.28515625" style="16" bestFit="1" customWidth="1"/>
    <col min="2825" max="2825" width="7.140625" style="16" bestFit="1" customWidth="1"/>
    <col min="2826" max="2826" width="7.28515625" style="16" customWidth="1"/>
    <col min="2827" max="2828" width="7" style="16" bestFit="1" customWidth="1"/>
    <col min="2829" max="2829" width="6.85546875" style="16" bestFit="1" customWidth="1"/>
    <col min="2830" max="2830" width="7" style="16" bestFit="1" customWidth="1"/>
    <col min="2831" max="2831" width="7.140625" style="16" bestFit="1"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8.140625" style="16" customWidth="1"/>
    <col min="3075" max="3075" width="10.7109375" style="16" bestFit="1" customWidth="1"/>
    <col min="3076" max="3076" width="6.7109375" style="16" bestFit="1" customWidth="1"/>
    <col min="3077" max="3077" width="8.5703125" style="16" bestFit="1" customWidth="1"/>
    <col min="3078" max="3078" width="9.28515625" style="16" bestFit="1" customWidth="1"/>
    <col min="3079" max="3079" width="10.42578125" style="16" bestFit="1" customWidth="1"/>
    <col min="3080" max="3080" width="10.28515625" style="16" bestFit="1" customWidth="1"/>
    <col min="3081" max="3081" width="7.140625" style="16" bestFit="1" customWidth="1"/>
    <col min="3082" max="3082" width="7.28515625" style="16" customWidth="1"/>
    <col min="3083" max="3084" width="7" style="16" bestFit="1" customWidth="1"/>
    <col min="3085" max="3085" width="6.85546875" style="16" bestFit="1" customWidth="1"/>
    <col min="3086" max="3086" width="7" style="16" bestFit="1" customWidth="1"/>
    <col min="3087" max="3087" width="7.140625" style="16" bestFit="1"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8.140625" style="16" customWidth="1"/>
    <col min="3331" max="3331" width="10.7109375" style="16" bestFit="1" customWidth="1"/>
    <col min="3332" max="3332" width="6.7109375" style="16" bestFit="1" customWidth="1"/>
    <col min="3333" max="3333" width="8.5703125" style="16" bestFit="1" customWidth="1"/>
    <col min="3334" max="3334" width="9.28515625" style="16" bestFit="1" customWidth="1"/>
    <col min="3335" max="3335" width="10.42578125" style="16" bestFit="1" customWidth="1"/>
    <col min="3336" max="3336" width="10.28515625" style="16" bestFit="1" customWidth="1"/>
    <col min="3337" max="3337" width="7.140625" style="16" bestFit="1" customWidth="1"/>
    <col min="3338" max="3338" width="7.28515625" style="16" customWidth="1"/>
    <col min="3339" max="3340" width="7" style="16" bestFit="1" customWidth="1"/>
    <col min="3341" max="3341" width="6.85546875" style="16" bestFit="1" customWidth="1"/>
    <col min="3342" max="3342" width="7" style="16" bestFit="1" customWidth="1"/>
    <col min="3343" max="3343" width="7.140625" style="16" bestFit="1"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8.140625" style="16" customWidth="1"/>
    <col min="3587" max="3587" width="10.7109375" style="16" bestFit="1" customWidth="1"/>
    <col min="3588" max="3588" width="6.7109375" style="16" bestFit="1" customWidth="1"/>
    <col min="3589" max="3589" width="8.5703125" style="16" bestFit="1" customWidth="1"/>
    <col min="3590" max="3590" width="9.28515625" style="16" bestFit="1" customWidth="1"/>
    <col min="3591" max="3591" width="10.42578125" style="16" bestFit="1" customWidth="1"/>
    <col min="3592" max="3592" width="10.28515625" style="16" bestFit="1" customWidth="1"/>
    <col min="3593" max="3593" width="7.140625" style="16" bestFit="1" customWidth="1"/>
    <col min="3594" max="3594" width="7.28515625" style="16" customWidth="1"/>
    <col min="3595" max="3596" width="7" style="16" bestFit="1" customWidth="1"/>
    <col min="3597" max="3597" width="6.85546875" style="16" bestFit="1" customWidth="1"/>
    <col min="3598" max="3598" width="7" style="16" bestFit="1" customWidth="1"/>
    <col min="3599" max="3599" width="7.140625" style="16" bestFit="1"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8.140625" style="16" customWidth="1"/>
    <col min="3843" max="3843" width="10.7109375" style="16" bestFit="1" customWidth="1"/>
    <col min="3844" max="3844" width="6.7109375" style="16" bestFit="1" customWidth="1"/>
    <col min="3845" max="3845" width="8.5703125" style="16" bestFit="1" customWidth="1"/>
    <col min="3846" max="3846" width="9.28515625" style="16" bestFit="1" customWidth="1"/>
    <col min="3847" max="3847" width="10.42578125" style="16" bestFit="1" customWidth="1"/>
    <col min="3848" max="3848" width="10.28515625" style="16" bestFit="1" customWidth="1"/>
    <col min="3849" max="3849" width="7.140625" style="16" bestFit="1" customWidth="1"/>
    <col min="3850" max="3850" width="7.28515625" style="16" customWidth="1"/>
    <col min="3851" max="3852" width="7" style="16" bestFit="1" customWidth="1"/>
    <col min="3853" max="3853" width="6.85546875" style="16" bestFit="1" customWidth="1"/>
    <col min="3854" max="3854" width="7" style="16" bestFit="1" customWidth="1"/>
    <col min="3855" max="3855" width="7.140625" style="16" bestFit="1"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8.140625" style="16" customWidth="1"/>
    <col min="4099" max="4099" width="10.7109375" style="16" bestFit="1" customWidth="1"/>
    <col min="4100" max="4100" width="6.7109375" style="16" bestFit="1" customWidth="1"/>
    <col min="4101" max="4101" width="8.5703125" style="16" bestFit="1" customWidth="1"/>
    <col min="4102" max="4102" width="9.28515625" style="16" bestFit="1" customWidth="1"/>
    <col min="4103" max="4103" width="10.42578125" style="16" bestFit="1" customWidth="1"/>
    <col min="4104" max="4104" width="10.28515625" style="16" bestFit="1" customWidth="1"/>
    <col min="4105" max="4105" width="7.140625" style="16" bestFit="1" customWidth="1"/>
    <col min="4106" max="4106" width="7.28515625" style="16" customWidth="1"/>
    <col min="4107" max="4108" width="7" style="16" bestFit="1" customWidth="1"/>
    <col min="4109" max="4109" width="6.85546875" style="16" bestFit="1" customWidth="1"/>
    <col min="4110" max="4110" width="7" style="16" bestFit="1" customWidth="1"/>
    <col min="4111" max="4111" width="7.140625" style="16" bestFit="1"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8.140625" style="16" customWidth="1"/>
    <col min="4355" max="4355" width="10.7109375" style="16" bestFit="1" customWidth="1"/>
    <col min="4356" max="4356" width="6.7109375" style="16" bestFit="1" customWidth="1"/>
    <col min="4357" max="4357" width="8.5703125" style="16" bestFit="1" customWidth="1"/>
    <col min="4358" max="4358" width="9.28515625" style="16" bestFit="1" customWidth="1"/>
    <col min="4359" max="4359" width="10.42578125" style="16" bestFit="1" customWidth="1"/>
    <col min="4360" max="4360" width="10.28515625" style="16" bestFit="1" customWidth="1"/>
    <col min="4361" max="4361" width="7.140625" style="16" bestFit="1" customWidth="1"/>
    <col min="4362" max="4362" width="7.28515625" style="16" customWidth="1"/>
    <col min="4363" max="4364" width="7" style="16" bestFit="1" customWidth="1"/>
    <col min="4365" max="4365" width="6.85546875" style="16" bestFit="1" customWidth="1"/>
    <col min="4366" max="4366" width="7" style="16" bestFit="1" customWidth="1"/>
    <col min="4367" max="4367" width="7.140625" style="16" bestFit="1"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8.140625" style="16" customWidth="1"/>
    <col min="4611" max="4611" width="10.7109375" style="16" bestFit="1" customWidth="1"/>
    <col min="4612" max="4612" width="6.7109375" style="16" bestFit="1" customWidth="1"/>
    <col min="4613" max="4613" width="8.5703125" style="16" bestFit="1" customWidth="1"/>
    <col min="4614" max="4614" width="9.28515625" style="16" bestFit="1" customWidth="1"/>
    <col min="4615" max="4615" width="10.42578125" style="16" bestFit="1" customWidth="1"/>
    <col min="4616" max="4616" width="10.28515625" style="16" bestFit="1" customWidth="1"/>
    <col min="4617" max="4617" width="7.140625" style="16" bestFit="1" customWidth="1"/>
    <col min="4618" max="4618" width="7.28515625" style="16" customWidth="1"/>
    <col min="4619" max="4620" width="7" style="16" bestFit="1" customWidth="1"/>
    <col min="4621" max="4621" width="6.85546875" style="16" bestFit="1" customWidth="1"/>
    <col min="4622" max="4622" width="7" style="16" bestFit="1" customWidth="1"/>
    <col min="4623" max="4623" width="7.140625" style="16" bestFit="1"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8.140625" style="16" customWidth="1"/>
    <col min="4867" max="4867" width="10.7109375" style="16" bestFit="1" customWidth="1"/>
    <col min="4868" max="4868" width="6.7109375" style="16" bestFit="1" customWidth="1"/>
    <col min="4869" max="4869" width="8.5703125" style="16" bestFit="1" customWidth="1"/>
    <col min="4870" max="4870" width="9.28515625" style="16" bestFit="1" customWidth="1"/>
    <col min="4871" max="4871" width="10.42578125" style="16" bestFit="1" customWidth="1"/>
    <col min="4872" max="4872" width="10.28515625" style="16" bestFit="1" customWidth="1"/>
    <col min="4873" max="4873" width="7.140625" style="16" bestFit="1" customWidth="1"/>
    <col min="4874" max="4874" width="7.28515625" style="16" customWidth="1"/>
    <col min="4875" max="4876" width="7" style="16" bestFit="1" customWidth="1"/>
    <col min="4877" max="4877" width="6.85546875" style="16" bestFit="1" customWidth="1"/>
    <col min="4878" max="4878" width="7" style="16" bestFit="1" customWidth="1"/>
    <col min="4879" max="4879" width="7.140625" style="16" bestFit="1"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8.140625" style="16" customWidth="1"/>
    <col min="5123" max="5123" width="10.7109375" style="16" bestFit="1" customWidth="1"/>
    <col min="5124" max="5124" width="6.7109375" style="16" bestFit="1" customWidth="1"/>
    <col min="5125" max="5125" width="8.5703125" style="16" bestFit="1" customWidth="1"/>
    <col min="5126" max="5126" width="9.28515625" style="16" bestFit="1" customWidth="1"/>
    <col min="5127" max="5127" width="10.42578125" style="16" bestFit="1" customWidth="1"/>
    <col min="5128" max="5128" width="10.28515625" style="16" bestFit="1" customWidth="1"/>
    <col min="5129" max="5129" width="7.140625" style="16" bestFit="1" customWidth="1"/>
    <col min="5130" max="5130" width="7.28515625" style="16" customWidth="1"/>
    <col min="5131" max="5132" width="7" style="16" bestFit="1" customWidth="1"/>
    <col min="5133" max="5133" width="6.85546875" style="16" bestFit="1" customWidth="1"/>
    <col min="5134" max="5134" width="7" style="16" bestFit="1" customWidth="1"/>
    <col min="5135" max="5135" width="7.140625" style="16" bestFit="1"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8.140625" style="16" customWidth="1"/>
    <col min="5379" max="5379" width="10.7109375" style="16" bestFit="1" customWidth="1"/>
    <col min="5380" max="5380" width="6.7109375" style="16" bestFit="1" customWidth="1"/>
    <col min="5381" max="5381" width="8.5703125" style="16" bestFit="1" customWidth="1"/>
    <col min="5382" max="5382" width="9.28515625" style="16" bestFit="1" customWidth="1"/>
    <col min="5383" max="5383" width="10.42578125" style="16" bestFit="1" customWidth="1"/>
    <col min="5384" max="5384" width="10.28515625" style="16" bestFit="1" customWidth="1"/>
    <col min="5385" max="5385" width="7.140625" style="16" bestFit="1" customWidth="1"/>
    <col min="5386" max="5386" width="7.28515625" style="16" customWidth="1"/>
    <col min="5387" max="5388" width="7" style="16" bestFit="1" customWidth="1"/>
    <col min="5389" max="5389" width="6.85546875" style="16" bestFit="1" customWidth="1"/>
    <col min="5390" max="5390" width="7" style="16" bestFit="1" customWidth="1"/>
    <col min="5391" max="5391" width="7.140625" style="16" bestFit="1"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8.140625" style="16" customWidth="1"/>
    <col min="5635" max="5635" width="10.7109375" style="16" bestFit="1" customWidth="1"/>
    <col min="5636" max="5636" width="6.7109375" style="16" bestFit="1" customWidth="1"/>
    <col min="5637" max="5637" width="8.5703125" style="16" bestFit="1" customWidth="1"/>
    <col min="5638" max="5638" width="9.28515625" style="16" bestFit="1" customWidth="1"/>
    <col min="5639" max="5639" width="10.42578125" style="16" bestFit="1" customWidth="1"/>
    <col min="5640" max="5640" width="10.28515625" style="16" bestFit="1" customWidth="1"/>
    <col min="5641" max="5641" width="7.140625" style="16" bestFit="1" customWidth="1"/>
    <col min="5642" max="5642" width="7.28515625" style="16" customWidth="1"/>
    <col min="5643" max="5644" width="7" style="16" bestFit="1" customWidth="1"/>
    <col min="5645" max="5645" width="6.85546875" style="16" bestFit="1" customWidth="1"/>
    <col min="5646" max="5646" width="7" style="16" bestFit="1" customWidth="1"/>
    <col min="5647" max="5647" width="7.140625" style="16" bestFit="1"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8.140625" style="16" customWidth="1"/>
    <col min="5891" max="5891" width="10.7109375" style="16" bestFit="1" customWidth="1"/>
    <col min="5892" max="5892" width="6.7109375" style="16" bestFit="1" customWidth="1"/>
    <col min="5893" max="5893" width="8.5703125" style="16" bestFit="1" customWidth="1"/>
    <col min="5894" max="5894" width="9.28515625" style="16" bestFit="1" customWidth="1"/>
    <col min="5895" max="5895" width="10.42578125" style="16" bestFit="1" customWidth="1"/>
    <col min="5896" max="5896" width="10.28515625" style="16" bestFit="1" customWidth="1"/>
    <col min="5897" max="5897" width="7.140625" style="16" bestFit="1" customWidth="1"/>
    <col min="5898" max="5898" width="7.28515625" style="16" customWidth="1"/>
    <col min="5899" max="5900" width="7" style="16" bestFit="1" customWidth="1"/>
    <col min="5901" max="5901" width="6.85546875" style="16" bestFit="1" customWidth="1"/>
    <col min="5902" max="5902" width="7" style="16" bestFit="1" customWidth="1"/>
    <col min="5903" max="5903" width="7.140625" style="16" bestFit="1"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8.140625" style="16" customWidth="1"/>
    <col min="6147" max="6147" width="10.7109375" style="16" bestFit="1" customWidth="1"/>
    <col min="6148" max="6148" width="6.7109375" style="16" bestFit="1" customWidth="1"/>
    <col min="6149" max="6149" width="8.5703125" style="16" bestFit="1" customWidth="1"/>
    <col min="6150" max="6150" width="9.28515625" style="16" bestFit="1" customWidth="1"/>
    <col min="6151" max="6151" width="10.42578125" style="16" bestFit="1" customWidth="1"/>
    <col min="6152" max="6152" width="10.28515625" style="16" bestFit="1" customWidth="1"/>
    <col min="6153" max="6153" width="7.140625" style="16" bestFit="1" customWidth="1"/>
    <col min="6154" max="6154" width="7.28515625" style="16" customWidth="1"/>
    <col min="6155" max="6156" width="7" style="16" bestFit="1" customWidth="1"/>
    <col min="6157" max="6157" width="6.85546875" style="16" bestFit="1" customWidth="1"/>
    <col min="6158" max="6158" width="7" style="16" bestFit="1" customWidth="1"/>
    <col min="6159" max="6159" width="7.140625" style="16" bestFit="1"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8.140625" style="16" customWidth="1"/>
    <col min="6403" max="6403" width="10.7109375" style="16" bestFit="1" customWidth="1"/>
    <col min="6404" max="6404" width="6.7109375" style="16" bestFit="1" customWidth="1"/>
    <col min="6405" max="6405" width="8.5703125" style="16" bestFit="1" customWidth="1"/>
    <col min="6406" max="6406" width="9.28515625" style="16" bestFit="1" customWidth="1"/>
    <col min="6407" max="6407" width="10.42578125" style="16" bestFit="1" customWidth="1"/>
    <col min="6408" max="6408" width="10.28515625" style="16" bestFit="1" customWidth="1"/>
    <col min="6409" max="6409" width="7.140625" style="16" bestFit="1" customWidth="1"/>
    <col min="6410" max="6410" width="7.28515625" style="16" customWidth="1"/>
    <col min="6411" max="6412" width="7" style="16" bestFit="1" customWidth="1"/>
    <col min="6413" max="6413" width="6.85546875" style="16" bestFit="1" customWidth="1"/>
    <col min="6414" max="6414" width="7" style="16" bestFit="1" customWidth="1"/>
    <col min="6415" max="6415" width="7.140625" style="16" bestFit="1"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8.140625" style="16" customWidth="1"/>
    <col min="6659" max="6659" width="10.7109375" style="16" bestFit="1" customWidth="1"/>
    <col min="6660" max="6660" width="6.7109375" style="16" bestFit="1" customWidth="1"/>
    <col min="6661" max="6661" width="8.5703125" style="16" bestFit="1" customWidth="1"/>
    <col min="6662" max="6662" width="9.28515625" style="16" bestFit="1" customWidth="1"/>
    <col min="6663" max="6663" width="10.42578125" style="16" bestFit="1" customWidth="1"/>
    <col min="6664" max="6664" width="10.28515625" style="16" bestFit="1" customWidth="1"/>
    <col min="6665" max="6665" width="7.140625" style="16" bestFit="1" customWidth="1"/>
    <col min="6666" max="6666" width="7.28515625" style="16" customWidth="1"/>
    <col min="6667" max="6668" width="7" style="16" bestFit="1" customWidth="1"/>
    <col min="6669" max="6669" width="6.85546875" style="16" bestFit="1" customWidth="1"/>
    <col min="6670" max="6670" width="7" style="16" bestFit="1" customWidth="1"/>
    <col min="6671" max="6671" width="7.140625" style="16" bestFit="1"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8.140625" style="16" customWidth="1"/>
    <col min="6915" max="6915" width="10.7109375" style="16" bestFit="1" customWidth="1"/>
    <col min="6916" max="6916" width="6.7109375" style="16" bestFit="1" customWidth="1"/>
    <col min="6917" max="6917" width="8.5703125" style="16" bestFit="1" customWidth="1"/>
    <col min="6918" max="6918" width="9.28515625" style="16" bestFit="1" customWidth="1"/>
    <col min="6919" max="6919" width="10.42578125" style="16" bestFit="1" customWidth="1"/>
    <col min="6920" max="6920" width="10.28515625" style="16" bestFit="1" customWidth="1"/>
    <col min="6921" max="6921" width="7.140625" style="16" bestFit="1" customWidth="1"/>
    <col min="6922" max="6922" width="7.28515625" style="16" customWidth="1"/>
    <col min="6923" max="6924" width="7" style="16" bestFit="1" customWidth="1"/>
    <col min="6925" max="6925" width="6.85546875" style="16" bestFit="1" customWidth="1"/>
    <col min="6926" max="6926" width="7" style="16" bestFit="1" customWidth="1"/>
    <col min="6927" max="6927" width="7.140625" style="16" bestFit="1"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8.140625" style="16" customWidth="1"/>
    <col min="7171" max="7171" width="10.7109375" style="16" bestFit="1" customWidth="1"/>
    <col min="7172" max="7172" width="6.7109375" style="16" bestFit="1" customWidth="1"/>
    <col min="7173" max="7173" width="8.5703125" style="16" bestFit="1" customWidth="1"/>
    <col min="7174" max="7174" width="9.28515625" style="16" bestFit="1" customWidth="1"/>
    <col min="7175" max="7175" width="10.42578125" style="16" bestFit="1" customWidth="1"/>
    <col min="7176" max="7176" width="10.28515625" style="16" bestFit="1" customWidth="1"/>
    <col min="7177" max="7177" width="7.140625" style="16" bestFit="1" customWidth="1"/>
    <col min="7178" max="7178" width="7.28515625" style="16" customWidth="1"/>
    <col min="7179" max="7180" width="7" style="16" bestFit="1" customWidth="1"/>
    <col min="7181" max="7181" width="6.85546875" style="16" bestFit="1" customWidth="1"/>
    <col min="7182" max="7182" width="7" style="16" bestFit="1" customWidth="1"/>
    <col min="7183" max="7183" width="7.140625" style="16" bestFit="1"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8.140625" style="16" customWidth="1"/>
    <col min="7427" max="7427" width="10.7109375" style="16" bestFit="1" customWidth="1"/>
    <col min="7428" max="7428" width="6.7109375" style="16" bestFit="1" customWidth="1"/>
    <col min="7429" max="7429" width="8.5703125" style="16" bestFit="1" customWidth="1"/>
    <col min="7430" max="7430" width="9.28515625" style="16" bestFit="1" customWidth="1"/>
    <col min="7431" max="7431" width="10.42578125" style="16" bestFit="1" customWidth="1"/>
    <col min="7432" max="7432" width="10.28515625" style="16" bestFit="1" customWidth="1"/>
    <col min="7433" max="7433" width="7.140625" style="16" bestFit="1" customWidth="1"/>
    <col min="7434" max="7434" width="7.28515625" style="16" customWidth="1"/>
    <col min="7435" max="7436" width="7" style="16" bestFit="1" customWidth="1"/>
    <col min="7437" max="7437" width="6.85546875" style="16" bestFit="1" customWidth="1"/>
    <col min="7438" max="7438" width="7" style="16" bestFit="1" customWidth="1"/>
    <col min="7439" max="7439" width="7.140625" style="16" bestFit="1"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8.140625" style="16" customWidth="1"/>
    <col min="7683" max="7683" width="10.7109375" style="16" bestFit="1" customWidth="1"/>
    <col min="7684" max="7684" width="6.7109375" style="16" bestFit="1" customWidth="1"/>
    <col min="7685" max="7685" width="8.5703125" style="16" bestFit="1" customWidth="1"/>
    <col min="7686" max="7686" width="9.28515625" style="16" bestFit="1" customWidth="1"/>
    <col min="7687" max="7687" width="10.42578125" style="16" bestFit="1" customWidth="1"/>
    <col min="7688" max="7688" width="10.28515625" style="16" bestFit="1" customWidth="1"/>
    <col min="7689" max="7689" width="7.140625" style="16" bestFit="1" customWidth="1"/>
    <col min="7690" max="7690" width="7.28515625" style="16" customWidth="1"/>
    <col min="7691" max="7692" width="7" style="16" bestFit="1" customWidth="1"/>
    <col min="7693" max="7693" width="6.85546875" style="16" bestFit="1" customWidth="1"/>
    <col min="7694" max="7694" width="7" style="16" bestFit="1" customWidth="1"/>
    <col min="7695" max="7695" width="7.140625" style="16" bestFit="1"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8.140625" style="16" customWidth="1"/>
    <col min="7939" max="7939" width="10.7109375" style="16" bestFit="1" customWidth="1"/>
    <col min="7940" max="7940" width="6.7109375" style="16" bestFit="1" customWidth="1"/>
    <col min="7941" max="7941" width="8.5703125" style="16" bestFit="1" customWidth="1"/>
    <col min="7942" max="7942" width="9.28515625" style="16" bestFit="1" customWidth="1"/>
    <col min="7943" max="7943" width="10.42578125" style="16" bestFit="1" customWidth="1"/>
    <col min="7944" max="7944" width="10.28515625" style="16" bestFit="1" customWidth="1"/>
    <col min="7945" max="7945" width="7.140625" style="16" bestFit="1" customWidth="1"/>
    <col min="7946" max="7946" width="7.28515625" style="16" customWidth="1"/>
    <col min="7947" max="7948" width="7" style="16" bestFit="1" customWidth="1"/>
    <col min="7949" max="7949" width="6.85546875" style="16" bestFit="1" customWidth="1"/>
    <col min="7950" max="7950" width="7" style="16" bestFit="1" customWidth="1"/>
    <col min="7951" max="7951" width="7.140625" style="16" bestFit="1"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8.140625" style="16" customWidth="1"/>
    <col min="8195" max="8195" width="10.7109375" style="16" bestFit="1" customWidth="1"/>
    <col min="8196" max="8196" width="6.7109375" style="16" bestFit="1" customWidth="1"/>
    <col min="8197" max="8197" width="8.5703125" style="16" bestFit="1" customWidth="1"/>
    <col min="8198" max="8198" width="9.28515625" style="16" bestFit="1" customWidth="1"/>
    <col min="8199" max="8199" width="10.42578125" style="16" bestFit="1" customWidth="1"/>
    <col min="8200" max="8200" width="10.28515625" style="16" bestFit="1" customWidth="1"/>
    <col min="8201" max="8201" width="7.140625" style="16" bestFit="1" customWidth="1"/>
    <col min="8202" max="8202" width="7.28515625" style="16" customWidth="1"/>
    <col min="8203" max="8204" width="7" style="16" bestFit="1" customWidth="1"/>
    <col min="8205" max="8205" width="6.85546875" style="16" bestFit="1" customWidth="1"/>
    <col min="8206" max="8206" width="7" style="16" bestFit="1" customWidth="1"/>
    <col min="8207" max="8207" width="7.140625" style="16" bestFit="1"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8.140625" style="16" customWidth="1"/>
    <col min="8451" max="8451" width="10.7109375" style="16" bestFit="1" customWidth="1"/>
    <col min="8452" max="8452" width="6.7109375" style="16" bestFit="1" customWidth="1"/>
    <col min="8453" max="8453" width="8.5703125" style="16" bestFit="1" customWidth="1"/>
    <col min="8454" max="8454" width="9.28515625" style="16" bestFit="1" customWidth="1"/>
    <col min="8455" max="8455" width="10.42578125" style="16" bestFit="1" customWidth="1"/>
    <col min="8456" max="8456" width="10.28515625" style="16" bestFit="1" customWidth="1"/>
    <col min="8457" max="8457" width="7.140625" style="16" bestFit="1" customWidth="1"/>
    <col min="8458" max="8458" width="7.28515625" style="16" customWidth="1"/>
    <col min="8459" max="8460" width="7" style="16" bestFit="1" customWidth="1"/>
    <col min="8461" max="8461" width="6.85546875" style="16" bestFit="1" customWidth="1"/>
    <col min="8462" max="8462" width="7" style="16" bestFit="1" customWidth="1"/>
    <col min="8463" max="8463" width="7.140625" style="16" bestFit="1"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8.140625" style="16" customWidth="1"/>
    <col min="8707" max="8707" width="10.7109375" style="16" bestFit="1" customWidth="1"/>
    <col min="8708" max="8708" width="6.7109375" style="16" bestFit="1" customWidth="1"/>
    <col min="8709" max="8709" width="8.5703125" style="16" bestFit="1" customWidth="1"/>
    <col min="8710" max="8710" width="9.28515625" style="16" bestFit="1" customWidth="1"/>
    <col min="8711" max="8711" width="10.42578125" style="16" bestFit="1" customWidth="1"/>
    <col min="8712" max="8712" width="10.28515625" style="16" bestFit="1" customWidth="1"/>
    <col min="8713" max="8713" width="7.140625" style="16" bestFit="1" customWidth="1"/>
    <col min="8714" max="8714" width="7.28515625" style="16" customWidth="1"/>
    <col min="8715" max="8716" width="7" style="16" bestFit="1" customWidth="1"/>
    <col min="8717" max="8717" width="6.85546875" style="16" bestFit="1" customWidth="1"/>
    <col min="8718" max="8718" width="7" style="16" bestFit="1" customWidth="1"/>
    <col min="8719" max="8719" width="7.140625" style="16" bestFit="1"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8.140625" style="16" customWidth="1"/>
    <col min="8963" max="8963" width="10.7109375" style="16" bestFit="1" customWidth="1"/>
    <col min="8964" max="8964" width="6.7109375" style="16" bestFit="1" customWidth="1"/>
    <col min="8965" max="8965" width="8.5703125" style="16" bestFit="1" customWidth="1"/>
    <col min="8966" max="8966" width="9.28515625" style="16" bestFit="1" customWidth="1"/>
    <col min="8967" max="8967" width="10.42578125" style="16" bestFit="1" customWidth="1"/>
    <col min="8968" max="8968" width="10.28515625" style="16" bestFit="1" customWidth="1"/>
    <col min="8969" max="8969" width="7.140625" style="16" bestFit="1" customWidth="1"/>
    <col min="8970" max="8970" width="7.28515625" style="16" customWidth="1"/>
    <col min="8971" max="8972" width="7" style="16" bestFit="1" customWidth="1"/>
    <col min="8973" max="8973" width="6.85546875" style="16" bestFit="1" customWidth="1"/>
    <col min="8974" max="8974" width="7" style="16" bestFit="1" customWidth="1"/>
    <col min="8975" max="8975" width="7.140625" style="16" bestFit="1"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8.140625" style="16" customWidth="1"/>
    <col min="9219" max="9219" width="10.7109375" style="16" bestFit="1" customWidth="1"/>
    <col min="9220" max="9220" width="6.7109375" style="16" bestFit="1" customWidth="1"/>
    <col min="9221" max="9221" width="8.5703125" style="16" bestFit="1" customWidth="1"/>
    <col min="9222" max="9222" width="9.28515625" style="16" bestFit="1" customWidth="1"/>
    <col min="9223" max="9223" width="10.42578125" style="16" bestFit="1" customWidth="1"/>
    <col min="9224" max="9224" width="10.28515625" style="16" bestFit="1" customWidth="1"/>
    <col min="9225" max="9225" width="7.140625" style="16" bestFit="1" customWidth="1"/>
    <col min="9226" max="9226" width="7.28515625" style="16" customWidth="1"/>
    <col min="9227" max="9228" width="7" style="16" bestFit="1" customWidth="1"/>
    <col min="9229" max="9229" width="6.85546875" style="16" bestFit="1" customWidth="1"/>
    <col min="9230" max="9230" width="7" style="16" bestFit="1" customWidth="1"/>
    <col min="9231" max="9231" width="7.140625" style="16" bestFit="1"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8.140625" style="16" customWidth="1"/>
    <col min="9475" max="9475" width="10.7109375" style="16" bestFit="1" customWidth="1"/>
    <col min="9476" max="9476" width="6.7109375" style="16" bestFit="1" customWidth="1"/>
    <col min="9477" max="9477" width="8.5703125" style="16" bestFit="1" customWidth="1"/>
    <col min="9478" max="9478" width="9.28515625" style="16" bestFit="1" customWidth="1"/>
    <col min="9479" max="9479" width="10.42578125" style="16" bestFit="1" customWidth="1"/>
    <col min="9480" max="9480" width="10.28515625" style="16" bestFit="1" customWidth="1"/>
    <col min="9481" max="9481" width="7.140625" style="16" bestFit="1" customWidth="1"/>
    <col min="9482" max="9482" width="7.28515625" style="16" customWidth="1"/>
    <col min="9483" max="9484" width="7" style="16" bestFit="1" customWidth="1"/>
    <col min="9485" max="9485" width="6.85546875" style="16" bestFit="1" customWidth="1"/>
    <col min="9486" max="9486" width="7" style="16" bestFit="1" customWidth="1"/>
    <col min="9487" max="9487" width="7.140625" style="16" bestFit="1"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8.140625" style="16" customWidth="1"/>
    <col min="9731" max="9731" width="10.7109375" style="16" bestFit="1" customWidth="1"/>
    <col min="9732" max="9732" width="6.7109375" style="16" bestFit="1" customWidth="1"/>
    <col min="9733" max="9733" width="8.5703125" style="16" bestFit="1" customWidth="1"/>
    <col min="9734" max="9734" width="9.28515625" style="16" bestFit="1" customWidth="1"/>
    <col min="9735" max="9735" width="10.42578125" style="16" bestFit="1" customWidth="1"/>
    <col min="9736" max="9736" width="10.28515625" style="16" bestFit="1" customWidth="1"/>
    <col min="9737" max="9737" width="7.140625" style="16" bestFit="1" customWidth="1"/>
    <col min="9738" max="9738" width="7.28515625" style="16" customWidth="1"/>
    <col min="9739" max="9740" width="7" style="16" bestFit="1" customWidth="1"/>
    <col min="9741" max="9741" width="6.85546875" style="16" bestFit="1" customWidth="1"/>
    <col min="9742" max="9742" width="7" style="16" bestFit="1" customWidth="1"/>
    <col min="9743" max="9743" width="7.140625" style="16" bestFit="1"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8.140625" style="16" customWidth="1"/>
    <col min="9987" max="9987" width="10.7109375" style="16" bestFit="1" customWidth="1"/>
    <col min="9988" max="9988" width="6.7109375" style="16" bestFit="1" customWidth="1"/>
    <col min="9989" max="9989" width="8.5703125" style="16" bestFit="1" customWidth="1"/>
    <col min="9990" max="9990" width="9.28515625" style="16" bestFit="1" customWidth="1"/>
    <col min="9991" max="9991" width="10.42578125" style="16" bestFit="1" customWidth="1"/>
    <col min="9992" max="9992" width="10.28515625" style="16" bestFit="1" customWidth="1"/>
    <col min="9993" max="9993" width="7.140625" style="16" bestFit="1" customWidth="1"/>
    <col min="9994" max="9994" width="7.28515625" style="16" customWidth="1"/>
    <col min="9995" max="9996" width="7" style="16" bestFit="1" customWidth="1"/>
    <col min="9997" max="9997" width="6.85546875" style="16" bestFit="1" customWidth="1"/>
    <col min="9998" max="9998" width="7" style="16" bestFit="1" customWidth="1"/>
    <col min="9999" max="9999" width="7.140625" style="16" bestFit="1"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8.140625" style="16" customWidth="1"/>
    <col min="10243" max="10243" width="10.7109375" style="16" bestFit="1" customWidth="1"/>
    <col min="10244" max="10244" width="6.7109375" style="16" bestFit="1" customWidth="1"/>
    <col min="10245" max="10245" width="8.5703125" style="16" bestFit="1" customWidth="1"/>
    <col min="10246" max="10246" width="9.28515625" style="16" bestFit="1" customWidth="1"/>
    <col min="10247" max="10247" width="10.42578125" style="16" bestFit="1" customWidth="1"/>
    <col min="10248" max="10248" width="10.28515625" style="16" bestFit="1" customWidth="1"/>
    <col min="10249" max="10249" width="7.140625" style="16" bestFit="1" customWidth="1"/>
    <col min="10250" max="10250" width="7.28515625" style="16" customWidth="1"/>
    <col min="10251" max="10252" width="7" style="16" bestFit="1" customWidth="1"/>
    <col min="10253" max="10253" width="6.85546875" style="16" bestFit="1" customWidth="1"/>
    <col min="10254" max="10254" width="7" style="16" bestFit="1" customWidth="1"/>
    <col min="10255" max="10255" width="7.140625" style="16" bestFit="1"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8.140625" style="16" customWidth="1"/>
    <col min="10499" max="10499" width="10.7109375" style="16" bestFit="1" customWidth="1"/>
    <col min="10500" max="10500" width="6.7109375" style="16" bestFit="1" customWidth="1"/>
    <col min="10501" max="10501" width="8.5703125" style="16" bestFit="1" customWidth="1"/>
    <col min="10502" max="10502" width="9.28515625" style="16" bestFit="1" customWidth="1"/>
    <col min="10503" max="10503" width="10.42578125" style="16" bestFit="1" customWidth="1"/>
    <col min="10504" max="10504" width="10.28515625" style="16" bestFit="1" customWidth="1"/>
    <col min="10505" max="10505" width="7.140625" style="16" bestFit="1" customWidth="1"/>
    <col min="10506" max="10506" width="7.28515625" style="16" customWidth="1"/>
    <col min="10507" max="10508" width="7" style="16" bestFit="1" customWidth="1"/>
    <col min="10509" max="10509" width="6.85546875" style="16" bestFit="1" customWidth="1"/>
    <col min="10510" max="10510" width="7" style="16" bestFit="1" customWidth="1"/>
    <col min="10511" max="10511" width="7.140625" style="16" bestFit="1"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8.140625" style="16" customWidth="1"/>
    <col min="10755" max="10755" width="10.7109375" style="16" bestFit="1" customWidth="1"/>
    <col min="10756" max="10756" width="6.7109375" style="16" bestFit="1" customWidth="1"/>
    <col min="10757" max="10757" width="8.5703125" style="16" bestFit="1" customWidth="1"/>
    <col min="10758" max="10758" width="9.28515625" style="16" bestFit="1" customWidth="1"/>
    <col min="10759" max="10759" width="10.42578125" style="16" bestFit="1" customWidth="1"/>
    <col min="10760" max="10760" width="10.28515625" style="16" bestFit="1" customWidth="1"/>
    <col min="10761" max="10761" width="7.140625" style="16" bestFit="1" customWidth="1"/>
    <col min="10762" max="10762" width="7.28515625" style="16" customWidth="1"/>
    <col min="10763" max="10764" width="7" style="16" bestFit="1" customWidth="1"/>
    <col min="10765" max="10765" width="6.85546875" style="16" bestFit="1" customWidth="1"/>
    <col min="10766" max="10766" width="7" style="16" bestFit="1" customWidth="1"/>
    <col min="10767" max="10767" width="7.140625" style="16" bestFit="1"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8.140625" style="16" customWidth="1"/>
    <col min="11011" max="11011" width="10.7109375" style="16" bestFit="1" customWidth="1"/>
    <col min="11012" max="11012" width="6.7109375" style="16" bestFit="1" customWidth="1"/>
    <col min="11013" max="11013" width="8.5703125" style="16" bestFit="1" customWidth="1"/>
    <col min="11014" max="11014" width="9.28515625" style="16" bestFit="1" customWidth="1"/>
    <col min="11015" max="11015" width="10.42578125" style="16" bestFit="1" customWidth="1"/>
    <col min="11016" max="11016" width="10.28515625" style="16" bestFit="1" customWidth="1"/>
    <col min="11017" max="11017" width="7.140625" style="16" bestFit="1" customWidth="1"/>
    <col min="11018" max="11018" width="7.28515625" style="16" customWidth="1"/>
    <col min="11019" max="11020" width="7" style="16" bestFit="1" customWidth="1"/>
    <col min="11021" max="11021" width="6.85546875" style="16" bestFit="1" customWidth="1"/>
    <col min="11022" max="11022" width="7" style="16" bestFit="1" customWidth="1"/>
    <col min="11023" max="11023" width="7.140625" style="16" bestFit="1"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8.140625" style="16" customWidth="1"/>
    <col min="11267" max="11267" width="10.7109375" style="16" bestFit="1" customWidth="1"/>
    <col min="11268" max="11268" width="6.7109375" style="16" bestFit="1" customWidth="1"/>
    <col min="11269" max="11269" width="8.5703125" style="16" bestFit="1" customWidth="1"/>
    <col min="11270" max="11270" width="9.28515625" style="16" bestFit="1" customWidth="1"/>
    <col min="11271" max="11271" width="10.42578125" style="16" bestFit="1" customWidth="1"/>
    <col min="11272" max="11272" width="10.28515625" style="16" bestFit="1" customWidth="1"/>
    <col min="11273" max="11273" width="7.140625" style="16" bestFit="1" customWidth="1"/>
    <col min="11274" max="11274" width="7.28515625" style="16" customWidth="1"/>
    <col min="11275" max="11276" width="7" style="16" bestFit="1" customWidth="1"/>
    <col min="11277" max="11277" width="6.85546875" style="16" bestFit="1" customWidth="1"/>
    <col min="11278" max="11278" width="7" style="16" bestFit="1" customWidth="1"/>
    <col min="11279" max="11279" width="7.140625" style="16" bestFit="1"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8.140625" style="16" customWidth="1"/>
    <col min="11523" max="11523" width="10.7109375" style="16" bestFit="1" customWidth="1"/>
    <col min="11524" max="11524" width="6.7109375" style="16" bestFit="1" customWidth="1"/>
    <col min="11525" max="11525" width="8.5703125" style="16" bestFit="1" customWidth="1"/>
    <col min="11526" max="11526" width="9.28515625" style="16" bestFit="1" customWidth="1"/>
    <col min="11527" max="11527" width="10.42578125" style="16" bestFit="1" customWidth="1"/>
    <col min="11528" max="11528" width="10.28515625" style="16" bestFit="1" customWidth="1"/>
    <col min="11529" max="11529" width="7.140625" style="16" bestFit="1" customWidth="1"/>
    <col min="11530" max="11530" width="7.28515625" style="16" customWidth="1"/>
    <col min="11531" max="11532" width="7" style="16" bestFit="1" customWidth="1"/>
    <col min="11533" max="11533" width="6.85546875" style="16" bestFit="1" customWidth="1"/>
    <col min="11534" max="11534" width="7" style="16" bestFit="1" customWidth="1"/>
    <col min="11535" max="11535" width="7.140625" style="16" bestFit="1"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8.140625" style="16" customWidth="1"/>
    <col min="11779" max="11779" width="10.7109375" style="16" bestFit="1" customWidth="1"/>
    <col min="11780" max="11780" width="6.7109375" style="16" bestFit="1" customWidth="1"/>
    <col min="11781" max="11781" width="8.5703125" style="16" bestFit="1" customWidth="1"/>
    <col min="11782" max="11782" width="9.28515625" style="16" bestFit="1" customWidth="1"/>
    <col min="11783" max="11783" width="10.42578125" style="16" bestFit="1" customWidth="1"/>
    <col min="11784" max="11784" width="10.28515625" style="16" bestFit="1" customWidth="1"/>
    <col min="11785" max="11785" width="7.140625" style="16" bestFit="1" customWidth="1"/>
    <col min="11786" max="11786" width="7.28515625" style="16" customWidth="1"/>
    <col min="11787" max="11788" width="7" style="16" bestFit="1" customWidth="1"/>
    <col min="11789" max="11789" width="6.85546875" style="16" bestFit="1" customWidth="1"/>
    <col min="11790" max="11790" width="7" style="16" bestFit="1" customWidth="1"/>
    <col min="11791" max="11791" width="7.140625" style="16" bestFit="1"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8.140625" style="16" customWidth="1"/>
    <col min="12035" max="12035" width="10.7109375" style="16" bestFit="1" customWidth="1"/>
    <col min="12036" max="12036" width="6.7109375" style="16" bestFit="1" customWidth="1"/>
    <col min="12037" max="12037" width="8.5703125" style="16" bestFit="1" customWidth="1"/>
    <col min="12038" max="12038" width="9.28515625" style="16" bestFit="1" customWidth="1"/>
    <col min="12039" max="12039" width="10.42578125" style="16" bestFit="1" customWidth="1"/>
    <col min="12040" max="12040" width="10.28515625" style="16" bestFit="1" customWidth="1"/>
    <col min="12041" max="12041" width="7.140625" style="16" bestFit="1" customWidth="1"/>
    <col min="12042" max="12042" width="7.28515625" style="16" customWidth="1"/>
    <col min="12043" max="12044" width="7" style="16" bestFit="1" customWidth="1"/>
    <col min="12045" max="12045" width="6.85546875" style="16" bestFit="1" customWidth="1"/>
    <col min="12046" max="12046" width="7" style="16" bestFit="1" customWidth="1"/>
    <col min="12047" max="12047" width="7.140625" style="16" bestFit="1"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8.140625" style="16" customWidth="1"/>
    <col min="12291" max="12291" width="10.7109375" style="16" bestFit="1" customWidth="1"/>
    <col min="12292" max="12292" width="6.7109375" style="16" bestFit="1" customWidth="1"/>
    <col min="12293" max="12293" width="8.5703125" style="16" bestFit="1" customWidth="1"/>
    <col min="12294" max="12294" width="9.28515625" style="16" bestFit="1" customWidth="1"/>
    <col min="12295" max="12295" width="10.42578125" style="16" bestFit="1" customWidth="1"/>
    <col min="12296" max="12296" width="10.28515625" style="16" bestFit="1" customWidth="1"/>
    <col min="12297" max="12297" width="7.140625" style="16" bestFit="1" customWidth="1"/>
    <col min="12298" max="12298" width="7.28515625" style="16" customWidth="1"/>
    <col min="12299" max="12300" width="7" style="16" bestFit="1" customWidth="1"/>
    <col min="12301" max="12301" width="6.85546875" style="16" bestFit="1" customWidth="1"/>
    <col min="12302" max="12302" width="7" style="16" bestFit="1" customWidth="1"/>
    <col min="12303" max="12303" width="7.140625" style="16" bestFit="1"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8.140625" style="16" customWidth="1"/>
    <col min="12547" max="12547" width="10.7109375" style="16" bestFit="1" customWidth="1"/>
    <col min="12548" max="12548" width="6.7109375" style="16" bestFit="1" customWidth="1"/>
    <col min="12549" max="12549" width="8.5703125" style="16" bestFit="1" customWidth="1"/>
    <col min="12550" max="12550" width="9.28515625" style="16" bestFit="1" customWidth="1"/>
    <col min="12551" max="12551" width="10.42578125" style="16" bestFit="1" customWidth="1"/>
    <col min="12552" max="12552" width="10.28515625" style="16" bestFit="1" customWidth="1"/>
    <col min="12553" max="12553" width="7.140625" style="16" bestFit="1" customWidth="1"/>
    <col min="12554" max="12554" width="7.28515625" style="16" customWidth="1"/>
    <col min="12555" max="12556" width="7" style="16" bestFit="1" customWidth="1"/>
    <col min="12557" max="12557" width="6.85546875" style="16" bestFit="1" customWidth="1"/>
    <col min="12558" max="12558" width="7" style="16" bestFit="1" customWidth="1"/>
    <col min="12559" max="12559" width="7.140625" style="16" bestFit="1"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8.140625" style="16" customWidth="1"/>
    <col min="12803" max="12803" width="10.7109375" style="16" bestFit="1" customWidth="1"/>
    <col min="12804" max="12804" width="6.7109375" style="16" bestFit="1" customWidth="1"/>
    <col min="12805" max="12805" width="8.5703125" style="16" bestFit="1" customWidth="1"/>
    <col min="12806" max="12806" width="9.28515625" style="16" bestFit="1" customWidth="1"/>
    <col min="12807" max="12807" width="10.42578125" style="16" bestFit="1" customWidth="1"/>
    <col min="12808" max="12808" width="10.28515625" style="16" bestFit="1" customWidth="1"/>
    <col min="12809" max="12809" width="7.140625" style="16" bestFit="1" customWidth="1"/>
    <col min="12810" max="12810" width="7.28515625" style="16" customWidth="1"/>
    <col min="12811" max="12812" width="7" style="16" bestFit="1" customWidth="1"/>
    <col min="12813" max="12813" width="6.85546875" style="16" bestFit="1" customWidth="1"/>
    <col min="12814" max="12814" width="7" style="16" bestFit="1" customWidth="1"/>
    <col min="12815" max="12815" width="7.140625" style="16" bestFit="1"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8.140625" style="16" customWidth="1"/>
    <col min="13059" max="13059" width="10.7109375" style="16" bestFit="1" customWidth="1"/>
    <col min="13060" max="13060" width="6.7109375" style="16" bestFit="1" customWidth="1"/>
    <col min="13061" max="13061" width="8.5703125" style="16" bestFit="1" customWidth="1"/>
    <col min="13062" max="13062" width="9.28515625" style="16" bestFit="1" customWidth="1"/>
    <col min="13063" max="13063" width="10.42578125" style="16" bestFit="1" customWidth="1"/>
    <col min="13064" max="13064" width="10.28515625" style="16" bestFit="1" customWidth="1"/>
    <col min="13065" max="13065" width="7.140625" style="16" bestFit="1" customWidth="1"/>
    <col min="13066" max="13066" width="7.28515625" style="16" customWidth="1"/>
    <col min="13067" max="13068" width="7" style="16" bestFit="1" customWidth="1"/>
    <col min="13069" max="13069" width="6.85546875" style="16" bestFit="1" customWidth="1"/>
    <col min="13070" max="13070" width="7" style="16" bestFit="1" customWidth="1"/>
    <col min="13071" max="13071" width="7.140625" style="16" bestFit="1"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8.140625" style="16" customWidth="1"/>
    <col min="13315" max="13315" width="10.7109375" style="16" bestFit="1" customWidth="1"/>
    <col min="13316" max="13316" width="6.7109375" style="16" bestFit="1" customWidth="1"/>
    <col min="13317" max="13317" width="8.5703125" style="16" bestFit="1" customWidth="1"/>
    <col min="13318" max="13318" width="9.28515625" style="16" bestFit="1" customWidth="1"/>
    <col min="13319" max="13319" width="10.42578125" style="16" bestFit="1" customWidth="1"/>
    <col min="13320" max="13320" width="10.28515625" style="16" bestFit="1" customWidth="1"/>
    <col min="13321" max="13321" width="7.140625" style="16" bestFit="1" customWidth="1"/>
    <col min="13322" max="13322" width="7.28515625" style="16" customWidth="1"/>
    <col min="13323" max="13324" width="7" style="16" bestFit="1" customWidth="1"/>
    <col min="13325" max="13325" width="6.85546875" style="16" bestFit="1" customWidth="1"/>
    <col min="13326" max="13326" width="7" style="16" bestFit="1" customWidth="1"/>
    <col min="13327" max="13327" width="7.140625" style="16" bestFit="1"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8.140625" style="16" customWidth="1"/>
    <col min="13571" max="13571" width="10.7109375" style="16" bestFit="1" customWidth="1"/>
    <col min="13572" max="13572" width="6.7109375" style="16" bestFit="1" customWidth="1"/>
    <col min="13573" max="13573" width="8.5703125" style="16" bestFit="1" customWidth="1"/>
    <col min="13574" max="13574" width="9.28515625" style="16" bestFit="1" customWidth="1"/>
    <col min="13575" max="13575" width="10.42578125" style="16" bestFit="1" customWidth="1"/>
    <col min="13576" max="13576" width="10.28515625" style="16" bestFit="1" customWidth="1"/>
    <col min="13577" max="13577" width="7.140625" style="16" bestFit="1" customWidth="1"/>
    <col min="13578" max="13578" width="7.28515625" style="16" customWidth="1"/>
    <col min="13579" max="13580" width="7" style="16" bestFit="1" customWidth="1"/>
    <col min="13581" max="13581" width="6.85546875" style="16" bestFit="1" customWidth="1"/>
    <col min="13582" max="13582" width="7" style="16" bestFit="1" customWidth="1"/>
    <col min="13583" max="13583" width="7.140625" style="16" bestFit="1"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8.140625" style="16" customWidth="1"/>
    <col min="13827" max="13827" width="10.7109375" style="16" bestFit="1" customWidth="1"/>
    <col min="13828" max="13828" width="6.7109375" style="16" bestFit="1" customWidth="1"/>
    <col min="13829" max="13829" width="8.5703125" style="16" bestFit="1" customWidth="1"/>
    <col min="13830" max="13830" width="9.28515625" style="16" bestFit="1" customWidth="1"/>
    <col min="13831" max="13831" width="10.42578125" style="16" bestFit="1" customWidth="1"/>
    <col min="13832" max="13832" width="10.28515625" style="16" bestFit="1" customWidth="1"/>
    <col min="13833" max="13833" width="7.140625" style="16" bestFit="1" customWidth="1"/>
    <col min="13834" max="13834" width="7.28515625" style="16" customWidth="1"/>
    <col min="13835" max="13836" width="7" style="16" bestFit="1" customWidth="1"/>
    <col min="13837" max="13837" width="6.85546875" style="16" bestFit="1" customWidth="1"/>
    <col min="13838" max="13838" width="7" style="16" bestFit="1" customWidth="1"/>
    <col min="13839" max="13839" width="7.140625" style="16" bestFit="1"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8.140625" style="16" customWidth="1"/>
    <col min="14083" max="14083" width="10.7109375" style="16" bestFit="1" customWidth="1"/>
    <col min="14084" max="14084" width="6.7109375" style="16" bestFit="1" customWidth="1"/>
    <col min="14085" max="14085" width="8.5703125" style="16" bestFit="1" customWidth="1"/>
    <col min="14086" max="14086" width="9.28515625" style="16" bestFit="1" customWidth="1"/>
    <col min="14087" max="14087" width="10.42578125" style="16" bestFit="1" customWidth="1"/>
    <col min="14088" max="14088" width="10.28515625" style="16" bestFit="1" customWidth="1"/>
    <col min="14089" max="14089" width="7.140625" style="16" bestFit="1" customWidth="1"/>
    <col min="14090" max="14090" width="7.28515625" style="16" customWidth="1"/>
    <col min="14091" max="14092" width="7" style="16" bestFit="1" customWidth="1"/>
    <col min="14093" max="14093" width="6.85546875" style="16" bestFit="1" customWidth="1"/>
    <col min="14094" max="14094" width="7" style="16" bestFit="1" customWidth="1"/>
    <col min="14095" max="14095" width="7.140625" style="16" bestFit="1"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8.140625" style="16" customWidth="1"/>
    <col min="14339" max="14339" width="10.7109375" style="16" bestFit="1" customWidth="1"/>
    <col min="14340" max="14340" width="6.7109375" style="16" bestFit="1" customWidth="1"/>
    <col min="14341" max="14341" width="8.5703125" style="16" bestFit="1" customWidth="1"/>
    <col min="14342" max="14342" width="9.28515625" style="16" bestFit="1" customWidth="1"/>
    <col min="14343" max="14343" width="10.42578125" style="16" bestFit="1" customWidth="1"/>
    <col min="14344" max="14344" width="10.28515625" style="16" bestFit="1" customWidth="1"/>
    <col min="14345" max="14345" width="7.140625" style="16" bestFit="1" customWidth="1"/>
    <col min="14346" max="14346" width="7.28515625" style="16" customWidth="1"/>
    <col min="14347" max="14348" width="7" style="16" bestFit="1" customWidth="1"/>
    <col min="14349" max="14349" width="6.85546875" style="16" bestFit="1" customWidth="1"/>
    <col min="14350" max="14350" width="7" style="16" bestFit="1" customWidth="1"/>
    <col min="14351" max="14351" width="7.140625" style="16" bestFit="1"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8.140625" style="16" customWidth="1"/>
    <col min="14595" max="14595" width="10.7109375" style="16" bestFit="1" customWidth="1"/>
    <col min="14596" max="14596" width="6.7109375" style="16" bestFit="1" customWidth="1"/>
    <col min="14597" max="14597" width="8.5703125" style="16" bestFit="1" customWidth="1"/>
    <col min="14598" max="14598" width="9.28515625" style="16" bestFit="1" customWidth="1"/>
    <col min="14599" max="14599" width="10.42578125" style="16" bestFit="1" customWidth="1"/>
    <col min="14600" max="14600" width="10.28515625" style="16" bestFit="1" customWidth="1"/>
    <col min="14601" max="14601" width="7.140625" style="16" bestFit="1" customWidth="1"/>
    <col min="14602" max="14602" width="7.28515625" style="16" customWidth="1"/>
    <col min="14603" max="14604" width="7" style="16" bestFit="1" customWidth="1"/>
    <col min="14605" max="14605" width="6.85546875" style="16" bestFit="1" customWidth="1"/>
    <col min="14606" max="14606" width="7" style="16" bestFit="1" customWidth="1"/>
    <col min="14607" max="14607" width="7.140625" style="16" bestFit="1"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8.140625" style="16" customWidth="1"/>
    <col min="14851" max="14851" width="10.7109375" style="16" bestFit="1" customWidth="1"/>
    <col min="14852" max="14852" width="6.7109375" style="16" bestFit="1" customWidth="1"/>
    <col min="14853" max="14853" width="8.5703125" style="16" bestFit="1" customWidth="1"/>
    <col min="14854" max="14854" width="9.28515625" style="16" bestFit="1" customWidth="1"/>
    <col min="14855" max="14855" width="10.42578125" style="16" bestFit="1" customWidth="1"/>
    <col min="14856" max="14856" width="10.28515625" style="16" bestFit="1" customWidth="1"/>
    <col min="14857" max="14857" width="7.140625" style="16" bestFit="1" customWidth="1"/>
    <col min="14858" max="14858" width="7.28515625" style="16" customWidth="1"/>
    <col min="14859" max="14860" width="7" style="16" bestFit="1" customWidth="1"/>
    <col min="14861" max="14861" width="6.85546875" style="16" bestFit="1" customWidth="1"/>
    <col min="14862" max="14862" width="7" style="16" bestFit="1" customWidth="1"/>
    <col min="14863" max="14863" width="7.140625" style="16" bestFit="1"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8.140625" style="16" customWidth="1"/>
    <col min="15107" max="15107" width="10.7109375" style="16" bestFit="1" customWidth="1"/>
    <col min="15108" max="15108" width="6.7109375" style="16" bestFit="1" customWidth="1"/>
    <col min="15109" max="15109" width="8.5703125" style="16" bestFit="1" customWidth="1"/>
    <col min="15110" max="15110" width="9.28515625" style="16" bestFit="1" customWidth="1"/>
    <col min="15111" max="15111" width="10.42578125" style="16" bestFit="1" customWidth="1"/>
    <col min="15112" max="15112" width="10.28515625" style="16" bestFit="1" customWidth="1"/>
    <col min="15113" max="15113" width="7.140625" style="16" bestFit="1" customWidth="1"/>
    <col min="15114" max="15114" width="7.28515625" style="16" customWidth="1"/>
    <col min="15115" max="15116" width="7" style="16" bestFit="1" customWidth="1"/>
    <col min="15117" max="15117" width="6.85546875" style="16" bestFit="1" customWidth="1"/>
    <col min="15118" max="15118" width="7" style="16" bestFit="1" customWidth="1"/>
    <col min="15119" max="15119" width="7.140625" style="16" bestFit="1"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8.140625" style="16" customWidth="1"/>
    <col min="15363" max="15363" width="10.7109375" style="16" bestFit="1" customWidth="1"/>
    <col min="15364" max="15364" width="6.7109375" style="16" bestFit="1" customWidth="1"/>
    <col min="15365" max="15365" width="8.5703125" style="16" bestFit="1" customWidth="1"/>
    <col min="15366" max="15366" width="9.28515625" style="16" bestFit="1" customWidth="1"/>
    <col min="15367" max="15367" width="10.42578125" style="16" bestFit="1" customWidth="1"/>
    <col min="15368" max="15368" width="10.28515625" style="16" bestFit="1" customWidth="1"/>
    <col min="15369" max="15369" width="7.140625" style="16" bestFit="1" customWidth="1"/>
    <col min="15370" max="15370" width="7.28515625" style="16" customWidth="1"/>
    <col min="15371" max="15372" width="7" style="16" bestFit="1" customWidth="1"/>
    <col min="15373" max="15373" width="6.85546875" style="16" bestFit="1" customWidth="1"/>
    <col min="15374" max="15374" width="7" style="16" bestFit="1" customWidth="1"/>
    <col min="15375" max="15375" width="7.140625" style="16" bestFit="1"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8.140625" style="16" customWidth="1"/>
    <col min="15619" max="15619" width="10.7109375" style="16" bestFit="1" customWidth="1"/>
    <col min="15620" max="15620" width="6.7109375" style="16" bestFit="1" customWidth="1"/>
    <col min="15621" max="15621" width="8.5703125" style="16" bestFit="1" customWidth="1"/>
    <col min="15622" max="15622" width="9.28515625" style="16" bestFit="1" customWidth="1"/>
    <col min="15623" max="15623" width="10.42578125" style="16" bestFit="1" customWidth="1"/>
    <col min="15624" max="15624" width="10.28515625" style="16" bestFit="1" customWidth="1"/>
    <col min="15625" max="15625" width="7.140625" style="16" bestFit="1" customWidth="1"/>
    <col min="15626" max="15626" width="7.28515625" style="16" customWidth="1"/>
    <col min="15627" max="15628" width="7" style="16" bestFit="1" customWidth="1"/>
    <col min="15629" max="15629" width="6.85546875" style="16" bestFit="1" customWidth="1"/>
    <col min="15630" max="15630" width="7" style="16" bestFit="1" customWidth="1"/>
    <col min="15631" max="15631" width="7.140625" style="16" bestFit="1"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8.140625" style="16" customWidth="1"/>
    <col min="15875" max="15875" width="10.7109375" style="16" bestFit="1" customWidth="1"/>
    <col min="15876" max="15876" width="6.7109375" style="16" bestFit="1" customWidth="1"/>
    <col min="15877" max="15877" width="8.5703125" style="16" bestFit="1" customWidth="1"/>
    <col min="15878" max="15878" width="9.28515625" style="16" bestFit="1" customWidth="1"/>
    <col min="15879" max="15879" width="10.42578125" style="16" bestFit="1" customWidth="1"/>
    <col min="15880" max="15880" width="10.28515625" style="16" bestFit="1" customWidth="1"/>
    <col min="15881" max="15881" width="7.140625" style="16" bestFit="1" customWidth="1"/>
    <col min="15882" max="15882" width="7.28515625" style="16" customWidth="1"/>
    <col min="15883" max="15884" width="7" style="16" bestFit="1" customWidth="1"/>
    <col min="15885" max="15885" width="6.85546875" style="16" bestFit="1" customWidth="1"/>
    <col min="15886" max="15886" width="7" style="16" bestFit="1" customWidth="1"/>
    <col min="15887" max="15887" width="7.140625" style="16" bestFit="1"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8.140625" style="16" customWidth="1"/>
    <col min="16131" max="16131" width="10.7109375" style="16" bestFit="1" customWidth="1"/>
    <col min="16132" max="16132" width="6.7109375" style="16" bestFit="1" customWidth="1"/>
    <col min="16133" max="16133" width="8.5703125" style="16" bestFit="1" customWidth="1"/>
    <col min="16134" max="16134" width="9.28515625" style="16" bestFit="1" customWidth="1"/>
    <col min="16135" max="16135" width="10.42578125" style="16" bestFit="1" customWidth="1"/>
    <col min="16136" max="16136" width="10.28515625" style="16" bestFit="1" customWidth="1"/>
    <col min="16137" max="16137" width="7.140625" style="16" bestFit="1" customWidth="1"/>
    <col min="16138" max="16138" width="7.28515625" style="16" customWidth="1"/>
    <col min="16139" max="16140" width="7" style="16" bestFit="1" customWidth="1"/>
    <col min="16141" max="16141" width="6.85546875" style="16" bestFit="1" customWidth="1"/>
    <col min="16142" max="16142" width="7" style="16" bestFit="1" customWidth="1"/>
    <col min="16143" max="16143" width="7.140625" style="16" bestFit="1"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67" t="s">
        <v>449</v>
      </c>
      <c r="B1" s="868"/>
      <c r="C1" s="868"/>
      <c r="D1" s="869"/>
      <c r="E1" s="868"/>
      <c r="F1" s="868"/>
      <c r="G1" s="867" t="s">
        <v>102</v>
      </c>
      <c r="H1" s="869"/>
      <c r="I1" s="869" t="s">
        <v>450</v>
      </c>
      <c r="J1" s="868"/>
      <c r="K1" s="868"/>
      <c r="L1" s="870"/>
      <c r="M1" s="870"/>
      <c r="N1" s="870"/>
      <c r="O1" s="870"/>
    </row>
    <row r="2" spans="1:15" s="1" customFormat="1" x14ac:dyDescent="0.2">
      <c r="A2" s="867" t="s">
        <v>103</v>
      </c>
      <c r="B2" s="868"/>
      <c r="C2" s="868"/>
      <c r="D2" s="869"/>
      <c r="E2" s="868"/>
      <c r="F2" s="868"/>
      <c r="G2" s="867" t="s">
        <v>104</v>
      </c>
      <c r="H2" s="869"/>
      <c r="I2" s="869" t="s">
        <v>105</v>
      </c>
      <c r="J2" s="868"/>
      <c r="K2" s="868"/>
      <c r="L2" s="870"/>
      <c r="M2" s="870"/>
      <c r="N2" s="870"/>
      <c r="O2" s="870"/>
    </row>
    <row r="3" spans="1:15" s="1" customFormat="1" x14ac:dyDescent="0.2">
      <c r="A3" s="867" t="s">
        <v>106</v>
      </c>
      <c r="B3" s="868"/>
      <c r="C3" s="868"/>
      <c r="D3" s="881">
        <v>24633</v>
      </c>
      <c r="E3" s="882"/>
      <c r="F3" s="882"/>
      <c r="G3" s="867" t="s">
        <v>107</v>
      </c>
      <c r="H3" s="869"/>
      <c r="I3" s="869" t="s">
        <v>108</v>
      </c>
      <c r="J3" s="868"/>
      <c r="K3" s="868"/>
      <c r="L3" s="870"/>
      <c r="M3" s="870"/>
      <c r="N3" s="870"/>
      <c r="O3" s="870"/>
    </row>
    <row r="4" spans="1:15" s="1" customFormat="1" x14ac:dyDescent="0.2">
      <c r="A4" s="867" t="s">
        <v>109</v>
      </c>
      <c r="B4" s="868"/>
      <c r="C4" s="868"/>
      <c r="D4" s="883"/>
      <c r="E4" s="868"/>
      <c r="F4" s="868"/>
      <c r="G4" s="867" t="s">
        <v>110</v>
      </c>
      <c r="H4" s="869"/>
      <c r="I4" s="869" t="s">
        <v>392</v>
      </c>
      <c r="J4" s="868"/>
      <c r="K4" s="868"/>
      <c r="L4" s="870"/>
      <c r="M4" s="870"/>
      <c r="N4" s="870"/>
      <c r="O4" s="870"/>
    </row>
    <row r="5" spans="1:15" s="1" customFormat="1" x14ac:dyDescent="0.2">
      <c r="A5" s="867" t="s">
        <v>443</v>
      </c>
      <c r="B5" s="868"/>
      <c r="C5" s="868"/>
      <c r="D5" s="869" t="s">
        <v>451</v>
      </c>
      <c r="E5" s="868"/>
      <c r="F5" s="868"/>
      <c r="G5" s="867"/>
      <c r="H5" s="868"/>
      <c r="I5" s="869" t="s">
        <v>113</v>
      </c>
      <c r="J5" s="868"/>
      <c r="K5" s="868"/>
      <c r="L5" s="870"/>
      <c r="M5" s="870"/>
      <c r="N5" s="870"/>
      <c r="O5" s="870"/>
    </row>
    <row r="6" spans="1:15" s="1" customFormat="1" x14ac:dyDescent="0.2">
      <c r="A6" s="871" t="s">
        <v>114</v>
      </c>
      <c r="B6" s="872"/>
      <c r="C6" s="872"/>
      <c r="D6" s="868" t="s">
        <v>36</v>
      </c>
      <c r="E6" s="868"/>
      <c r="F6" s="868"/>
      <c r="G6" s="871" t="s">
        <v>115</v>
      </c>
      <c r="H6" s="871"/>
      <c r="I6" s="2" t="s">
        <v>116</v>
      </c>
      <c r="J6" s="888"/>
      <c r="K6" s="888"/>
      <c r="L6" s="888"/>
      <c r="M6" s="888"/>
      <c r="N6" s="888"/>
      <c r="O6" s="889"/>
    </row>
    <row r="7" spans="1:15" s="1" customFormat="1" ht="13.5" thickBot="1" x14ac:dyDescent="0.25">
      <c r="A7" s="3"/>
      <c r="B7" s="4"/>
      <c r="C7" s="5"/>
      <c r="D7" s="6"/>
      <c r="E7" s="6"/>
      <c r="F7" s="6"/>
      <c r="G7" s="6"/>
      <c r="H7" s="6"/>
      <c r="I7" s="6"/>
      <c r="J7" s="7"/>
      <c r="K7" s="8"/>
      <c r="L7" s="875" t="s">
        <v>223</v>
      </c>
      <c r="M7" s="875"/>
      <c r="N7" s="875"/>
      <c r="O7" s="875"/>
    </row>
    <row r="8" spans="1:15" s="11" customFormat="1" x14ac:dyDescent="0.2">
      <c r="A8" s="876" t="str">
        <f>I1</f>
        <v>Mr. Deepak B. Nagpure</v>
      </c>
      <c r="B8" s="877"/>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66000</v>
      </c>
      <c r="D9" s="14">
        <f>+C9</f>
        <v>66000</v>
      </c>
      <c r="E9" s="14">
        <f t="shared" ref="E9:M9" si="0">+D9</f>
        <v>66000</v>
      </c>
      <c r="F9" s="14">
        <f t="shared" si="0"/>
        <v>66000</v>
      </c>
      <c r="G9" s="14">
        <v>68000</v>
      </c>
      <c r="H9" s="14">
        <f t="shared" si="0"/>
        <v>68000</v>
      </c>
      <c r="I9" s="14">
        <f t="shared" si="0"/>
        <v>68000</v>
      </c>
      <c r="J9" s="14">
        <f t="shared" si="0"/>
        <v>68000</v>
      </c>
      <c r="K9" s="14">
        <f t="shared" si="0"/>
        <v>68000</v>
      </c>
      <c r="L9" s="14">
        <f t="shared" si="0"/>
        <v>68000</v>
      </c>
      <c r="M9" s="14">
        <f t="shared" si="0"/>
        <v>68000</v>
      </c>
      <c r="N9" s="14">
        <v>0</v>
      </c>
      <c r="O9" s="15">
        <f>SUM(C9:N9)</f>
        <v>740000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3300</v>
      </c>
      <c r="D11" s="17">
        <v>4620</v>
      </c>
      <c r="E11" s="17">
        <v>4620</v>
      </c>
      <c r="F11" s="17">
        <v>4620</v>
      </c>
      <c r="G11" s="17">
        <v>4760</v>
      </c>
      <c r="H11" s="17">
        <v>4760</v>
      </c>
      <c r="I11" s="17">
        <v>4760</v>
      </c>
      <c r="J11" s="17">
        <v>6120</v>
      </c>
      <c r="K11" s="17">
        <v>6120</v>
      </c>
      <c r="L11" s="17">
        <v>6120</v>
      </c>
      <c r="M11" s="17">
        <v>6120</v>
      </c>
      <c r="N11" s="17">
        <v>0</v>
      </c>
      <c r="O11" s="18">
        <f>SUM(C11:N11)</f>
        <v>55920</v>
      </c>
    </row>
    <row r="12" spans="1:15"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7" si="1">SUM(C13:N13)</f>
        <v>0</v>
      </c>
    </row>
    <row r="14" spans="1:15" ht="15" x14ac:dyDescent="0.2">
      <c r="A14" s="12"/>
      <c r="B14" s="13" t="s">
        <v>123</v>
      </c>
      <c r="C14" s="17">
        <v>3780</v>
      </c>
      <c r="D14" s="17">
        <v>3852</v>
      </c>
      <c r="E14" s="17">
        <v>3852</v>
      </c>
      <c r="F14" s="17">
        <v>3852</v>
      </c>
      <c r="G14" s="17">
        <v>3852</v>
      </c>
      <c r="H14" s="17">
        <v>3852</v>
      </c>
      <c r="I14" s="17">
        <v>3852</v>
      </c>
      <c r="J14" s="17">
        <v>3924</v>
      </c>
      <c r="K14" s="17">
        <v>3924</v>
      </c>
      <c r="L14" s="17">
        <v>3924</v>
      </c>
      <c r="M14" s="17">
        <v>3924</v>
      </c>
      <c r="N14" s="17">
        <v>0</v>
      </c>
      <c r="O14" s="18">
        <f t="shared" si="1"/>
        <v>42588</v>
      </c>
    </row>
    <row r="15" spans="1:15"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1"/>
        <v>0</v>
      </c>
    </row>
    <row r="16" spans="1:15" ht="15" hidden="1" x14ac:dyDescent="0.2">
      <c r="A16" s="12"/>
      <c r="B16" s="13" t="s">
        <v>125</v>
      </c>
      <c r="C16" s="17">
        <v>0</v>
      </c>
      <c r="D16" s="17">
        <v>0</v>
      </c>
      <c r="E16" s="17">
        <v>0</v>
      </c>
      <c r="F16" s="17">
        <v>0</v>
      </c>
      <c r="G16" s="17">
        <v>0</v>
      </c>
      <c r="H16" s="17">
        <v>0</v>
      </c>
      <c r="I16" s="17">
        <v>0</v>
      </c>
      <c r="J16" s="17">
        <v>0</v>
      </c>
      <c r="K16" s="17">
        <v>0</v>
      </c>
      <c r="L16" s="17">
        <v>0</v>
      </c>
      <c r="M16" s="17">
        <v>0</v>
      </c>
      <c r="N16" s="17">
        <v>0</v>
      </c>
      <c r="O16" s="18">
        <f t="shared" si="1"/>
        <v>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1"/>
        <v>0</v>
      </c>
    </row>
    <row r="18" spans="1:15"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1"/>
        <v>0</v>
      </c>
    </row>
    <row r="19" spans="1:15" ht="15" x14ac:dyDescent="0.2">
      <c r="A19" s="12"/>
      <c r="B19" s="13" t="s">
        <v>128</v>
      </c>
      <c r="C19" s="17">
        <v>15840</v>
      </c>
      <c r="D19" s="17">
        <v>15840</v>
      </c>
      <c r="E19" s="17">
        <v>15840</v>
      </c>
      <c r="F19" s="17">
        <v>15840</v>
      </c>
      <c r="G19" s="17">
        <v>16320</v>
      </c>
      <c r="H19" s="17">
        <v>16320</v>
      </c>
      <c r="I19" s="17">
        <v>16320</v>
      </c>
      <c r="J19" s="17">
        <v>16320</v>
      </c>
      <c r="K19" s="17">
        <v>16320</v>
      </c>
      <c r="L19" s="17">
        <v>16320</v>
      </c>
      <c r="M19" s="17">
        <v>16320</v>
      </c>
      <c r="N19" s="17">
        <v>0</v>
      </c>
      <c r="O19" s="18">
        <f t="shared" si="1"/>
        <v>177600</v>
      </c>
    </row>
    <row r="20" spans="1:15" ht="15" customHeight="1" x14ac:dyDescent="0.2">
      <c r="A20" s="12"/>
      <c r="B20" s="13" t="s">
        <v>129</v>
      </c>
      <c r="C20" s="17">
        <v>0</v>
      </c>
      <c r="D20" s="17">
        <v>0</v>
      </c>
      <c r="E20" s="17">
        <v>0</v>
      </c>
      <c r="F20" s="17">
        <v>26250</v>
      </c>
      <c r="G20" s="17">
        <v>0</v>
      </c>
      <c r="H20" s="17">
        <v>0</v>
      </c>
      <c r="I20" s="17">
        <v>0</v>
      </c>
      <c r="J20" s="17">
        <v>0</v>
      </c>
      <c r="K20" s="17">
        <v>0</v>
      </c>
      <c r="L20" s="17">
        <v>0</v>
      </c>
      <c r="M20" s="17">
        <v>0</v>
      </c>
      <c r="N20" s="17">
        <v>0</v>
      </c>
      <c r="O20" s="18">
        <f t="shared" si="1"/>
        <v>26250</v>
      </c>
    </row>
    <row r="21" spans="1:15" ht="15" hidden="1" customHeight="1" x14ac:dyDescent="0.2">
      <c r="A21" s="878" t="s">
        <v>130</v>
      </c>
      <c r="B21" s="19" t="s">
        <v>131</v>
      </c>
      <c r="C21" s="17">
        <v>0</v>
      </c>
      <c r="D21" s="17">
        <v>0</v>
      </c>
      <c r="E21" s="17">
        <v>0</v>
      </c>
      <c r="F21" s="17">
        <v>0</v>
      </c>
      <c r="G21" s="17">
        <v>0</v>
      </c>
      <c r="H21" s="17">
        <v>0</v>
      </c>
      <c r="I21" s="17">
        <v>0</v>
      </c>
      <c r="J21" s="17">
        <v>0</v>
      </c>
      <c r="K21" s="17">
        <v>0</v>
      </c>
      <c r="L21" s="17">
        <v>0</v>
      </c>
      <c r="M21" s="17">
        <v>0</v>
      </c>
      <c r="N21" s="17">
        <v>0</v>
      </c>
      <c r="O21" s="18">
        <f t="shared" si="1"/>
        <v>0</v>
      </c>
    </row>
    <row r="22" spans="1:15" ht="15" customHeight="1" x14ac:dyDescent="0.2">
      <c r="A22" s="879"/>
      <c r="B22" s="19" t="s">
        <v>141</v>
      </c>
      <c r="C22" s="17">
        <v>0</v>
      </c>
      <c r="D22" s="17">
        <v>0</v>
      </c>
      <c r="E22" s="17">
        <v>0</v>
      </c>
      <c r="F22" s="17">
        <v>0</v>
      </c>
      <c r="G22" s="17">
        <v>0</v>
      </c>
      <c r="H22" s="17">
        <v>0</v>
      </c>
      <c r="I22" s="17">
        <v>0</v>
      </c>
      <c r="J22" s="17">
        <v>0</v>
      </c>
      <c r="K22" s="17">
        <v>0</v>
      </c>
      <c r="L22" s="17">
        <v>0</v>
      </c>
      <c r="M22" s="17">
        <v>0</v>
      </c>
      <c r="N22" s="17">
        <v>0</v>
      </c>
      <c r="O22" s="18">
        <f t="shared" si="1"/>
        <v>0</v>
      </c>
    </row>
    <row r="23" spans="1:15" ht="15" customHeight="1" x14ac:dyDescent="0.2">
      <c r="A23" s="879"/>
      <c r="B23" s="19" t="s">
        <v>132</v>
      </c>
      <c r="C23" s="17">
        <v>0</v>
      </c>
      <c r="D23" s="17">
        <v>0</v>
      </c>
      <c r="E23" s="17">
        <v>0</v>
      </c>
      <c r="F23" s="17">
        <v>0</v>
      </c>
      <c r="G23" s="17">
        <v>0</v>
      </c>
      <c r="H23" s="17">
        <v>0</v>
      </c>
      <c r="I23" s="17">
        <v>0</v>
      </c>
      <c r="J23" s="17">
        <v>6908</v>
      </c>
      <c r="K23" s="17">
        <v>0</v>
      </c>
      <c r="L23" s="17">
        <v>0</v>
      </c>
      <c r="M23" s="17">
        <v>0</v>
      </c>
      <c r="N23" s="17">
        <v>0</v>
      </c>
      <c r="O23" s="18">
        <f t="shared" si="1"/>
        <v>6908</v>
      </c>
    </row>
    <row r="24" spans="1:15" ht="15" hidden="1" customHeight="1" x14ac:dyDescent="0.2">
      <c r="A24" s="879"/>
      <c r="B24" s="19" t="s">
        <v>133</v>
      </c>
      <c r="C24" s="17">
        <v>0</v>
      </c>
      <c r="D24" s="17">
        <v>0</v>
      </c>
      <c r="E24" s="17">
        <v>0</v>
      </c>
      <c r="F24" s="17">
        <v>0</v>
      </c>
      <c r="G24" s="17">
        <v>0</v>
      </c>
      <c r="H24" s="17">
        <v>0</v>
      </c>
      <c r="I24" s="17">
        <v>0</v>
      </c>
      <c r="J24" s="17">
        <v>0</v>
      </c>
      <c r="K24" s="17">
        <v>0</v>
      </c>
      <c r="L24" s="17">
        <v>0</v>
      </c>
      <c r="M24" s="17">
        <v>0</v>
      </c>
      <c r="N24" s="17">
        <v>0</v>
      </c>
      <c r="O24" s="18">
        <f t="shared" si="1"/>
        <v>0</v>
      </c>
    </row>
    <row r="25" spans="1:15" ht="15" hidden="1" customHeight="1" x14ac:dyDescent="0.2">
      <c r="A25" s="879"/>
      <c r="B25" s="19" t="s">
        <v>134</v>
      </c>
      <c r="C25" s="17">
        <v>0</v>
      </c>
      <c r="D25" s="17">
        <v>0</v>
      </c>
      <c r="E25" s="17">
        <v>0</v>
      </c>
      <c r="F25" s="17">
        <v>0</v>
      </c>
      <c r="G25" s="17">
        <v>0</v>
      </c>
      <c r="H25" s="17">
        <v>0</v>
      </c>
      <c r="I25" s="17">
        <v>0</v>
      </c>
      <c r="J25" s="17">
        <v>0</v>
      </c>
      <c r="K25" s="17">
        <v>0</v>
      </c>
      <c r="L25" s="17">
        <v>0</v>
      </c>
      <c r="M25" s="17">
        <v>0</v>
      </c>
      <c r="N25" s="17">
        <v>0</v>
      </c>
      <c r="O25" s="18">
        <f t="shared" si="1"/>
        <v>0</v>
      </c>
    </row>
    <row r="26" spans="1:15" ht="15" hidden="1" customHeight="1" x14ac:dyDescent="0.2">
      <c r="A26" s="879"/>
      <c r="B26" s="19" t="s">
        <v>135</v>
      </c>
      <c r="C26" s="17">
        <v>0</v>
      </c>
      <c r="D26" s="17">
        <v>0</v>
      </c>
      <c r="E26" s="17">
        <v>0</v>
      </c>
      <c r="F26" s="17">
        <v>0</v>
      </c>
      <c r="G26" s="17">
        <v>0</v>
      </c>
      <c r="H26" s="17">
        <v>0</v>
      </c>
      <c r="I26" s="17">
        <v>0</v>
      </c>
      <c r="J26" s="17">
        <v>0</v>
      </c>
      <c r="K26" s="17">
        <v>0</v>
      </c>
      <c r="L26" s="17">
        <v>0</v>
      </c>
      <c r="M26" s="17">
        <v>0</v>
      </c>
      <c r="N26" s="17">
        <v>0</v>
      </c>
      <c r="O26" s="18">
        <f t="shared" si="1"/>
        <v>0</v>
      </c>
    </row>
    <row r="27" spans="1:15" ht="15" hidden="1" customHeight="1" x14ac:dyDescent="0.2">
      <c r="A27" s="879"/>
      <c r="B27" s="19" t="s">
        <v>136</v>
      </c>
      <c r="C27" s="17">
        <v>0</v>
      </c>
      <c r="D27" s="17">
        <v>0</v>
      </c>
      <c r="E27" s="17">
        <v>0</v>
      </c>
      <c r="F27" s="17">
        <v>0</v>
      </c>
      <c r="G27" s="17">
        <v>0</v>
      </c>
      <c r="H27" s="17">
        <v>0</v>
      </c>
      <c r="I27" s="17">
        <v>0</v>
      </c>
      <c r="J27" s="17">
        <v>0</v>
      </c>
      <c r="K27" s="17">
        <v>0</v>
      </c>
      <c r="L27" s="17">
        <v>0</v>
      </c>
      <c r="M27" s="17">
        <v>0</v>
      </c>
      <c r="N27" s="17">
        <v>0</v>
      </c>
      <c r="O27" s="18">
        <f t="shared" si="1"/>
        <v>0</v>
      </c>
    </row>
    <row r="28" spans="1:15" ht="15" hidden="1" customHeight="1" x14ac:dyDescent="0.2">
      <c r="A28" s="879"/>
      <c r="B28" s="19" t="s">
        <v>137</v>
      </c>
      <c r="C28" s="17">
        <v>0</v>
      </c>
      <c r="D28" s="17">
        <v>0</v>
      </c>
      <c r="E28" s="17">
        <v>0</v>
      </c>
      <c r="F28" s="17">
        <v>0</v>
      </c>
      <c r="G28" s="17">
        <v>0</v>
      </c>
      <c r="H28" s="17">
        <v>0</v>
      </c>
      <c r="I28" s="17">
        <v>0</v>
      </c>
      <c r="J28" s="17">
        <v>0</v>
      </c>
      <c r="K28" s="17">
        <v>0</v>
      </c>
      <c r="L28" s="17">
        <v>0</v>
      </c>
      <c r="M28" s="17">
        <v>0</v>
      </c>
      <c r="N28" s="17">
        <v>0</v>
      </c>
      <c r="O28" s="18">
        <f t="shared" si="1"/>
        <v>0</v>
      </c>
    </row>
    <row r="29" spans="1:15" ht="15" hidden="1" customHeight="1" x14ac:dyDescent="0.2">
      <c r="A29" s="879"/>
      <c r="B29" s="19" t="s">
        <v>138</v>
      </c>
      <c r="C29" s="17">
        <v>0</v>
      </c>
      <c r="D29" s="17">
        <v>0</v>
      </c>
      <c r="E29" s="17">
        <v>0</v>
      </c>
      <c r="F29" s="17">
        <v>0</v>
      </c>
      <c r="G29" s="17">
        <v>0</v>
      </c>
      <c r="H29" s="17">
        <v>0</v>
      </c>
      <c r="I29" s="17">
        <v>0</v>
      </c>
      <c r="J29" s="17">
        <v>0</v>
      </c>
      <c r="K29" s="17">
        <v>0</v>
      </c>
      <c r="L29" s="17">
        <v>0</v>
      </c>
      <c r="M29" s="17">
        <v>0</v>
      </c>
      <c r="N29" s="17">
        <v>0</v>
      </c>
      <c r="O29" s="18">
        <f t="shared" si="1"/>
        <v>0</v>
      </c>
    </row>
    <row r="30" spans="1:15" ht="15" hidden="1" customHeight="1" x14ac:dyDescent="0.2">
      <c r="A30" s="879"/>
      <c r="B30" s="19" t="s">
        <v>139</v>
      </c>
      <c r="C30" s="17">
        <v>0</v>
      </c>
      <c r="D30" s="17">
        <v>0</v>
      </c>
      <c r="E30" s="17">
        <v>0</v>
      </c>
      <c r="F30" s="17">
        <v>0</v>
      </c>
      <c r="G30" s="17">
        <v>0</v>
      </c>
      <c r="H30" s="17">
        <v>0</v>
      </c>
      <c r="I30" s="17">
        <v>0</v>
      </c>
      <c r="J30" s="17">
        <v>0</v>
      </c>
      <c r="K30" s="17">
        <v>0</v>
      </c>
      <c r="L30" s="17">
        <v>0</v>
      </c>
      <c r="M30" s="17">
        <v>0</v>
      </c>
      <c r="N30" s="17">
        <v>0</v>
      </c>
      <c r="O30" s="18">
        <f t="shared" si="1"/>
        <v>0</v>
      </c>
    </row>
    <row r="31" spans="1:15" ht="15" hidden="1" customHeight="1" x14ac:dyDescent="0.2">
      <c r="A31" s="879"/>
      <c r="B31" s="19" t="s">
        <v>140</v>
      </c>
      <c r="C31" s="17">
        <v>0</v>
      </c>
      <c r="D31" s="17">
        <v>0</v>
      </c>
      <c r="E31" s="17">
        <v>0</v>
      </c>
      <c r="F31" s="17">
        <v>0</v>
      </c>
      <c r="G31" s="17">
        <v>0</v>
      </c>
      <c r="H31" s="17">
        <v>0</v>
      </c>
      <c r="I31" s="17">
        <v>0</v>
      </c>
      <c r="J31" s="17">
        <v>0</v>
      </c>
      <c r="K31" s="17">
        <v>0</v>
      </c>
      <c r="L31" s="17">
        <v>0</v>
      </c>
      <c r="M31" s="17">
        <v>0</v>
      </c>
      <c r="N31" s="17">
        <v>0</v>
      </c>
      <c r="O31" s="18">
        <f t="shared" si="1"/>
        <v>0</v>
      </c>
    </row>
    <row r="32" spans="1:15" ht="15" hidden="1" customHeight="1" x14ac:dyDescent="0.2">
      <c r="A32" s="879"/>
      <c r="B32" s="19" t="s">
        <v>225</v>
      </c>
      <c r="C32" s="17">
        <v>0</v>
      </c>
      <c r="D32" s="17">
        <v>0</v>
      </c>
      <c r="E32" s="17">
        <v>0</v>
      </c>
      <c r="F32" s="17">
        <v>0</v>
      </c>
      <c r="G32" s="17">
        <v>0</v>
      </c>
      <c r="H32" s="17">
        <v>0</v>
      </c>
      <c r="I32" s="17">
        <v>0</v>
      </c>
      <c r="J32" s="17">
        <v>0</v>
      </c>
      <c r="K32" s="17">
        <v>0</v>
      </c>
      <c r="L32" s="17">
        <v>0</v>
      </c>
      <c r="M32" s="17">
        <v>0</v>
      </c>
      <c r="N32" s="17">
        <v>0</v>
      </c>
      <c r="O32" s="18">
        <f t="shared" si="1"/>
        <v>0</v>
      </c>
    </row>
    <row r="33" spans="1:16" ht="15" customHeight="1" x14ac:dyDescent="0.2">
      <c r="A33" s="879"/>
      <c r="B33" s="21" t="s">
        <v>142</v>
      </c>
      <c r="C33" s="17">
        <v>0</v>
      </c>
      <c r="D33" s="17">
        <v>0</v>
      </c>
      <c r="E33" s="17">
        <v>55761</v>
      </c>
      <c r="F33" s="17">
        <v>0</v>
      </c>
      <c r="G33" s="17">
        <v>0</v>
      </c>
      <c r="H33" s="17">
        <v>0</v>
      </c>
      <c r="I33" s="17">
        <v>0</v>
      </c>
      <c r="J33" s="17">
        <v>0</v>
      </c>
      <c r="K33" s="17">
        <v>0</v>
      </c>
      <c r="L33" s="17">
        <v>0</v>
      </c>
      <c r="M33" s="17">
        <v>0</v>
      </c>
      <c r="N33" s="17">
        <v>0</v>
      </c>
      <c r="O33" s="18">
        <f t="shared" si="1"/>
        <v>55761</v>
      </c>
    </row>
    <row r="34" spans="1:16" ht="15" hidden="1" customHeight="1" x14ac:dyDescent="0.2">
      <c r="A34" s="880"/>
      <c r="B34" s="19" t="s">
        <v>226</v>
      </c>
      <c r="C34" s="17">
        <v>0</v>
      </c>
      <c r="D34" s="17">
        <v>0</v>
      </c>
      <c r="E34" s="17">
        <v>0</v>
      </c>
      <c r="F34" s="17">
        <v>0</v>
      </c>
      <c r="G34" s="17">
        <v>0</v>
      </c>
      <c r="H34" s="17">
        <v>0</v>
      </c>
      <c r="I34" s="17">
        <v>0</v>
      </c>
      <c r="J34" s="17">
        <v>0</v>
      </c>
      <c r="K34" s="17">
        <v>0</v>
      </c>
      <c r="L34" s="17">
        <v>0</v>
      </c>
      <c r="M34" s="17">
        <v>0</v>
      </c>
      <c r="N34" s="17">
        <v>0</v>
      </c>
      <c r="O34" s="18">
        <f t="shared" si="1"/>
        <v>0</v>
      </c>
    </row>
    <row r="35" spans="1:16" ht="15" customHeight="1" x14ac:dyDescent="0.2">
      <c r="A35" s="865" t="s">
        <v>143</v>
      </c>
      <c r="B35" s="866"/>
      <c r="C35" s="17">
        <v>0</v>
      </c>
      <c r="D35" s="17">
        <v>0</v>
      </c>
      <c r="E35" s="17">
        <v>0</v>
      </c>
      <c r="F35" s="17">
        <v>0</v>
      </c>
      <c r="G35" s="17">
        <v>0</v>
      </c>
      <c r="H35" s="17">
        <v>0</v>
      </c>
      <c r="I35" s="17">
        <v>0</v>
      </c>
      <c r="J35" s="17">
        <v>0</v>
      </c>
      <c r="K35" s="17">
        <v>0</v>
      </c>
      <c r="L35" s="17">
        <v>0</v>
      </c>
      <c r="M35" s="17">
        <v>0</v>
      </c>
      <c r="N35" s="17">
        <v>0</v>
      </c>
      <c r="O35" s="18">
        <f t="shared" si="1"/>
        <v>0</v>
      </c>
    </row>
    <row r="36" spans="1:16" ht="15" customHeight="1" x14ac:dyDescent="0.2">
      <c r="A36" s="865" t="s">
        <v>145</v>
      </c>
      <c r="B36" s="866"/>
      <c r="C36" s="17">
        <v>0</v>
      </c>
      <c r="D36" s="17">
        <v>216</v>
      </c>
      <c r="E36" s="17">
        <v>0</v>
      </c>
      <c r="F36" s="17">
        <v>0</v>
      </c>
      <c r="G36" s="17">
        <v>0</v>
      </c>
      <c r="H36" s="17">
        <v>0</v>
      </c>
      <c r="I36" s="17">
        <v>0</v>
      </c>
      <c r="J36" s="17">
        <v>216</v>
      </c>
      <c r="K36" s="17">
        <v>0</v>
      </c>
      <c r="L36" s="17">
        <v>0</v>
      </c>
      <c r="M36" s="17">
        <v>0</v>
      </c>
      <c r="N36" s="17">
        <v>0</v>
      </c>
      <c r="O36" s="18">
        <f t="shared" si="1"/>
        <v>432</v>
      </c>
    </row>
    <row r="37" spans="1:16" ht="15" customHeight="1" x14ac:dyDescent="0.2">
      <c r="A37" s="865" t="s">
        <v>146</v>
      </c>
      <c r="B37" s="866"/>
      <c r="C37" s="17">
        <v>0</v>
      </c>
      <c r="D37" s="17">
        <v>3960</v>
      </c>
      <c r="E37" s="17">
        <v>0</v>
      </c>
      <c r="F37" s="17">
        <v>0</v>
      </c>
      <c r="G37" s="17">
        <v>0</v>
      </c>
      <c r="H37" s="17">
        <v>0</v>
      </c>
      <c r="I37" s="17">
        <v>0</v>
      </c>
      <c r="J37" s="17">
        <v>4080</v>
      </c>
      <c r="K37" s="17">
        <v>0</v>
      </c>
      <c r="L37" s="17">
        <v>0</v>
      </c>
      <c r="M37" s="17">
        <v>0</v>
      </c>
      <c r="N37" s="17">
        <v>0</v>
      </c>
      <c r="O37" s="18">
        <f t="shared" si="1"/>
        <v>8040</v>
      </c>
    </row>
    <row r="38" spans="1:16" ht="15" customHeight="1" x14ac:dyDescent="0.2">
      <c r="A38" s="22"/>
      <c r="B38" s="23" t="s">
        <v>147</v>
      </c>
      <c r="C38" s="24">
        <f t="shared" ref="C38:N38" si="2">SUM(C9:C37)</f>
        <v>88920</v>
      </c>
      <c r="D38" s="24">
        <f t="shared" si="2"/>
        <v>94488</v>
      </c>
      <c r="E38" s="24">
        <f t="shared" si="2"/>
        <v>146073</v>
      </c>
      <c r="F38" s="24">
        <f t="shared" si="2"/>
        <v>116562</v>
      </c>
      <c r="G38" s="24">
        <f t="shared" si="2"/>
        <v>92932</v>
      </c>
      <c r="H38" s="24">
        <f t="shared" si="2"/>
        <v>92932</v>
      </c>
      <c r="I38" s="24">
        <f t="shared" si="2"/>
        <v>92932</v>
      </c>
      <c r="J38" s="24">
        <f t="shared" si="2"/>
        <v>105568</v>
      </c>
      <c r="K38" s="24">
        <f t="shared" si="2"/>
        <v>94364</v>
      </c>
      <c r="L38" s="24">
        <f t="shared" si="2"/>
        <v>94364</v>
      </c>
      <c r="M38" s="24">
        <f t="shared" si="2"/>
        <v>94364</v>
      </c>
      <c r="N38" s="24">
        <f t="shared" si="2"/>
        <v>0</v>
      </c>
      <c r="O38" s="25">
        <f>SUM(C38:N38)</f>
        <v>1113499</v>
      </c>
    </row>
    <row r="39" spans="1:16" ht="15" customHeight="1" x14ac:dyDescent="0.2">
      <c r="A39" s="853" t="s">
        <v>148</v>
      </c>
      <c r="B39" s="27" t="s">
        <v>149</v>
      </c>
      <c r="C39" s="17">
        <v>6900</v>
      </c>
      <c r="D39" s="17">
        <v>7000</v>
      </c>
      <c r="E39" s="17">
        <v>12576</v>
      </c>
      <c r="F39" s="17">
        <v>7000</v>
      </c>
      <c r="G39" s="17">
        <v>7000</v>
      </c>
      <c r="H39" s="17">
        <v>7000</v>
      </c>
      <c r="I39" s="17">
        <v>7000</v>
      </c>
      <c r="J39" s="17">
        <v>7000</v>
      </c>
      <c r="K39" s="17">
        <v>10000</v>
      </c>
      <c r="L39" s="17">
        <v>10012</v>
      </c>
      <c r="M39" s="17">
        <v>10012</v>
      </c>
      <c r="N39" s="17">
        <v>0</v>
      </c>
      <c r="O39" s="18">
        <f>SUM(C39:N39)</f>
        <v>91500</v>
      </c>
      <c r="P39" s="29"/>
    </row>
    <row r="40" spans="1:16" ht="15" x14ac:dyDescent="0.2">
      <c r="A40" s="854"/>
      <c r="B40" s="27" t="s">
        <v>150</v>
      </c>
      <c r="C40" s="17">
        <v>0</v>
      </c>
      <c r="D40" s="17">
        <v>0</v>
      </c>
      <c r="E40" s="17">
        <v>0</v>
      </c>
      <c r="F40" s="17">
        <v>0</v>
      </c>
      <c r="G40" s="17">
        <v>0</v>
      </c>
      <c r="H40" s="17">
        <v>0</v>
      </c>
      <c r="I40" s="17">
        <v>0</v>
      </c>
      <c r="J40" s="17">
        <v>0</v>
      </c>
      <c r="K40" s="17">
        <v>0</v>
      </c>
      <c r="L40" s="17">
        <v>0</v>
      </c>
      <c r="M40" s="17">
        <v>0</v>
      </c>
      <c r="N40" s="17">
        <v>0</v>
      </c>
      <c r="O40" s="18">
        <f>SUM(C40:N40)</f>
        <v>0</v>
      </c>
    </row>
    <row r="41" spans="1:16" ht="15" x14ac:dyDescent="0.2">
      <c r="A41" s="854"/>
      <c r="B41" s="27" t="s">
        <v>151</v>
      </c>
      <c r="C41" s="17">
        <v>60</v>
      </c>
      <c r="D41" s="17">
        <v>60</v>
      </c>
      <c r="E41" s="17">
        <v>60</v>
      </c>
      <c r="F41" s="17">
        <v>60</v>
      </c>
      <c r="G41" s="17">
        <v>60</v>
      </c>
      <c r="H41" s="17">
        <v>60</v>
      </c>
      <c r="I41" s="17">
        <v>60</v>
      </c>
      <c r="J41" s="17">
        <v>60</v>
      </c>
      <c r="K41" s="17">
        <v>60</v>
      </c>
      <c r="L41" s="17">
        <v>60</v>
      </c>
      <c r="M41" s="17">
        <v>60</v>
      </c>
      <c r="N41" s="17">
        <v>0</v>
      </c>
      <c r="O41" s="18">
        <f t="shared" ref="O41:O51" si="3">SUM(C41:N41)</f>
        <v>660</v>
      </c>
    </row>
    <row r="42" spans="1:16" ht="15" x14ac:dyDescent="0.2">
      <c r="A42" s="854"/>
      <c r="B42" s="27" t="s">
        <v>152</v>
      </c>
      <c r="C42" s="17">
        <v>0</v>
      </c>
      <c r="D42" s="17">
        <v>0</v>
      </c>
      <c r="E42" s="17">
        <v>0</v>
      </c>
      <c r="F42" s="17">
        <v>0</v>
      </c>
      <c r="G42" s="17">
        <v>0</v>
      </c>
      <c r="H42" s="17">
        <v>0</v>
      </c>
      <c r="I42" s="17">
        <v>0</v>
      </c>
      <c r="J42" s="17">
        <v>0</v>
      </c>
      <c r="K42" s="17">
        <v>0</v>
      </c>
      <c r="L42" s="17">
        <v>0</v>
      </c>
      <c r="M42" s="17">
        <v>0</v>
      </c>
      <c r="N42" s="17">
        <v>0</v>
      </c>
      <c r="O42" s="18">
        <f t="shared" si="3"/>
        <v>0</v>
      </c>
    </row>
    <row r="43" spans="1:16" ht="15" x14ac:dyDescent="0.2">
      <c r="A43" s="854"/>
      <c r="B43" s="27" t="s">
        <v>153</v>
      </c>
      <c r="C43" s="17">
        <v>0</v>
      </c>
      <c r="D43" s="17">
        <v>0</v>
      </c>
      <c r="E43" s="17">
        <v>0</v>
      </c>
      <c r="F43" s="17">
        <v>0</v>
      </c>
      <c r="G43" s="17">
        <v>0</v>
      </c>
      <c r="H43" s="17">
        <v>0</v>
      </c>
      <c r="I43" s="17">
        <v>0</v>
      </c>
      <c r="J43" s="17">
        <v>0</v>
      </c>
      <c r="K43" s="17">
        <v>0</v>
      </c>
      <c r="L43" s="17">
        <v>0</v>
      </c>
      <c r="M43" s="17">
        <v>0</v>
      </c>
      <c r="N43" s="17">
        <v>0</v>
      </c>
      <c r="O43" s="18">
        <f t="shared" si="3"/>
        <v>0</v>
      </c>
    </row>
    <row r="44" spans="1:16" ht="15" x14ac:dyDescent="0.2">
      <c r="A44" s="854"/>
      <c r="B44" s="27" t="s">
        <v>154</v>
      </c>
      <c r="C44" s="17">
        <v>23000</v>
      </c>
      <c r="D44" s="17">
        <v>23000</v>
      </c>
      <c r="E44" s="17">
        <v>23000</v>
      </c>
      <c r="F44" s="17">
        <v>23000</v>
      </c>
      <c r="G44" s="17">
        <v>23000</v>
      </c>
      <c r="H44" s="17">
        <v>23000</v>
      </c>
      <c r="I44" s="17">
        <v>23000</v>
      </c>
      <c r="J44" s="17">
        <v>23000</v>
      </c>
      <c r="K44" s="17">
        <v>23000</v>
      </c>
      <c r="L44" s="17">
        <v>23000</v>
      </c>
      <c r="M44" s="17">
        <v>23000</v>
      </c>
      <c r="N44" s="17">
        <v>0</v>
      </c>
      <c r="O44" s="18">
        <f t="shared" si="3"/>
        <v>253000</v>
      </c>
    </row>
    <row r="45" spans="1:16" ht="15" x14ac:dyDescent="0.2">
      <c r="A45" s="854"/>
      <c r="B45" s="27" t="s">
        <v>155</v>
      </c>
      <c r="C45" s="17">
        <v>200</v>
      </c>
      <c r="D45" s="17">
        <v>200</v>
      </c>
      <c r="E45" s="17">
        <v>200</v>
      </c>
      <c r="F45" s="17">
        <v>200</v>
      </c>
      <c r="G45" s="17">
        <v>200</v>
      </c>
      <c r="H45" s="17">
        <v>200</v>
      </c>
      <c r="I45" s="17">
        <v>200</v>
      </c>
      <c r="J45" s="17">
        <v>200</v>
      </c>
      <c r="K45" s="17">
        <v>200</v>
      </c>
      <c r="L45" s="17">
        <v>200</v>
      </c>
      <c r="M45" s="17">
        <v>200</v>
      </c>
      <c r="N45" s="17">
        <v>0</v>
      </c>
      <c r="O45" s="18">
        <f t="shared" si="3"/>
        <v>2200</v>
      </c>
    </row>
    <row r="46" spans="1:16" ht="15" x14ac:dyDescent="0.2">
      <c r="A46" s="854"/>
      <c r="B46" s="27" t="s">
        <v>156</v>
      </c>
      <c r="C46" s="17">
        <v>0</v>
      </c>
      <c r="D46" s="17">
        <v>0</v>
      </c>
      <c r="E46" s="17">
        <v>0</v>
      </c>
      <c r="F46" s="17">
        <v>0</v>
      </c>
      <c r="G46" s="17">
        <v>0</v>
      </c>
      <c r="H46" s="17">
        <v>0</v>
      </c>
      <c r="I46" s="17">
        <v>0</v>
      </c>
      <c r="J46" s="17">
        <v>0</v>
      </c>
      <c r="K46" s="17">
        <v>0</v>
      </c>
      <c r="L46" s="17">
        <v>0</v>
      </c>
      <c r="M46" s="17">
        <v>0</v>
      </c>
      <c r="N46" s="17">
        <v>0</v>
      </c>
      <c r="O46" s="18">
        <f t="shared" si="3"/>
        <v>0</v>
      </c>
    </row>
    <row r="47" spans="1:16" ht="15" x14ac:dyDescent="0.2">
      <c r="A47" s="854"/>
      <c r="B47" s="27" t="s">
        <v>157</v>
      </c>
      <c r="C47" s="17">
        <v>0</v>
      </c>
      <c r="D47" s="17">
        <v>0</v>
      </c>
      <c r="E47" s="17">
        <v>0</v>
      </c>
      <c r="F47" s="17">
        <v>0</v>
      </c>
      <c r="G47" s="17">
        <v>0</v>
      </c>
      <c r="H47" s="17">
        <v>0</v>
      </c>
      <c r="I47" s="17">
        <v>0</v>
      </c>
      <c r="J47" s="17">
        <v>0</v>
      </c>
      <c r="K47" s="17">
        <v>0</v>
      </c>
      <c r="L47" s="17">
        <v>0</v>
      </c>
      <c r="M47" s="17">
        <v>0</v>
      </c>
      <c r="N47" s="17">
        <v>0</v>
      </c>
      <c r="O47" s="18">
        <f t="shared" si="3"/>
        <v>0</v>
      </c>
    </row>
    <row r="48" spans="1:16" ht="28.5" customHeight="1" x14ac:dyDescent="0.2">
      <c r="A48" s="855"/>
      <c r="B48" s="30" t="s">
        <v>158</v>
      </c>
      <c r="C48" s="17">
        <v>0</v>
      </c>
      <c r="D48" s="17">
        <v>0</v>
      </c>
      <c r="E48" s="17">
        <v>0</v>
      </c>
      <c r="F48" s="17">
        <v>0</v>
      </c>
      <c r="G48" s="17">
        <v>0</v>
      </c>
      <c r="H48" s="17">
        <v>0</v>
      </c>
      <c r="I48" s="17">
        <v>0</v>
      </c>
      <c r="J48" s="17">
        <v>0</v>
      </c>
      <c r="K48" s="17">
        <v>0</v>
      </c>
      <c r="L48" s="17">
        <v>0</v>
      </c>
      <c r="M48" s="17">
        <v>0</v>
      </c>
      <c r="N48" s="17">
        <v>0</v>
      </c>
      <c r="O48" s="31">
        <f t="shared" si="3"/>
        <v>0</v>
      </c>
    </row>
    <row r="49" spans="1:18" ht="25.5" x14ac:dyDescent="0.2">
      <c r="A49" s="856"/>
      <c r="B49" s="169" t="s">
        <v>452</v>
      </c>
      <c r="C49" s="17">
        <v>0</v>
      </c>
      <c r="D49" s="17">
        <v>0</v>
      </c>
      <c r="E49" s="17">
        <v>0</v>
      </c>
      <c r="F49" s="17">
        <v>0</v>
      </c>
      <c r="G49" s="17">
        <v>0</v>
      </c>
      <c r="H49" s="17">
        <v>0</v>
      </c>
      <c r="I49" s="17">
        <v>0</v>
      </c>
      <c r="J49" s="17">
        <v>0</v>
      </c>
      <c r="K49" s="17">
        <v>0</v>
      </c>
      <c r="L49" s="17">
        <v>0</v>
      </c>
      <c r="M49" s="17">
        <v>0</v>
      </c>
      <c r="N49" s="17">
        <v>0</v>
      </c>
      <c r="O49" s="31">
        <f t="shared" si="3"/>
        <v>0</v>
      </c>
    </row>
    <row r="50" spans="1:18" ht="15" x14ac:dyDescent="0.2">
      <c r="A50" s="857" t="s">
        <v>160</v>
      </c>
      <c r="B50" s="858"/>
      <c r="C50" s="33">
        <f t="shared" ref="C50:N50" si="4">SUM(C39:C49)</f>
        <v>30160</v>
      </c>
      <c r="D50" s="33">
        <f t="shared" si="4"/>
        <v>30260</v>
      </c>
      <c r="E50" s="33">
        <f t="shared" si="4"/>
        <v>35836</v>
      </c>
      <c r="F50" s="33">
        <f t="shared" si="4"/>
        <v>30260</v>
      </c>
      <c r="G50" s="33">
        <f t="shared" si="4"/>
        <v>30260</v>
      </c>
      <c r="H50" s="33">
        <f t="shared" si="4"/>
        <v>30260</v>
      </c>
      <c r="I50" s="33">
        <f t="shared" si="4"/>
        <v>30260</v>
      </c>
      <c r="J50" s="33">
        <f t="shared" si="4"/>
        <v>30260</v>
      </c>
      <c r="K50" s="33">
        <f t="shared" si="4"/>
        <v>33260</v>
      </c>
      <c r="L50" s="33">
        <f t="shared" si="4"/>
        <v>33272</v>
      </c>
      <c r="M50" s="33">
        <f t="shared" si="4"/>
        <v>33272</v>
      </c>
      <c r="N50" s="33">
        <f t="shared" si="4"/>
        <v>0</v>
      </c>
      <c r="O50" s="34">
        <f t="shared" si="3"/>
        <v>347360</v>
      </c>
    </row>
    <row r="51" spans="1:18" ht="15.75" thickBot="1" x14ac:dyDescent="0.25">
      <c r="A51" s="859" t="s">
        <v>161</v>
      </c>
      <c r="B51" s="860"/>
      <c r="C51" s="35">
        <f t="shared" ref="C51:N51" si="5">C38-C50</f>
        <v>58760</v>
      </c>
      <c r="D51" s="35">
        <f t="shared" si="5"/>
        <v>64228</v>
      </c>
      <c r="E51" s="35">
        <f t="shared" si="5"/>
        <v>110237</v>
      </c>
      <c r="F51" s="35">
        <f t="shared" si="5"/>
        <v>86302</v>
      </c>
      <c r="G51" s="35">
        <f t="shared" si="5"/>
        <v>62672</v>
      </c>
      <c r="H51" s="35">
        <f t="shared" si="5"/>
        <v>62672</v>
      </c>
      <c r="I51" s="35">
        <f t="shared" si="5"/>
        <v>62672</v>
      </c>
      <c r="J51" s="35">
        <f t="shared" si="5"/>
        <v>75308</v>
      </c>
      <c r="K51" s="35">
        <f t="shared" si="5"/>
        <v>61104</v>
      </c>
      <c r="L51" s="35">
        <f t="shared" si="5"/>
        <v>61092</v>
      </c>
      <c r="M51" s="35">
        <f t="shared" si="5"/>
        <v>61092</v>
      </c>
      <c r="N51" s="35">
        <f t="shared" si="5"/>
        <v>0</v>
      </c>
      <c r="O51" s="36">
        <f t="shared" si="3"/>
        <v>766139</v>
      </c>
    </row>
    <row r="52" spans="1:18" x14ac:dyDescent="0.2">
      <c r="G52" s="38"/>
      <c r="J52" s="229">
        <f>+J38-SUM(J23:J37)</f>
        <v>94364</v>
      </c>
      <c r="Q52" s="38"/>
    </row>
    <row r="53" spans="1:18" ht="13.5" thickBot="1" x14ac:dyDescent="0.25">
      <c r="J53" s="38">
        <f>+J52-J50</f>
        <v>64104</v>
      </c>
    </row>
    <row r="54" spans="1:18" ht="13.5" thickBot="1" x14ac:dyDescent="0.25">
      <c r="B54" s="789" t="s">
        <v>162</v>
      </c>
      <c r="C54" s="861"/>
      <c r="D54" s="861"/>
      <c r="E54" s="861"/>
      <c r="F54" s="862"/>
      <c r="G54" s="863">
        <f>O38</f>
        <v>1113499</v>
      </c>
      <c r="H54" s="864"/>
    </row>
    <row r="55" spans="1:18" ht="13.5" thickBot="1" x14ac:dyDescent="0.25"/>
    <row r="56" spans="1:18" x14ac:dyDescent="0.2">
      <c r="B56" s="830" t="s">
        <v>163</v>
      </c>
      <c r="C56" s="833" t="s">
        <v>164</v>
      </c>
      <c r="D56" s="836" t="s">
        <v>425</v>
      </c>
      <c r="E56" s="837"/>
      <c r="F56" s="838"/>
      <c r="G56" s="839">
        <v>40000</v>
      </c>
      <c r="H56" s="840"/>
    </row>
    <row r="57" spans="1:18" x14ac:dyDescent="0.2">
      <c r="B57" s="831"/>
      <c r="C57" s="834"/>
      <c r="D57" s="841" t="s">
        <v>166</v>
      </c>
      <c r="E57" s="842"/>
      <c r="F57" s="843"/>
      <c r="G57" s="844">
        <f>+O45</f>
        <v>2200</v>
      </c>
      <c r="H57" s="845"/>
      <c r="I57" s="39"/>
      <c r="J57" s="846"/>
      <c r="K57" s="846"/>
      <c r="L57" s="846"/>
      <c r="M57" s="847"/>
      <c r="N57" s="847"/>
      <c r="O57" s="847"/>
    </row>
    <row r="58" spans="1:18" x14ac:dyDescent="0.2">
      <c r="B58" s="886"/>
      <c r="C58" s="887"/>
      <c r="D58" s="40" t="s">
        <v>129</v>
      </c>
      <c r="E58" s="41"/>
      <c r="F58" s="42"/>
      <c r="G58" s="43"/>
      <c r="H58" s="44">
        <v>0</v>
      </c>
      <c r="I58" s="39"/>
      <c r="J58" s="45"/>
      <c r="K58" s="45"/>
      <c r="L58" s="45"/>
      <c r="M58" s="46"/>
      <c r="N58" s="46"/>
      <c r="O58" s="46"/>
    </row>
    <row r="59" spans="1:18" ht="13.5" thickBot="1" x14ac:dyDescent="0.25">
      <c r="B59" s="832"/>
      <c r="C59" s="835"/>
      <c r="D59" s="848" t="s">
        <v>243</v>
      </c>
      <c r="E59" s="849"/>
      <c r="F59" s="850"/>
      <c r="G59" s="851">
        <f>IF(O18&gt;15000,15000,+O18)</f>
        <v>0</v>
      </c>
      <c r="H59" s="852"/>
      <c r="J59" s="47"/>
      <c r="K59" s="47"/>
      <c r="L59" s="47"/>
      <c r="M59" s="47"/>
      <c r="N59" s="47"/>
      <c r="O59" s="47"/>
    </row>
    <row r="60" spans="1:18" ht="13.5" thickBot="1" x14ac:dyDescent="0.25">
      <c r="B60" s="48"/>
      <c r="J60" s="47"/>
      <c r="K60" s="47"/>
      <c r="L60" s="47"/>
      <c r="M60" s="47"/>
      <c r="N60" s="47"/>
      <c r="O60" s="47"/>
    </row>
    <row r="61" spans="1:18" ht="13.5" thickBot="1" x14ac:dyDescent="0.25">
      <c r="B61" s="789" t="s">
        <v>168</v>
      </c>
      <c r="C61" s="790"/>
      <c r="D61" s="790"/>
      <c r="E61" s="790"/>
      <c r="F61" s="791"/>
      <c r="G61" s="825">
        <f>+G54-SUM(G56:H59)</f>
        <v>1071299</v>
      </c>
      <c r="H61" s="826"/>
      <c r="J61" s="827" t="s">
        <v>169</v>
      </c>
      <c r="K61" s="828"/>
      <c r="L61" s="828"/>
      <c r="M61" s="828"/>
      <c r="N61" s="828"/>
      <c r="O61" s="829"/>
    </row>
    <row r="62" spans="1:18" ht="13.5" thickBot="1" x14ac:dyDescent="0.25">
      <c r="B62" s="49"/>
      <c r="C62" s="50"/>
      <c r="D62" s="50"/>
      <c r="E62" s="50"/>
      <c r="F62" s="50"/>
      <c r="G62" s="45"/>
      <c r="H62" s="50"/>
      <c r="J62" s="129"/>
      <c r="K62" s="130"/>
      <c r="L62" s="130"/>
      <c r="M62" s="130"/>
      <c r="N62" s="130"/>
      <c r="O62" s="131"/>
    </row>
    <row r="63" spans="1:18" ht="13.5" thickBot="1" x14ac:dyDescent="0.25">
      <c r="B63" s="789" t="s">
        <v>170</v>
      </c>
      <c r="C63" s="790"/>
      <c r="D63" s="790"/>
      <c r="E63" s="790"/>
      <c r="F63" s="791"/>
      <c r="G63" s="805"/>
      <c r="H63" s="791"/>
      <c r="J63" s="54"/>
      <c r="K63" s="55"/>
      <c r="L63" s="55"/>
      <c r="M63" s="55"/>
      <c r="N63" s="55"/>
      <c r="O63" s="56"/>
    </row>
    <row r="64" spans="1:18" ht="12.75" customHeight="1" x14ac:dyDescent="0.2">
      <c r="B64" s="57" t="s">
        <v>171</v>
      </c>
      <c r="C64" s="806" t="s">
        <v>172</v>
      </c>
      <c r="D64" s="807"/>
      <c r="E64" s="807"/>
      <c r="F64" s="808"/>
      <c r="G64" s="809">
        <v>85112</v>
      </c>
      <c r="H64" s="809"/>
      <c r="I64" s="58"/>
      <c r="J64" s="810" t="s">
        <v>173</v>
      </c>
      <c r="K64" s="811"/>
      <c r="L64" s="811"/>
      <c r="M64" s="811"/>
      <c r="N64" s="811"/>
      <c r="O64" s="812"/>
      <c r="Q64" s="59"/>
      <c r="R64" s="59"/>
    </row>
    <row r="65" spans="2:18" ht="13.5" thickBot="1" x14ac:dyDescent="0.25">
      <c r="D65" s="37"/>
      <c r="I65" s="58"/>
      <c r="J65" s="60"/>
      <c r="K65" s="61"/>
      <c r="L65" s="132"/>
      <c r="M65" s="133"/>
      <c r="N65" s="133"/>
      <c r="O65" s="134"/>
      <c r="Q65" s="59"/>
      <c r="R65" s="59"/>
    </row>
    <row r="66" spans="2:18" ht="13.5" thickBot="1" x14ac:dyDescent="0.25">
      <c r="B66" s="789" t="s">
        <v>175</v>
      </c>
      <c r="C66" s="790"/>
      <c r="D66" s="790"/>
      <c r="E66" s="790"/>
      <c r="F66" s="791"/>
      <c r="G66" s="805">
        <f>+G61-G64</f>
        <v>986187</v>
      </c>
      <c r="H66" s="791"/>
      <c r="I66" s="63"/>
      <c r="J66" s="75"/>
      <c r="K66" s="183"/>
      <c r="L66" s="39"/>
      <c r="M66" s="39"/>
      <c r="N66" s="39"/>
      <c r="O66" s="65"/>
      <c r="Q66" s="59"/>
      <c r="R66" s="59"/>
    </row>
    <row r="67" spans="2:18" ht="12.75" customHeight="1" x14ac:dyDescent="0.2">
      <c r="B67" s="48"/>
      <c r="C67" s="48"/>
      <c r="I67" s="63"/>
      <c r="J67" s="75"/>
      <c r="K67" s="183"/>
      <c r="L67" s="39"/>
      <c r="M67" s="39"/>
      <c r="N67" s="39"/>
      <c r="O67" s="65"/>
      <c r="Q67" s="59"/>
      <c r="R67" s="59"/>
    </row>
    <row r="68" spans="2:18" x14ac:dyDescent="0.2">
      <c r="B68" s="66" t="s">
        <v>176</v>
      </c>
      <c r="C68" s="48"/>
      <c r="I68" s="63"/>
      <c r="J68" s="164"/>
      <c r="K68" s="135"/>
      <c r="L68" s="68"/>
      <c r="M68" s="68"/>
      <c r="N68" s="68"/>
      <c r="O68" s="69"/>
      <c r="Q68" s="59"/>
      <c r="R68" s="59"/>
    </row>
    <row r="69" spans="2:18" ht="26.25" customHeight="1" thickBot="1" x14ac:dyDescent="0.25">
      <c r="B69" s="66"/>
      <c r="C69" s="48"/>
      <c r="G69" s="70" t="s">
        <v>177</v>
      </c>
      <c r="H69" s="70" t="s">
        <v>178</v>
      </c>
      <c r="I69" s="63"/>
      <c r="J69" s="810" t="s">
        <v>179</v>
      </c>
      <c r="K69" s="811"/>
      <c r="L69" s="71"/>
      <c r="M69" s="71"/>
      <c r="N69" s="71"/>
      <c r="O69" s="158" t="s">
        <v>267</v>
      </c>
      <c r="Q69" s="59"/>
      <c r="R69" s="59"/>
    </row>
    <row r="70" spans="2:18" ht="12.75" customHeight="1" x14ac:dyDescent="0.2">
      <c r="B70" s="802" t="s">
        <v>180</v>
      </c>
      <c r="C70" s="821" t="s">
        <v>181</v>
      </c>
      <c r="D70" s="823" t="s">
        <v>182</v>
      </c>
      <c r="E70" s="824"/>
      <c r="F70" s="824"/>
      <c r="G70" s="73">
        <f>+O44</f>
        <v>253000</v>
      </c>
      <c r="H70" s="74">
        <f t="shared" ref="H70:H78" si="6">+G70</f>
        <v>253000</v>
      </c>
      <c r="I70" s="63"/>
      <c r="J70" s="230"/>
      <c r="K70" s="135"/>
      <c r="L70" s="58"/>
      <c r="M70" s="135"/>
      <c r="N70" s="135"/>
      <c r="O70" s="76"/>
      <c r="Q70" s="59"/>
      <c r="R70" s="59"/>
    </row>
    <row r="71" spans="2:18" ht="12.75" customHeight="1" x14ac:dyDescent="0.2">
      <c r="B71" s="803"/>
      <c r="C71" s="822"/>
      <c r="D71" s="782" t="s">
        <v>184</v>
      </c>
      <c r="E71" s="783"/>
      <c r="F71" s="783"/>
      <c r="G71" s="77">
        <v>14792</v>
      </c>
      <c r="H71" s="78">
        <f t="shared" si="6"/>
        <v>14792</v>
      </c>
      <c r="I71" s="63"/>
      <c r="J71" s="230"/>
      <c r="K71" s="135"/>
      <c r="L71" s="135"/>
      <c r="M71" s="135"/>
      <c r="N71" s="135"/>
      <c r="O71" s="136"/>
      <c r="Q71" s="59"/>
      <c r="R71" s="59"/>
    </row>
    <row r="72" spans="2:18" ht="12.75" customHeight="1" x14ac:dyDescent="0.2">
      <c r="B72" s="803"/>
      <c r="C72" s="822"/>
      <c r="D72" s="819" t="s">
        <v>185</v>
      </c>
      <c r="E72" s="820"/>
      <c r="F72" s="820"/>
      <c r="G72" s="80">
        <f>O41</f>
        <v>660</v>
      </c>
      <c r="H72" s="78">
        <f t="shared" si="6"/>
        <v>660</v>
      </c>
      <c r="I72" s="63"/>
      <c r="J72" s="230"/>
      <c r="K72" s="231"/>
      <c r="L72" s="231"/>
      <c r="M72" s="135"/>
      <c r="N72" s="135"/>
      <c r="O72" s="232"/>
    </row>
    <row r="73" spans="2:18" x14ac:dyDescent="0.2">
      <c r="B73" s="803"/>
      <c r="C73" s="822"/>
      <c r="D73" s="782" t="s">
        <v>186</v>
      </c>
      <c r="E73" s="783"/>
      <c r="F73" s="783"/>
      <c r="G73" s="81">
        <v>0</v>
      </c>
      <c r="H73" s="78">
        <f t="shared" si="6"/>
        <v>0</v>
      </c>
      <c r="I73" s="63"/>
      <c r="J73" s="230"/>
      <c r="K73" s="231"/>
      <c r="L73" s="231"/>
      <c r="M73" s="135"/>
      <c r="N73" s="135"/>
      <c r="O73" s="232"/>
    </row>
    <row r="74" spans="2:18" ht="12.75" customHeight="1" x14ac:dyDescent="0.2">
      <c r="B74" s="803"/>
      <c r="C74" s="822"/>
      <c r="D74" s="784" t="s">
        <v>188</v>
      </c>
      <c r="E74" s="783"/>
      <c r="F74" s="783"/>
      <c r="G74" s="80">
        <v>0</v>
      </c>
      <c r="H74" s="78">
        <f t="shared" si="6"/>
        <v>0</v>
      </c>
      <c r="I74" s="63"/>
      <c r="J74" s="230"/>
      <c r="K74" s="63"/>
      <c r="L74" s="63"/>
      <c r="M74" s="135"/>
      <c r="N74" s="135"/>
      <c r="O74" s="86"/>
    </row>
    <row r="75" spans="2:18" ht="14.25" customHeight="1" x14ac:dyDescent="0.2">
      <c r="B75" s="803"/>
      <c r="C75" s="822"/>
      <c r="D75" s="782" t="s">
        <v>190</v>
      </c>
      <c r="E75" s="783"/>
      <c r="F75" s="783"/>
      <c r="G75" s="84">
        <v>0</v>
      </c>
      <c r="H75" s="78">
        <f t="shared" si="6"/>
        <v>0</v>
      </c>
      <c r="I75" s="63"/>
      <c r="J75" s="230"/>
      <c r="K75" s="63"/>
      <c r="L75" s="63"/>
      <c r="M75" s="135"/>
      <c r="N75" s="135"/>
      <c r="O75" s="86"/>
    </row>
    <row r="76" spans="2:18" x14ac:dyDescent="0.2">
      <c r="B76" s="803"/>
      <c r="C76" s="822"/>
      <c r="D76" s="782" t="s">
        <v>191</v>
      </c>
      <c r="E76" s="783"/>
      <c r="F76" s="783"/>
      <c r="G76" s="81">
        <v>46816</v>
      </c>
      <c r="H76" s="78">
        <f t="shared" si="6"/>
        <v>46816</v>
      </c>
      <c r="I76" s="58"/>
      <c r="J76" s="230"/>
      <c r="K76" s="63"/>
      <c r="L76" s="63"/>
      <c r="M76" s="135"/>
      <c r="N76" s="135"/>
      <c r="O76" s="86"/>
    </row>
    <row r="77" spans="2:18" x14ac:dyDescent="0.2">
      <c r="B77" s="803"/>
      <c r="C77" s="88" t="s">
        <v>192</v>
      </c>
      <c r="D77" s="813" t="s">
        <v>193</v>
      </c>
      <c r="E77" s="814"/>
      <c r="F77" s="814"/>
      <c r="G77" s="80">
        <v>0</v>
      </c>
      <c r="H77" s="78">
        <f t="shared" si="6"/>
        <v>0</v>
      </c>
      <c r="I77" s="58"/>
      <c r="J77" s="230"/>
      <c r="K77" s="63"/>
      <c r="L77" s="63"/>
      <c r="M77" s="135"/>
      <c r="N77" s="135"/>
      <c r="O77" s="86"/>
    </row>
    <row r="78" spans="2:18" ht="13.5" customHeight="1" thickBot="1" x14ac:dyDescent="0.25">
      <c r="B78" s="803"/>
      <c r="C78" s="88" t="s">
        <v>194</v>
      </c>
      <c r="D78" s="815" t="s">
        <v>195</v>
      </c>
      <c r="E78" s="815"/>
      <c r="F78" s="815"/>
      <c r="G78" s="89">
        <v>0</v>
      </c>
      <c r="H78" s="90">
        <f t="shared" si="6"/>
        <v>0</v>
      </c>
      <c r="I78" s="63"/>
      <c r="J78" s="233"/>
      <c r="K78" s="63"/>
      <c r="L78" s="63"/>
      <c r="M78" s="135"/>
      <c r="N78" s="135"/>
      <c r="O78" s="86"/>
    </row>
    <row r="79" spans="2:18" ht="13.5" thickBot="1" x14ac:dyDescent="0.25">
      <c r="B79" s="803"/>
      <c r="C79" s="93"/>
      <c r="D79" s="94"/>
      <c r="E79" s="816" t="s">
        <v>117</v>
      </c>
      <c r="F79" s="817"/>
      <c r="G79" s="95">
        <f>SUM(G70:G78)</f>
        <v>315268</v>
      </c>
      <c r="H79" s="96">
        <f>IF(SUM(G70:G76)&lt;150000,SUM(G70:G76),150000)+IF(+G77&lt;20000,+G77,20000)</f>
        <v>150000</v>
      </c>
      <c r="I79" s="63"/>
      <c r="J79" s="79"/>
      <c r="K79" s="39"/>
      <c r="L79" s="39"/>
      <c r="M79" s="39"/>
      <c r="N79" s="39"/>
      <c r="O79" s="65"/>
    </row>
    <row r="80" spans="2:18" ht="12.75" customHeight="1" x14ac:dyDescent="0.2">
      <c r="B80" s="803"/>
      <c r="C80" s="100" t="s">
        <v>196</v>
      </c>
      <c r="D80" s="782" t="s">
        <v>187</v>
      </c>
      <c r="E80" s="783"/>
      <c r="F80" s="818"/>
      <c r="G80" s="73">
        <f>+O43</f>
        <v>0</v>
      </c>
      <c r="H80" s="101">
        <f>+IF(+G80&lt;25000,+G80,25000)</f>
        <v>0</v>
      </c>
      <c r="I80" s="87"/>
      <c r="J80" s="82" t="s">
        <v>187</v>
      </c>
      <c r="K80" s="234"/>
      <c r="L80" s="71"/>
      <c r="M80" s="71"/>
      <c r="N80" s="71"/>
      <c r="O80" s="72"/>
    </row>
    <row r="81" spans="2:15" x14ac:dyDescent="0.2">
      <c r="B81" s="803"/>
      <c r="C81" s="100" t="s">
        <v>197</v>
      </c>
      <c r="D81" s="784" t="s">
        <v>198</v>
      </c>
      <c r="E81" s="785"/>
      <c r="F81" s="786"/>
      <c r="G81" s="102"/>
      <c r="H81" s="103">
        <f>+IF(+G81&lt;40000,+G81,40000)</f>
        <v>0</v>
      </c>
      <c r="I81" s="63"/>
      <c r="J81" s="75" t="s">
        <v>189</v>
      </c>
      <c r="K81" s="235"/>
      <c r="L81" s="50"/>
      <c r="M81" s="50"/>
      <c r="N81" s="50"/>
      <c r="O81" s="83">
        <v>0</v>
      </c>
    </row>
    <row r="82" spans="2:15" x14ac:dyDescent="0.2">
      <c r="B82" s="803"/>
      <c r="C82" s="100" t="s">
        <v>199</v>
      </c>
      <c r="D82" s="784" t="s">
        <v>200</v>
      </c>
      <c r="E82" s="785"/>
      <c r="F82" s="786"/>
      <c r="G82" s="81"/>
      <c r="H82" s="104">
        <v>0</v>
      </c>
      <c r="I82" s="63"/>
      <c r="J82" s="75" t="s">
        <v>453</v>
      </c>
      <c r="K82" s="183"/>
      <c r="L82" s="39"/>
      <c r="M82" s="39"/>
      <c r="N82" s="39"/>
      <c r="O82" s="65">
        <v>0</v>
      </c>
    </row>
    <row r="83" spans="2:15" x14ac:dyDescent="0.2">
      <c r="B83" s="803"/>
      <c r="C83" s="100" t="s">
        <v>201</v>
      </c>
      <c r="D83" s="784" t="s">
        <v>202</v>
      </c>
      <c r="E83" s="785"/>
      <c r="F83" s="786"/>
      <c r="G83" s="81">
        <v>0</v>
      </c>
      <c r="H83" s="104">
        <f>+G83*50%</f>
        <v>0</v>
      </c>
      <c r="I83" s="63"/>
      <c r="J83" s="75" t="s">
        <v>454</v>
      </c>
      <c r="K83" s="183"/>
      <c r="L83" s="39"/>
      <c r="M83" s="39"/>
      <c r="N83" s="39"/>
      <c r="O83" s="65"/>
    </row>
    <row r="84" spans="2:15" ht="13.5" thickBot="1" x14ac:dyDescent="0.25">
      <c r="B84" s="804"/>
      <c r="C84" s="100" t="s">
        <v>203</v>
      </c>
      <c r="D84" s="784" t="s">
        <v>204</v>
      </c>
      <c r="E84" s="785"/>
      <c r="F84" s="786"/>
      <c r="G84" s="102"/>
      <c r="H84" s="103">
        <f>+IF(+G84&lt;100000,+G84,10000)</f>
        <v>0</v>
      </c>
      <c r="I84" s="63"/>
      <c r="J84" s="82" t="s">
        <v>202</v>
      </c>
      <c r="K84" s="234"/>
      <c r="L84" s="236"/>
      <c r="M84" s="237"/>
      <c r="N84" s="237"/>
      <c r="O84" s="238"/>
    </row>
    <row r="85" spans="2:15" ht="13.5" thickBot="1" x14ac:dyDescent="0.25">
      <c r="B85" s="787" t="s">
        <v>205</v>
      </c>
      <c r="C85" s="788"/>
      <c r="D85" s="788"/>
      <c r="E85" s="788"/>
      <c r="F85" s="788"/>
      <c r="G85" s="107">
        <f>SUM(G80:G84)</f>
        <v>0</v>
      </c>
      <c r="H85" s="108">
        <f>SUM(H79:H84)</f>
        <v>150000</v>
      </c>
      <c r="J85" s="185"/>
      <c r="K85" s="239"/>
      <c r="L85" s="98"/>
      <c r="M85" s="98"/>
      <c r="N85" s="98"/>
      <c r="O85" s="99"/>
    </row>
    <row r="86" spans="2:15" ht="13.5" thickBot="1" x14ac:dyDescent="0.25">
      <c r="J86" s="183"/>
      <c r="K86" s="135"/>
      <c r="L86" s="68"/>
      <c r="M86" s="91"/>
      <c r="N86" s="91"/>
      <c r="O86" s="91"/>
    </row>
    <row r="87" spans="2:15" ht="13.5" thickBot="1" x14ac:dyDescent="0.25">
      <c r="B87" s="789" t="s">
        <v>206</v>
      </c>
      <c r="C87" s="790"/>
      <c r="D87" s="790"/>
      <c r="E87" s="790"/>
      <c r="F87" s="791"/>
      <c r="G87" s="792">
        <f>+G66-H85</f>
        <v>836187</v>
      </c>
      <c r="H87" s="791"/>
      <c r="J87" s="105">
        <f>C38+D38+E38+F38</f>
        <v>446043</v>
      </c>
      <c r="K87" s="16" t="s">
        <v>235</v>
      </c>
      <c r="L87" s="39"/>
      <c r="M87" s="39"/>
      <c r="N87" s="39"/>
      <c r="O87" s="39"/>
    </row>
    <row r="88" spans="2:15" x14ac:dyDescent="0.2">
      <c r="B88" s="110"/>
      <c r="F88" s="105"/>
      <c r="J88" s="105">
        <f>G38+H38+I38</f>
        <v>278796</v>
      </c>
      <c r="K88" s="16" t="s">
        <v>236</v>
      </c>
    </row>
    <row r="89" spans="2:15" x14ac:dyDescent="0.2">
      <c r="C89" s="793" t="s">
        <v>207</v>
      </c>
      <c r="D89" s="794"/>
      <c r="E89" s="111" t="s">
        <v>208</v>
      </c>
      <c r="F89" s="111" t="s">
        <v>209</v>
      </c>
      <c r="G89" s="111" t="s">
        <v>210</v>
      </c>
      <c r="H89" s="111" t="s">
        <v>211</v>
      </c>
      <c r="J89" s="213">
        <f>J38+K38+L38</f>
        <v>294296</v>
      </c>
      <c r="K89" s="47" t="s">
        <v>237</v>
      </c>
    </row>
    <row r="90" spans="2:15" x14ac:dyDescent="0.2">
      <c r="C90" s="795" t="str">
        <f>IF(I6="M","0          - 250000","0          -  250000")</f>
        <v>0          - 250000</v>
      </c>
      <c r="D90" s="796"/>
      <c r="E90" s="112">
        <v>0</v>
      </c>
      <c r="F90" s="113">
        <f>IF(I6="M",(IF(G87&lt;250000,G87,250000)),(IF(G87&lt;250000,G87,250000)))</f>
        <v>250000</v>
      </c>
      <c r="G90" s="113">
        <f>G87-F90</f>
        <v>586187</v>
      </c>
      <c r="H90" s="113">
        <f>E90*F90</f>
        <v>0</v>
      </c>
      <c r="J90" s="207">
        <f>M38+N38</f>
        <v>94364</v>
      </c>
      <c r="K90" s="1" t="s">
        <v>238</v>
      </c>
    </row>
    <row r="91" spans="2:15" x14ac:dyDescent="0.2">
      <c r="C91" s="795" t="str">
        <f>IF(I6="M","250001 - 500000","250001-500000")</f>
        <v>250001 - 500000</v>
      </c>
      <c r="D91" s="796"/>
      <c r="E91" s="112">
        <v>0.05</v>
      </c>
      <c r="F91" s="113">
        <f>IF(I6="M",(IF(G90&lt;250000,G90,250000)),(IF(G90&lt;250000,G90,250000)))</f>
        <v>250000</v>
      </c>
      <c r="G91" s="113">
        <f>G90-F91</f>
        <v>336187</v>
      </c>
      <c r="H91" s="114">
        <f>ROUND(E91*F91,0.1)</f>
        <v>12500</v>
      </c>
      <c r="J91" s="115">
        <f>SUM(J87:J90)</f>
        <v>1113499</v>
      </c>
    </row>
    <row r="92" spans="2:15" x14ac:dyDescent="0.2">
      <c r="C92" s="797" t="s">
        <v>212</v>
      </c>
      <c r="D92" s="798"/>
      <c r="E92" s="112">
        <v>0.2</v>
      </c>
      <c r="F92" s="113">
        <f>IF(G91&lt;500000,G91,500000)</f>
        <v>336187</v>
      </c>
      <c r="G92" s="113">
        <f>G91-F92</f>
        <v>0</v>
      </c>
      <c r="H92" s="114">
        <f>ROUND(E92*F92,0.1)</f>
        <v>67237</v>
      </c>
      <c r="J92" s="16">
        <f>+G87</f>
        <v>836187</v>
      </c>
    </row>
    <row r="93" spans="2:15" x14ac:dyDescent="0.2">
      <c r="C93" s="795" t="s">
        <v>213</v>
      </c>
      <c r="D93" s="796"/>
      <c r="E93" s="112">
        <v>0.3</v>
      </c>
      <c r="F93" s="113">
        <f>G92</f>
        <v>0</v>
      </c>
      <c r="G93" s="113">
        <f>G92-F93</f>
        <v>0</v>
      </c>
      <c r="H93" s="114">
        <f>ROUND(E93*F93,0.1)</f>
        <v>0</v>
      </c>
      <c r="J93" s="16">
        <f>+J91-J92</f>
        <v>277312</v>
      </c>
    </row>
    <row r="94" spans="2:15" ht="12.75" customHeight="1" thickBot="1" x14ac:dyDescent="0.25">
      <c r="B94" s="116"/>
      <c r="C94" s="117"/>
      <c r="D94" s="47"/>
      <c r="E94" s="47"/>
      <c r="F94" s="47"/>
    </row>
    <row r="95" spans="2:15" ht="13.5" thickBot="1" x14ac:dyDescent="0.25">
      <c r="B95" s="799" t="s">
        <v>239</v>
      </c>
      <c r="C95" s="800"/>
      <c r="D95" s="800"/>
      <c r="E95" s="800"/>
      <c r="F95" s="801"/>
      <c r="G95" s="771">
        <f>H90+H91+H92+H93</f>
        <v>79737</v>
      </c>
      <c r="H95" s="772"/>
    </row>
    <row r="96" spans="2:15" ht="13.5" thickBot="1" x14ac:dyDescent="0.25">
      <c r="B96" s="119" t="s">
        <v>215</v>
      </c>
      <c r="C96" s="120"/>
      <c r="D96" s="120"/>
      <c r="E96" s="120"/>
      <c r="F96" s="120"/>
      <c r="G96" s="884">
        <f>IF((G66&lt;500000),5000,0)</f>
        <v>0</v>
      </c>
      <c r="H96" s="885">
        <f>IF(H94&lt;200000,0,IF(H94&lt;220000,((H94-200000)*10%),IF(H94&lt;=500000,2000,IF(H94&gt;=500000,0))))</f>
        <v>0</v>
      </c>
      <c r="J96" s="106"/>
      <c r="K96" s="121"/>
      <c r="L96" s="121"/>
    </row>
    <row r="97" spans="2:9" ht="13.5" thickBot="1" x14ac:dyDescent="0.25">
      <c r="B97" s="122" t="s">
        <v>216</v>
      </c>
      <c r="C97" s="123"/>
      <c r="D97" s="123"/>
      <c r="E97" s="123"/>
      <c r="F97" s="123"/>
      <c r="G97" s="771">
        <f>IF((G95-G96)&lt;0,0,(G95-G96))</f>
        <v>79737</v>
      </c>
      <c r="H97" s="772"/>
      <c r="I97" s="37"/>
    </row>
    <row r="98" spans="2:9" ht="13.5" thickBot="1" x14ac:dyDescent="0.25">
      <c r="B98" s="773" t="s">
        <v>240</v>
      </c>
      <c r="C98" s="774"/>
      <c r="D98" s="774"/>
      <c r="E98" s="774"/>
      <c r="F98" s="775"/>
      <c r="G98" s="776">
        <f>ROUND((IF(G97&gt;0,(G97*4%),0)),0)</f>
        <v>3189</v>
      </c>
      <c r="H98" s="777"/>
      <c r="I98" s="37"/>
    </row>
    <row r="99" spans="2:9" ht="13.5" thickBot="1" x14ac:dyDescent="0.25">
      <c r="B99" s="778" t="s">
        <v>218</v>
      </c>
      <c r="C99" s="779"/>
      <c r="D99" s="779"/>
      <c r="E99" s="779"/>
      <c r="F99" s="779"/>
      <c r="G99" s="780">
        <f>G97+G98</f>
        <v>82926</v>
      </c>
      <c r="H99" s="781"/>
      <c r="I99" s="121"/>
    </row>
    <row r="100" spans="2:9" ht="13.5" thickBot="1" x14ac:dyDescent="0.25">
      <c r="B100" s="765" t="s">
        <v>219</v>
      </c>
      <c r="C100" s="766"/>
      <c r="D100" s="766"/>
      <c r="E100" s="766"/>
      <c r="F100" s="766"/>
      <c r="G100" s="767">
        <f>O39</f>
        <v>91500</v>
      </c>
      <c r="H100" s="768"/>
      <c r="I100" s="121"/>
    </row>
    <row r="101" spans="2:9" ht="13.5" thickBot="1" x14ac:dyDescent="0.25">
      <c r="B101" s="765" t="str">
        <f>IF(G101&gt;0,"TAX PAYABLE","TAX REFUND")</f>
        <v>TAX REFUND</v>
      </c>
      <c r="C101" s="766"/>
      <c r="D101" s="766"/>
      <c r="E101" s="766"/>
      <c r="F101" s="766"/>
      <c r="G101" s="767">
        <f>+G99-G100</f>
        <v>-8574</v>
      </c>
      <c r="H101" s="768"/>
      <c r="I101" s="37"/>
    </row>
    <row r="102" spans="2:9" x14ac:dyDescent="0.2">
      <c r="C102" s="124"/>
      <c r="D102" s="45"/>
      <c r="E102" s="118"/>
      <c r="F102" s="118"/>
      <c r="G102" s="118"/>
      <c r="H102" s="118"/>
      <c r="I102" s="125"/>
    </row>
    <row r="103" spans="2:9" x14ac:dyDescent="0.2">
      <c r="C103" s="47"/>
      <c r="D103" s="50"/>
      <c r="E103" s="117"/>
      <c r="F103" s="47"/>
      <c r="G103" s="47"/>
      <c r="H103" s="47"/>
      <c r="I103" s="125"/>
    </row>
    <row r="104" spans="2:9" x14ac:dyDescent="0.2">
      <c r="C104" s="39"/>
      <c r="D104" s="126"/>
      <c r="E104" s="126"/>
      <c r="F104" s="126"/>
      <c r="G104" s="39"/>
      <c r="H104" s="39"/>
      <c r="I104" s="37"/>
    </row>
    <row r="105" spans="2:9" x14ac:dyDescent="0.2">
      <c r="C105" s="39"/>
      <c r="D105" s="126"/>
      <c r="E105" s="126"/>
      <c r="F105" s="39"/>
      <c r="G105" s="39"/>
      <c r="H105" s="39"/>
      <c r="I105" s="37"/>
    </row>
    <row r="106" spans="2:9" x14ac:dyDescent="0.2">
      <c r="C106" s="39"/>
      <c r="D106" s="126"/>
      <c r="E106" s="126"/>
      <c r="F106" s="39"/>
      <c r="G106" s="39"/>
      <c r="H106" s="39"/>
      <c r="I106" s="37"/>
    </row>
    <row r="107" spans="2:9" x14ac:dyDescent="0.2">
      <c r="C107" s="39"/>
      <c r="D107" s="39"/>
      <c r="E107" s="39"/>
      <c r="F107" s="39"/>
      <c r="G107" s="39"/>
      <c r="H107" s="39"/>
      <c r="I107" s="37"/>
    </row>
    <row r="108" spans="2:9" x14ac:dyDescent="0.2">
      <c r="C108" s="39"/>
      <c r="D108" s="39"/>
      <c r="E108" s="39"/>
      <c r="F108" s="39"/>
      <c r="G108" s="39"/>
      <c r="H108" s="39"/>
    </row>
    <row r="109" spans="2:9" x14ac:dyDescent="0.2">
      <c r="C109" s="39"/>
      <c r="D109" s="39"/>
      <c r="E109" s="39"/>
      <c r="F109" s="39"/>
      <c r="G109" s="39"/>
      <c r="H109"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7:B37"/>
    <mergeCell ref="A5:C5"/>
    <mergeCell ref="D5:F5"/>
    <mergeCell ref="G5:H5"/>
    <mergeCell ref="I5:O5"/>
    <mergeCell ref="A6:C6"/>
    <mergeCell ref="D6:F6"/>
    <mergeCell ref="G6:H6"/>
    <mergeCell ref="J6:O6"/>
    <mergeCell ref="L7:O7"/>
    <mergeCell ref="A8:B8"/>
    <mergeCell ref="A21:A34"/>
    <mergeCell ref="A35:B35"/>
    <mergeCell ref="A36:B36"/>
    <mergeCell ref="A39:A49"/>
    <mergeCell ref="A50:B50"/>
    <mergeCell ref="A51:B51"/>
    <mergeCell ref="B54:F54"/>
    <mergeCell ref="G54:H54"/>
    <mergeCell ref="B61:F61"/>
    <mergeCell ref="G61:H61"/>
    <mergeCell ref="J61:O61"/>
    <mergeCell ref="B56:B59"/>
    <mergeCell ref="C56:C59"/>
    <mergeCell ref="D56:F56"/>
    <mergeCell ref="G56:H56"/>
    <mergeCell ref="D57:F57"/>
    <mergeCell ref="G57:H57"/>
    <mergeCell ref="J57:L57"/>
    <mergeCell ref="M57:O57"/>
    <mergeCell ref="D59:F59"/>
    <mergeCell ref="G59:H59"/>
    <mergeCell ref="J64:O64"/>
    <mergeCell ref="D82:F82"/>
    <mergeCell ref="J69:K69"/>
    <mergeCell ref="B66:F66"/>
    <mergeCell ref="G66:H66"/>
    <mergeCell ref="D77:F77"/>
    <mergeCell ref="D78:F78"/>
    <mergeCell ref="E79:F79"/>
    <mergeCell ref="D80:F80"/>
    <mergeCell ref="D81:F81"/>
    <mergeCell ref="D72:F72"/>
    <mergeCell ref="D73:F73"/>
    <mergeCell ref="C70:C76"/>
    <mergeCell ref="D70:F70"/>
    <mergeCell ref="D71:F71"/>
    <mergeCell ref="D75:F75"/>
    <mergeCell ref="G63:H63"/>
    <mergeCell ref="C64:F64"/>
    <mergeCell ref="G64:H64"/>
    <mergeCell ref="B63:F63"/>
    <mergeCell ref="D74:F74"/>
    <mergeCell ref="D76:F76"/>
    <mergeCell ref="G95:H95"/>
    <mergeCell ref="D83:F83"/>
    <mergeCell ref="D84:F84"/>
    <mergeCell ref="B85:F85"/>
    <mergeCell ref="B87:F87"/>
    <mergeCell ref="G87:H87"/>
    <mergeCell ref="C89:D89"/>
    <mergeCell ref="C90:D90"/>
    <mergeCell ref="C91:D91"/>
    <mergeCell ref="C92:D92"/>
    <mergeCell ref="C93:D93"/>
    <mergeCell ref="B95:F95"/>
    <mergeCell ref="B70:B84"/>
    <mergeCell ref="B101:F101"/>
    <mergeCell ref="G101:H101"/>
    <mergeCell ref="G96:H96"/>
    <mergeCell ref="G97:H97"/>
    <mergeCell ref="B98:F98"/>
    <mergeCell ref="G98:H98"/>
    <mergeCell ref="B99:F99"/>
    <mergeCell ref="G99:H99"/>
    <mergeCell ref="B100:F100"/>
    <mergeCell ref="G100:H100"/>
  </mergeCells>
  <conditionalFormatting sqref="B92:F92 B101:F101 B95:F99">
    <cfRule type="cellIs" dxfId="2105" priority="3" stopIfTrue="1" operator="equal">
      <formula>"TAX PAYABLE"</formula>
    </cfRule>
    <cfRule type="cellIs" dxfId="2104" priority="4" stopIfTrue="1" operator="equal">
      <formula>"TAX REFUND"</formula>
    </cfRule>
  </conditionalFormatting>
  <conditionalFormatting sqref="G101:H101">
    <cfRule type="cellIs" dxfId="2103" priority="1" stopIfTrue="1" operator="greaterThan">
      <formula>0</formula>
    </cfRule>
    <cfRule type="cellIs" dxfId="2102" priority="2" stopIfTrue="1" operator="lessThanOrEqual">
      <formula>0</formula>
    </cfRule>
  </conditionalFormatting>
  <conditionalFormatting sqref="G92:H92">
    <cfRule type="cellIs" dxfId="2101" priority="5" stopIfTrue="1" operator="lessThan">
      <formula>0</formula>
    </cfRule>
    <cfRule type="cellIs" dxfId="2100" priority="6" stopIfTrue="1" operator="greaterThan">
      <formula>0</formula>
    </cfRule>
  </conditionalFormatting>
  <dataValidations disablePrompts="1"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hyperlinks>
    <hyperlink ref="J52" r:id="rId1" display="+J37-@sum(J22:J36)"/>
  </hyperlinks>
  <pageMargins left="0.75" right="0.75" top="1" bottom="1" header="0.5" footer="0.5"/>
  <headerFooter alignWithMargins="0"/>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07"/>
  <sheetViews>
    <sheetView topLeftCell="A62" workbookViewId="0">
      <selection activeCell="O37" sqref="O37"/>
    </sheetView>
  </sheetViews>
  <sheetFormatPr defaultRowHeight="12.75" x14ac:dyDescent="0.2"/>
  <cols>
    <col min="1" max="1" width="5" style="16" customWidth="1"/>
    <col min="2" max="2" width="18.42578125" style="37" customWidth="1"/>
    <col min="3" max="3" width="7.7109375" style="16" customWidth="1"/>
    <col min="4" max="4" width="7.42578125" style="16" customWidth="1"/>
    <col min="5" max="5" width="8.5703125" style="16" bestFit="1" customWidth="1"/>
    <col min="6" max="6" width="9.28515625" style="16" bestFit="1" customWidth="1"/>
    <col min="7" max="8" width="8" style="16" customWidth="1"/>
    <col min="9" max="14" width="7.7109375" style="16" customWidth="1"/>
    <col min="15" max="15" width="8.570312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8.42578125" style="16" customWidth="1"/>
    <col min="259" max="259" width="7.7109375" style="16" customWidth="1"/>
    <col min="260" max="260" width="7.42578125" style="16" customWidth="1"/>
    <col min="261" max="261" width="8.5703125" style="16" bestFit="1" customWidth="1"/>
    <col min="262" max="262" width="9.28515625" style="16" bestFit="1" customWidth="1"/>
    <col min="263" max="264" width="8" style="16" customWidth="1"/>
    <col min="265" max="270" width="7.7109375" style="16" customWidth="1"/>
    <col min="271" max="271" width="8.570312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8.42578125" style="16" customWidth="1"/>
    <col min="515" max="515" width="7.7109375" style="16" customWidth="1"/>
    <col min="516" max="516" width="7.42578125" style="16" customWidth="1"/>
    <col min="517" max="517" width="8.5703125" style="16" bestFit="1" customWidth="1"/>
    <col min="518" max="518" width="9.28515625" style="16" bestFit="1" customWidth="1"/>
    <col min="519" max="520" width="8" style="16" customWidth="1"/>
    <col min="521" max="526" width="7.7109375" style="16" customWidth="1"/>
    <col min="527" max="527" width="8.570312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8.42578125" style="16" customWidth="1"/>
    <col min="771" max="771" width="7.7109375" style="16" customWidth="1"/>
    <col min="772" max="772" width="7.42578125" style="16" customWidth="1"/>
    <col min="773" max="773" width="8.5703125" style="16" bestFit="1" customWidth="1"/>
    <col min="774" max="774" width="9.28515625" style="16" bestFit="1" customWidth="1"/>
    <col min="775" max="776" width="8" style="16" customWidth="1"/>
    <col min="777" max="782" width="7.7109375" style="16" customWidth="1"/>
    <col min="783" max="783" width="8.570312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8.42578125" style="16" customWidth="1"/>
    <col min="1027" max="1027" width="7.7109375" style="16" customWidth="1"/>
    <col min="1028" max="1028" width="7.42578125" style="16" customWidth="1"/>
    <col min="1029" max="1029" width="8.5703125" style="16" bestFit="1" customWidth="1"/>
    <col min="1030" max="1030" width="9.28515625" style="16" bestFit="1" customWidth="1"/>
    <col min="1031" max="1032" width="8" style="16" customWidth="1"/>
    <col min="1033" max="1038" width="7.7109375" style="16" customWidth="1"/>
    <col min="1039" max="1039" width="8.570312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8.42578125" style="16" customWidth="1"/>
    <col min="1283" max="1283" width="7.7109375" style="16" customWidth="1"/>
    <col min="1284" max="1284" width="7.42578125" style="16" customWidth="1"/>
    <col min="1285" max="1285" width="8.5703125" style="16" bestFit="1" customWidth="1"/>
    <col min="1286" max="1286" width="9.28515625" style="16" bestFit="1" customWidth="1"/>
    <col min="1287" max="1288" width="8" style="16" customWidth="1"/>
    <col min="1289" max="1294" width="7.7109375" style="16" customWidth="1"/>
    <col min="1295" max="1295" width="8.570312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8.42578125" style="16" customWidth="1"/>
    <col min="1539" max="1539" width="7.7109375" style="16" customWidth="1"/>
    <col min="1540" max="1540" width="7.42578125" style="16" customWidth="1"/>
    <col min="1541" max="1541" width="8.5703125" style="16" bestFit="1" customWidth="1"/>
    <col min="1542" max="1542" width="9.28515625" style="16" bestFit="1" customWidth="1"/>
    <col min="1543" max="1544" width="8" style="16" customWidth="1"/>
    <col min="1545" max="1550" width="7.7109375" style="16" customWidth="1"/>
    <col min="1551" max="1551" width="8.570312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8.42578125" style="16" customWidth="1"/>
    <col min="1795" max="1795" width="7.7109375" style="16" customWidth="1"/>
    <col min="1796" max="1796" width="7.42578125" style="16" customWidth="1"/>
    <col min="1797" max="1797" width="8.5703125" style="16" bestFit="1" customWidth="1"/>
    <col min="1798" max="1798" width="9.28515625" style="16" bestFit="1" customWidth="1"/>
    <col min="1799" max="1800" width="8" style="16" customWidth="1"/>
    <col min="1801" max="1806" width="7.7109375" style="16" customWidth="1"/>
    <col min="1807" max="1807" width="8.570312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8.42578125" style="16" customWidth="1"/>
    <col min="2051" max="2051" width="7.7109375" style="16" customWidth="1"/>
    <col min="2052" max="2052" width="7.42578125" style="16" customWidth="1"/>
    <col min="2053" max="2053" width="8.5703125" style="16" bestFit="1" customWidth="1"/>
    <col min="2054" max="2054" width="9.28515625" style="16" bestFit="1" customWidth="1"/>
    <col min="2055" max="2056" width="8" style="16" customWidth="1"/>
    <col min="2057" max="2062" width="7.7109375" style="16" customWidth="1"/>
    <col min="2063" max="2063" width="8.570312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8.42578125" style="16" customWidth="1"/>
    <col min="2307" max="2307" width="7.7109375" style="16" customWidth="1"/>
    <col min="2308" max="2308" width="7.42578125" style="16" customWidth="1"/>
    <col min="2309" max="2309" width="8.5703125" style="16" bestFit="1" customWidth="1"/>
    <col min="2310" max="2310" width="9.28515625" style="16" bestFit="1" customWidth="1"/>
    <col min="2311" max="2312" width="8" style="16" customWidth="1"/>
    <col min="2313" max="2318" width="7.7109375" style="16" customWidth="1"/>
    <col min="2319" max="2319" width="8.570312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8.42578125" style="16" customWidth="1"/>
    <col min="2563" max="2563" width="7.7109375" style="16" customWidth="1"/>
    <col min="2564" max="2564" width="7.42578125" style="16" customWidth="1"/>
    <col min="2565" max="2565" width="8.5703125" style="16" bestFit="1" customWidth="1"/>
    <col min="2566" max="2566" width="9.28515625" style="16" bestFit="1" customWidth="1"/>
    <col min="2567" max="2568" width="8" style="16" customWidth="1"/>
    <col min="2569" max="2574" width="7.7109375" style="16" customWidth="1"/>
    <col min="2575" max="2575" width="8.570312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8.42578125" style="16" customWidth="1"/>
    <col min="2819" max="2819" width="7.7109375" style="16" customWidth="1"/>
    <col min="2820" max="2820" width="7.42578125" style="16" customWidth="1"/>
    <col min="2821" max="2821" width="8.5703125" style="16" bestFit="1" customWidth="1"/>
    <col min="2822" max="2822" width="9.28515625" style="16" bestFit="1" customWidth="1"/>
    <col min="2823" max="2824" width="8" style="16" customWidth="1"/>
    <col min="2825" max="2830" width="7.7109375" style="16" customWidth="1"/>
    <col min="2831" max="2831" width="8.570312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8.42578125" style="16" customWidth="1"/>
    <col min="3075" max="3075" width="7.7109375" style="16" customWidth="1"/>
    <col min="3076" max="3076" width="7.42578125" style="16" customWidth="1"/>
    <col min="3077" max="3077" width="8.5703125" style="16" bestFit="1" customWidth="1"/>
    <col min="3078" max="3078" width="9.28515625" style="16" bestFit="1" customWidth="1"/>
    <col min="3079" max="3080" width="8" style="16" customWidth="1"/>
    <col min="3081" max="3086" width="7.7109375" style="16" customWidth="1"/>
    <col min="3087" max="3087" width="8.570312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8.42578125" style="16" customWidth="1"/>
    <col min="3331" max="3331" width="7.7109375" style="16" customWidth="1"/>
    <col min="3332" max="3332" width="7.42578125" style="16" customWidth="1"/>
    <col min="3333" max="3333" width="8.5703125" style="16" bestFit="1" customWidth="1"/>
    <col min="3334" max="3334" width="9.28515625" style="16" bestFit="1" customWidth="1"/>
    <col min="3335" max="3336" width="8" style="16" customWidth="1"/>
    <col min="3337" max="3342" width="7.7109375" style="16" customWidth="1"/>
    <col min="3343" max="3343" width="8.570312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8.42578125" style="16" customWidth="1"/>
    <col min="3587" max="3587" width="7.7109375" style="16" customWidth="1"/>
    <col min="3588" max="3588" width="7.42578125" style="16" customWidth="1"/>
    <col min="3589" max="3589" width="8.5703125" style="16" bestFit="1" customWidth="1"/>
    <col min="3590" max="3590" width="9.28515625" style="16" bestFit="1" customWidth="1"/>
    <col min="3591" max="3592" width="8" style="16" customWidth="1"/>
    <col min="3593" max="3598" width="7.7109375" style="16" customWidth="1"/>
    <col min="3599" max="3599" width="8.570312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8.42578125" style="16" customWidth="1"/>
    <col min="3843" max="3843" width="7.7109375" style="16" customWidth="1"/>
    <col min="3844" max="3844" width="7.42578125" style="16" customWidth="1"/>
    <col min="3845" max="3845" width="8.5703125" style="16" bestFit="1" customWidth="1"/>
    <col min="3846" max="3846" width="9.28515625" style="16" bestFit="1" customWidth="1"/>
    <col min="3847" max="3848" width="8" style="16" customWidth="1"/>
    <col min="3849" max="3854" width="7.7109375" style="16" customWidth="1"/>
    <col min="3855" max="3855" width="8.570312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8.42578125" style="16" customWidth="1"/>
    <col min="4099" max="4099" width="7.7109375" style="16" customWidth="1"/>
    <col min="4100" max="4100" width="7.42578125" style="16" customWidth="1"/>
    <col min="4101" max="4101" width="8.5703125" style="16" bestFit="1" customWidth="1"/>
    <col min="4102" max="4102" width="9.28515625" style="16" bestFit="1" customWidth="1"/>
    <col min="4103" max="4104" width="8" style="16" customWidth="1"/>
    <col min="4105" max="4110" width="7.7109375" style="16" customWidth="1"/>
    <col min="4111" max="4111" width="8.570312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8.42578125" style="16" customWidth="1"/>
    <col min="4355" max="4355" width="7.7109375" style="16" customWidth="1"/>
    <col min="4356" max="4356" width="7.42578125" style="16" customWidth="1"/>
    <col min="4357" max="4357" width="8.5703125" style="16" bestFit="1" customWidth="1"/>
    <col min="4358" max="4358" width="9.28515625" style="16" bestFit="1" customWidth="1"/>
    <col min="4359" max="4360" width="8" style="16" customWidth="1"/>
    <col min="4361" max="4366" width="7.7109375" style="16" customWidth="1"/>
    <col min="4367" max="4367" width="8.570312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8.42578125" style="16" customWidth="1"/>
    <col min="4611" max="4611" width="7.7109375" style="16" customWidth="1"/>
    <col min="4612" max="4612" width="7.42578125" style="16" customWidth="1"/>
    <col min="4613" max="4613" width="8.5703125" style="16" bestFit="1" customWidth="1"/>
    <col min="4614" max="4614" width="9.28515625" style="16" bestFit="1" customWidth="1"/>
    <col min="4615" max="4616" width="8" style="16" customWidth="1"/>
    <col min="4617" max="4622" width="7.7109375" style="16" customWidth="1"/>
    <col min="4623" max="4623" width="8.570312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8.42578125" style="16" customWidth="1"/>
    <col min="4867" max="4867" width="7.7109375" style="16" customWidth="1"/>
    <col min="4868" max="4868" width="7.42578125" style="16" customWidth="1"/>
    <col min="4869" max="4869" width="8.5703125" style="16" bestFit="1" customWidth="1"/>
    <col min="4870" max="4870" width="9.28515625" style="16" bestFit="1" customWidth="1"/>
    <col min="4871" max="4872" width="8" style="16" customWidth="1"/>
    <col min="4873" max="4878" width="7.7109375" style="16" customWidth="1"/>
    <col min="4879" max="4879" width="8.570312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8.42578125" style="16" customWidth="1"/>
    <col min="5123" max="5123" width="7.7109375" style="16" customWidth="1"/>
    <col min="5124" max="5124" width="7.42578125" style="16" customWidth="1"/>
    <col min="5125" max="5125" width="8.5703125" style="16" bestFit="1" customWidth="1"/>
    <col min="5126" max="5126" width="9.28515625" style="16" bestFit="1" customWidth="1"/>
    <col min="5127" max="5128" width="8" style="16" customWidth="1"/>
    <col min="5129" max="5134" width="7.7109375" style="16" customWidth="1"/>
    <col min="5135" max="5135" width="8.570312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8.42578125" style="16" customWidth="1"/>
    <col min="5379" max="5379" width="7.7109375" style="16" customWidth="1"/>
    <col min="5380" max="5380" width="7.42578125" style="16" customWidth="1"/>
    <col min="5381" max="5381" width="8.5703125" style="16" bestFit="1" customWidth="1"/>
    <col min="5382" max="5382" width="9.28515625" style="16" bestFit="1" customWidth="1"/>
    <col min="5383" max="5384" width="8" style="16" customWidth="1"/>
    <col min="5385" max="5390" width="7.7109375" style="16" customWidth="1"/>
    <col min="5391" max="5391" width="8.570312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8.42578125" style="16" customWidth="1"/>
    <col min="5635" max="5635" width="7.7109375" style="16" customWidth="1"/>
    <col min="5636" max="5636" width="7.42578125" style="16" customWidth="1"/>
    <col min="5637" max="5637" width="8.5703125" style="16" bestFit="1" customWidth="1"/>
    <col min="5638" max="5638" width="9.28515625" style="16" bestFit="1" customWidth="1"/>
    <col min="5639" max="5640" width="8" style="16" customWidth="1"/>
    <col min="5641" max="5646" width="7.7109375" style="16" customWidth="1"/>
    <col min="5647" max="5647" width="8.570312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8.42578125" style="16" customWidth="1"/>
    <col min="5891" max="5891" width="7.7109375" style="16" customWidth="1"/>
    <col min="5892" max="5892" width="7.42578125" style="16" customWidth="1"/>
    <col min="5893" max="5893" width="8.5703125" style="16" bestFit="1" customWidth="1"/>
    <col min="5894" max="5894" width="9.28515625" style="16" bestFit="1" customWidth="1"/>
    <col min="5895" max="5896" width="8" style="16" customWidth="1"/>
    <col min="5897" max="5902" width="7.7109375" style="16" customWidth="1"/>
    <col min="5903" max="5903" width="8.570312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8.42578125" style="16" customWidth="1"/>
    <col min="6147" max="6147" width="7.7109375" style="16" customWidth="1"/>
    <col min="6148" max="6148" width="7.42578125" style="16" customWidth="1"/>
    <col min="6149" max="6149" width="8.5703125" style="16" bestFit="1" customWidth="1"/>
    <col min="6150" max="6150" width="9.28515625" style="16" bestFit="1" customWidth="1"/>
    <col min="6151" max="6152" width="8" style="16" customWidth="1"/>
    <col min="6153" max="6158" width="7.7109375" style="16" customWidth="1"/>
    <col min="6159" max="6159" width="8.570312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8.42578125" style="16" customWidth="1"/>
    <col min="6403" max="6403" width="7.7109375" style="16" customWidth="1"/>
    <col min="6404" max="6404" width="7.42578125" style="16" customWidth="1"/>
    <col min="6405" max="6405" width="8.5703125" style="16" bestFit="1" customWidth="1"/>
    <col min="6406" max="6406" width="9.28515625" style="16" bestFit="1" customWidth="1"/>
    <col min="6407" max="6408" width="8" style="16" customWidth="1"/>
    <col min="6409" max="6414" width="7.7109375" style="16" customWidth="1"/>
    <col min="6415" max="6415" width="8.570312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8.42578125" style="16" customWidth="1"/>
    <col min="6659" max="6659" width="7.7109375" style="16" customWidth="1"/>
    <col min="6660" max="6660" width="7.42578125" style="16" customWidth="1"/>
    <col min="6661" max="6661" width="8.5703125" style="16" bestFit="1" customWidth="1"/>
    <col min="6662" max="6662" width="9.28515625" style="16" bestFit="1" customWidth="1"/>
    <col min="6663" max="6664" width="8" style="16" customWidth="1"/>
    <col min="6665" max="6670" width="7.7109375" style="16" customWidth="1"/>
    <col min="6671" max="6671" width="8.570312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8.42578125" style="16" customWidth="1"/>
    <col min="6915" max="6915" width="7.7109375" style="16" customWidth="1"/>
    <col min="6916" max="6916" width="7.42578125" style="16" customWidth="1"/>
    <col min="6917" max="6917" width="8.5703125" style="16" bestFit="1" customWidth="1"/>
    <col min="6918" max="6918" width="9.28515625" style="16" bestFit="1" customWidth="1"/>
    <col min="6919" max="6920" width="8" style="16" customWidth="1"/>
    <col min="6921" max="6926" width="7.7109375" style="16" customWidth="1"/>
    <col min="6927" max="6927" width="8.570312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8.42578125" style="16" customWidth="1"/>
    <col min="7171" max="7171" width="7.7109375" style="16" customWidth="1"/>
    <col min="7172" max="7172" width="7.42578125" style="16" customWidth="1"/>
    <col min="7173" max="7173" width="8.5703125" style="16" bestFit="1" customWidth="1"/>
    <col min="7174" max="7174" width="9.28515625" style="16" bestFit="1" customWidth="1"/>
    <col min="7175" max="7176" width="8" style="16" customWidth="1"/>
    <col min="7177" max="7182" width="7.7109375" style="16" customWidth="1"/>
    <col min="7183" max="7183" width="8.570312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8.42578125" style="16" customWidth="1"/>
    <col min="7427" max="7427" width="7.7109375" style="16" customWidth="1"/>
    <col min="7428" max="7428" width="7.42578125" style="16" customWidth="1"/>
    <col min="7429" max="7429" width="8.5703125" style="16" bestFit="1" customWidth="1"/>
    <col min="7430" max="7430" width="9.28515625" style="16" bestFit="1" customWidth="1"/>
    <col min="7431" max="7432" width="8" style="16" customWidth="1"/>
    <col min="7433" max="7438" width="7.7109375" style="16" customWidth="1"/>
    <col min="7439" max="7439" width="8.570312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8.42578125" style="16" customWidth="1"/>
    <col min="7683" max="7683" width="7.7109375" style="16" customWidth="1"/>
    <col min="7684" max="7684" width="7.42578125" style="16" customWidth="1"/>
    <col min="7685" max="7685" width="8.5703125" style="16" bestFit="1" customWidth="1"/>
    <col min="7686" max="7686" width="9.28515625" style="16" bestFit="1" customWidth="1"/>
    <col min="7687" max="7688" width="8" style="16" customWidth="1"/>
    <col min="7689" max="7694" width="7.7109375" style="16" customWidth="1"/>
    <col min="7695" max="7695" width="8.570312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8.42578125" style="16" customWidth="1"/>
    <col min="7939" max="7939" width="7.7109375" style="16" customWidth="1"/>
    <col min="7940" max="7940" width="7.42578125" style="16" customWidth="1"/>
    <col min="7941" max="7941" width="8.5703125" style="16" bestFit="1" customWidth="1"/>
    <col min="7942" max="7942" width="9.28515625" style="16" bestFit="1" customWidth="1"/>
    <col min="7943" max="7944" width="8" style="16" customWidth="1"/>
    <col min="7945" max="7950" width="7.7109375" style="16" customWidth="1"/>
    <col min="7951" max="7951" width="8.570312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8.42578125" style="16" customWidth="1"/>
    <col min="8195" max="8195" width="7.7109375" style="16" customWidth="1"/>
    <col min="8196" max="8196" width="7.42578125" style="16" customWidth="1"/>
    <col min="8197" max="8197" width="8.5703125" style="16" bestFit="1" customWidth="1"/>
    <col min="8198" max="8198" width="9.28515625" style="16" bestFit="1" customWidth="1"/>
    <col min="8199" max="8200" width="8" style="16" customWidth="1"/>
    <col min="8201" max="8206" width="7.7109375" style="16" customWidth="1"/>
    <col min="8207" max="8207" width="8.570312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8.42578125" style="16" customWidth="1"/>
    <col min="8451" max="8451" width="7.7109375" style="16" customWidth="1"/>
    <col min="8452" max="8452" width="7.42578125" style="16" customWidth="1"/>
    <col min="8453" max="8453" width="8.5703125" style="16" bestFit="1" customWidth="1"/>
    <col min="8454" max="8454" width="9.28515625" style="16" bestFit="1" customWidth="1"/>
    <col min="8455" max="8456" width="8" style="16" customWidth="1"/>
    <col min="8457" max="8462" width="7.7109375" style="16" customWidth="1"/>
    <col min="8463" max="8463" width="8.570312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8.42578125" style="16" customWidth="1"/>
    <col min="8707" max="8707" width="7.7109375" style="16" customWidth="1"/>
    <col min="8708" max="8708" width="7.42578125" style="16" customWidth="1"/>
    <col min="8709" max="8709" width="8.5703125" style="16" bestFit="1" customWidth="1"/>
    <col min="8710" max="8710" width="9.28515625" style="16" bestFit="1" customWidth="1"/>
    <col min="8711" max="8712" width="8" style="16" customWidth="1"/>
    <col min="8713" max="8718" width="7.7109375" style="16" customWidth="1"/>
    <col min="8719" max="8719" width="8.570312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8.42578125" style="16" customWidth="1"/>
    <col min="8963" max="8963" width="7.7109375" style="16" customWidth="1"/>
    <col min="8964" max="8964" width="7.42578125" style="16" customWidth="1"/>
    <col min="8965" max="8965" width="8.5703125" style="16" bestFit="1" customWidth="1"/>
    <col min="8966" max="8966" width="9.28515625" style="16" bestFit="1" customWidth="1"/>
    <col min="8967" max="8968" width="8" style="16" customWidth="1"/>
    <col min="8969" max="8974" width="7.7109375" style="16" customWidth="1"/>
    <col min="8975" max="8975" width="8.570312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8.42578125" style="16" customWidth="1"/>
    <col min="9219" max="9219" width="7.7109375" style="16" customWidth="1"/>
    <col min="9220" max="9220" width="7.42578125" style="16" customWidth="1"/>
    <col min="9221" max="9221" width="8.5703125" style="16" bestFit="1" customWidth="1"/>
    <col min="9222" max="9222" width="9.28515625" style="16" bestFit="1" customWidth="1"/>
    <col min="9223" max="9224" width="8" style="16" customWidth="1"/>
    <col min="9225" max="9230" width="7.7109375" style="16" customWidth="1"/>
    <col min="9231" max="9231" width="8.570312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8.42578125" style="16" customWidth="1"/>
    <col min="9475" max="9475" width="7.7109375" style="16" customWidth="1"/>
    <col min="9476" max="9476" width="7.42578125" style="16" customWidth="1"/>
    <col min="9477" max="9477" width="8.5703125" style="16" bestFit="1" customWidth="1"/>
    <col min="9478" max="9478" width="9.28515625" style="16" bestFit="1" customWidth="1"/>
    <col min="9479" max="9480" width="8" style="16" customWidth="1"/>
    <col min="9481" max="9486" width="7.7109375" style="16" customWidth="1"/>
    <col min="9487" max="9487" width="8.570312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8.42578125" style="16" customWidth="1"/>
    <col min="9731" max="9731" width="7.7109375" style="16" customWidth="1"/>
    <col min="9732" max="9732" width="7.42578125" style="16" customWidth="1"/>
    <col min="9733" max="9733" width="8.5703125" style="16" bestFit="1" customWidth="1"/>
    <col min="9734" max="9734" width="9.28515625" style="16" bestFit="1" customWidth="1"/>
    <col min="9735" max="9736" width="8" style="16" customWidth="1"/>
    <col min="9737" max="9742" width="7.7109375" style="16" customWidth="1"/>
    <col min="9743" max="9743" width="8.570312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8.42578125" style="16" customWidth="1"/>
    <col min="9987" max="9987" width="7.7109375" style="16" customWidth="1"/>
    <col min="9988" max="9988" width="7.42578125" style="16" customWidth="1"/>
    <col min="9989" max="9989" width="8.5703125" style="16" bestFit="1" customWidth="1"/>
    <col min="9990" max="9990" width="9.28515625" style="16" bestFit="1" customWidth="1"/>
    <col min="9991" max="9992" width="8" style="16" customWidth="1"/>
    <col min="9993" max="9998" width="7.7109375" style="16" customWidth="1"/>
    <col min="9999" max="9999" width="8.570312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8.42578125" style="16" customWidth="1"/>
    <col min="10243" max="10243" width="7.7109375" style="16" customWidth="1"/>
    <col min="10244" max="10244" width="7.42578125" style="16" customWidth="1"/>
    <col min="10245" max="10245" width="8.5703125" style="16" bestFit="1" customWidth="1"/>
    <col min="10246" max="10246" width="9.28515625" style="16" bestFit="1" customWidth="1"/>
    <col min="10247" max="10248" width="8" style="16" customWidth="1"/>
    <col min="10249" max="10254" width="7.7109375" style="16" customWidth="1"/>
    <col min="10255" max="10255" width="8.570312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8.42578125" style="16" customWidth="1"/>
    <col min="10499" max="10499" width="7.7109375" style="16" customWidth="1"/>
    <col min="10500" max="10500" width="7.42578125" style="16" customWidth="1"/>
    <col min="10501" max="10501" width="8.5703125" style="16" bestFit="1" customWidth="1"/>
    <col min="10502" max="10502" width="9.28515625" style="16" bestFit="1" customWidth="1"/>
    <col min="10503" max="10504" width="8" style="16" customWidth="1"/>
    <col min="10505" max="10510" width="7.7109375" style="16" customWidth="1"/>
    <col min="10511" max="10511" width="8.570312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8.42578125" style="16" customWidth="1"/>
    <col min="10755" max="10755" width="7.7109375" style="16" customWidth="1"/>
    <col min="10756" max="10756" width="7.42578125" style="16" customWidth="1"/>
    <col min="10757" max="10757" width="8.5703125" style="16" bestFit="1" customWidth="1"/>
    <col min="10758" max="10758" width="9.28515625" style="16" bestFit="1" customWidth="1"/>
    <col min="10759" max="10760" width="8" style="16" customWidth="1"/>
    <col min="10761" max="10766" width="7.7109375" style="16" customWidth="1"/>
    <col min="10767" max="10767" width="8.570312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8.42578125" style="16" customWidth="1"/>
    <col min="11011" max="11011" width="7.7109375" style="16" customWidth="1"/>
    <col min="11012" max="11012" width="7.42578125" style="16" customWidth="1"/>
    <col min="11013" max="11013" width="8.5703125" style="16" bestFit="1" customWidth="1"/>
    <col min="11014" max="11014" width="9.28515625" style="16" bestFit="1" customWidth="1"/>
    <col min="11015" max="11016" width="8" style="16" customWidth="1"/>
    <col min="11017" max="11022" width="7.7109375" style="16" customWidth="1"/>
    <col min="11023" max="11023" width="8.570312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8.42578125" style="16" customWidth="1"/>
    <col min="11267" max="11267" width="7.7109375" style="16" customWidth="1"/>
    <col min="11268" max="11268" width="7.42578125" style="16" customWidth="1"/>
    <col min="11269" max="11269" width="8.5703125" style="16" bestFit="1" customWidth="1"/>
    <col min="11270" max="11270" width="9.28515625" style="16" bestFit="1" customWidth="1"/>
    <col min="11271" max="11272" width="8" style="16" customWidth="1"/>
    <col min="11273" max="11278" width="7.7109375" style="16" customWidth="1"/>
    <col min="11279" max="11279" width="8.570312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8.42578125" style="16" customWidth="1"/>
    <col min="11523" max="11523" width="7.7109375" style="16" customWidth="1"/>
    <col min="11524" max="11524" width="7.42578125" style="16" customWidth="1"/>
    <col min="11525" max="11525" width="8.5703125" style="16" bestFit="1" customWidth="1"/>
    <col min="11526" max="11526" width="9.28515625" style="16" bestFit="1" customWidth="1"/>
    <col min="11527" max="11528" width="8" style="16" customWidth="1"/>
    <col min="11529" max="11534" width="7.7109375" style="16" customWidth="1"/>
    <col min="11535" max="11535" width="8.570312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8.42578125" style="16" customWidth="1"/>
    <col min="11779" max="11779" width="7.7109375" style="16" customWidth="1"/>
    <col min="11780" max="11780" width="7.42578125" style="16" customWidth="1"/>
    <col min="11781" max="11781" width="8.5703125" style="16" bestFit="1" customWidth="1"/>
    <col min="11782" max="11782" width="9.28515625" style="16" bestFit="1" customWidth="1"/>
    <col min="11783" max="11784" width="8" style="16" customWidth="1"/>
    <col min="11785" max="11790" width="7.7109375" style="16" customWidth="1"/>
    <col min="11791" max="11791" width="8.570312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8.42578125" style="16" customWidth="1"/>
    <col min="12035" max="12035" width="7.7109375" style="16" customWidth="1"/>
    <col min="12036" max="12036" width="7.42578125" style="16" customWidth="1"/>
    <col min="12037" max="12037" width="8.5703125" style="16" bestFit="1" customWidth="1"/>
    <col min="12038" max="12038" width="9.28515625" style="16" bestFit="1" customWidth="1"/>
    <col min="12039" max="12040" width="8" style="16" customWidth="1"/>
    <col min="12041" max="12046" width="7.7109375" style="16" customWidth="1"/>
    <col min="12047" max="12047" width="8.570312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8.42578125" style="16" customWidth="1"/>
    <col min="12291" max="12291" width="7.7109375" style="16" customWidth="1"/>
    <col min="12292" max="12292" width="7.42578125" style="16" customWidth="1"/>
    <col min="12293" max="12293" width="8.5703125" style="16" bestFit="1" customWidth="1"/>
    <col min="12294" max="12294" width="9.28515625" style="16" bestFit="1" customWidth="1"/>
    <col min="12295" max="12296" width="8" style="16" customWidth="1"/>
    <col min="12297" max="12302" width="7.7109375" style="16" customWidth="1"/>
    <col min="12303" max="12303" width="8.570312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8.42578125" style="16" customWidth="1"/>
    <col min="12547" max="12547" width="7.7109375" style="16" customWidth="1"/>
    <col min="12548" max="12548" width="7.42578125" style="16" customWidth="1"/>
    <col min="12549" max="12549" width="8.5703125" style="16" bestFit="1" customWidth="1"/>
    <col min="12550" max="12550" width="9.28515625" style="16" bestFit="1" customWidth="1"/>
    <col min="12551" max="12552" width="8" style="16" customWidth="1"/>
    <col min="12553" max="12558" width="7.7109375" style="16" customWidth="1"/>
    <col min="12559" max="12559" width="8.570312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8.42578125" style="16" customWidth="1"/>
    <col min="12803" max="12803" width="7.7109375" style="16" customWidth="1"/>
    <col min="12804" max="12804" width="7.42578125" style="16" customWidth="1"/>
    <col min="12805" max="12805" width="8.5703125" style="16" bestFit="1" customWidth="1"/>
    <col min="12806" max="12806" width="9.28515625" style="16" bestFit="1" customWidth="1"/>
    <col min="12807" max="12808" width="8" style="16" customWidth="1"/>
    <col min="12809" max="12814" width="7.7109375" style="16" customWidth="1"/>
    <col min="12815" max="12815" width="8.570312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8.42578125" style="16" customWidth="1"/>
    <col min="13059" max="13059" width="7.7109375" style="16" customWidth="1"/>
    <col min="13060" max="13060" width="7.42578125" style="16" customWidth="1"/>
    <col min="13061" max="13061" width="8.5703125" style="16" bestFit="1" customWidth="1"/>
    <col min="13062" max="13062" width="9.28515625" style="16" bestFit="1" customWidth="1"/>
    <col min="13063" max="13064" width="8" style="16" customWidth="1"/>
    <col min="13065" max="13070" width="7.7109375" style="16" customWidth="1"/>
    <col min="13071" max="13071" width="8.570312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8.42578125" style="16" customWidth="1"/>
    <col min="13315" max="13315" width="7.7109375" style="16" customWidth="1"/>
    <col min="13316" max="13316" width="7.42578125" style="16" customWidth="1"/>
    <col min="13317" max="13317" width="8.5703125" style="16" bestFit="1" customWidth="1"/>
    <col min="13318" max="13318" width="9.28515625" style="16" bestFit="1" customWidth="1"/>
    <col min="13319" max="13320" width="8" style="16" customWidth="1"/>
    <col min="13321" max="13326" width="7.7109375" style="16" customWidth="1"/>
    <col min="13327" max="13327" width="8.570312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8.42578125" style="16" customWidth="1"/>
    <col min="13571" max="13571" width="7.7109375" style="16" customWidth="1"/>
    <col min="13572" max="13572" width="7.42578125" style="16" customWidth="1"/>
    <col min="13573" max="13573" width="8.5703125" style="16" bestFit="1" customWidth="1"/>
    <col min="13574" max="13574" width="9.28515625" style="16" bestFit="1" customWidth="1"/>
    <col min="13575" max="13576" width="8" style="16" customWidth="1"/>
    <col min="13577" max="13582" width="7.7109375" style="16" customWidth="1"/>
    <col min="13583" max="13583" width="8.570312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8.42578125" style="16" customWidth="1"/>
    <col min="13827" max="13827" width="7.7109375" style="16" customWidth="1"/>
    <col min="13828" max="13828" width="7.42578125" style="16" customWidth="1"/>
    <col min="13829" max="13829" width="8.5703125" style="16" bestFit="1" customWidth="1"/>
    <col min="13830" max="13830" width="9.28515625" style="16" bestFit="1" customWidth="1"/>
    <col min="13831" max="13832" width="8" style="16" customWidth="1"/>
    <col min="13833" max="13838" width="7.7109375" style="16" customWidth="1"/>
    <col min="13839" max="13839" width="8.570312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8.42578125" style="16" customWidth="1"/>
    <col min="14083" max="14083" width="7.7109375" style="16" customWidth="1"/>
    <col min="14084" max="14084" width="7.42578125" style="16" customWidth="1"/>
    <col min="14085" max="14085" width="8.5703125" style="16" bestFit="1" customWidth="1"/>
    <col min="14086" max="14086" width="9.28515625" style="16" bestFit="1" customWidth="1"/>
    <col min="14087" max="14088" width="8" style="16" customWidth="1"/>
    <col min="14089" max="14094" width="7.7109375" style="16" customWidth="1"/>
    <col min="14095" max="14095" width="8.570312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8.42578125" style="16" customWidth="1"/>
    <col min="14339" max="14339" width="7.7109375" style="16" customWidth="1"/>
    <col min="14340" max="14340" width="7.42578125" style="16" customWidth="1"/>
    <col min="14341" max="14341" width="8.5703125" style="16" bestFit="1" customWidth="1"/>
    <col min="14342" max="14342" width="9.28515625" style="16" bestFit="1" customWidth="1"/>
    <col min="14343" max="14344" width="8" style="16" customWidth="1"/>
    <col min="14345" max="14350" width="7.7109375" style="16" customWidth="1"/>
    <col min="14351" max="14351" width="8.570312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8.42578125" style="16" customWidth="1"/>
    <col min="14595" max="14595" width="7.7109375" style="16" customWidth="1"/>
    <col min="14596" max="14596" width="7.42578125" style="16" customWidth="1"/>
    <col min="14597" max="14597" width="8.5703125" style="16" bestFit="1" customWidth="1"/>
    <col min="14598" max="14598" width="9.28515625" style="16" bestFit="1" customWidth="1"/>
    <col min="14599" max="14600" width="8" style="16" customWidth="1"/>
    <col min="14601" max="14606" width="7.7109375" style="16" customWidth="1"/>
    <col min="14607" max="14607" width="8.570312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8.42578125" style="16" customWidth="1"/>
    <col min="14851" max="14851" width="7.7109375" style="16" customWidth="1"/>
    <col min="14852" max="14852" width="7.42578125" style="16" customWidth="1"/>
    <col min="14853" max="14853" width="8.5703125" style="16" bestFit="1" customWidth="1"/>
    <col min="14854" max="14854" width="9.28515625" style="16" bestFit="1" customWidth="1"/>
    <col min="14855" max="14856" width="8" style="16" customWidth="1"/>
    <col min="14857" max="14862" width="7.7109375" style="16" customWidth="1"/>
    <col min="14863" max="14863" width="8.570312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8.42578125" style="16" customWidth="1"/>
    <col min="15107" max="15107" width="7.7109375" style="16" customWidth="1"/>
    <col min="15108" max="15108" width="7.42578125" style="16" customWidth="1"/>
    <col min="15109" max="15109" width="8.5703125" style="16" bestFit="1" customWidth="1"/>
    <col min="15110" max="15110" width="9.28515625" style="16" bestFit="1" customWidth="1"/>
    <col min="15111" max="15112" width="8" style="16" customWidth="1"/>
    <col min="15113" max="15118" width="7.7109375" style="16" customWidth="1"/>
    <col min="15119" max="15119" width="8.570312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8.42578125" style="16" customWidth="1"/>
    <col min="15363" max="15363" width="7.7109375" style="16" customWidth="1"/>
    <col min="15364" max="15364" width="7.42578125" style="16" customWidth="1"/>
    <col min="15365" max="15365" width="8.5703125" style="16" bestFit="1" customWidth="1"/>
    <col min="15366" max="15366" width="9.28515625" style="16" bestFit="1" customWidth="1"/>
    <col min="15367" max="15368" width="8" style="16" customWidth="1"/>
    <col min="15369" max="15374" width="7.7109375" style="16" customWidth="1"/>
    <col min="15375" max="15375" width="8.570312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8.42578125" style="16" customWidth="1"/>
    <col min="15619" max="15619" width="7.7109375" style="16" customWidth="1"/>
    <col min="15620" max="15620" width="7.42578125" style="16" customWidth="1"/>
    <col min="15621" max="15621" width="8.5703125" style="16" bestFit="1" customWidth="1"/>
    <col min="15622" max="15622" width="9.28515625" style="16" bestFit="1" customWidth="1"/>
    <col min="15623" max="15624" width="8" style="16" customWidth="1"/>
    <col min="15625" max="15630" width="7.7109375" style="16" customWidth="1"/>
    <col min="15631" max="15631" width="8.570312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8.42578125" style="16" customWidth="1"/>
    <col min="15875" max="15875" width="7.7109375" style="16" customWidth="1"/>
    <col min="15876" max="15876" width="7.42578125" style="16" customWidth="1"/>
    <col min="15877" max="15877" width="8.5703125" style="16" bestFit="1" customWidth="1"/>
    <col min="15878" max="15878" width="9.28515625" style="16" bestFit="1" customWidth="1"/>
    <col min="15879" max="15880" width="8" style="16" customWidth="1"/>
    <col min="15881" max="15886" width="7.7109375" style="16" customWidth="1"/>
    <col min="15887" max="15887" width="8.570312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8.42578125" style="16" customWidth="1"/>
    <col min="16131" max="16131" width="7.7109375" style="16" customWidth="1"/>
    <col min="16132" max="16132" width="7.42578125" style="16" customWidth="1"/>
    <col min="16133" max="16133" width="8.5703125" style="16" bestFit="1" customWidth="1"/>
    <col min="16134" max="16134" width="9.28515625" style="16" bestFit="1" customWidth="1"/>
    <col min="16135" max="16136" width="8" style="16" customWidth="1"/>
    <col min="16137" max="16142" width="7.7109375" style="16" customWidth="1"/>
    <col min="16143" max="16143" width="8.570312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67" t="s">
        <v>100</v>
      </c>
      <c r="B1" s="868"/>
      <c r="C1" s="868"/>
      <c r="D1" s="911" t="s">
        <v>430</v>
      </c>
      <c r="E1" s="868"/>
      <c r="F1" s="868"/>
      <c r="G1" s="867" t="s">
        <v>102</v>
      </c>
      <c r="H1" s="869"/>
      <c r="I1" s="869" t="s">
        <v>37</v>
      </c>
      <c r="J1" s="868"/>
      <c r="K1" s="868"/>
      <c r="L1" s="870"/>
      <c r="M1" s="870"/>
      <c r="N1" s="870"/>
      <c r="O1" s="870"/>
    </row>
    <row r="2" spans="1:15" s="1" customFormat="1" x14ac:dyDescent="0.2">
      <c r="A2" s="867" t="s">
        <v>103</v>
      </c>
      <c r="B2" s="868"/>
      <c r="C2" s="868"/>
      <c r="D2" s="869"/>
      <c r="E2" s="868"/>
      <c r="F2" s="868"/>
      <c r="G2" s="867" t="s">
        <v>104</v>
      </c>
      <c r="H2" s="869"/>
      <c r="I2" s="869" t="s">
        <v>105</v>
      </c>
      <c r="J2" s="868"/>
      <c r="K2" s="868"/>
      <c r="L2" s="870"/>
      <c r="M2" s="870"/>
      <c r="N2" s="870"/>
      <c r="O2" s="870"/>
    </row>
    <row r="3" spans="1:15" s="1" customFormat="1" x14ac:dyDescent="0.2">
      <c r="A3" s="867" t="s">
        <v>106</v>
      </c>
      <c r="B3" s="868"/>
      <c r="C3" s="868"/>
      <c r="D3" s="883" t="s">
        <v>431</v>
      </c>
      <c r="E3" s="868"/>
      <c r="F3" s="868"/>
      <c r="G3" s="867" t="s">
        <v>107</v>
      </c>
      <c r="H3" s="869"/>
      <c r="I3" s="869" t="s">
        <v>108</v>
      </c>
      <c r="J3" s="868"/>
      <c r="K3" s="868"/>
      <c r="L3" s="870"/>
      <c r="M3" s="870"/>
      <c r="N3" s="870"/>
      <c r="O3" s="870"/>
    </row>
    <row r="4" spans="1:15" s="1" customFormat="1" x14ac:dyDescent="0.2">
      <c r="A4" s="867" t="s">
        <v>109</v>
      </c>
      <c r="B4" s="868"/>
      <c r="C4" s="868"/>
      <c r="D4" s="869"/>
      <c r="E4" s="868"/>
      <c r="F4" s="868"/>
      <c r="G4" s="867" t="s">
        <v>110</v>
      </c>
      <c r="H4" s="869"/>
      <c r="I4" s="869" t="s">
        <v>419</v>
      </c>
      <c r="J4" s="868"/>
      <c r="K4" s="868"/>
      <c r="L4" s="870"/>
      <c r="M4" s="870"/>
      <c r="N4" s="870"/>
      <c r="O4" s="870"/>
    </row>
    <row r="5" spans="1:15" s="1" customFormat="1" x14ac:dyDescent="0.2">
      <c r="A5" s="867" t="s">
        <v>278</v>
      </c>
      <c r="B5" s="868"/>
      <c r="C5" s="868"/>
      <c r="D5" s="869" t="s">
        <v>432</v>
      </c>
      <c r="E5" s="868"/>
      <c r="F5" s="868"/>
      <c r="G5" s="867"/>
      <c r="H5" s="868"/>
      <c r="I5" s="869" t="s">
        <v>113</v>
      </c>
      <c r="J5" s="868"/>
      <c r="K5" s="868"/>
      <c r="L5" s="870"/>
      <c r="M5" s="870"/>
      <c r="N5" s="870"/>
      <c r="O5" s="870"/>
    </row>
    <row r="6" spans="1:15" s="1" customFormat="1" x14ac:dyDescent="0.2">
      <c r="A6" s="871" t="s">
        <v>114</v>
      </c>
      <c r="B6" s="872"/>
      <c r="C6" s="872"/>
      <c r="D6" s="868" t="s">
        <v>38</v>
      </c>
      <c r="E6" s="868"/>
      <c r="F6" s="868"/>
      <c r="G6" s="871" t="s">
        <v>115</v>
      </c>
      <c r="H6" s="871"/>
      <c r="I6" s="2" t="s">
        <v>222</v>
      </c>
      <c r="J6" s="888"/>
      <c r="K6" s="888"/>
      <c r="L6" s="888"/>
      <c r="M6" s="888"/>
      <c r="N6" s="888"/>
      <c r="O6" s="889"/>
    </row>
    <row r="7" spans="1:15" s="1" customFormat="1" ht="13.5" thickBot="1" x14ac:dyDescent="0.25">
      <c r="A7" s="3"/>
      <c r="B7" s="4"/>
      <c r="C7" s="5"/>
      <c r="D7" s="6"/>
      <c r="E7" s="6"/>
      <c r="F7" s="6"/>
      <c r="G7" s="6"/>
      <c r="H7" s="6"/>
      <c r="I7" s="6"/>
      <c r="J7" s="7"/>
      <c r="K7" s="8"/>
      <c r="L7" s="875" t="s">
        <v>223</v>
      </c>
      <c r="M7" s="875"/>
      <c r="N7" s="875"/>
      <c r="O7" s="875"/>
    </row>
    <row r="8" spans="1:15" s="11" customFormat="1" x14ac:dyDescent="0.2">
      <c r="A8" s="876" t="str">
        <f>I1</f>
        <v>Ms. Varsha V. Tawde</v>
      </c>
      <c r="B8" s="877"/>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72100</v>
      </c>
      <c r="D9" s="14">
        <v>72100</v>
      </c>
      <c r="E9" s="14">
        <v>72100</v>
      </c>
      <c r="F9" s="14">
        <v>72100</v>
      </c>
      <c r="G9" s="14">
        <v>74300</v>
      </c>
      <c r="H9" s="14">
        <v>74300</v>
      </c>
      <c r="I9" s="14">
        <v>74300</v>
      </c>
      <c r="J9" s="14">
        <v>74300</v>
      </c>
      <c r="K9" s="14">
        <v>74300</v>
      </c>
      <c r="L9" s="14">
        <v>74300</v>
      </c>
      <c r="M9" s="14">
        <v>74300</v>
      </c>
      <c r="N9" s="14">
        <v>74300</v>
      </c>
      <c r="O9" s="15">
        <f>SUM(C9:N9)</f>
        <v>882800</v>
      </c>
    </row>
    <row r="10" spans="1:15" ht="15" x14ac:dyDescent="0.2">
      <c r="A10" s="12"/>
      <c r="B10" s="13" t="s">
        <v>119</v>
      </c>
      <c r="C10" s="17">
        <v>0</v>
      </c>
      <c r="D10" s="17">
        <f t="shared" ref="D10:N25" si="0">+C10</f>
        <v>0</v>
      </c>
      <c r="E10" s="17">
        <f t="shared" si="0"/>
        <v>0</v>
      </c>
      <c r="F10" s="17">
        <f t="shared" si="0"/>
        <v>0</v>
      </c>
      <c r="G10" s="17">
        <f t="shared" si="0"/>
        <v>0</v>
      </c>
      <c r="H10" s="17">
        <v>0</v>
      </c>
      <c r="I10" s="17">
        <f t="shared" si="0"/>
        <v>0</v>
      </c>
      <c r="J10" s="17">
        <f t="shared" si="0"/>
        <v>0</v>
      </c>
      <c r="K10" s="17">
        <f t="shared" si="0"/>
        <v>0</v>
      </c>
      <c r="L10" s="17">
        <f t="shared" si="0"/>
        <v>0</v>
      </c>
      <c r="M10" s="17">
        <f t="shared" si="0"/>
        <v>0</v>
      </c>
      <c r="N10" s="17">
        <f t="shared" si="0"/>
        <v>0</v>
      </c>
      <c r="O10" s="18">
        <f>SUM(C10:N10)</f>
        <v>0</v>
      </c>
    </row>
    <row r="11" spans="1:15" ht="15" x14ac:dyDescent="0.2">
      <c r="A11" s="12"/>
      <c r="B11" s="13" t="s">
        <v>120</v>
      </c>
      <c r="C11" s="17">
        <v>3605</v>
      </c>
      <c r="D11" s="17">
        <v>5047</v>
      </c>
      <c r="E11" s="17">
        <f t="shared" si="0"/>
        <v>5047</v>
      </c>
      <c r="F11" s="17">
        <f t="shared" si="0"/>
        <v>5047</v>
      </c>
      <c r="G11" s="17">
        <v>5201</v>
      </c>
      <c r="H11" s="17">
        <v>5201</v>
      </c>
      <c r="I11" s="17">
        <v>5201</v>
      </c>
      <c r="J11" s="17">
        <v>5201</v>
      </c>
      <c r="K11" s="17">
        <v>5201</v>
      </c>
      <c r="L11" s="17">
        <v>5201</v>
      </c>
      <c r="M11" s="17">
        <v>5201</v>
      </c>
      <c r="N11" s="17">
        <v>5201</v>
      </c>
      <c r="O11" s="18">
        <f>SUM(C11:N11)</f>
        <v>60354</v>
      </c>
    </row>
    <row r="12" spans="1:15" ht="15" hidden="1" x14ac:dyDescent="0.2">
      <c r="A12" s="12"/>
      <c r="B12" s="13" t="s">
        <v>121</v>
      </c>
      <c r="C12" s="17">
        <v>0</v>
      </c>
      <c r="D12" s="17">
        <f t="shared" si="0"/>
        <v>0</v>
      </c>
      <c r="E12" s="17">
        <f t="shared" si="0"/>
        <v>0</v>
      </c>
      <c r="F12" s="17">
        <f t="shared" si="0"/>
        <v>0</v>
      </c>
      <c r="G12" s="17">
        <f t="shared" si="0"/>
        <v>0</v>
      </c>
      <c r="H12" s="17">
        <v>0</v>
      </c>
      <c r="I12" s="17">
        <f t="shared" si="0"/>
        <v>0</v>
      </c>
      <c r="J12" s="17">
        <f t="shared" si="0"/>
        <v>0</v>
      </c>
      <c r="K12" s="17">
        <f t="shared" si="0"/>
        <v>0</v>
      </c>
      <c r="L12" s="17">
        <f t="shared" si="0"/>
        <v>0</v>
      </c>
      <c r="M12" s="17">
        <f t="shared" si="0"/>
        <v>0</v>
      </c>
      <c r="N12" s="17">
        <f t="shared" si="0"/>
        <v>0</v>
      </c>
      <c r="O12" s="18">
        <f>SUM(C12:N12)</f>
        <v>0</v>
      </c>
    </row>
    <row r="13" spans="1:15" ht="13.5" hidden="1" customHeight="1" x14ac:dyDescent="0.2">
      <c r="A13" s="12"/>
      <c r="B13" s="13" t="s">
        <v>122</v>
      </c>
      <c r="C13" s="17">
        <v>0</v>
      </c>
      <c r="D13" s="17">
        <f t="shared" si="0"/>
        <v>0</v>
      </c>
      <c r="E13" s="17">
        <f t="shared" si="0"/>
        <v>0</v>
      </c>
      <c r="F13" s="17">
        <f t="shared" si="0"/>
        <v>0</v>
      </c>
      <c r="G13" s="17">
        <f t="shared" si="0"/>
        <v>0</v>
      </c>
      <c r="H13" s="17">
        <v>0</v>
      </c>
      <c r="I13" s="17">
        <f t="shared" si="0"/>
        <v>0</v>
      </c>
      <c r="J13" s="17">
        <f t="shared" si="0"/>
        <v>0</v>
      </c>
      <c r="K13" s="17">
        <f t="shared" si="0"/>
        <v>0</v>
      </c>
      <c r="L13" s="17">
        <f t="shared" si="0"/>
        <v>0</v>
      </c>
      <c r="M13" s="17">
        <f t="shared" si="0"/>
        <v>0</v>
      </c>
      <c r="N13" s="17">
        <f t="shared" si="0"/>
        <v>0</v>
      </c>
      <c r="O13" s="18">
        <f t="shared" ref="O13:O36" si="1">SUM(C13:N13)</f>
        <v>0</v>
      </c>
    </row>
    <row r="14" spans="1:15" ht="15" x14ac:dyDescent="0.2">
      <c r="A14" s="12"/>
      <c r="B14" s="13" t="s">
        <v>123</v>
      </c>
      <c r="C14" s="17">
        <v>3780</v>
      </c>
      <c r="D14" s="17">
        <v>3852</v>
      </c>
      <c r="E14" s="17">
        <f t="shared" si="0"/>
        <v>3852</v>
      </c>
      <c r="F14" s="17">
        <f t="shared" si="0"/>
        <v>3852</v>
      </c>
      <c r="G14" s="17">
        <f t="shared" si="0"/>
        <v>3852</v>
      </c>
      <c r="H14" s="17">
        <f t="shared" si="0"/>
        <v>3852</v>
      </c>
      <c r="I14" s="17">
        <f t="shared" si="0"/>
        <v>3852</v>
      </c>
      <c r="J14" s="17">
        <v>3924</v>
      </c>
      <c r="K14" s="17">
        <f t="shared" si="0"/>
        <v>3924</v>
      </c>
      <c r="L14" s="17">
        <f t="shared" si="0"/>
        <v>3924</v>
      </c>
      <c r="M14" s="17">
        <f t="shared" si="0"/>
        <v>3924</v>
      </c>
      <c r="N14" s="17">
        <f t="shared" si="0"/>
        <v>3924</v>
      </c>
      <c r="O14" s="18">
        <f t="shared" si="1"/>
        <v>46512</v>
      </c>
    </row>
    <row r="15" spans="1:15" ht="14.25" customHeight="1" x14ac:dyDescent="0.2">
      <c r="A15" s="12"/>
      <c r="B15" s="13" t="s">
        <v>124</v>
      </c>
      <c r="C15" s="17">
        <v>0</v>
      </c>
      <c r="D15" s="17">
        <f t="shared" si="0"/>
        <v>0</v>
      </c>
      <c r="E15" s="17">
        <f t="shared" si="0"/>
        <v>0</v>
      </c>
      <c r="F15" s="17">
        <f t="shared" si="0"/>
        <v>0</v>
      </c>
      <c r="G15" s="17">
        <f t="shared" si="0"/>
        <v>0</v>
      </c>
      <c r="H15" s="17">
        <v>0</v>
      </c>
      <c r="I15" s="17">
        <f t="shared" si="0"/>
        <v>0</v>
      </c>
      <c r="J15" s="17">
        <f t="shared" si="0"/>
        <v>0</v>
      </c>
      <c r="K15" s="17">
        <f t="shared" si="0"/>
        <v>0</v>
      </c>
      <c r="L15" s="17">
        <f t="shared" si="0"/>
        <v>0</v>
      </c>
      <c r="M15" s="17">
        <f t="shared" si="0"/>
        <v>0</v>
      </c>
      <c r="N15" s="17">
        <f t="shared" si="0"/>
        <v>0</v>
      </c>
      <c r="O15" s="18">
        <f t="shared" si="1"/>
        <v>0</v>
      </c>
    </row>
    <row r="16" spans="1:15" ht="14.25" hidden="1" customHeight="1" x14ac:dyDescent="0.2">
      <c r="A16" s="12"/>
      <c r="B16" s="13" t="s">
        <v>125</v>
      </c>
      <c r="C16" s="17">
        <v>0</v>
      </c>
      <c r="D16" s="17">
        <f t="shared" si="0"/>
        <v>0</v>
      </c>
      <c r="E16" s="17">
        <f t="shared" si="0"/>
        <v>0</v>
      </c>
      <c r="F16" s="17">
        <f t="shared" si="0"/>
        <v>0</v>
      </c>
      <c r="G16" s="17">
        <f t="shared" si="0"/>
        <v>0</v>
      </c>
      <c r="H16" s="17">
        <v>0</v>
      </c>
      <c r="I16" s="17">
        <f t="shared" si="0"/>
        <v>0</v>
      </c>
      <c r="J16" s="17">
        <f t="shared" si="0"/>
        <v>0</v>
      </c>
      <c r="K16" s="17">
        <f t="shared" si="0"/>
        <v>0</v>
      </c>
      <c r="L16" s="17">
        <f t="shared" si="0"/>
        <v>0</v>
      </c>
      <c r="M16" s="17">
        <f t="shared" si="0"/>
        <v>0</v>
      </c>
      <c r="N16" s="17">
        <f t="shared" si="0"/>
        <v>0</v>
      </c>
      <c r="O16" s="18">
        <f t="shared" si="1"/>
        <v>0</v>
      </c>
    </row>
    <row r="17" spans="1:15" ht="14.25" hidden="1" customHeight="1" x14ac:dyDescent="0.2">
      <c r="A17" s="12"/>
      <c r="B17" s="13" t="s">
        <v>126</v>
      </c>
      <c r="C17" s="17">
        <v>0</v>
      </c>
      <c r="D17" s="17">
        <f t="shared" si="0"/>
        <v>0</v>
      </c>
      <c r="E17" s="17">
        <f t="shared" si="0"/>
        <v>0</v>
      </c>
      <c r="F17" s="17">
        <f t="shared" si="0"/>
        <v>0</v>
      </c>
      <c r="G17" s="17">
        <f t="shared" si="0"/>
        <v>0</v>
      </c>
      <c r="H17" s="17">
        <v>0</v>
      </c>
      <c r="I17" s="17">
        <f t="shared" si="0"/>
        <v>0</v>
      </c>
      <c r="J17" s="17">
        <f t="shared" si="0"/>
        <v>0</v>
      </c>
      <c r="K17" s="17">
        <f t="shared" si="0"/>
        <v>0</v>
      </c>
      <c r="L17" s="17">
        <f t="shared" si="0"/>
        <v>0</v>
      </c>
      <c r="M17" s="17">
        <f t="shared" si="0"/>
        <v>0</v>
      </c>
      <c r="N17" s="17">
        <f t="shared" si="0"/>
        <v>0</v>
      </c>
      <c r="O17" s="18">
        <f t="shared" si="1"/>
        <v>0</v>
      </c>
    </row>
    <row r="18" spans="1:15" ht="15" x14ac:dyDescent="0.2">
      <c r="A18" s="12"/>
      <c r="B18" s="13" t="s">
        <v>127</v>
      </c>
      <c r="C18" s="17">
        <v>0</v>
      </c>
      <c r="D18" s="17">
        <f t="shared" si="0"/>
        <v>0</v>
      </c>
      <c r="E18" s="17">
        <f t="shared" si="0"/>
        <v>0</v>
      </c>
      <c r="F18" s="17">
        <f t="shared" si="0"/>
        <v>0</v>
      </c>
      <c r="G18" s="17">
        <f t="shared" si="0"/>
        <v>0</v>
      </c>
      <c r="H18" s="17">
        <v>0</v>
      </c>
      <c r="I18" s="17">
        <f t="shared" si="0"/>
        <v>0</v>
      </c>
      <c r="J18" s="17">
        <f t="shared" si="0"/>
        <v>0</v>
      </c>
      <c r="K18" s="17">
        <f t="shared" si="0"/>
        <v>0</v>
      </c>
      <c r="L18" s="17">
        <f t="shared" si="0"/>
        <v>0</v>
      </c>
      <c r="M18" s="17">
        <f t="shared" si="0"/>
        <v>0</v>
      </c>
      <c r="N18" s="17">
        <f t="shared" si="0"/>
        <v>0</v>
      </c>
      <c r="O18" s="18">
        <f t="shared" si="1"/>
        <v>0</v>
      </c>
    </row>
    <row r="19" spans="1:15" ht="15" x14ac:dyDescent="0.2">
      <c r="A19" s="12"/>
      <c r="B19" s="13" t="s">
        <v>128</v>
      </c>
      <c r="C19" s="17">
        <v>17304</v>
      </c>
      <c r="D19" s="17">
        <f t="shared" si="0"/>
        <v>17304</v>
      </c>
      <c r="E19" s="17">
        <f t="shared" si="0"/>
        <v>17304</v>
      </c>
      <c r="F19" s="17">
        <f t="shared" si="0"/>
        <v>17304</v>
      </c>
      <c r="G19" s="17">
        <v>17832</v>
      </c>
      <c r="H19" s="17">
        <v>17832</v>
      </c>
      <c r="I19" s="17">
        <v>17832</v>
      </c>
      <c r="J19" s="17">
        <v>17832</v>
      </c>
      <c r="K19" s="17">
        <v>17832</v>
      </c>
      <c r="L19" s="17">
        <v>17832</v>
      </c>
      <c r="M19" s="17">
        <v>17832</v>
      </c>
      <c r="N19" s="17">
        <v>17832</v>
      </c>
      <c r="O19" s="18">
        <f t="shared" si="1"/>
        <v>211872</v>
      </c>
    </row>
    <row r="20" spans="1:15" ht="15" customHeight="1" x14ac:dyDescent="0.2">
      <c r="A20" s="12"/>
      <c r="B20" s="13" t="s">
        <v>129</v>
      </c>
      <c r="C20" s="17">
        <v>0</v>
      </c>
      <c r="D20" s="17">
        <f t="shared" si="0"/>
        <v>0</v>
      </c>
      <c r="E20" s="17">
        <f t="shared" si="0"/>
        <v>0</v>
      </c>
      <c r="F20" s="17">
        <f t="shared" si="0"/>
        <v>0</v>
      </c>
      <c r="G20" s="17">
        <f t="shared" si="0"/>
        <v>0</v>
      </c>
      <c r="H20" s="17">
        <v>0</v>
      </c>
      <c r="I20" s="17">
        <f t="shared" si="0"/>
        <v>0</v>
      </c>
      <c r="J20" s="17">
        <f t="shared" si="0"/>
        <v>0</v>
      </c>
      <c r="K20" s="17">
        <f t="shared" si="0"/>
        <v>0</v>
      </c>
      <c r="L20" s="17">
        <f t="shared" si="0"/>
        <v>0</v>
      </c>
      <c r="M20" s="17">
        <f t="shared" si="0"/>
        <v>0</v>
      </c>
      <c r="N20" s="17">
        <f t="shared" si="0"/>
        <v>0</v>
      </c>
      <c r="O20" s="18">
        <f t="shared" si="1"/>
        <v>0</v>
      </c>
    </row>
    <row r="21" spans="1:15" ht="15" hidden="1" customHeight="1" x14ac:dyDescent="0.2">
      <c r="A21" s="878" t="s">
        <v>130</v>
      </c>
      <c r="B21" s="19" t="s">
        <v>131</v>
      </c>
      <c r="C21" s="17">
        <v>0</v>
      </c>
      <c r="D21" s="17">
        <f t="shared" si="0"/>
        <v>0</v>
      </c>
      <c r="E21" s="17">
        <f t="shared" si="0"/>
        <v>0</v>
      </c>
      <c r="F21" s="17">
        <f t="shared" si="0"/>
        <v>0</v>
      </c>
      <c r="G21" s="17">
        <f t="shared" si="0"/>
        <v>0</v>
      </c>
      <c r="H21" s="17">
        <v>0</v>
      </c>
      <c r="I21" s="17">
        <f t="shared" si="0"/>
        <v>0</v>
      </c>
      <c r="J21" s="17">
        <f t="shared" si="0"/>
        <v>0</v>
      </c>
      <c r="K21" s="17">
        <f t="shared" si="0"/>
        <v>0</v>
      </c>
      <c r="L21" s="17">
        <f t="shared" si="0"/>
        <v>0</v>
      </c>
      <c r="M21" s="17">
        <f t="shared" si="0"/>
        <v>0</v>
      </c>
      <c r="N21" s="17">
        <f t="shared" si="0"/>
        <v>0</v>
      </c>
      <c r="O21" s="18">
        <f t="shared" si="1"/>
        <v>0</v>
      </c>
    </row>
    <row r="22" spans="1:15" ht="15" customHeight="1" x14ac:dyDescent="0.2">
      <c r="A22" s="879"/>
      <c r="B22" s="19" t="s">
        <v>132</v>
      </c>
      <c r="C22" s="17">
        <v>0</v>
      </c>
      <c r="D22" s="17">
        <f t="shared" si="0"/>
        <v>0</v>
      </c>
      <c r="E22" s="17">
        <f t="shared" si="0"/>
        <v>0</v>
      </c>
      <c r="F22" s="17">
        <f t="shared" si="0"/>
        <v>0</v>
      </c>
      <c r="G22" s="17">
        <f t="shared" si="0"/>
        <v>0</v>
      </c>
      <c r="H22" s="17">
        <v>0</v>
      </c>
      <c r="I22" s="17">
        <f t="shared" si="0"/>
        <v>0</v>
      </c>
      <c r="J22" s="17">
        <v>6908</v>
      </c>
      <c r="K22" s="17">
        <v>0</v>
      </c>
      <c r="L22" s="17">
        <f t="shared" si="0"/>
        <v>0</v>
      </c>
      <c r="M22" s="17">
        <f t="shared" si="0"/>
        <v>0</v>
      </c>
      <c r="N22" s="17">
        <f t="shared" si="0"/>
        <v>0</v>
      </c>
      <c r="O22" s="18">
        <f t="shared" si="1"/>
        <v>6908</v>
      </c>
    </row>
    <row r="23" spans="1:15" ht="15" hidden="1" customHeight="1" x14ac:dyDescent="0.2">
      <c r="A23" s="879"/>
      <c r="B23" s="19" t="s">
        <v>133</v>
      </c>
      <c r="C23" s="17">
        <v>0</v>
      </c>
      <c r="D23" s="17">
        <f t="shared" si="0"/>
        <v>0</v>
      </c>
      <c r="E23" s="17">
        <f t="shared" si="0"/>
        <v>0</v>
      </c>
      <c r="F23" s="17">
        <f t="shared" si="0"/>
        <v>0</v>
      </c>
      <c r="G23" s="17">
        <f t="shared" si="0"/>
        <v>0</v>
      </c>
      <c r="H23" s="17">
        <v>0</v>
      </c>
      <c r="I23" s="17">
        <f t="shared" si="0"/>
        <v>0</v>
      </c>
      <c r="J23" s="17">
        <f t="shared" si="0"/>
        <v>0</v>
      </c>
      <c r="K23" s="17">
        <f t="shared" si="0"/>
        <v>0</v>
      </c>
      <c r="L23" s="17">
        <f t="shared" si="0"/>
        <v>0</v>
      </c>
      <c r="M23" s="17">
        <f t="shared" si="0"/>
        <v>0</v>
      </c>
      <c r="N23" s="17">
        <f t="shared" si="0"/>
        <v>0</v>
      </c>
      <c r="O23" s="18">
        <f t="shared" si="1"/>
        <v>0</v>
      </c>
    </row>
    <row r="24" spans="1:15" ht="15" hidden="1" customHeight="1" x14ac:dyDescent="0.2">
      <c r="A24" s="879"/>
      <c r="B24" s="19" t="s">
        <v>134</v>
      </c>
      <c r="C24" s="17">
        <v>0</v>
      </c>
      <c r="D24" s="17">
        <f t="shared" si="0"/>
        <v>0</v>
      </c>
      <c r="E24" s="17">
        <f t="shared" si="0"/>
        <v>0</v>
      </c>
      <c r="F24" s="17">
        <f t="shared" si="0"/>
        <v>0</v>
      </c>
      <c r="G24" s="17">
        <f t="shared" si="0"/>
        <v>0</v>
      </c>
      <c r="H24" s="17">
        <v>0</v>
      </c>
      <c r="I24" s="17">
        <f t="shared" si="0"/>
        <v>0</v>
      </c>
      <c r="J24" s="17">
        <f t="shared" si="0"/>
        <v>0</v>
      </c>
      <c r="K24" s="17">
        <f t="shared" si="0"/>
        <v>0</v>
      </c>
      <c r="L24" s="17">
        <f t="shared" si="0"/>
        <v>0</v>
      </c>
      <c r="M24" s="17">
        <f t="shared" si="0"/>
        <v>0</v>
      </c>
      <c r="N24" s="17">
        <f t="shared" si="0"/>
        <v>0</v>
      </c>
      <c r="O24" s="18">
        <f t="shared" si="1"/>
        <v>0</v>
      </c>
    </row>
    <row r="25" spans="1:15" ht="15" hidden="1" customHeight="1" x14ac:dyDescent="0.2">
      <c r="A25" s="879"/>
      <c r="B25" s="19" t="s">
        <v>135</v>
      </c>
      <c r="C25" s="17">
        <v>0</v>
      </c>
      <c r="D25" s="17">
        <f t="shared" si="0"/>
        <v>0</v>
      </c>
      <c r="E25" s="17">
        <f t="shared" si="0"/>
        <v>0</v>
      </c>
      <c r="F25" s="17">
        <f t="shared" si="0"/>
        <v>0</v>
      </c>
      <c r="G25" s="17">
        <f t="shared" si="0"/>
        <v>0</v>
      </c>
      <c r="H25" s="17">
        <v>0</v>
      </c>
      <c r="I25" s="17">
        <f t="shared" si="0"/>
        <v>0</v>
      </c>
      <c r="J25" s="17">
        <f t="shared" si="0"/>
        <v>0</v>
      </c>
      <c r="K25" s="17">
        <f t="shared" si="0"/>
        <v>0</v>
      </c>
      <c r="L25" s="17">
        <f t="shared" si="0"/>
        <v>0</v>
      </c>
      <c r="M25" s="17">
        <f t="shared" si="0"/>
        <v>0</v>
      </c>
      <c r="N25" s="17">
        <f t="shared" si="0"/>
        <v>0</v>
      </c>
      <c r="O25" s="18">
        <f t="shared" si="1"/>
        <v>0</v>
      </c>
    </row>
    <row r="26" spans="1:15" ht="15" hidden="1" customHeight="1" x14ac:dyDescent="0.2">
      <c r="A26" s="879"/>
      <c r="B26" s="19" t="s">
        <v>136</v>
      </c>
      <c r="C26" s="17">
        <v>0</v>
      </c>
      <c r="D26" s="17">
        <f t="shared" ref="D26:G34" si="2">+C26</f>
        <v>0</v>
      </c>
      <c r="E26" s="17">
        <f t="shared" si="2"/>
        <v>0</v>
      </c>
      <c r="F26" s="17">
        <f t="shared" si="2"/>
        <v>0</v>
      </c>
      <c r="G26" s="17">
        <f t="shared" si="2"/>
        <v>0</v>
      </c>
      <c r="H26" s="17">
        <v>0</v>
      </c>
      <c r="I26" s="17">
        <f t="shared" ref="I26:N34" si="3">+H26</f>
        <v>0</v>
      </c>
      <c r="J26" s="17">
        <f t="shared" si="3"/>
        <v>0</v>
      </c>
      <c r="K26" s="17">
        <f t="shared" si="3"/>
        <v>0</v>
      </c>
      <c r="L26" s="17">
        <f t="shared" si="3"/>
        <v>0</v>
      </c>
      <c r="M26" s="17">
        <f t="shared" si="3"/>
        <v>0</v>
      </c>
      <c r="N26" s="17">
        <f t="shared" si="3"/>
        <v>0</v>
      </c>
      <c r="O26" s="18">
        <f t="shared" si="1"/>
        <v>0</v>
      </c>
    </row>
    <row r="27" spans="1:15" ht="15" hidden="1" customHeight="1" x14ac:dyDescent="0.2">
      <c r="A27" s="879"/>
      <c r="B27" s="19" t="s">
        <v>137</v>
      </c>
      <c r="C27" s="17">
        <v>0</v>
      </c>
      <c r="D27" s="17">
        <f t="shared" si="2"/>
        <v>0</v>
      </c>
      <c r="E27" s="17">
        <f t="shared" si="2"/>
        <v>0</v>
      </c>
      <c r="F27" s="17">
        <f t="shared" si="2"/>
        <v>0</v>
      </c>
      <c r="G27" s="17">
        <f t="shared" si="2"/>
        <v>0</v>
      </c>
      <c r="H27" s="17">
        <v>0</v>
      </c>
      <c r="I27" s="17">
        <f t="shared" si="3"/>
        <v>0</v>
      </c>
      <c r="J27" s="17">
        <f t="shared" si="3"/>
        <v>0</v>
      </c>
      <c r="K27" s="17">
        <f t="shared" si="3"/>
        <v>0</v>
      </c>
      <c r="L27" s="17">
        <f t="shared" si="3"/>
        <v>0</v>
      </c>
      <c r="M27" s="17">
        <f t="shared" si="3"/>
        <v>0</v>
      </c>
      <c r="N27" s="17">
        <f t="shared" si="3"/>
        <v>0</v>
      </c>
      <c r="O27" s="18">
        <f t="shared" si="1"/>
        <v>0</v>
      </c>
    </row>
    <row r="28" spans="1:15" ht="15" hidden="1" customHeight="1" x14ac:dyDescent="0.2">
      <c r="A28" s="879"/>
      <c r="B28" s="19" t="s">
        <v>138</v>
      </c>
      <c r="C28" s="17">
        <v>0</v>
      </c>
      <c r="D28" s="17">
        <f t="shared" si="2"/>
        <v>0</v>
      </c>
      <c r="E28" s="17">
        <f t="shared" si="2"/>
        <v>0</v>
      </c>
      <c r="F28" s="17">
        <f t="shared" si="2"/>
        <v>0</v>
      </c>
      <c r="G28" s="17">
        <f t="shared" si="2"/>
        <v>0</v>
      </c>
      <c r="H28" s="17">
        <v>0</v>
      </c>
      <c r="I28" s="17">
        <f t="shared" si="3"/>
        <v>0</v>
      </c>
      <c r="J28" s="17">
        <f t="shared" si="3"/>
        <v>0</v>
      </c>
      <c r="K28" s="17">
        <f t="shared" si="3"/>
        <v>0</v>
      </c>
      <c r="L28" s="17">
        <f t="shared" si="3"/>
        <v>0</v>
      </c>
      <c r="M28" s="17">
        <f t="shared" si="3"/>
        <v>0</v>
      </c>
      <c r="N28" s="17">
        <f t="shared" si="3"/>
        <v>0</v>
      </c>
      <c r="O28" s="18">
        <f t="shared" si="1"/>
        <v>0</v>
      </c>
    </row>
    <row r="29" spans="1:15" ht="15" hidden="1" customHeight="1" x14ac:dyDescent="0.2">
      <c r="A29" s="879"/>
      <c r="B29" s="19" t="s">
        <v>139</v>
      </c>
      <c r="C29" s="17">
        <v>0</v>
      </c>
      <c r="D29" s="17">
        <f t="shared" si="2"/>
        <v>0</v>
      </c>
      <c r="E29" s="17">
        <f t="shared" si="2"/>
        <v>0</v>
      </c>
      <c r="F29" s="17">
        <f t="shared" si="2"/>
        <v>0</v>
      </c>
      <c r="G29" s="17">
        <f t="shared" si="2"/>
        <v>0</v>
      </c>
      <c r="H29" s="17">
        <v>0</v>
      </c>
      <c r="I29" s="17">
        <f t="shared" si="3"/>
        <v>0</v>
      </c>
      <c r="J29" s="17">
        <f t="shared" si="3"/>
        <v>0</v>
      </c>
      <c r="K29" s="17">
        <f t="shared" si="3"/>
        <v>0</v>
      </c>
      <c r="L29" s="17">
        <f t="shared" si="3"/>
        <v>0</v>
      </c>
      <c r="M29" s="17">
        <f t="shared" si="3"/>
        <v>0</v>
      </c>
      <c r="N29" s="17">
        <f t="shared" si="3"/>
        <v>0</v>
      </c>
      <c r="O29" s="18">
        <f t="shared" si="1"/>
        <v>0</v>
      </c>
    </row>
    <row r="30" spans="1:15" ht="15" hidden="1" customHeight="1" x14ac:dyDescent="0.2">
      <c r="A30" s="879"/>
      <c r="B30" s="19" t="s">
        <v>140</v>
      </c>
      <c r="C30" s="17">
        <v>0</v>
      </c>
      <c r="D30" s="17">
        <f t="shared" si="2"/>
        <v>0</v>
      </c>
      <c r="E30" s="17">
        <f t="shared" si="2"/>
        <v>0</v>
      </c>
      <c r="F30" s="17">
        <f t="shared" si="2"/>
        <v>0</v>
      </c>
      <c r="G30" s="17">
        <f t="shared" si="2"/>
        <v>0</v>
      </c>
      <c r="H30" s="17">
        <v>0</v>
      </c>
      <c r="I30" s="17">
        <f t="shared" si="3"/>
        <v>0</v>
      </c>
      <c r="J30" s="17">
        <f t="shared" si="3"/>
        <v>0</v>
      </c>
      <c r="K30" s="17">
        <f t="shared" si="3"/>
        <v>0</v>
      </c>
      <c r="L30" s="17">
        <f t="shared" si="3"/>
        <v>0</v>
      </c>
      <c r="M30" s="17">
        <f t="shared" si="3"/>
        <v>0</v>
      </c>
      <c r="N30" s="17">
        <f t="shared" si="3"/>
        <v>0</v>
      </c>
      <c r="O30" s="18">
        <f t="shared" si="1"/>
        <v>0</v>
      </c>
    </row>
    <row r="31" spans="1:15" ht="15" hidden="1" customHeight="1" x14ac:dyDescent="0.2">
      <c r="A31" s="879"/>
      <c r="B31" s="19" t="s">
        <v>225</v>
      </c>
      <c r="C31" s="17">
        <v>0</v>
      </c>
      <c r="D31" s="17">
        <f t="shared" si="2"/>
        <v>0</v>
      </c>
      <c r="E31" s="17">
        <f t="shared" si="2"/>
        <v>0</v>
      </c>
      <c r="F31" s="17">
        <f t="shared" si="2"/>
        <v>0</v>
      </c>
      <c r="G31" s="17">
        <f t="shared" si="2"/>
        <v>0</v>
      </c>
      <c r="H31" s="17">
        <v>0</v>
      </c>
      <c r="I31" s="17">
        <f t="shared" si="3"/>
        <v>0</v>
      </c>
      <c r="J31" s="17">
        <f t="shared" si="3"/>
        <v>0</v>
      </c>
      <c r="K31" s="17">
        <f t="shared" si="3"/>
        <v>0</v>
      </c>
      <c r="L31" s="17">
        <f t="shared" si="3"/>
        <v>0</v>
      </c>
      <c r="M31" s="17">
        <f t="shared" si="3"/>
        <v>0</v>
      </c>
      <c r="N31" s="17">
        <f t="shared" si="3"/>
        <v>0</v>
      </c>
      <c r="O31" s="18">
        <f t="shared" si="1"/>
        <v>0</v>
      </c>
    </row>
    <row r="32" spans="1:15" ht="15" customHeight="1" x14ac:dyDescent="0.2">
      <c r="A32" s="879"/>
      <c r="B32" s="21" t="s">
        <v>142</v>
      </c>
      <c r="C32" s="17">
        <v>0</v>
      </c>
      <c r="D32" s="17">
        <f t="shared" si="2"/>
        <v>0</v>
      </c>
      <c r="E32" s="17">
        <f t="shared" si="2"/>
        <v>0</v>
      </c>
      <c r="F32" s="17">
        <f t="shared" si="2"/>
        <v>0</v>
      </c>
      <c r="G32" s="17">
        <f t="shared" si="2"/>
        <v>0</v>
      </c>
      <c r="H32" s="17">
        <v>0</v>
      </c>
      <c r="I32" s="17">
        <f t="shared" si="3"/>
        <v>0</v>
      </c>
      <c r="J32" s="17">
        <f t="shared" si="3"/>
        <v>0</v>
      </c>
      <c r="K32" s="17">
        <f t="shared" si="3"/>
        <v>0</v>
      </c>
      <c r="L32" s="17">
        <f t="shared" si="3"/>
        <v>0</v>
      </c>
      <c r="M32" s="17">
        <f t="shared" si="3"/>
        <v>0</v>
      </c>
      <c r="N32" s="17">
        <f t="shared" si="3"/>
        <v>0</v>
      </c>
      <c r="O32" s="18">
        <f t="shared" si="1"/>
        <v>0</v>
      </c>
    </row>
    <row r="33" spans="1:16" ht="15" hidden="1" customHeight="1" x14ac:dyDescent="0.2">
      <c r="A33" s="880"/>
      <c r="B33" s="19" t="s">
        <v>226</v>
      </c>
      <c r="C33" s="17">
        <v>0</v>
      </c>
      <c r="D33" s="17">
        <f t="shared" si="2"/>
        <v>0</v>
      </c>
      <c r="E33" s="17">
        <f t="shared" si="2"/>
        <v>0</v>
      </c>
      <c r="F33" s="17">
        <f t="shared" si="2"/>
        <v>0</v>
      </c>
      <c r="G33" s="17">
        <f t="shared" si="2"/>
        <v>0</v>
      </c>
      <c r="H33" s="17">
        <v>0</v>
      </c>
      <c r="I33" s="17">
        <f t="shared" si="3"/>
        <v>0</v>
      </c>
      <c r="J33" s="17">
        <f t="shared" si="3"/>
        <v>0</v>
      </c>
      <c r="K33" s="17">
        <f t="shared" si="3"/>
        <v>0</v>
      </c>
      <c r="L33" s="17">
        <f t="shared" si="3"/>
        <v>0</v>
      </c>
      <c r="M33" s="17">
        <f t="shared" si="3"/>
        <v>0</v>
      </c>
      <c r="N33" s="17">
        <f t="shared" si="3"/>
        <v>0</v>
      </c>
      <c r="O33" s="18">
        <f t="shared" si="1"/>
        <v>0</v>
      </c>
    </row>
    <row r="34" spans="1:16" ht="15" customHeight="1" x14ac:dyDescent="0.2">
      <c r="A34" s="865" t="s">
        <v>144</v>
      </c>
      <c r="B34" s="866"/>
      <c r="C34" s="17">
        <v>0</v>
      </c>
      <c r="D34" s="17">
        <f t="shared" si="2"/>
        <v>0</v>
      </c>
      <c r="E34" s="17">
        <f t="shared" si="2"/>
        <v>0</v>
      </c>
      <c r="F34" s="17">
        <f t="shared" si="2"/>
        <v>0</v>
      </c>
      <c r="G34" s="17">
        <f t="shared" si="2"/>
        <v>0</v>
      </c>
      <c r="H34" s="17">
        <v>0</v>
      </c>
      <c r="I34" s="17">
        <f t="shared" si="3"/>
        <v>0</v>
      </c>
      <c r="J34" s="17">
        <f t="shared" si="3"/>
        <v>0</v>
      </c>
      <c r="K34" s="17">
        <f t="shared" si="3"/>
        <v>0</v>
      </c>
      <c r="L34" s="17">
        <f t="shared" si="3"/>
        <v>0</v>
      </c>
      <c r="M34" s="17">
        <f t="shared" si="3"/>
        <v>0</v>
      </c>
      <c r="N34" s="17">
        <f t="shared" si="3"/>
        <v>0</v>
      </c>
      <c r="O34" s="18">
        <f t="shared" si="1"/>
        <v>0</v>
      </c>
    </row>
    <row r="35" spans="1:16" ht="15" customHeight="1" x14ac:dyDescent="0.2">
      <c r="A35" s="865" t="s">
        <v>145</v>
      </c>
      <c r="B35" s="866"/>
      <c r="C35" s="17">
        <v>0</v>
      </c>
      <c r="D35" s="17">
        <v>216</v>
      </c>
      <c r="E35" s="17">
        <v>0</v>
      </c>
      <c r="F35" s="17">
        <v>0</v>
      </c>
      <c r="G35" s="17">
        <v>0</v>
      </c>
      <c r="H35" s="17">
        <v>0</v>
      </c>
      <c r="I35" s="17">
        <v>0</v>
      </c>
      <c r="J35" s="17">
        <v>216</v>
      </c>
      <c r="K35" s="17">
        <v>0</v>
      </c>
      <c r="L35" s="17">
        <v>0</v>
      </c>
      <c r="M35" s="17">
        <v>0</v>
      </c>
      <c r="N35" s="17">
        <v>0</v>
      </c>
      <c r="O35" s="18">
        <f t="shared" si="1"/>
        <v>432</v>
      </c>
    </row>
    <row r="36" spans="1:16" ht="15" customHeight="1" x14ac:dyDescent="0.2">
      <c r="A36" s="865" t="s">
        <v>146</v>
      </c>
      <c r="B36" s="866"/>
      <c r="C36" s="17">
        <v>0</v>
      </c>
      <c r="D36" s="17">
        <v>4326</v>
      </c>
      <c r="E36" s="17">
        <v>0</v>
      </c>
      <c r="F36" s="17">
        <v>0</v>
      </c>
      <c r="G36" s="17">
        <v>0</v>
      </c>
      <c r="H36" s="17">
        <v>0</v>
      </c>
      <c r="I36" s="17">
        <v>0</v>
      </c>
      <c r="J36" s="17">
        <v>4458</v>
      </c>
      <c r="K36" s="17">
        <v>0</v>
      </c>
      <c r="L36" s="17">
        <v>0</v>
      </c>
      <c r="M36" s="17">
        <v>0</v>
      </c>
      <c r="N36" s="17">
        <v>0</v>
      </c>
      <c r="O36" s="18">
        <f t="shared" si="1"/>
        <v>8784</v>
      </c>
    </row>
    <row r="37" spans="1:16" ht="15" customHeight="1" x14ac:dyDescent="0.2">
      <c r="A37" s="22"/>
      <c r="B37" s="23" t="s">
        <v>147</v>
      </c>
      <c r="C37" s="24">
        <f t="shared" ref="C37:N37" si="4">SUM(C9:C36)</f>
        <v>96789</v>
      </c>
      <c r="D37" s="24">
        <f t="shared" si="4"/>
        <v>102845</v>
      </c>
      <c r="E37" s="24">
        <f t="shared" si="4"/>
        <v>98303</v>
      </c>
      <c r="F37" s="24">
        <f t="shared" si="4"/>
        <v>98303</v>
      </c>
      <c r="G37" s="24">
        <f t="shared" si="4"/>
        <v>101185</v>
      </c>
      <c r="H37" s="24">
        <f t="shared" si="4"/>
        <v>101185</v>
      </c>
      <c r="I37" s="24">
        <f t="shared" si="4"/>
        <v>101185</v>
      </c>
      <c r="J37" s="24">
        <f t="shared" si="4"/>
        <v>112839</v>
      </c>
      <c r="K37" s="24">
        <f t="shared" si="4"/>
        <v>101257</v>
      </c>
      <c r="L37" s="24">
        <f t="shared" si="4"/>
        <v>101257</v>
      </c>
      <c r="M37" s="24">
        <f t="shared" si="4"/>
        <v>101257</v>
      </c>
      <c r="N37" s="24">
        <f t="shared" si="4"/>
        <v>101257</v>
      </c>
      <c r="O37" s="25">
        <f>SUM(C37:N37)</f>
        <v>1217662</v>
      </c>
    </row>
    <row r="38" spans="1:16" ht="15" customHeight="1" x14ac:dyDescent="0.2">
      <c r="A38" s="853" t="s">
        <v>148</v>
      </c>
      <c r="B38" s="27" t="s">
        <v>149</v>
      </c>
      <c r="C38" s="28">
        <v>9700</v>
      </c>
      <c r="D38" s="28">
        <v>10000</v>
      </c>
      <c r="E38" s="28">
        <v>10000</v>
      </c>
      <c r="F38" s="28">
        <v>10000</v>
      </c>
      <c r="G38" s="28">
        <v>10000</v>
      </c>
      <c r="H38" s="28">
        <v>10000</v>
      </c>
      <c r="I38" s="28">
        <v>10000</v>
      </c>
      <c r="J38" s="28">
        <v>10000</v>
      </c>
      <c r="K38" s="28">
        <v>11000</v>
      </c>
      <c r="L38" s="28">
        <v>10985</v>
      </c>
      <c r="M38" s="28">
        <v>10985</v>
      </c>
      <c r="N38" s="28">
        <v>12190</v>
      </c>
      <c r="O38" s="18">
        <f>SUM(C38:N38)</f>
        <v>124860</v>
      </c>
      <c r="P38" s="29"/>
    </row>
    <row r="39" spans="1:16" ht="15" x14ac:dyDescent="0.2">
      <c r="A39" s="854"/>
      <c r="B39" s="27" t="s">
        <v>150</v>
      </c>
      <c r="C39" s="28">
        <v>0</v>
      </c>
      <c r="D39" s="28">
        <v>0</v>
      </c>
      <c r="E39" s="28">
        <v>0</v>
      </c>
      <c r="F39" s="28">
        <v>0</v>
      </c>
      <c r="G39" s="28">
        <v>0</v>
      </c>
      <c r="H39" s="28">
        <v>0</v>
      </c>
      <c r="I39" s="28">
        <v>0</v>
      </c>
      <c r="J39" s="28">
        <v>0</v>
      </c>
      <c r="K39" s="28">
        <v>0</v>
      </c>
      <c r="L39" s="28">
        <v>0</v>
      </c>
      <c r="M39" s="28">
        <v>0</v>
      </c>
      <c r="N39" s="28">
        <v>0</v>
      </c>
      <c r="O39" s="18">
        <f>SUM(C39:N39)</f>
        <v>0</v>
      </c>
    </row>
    <row r="40" spans="1:16" ht="15" x14ac:dyDescent="0.2">
      <c r="A40" s="854"/>
      <c r="B40" s="27" t="s">
        <v>151</v>
      </c>
      <c r="C40" s="28">
        <v>60</v>
      </c>
      <c r="D40" s="28">
        <v>60</v>
      </c>
      <c r="E40" s="28">
        <v>60</v>
      </c>
      <c r="F40" s="28">
        <v>60</v>
      </c>
      <c r="G40" s="28">
        <v>60</v>
      </c>
      <c r="H40" s="28">
        <v>60</v>
      </c>
      <c r="I40" s="28">
        <v>60</v>
      </c>
      <c r="J40" s="28">
        <v>60</v>
      </c>
      <c r="K40" s="28">
        <v>60</v>
      </c>
      <c r="L40" s="28">
        <v>60</v>
      </c>
      <c r="M40" s="28">
        <v>60</v>
      </c>
      <c r="N40" s="28">
        <v>60</v>
      </c>
      <c r="O40" s="18">
        <f t="shared" ref="O40:O50" si="5">SUM(C40:N40)</f>
        <v>720</v>
      </c>
    </row>
    <row r="41" spans="1:16" ht="15" x14ac:dyDescent="0.2">
      <c r="A41" s="854"/>
      <c r="B41" s="27" t="s">
        <v>152</v>
      </c>
      <c r="C41" s="28">
        <v>0</v>
      </c>
      <c r="D41" s="28">
        <v>0</v>
      </c>
      <c r="E41" s="28">
        <v>0</v>
      </c>
      <c r="F41" s="28">
        <v>0</v>
      </c>
      <c r="G41" s="28">
        <v>0</v>
      </c>
      <c r="H41" s="28">
        <v>0</v>
      </c>
      <c r="I41" s="28">
        <v>0</v>
      </c>
      <c r="J41" s="28">
        <v>0</v>
      </c>
      <c r="K41" s="28">
        <v>0</v>
      </c>
      <c r="L41" s="28">
        <v>0</v>
      </c>
      <c r="M41" s="28">
        <v>0</v>
      </c>
      <c r="N41" s="28">
        <v>0</v>
      </c>
      <c r="O41" s="18">
        <f t="shared" si="5"/>
        <v>0</v>
      </c>
    </row>
    <row r="42" spans="1:16" ht="15" x14ac:dyDescent="0.2">
      <c r="A42" s="854"/>
      <c r="B42" s="27" t="s">
        <v>153</v>
      </c>
      <c r="C42" s="28">
        <v>0</v>
      </c>
      <c r="D42" s="28">
        <v>0</v>
      </c>
      <c r="E42" s="28">
        <v>0</v>
      </c>
      <c r="F42" s="28">
        <v>0</v>
      </c>
      <c r="G42" s="28">
        <v>0</v>
      </c>
      <c r="H42" s="28">
        <v>0</v>
      </c>
      <c r="I42" s="28">
        <v>0</v>
      </c>
      <c r="J42" s="28">
        <v>0</v>
      </c>
      <c r="K42" s="28">
        <v>0</v>
      </c>
      <c r="L42" s="28">
        <v>0</v>
      </c>
      <c r="M42" s="28">
        <v>0</v>
      </c>
      <c r="N42" s="28">
        <v>0</v>
      </c>
      <c r="O42" s="18">
        <f t="shared" si="5"/>
        <v>0</v>
      </c>
    </row>
    <row r="43" spans="1:16" ht="15" x14ac:dyDescent="0.2">
      <c r="A43" s="854"/>
      <c r="B43" s="27" t="s">
        <v>433</v>
      </c>
      <c r="C43" s="28">
        <v>18000</v>
      </c>
      <c r="D43" s="28">
        <v>18000</v>
      </c>
      <c r="E43" s="28">
        <v>18000</v>
      </c>
      <c r="F43" s="28">
        <v>18000</v>
      </c>
      <c r="G43" s="28">
        <v>18000</v>
      </c>
      <c r="H43" s="28">
        <v>18000</v>
      </c>
      <c r="I43" s="28">
        <v>18000</v>
      </c>
      <c r="J43" s="28">
        <v>18000</v>
      </c>
      <c r="K43" s="28">
        <v>18000</v>
      </c>
      <c r="L43" s="28">
        <v>18000</v>
      </c>
      <c r="M43" s="28">
        <v>18000</v>
      </c>
      <c r="N43" s="28">
        <v>18000</v>
      </c>
      <c r="O43" s="18">
        <f t="shared" si="5"/>
        <v>216000</v>
      </c>
    </row>
    <row r="44" spans="1:16" ht="15" x14ac:dyDescent="0.2">
      <c r="A44" s="854"/>
      <c r="B44" s="27" t="s">
        <v>155</v>
      </c>
      <c r="C44" s="28">
        <v>200</v>
      </c>
      <c r="D44" s="28">
        <v>200</v>
      </c>
      <c r="E44" s="28">
        <v>200</v>
      </c>
      <c r="F44" s="28">
        <v>200</v>
      </c>
      <c r="G44" s="28">
        <v>200</v>
      </c>
      <c r="H44" s="28">
        <v>200</v>
      </c>
      <c r="I44" s="28">
        <v>200</v>
      </c>
      <c r="J44" s="28">
        <v>200</v>
      </c>
      <c r="K44" s="28">
        <v>200</v>
      </c>
      <c r="L44" s="28">
        <v>200</v>
      </c>
      <c r="M44" s="28">
        <v>200</v>
      </c>
      <c r="N44" s="28">
        <v>300</v>
      </c>
      <c r="O44" s="18">
        <f t="shared" si="5"/>
        <v>2500</v>
      </c>
    </row>
    <row r="45" spans="1:16" ht="15" x14ac:dyDescent="0.2">
      <c r="A45" s="854"/>
      <c r="B45" s="27" t="s">
        <v>156</v>
      </c>
      <c r="C45" s="28">
        <v>0</v>
      </c>
      <c r="D45" s="28">
        <v>0</v>
      </c>
      <c r="E45" s="28">
        <v>0</v>
      </c>
      <c r="F45" s="28">
        <v>0</v>
      </c>
      <c r="G45" s="28">
        <v>0</v>
      </c>
      <c r="H45" s="28">
        <v>0</v>
      </c>
      <c r="I45" s="28">
        <v>0</v>
      </c>
      <c r="J45" s="28">
        <v>0</v>
      </c>
      <c r="K45" s="28">
        <v>0</v>
      </c>
      <c r="L45" s="28">
        <v>0</v>
      </c>
      <c r="M45" s="28">
        <v>0</v>
      </c>
      <c r="N45" s="28">
        <v>0</v>
      </c>
      <c r="O45" s="18">
        <f t="shared" si="5"/>
        <v>0</v>
      </c>
    </row>
    <row r="46" spans="1:16" ht="15" x14ac:dyDescent="0.2">
      <c r="A46" s="854"/>
      <c r="B46" s="27" t="s">
        <v>157</v>
      </c>
      <c r="C46" s="28">
        <v>0</v>
      </c>
      <c r="D46" s="28">
        <v>0</v>
      </c>
      <c r="E46" s="28">
        <v>0</v>
      </c>
      <c r="F46" s="28">
        <v>0</v>
      </c>
      <c r="G46" s="28">
        <v>0</v>
      </c>
      <c r="H46" s="28">
        <v>0</v>
      </c>
      <c r="I46" s="28">
        <v>0</v>
      </c>
      <c r="J46" s="28">
        <v>0</v>
      </c>
      <c r="K46" s="28">
        <v>0</v>
      </c>
      <c r="L46" s="28">
        <v>0</v>
      </c>
      <c r="M46" s="28">
        <v>0</v>
      </c>
      <c r="N46" s="28">
        <v>0</v>
      </c>
      <c r="O46" s="18">
        <f t="shared" si="5"/>
        <v>0</v>
      </c>
    </row>
    <row r="47" spans="1:16" ht="28.5" customHeight="1" x14ac:dyDescent="0.2">
      <c r="A47" s="855"/>
      <c r="B47" s="30" t="s">
        <v>158</v>
      </c>
      <c r="C47" s="28">
        <v>0</v>
      </c>
      <c r="D47" s="28">
        <v>0</v>
      </c>
      <c r="E47" s="28">
        <v>0</v>
      </c>
      <c r="F47" s="28">
        <v>0</v>
      </c>
      <c r="G47" s="28">
        <v>0</v>
      </c>
      <c r="H47" s="28">
        <v>0</v>
      </c>
      <c r="I47" s="28">
        <v>0</v>
      </c>
      <c r="J47" s="28">
        <v>0</v>
      </c>
      <c r="K47" s="28">
        <v>0</v>
      </c>
      <c r="L47" s="28">
        <v>0</v>
      </c>
      <c r="M47" s="28">
        <v>0</v>
      </c>
      <c r="N47" s="28">
        <v>0</v>
      </c>
      <c r="O47" s="31">
        <f t="shared" si="5"/>
        <v>0</v>
      </c>
    </row>
    <row r="48" spans="1:16" ht="15" x14ac:dyDescent="0.2">
      <c r="A48" s="856"/>
      <c r="B48" s="127" t="s">
        <v>434</v>
      </c>
      <c r="C48" s="28">
        <v>0</v>
      </c>
      <c r="D48" s="28">
        <v>0</v>
      </c>
      <c r="E48" s="28">
        <v>0</v>
      </c>
      <c r="F48" s="28">
        <v>0</v>
      </c>
      <c r="G48" s="28">
        <v>0</v>
      </c>
      <c r="H48" s="28">
        <v>0</v>
      </c>
      <c r="I48" s="28">
        <v>0</v>
      </c>
      <c r="J48" s="28">
        <v>0</v>
      </c>
      <c r="K48" s="28">
        <v>0</v>
      </c>
      <c r="L48" s="28">
        <v>0</v>
      </c>
      <c r="M48" s="28">
        <v>0</v>
      </c>
      <c r="N48" s="28">
        <v>0</v>
      </c>
      <c r="O48" s="31">
        <f t="shared" si="5"/>
        <v>0</v>
      </c>
    </row>
    <row r="49" spans="1:18" ht="15" x14ac:dyDescent="0.2">
      <c r="A49" s="857" t="s">
        <v>160</v>
      </c>
      <c r="B49" s="858"/>
      <c r="C49" s="33">
        <f t="shared" ref="C49:N49" si="6">SUM(C38:C48)</f>
        <v>27960</v>
      </c>
      <c r="D49" s="33">
        <f t="shared" si="6"/>
        <v>28260</v>
      </c>
      <c r="E49" s="33">
        <f t="shared" si="6"/>
        <v>28260</v>
      </c>
      <c r="F49" s="33">
        <f t="shared" si="6"/>
        <v>28260</v>
      </c>
      <c r="G49" s="33">
        <f t="shared" si="6"/>
        <v>28260</v>
      </c>
      <c r="H49" s="33">
        <f t="shared" si="6"/>
        <v>28260</v>
      </c>
      <c r="I49" s="33">
        <f t="shared" si="6"/>
        <v>28260</v>
      </c>
      <c r="J49" s="33">
        <f t="shared" si="6"/>
        <v>28260</v>
      </c>
      <c r="K49" s="33">
        <f t="shared" si="6"/>
        <v>29260</v>
      </c>
      <c r="L49" s="33">
        <f t="shared" si="6"/>
        <v>29245</v>
      </c>
      <c r="M49" s="33">
        <f t="shared" si="6"/>
        <v>29245</v>
      </c>
      <c r="N49" s="33">
        <f t="shared" si="6"/>
        <v>30550</v>
      </c>
      <c r="O49" s="34">
        <f t="shared" si="5"/>
        <v>344080</v>
      </c>
    </row>
    <row r="50" spans="1:18" ht="15.75" thickBot="1" x14ac:dyDescent="0.25">
      <c r="A50" s="859" t="s">
        <v>161</v>
      </c>
      <c r="B50" s="860"/>
      <c r="C50" s="35">
        <f t="shared" ref="C50:N50" si="7">C37-C49</f>
        <v>68829</v>
      </c>
      <c r="D50" s="35">
        <f t="shared" si="7"/>
        <v>74585</v>
      </c>
      <c r="E50" s="35">
        <f t="shared" si="7"/>
        <v>70043</v>
      </c>
      <c r="F50" s="35">
        <f t="shared" si="7"/>
        <v>70043</v>
      </c>
      <c r="G50" s="35">
        <f t="shared" si="7"/>
        <v>72925</v>
      </c>
      <c r="H50" s="35">
        <f t="shared" si="7"/>
        <v>72925</v>
      </c>
      <c r="I50" s="35">
        <f t="shared" si="7"/>
        <v>72925</v>
      </c>
      <c r="J50" s="35">
        <f t="shared" si="7"/>
        <v>84579</v>
      </c>
      <c r="K50" s="35">
        <f t="shared" si="7"/>
        <v>71997</v>
      </c>
      <c r="L50" s="35">
        <f t="shared" si="7"/>
        <v>72012</v>
      </c>
      <c r="M50" s="35">
        <f t="shared" si="7"/>
        <v>72012</v>
      </c>
      <c r="N50" s="35">
        <f t="shared" si="7"/>
        <v>70707</v>
      </c>
      <c r="O50" s="36">
        <f t="shared" si="5"/>
        <v>873582</v>
      </c>
    </row>
    <row r="51" spans="1:18" x14ac:dyDescent="0.2">
      <c r="J51" s="295">
        <f>+J37-SUM(J22:J36)</f>
        <v>101257</v>
      </c>
      <c r="Q51" s="38"/>
    </row>
    <row r="52" spans="1:18" ht="13.5" thickBot="1" x14ac:dyDescent="0.25">
      <c r="J52" s="38">
        <f>+J51-J49</f>
        <v>72997</v>
      </c>
    </row>
    <row r="53" spans="1:18" ht="13.5" thickBot="1" x14ac:dyDescent="0.25">
      <c r="B53" s="789" t="s">
        <v>162</v>
      </c>
      <c r="C53" s="861"/>
      <c r="D53" s="861"/>
      <c r="E53" s="861"/>
      <c r="F53" s="862"/>
      <c r="G53" s="863">
        <f>O37</f>
        <v>1217662</v>
      </c>
      <c r="H53" s="864"/>
    </row>
    <row r="54" spans="1:18" ht="13.5" thickBot="1" x14ac:dyDescent="0.25"/>
    <row r="55" spans="1:18" x14ac:dyDescent="0.2">
      <c r="B55" s="830" t="s">
        <v>163</v>
      </c>
      <c r="C55" s="833" t="s">
        <v>164</v>
      </c>
      <c r="D55" s="836" t="s">
        <v>229</v>
      </c>
      <c r="E55" s="837"/>
      <c r="F55" s="838"/>
      <c r="G55" s="839">
        <v>40000</v>
      </c>
      <c r="H55" s="840"/>
    </row>
    <row r="56" spans="1:18" x14ac:dyDescent="0.2">
      <c r="B56" s="831"/>
      <c r="C56" s="834"/>
      <c r="D56" s="841" t="s">
        <v>166</v>
      </c>
      <c r="E56" s="842"/>
      <c r="F56" s="843"/>
      <c r="G56" s="844">
        <f>+O44</f>
        <v>2500</v>
      </c>
      <c r="H56" s="845"/>
      <c r="I56" s="39"/>
      <c r="J56" s="846"/>
      <c r="K56" s="846"/>
      <c r="L56" s="846"/>
      <c r="M56" s="847"/>
      <c r="N56" s="847"/>
      <c r="O56" s="847"/>
    </row>
    <row r="57" spans="1:18" ht="13.5" thickBot="1" x14ac:dyDescent="0.25">
      <c r="B57" s="832"/>
      <c r="C57" s="835"/>
      <c r="D57" s="848" t="s">
        <v>266</v>
      </c>
      <c r="E57" s="849"/>
      <c r="F57" s="850"/>
      <c r="G57" s="851">
        <v>0</v>
      </c>
      <c r="H57" s="852"/>
      <c r="J57" s="47"/>
      <c r="K57" s="47"/>
      <c r="L57" s="47"/>
      <c r="M57" s="47"/>
      <c r="N57" s="47"/>
      <c r="O57" s="47"/>
    </row>
    <row r="58" spans="1:18" ht="13.5" thickBot="1" x14ac:dyDescent="0.25">
      <c r="B58" s="48"/>
      <c r="J58" s="47"/>
      <c r="K58" s="47"/>
      <c r="L58" s="47"/>
      <c r="M58" s="47"/>
      <c r="N58" s="47"/>
      <c r="O58" s="47"/>
    </row>
    <row r="59" spans="1:18" ht="13.5" thickBot="1" x14ac:dyDescent="0.25">
      <c r="B59" s="789" t="s">
        <v>168</v>
      </c>
      <c r="C59" s="790"/>
      <c r="D59" s="790"/>
      <c r="E59" s="790"/>
      <c r="F59" s="791"/>
      <c r="G59" s="825">
        <f>+G53-SUM(G55:H57)</f>
        <v>1175162</v>
      </c>
      <c r="H59" s="826"/>
      <c r="J59" s="827" t="s">
        <v>169</v>
      </c>
      <c r="K59" s="828"/>
      <c r="L59" s="828"/>
      <c r="M59" s="828"/>
      <c r="N59" s="828"/>
      <c r="O59" s="829"/>
    </row>
    <row r="60" spans="1:18" ht="13.5" thickBot="1" x14ac:dyDescent="0.25">
      <c r="B60" s="49"/>
      <c r="C60" s="50"/>
      <c r="D60" s="50"/>
      <c r="E60" s="50"/>
      <c r="F60" s="50"/>
      <c r="G60" s="45"/>
      <c r="H60" s="50"/>
      <c r="J60" s="129"/>
      <c r="K60" s="130"/>
      <c r="L60" s="130"/>
      <c r="M60" s="130"/>
      <c r="N60" s="130"/>
      <c r="O60" s="131"/>
    </row>
    <row r="61" spans="1:18" ht="13.5" thickBot="1" x14ac:dyDescent="0.25">
      <c r="B61" s="789" t="s">
        <v>170</v>
      </c>
      <c r="C61" s="790"/>
      <c r="D61" s="790"/>
      <c r="E61" s="790"/>
      <c r="F61" s="791"/>
      <c r="G61" s="805"/>
      <c r="H61" s="791"/>
      <c r="J61" s="129"/>
      <c r="K61" s="130"/>
      <c r="L61" s="130"/>
      <c r="M61" s="130"/>
      <c r="N61" s="130"/>
      <c r="O61" s="131"/>
    </row>
    <row r="62" spans="1:18" ht="12.75" customHeight="1" x14ac:dyDescent="0.2">
      <c r="B62" s="57" t="s">
        <v>171</v>
      </c>
      <c r="C62" s="806" t="s">
        <v>172</v>
      </c>
      <c r="D62" s="807"/>
      <c r="E62" s="807"/>
      <c r="F62" s="808"/>
      <c r="G62" s="809">
        <v>0</v>
      </c>
      <c r="H62" s="809"/>
      <c r="I62" s="58"/>
      <c r="J62" s="810" t="s">
        <v>173</v>
      </c>
      <c r="K62" s="811"/>
      <c r="L62" s="811"/>
      <c r="M62" s="811"/>
      <c r="N62" s="811"/>
      <c r="O62" s="812"/>
      <c r="Q62" s="59"/>
      <c r="R62" s="59"/>
    </row>
    <row r="63" spans="1:18" ht="13.5" thickBot="1" x14ac:dyDescent="0.25">
      <c r="D63" s="37"/>
      <c r="I63" s="58"/>
      <c r="J63" s="60"/>
      <c r="K63" s="132"/>
      <c r="L63" s="132"/>
      <c r="M63" s="133"/>
      <c r="N63" s="133"/>
      <c r="O63" s="134"/>
      <c r="Q63" s="59"/>
      <c r="R63" s="59"/>
    </row>
    <row r="64" spans="1:18" ht="13.5" thickBot="1" x14ac:dyDescent="0.25">
      <c r="B64" s="789" t="s">
        <v>175</v>
      </c>
      <c r="C64" s="790"/>
      <c r="D64" s="790"/>
      <c r="E64" s="790"/>
      <c r="F64" s="791"/>
      <c r="G64" s="805">
        <f>+G59-G62</f>
        <v>1175162</v>
      </c>
      <c r="H64" s="791"/>
      <c r="I64" s="63"/>
      <c r="J64" s="75"/>
      <c r="K64" s="39"/>
      <c r="L64" s="39"/>
      <c r="M64" s="39"/>
      <c r="N64" s="39"/>
      <c r="O64" s="65"/>
      <c r="Q64" s="59"/>
      <c r="R64" s="59"/>
    </row>
    <row r="65" spans="2:18" ht="12.75" customHeight="1" x14ac:dyDescent="0.2">
      <c r="B65" s="48"/>
      <c r="C65" s="48"/>
      <c r="I65" s="63"/>
      <c r="J65" s="75"/>
      <c r="K65" s="39"/>
      <c r="L65" s="39"/>
      <c r="M65" s="39"/>
      <c r="N65" s="39"/>
      <c r="O65" s="65"/>
      <c r="Q65" s="59"/>
      <c r="R65" s="59"/>
    </row>
    <row r="66" spans="2:18" x14ac:dyDescent="0.2">
      <c r="B66" s="66" t="s">
        <v>176</v>
      </c>
      <c r="C66" s="48"/>
      <c r="I66" s="63"/>
      <c r="J66" s="67"/>
      <c r="K66" s="68"/>
      <c r="L66" s="68"/>
      <c r="M66" s="68"/>
      <c r="N66" s="68"/>
      <c r="O66" s="69"/>
      <c r="Q66" s="59"/>
      <c r="R66" s="59"/>
    </row>
    <row r="67" spans="2:18" ht="26.25" customHeight="1" thickBot="1" x14ac:dyDescent="0.25">
      <c r="B67" s="66"/>
      <c r="C67" s="48"/>
      <c r="G67" s="70" t="s">
        <v>177</v>
      </c>
      <c r="H67" s="70" t="s">
        <v>178</v>
      </c>
      <c r="I67" s="63"/>
      <c r="J67" s="810" t="s">
        <v>179</v>
      </c>
      <c r="K67" s="811"/>
      <c r="L67" s="71"/>
      <c r="M67" s="71"/>
      <c r="N67" s="71"/>
      <c r="O67" s="72"/>
      <c r="Q67" s="59"/>
      <c r="R67" s="59"/>
    </row>
    <row r="68" spans="2:18" ht="12.75" customHeight="1" x14ac:dyDescent="0.2">
      <c r="B68" s="802" t="s">
        <v>180</v>
      </c>
      <c r="C68" s="821" t="s">
        <v>181</v>
      </c>
      <c r="D68" s="823" t="s">
        <v>182</v>
      </c>
      <c r="E68" s="824"/>
      <c r="F68" s="824"/>
      <c r="G68" s="73">
        <f>+O43</f>
        <v>216000</v>
      </c>
      <c r="H68" s="74">
        <f t="shared" ref="H68:H76" si="8">+G68</f>
        <v>216000</v>
      </c>
      <c r="I68" s="63"/>
      <c r="J68" s="181" t="s">
        <v>435</v>
      </c>
      <c r="K68" s="58"/>
      <c r="L68" s="58" t="s">
        <v>436</v>
      </c>
      <c r="M68" s="135" t="s">
        <v>232</v>
      </c>
      <c r="N68" s="135" t="s">
        <v>233</v>
      </c>
      <c r="O68" s="76"/>
      <c r="Q68" s="59"/>
      <c r="R68" s="59"/>
    </row>
    <row r="69" spans="2:18" ht="12.75" customHeight="1" x14ac:dyDescent="0.2">
      <c r="B69" s="803"/>
      <c r="C69" s="822"/>
      <c r="D69" s="782" t="s">
        <v>184</v>
      </c>
      <c r="E69" s="783"/>
      <c r="F69" s="783"/>
      <c r="G69" s="77">
        <v>0</v>
      </c>
      <c r="H69" s="78">
        <f t="shared" si="8"/>
        <v>0</v>
      </c>
      <c r="I69" s="63"/>
      <c r="J69" s="181" t="s">
        <v>437</v>
      </c>
      <c r="K69" s="68"/>
      <c r="L69" s="135" t="s">
        <v>438</v>
      </c>
      <c r="M69" s="135" t="s">
        <v>232</v>
      </c>
      <c r="N69" s="135" t="s">
        <v>439</v>
      </c>
      <c r="O69" s="136"/>
      <c r="Q69" s="59"/>
      <c r="R69" s="59"/>
    </row>
    <row r="70" spans="2:18" ht="12.75" customHeight="1" x14ac:dyDescent="0.2">
      <c r="B70" s="803"/>
      <c r="C70" s="822"/>
      <c r="D70" s="819" t="s">
        <v>185</v>
      </c>
      <c r="E70" s="820"/>
      <c r="F70" s="820"/>
      <c r="G70" s="80">
        <f>O40</f>
        <v>720</v>
      </c>
      <c r="H70" s="78">
        <f t="shared" si="8"/>
        <v>720</v>
      </c>
      <c r="I70" s="63"/>
      <c r="J70" s="67"/>
      <c r="K70" s="68"/>
      <c r="L70" s="68"/>
      <c r="M70" s="68"/>
      <c r="N70" s="68"/>
      <c r="O70" s="69"/>
    </row>
    <row r="71" spans="2:18" x14ac:dyDescent="0.2">
      <c r="B71" s="803"/>
      <c r="C71" s="822"/>
      <c r="D71" s="782" t="s">
        <v>186</v>
      </c>
      <c r="E71" s="783"/>
      <c r="F71" s="783"/>
      <c r="G71" s="81">
        <v>0</v>
      </c>
      <c r="H71" s="78">
        <f t="shared" si="8"/>
        <v>0</v>
      </c>
      <c r="I71" s="63"/>
      <c r="J71" s="82" t="s">
        <v>187</v>
      </c>
      <c r="K71" s="71"/>
      <c r="L71" s="71"/>
      <c r="M71" s="71"/>
      <c r="N71" s="71"/>
      <c r="O71" s="72"/>
    </row>
    <row r="72" spans="2:18" ht="12.75" customHeight="1" x14ac:dyDescent="0.2">
      <c r="B72" s="803"/>
      <c r="C72" s="822"/>
      <c r="D72" s="784" t="s">
        <v>188</v>
      </c>
      <c r="E72" s="783"/>
      <c r="F72" s="783"/>
      <c r="G72" s="80">
        <v>0</v>
      </c>
      <c r="H72" s="78">
        <f t="shared" si="8"/>
        <v>0</v>
      </c>
      <c r="I72" s="63"/>
      <c r="J72" s="75" t="s">
        <v>189</v>
      </c>
      <c r="K72" s="50"/>
      <c r="L72" s="50"/>
      <c r="M72" s="50"/>
      <c r="N72" s="50"/>
      <c r="O72" s="83">
        <v>0</v>
      </c>
    </row>
    <row r="73" spans="2:18" ht="14.25" customHeight="1" x14ac:dyDescent="0.2">
      <c r="B73" s="803"/>
      <c r="C73" s="822"/>
      <c r="D73" s="782" t="s">
        <v>190</v>
      </c>
      <c r="E73" s="783"/>
      <c r="F73" s="783"/>
      <c r="G73" s="84">
        <v>0</v>
      </c>
      <c r="H73" s="78">
        <f t="shared" si="8"/>
        <v>0</v>
      </c>
      <c r="I73" s="63"/>
      <c r="J73" s="75"/>
      <c r="K73" s="39"/>
      <c r="L73" s="39"/>
      <c r="M73" s="39"/>
      <c r="N73" s="39"/>
      <c r="O73" s="65"/>
    </row>
    <row r="74" spans="2:18" x14ac:dyDescent="0.2">
      <c r="B74" s="803"/>
      <c r="C74" s="822"/>
      <c r="D74" s="782" t="s">
        <v>191</v>
      </c>
      <c r="E74" s="783"/>
      <c r="F74" s="783"/>
      <c r="G74" s="81">
        <v>0</v>
      </c>
      <c r="H74" s="78">
        <f t="shared" si="8"/>
        <v>0</v>
      </c>
      <c r="I74" s="58"/>
      <c r="J74" s="137"/>
      <c r="K74" s="50"/>
      <c r="L74" s="50"/>
      <c r="M74" s="50"/>
      <c r="N74" s="50"/>
      <c r="O74" s="83"/>
    </row>
    <row r="75" spans="2:18" x14ac:dyDescent="0.2">
      <c r="B75" s="803"/>
      <c r="C75" s="88" t="s">
        <v>192</v>
      </c>
      <c r="D75" s="813" t="s">
        <v>193</v>
      </c>
      <c r="E75" s="814"/>
      <c r="F75" s="814"/>
      <c r="G75" s="80">
        <v>0</v>
      </c>
      <c r="H75" s="78">
        <f t="shared" si="8"/>
        <v>0</v>
      </c>
      <c r="I75" s="58"/>
      <c r="J75" s="79"/>
      <c r="K75" s="39"/>
      <c r="L75" s="39"/>
      <c r="M75" s="39"/>
      <c r="N75" s="39"/>
      <c r="O75" s="65"/>
    </row>
    <row r="76" spans="2:18" ht="13.5" customHeight="1" thickBot="1" x14ac:dyDescent="0.25">
      <c r="B76" s="803"/>
      <c r="C76" s="88" t="s">
        <v>194</v>
      </c>
      <c r="D76" s="815" t="s">
        <v>195</v>
      </c>
      <c r="E76" s="815"/>
      <c r="F76" s="815"/>
      <c r="G76" s="89">
        <v>0</v>
      </c>
      <c r="H76" s="90">
        <f t="shared" si="8"/>
        <v>0</v>
      </c>
      <c r="I76" s="63"/>
      <c r="J76" s="67"/>
      <c r="K76" s="68"/>
      <c r="L76" s="68"/>
      <c r="M76" s="91"/>
      <c r="N76" s="91"/>
      <c r="O76" s="92"/>
    </row>
    <row r="77" spans="2:18" ht="13.5" thickBot="1" x14ac:dyDescent="0.25">
      <c r="B77" s="803"/>
      <c r="C77" s="93"/>
      <c r="D77" s="94"/>
      <c r="E77" s="816" t="s">
        <v>117</v>
      </c>
      <c r="F77" s="817"/>
      <c r="G77" s="95">
        <f>SUM(G68:G76)</f>
        <v>216720</v>
      </c>
      <c r="H77" s="96">
        <f>IF(SUM(G68:G74)&lt;150000,SUM(G68:G74),150000)+IF(+G75&lt;20000,+G75,20000)</f>
        <v>150000</v>
      </c>
      <c r="I77" s="63"/>
      <c r="J77" s="140"/>
      <c r="K77" s="141"/>
      <c r="L77" s="141"/>
      <c r="M77" s="142"/>
      <c r="N77" s="142"/>
      <c r="O77" s="143"/>
    </row>
    <row r="78" spans="2:18" ht="12.75" customHeight="1" x14ac:dyDescent="0.2">
      <c r="B78" s="803"/>
      <c r="C78" s="100" t="s">
        <v>196</v>
      </c>
      <c r="D78" s="782" t="s">
        <v>187</v>
      </c>
      <c r="E78" s="783"/>
      <c r="F78" s="818"/>
      <c r="G78" s="73">
        <f>+O42</f>
        <v>0</v>
      </c>
      <c r="H78" s="101">
        <f>+IF(+G78&lt;25000,+G78,25000)</f>
        <v>0</v>
      </c>
      <c r="I78" s="87"/>
    </row>
    <row r="79" spans="2:18" x14ac:dyDescent="0.2">
      <c r="B79" s="803"/>
      <c r="C79" s="100" t="s">
        <v>197</v>
      </c>
      <c r="D79" s="784" t="s">
        <v>198</v>
      </c>
      <c r="E79" s="785"/>
      <c r="F79" s="786"/>
      <c r="G79" s="102"/>
      <c r="H79" s="103">
        <f>+IF(+G79&lt;40000,+G79,40000)</f>
        <v>0</v>
      </c>
      <c r="I79" s="63"/>
    </row>
    <row r="80" spans="2:18" x14ac:dyDescent="0.2">
      <c r="B80" s="803"/>
      <c r="C80" s="100" t="s">
        <v>199</v>
      </c>
      <c r="D80" s="784" t="s">
        <v>200</v>
      </c>
      <c r="E80" s="785"/>
      <c r="F80" s="786"/>
      <c r="G80" s="81"/>
      <c r="H80" s="104">
        <v>0</v>
      </c>
      <c r="I80" s="63"/>
      <c r="J80" s="106"/>
    </row>
    <row r="81" spans="2:12" x14ac:dyDescent="0.2">
      <c r="B81" s="803"/>
      <c r="C81" s="100" t="s">
        <v>201</v>
      </c>
      <c r="D81" s="784" t="s">
        <v>202</v>
      </c>
      <c r="E81" s="785"/>
      <c r="F81" s="786"/>
      <c r="G81" s="81"/>
      <c r="H81" s="104">
        <v>0</v>
      </c>
      <c r="I81" s="63"/>
    </row>
    <row r="82" spans="2:12" ht="13.5" thickBot="1" x14ac:dyDescent="0.25">
      <c r="B82" s="804"/>
      <c r="C82" s="100" t="s">
        <v>203</v>
      </c>
      <c r="D82" s="784" t="s">
        <v>204</v>
      </c>
      <c r="E82" s="785"/>
      <c r="F82" s="786"/>
      <c r="G82" s="102"/>
      <c r="H82" s="103">
        <f>+IF(+G82&lt;100000,+G82,10000)</f>
        <v>0</v>
      </c>
      <c r="I82" s="63"/>
    </row>
    <row r="83" spans="2:12" ht="13.5" thickBot="1" x14ac:dyDescent="0.25">
      <c r="B83" s="787" t="s">
        <v>205</v>
      </c>
      <c r="C83" s="788"/>
      <c r="D83" s="788"/>
      <c r="E83" s="788"/>
      <c r="F83" s="788"/>
      <c r="G83" s="107">
        <f>SUM(G78:G82)</f>
        <v>0</v>
      </c>
      <c r="H83" s="108">
        <f>SUM(H77:H82)</f>
        <v>150000</v>
      </c>
    </row>
    <row r="84" spans="2:12" ht="13.5" thickBot="1" x14ac:dyDescent="0.25"/>
    <row r="85" spans="2:12" ht="13.5" thickBot="1" x14ac:dyDescent="0.25">
      <c r="B85" s="789" t="s">
        <v>206</v>
      </c>
      <c r="C85" s="790"/>
      <c r="D85" s="790"/>
      <c r="E85" s="790"/>
      <c r="F85" s="791"/>
      <c r="G85" s="792">
        <f>+G64-H83</f>
        <v>1025162</v>
      </c>
      <c r="H85" s="791"/>
      <c r="J85" s="109">
        <f>C37+D37+E37+F37</f>
        <v>396240</v>
      </c>
      <c r="K85" s="16" t="s">
        <v>235</v>
      </c>
    </row>
    <row r="86" spans="2:12" x14ac:dyDescent="0.2">
      <c r="B86" s="110"/>
      <c r="F86" s="105"/>
      <c r="J86" s="109">
        <f>G37+H37+I37</f>
        <v>303555</v>
      </c>
      <c r="K86" s="16" t="s">
        <v>236</v>
      </c>
      <c r="L86" s="16">
        <f>+J86/3</f>
        <v>101185</v>
      </c>
    </row>
    <row r="87" spans="2:12" x14ac:dyDescent="0.2">
      <c r="C87" s="793" t="s">
        <v>207</v>
      </c>
      <c r="D87" s="794"/>
      <c r="E87" s="111" t="s">
        <v>208</v>
      </c>
      <c r="F87" s="111" t="s">
        <v>209</v>
      </c>
      <c r="G87" s="111" t="s">
        <v>210</v>
      </c>
      <c r="H87" s="111" t="s">
        <v>211</v>
      </c>
      <c r="J87" s="109">
        <f>J37+K37+L37</f>
        <v>315353</v>
      </c>
      <c r="K87" s="47" t="s">
        <v>237</v>
      </c>
      <c r="L87" s="16">
        <f>+J87/3</f>
        <v>105117.66666666667</v>
      </c>
    </row>
    <row r="88" spans="2:12" x14ac:dyDescent="0.2">
      <c r="C88" s="795" t="str">
        <f>IF(I6="M","0          - 250000","0          -  250000")</f>
        <v>0          -  250000</v>
      </c>
      <c r="D88" s="796"/>
      <c r="E88" s="112">
        <v>0</v>
      </c>
      <c r="F88" s="113">
        <f>IF(I6="M",(IF(G85&lt;250000,G85,250000)),(IF(G85&lt;250000,G85,250000)))</f>
        <v>250000</v>
      </c>
      <c r="G88" s="113">
        <f>G85-F88</f>
        <v>775162</v>
      </c>
      <c r="H88" s="113">
        <f>E88*F88</f>
        <v>0</v>
      </c>
      <c r="J88" s="16">
        <f>M37+N37</f>
        <v>202514</v>
      </c>
      <c r="K88" s="1" t="s">
        <v>238</v>
      </c>
      <c r="L88" s="16">
        <f>+J88/2</f>
        <v>101257</v>
      </c>
    </row>
    <row r="89" spans="2:12" x14ac:dyDescent="0.2">
      <c r="C89" s="795" t="str">
        <f>IF(I6="M","250001 - 500000","250001-500000")</f>
        <v>250001-500000</v>
      </c>
      <c r="D89" s="796"/>
      <c r="E89" s="112">
        <v>0.05</v>
      </c>
      <c r="F89" s="113">
        <f>IF(I6="M",(IF(G88&lt;250000,G88,250000)),(IF(G88&lt;250000,G88,250000)))</f>
        <v>250000</v>
      </c>
      <c r="G89" s="113">
        <f>G88-F89</f>
        <v>525162</v>
      </c>
      <c r="H89" s="114">
        <f>ROUND(E89*F89,0.1)</f>
        <v>12500</v>
      </c>
      <c r="J89" s="115">
        <f>SUM(J85:J88)</f>
        <v>1217662</v>
      </c>
    </row>
    <row r="90" spans="2:12" x14ac:dyDescent="0.2">
      <c r="C90" s="797" t="s">
        <v>212</v>
      </c>
      <c r="D90" s="798"/>
      <c r="E90" s="112">
        <v>0.2</v>
      </c>
      <c r="F90" s="113">
        <f>IF(G89&lt;500000,G89,500000)</f>
        <v>500000</v>
      </c>
      <c r="G90" s="113">
        <f>G89-F90</f>
        <v>25162</v>
      </c>
      <c r="H90" s="114">
        <f>ROUND(E90*F90,0.1)</f>
        <v>100000</v>
      </c>
      <c r="J90" s="16">
        <f>+G85</f>
        <v>1025162</v>
      </c>
    </row>
    <row r="91" spans="2:12" x14ac:dyDescent="0.2">
      <c r="C91" s="795" t="s">
        <v>213</v>
      </c>
      <c r="D91" s="796"/>
      <c r="E91" s="112">
        <v>0.3</v>
      </c>
      <c r="F91" s="113">
        <f>G90</f>
        <v>25162</v>
      </c>
      <c r="G91" s="113">
        <f>G90-F91</f>
        <v>0</v>
      </c>
      <c r="H91" s="114">
        <f>ROUND(E91*F91,0.1)</f>
        <v>7549</v>
      </c>
      <c r="J91" s="16">
        <f>+J89-J90</f>
        <v>192500</v>
      </c>
    </row>
    <row r="92" spans="2:12" ht="12.75" customHeight="1" thickBot="1" x14ac:dyDescent="0.25">
      <c r="B92" s="116"/>
      <c r="C92" s="117"/>
      <c r="D92" s="47"/>
      <c r="E92" s="47"/>
      <c r="F92" s="47"/>
      <c r="J92" s="87"/>
      <c r="K92" s="118"/>
    </row>
    <row r="93" spans="2:12" ht="13.5" thickBot="1" x14ac:dyDescent="0.25">
      <c r="B93" s="799" t="s">
        <v>239</v>
      </c>
      <c r="C93" s="800"/>
      <c r="D93" s="800"/>
      <c r="E93" s="800"/>
      <c r="F93" s="801"/>
      <c r="G93" s="771">
        <f>H88+H89+H90+H91</f>
        <v>120049</v>
      </c>
      <c r="H93" s="772"/>
    </row>
    <row r="94" spans="2:12" ht="13.5" thickBot="1" x14ac:dyDescent="0.25">
      <c r="B94" s="119" t="s">
        <v>215</v>
      </c>
      <c r="C94" s="120"/>
      <c r="D94" s="120"/>
      <c r="E94" s="120"/>
      <c r="F94" s="120"/>
      <c r="G94" s="884">
        <f>IF((G64&lt;500000),5000,0)</f>
        <v>0</v>
      </c>
      <c r="H94" s="885">
        <f>IF(H92&lt;200000,0,IF(H92&lt;220000,((H92-200000)*10%),IF(H92&lt;=500000,2000,IF(H92&gt;=500000,0))))</f>
        <v>0</v>
      </c>
      <c r="J94" s="1"/>
      <c r="K94" s="121"/>
      <c r="L94" s="121"/>
    </row>
    <row r="95" spans="2:12" ht="13.5" thickBot="1" x14ac:dyDescent="0.25">
      <c r="B95" s="122" t="s">
        <v>216</v>
      </c>
      <c r="C95" s="123"/>
      <c r="D95" s="123"/>
      <c r="E95" s="123"/>
      <c r="F95" s="123"/>
      <c r="G95" s="771">
        <f>IF((G93-G94)&lt;0,0,(G93-G94))</f>
        <v>120049</v>
      </c>
      <c r="H95" s="772"/>
      <c r="I95" s="37"/>
    </row>
    <row r="96" spans="2:12" ht="13.5" thickBot="1" x14ac:dyDescent="0.25">
      <c r="B96" s="773" t="s">
        <v>240</v>
      </c>
      <c r="C96" s="774"/>
      <c r="D96" s="774"/>
      <c r="E96" s="774"/>
      <c r="F96" s="775"/>
      <c r="G96" s="776">
        <f>ROUND((IF(G95&gt;0,(G95*4%),0)),0)</f>
        <v>4802</v>
      </c>
      <c r="H96" s="777"/>
      <c r="I96" s="37"/>
    </row>
    <row r="97" spans="2:9" ht="13.5" thickBot="1" x14ac:dyDescent="0.25">
      <c r="B97" s="778" t="s">
        <v>218</v>
      </c>
      <c r="C97" s="779"/>
      <c r="D97" s="779"/>
      <c r="E97" s="779"/>
      <c r="F97" s="779"/>
      <c r="G97" s="780">
        <f>G95+G96</f>
        <v>124851</v>
      </c>
      <c r="H97" s="781"/>
      <c r="I97" s="121"/>
    </row>
    <row r="98" spans="2:9" ht="13.5" thickBot="1" x14ac:dyDescent="0.25">
      <c r="B98" s="765" t="s">
        <v>219</v>
      </c>
      <c r="C98" s="766"/>
      <c r="D98" s="766"/>
      <c r="E98" s="766"/>
      <c r="F98" s="766"/>
      <c r="G98" s="767">
        <f>O38</f>
        <v>124860</v>
      </c>
      <c r="H98" s="768"/>
      <c r="I98" s="121"/>
    </row>
    <row r="99" spans="2:9" ht="13.5" thickBot="1" x14ac:dyDescent="0.25">
      <c r="B99" s="765" t="str">
        <f>IF(G99&gt;0,"TAX PAYABLE","TAX REFUND")</f>
        <v>TAX REFUND</v>
      </c>
      <c r="C99" s="766"/>
      <c r="D99" s="766"/>
      <c r="E99" s="766"/>
      <c r="F99" s="766"/>
      <c r="G99" s="767">
        <f>+G97-G98</f>
        <v>-9</v>
      </c>
      <c r="H99" s="768"/>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0:F90 B99:F99 B93:F97">
    <cfRule type="cellIs" dxfId="2099" priority="1" stopIfTrue="1" operator="equal">
      <formula>"TAX PAYABLE"</formula>
    </cfRule>
    <cfRule type="cellIs" dxfId="2098" priority="2" stopIfTrue="1" operator="equal">
      <formula>"TAX REFUND"</formula>
    </cfRule>
  </conditionalFormatting>
  <conditionalFormatting sqref="G90:H90">
    <cfRule type="cellIs" dxfId="2097" priority="3" stopIfTrue="1" operator="lessThan">
      <formula>0</formula>
    </cfRule>
    <cfRule type="cellIs" dxfId="2096" priority="4" stopIfTrue="1" operator="greaterThan">
      <formula>0</formula>
    </cfRule>
  </conditionalFormatting>
  <conditionalFormatting sqref="G99:H99">
    <cfRule type="cellIs" dxfId="2095" priority="5" stopIfTrue="1" operator="greaterThan">
      <formula>0</formula>
    </cfRule>
    <cfRule type="cellIs" dxfId="2094" priority="6"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hyperlinks>
    <hyperlink ref="J51" r:id="rId1" display="+J37-@sum(J22:J36)"/>
  </hyperlinks>
  <pageMargins left="0.75" right="0.75" top="1" bottom="1" header="0.5" footer="0.5"/>
  <headerFooter alignWithMargins="0"/>
  <legacy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7"/>
  <sheetViews>
    <sheetView topLeftCell="A64" workbookViewId="0">
      <selection activeCell="O37" sqref="O37"/>
    </sheetView>
  </sheetViews>
  <sheetFormatPr defaultRowHeight="12.75" x14ac:dyDescent="0.2"/>
  <cols>
    <col min="1" max="1" width="5" style="16" customWidth="1"/>
    <col min="2" max="2" width="19.28515625" style="37" customWidth="1"/>
    <col min="3" max="3" width="10.7109375" style="16" bestFit="1" customWidth="1"/>
    <col min="4" max="4" width="6.7109375" style="16" bestFit="1" customWidth="1"/>
    <col min="5" max="5" width="8.5703125" style="16" bestFit="1" customWidth="1"/>
    <col min="6" max="6" width="9.28515625" style="16" bestFit="1" customWidth="1"/>
    <col min="7" max="7" width="10.42578125" style="16" bestFit="1" customWidth="1"/>
    <col min="8" max="8" width="10.28515625" style="16" bestFit="1" customWidth="1"/>
    <col min="9" max="9" width="7.140625" style="16" bestFit="1" customWidth="1"/>
    <col min="10" max="10" width="7.28515625" style="16" customWidth="1"/>
    <col min="11" max="12" width="7" style="16" bestFit="1" customWidth="1"/>
    <col min="13" max="13" width="6.85546875" style="16" bestFit="1" customWidth="1"/>
    <col min="14" max="14" width="7" style="16" bestFit="1" customWidth="1"/>
    <col min="15" max="15" width="7.140625" style="16" bestFit="1"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9.28515625" style="16" customWidth="1"/>
    <col min="259" max="259" width="10.7109375" style="16" bestFit="1" customWidth="1"/>
    <col min="260" max="260" width="6.7109375" style="16" bestFit="1" customWidth="1"/>
    <col min="261" max="261" width="8.5703125" style="16" bestFit="1" customWidth="1"/>
    <col min="262" max="262" width="9.28515625" style="16" bestFit="1" customWidth="1"/>
    <col min="263" max="263" width="10.42578125" style="16" bestFit="1" customWidth="1"/>
    <col min="264" max="264" width="10.28515625" style="16" bestFit="1" customWidth="1"/>
    <col min="265" max="265" width="7.140625" style="16" bestFit="1" customWidth="1"/>
    <col min="266" max="266" width="7.28515625" style="16" customWidth="1"/>
    <col min="267" max="268" width="7" style="16" bestFit="1" customWidth="1"/>
    <col min="269" max="269" width="6.85546875" style="16" bestFit="1" customWidth="1"/>
    <col min="270" max="270" width="7" style="16" bestFit="1" customWidth="1"/>
    <col min="271" max="271" width="7.140625" style="16" bestFit="1"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9.28515625" style="16" customWidth="1"/>
    <col min="515" max="515" width="10.7109375" style="16" bestFit="1" customWidth="1"/>
    <col min="516" max="516" width="6.7109375" style="16" bestFit="1" customWidth="1"/>
    <col min="517" max="517" width="8.5703125" style="16" bestFit="1" customWidth="1"/>
    <col min="518" max="518" width="9.28515625" style="16" bestFit="1" customWidth="1"/>
    <col min="519" max="519" width="10.42578125" style="16" bestFit="1" customWidth="1"/>
    <col min="520" max="520" width="10.28515625" style="16" bestFit="1" customWidth="1"/>
    <col min="521" max="521" width="7.140625" style="16" bestFit="1" customWidth="1"/>
    <col min="522" max="522" width="7.28515625" style="16" customWidth="1"/>
    <col min="523" max="524" width="7" style="16" bestFit="1" customWidth="1"/>
    <col min="525" max="525" width="6.85546875" style="16" bestFit="1" customWidth="1"/>
    <col min="526" max="526" width="7" style="16" bestFit="1" customWidth="1"/>
    <col min="527" max="527" width="7.140625" style="16" bestFit="1"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9.28515625" style="16" customWidth="1"/>
    <col min="771" max="771" width="10.7109375" style="16" bestFit="1" customWidth="1"/>
    <col min="772" max="772" width="6.7109375" style="16" bestFit="1" customWidth="1"/>
    <col min="773" max="773" width="8.5703125" style="16" bestFit="1" customWidth="1"/>
    <col min="774" max="774" width="9.28515625" style="16" bestFit="1" customWidth="1"/>
    <col min="775" max="775" width="10.42578125" style="16" bestFit="1" customWidth="1"/>
    <col min="776" max="776" width="10.28515625" style="16" bestFit="1" customWidth="1"/>
    <col min="777" max="777" width="7.140625" style="16" bestFit="1" customWidth="1"/>
    <col min="778" max="778" width="7.28515625" style="16" customWidth="1"/>
    <col min="779" max="780" width="7" style="16" bestFit="1" customWidth="1"/>
    <col min="781" max="781" width="6.85546875" style="16" bestFit="1" customWidth="1"/>
    <col min="782" max="782" width="7" style="16" bestFit="1" customWidth="1"/>
    <col min="783" max="783" width="7.140625" style="16" bestFit="1"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9.28515625" style="16" customWidth="1"/>
    <col min="1027" max="1027" width="10.7109375" style="16" bestFit="1" customWidth="1"/>
    <col min="1028" max="1028" width="6.7109375" style="16" bestFit="1" customWidth="1"/>
    <col min="1029" max="1029" width="8.5703125" style="16" bestFit="1" customWidth="1"/>
    <col min="1030" max="1030" width="9.28515625" style="16" bestFit="1" customWidth="1"/>
    <col min="1031" max="1031" width="10.42578125" style="16" bestFit="1" customWidth="1"/>
    <col min="1032" max="1032" width="10.28515625" style="16" bestFit="1" customWidth="1"/>
    <col min="1033" max="1033" width="7.140625" style="16" bestFit="1" customWidth="1"/>
    <col min="1034" max="1034" width="7.28515625" style="16" customWidth="1"/>
    <col min="1035" max="1036" width="7" style="16" bestFit="1" customWidth="1"/>
    <col min="1037" max="1037" width="6.85546875" style="16" bestFit="1" customWidth="1"/>
    <col min="1038" max="1038" width="7" style="16" bestFit="1" customWidth="1"/>
    <col min="1039" max="1039" width="7.140625" style="16" bestFit="1"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9.28515625" style="16" customWidth="1"/>
    <col min="1283" max="1283" width="10.7109375" style="16" bestFit="1" customWidth="1"/>
    <col min="1284" max="1284" width="6.7109375" style="16" bestFit="1" customWidth="1"/>
    <col min="1285" max="1285" width="8.5703125" style="16" bestFit="1" customWidth="1"/>
    <col min="1286" max="1286" width="9.28515625" style="16" bestFit="1" customWidth="1"/>
    <col min="1287" max="1287" width="10.42578125" style="16" bestFit="1" customWidth="1"/>
    <col min="1288" max="1288" width="10.28515625" style="16" bestFit="1" customWidth="1"/>
    <col min="1289" max="1289" width="7.140625" style="16" bestFit="1" customWidth="1"/>
    <col min="1290" max="1290" width="7.28515625" style="16" customWidth="1"/>
    <col min="1291" max="1292" width="7" style="16" bestFit="1" customWidth="1"/>
    <col min="1293" max="1293" width="6.85546875" style="16" bestFit="1" customWidth="1"/>
    <col min="1294" max="1294" width="7" style="16" bestFit="1" customWidth="1"/>
    <col min="1295" max="1295" width="7.140625" style="16" bestFit="1"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9.28515625" style="16" customWidth="1"/>
    <col min="1539" max="1539" width="10.7109375" style="16" bestFit="1" customWidth="1"/>
    <col min="1540" max="1540" width="6.7109375" style="16" bestFit="1" customWidth="1"/>
    <col min="1541" max="1541" width="8.5703125" style="16" bestFit="1" customWidth="1"/>
    <col min="1542" max="1542" width="9.28515625" style="16" bestFit="1" customWidth="1"/>
    <col min="1543" max="1543" width="10.42578125" style="16" bestFit="1" customWidth="1"/>
    <col min="1544" max="1544" width="10.28515625" style="16" bestFit="1" customWidth="1"/>
    <col min="1545" max="1545" width="7.140625" style="16" bestFit="1" customWidth="1"/>
    <col min="1546" max="1546" width="7.28515625" style="16" customWidth="1"/>
    <col min="1547" max="1548" width="7" style="16" bestFit="1" customWidth="1"/>
    <col min="1549" max="1549" width="6.85546875" style="16" bestFit="1" customWidth="1"/>
    <col min="1550" max="1550" width="7" style="16" bestFit="1" customWidth="1"/>
    <col min="1551" max="1551" width="7.140625" style="16" bestFit="1"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9.28515625" style="16" customWidth="1"/>
    <col min="1795" max="1795" width="10.7109375" style="16" bestFit="1" customWidth="1"/>
    <col min="1796" max="1796" width="6.7109375" style="16" bestFit="1" customWidth="1"/>
    <col min="1797" max="1797" width="8.5703125" style="16" bestFit="1" customWidth="1"/>
    <col min="1798" max="1798" width="9.28515625" style="16" bestFit="1" customWidth="1"/>
    <col min="1799" max="1799" width="10.42578125" style="16" bestFit="1" customWidth="1"/>
    <col min="1800" max="1800" width="10.28515625" style="16" bestFit="1" customWidth="1"/>
    <col min="1801" max="1801" width="7.140625" style="16" bestFit="1" customWidth="1"/>
    <col min="1802" max="1802" width="7.28515625" style="16" customWidth="1"/>
    <col min="1803" max="1804" width="7" style="16" bestFit="1" customWidth="1"/>
    <col min="1805" max="1805" width="6.85546875" style="16" bestFit="1" customWidth="1"/>
    <col min="1806" max="1806" width="7" style="16" bestFit="1" customWidth="1"/>
    <col min="1807" max="1807" width="7.140625" style="16" bestFit="1"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9.28515625" style="16" customWidth="1"/>
    <col min="2051" max="2051" width="10.7109375" style="16" bestFit="1" customWidth="1"/>
    <col min="2052" max="2052" width="6.7109375" style="16" bestFit="1" customWidth="1"/>
    <col min="2053" max="2053" width="8.5703125" style="16" bestFit="1" customWidth="1"/>
    <col min="2054" max="2054" width="9.28515625" style="16" bestFit="1" customWidth="1"/>
    <col min="2055" max="2055" width="10.42578125" style="16" bestFit="1" customWidth="1"/>
    <col min="2056" max="2056" width="10.28515625" style="16" bestFit="1" customWidth="1"/>
    <col min="2057" max="2057" width="7.140625" style="16" bestFit="1" customWidth="1"/>
    <col min="2058" max="2058" width="7.28515625" style="16" customWidth="1"/>
    <col min="2059" max="2060" width="7" style="16" bestFit="1" customWidth="1"/>
    <col min="2061" max="2061" width="6.85546875" style="16" bestFit="1" customWidth="1"/>
    <col min="2062" max="2062" width="7" style="16" bestFit="1" customWidth="1"/>
    <col min="2063" max="2063" width="7.140625" style="16" bestFit="1"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9.28515625" style="16" customWidth="1"/>
    <col min="2307" max="2307" width="10.7109375" style="16" bestFit="1" customWidth="1"/>
    <col min="2308" max="2308" width="6.7109375" style="16" bestFit="1" customWidth="1"/>
    <col min="2309" max="2309" width="8.5703125" style="16" bestFit="1" customWidth="1"/>
    <col min="2310" max="2310" width="9.28515625" style="16" bestFit="1" customWidth="1"/>
    <col min="2311" max="2311" width="10.42578125" style="16" bestFit="1" customWidth="1"/>
    <col min="2312" max="2312" width="10.28515625" style="16" bestFit="1" customWidth="1"/>
    <col min="2313" max="2313" width="7.140625" style="16" bestFit="1" customWidth="1"/>
    <col min="2314" max="2314" width="7.28515625" style="16" customWidth="1"/>
    <col min="2315" max="2316" width="7" style="16" bestFit="1" customWidth="1"/>
    <col min="2317" max="2317" width="6.85546875" style="16" bestFit="1" customWidth="1"/>
    <col min="2318" max="2318" width="7" style="16" bestFit="1" customWidth="1"/>
    <col min="2319" max="2319" width="7.140625" style="16" bestFit="1"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9.28515625" style="16" customWidth="1"/>
    <col min="2563" max="2563" width="10.7109375" style="16" bestFit="1" customWidth="1"/>
    <col min="2564" max="2564" width="6.7109375" style="16" bestFit="1" customWidth="1"/>
    <col min="2565" max="2565" width="8.5703125" style="16" bestFit="1" customWidth="1"/>
    <col min="2566" max="2566" width="9.28515625" style="16" bestFit="1" customWidth="1"/>
    <col min="2567" max="2567" width="10.42578125" style="16" bestFit="1" customWidth="1"/>
    <col min="2568" max="2568" width="10.28515625" style="16" bestFit="1" customWidth="1"/>
    <col min="2569" max="2569" width="7.140625" style="16" bestFit="1" customWidth="1"/>
    <col min="2570" max="2570" width="7.28515625" style="16" customWidth="1"/>
    <col min="2571" max="2572" width="7" style="16" bestFit="1" customWidth="1"/>
    <col min="2573" max="2573" width="6.85546875" style="16" bestFit="1" customWidth="1"/>
    <col min="2574" max="2574" width="7" style="16" bestFit="1" customWidth="1"/>
    <col min="2575" max="2575" width="7.140625" style="16" bestFit="1"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9.28515625" style="16" customWidth="1"/>
    <col min="2819" max="2819" width="10.7109375" style="16" bestFit="1" customWidth="1"/>
    <col min="2820" max="2820" width="6.7109375" style="16" bestFit="1" customWidth="1"/>
    <col min="2821" max="2821" width="8.5703125" style="16" bestFit="1" customWidth="1"/>
    <col min="2822" max="2822" width="9.28515625" style="16" bestFit="1" customWidth="1"/>
    <col min="2823" max="2823" width="10.42578125" style="16" bestFit="1" customWidth="1"/>
    <col min="2824" max="2824" width="10.28515625" style="16" bestFit="1" customWidth="1"/>
    <col min="2825" max="2825" width="7.140625" style="16" bestFit="1" customWidth="1"/>
    <col min="2826" max="2826" width="7.28515625" style="16" customWidth="1"/>
    <col min="2827" max="2828" width="7" style="16" bestFit="1" customWidth="1"/>
    <col min="2829" max="2829" width="6.85546875" style="16" bestFit="1" customWidth="1"/>
    <col min="2830" max="2830" width="7" style="16" bestFit="1" customWidth="1"/>
    <col min="2831" max="2831" width="7.140625" style="16" bestFit="1"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9.28515625" style="16" customWidth="1"/>
    <col min="3075" max="3075" width="10.7109375" style="16" bestFit="1" customWidth="1"/>
    <col min="3076" max="3076" width="6.7109375" style="16" bestFit="1" customWidth="1"/>
    <col min="3077" max="3077" width="8.5703125" style="16" bestFit="1" customWidth="1"/>
    <col min="3078" max="3078" width="9.28515625" style="16" bestFit="1" customWidth="1"/>
    <col min="3079" max="3079" width="10.42578125" style="16" bestFit="1" customWidth="1"/>
    <col min="3080" max="3080" width="10.28515625" style="16" bestFit="1" customWidth="1"/>
    <col min="3081" max="3081" width="7.140625" style="16" bestFit="1" customWidth="1"/>
    <col min="3082" max="3082" width="7.28515625" style="16" customWidth="1"/>
    <col min="3083" max="3084" width="7" style="16" bestFit="1" customWidth="1"/>
    <col min="3085" max="3085" width="6.85546875" style="16" bestFit="1" customWidth="1"/>
    <col min="3086" max="3086" width="7" style="16" bestFit="1" customWidth="1"/>
    <col min="3087" max="3087" width="7.140625" style="16" bestFit="1"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9.28515625" style="16" customWidth="1"/>
    <col min="3331" max="3331" width="10.7109375" style="16" bestFit="1" customWidth="1"/>
    <col min="3332" max="3332" width="6.7109375" style="16" bestFit="1" customWidth="1"/>
    <col min="3333" max="3333" width="8.5703125" style="16" bestFit="1" customWidth="1"/>
    <col min="3334" max="3334" width="9.28515625" style="16" bestFit="1" customWidth="1"/>
    <col min="3335" max="3335" width="10.42578125" style="16" bestFit="1" customWidth="1"/>
    <col min="3336" max="3336" width="10.28515625" style="16" bestFit="1" customWidth="1"/>
    <col min="3337" max="3337" width="7.140625" style="16" bestFit="1" customWidth="1"/>
    <col min="3338" max="3338" width="7.28515625" style="16" customWidth="1"/>
    <col min="3339" max="3340" width="7" style="16" bestFit="1" customWidth="1"/>
    <col min="3341" max="3341" width="6.85546875" style="16" bestFit="1" customWidth="1"/>
    <col min="3342" max="3342" width="7" style="16" bestFit="1" customWidth="1"/>
    <col min="3343" max="3343" width="7.140625" style="16" bestFit="1"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9.28515625" style="16" customWidth="1"/>
    <col min="3587" max="3587" width="10.7109375" style="16" bestFit="1" customWidth="1"/>
    <col min="3588" max="3588" width="6.7109375" style="16" bestFit="1" customWidth="1"/>
    <col min="3589" max="3589" width="8.5703125" style="16" bestFit="1" customWidth="1"/>
    <col min="3590" max="3590" width="9.28515625" style="16" bestFit="1" customWidth="1"/>
    <col min="3591" max="3591" width="10.42578125" style="16" bestFit="1" customWidth="1"/>
    <col min="3592" max="3592" width="10.28515625" style="16" bestFit="1" customWidth="1"/>
    <col min="3593" max="3593" width="7.140625" style="16" bestFit="1" customWidth="1"/>
    <col min="3594" max="3594" width="7.28515625" style="16" customWidth="1"/>
    <col min="3595" max="3596" width="7" style="16" bestFit="1" customWidth="1"/>
    <col min="3597" max="3597" width="6.85546875" style="16" bestFit="1" customWidth="1"/>
    <col min="3598" max="3598" width="7" style="16" bestFit="1" customWidth="1"/>
    <col min="3599" max="3599" width="7.140625" style="16" bestFit="1"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9.28515625" style="16" customWidth="1"/>
    <col min="3843" max="3843" width="10.7109375" style="16" bestFit="1" customWidth="1"/>
    <col min="3844" max="3844" width="6.7109375" style="16" bestFit="1" customWidth="1"/>
    <col min="3845" max="3845" width="8.5703125" style="16" bestFit="1" customWidth="1"/>
    <col min="3846" max="3846" width="9.28515625" style="16" bestFit="1" customWidth="1"/>
    <col min="3847" max="3847" width="10.42578125" style="16" bestFit="1" customWidth="1"/>
    <col min="3848" max="3848" width="10.28515625" style="16" bestFit="1" customWidth="1"/>
    <col min="3849" max="3849" width="7.140625" style="16" bestFit="1" customWidth="1"/>
    <col min="3850" max="3850" width="7.28515625" style="16" customWidth="1"/>
    <col min="3851" max="3852" width="7" style="16" bestFit="1" customWidth="1"/>
    <col min="3853" max="3853" width="6.85546875" style="16" bestFit="1" customWidth="1"/>
    <col min="3854" max="3854" width="7" style="16" bestFit="1" customWidth="1"/>
    <col min="3855" max="3855" width="7.140625" style="16" bestFit="1"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9.28515625" style="16" customWidth="1"/>
    <col min="4099" max="4099" width="10.7109375" style="16" bestFit="1" customWidth="1"/>
    <col min="4100" max="4100" width="6.7109375" style="16" bestFit="1" customWidth="1"/>
    <col min="4101" max="4101" width="8.5703125" style="16" bestFit="1" customWidth="1"/>
    <col min="4102" max="4102" width="9.28515625" style="16" bestFit="1" customWidth="1"/>
    <col min="4103" max="4103" width="10.42578125" style="16" bestFit="1" customWidth="1"/>
    <col min="4104" max="4104" width="10.28515625" style="16" bestFit="1" customWidth="1"/>
    <col min="4105" max="4105" width="7.140625" style="16" bestFit="1" customWidth="1"/>
    <col min="4106" max="4106" width="7.28515625" style="16" customWidth="1"/>
    <col min="4107" max="4108" width="7" style="16" bestFit="1" customWidth="1"/>
    <col min="4109" max="4109" width="6.85546875" style="16" bestFit="1" customWidth="1"/>
    <col min="4110" max="4110" width="7" style="16" bestFit="1" customWidth="1"/>
    <col min="4111" max="4111" width="7.140625" style="16" bestFit="1"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9.28515625" style="16" customWidth="1"/>
    <col min="4355" max="4355" width="10.7109375" style="16" bestFit="1" customWidth="1"/>
    <col min="4356" max="4356" width="6.7109375" style="16" bestFit="1" customWidth="1"/>
    <col min="4357" max="4357" width="8.5703125" style="16" bestFit="1" customWidth="1"/>
    <col min="4358" max="4358" width="9.28515625" style="16" bestFit="1" customWidth="1"/>
    <col min="4359" max="4359" width="10.42578125" style="16" bestFit="1" customWidth="1"/>
    <col min="4360" max="4360" width="10.28515625" style="16" bestFit="1" customWidth="1"/>
    <col min="4361" max="4361" width="7.140625" style="16" bestFit="1" customWidth="1"/>
    <col min="4362" max="4362" width="7.28515625" style="16" customWidth="1"/>
    <col min="4363" max="4364" width="7" style="16" bestFit="1" customWidth="1"/>
    <col min="4365" max="4365" width="6.85546875" style="16" bestFit="1" customWidth="1"/>
    <col min="4366" max="4366" width="7" style="16" bestFit="1" customWidth="1"/>
    <col min="4367" max="4367" width="7.140625" style="16" bestFit="1"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9.28515625" style="16" customWidth="1"/>
    <col min="4611" max="4611" width="10.7109375" style="16" bestFit="1" customWidth="1"/>
    <col min="4612" max="4612" width="6.7109375" style="16" bestFit="1" customWidth="1"/>
    <col min="4613" max="4613" width="8.5703125" style="16" bestFit="1" customWidth="1"/>
    <col min="4614" max="4614" width="9.28515625" style="16" bestFit="1" customWidth="1"/>
    <col min="4615" max="4615" width="10.42578125" style="16" bestFit="1" customWidth="1"/>
    <col min="4616" max="4616" width="10.28515625" style="16" bestFit="1" customWidth="1"/>
    <col min="4617" max="4617" width="7.140625" style="16" bestFit="1" customWidth="1"/>
    <col min="4618" max="4618" width="7.28515625" style="16" customWidth="1"/>
    <col min="4619" max="4620" width="7" style="16" bestFit="1" customWidth="1"/>
    <col min="4621" max="4621" width="6.85546875" style="16" bestFit="1" customWidth="1"/>
    <col min="4622" max="4622" width="7" style="16" bestFit="1" customWidth="1"/>
    <col min="4623" max="4623" width="7.140625" style="16" bestFit="1"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9.28515625" style="16" customWidth="1"/>
    <col min="4867" max="4867" width="10.7109375" style="16" bestFit="1" customWidth="1"/>
    <col min="4868" max="4868" width="6.7109375" style="16" bestFit="1" customWidth="1"/>
    <col min="4869" max="4869" width="8.5703125" style="16" bestFit="1" customWidth="1"/>
    <col min="4870" max="4870" width="9.28515625" style="16" bestFit="1" customWidth="1"/>
    <col min="4871" max="4871" width="10.42578125" style="16" bestFit="1" customWidth="1"/>
    <col min="4872" max="4872" width="10.28515625" style="16" bestFit="1" customWidth="1"/>
    <col min="4873" max="4873" width="7.140625" style="16" bestFit="1" customWidth="1"/>
    <col min="4874" max="4874" width="7.28515625" style="16" customWidth="1"/>
    <col min="4875" max="4876" width="7" style="16" bestFit="1" customWidth="1"/>
    <col min="4877" max="4877" width="6.85546875" style="16" bestFit="1" customWidth="1"/>
    <col min="4878" max="4878" width="7" style="16" bestFit="1" customWidth="1"/>
    <col min="4879" max="4879" width="7.140625" style="16" bestFit="1"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9.28515625" style="16" customWidth="1"/>
    <col min="5123" max="5123" width="10.7109375" style="16" bestFit="1" customWidth="1"/>
    <col min="5124" max="5124" width="6.7109375" style="16" bestFit="1" customWidth="1"/>
    <col min="5125" max="5125" width="8.5703125" style="16" bestFit="1" customWidth="1"/>
    <col min="5126" max="5126" width="9.28515625" style="16" bestFit="1" customWidth="1"/>
    <col min="5127" max="5127" width="10.42578125" style="16" bestFit="1" customWidth="1"/>
    <col min="5128" max="5128" width="10.28515625" style="16" bestFit="1" customWidth="1"/>
    <col min="5129" max="5129" width="7.140625" style="16" bestFit="1" customWidth="1"/>
    <col min="5130" max="5130" width="7.28515625" style="16" customWidth="1"/>
    <col min="5131" max="5132" width="7" style="16" bestFit="1" customWidth="1"/>
    <col min="5133" max="5133" width="6.85546875" style="16" bestFit="1" customWidth="1"/>
    <col min="5134" max="5134" width="7" style="16" bestFit="1" customWidth="1"/>
    <col min="5135" max="5135" width="7.140625" style="16" bestFit="1"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9.28515625" style="16" customWidth="1"/>
    <col min="5379" max="5379" width="10.7109375" style="16" bestFit="1" customWidth="1"/>
    <col min="5380" max="5380" width="6.7109375" style="16" bestFit="1" customWidth="1"/>
    <col min="5381" max="5381" width="8.5703125" style="16" bestFit="1" customWidth="1"/>
    <col min="5382" max="5382" width="9.28515625" style="16" bestFit="1" customWidth="1"/>
    <col min="5383" max="5383" width="10.42578125" style="16" bestFit="1" customWidth="1"/>
    <col min="5384" max="5384" width="10.28515625" style="16" bestFit="1" customWidth="1"/>
    <col min="5385" max="5385" width="7.140625" style="16" bestFit="1" customWidth="1"/>
    <col min="5386" max="5386" width="7.28515625" style="16" customWidth="1"/>
    <col min="5387" max="5388" width="7" style="16" bestFit="1" customWidth="1"/>
    <col min="5389" max="5389" width="6.85546875" style="16" bestFit="1" customWidth="1"/>
    <col min="5390" max="5390" width="7" style="16" bestFit="1" customWidth="1"/>
    <col min="5391" max="5391" width="7.140625" style="16" bestFit="1"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9.28515625" style="16" customWidth="1"/>
    <col min="5635" max="5635" width="10.7109375" style="16" bestFit="1" customWidth="1"/>
    <col min="5636" max="5636" width="6.7109375" style="16" bestFit="1" customWidth="1"/>
    <col min="5637" max="5637" width="8.5703125" style="16" bestFit="1" customWidth="1"/>
    <col min="5638" max="5638" width="9.28515625" style="16" bestFit="1" customWidth="1"/>
    <col min="5639" max="5639" width="10.42578125" style="16" bestFit="1" customWidth="1"/>
    <col min="5640" max="5640" width="10.28515625" style="16" bestFit="1" customWidth="1"/>
    <col min="5641" max="5641" width="7.140625" style="16" bestFit="1" customWidth="1"/>
    <col min="5642" max="5642" width="7.28515625" style="16" customWidth="1"/>
    <col min="5643" max="5644" width="7" style="16" bestFit="1" customWidth="1"/>
    <col min="5645" max="5645" width="6.85546875" style="16" bestFit="1" customWidth="1"/>
    <col min="5646" max="5646" width="7" style="16" bestFit="1" customWidth="1"/>
    <col min="5647" max="5647" width="7.140625" style="16" bestFit="1"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9.28515625" style="16" customWidth="1"/>
    <col min="5891" max="5891" width="10.7109375" style="16" bestFit="1" customWidth="1"/>
    <col min="5892" max="5892" width="6.7109375" style="16" bestFit="1" customWidth="1"/>
    <col min="5893" max="5893" width="8.5703125" style="16" bestFit="1" customWidth="1"/>
    <col min="5894" max="5894" width="9.28515625" style="16" bestFit="1" customWidth="1"/>
    <col min="5895" max="5895" width="10.42578125" style="16" bestFit="1" customWidth="1"/>
    <col min="5896" max="5896" width="10.28515625" style="16" bestFit="1" customWidth="1"/>
    <col min="5897" max="5897" width="7.140625" style="16" bestFit="1" customWidth="1"/>
    <col min="5898" max="5898" width="7.28515625" style="16" customWidth="1"/>
    <col min="5899" max="5900" width="7" style="16" bestFit="1" customWidth="1"/>
    <col min="5901" max="5901" width="6.85546875" style="16" bestFit="1" customWidth="1"/>
    <col min="5902" max="5902" width="7" style="16" bestFit="1" customWidth="1"/>
    <col min="5903" max="5903" width="7.140625" style="16" bestFit="1"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9.28515625" style="16" customWidth="1"/>
    <col min="6147" max="6147" width="10.7109375" style="16" bestFit="1" customWidth="1"/>
    <col min="6148" max="6148" width="6.7109375" style="16" bestFit="1" customWidth="1"/>
    <col min="6149" max="6149" width="8.5703125" style="16" bestFit="1" customWidth="1"/>
    <col min="6150" max="6150" width="9.28515625" style="16" bestFit="1" customWidth="1"/>
    <col min="6151" max="6151" width="10.42578125" style="16" bestFit="1" customWidth="1"/>
    <col min="6152" max="6152" width="10.28515625" style="16" bestFit="1" customWidth="1"/>
    <col min="6153" max="6153" width="7.140625" style="16" bestFit="1" customWidth="1"/>
    <col min="6154" max="6154" width="7.28515625" style="16" customWidth="1"/>
    <col min="6155" max="6156" width="7" style="16" bestFit="1" customWidth="1"/>
    <col min="6157" max="6157" width="6.85546875" style="16" bestFit="1" customWidth="1"/>
    <col min="6158" max="6158" width="7" style="16" bestFit="1" customWidth="1"/>
    <col min="6159" max="6159" width="7.140625" style="16" bestFit="1"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9.28515625" style="16" customWidth="1"/>
    <col min="6403" max="6403" width="10.7109375" style="16" bestFit="1" customWidth="1"/>
    <col min="6404" max="6404" width="6.7109375" style="16" bestFit="1" customWidth="1"/>
    <col min="6405" max="6405" width="8.5703125" style="16" bestFit="1" customWidth="1"/>
    <col min="6406" max="6406" width="9.28515625" style="16" bestFit="1" customWidth="1"/>
    <col min="6407" max="6407" width="10.42578125" style="16" bestFit="1" customWidth="1"/>
    <col min="6408" max="6408" width="10.28515625" style="16" bestFit="1" customWidth="1"/>
    <col min="6409" max="6409" width="7.140625" style="16" bestFit="1" customWidth="1"/>
    <col min="6410" max="6410" width="7.28515625" style="16" customWidth="1"/>
    <col min="6411" max="6412" width="7" style="16" bestFit="1" customWidth="1"/>
    <col min="6413" max="6413" width="6.85546875" style="16" bestFit="1" customWidth="1"/>
    <col min="6414" max="6414" width="7" style="16" bestFit="1" customWidth="1"/>
    <col min="6415" max="6415" width="7.140625" style="16" bestFit="1"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9.28515625" style="16" customWidth="1"/>
    <col min="6659" max="6659" width="10.7109375" style="16" bestFit="1" customWidth="1"/>
    <col min="6660" max="6660" width="6.7109375" style="16" bestFit="1" customWidth="1"/>
    <col min="6661" max="6661" width="8.5703125" style="16" bestFit="1" customWidth="1"/>
    <col min="6662" max="6662" width="9.28515625" style="16" bestFit="1" customWidth="1"/>
    <col min="6663" max="6663" width="10.42578125" style="16" bestFit="1" customWidth="1"/>
    <col min="6664" max="6664" width="10.28515625" style="16" bestFit="1" customWidth="1"/>
    <col min="6665" max="6665" width="7.140625" style="16" bestFit="1" customWidth="1"/>
    <col min="6666" max="6666" width="7.28515625" style="16" customWidth="1"/>
    <col min="6667" max="6668" width="7" style="16" bestFit="1" customWidth="1"/>
    <col min="6669" max="6669" width="6.85546875" style="16" bestFit="1" customWidth="1"/>
    <col min="6670" max="6670" width="7" style="16" bestFit="1" customWidth="1"/>
    <col min="6671" max="6671" width="7.140625" style="16" bestFit="1"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9.28515625" style="16" customWidth="1"/>
    <col min="6915" max="6915" width="10.7109375" style="16" bestFit="1" customWidth="1"/>
    <col min="6916" max="6916" width="6.7109375" style="16" bestFit="1" customWidth="1"/>
    <col min="6917" max="6917" width="8.5703125" style="16" bestFit="1" customWidth="1"/>
    <col min="6918" max="6918" width="9.28515625" style="16" bestFit="1" customWidth="1"/>
    <col min="6919" max="6919" width="10.42578125" style="16" bestFit="1" customWidth="1"/>
    <col min="6920" max="6920" width="10.28515625" style="16" bestFit="1" customWidth="1"/>
    <col min="6921" max="6921" width="7.140625" style="16" bestFit="1" customWidth="1"/>
    <col min="6922" max="6922" width="7.28515625" style="16" customWidth="1"/>
    <col min="6923" max="6924" width="7" style="16" bestFit="1" customWidth="1"/>
    <col min="6925" max="6925" width="6.85546875" style="16" bestFit="1" customWidth="1"/>
    <col min="6926" max="6926" width="7" style="16" bestFit="1" customWidth="1"/>
    <col min="6927" max="6927" width="7.140625" style="16" bestFit="1"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9.28515625" style="16" customWidth="1"/>
    <col min="7171" max="7171" width="10.7109375" style="16" bestFit="1" customWidth="1"/>
    <col min="7172" max="7172" width="6.7109375" style="16" bestFit="1" customWidth="1"/>
    <col min="7173" max="7173" width="8.5703125" style="16" bestFit="1" customWidth="1"/>
    <col min="7174" max="7174" width="9.28515625" style="16" bestFit="1" customWidth="1"/>
    <col min="7175" max="7175" width="10.42578125" style="16" bestFit="1" customWidth="1"/>
    <col min="7176" max="7176" width="10.28515625" style="16" bestFit="1" customWidth="1"/>
    <col min="7177" max="7177" width="7.140625" style="16" bestFit="1" customWidth="1"/>
    <col min="7178" max="7178" width="7.28515625" style="16" customWidth="1"/>
    <col min="7179" max="7180" width="7" style="16" bestFit="1" customWidth="1"/>
    <col min="7181" max="7181" width="6.85546875" style="16" bestFit="1" customWidth="1"/>
    <col min="7182" max="7182" width="7" style="16" bestFit="1" customWidth="1"/>
    <col min="7183" max="7183" width="7.140625" style="16" bestFit="1"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9.28515625" style="16" customWidth="1"/>
    <col min="7427" max="7427" width="10.7109375" style="16" bestFit="1" customWidth="1"/>
    <col min="7428" max="7428" width="6.7109375" style="16" bestFit="1" customWidth="1"/>
    <col min="7429" max="7429" width="8.5703125" style="16" bestFit="1" customWidth="1"/>
    <col min="7430" max="7430" width="9.28515625" style="16" bestFit="1" customWidth="1"/>
    <col min="7431" max="7431" width="10.42578125" style="16" bestFit="1" customWidth="1"/>
    <col min="7432" max="7432" width="10.28515625" style="16" bestFit="1" customWidth="1"/>
    <col min="7433" max="7433" width="7.140625" style="16" bestFit="1" customWidth="1"/>
    <col min="7434" max="7434" width="7.28515625" style="16" customWidth="1"/>
    <col min="7435" max="7436" width="7" style="16" bestFit="1" customWidth="1"/>
    <col min="7437" max="7437" width="6.85546875" style="16" bestFit="1" customWidth="1"/>
    <col min="7438" max="7438" width="7" style="16" bestFit="1" customWidth="1"/>
    <col min="7439" max="7439" width="7.140625" style="16" bestFit="1"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9.28515625" style="16" customWidth="1"/>
    <col min="7683" max="7683" width="10.7109375" style="16" bestFit="1" customWidth="1"/>
    <col min="7684" max="7684" width="6.7109375" style="16" bestFit="1" customWidth="1"/>
    <col min="7685" max="7685" width="8.5703125" style="16" bestFit="1" customWidth="1"/>
    <col min="7686" max="7686" width="9.28515625" style="16" bestFit="1" customWidth="1"/>
    <col min="7687" max="7687" width="10.42578125" style="16" bestFit="1" customWidth="1"/>
    <col min="7688" max="7688" width="10.28515625" style="16" bestFit="1" customWidth="1"/>
    <col min="7689" max="7689" width="7.140625" style="16" bestFit="1" customWidth="1"/>
    <col min="7690" max="7690" width="7.28515625" style="16" customWidth="1"/>
    <col min="7691" max="7692" width="7" style="16" bestFit="1" customWidth="1"/>
    <col min="7693" max="7693" width="6.85546875" style="16" bestFit="1" customWidth="1"/>
    <col min="7694" max="7694" width="7" style="16" bestFit="1" customWidth="1"/>
    <col min="7695" max="7695" width="7.140625" style="16" bestFit="1"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9.28515625" style="16" customWidth="1"/>
    <col min="7939" max="7939" width="10.7109375" style="16" bestFit="1" customWidth="1"/>
    <col min="7940" max="7940" width="6.7109375" style="16" bestFit="1" customWidth="1"/>
    <col min="7941" max="7941" width="8.5703125" style="16" bestFit="1" customWidth="1"/>
    <col min="7942" max="7942" width="9.28515625" style="16" bestFit="1" customWidth="1"/>
    <col min="7943" max="7943" width="10.42578125" style="16" bestFit="1" customWidth="1"/>
    <col min="7944" max="7944" width="10.28515625" style="16" bestFit="1" customWidth="1"/>
    <col min="7945" max="7945" width="7.140625" style="16" bestFit="1" customWidth="1"/>
    <col min="7946" max="7946" width="7.28515625" style="16" customWidth="1"/>
    <col min="7947" max="7948" width="7" style="16" bestFit="1" customWidth="1"/>
    <col min="7949" max="7949" width="6.85546875" style="16" bestFit="1" customWidth="1"/>
    <col min="7950" max="7950" width="7" style="16" bestFit="1" customWidth="1"/>
    <col min="7951" max="7951" width="7.140625" style="16" bestFit="1"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9.28515625" style="16" customWidth="1"/>
    <col min="8195" max="8195" width="10.7109375" style="16" bestFit="1" customWidth="1"/>
    <col min="8196" max="8196" width="6.7109375" style="16" bestFit="1" customWidth="1"/>
    <col min="8197" max="8197" width="8.5703125" style="16" bestFit="1" customWidth="1"/>
    <col min="8198" max="8198" width="9.28515625" style="16" bestFit="1" customWidth="1"/>
    <col min="8199" max="8199" width="10.42578125" style="16" bestFit="1" customWidth="1"/>
    <col min="8200" max="8200" width="10.28515625" style="16" bestFit="1" customWidth="1"/>
    <col min="8201" max="8201" width="7.140625" style="16" bestFit="1" customWidth="1"/>
    <col min="8202" max="8202" width="7.28515625" style="16" customWidth="1"/>
    <col min="8203" max="8204" width="7" style="16" bestFit="1" customWidth="1"/>
    <col min="8205" max="8205" width="6.85546875" style="16" bestFit="1" customWidth="1"/>
    <col min="8206" max="8206" width="7" style="16" bestFit="1" customWidth="1"/>
    <col min="8207" max="8207" width="7.140625" style="16" bestFit="1"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9.28515625" style="16" customWidth="1"/>
    <col min="8451" max="8451" width="10.7109375" style="16" bestFit="1" customWidth="1"/>
    <col min="8452" max="8452" width="6.7109375" style="16" bestFit="1" customWidth="1"/>
    <col min="8453" max="8453" width="8.5703125" style="16" bestFit="1" customWidth="1"/>
    <col min="8454" max="8454" width="9.28515625" style="16" bestFit="1" customWidth="1"/>
    <col min="8455" max="8455" width="10.42578125" style="16" bestFit="1" customWidth="1"/>
    <col min="8456" max="8456" width="10.28515625" style="16" bestFit="1" customWidth="1"/>
    <col min="8457" max="8457" width="7.140625" style="16" bestFit="1" customWidth="1"/>
    <col min="8458" max="8458" width="7.28515625" style="16" customWidth="1"/>
    <col min="8459" max="8460" width="7" style="16" bestFit="1" customWidth="1"/>
    <col min="8461" max="8461" width="6.85546875" style="16" bestFit="1" customWidth="1"/>
    <col min="8462" max="8462" width="7" style="16" bestFit="1" customWidth="1"/>
    <col min="8463" max="8463" width="7.140625" style="16" bestFit="1"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9.28515625" style="16" customWidth="1"/>
    <col min="8707" max="8707" width="10.7109375" style="16" bestFit="1" customWidth="1"/>
    <col min="8708" max="8708" width="6.7109375" style="16" bestFit="1" customWidth="1"/>
    <col min="8709" max="8709" width="8.5703125" style="16" bestFit="1" customWidth="1"/>
    <col min="8710" max="8710" width="9.28515625" style="16" bestFit="1" customWidth="1"/>
    <col min="8711" max="8711" width="10.42578125" style="16" bestFit="1" customWidth="1"/>
    <col min="8712" max="8712" width="10.28515625" style="16" bestFit="1" customWidth="1"/>
    <col min="8713" max="8713" width="7.140625" style="16" bestFit="1" customWidth="1"/>
    <col min="8714" max="8714" width="7.28515625" style="16" customWidth="1"/>
    <col min="8715" max="8716" width="7" style="16" bestFit="1" customWidth="1"/>
    <col min="8717" max="8717" width="6.85546875" style="16" bestFit="1" customWidth="1"/>
    <col min="8718" max="8718" width="7" style="16" bestFit="1" customWidth="1"/>
    <col min="8719" max="8719" width="7.140625" style="16" bestFit="1"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9.28515625" style="16" customWidth="1"/>
    <col min="8963" max="8963" width="10.7109375" style="16" bestFit="1" customWidth="1"/>
    <col min="8964" max="8964" width="6.7109375" style="16" bestFit="1" customWidth="1"/>
    <col min="8965" max="8965" width="8.5703125" style="16" bestFit="1" customWidth="1"/>
    <col min="8966" max="8966" width="9.28515625" style="16" bestFit="1" customWidth="1"/>
    <col min="8967" max="8967" width="10.42578125" style="16" bestFit="1" customWidth="1"/>
    <col min="8968" max="8968" width="10.28515625" style="16" bestFit="1" customWidth="1"/>
    <col min="8969" max="8969" width="7.140625" style="16" bestFit="1" customWidth="1"/>
    <col min="8970" max="8970" width="7.28515625" style="16" customWidth="1"/>
    <col min="8971" max="8972" width="7" style="16" bestFit="1" customWidth="1"/>
    <col min="8973" max="8973" width="6.85546875" style="16" bestFit="1" customWidth="1"/>
    <col min="8974" max="8974" width="7" style="16" bestFit="1" customWidth="1"/>
    <col min="8975" max="8975" width="7.140625" style="16" bestFit="1"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9.28515625" style="16" customWidth="1"/>
    <col min="9219" max="9219" width="10.7109375" style="16" bestFit="1" customWidth="1"/>
    <col min="9220" max="9220" width="6.7109375" style="16" bestFit="1" customWidth="1"/>
    <col min="9221" max="9221" width="8.5703125" style="16" bestFit="1" customWidth="1"/>
    <col min="9222" max="9222" width="9.28515625" style="16" bestFit="1" customWidth="1"/>
    <col min="9223" max="9223" width="10.42578125" style="16" bestFit="1" customWidth="1"/>
    <col min="9224" max="9224" width="10.28515625" style="16" bestFit="1" customWidth="1"/>
    <col min="9225" max="9225" width="7.140625" style="16" bestFit="1" customWidth="1"/>
    <col min="9226" max="9226" width="7.28515625" style="16" customWidth="1"/>
    <col min="9227" max="9228" width="7" style="16" bestFit="1" customWidth="1"/>
    <col min="9229" max="9229" width="6.85546875" style="16" bestFit="1" customWidth="1"/>
    <col min="9230" max="9230" width="7" style="16" bestFit="1" customWidth="1"/>
    <col min="9231" max="9231" width="7.140625" style="16" bestFit="1"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9.28515625" style="16" customWidth="1"/>
    <col min="9475" max="9475" width="10.7109375" style="16" bestFit="1" customWidth="1"/>
    <col min="9476" max="9476" width="6.7109375" style="16" bestFit="1" customWidth="1"/>
    <col min="9477" max="9477" width="8.5703125" style="16" bestFit="1" customWidth="1"/>
    <col min="9478" max="9478" width="9.28515625" style="16" bestFit="1" customWidth="1"/>
    <col min="9479" max="9479" width="10.42578125" style="16" bestFit="1" customWidth="1"/>
    <col min="9480" max="9480" width="10.28515625" style="16" bestFit="1" customWidth="1"/>
    <col min="9481" max="9481" width="7.140625" style="16" bestFit="1" customWidth="1"/>
    <col min="9482" max="9482" width="7.28515625" style="16" customWidth="1"/>
    <col min="9483" max="9484" width="7" style="16" bestFit="1" customWidth="1"/>
    <col min="9485" max="9485" width="6.85546875" style="16" bestFit="1" customWidth="1"/>
    <col min="9486" max="9486" width="7" style="16" bestFit="1" customWidth="1"/>
    <col min="9487" max="9487" width="7.140625" style="16" bestFit="1"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9.28515625" style="16" customWidth="1"/>
    <col min="9731" max="9731" width="10.7109375" style="16" bestFit="1" customWidth="1"/>
    <col min="9732" max="9732" width="6.7109375" style="16" bestFit="1" customWidth="1"/>
    <col min="9733" max="9733" width="8.5703125" style="16" bestFit="1" customWidth="1"/>
    <col min="9734" max="9734" width="9.28515625" style="16" bestFit="1" customWidth="1"/>
    <col min="9735" max="9735" width="10.42578125" style="16" bestFit="1" customWidth="1"/>
    <col min="9736" max="9736" width="10.28515625" style="16" bestFit="1" customWidth="1"/>
    <col min="9737" max="9737" width="7.140625" style="16" bestFit="1" customWidth="1"/>
    <col min="9738" max="9738" width="7.28515625" style="16" customWidth="1"/>
    <col min="9739" max="9740" width="7" style="16" bestFit="1" customWidth="1"/>
    <col min="9741" max="9741" width="6.85546875" style="16" bestFit="1" customWidth="1"/>
    <col min="9742" max="9742" width="7" style="16" bestFit="1" customWidth="1"/>
    <col min="9743" max="9743" width="7.140625" style="16" bestFit="1"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9.28515625" style="16" customWidth="1"/>
    <col min="9987" max="9987" width="10.7109375" style="16" bestFit="1" customWidth="1"/>
    <col min="9988" max="9988" width="6.7109375" style="16" bestFit="1" customWidth="1"/>
    <col min="9989" max="9989" width="8.5703125" style="16" bestFit="1" customWidth="1"/>
    <col min="9990" max="9990" width="9.28515625" style="16" bestFit="1" customWidth="1"/>
    <col min="9991" max="9991" width="10.42578125" style="16" bestFit="1" customWidth="1"/>
    <col min="9992" max="9992" width="10.28515625" style="16" bestFit="1" customWidth="1"/>
    <col min="9993" max="9993" width="7.140625" style="16" bestFit="1" customWidth="1"/>
    <col min="9994" max="9994" width="7.28515625" style="16" customWidth="1"/>
    <col min="9995" max="9996" width="7" style="16" bestFit="1" customWidth="1"/>
    <col min="9997" max="9997" width="6.85546875" style="16" bestFit="1" customWidth="1"/>
    <col min="9998" max="9998" width="7" style="16" bestFit="1" customWidth="1"/>
    <col min="9999" max="9999" width="7.140625" style="16" bestFit="1"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9.28515625" style="16" customWidth="1"/>
    <col min="10243" max="10243" width="10.7109375" style="16" bestFit="1" customWidth="1"/>
    <col min="10244" max="10244" width="6.7109375" style="16" bestFit="1" customWidth="1"/>
    <col min="10245" max="10245" width="8.5703125" style="16" bestFit="1" customWidth="1"/>
    <col min="10246" max="10246" width="9.28515625" style="16" bestFit="1" customWidth="1"/>
    <col min="10247" max="10247" width="10.42578125" style="16" bestFit="1" customWidth="1"/>
    <col min="10248" max="10248" width="10.28515625" style="16" bestFit="1" customWidth="1"/>
    <col min="10249" max="10249" width="7.140625" style="16" bestFit="1" customWidth="1"/>
    <col min="10250" max="10250" width="7.28515625" style="16" customWidth="1"/>
    <col min="10251" max="10252" width="7" style="16" bestFit="1" customWidth="1"/>
    <col min="10253" max="10253" width="6.85546875" style="16" bestFit="1" customWidth="1"/>
    <col min="10254" max="10254" width="7" style="16" bestFit="1" customWidth="1"/>
    <col min="10255" max="10255" width="7.140625" style="16" bestFit="1"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9.28515625" style="16" customWidth="1"/>
    <col min="10499" max="10499" width="10.7109375" style="16" bestFit="1" customWidth="1"/>
    <col min="10500" max="10500" width="6.7109375" style="16" bestFit="1" customWidth="1"/>
    <col min="10501" max="10501" width="8.5703125" style="16" bestFit="1" customWidth="1"/>
    <col min="10502" max="10502" width="9.28515625" style="16" bestFit="1" customWidth="1"/>
    <col min="10503" max="10503" width="10.42578125" style="16" bestFit="1" customWidth="1"/>
    <col min="10504" max="10504" width="10.28515625" style="16" bestFit="1" customWidth="1"/>
    <col min="10505" max="10505" width="7.140625" style="16" bestFit="1" customWidth="1"/>
    <col min="10506" max="10506" width="7.28515625" style="16" customWidth="1"/>
    <col min="10507" max="10508" width="7" style="16" bestFit="1" customWidth="1"/>
    <col min="10509" max="10509" width="6.85546875" style="16" bestFit="1" customWidth="1"/>
    <col min="10510" max="10510" width="7" style="16" bestFit="1" customWidth="1"/>
    <col min="10511" max="10511" width="7.140625" style="16" bestFit="1"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9.28515625" style="16" customWidth="1"/>
    <col min="10755" max="10755" width="10.7109375" style="16" bestFit="1" customWidth="1"/>
    <col min="10756" max="10756" width="6.7109375" style="16" bestFit="1" customWidth="1"/>
    <col min="10757" max="10757" width="8.5703125" style="16" bestFit="1" customWidth="1"/>
    <col min="10758" max="10758" width="9.28515625" style="16" bestFit="1" customWidth="1"/>
    <col min="10759" max="10759" width="10.42578125" style="16" bestFit="1" customWidth="1"/>
    <col min="10760" max="10760" width="10.28515625" style="16" bestFit="1" customWidth="1"/>
    <col min="10761" max="10761" width="7.140625" style="16" bestFit="1" customWidth="1"/>
    <col min="10762" max="10762" width="7.28515625" style="16" customWidth="1"/>
    <col min="10763" max="10764" width="7" style="16" bestFit="1" customWidth="1"/>
    <col min="10765" max="10765" width="6.85546875" style="16" bestFit="1" customWidth="1"/>
    <col min="10766" max="10766" width="7" style="16" bestFit="1" customWidth="1"/>
    <col min="10767" max="10767" width="7.140625" style="16" bestFit="1"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9.28515625" style="16" customWidth="1"/>
    <col min="11011" max="11011" width="10.7109375" style="16" bestFit="1" customWidth="1"/>
    <col min="11012" max="11012" width="6.7109375" style="16" bestFit="1" customWidth="1"/>
    <col min="11013" max="11013" width="8.5703125" style="16" bestFit="1" customWidth="1"/>
    <col min="11014" max="11014" width="9.28515625" style="16" bestFit="1" customWidth="1"/>
    <col min="11015" max="11015" width="10.42578125" style="16" bestFit="1" customWidth="1"/>
    <col min="11016" max="11016" width="10.28515625" style="16" bestFit="1" customWidth="1"/>
    <col min="11017" max="11017" width="7.140625" style="16" bestFit="1" customWidth="1"/>
    <col min="11018" max="11018" width="7.28515625" style="16" customWidth="1"/>
    <col min="11019" max="11020" width="7" style="16" bestFit="1" customWidth="1"/>
    <col min="11021" max="11021" width="6.85546875" style="16" bestFit="1" customWidth="1"/>
    <col min="11022" max="11022" width="7" style="16" bestFit="1" customWidth="1"/>
    <col min="11023" max="11023" width="7.140625" style="16" bestFit="1"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9.28515625" style="16" customWidth="1"/>
    <col min="11267" max="11267" width="10.7109375" style="16" bestFit="1" customWidth="1"/>
    <col min="11268" max="11268" width="6.7109375" style="16" bestFit="1" customWidth="1"/>
    <col min="11269" max="11269" width="8.5703125" style="16" bestFit="1" customWidth="1"/>
    <col min="11270" max="11270" width="9.28515625" style="16" bestFit="1" customWidth="1"/>
    <col min="11271" max="11271" width="10.42578125" style="16" bestFit="1" customWidth="1"/>
    <col min="11272" max="11272" width="10.28515625" style="16" bestFit="1" customWidth="1"/>
    <col min="11273" max="11273" width="7.140625" style="16" bestFit="1" customWidth="1"/>
    <col min="11274" max="11274" width="7.28515625" style="16" customWidth="1"/>
    <col min="11275" max="11276" width="7" style="16" bestFit="1" customWidth="1"/>
    <col min="11277" max="11277" width="6.85546875" style="16" bestFit="1" customWidth="1"/>
    <col min="11278" max="11278" width="7" style="16" bestFit="1" customWidth="1"/>
    <col min="11279" max="11279" width="7.140625" style="16" bestFit="1"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9.28515625" style="16" customWidth="1"/>
    <col min="11523" max="11523" width="10.7109375" style="16" bestFit="1" customWidth="1"/>
    <col min="11524" max="11524" width="6.7109375" style="16" bestFit="1" customWidth="1"/>
    <col min="11525" max="11525" width="8.5703125" style="16" bestFit="1" customWidth="1"/>
    <col min="11526" max="11526" width="9.28515625" style="16" bestFit="1" customWidth="1"/>
    <col min="11527" max="11527" width="10.42578125" style="16" bestFit="1" customWidth="1"/>
    <col min="11528" max="11528" width="10.28515625" style="16" bestFit="1" customWidth="1"/>
    <col min="11529" max="11529" width="7.140625" style="16" bestFit="1" customWidth="1"/>
    <col min="11530" max="11530" width="7.28515625" style="16" customWidth="1"/>
    <col min="11531" max="11532" width="7" style="16" bestFit="1" customWidth="1"/>
    <col min="11533" max="11533" width="6.85546875" style="16" bestFit="1" customWidth="1"/>
    <col min="11534" max="11534" width="7" style="16" bestFit="1" customWidth="1"/>
    <col min="11535" max="11535" width="7.140625" style="16" bestFit="1"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9.28515625" style="16" customWidth="1"/>
    <col min="11779" max="11779" width="10.7109375" style="16" bestFit="1" customWidth="1"/>
    <col min="11780" max="11780" width="6.7109375" style="16" bestFit="1" customWidth="1"/>
    <col min="11781" max="11781" width="8.5703125" style="16" bestFit="1" customWidth="1"/>
    <col min="11782" max="11782" width="9.28515625" style="16" bestFit="1" customWidth="1"/>
    <col min="11783" max="11783" width="10.42578125" style="16" bestFit="1" customWidth="1"/>
    <col min="11784" max="11784" width="10.28515625" style="16" bestFit="1" customWidth="1"/>
    <col min="11785" max="11785" width="7.140625" style="16" bestFit="1" customWidth="1"/>
    <col min="11786" max="11786" width="7.28515625" style="16" customWidth="1"/>
    <col min="11787" max="11788" width="7" style="16" bestFit="1" customWidth="1"/>
    <col min="11789" max="11789" width="6.85546875" style="16" bestFit="1" customWidth="1"/>
    <col min="11790" max="11790" width="7" style="16" bestFit="1" customWidth="1"/>
    <col min="11791" max="11791" width="7.140625" style="16" bestFit="1"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9.28515625" style="16" customWidth="1"/>
    <col min="12035" max="12035" width="10.7109375" style="16" bestFit="1" customWidth="1"/>
    <col min="12036" max="12036" width="6.7109375" style="16" bestFit="1" customWidth="1"/>
    <col min="12037" max="12037" width="8.5703125" style="16" bestFit="1" customWidth="1"/>
    <col min="12038" max="12038" width="9.28515625" style="16" bestFit="1" customWidth="1"/>
    <col min="12039" max="12039" width="10.42578125" style="16" bestFit="1" customWidth="1"/>
    <col min="12040" max="12040" width="10.28515625" style="16" bestFit="1" customWidth="1"/>
    <col min="12041" max="12041" width="7.140625" style="16" bestFit="1" customWidth="1"/>
    <col min="12042" max="12042" width="7.28515625" style="16" customWidth="1"/>
    <col min="12043" max="12044" width="7" style="16" bestFit="1" customWidth="1"/>
    <col min="12045" max="12045" width="6.85546875" style="16" bestFit="1" customWidth="1"/>
    <col min="12046" max="12046" width="7" style="16" bestFit="1" customWidth="1"/>
    <col min="12047" max="12047" width="7.140625" style="16" bestFit="1"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9.28515625" style="16" customWidth="1"/>
    <col min="12291" max="12291" width="10.7109375" style="16" bestFit="1" customWidth="1"/>
    <col min="12292" max="12292" width="6.7109375" style="16" bestFit="1" customWidth="1"/>
    <col min="12293" max="12293" width="8.5703125" style="16" bestFit="1" customWidth="1"/>
    <col min="12294" max="12294" width="9.28515625" style="16" bestFit="1" customWidth="1"/>
    <col min="12295" max="12295" width="10.42578125" style="16" bestFit="1" customWidth="1"/>
    <col min="12296" max="12296" width="10.28515625" style="16" bestFit="1" customWidth="1"/>
    <col min="12297" max="12297" width="7.140625" style="16" bestFit="1" customWidth="1"/>
    <col min="12298" max="12298" width="7.28515625" style="16" customWidth="1"/>
    <col min="12299" max="12300" width="7" style="16" bestFit="1" customWidth="1"/>
    <col min="12301" max="12301" width="6.85546875" style="16" bestFit="1" customWidth="1"/>
    <col min="12302" max="12302" width="7" style="16" bestFit="1" customWidth="1"/>
    <col min="12303" max="12303" width="7.140625" style="16" bestFit="1"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9.28515625" style="16" customWidth="1"/>
    <col min="12547" max="12547" width="10.7109375" style="16" bestFit="1" customWidth="1"/>
    <col min="12548" max="12548" width="6.7109375" style="16" bestFit="1" customWidth="1"/>
    <col min="12549" max="12549" width="8.5703125" style="16" bestFit="1" customWidth="1"/>
    <col min="12550" max="12550" width="9.28515625" style="16" bestFit="1" customWidth="1"/>
    <col min="12551" max="12551" width="10.42578125" style="16" bestFit="1" customWidth="1"/>
    <col min="12552" max="12552" width="10.28515625" style="16" bestFit="1" customWidth="1"/>
    <col min="12553" max="12553" width="7.140625" style="16" bestFit="1" customWidth="1"/>
    <col min="12554" max="12554" width="7.28515625" style="16" customWidth="1"/>
    <col min="12555" max="12556" width="7" style="16" bestFit="1" customWidth="1"/>
    <col min="12557" max="12557" width="6.85546875" style="16" bestFit="1" customWidth="1"/>
    <col min="12558" max="12558" width="7" style="16" bestFit="1" customWidth="1"/>
    <col min="12559" max="12559" width="7.140625" style="16" bestFit="1"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9.28515625" style="16" customWidth="1"/>
    <col min="12803" max="12803" width="10.7109375" style="16" bestFit="1" customWidth="1"/>
    <col min="12804" max="12804" width="6.7109375" style="16" bestFit="1" customWidth="1"/>
    <col min="12805" max="12805" width="8.5703125" style="16" bestFit="1" customWidth="1"/>
    <col min="12806" max="12806" width="9.28515625" style="16" bestFit="1" customWidth="1"/>
    <col min="12807" max="12807" width="10.42578125" style="16" bestFit="1" customWidth="1"/>
    <col min="12808" max="12808" width="10.28515625" style="16" bestFit="1" customWidth="1"/>
    <col min="12809" max="12809" width="7.140625" style="16" bestFit="1" customWidth="1"/>
    <col min="12810" max="12810" width="7.28515625" style="16" customWidth="1"/>
    <col min="12811" max="12812" width="7" style="16" bestFit="1" customWidth="1"/>
    <col min="12813" max="12813" width="6.85546875" style="16" bestFit="1" customWidth="1"/>
    <col min="12814" max="12814" width="7" style="16" bestFit="1" customWidth="1"/>
    <col min="12815" max="12815" width="7.140625" style="16" bestFit="1"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9.28515625" style="16" customWidth="1"/>
    <col min="13059" max="13059" width="10.7109375" style="16" bestFit="1" customWidth="1"/>
    <col min="13060" max="13060" width="6.7109375" style="16" bestFit="1" customWidth="1"/>
    <col min="13061" max="13061" width="8.5703125" style="16" bestFit="1" customWidth="1"/>
    <col min="13062" max="13062" width="9.28515625" style="16" bestFit="1" customWidth="1"/>
    <col min="13063" max="13063" width="10.42578125" style="16" bestFit="1" customWidth="1"/>
    <col min="13064" max="13064" width="10.28515625" style="16" bestFit="1" customWidth="1"/>
    <col min="13065" max="13065" width="7.140625" style="16" bestFit="1" customWidth="1"/>
    <col min="13066" max="13066" width="7.28515625" style="16" customWidth="1"/>
    <col min="13067" max="13068" width="7" style="16" bestFit="1" customWidth="1"/>
    <col min="13069" max="13069" width="6.85546875" style="16" bestFit="1" customWidth="1"/>
    <col min="13070" max="13070" width="7" style="16" bestFit="1" customWidth="1"/>
    <col min="13071" max="13071" width="7.140625" style="16" bestFit="1"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9.28515625" style="16" customWidth="1"/>
    <col min="13315" max="13315" width="10.7109375" style="16" bestFit="1" customWidth="1"/>
    <col min="13316" max="13316" width="6.7109375" style="16" bestFit="1" customWidth="1"/>
    <col min="13317" max="13317" width="8.5703125" style="16" bestFit="1" customWidth="1"/>
    <col min="13318" max="13318" width="9.28515625" style="16" bestFit="1" customWidth="1"/>
    <col min="13319" max="13319" width="10.42578125" style="16" bestFit="1" customWidth="1"/>
    <col min="13320" max="13320" width="10.28515625" style="16" bestFit="1" customWidth="1"/>
    <col min="13321" max="13321" width="7.140625" style="16" bestFit="1" customWidth="1"/>
    <col min="13322" max="13322" width="7.28515625" style="16" customWidth="1"/>
    <col min="13323" max="13324" width="7" style="16" bestFit="1" customWidth="1"/>
    <col min="13325" max="13325" width="6.85546875" style="16" bestFit="1" customWidth="1"/>
    <col min="13326" max="13326" width="7" style="16" bestFit="1" customWidth="1"/>
    <col min="13327" max="13327" width="7.140625" style="16" bestFit="1"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9.28515625" style="16" customWidth="1"/>
    <col min="13571" max="13571" width="10.7109375" style="16" bestFit="1" customWidth="1"/>
    <col min="13572" max="13572" width="6.7109375" style="16" bestFit="1" customWidth="1"/>
    <col min="13573" max="13573" width="8.5703125" style="16" bestFit="1" customWidth="1"/>
    <col min="13574" max="13574" width="9.28515625" style="16" bestFit="1" customWidth="1"/>
    <col min="13575" max="13575" width="10.42578125" style="16" bestFit="1" customWidth="1"/>
    <col min="13576" max="13576" width="10.28515625" style="16" bestFit="1" customWidth="1"/>
    <col min="13577" max="13577" width="7.140625" style="16" bestFit="1" customWidth="1"/>
    <col min="13578" max="13578" width="7.28515625" style="16" customWidth="1"/>
    <col min="13579" max="13580" width="7" style="16" bestFit="1" customWidth="1"/>
    <col min="13581" max="13581" width="6.85546875" style="16" bestFit="1" customWidth="1"/>
    <col min="13582" max="13582" width="7" style="16" bestFit="1" customWidth="1"/>
    <col min="13583" max="13583" width="7.140625" style="16" bestFit="1"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9.28515625" style="16" customWidth="1"/>
    <col min="13827" max="13827" width="10.7109375" style="16" bestFit="1" customWidth="1"/>
    <col min="13828" max="13828" width="6.7109375" style="16" bestFit="1" customWidth="1"/>
    <col min="13829" max="13829" width="8.5703125" style="16" bestFit="1" customWidth="1"/>
    <col min="13830" max="13830" width="9.28515625" style="16" bestFit="1" customWidth="1"/>
    <col min="13831" max="13831" width="10.42578125" style="16" bestFit="1" customWidth="1"/>
    <col min="13832" max="13832" width="10.28515625" style="16" bestFit="1" customWidth="1"/>
    <col min="13833" max="13833" width="7.140625" style="16" bestFit="1" customWidth="1"/>
    <col min="13834" max="13834" width="7.28515625" style="16" customWidth="1"/>
    <col min="13835" max="13836" width="7" style="16" bestFit="1" customWidth="1"/>
    <col min="13837" max="13837" width="6.85546875" style="16" bestFit="1" customWidth="1"/>
    <col min="13838" max="13838" width="7" style="16" bestFit="1" customWidth="1"/>
    <col min="13839" max="13839" width="7.140625" style="16" bestFit="1"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9.28515625" style="16" customWidth="1"/>
    <col min="14083" max="14083" width="10.7109375" style="16" bestFit="1" customWidth="1"/>
    <col min="14084" max="14084" width="6.7109375" style="16" bestFit="1" customWidth="1"/>
    <col min="14085" max="14085" width="8.5703125" style="16" bestFit="1" customWidth="1"/>
    <col min="14086" max="14086" width="9.28515625" style="16" bestFit="1" customWidth="1"/>
    <col min="14087" max="14087" width="10.42578125" style="16" bestFit="1" customWidth="1"/>
    <col min="14088" max="14088" width="10.28515625" style="16" bestFit="1" customWidth="1"/>
    <col min="14089" max="14089" width="7.140625" style="16" bestFit="1" customWidth="1"/>
    <col min="14090" max="14090" width="7.28515625" style="16" customWidth="1"/>
    <col min="14091" max="14092" width="7" style="16" bestFit="1" customWidth="1"/>
    <col min="14093" max="14093" width="6.85546875" style="16" bestFit="1" customWidth="1"/>
    <col min="14094" max="14094" width="7" style="16" bestFit="1" customWidth="1"/>
    <col min="14095" max="14095" width="7.140625" style="16" bestFit="1"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9.28515625" style="16" customWidth="1"/>
    <col min="14339" max="14339" width="10.7109375" style="16" bestFit="1" customWidth="1"/>
    <col min="14340" max="14340" width="6.7109375" style="16" bestFit="1" customWidth="1"/>
    <col min="14341" max="14341" width="8.5703125" style="16" bestFit="1" customWidth="1"/>
    <col min="14342" max="14342" width="9.28515625" style="16" bestFit="1" customWidth="1"/>
    <col min="14343" max="14343" width="10.42578125" style="16" bestFit="1" customWidth="1"/>
    <col min="14344" max="14344" width="10.28515625" style="16" bestFit="1" customWidth="1"/>
    <col min="14345" max="14345" width="7.140625" style="16" bestFit="1" customWidth="1"/>
    <col min="14346" max="14346" width="7.28515625" style="16" customWidth="1"/>
    <col min="14347" max="14348" width="7" style="16" bestFit="1" customWidth="1"/>
    <col min="14349" max="14349" width="6.85546875" style="16" bestFit="1" customWidth="1"/>
    <col min="14350" max="14350" width="7" style="16" bestFit="1" customWidth="1"/>
    <col min="14351" max="14351" width="7.140625" style="16" bestFit="1"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9.28515625" style="16" customWidth="1"/>
    <col min="14595" max="14595" width="10.7109375" style="16" bestFit="1" customWidth="1"/>
    <col min="14596" max="14596" width="6.7109375" style="16" bestFit="1" customWidth="1"/>
    <col min="14597" max="14597" width="8.5703125" style="16" bestFit="1" customWidth="1"/>
    <col min="14598" max="14598" width="9.28515625" style="16" bestFit="1" customWidth="1"/>
    <col min="14599" max="14599" width="10.42578125" style="16" bestFit="1" customWidth="1"/>
    <col min="14600" max="14600" width="10.28515625" style="16" bestFit="1" customWidth="1"/>
    <col min="14601" max="14601" width="7.140625" style="16" bestFit="1" customWidth="1"/>
    <col min="14602" max="14602" width="7.28515625" style="16" customWidth="1"/>
    <col min="14603" max="14604" width="7" style="16" bestFit="1" customWidth="1"/>
    <col min="14605" max="14605" width="6.85546875" style="16" bestFit="1" customWidth="1"/>
    <col min="14606" max="14606" width="7" style="16" bestFit="1" customWidth="1"/>
    <col min="14607" max="14607" width="7.140625" style="16" bestFit="1"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9.28515625" style="16" customWidth="1"/>
    <col min="14851" max="14851" width="10.7109375" style="16" bestFit="1" customWidth="1"/>
    <col min="14852" max="14852" width="6.7109375" style="16" bestFit="1" customWidth="1"/>
    <col min="14853" max="14853" width="8.5703125" style="16" bestFit="1" customWidth="1"/>
    <col min="14854" max="14854" width="9.28515625" style="16" bestFit="1" customWidth="1"/>
    <col min="14855" max="14855" width="10.42578125" style="16" bestFit="1" customWidth="1"/>
    <col min="14856" max="14856" width="10.28515625" style="16" bestFit="1" customWidth="1"/>
    <col min="14857" max="14857" width="7.140625" style="16" bestFit="1" customWidth="1"/>
    <col min="14858" max="14858" width="7.28515625" style="16" customWidth="1"/>
    <col min="14859" max="14860" width="7" style="16" bestFit="1" customWidth="1"/>
    <col min="14861" max="14861" width="6.85546875" style="16" bestFit="1" customWidth="1"/>
    <col min="14862" max="14862" width="7" style="16" bestFit="1" customWidth="1"/>
    <col min="14863" max="14863" width="7.140625" style="16" bestFit="1"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9.28515625" style="16" customWidth="1"/>
    <col min="15107" max="15107" width="10.7109375" style="16" bestFit="1" customWidth="1"/>
    <col min="15108" max="15108" width="6.7109375" style="16" bestFit="1" customWidth="1"/>
    <col min="15109" max="15109" width="8.5703125" style="16" bestFit="1" customWidth="1"/>
    <col min="15110" max="15110" width="9.28515625" style="16" bestFit="1" customWidth="1"/>
    <col min="15111" max="15111" width="10.42578125" style="16" bestFit="1" customWidth="1"/>
    <col min="15112" max="15112" width="10.28515625" style="16" bestFit="1" customWidth="1"/>
    <col min="15113" max="15113" width="7.140625" style="16" bestFit="1" customWidth="1"/>
    <col min="15114" max="15114" width="7.28515625" style="16" customWidth="1"/>
    <col min="15115" max="15116" width="7" style="16" bestFit="1" customWidth="1"/>
    <col min="15117" max="15117" width="6.85546875" style="16" bestFit="1" customWidth="1"/>
    <col min="15118" max="15118" width="7" style="16" bestFit="1" customWidth="1"/>
    <col min="15119" max="15119" width="7.140625" style="16" bestFit="1"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9.28515625" style="16" customWidth="1"/>
    <col min="15363" max="15363" width="10.7109375" style="16" bestFit="1" customWidth="1"/>
    <col min="15364" max="15364" width="6.7109375" style="16" bestFit="1" customWidth="1"/>
    <col min="15365" max="15365" width="8.5703125" style="16" bestFit="1" customWidth="1"/>
    <col min="15366" max="15366" width="9.28515625" style="16" bestFit="1" customWidth="1"/>
    <col min="15367" max="15367" width="10.42578125" style="16" bestFit="1" customWidth="1"/>
    <col min="15368" max="15368" width="10.28515625" style="16" bestFit="1" customWidth="1"/>
    <col min="15369" max="15369" width="7.140625" style="16" bestFit="1" customWidth="1"/>
    <col min="15370" max="15370" width="7.28515625" style="16" customWidth="1"/>
    <col min="15371" max="15372" width="7" style="16" bestFit="1" customWidth="1"/>
    <col min="15373" max="15373" width="6.85546875" style="16" bestFit="1" customWidth="1"/>
    <col min="15374" max="15374" width="7" style="16" bestFit="1" customWidth="1"/>
    <col min="15375" max="15375" width="7.140625" style="16" bestFit="1"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9.28515625" style="16" customWidth="1"/>
    <col min="15619" max="15619" width="10.7109375" style="16" bestFit="1" customWidth="1"/>
    <col min="15620" max="15620" width="6.7109375" style="16" bestFit="1" customWidth="1"/>
    <col min="15621" max="15621" width="8.5703125" style="16" bestFit="1" customWidth="1"/>
    <col min="15622" max="15622" width="9.28515625" style="16" bestFit="1" customWidth="1"/>
    <col min="15623" max="15623" width="10.42578125" style="16" bestFit="1" customWidth="1"/>
    <col min="15624" max="15624" width="10.28515625" style="16" bestFit="1" customWidth="1"/>
    <col min="15625" max="15625" width="7.140625" style="16" bestFit="1" customWidth="1"/>
    <col min="15626" max="15626" width="7.28515625" style="16" customWidth="1"/>
    <col min="15627" max="15628" width="7" style="16" bestFit="1" customWidth="1"/>
    <col min="15629" max="15629" width="6.85546875" style="16" bestFit="1" customWidth="1"/>
    <col min="15630" max="15630" width="7" style="16" bestFit="1" customWidth="1"/>
    <col min="15631" max="15631" width="7.140625" style="16" bestFit="1"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9.28515625" style="16" customWidth="1"/>
    <col min="15875" max="15875" width="10.7109375" style="16" bestFit="1" customWidth="1"/>
    <col min="15876" max="15876" width="6.7109375" style="16" bestFit="1" customWidth="1"/>
    <col min="15877" max="15877" width="8.5703125" style="16" bestFit="1" customWidth="1"/>
    <col min="15878" max="15878" width="9.28515625" style="16" bestFit="1" customWidth="1"/>
    <col min="15879" max="15879" width="10.42578125" style="16" bestFit="1" customWidth="1"/>
    <col min="15880" max="15880" width="10.28515625" style="16" bestFit="1" customWidth="1"/>
    <col min="15881" max="15881" width="7.140625" style="16" bestFit="1" customWidth="1"/>
    <col min="15882" max="15882" width="7.28515625" style="16" customWidth="1"/>
    <col min="15883" max="15884" width="7" style="16" bestFit="1" customWidth="1"/>
    <col min="15885" max="15885" width="6.85546875" style="16" bestFit="1" customWidth="1"/>
    <col min="15886" max="15886" width="7" style="16" bestFit="1" customWidth="1"/>
    <col min="15887" max="15887" width="7.140625" style="16" bestFit="1"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9.28515625" style="16" customWidth="1"/>
    <col min="16131" max="16131" width="10.7109375" style="16" bestFit="1" customWidth="1"/>
    <col min="16132" max="16132" width="6.7109375" style="16" bestFit="1" customWidth="1"/>
    <col min="16133" max="16133" width="8.5703125" style="16" bestFit="1" customWidth="1"/>
    <col min="16134" max="16134" width="9.28515625" style="16" bestFit="1" customWidth="1"/>
    <col min="16135" max="16135" width="10.42578125" style="16" bestFit="1" customWidth="1"/>
    <col min="16136" max="16136" width="10.28515625" style="16" bestFit="1" customWidth="1"/>
    <col min="16137" max="16137" width="7.140625" style="16" bestFit="1" customWidth="1"/>
    <col min="16138" max="16138" width="7.28515625" style="16" customWidth="1"/>
    <col min="16139" max="16140" width="7" style="16" bestFit="1" customWidth="1"/>
    <col min="16141" max="16141" width="6.85546875" style="16" bestFit="1" customWidth="1"/>
    <col min="16142" max="16142" width="7" style="16" bestFit="1" customWidth="1"/>
    <col min="16143" max="16143" width="7.140625" style="16" bestFit="1"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8" s="1" customFormat="1" x14ac:dyDescent="0.2">
      <c r="A1" s="867" t="s">
        <v>100</v>
      </c>
      <c r="B1" s="868"/>
      <c r="C1" s="868"/>
      <c r="D1" s="869">
        <v>0</v>
      </c>
      <c r="E1" s="868"/>
      <c r="F1" s="868"/>
      <c r="G1" s="867" t="s">
        <v>102</v>
      </c>
      <c r="H1" s="869"/>
      <c r="I1" s="869" t="s">
        <v>333</v>
      </c>
      <c r="J1" s="868"/>
      <c r="K1" s="868"/>
      <c r="L1" s="870"/>
      <c r="M1" s="870"/>
      <c r="N1" s="870"/>
      <c r="O1" s="870"/>
    </row>
    <row r="2" spans="1:18" s="1" customFormat="1" x14ac:dyDescent="0.2">
      <c r="A2" s="867" t="s">
        <v>103</v>
      </c>
      <c r="B2" s="868"/>
      <c r="C2" s="868"/>
      <c r="D2" s="869"/>
      <c r="E2" s="868"/>
      <c r="F2" s="868"/>
      <c r="G2" s="867" t="s">
        <v>104</v>
      </c>
      <c r="H2" s="869"/>
      <c r="I2" s="869" t="s">
        <v>105</v>
      </c>
      <c r="J2" s="868"/>
      <c r="K2" s="868"/>
      <c r="L2" s="870"/>
      <c r="M2" s="870"/>
      <c r="N2" s="870"/>
      <c r="O2" s="870"/>
    </row>
    <row r="3" spans="1:18" s="1" customFormat="1" x14ac:dyDescent="0.2">
      <c r="A3" s="867" t="s">
        <v>106</v>
      </c>
      <c r="B3" s="868"/>
      <c r="C3" s="868"/>
      <c r="D3" s="883" t="s">
        <v>334</v>
      </c>
      <c r="E3" s="868"/>
      <c r="F3" s="868"/>
      <c r="G3" s="867" t="s">
        <v>107</v>
      </c>
      <c r="H3" s="869"/>
      <c r="I3" s="869" t="s">
        <v>108</v>
      </c>
      <c r="J3" s="868"/>
      <c r="K3" s="868"/>
      <c r="L3" s="870"/>
      <c r="M3" s="870"/>
      <c r="N3" s="870"/>
      <c r="O3" s="870"/>
    </row>
    <row r="4" spans="1:18" s="1" customFormat="1" x14ac:dyDescent="0.2">
      <c r="A4" s="867" t="s">
        <v>109</v>
      </c>
      <c r="B4" s="868"/>
      <c r="C4" s="868"/>
      <c r="D4" s="869"/>
      <c r="E4" s="868"/>
      <c r="F4" s="868"/>
      <c r="G4" s="867" t="s">
        <v>110</v>
      </c>
      <c r="H4" s="869"/>
      <c r="I4" s="869" t="s">
        <v>335</v>
      </c>
      <c r="J4" s="868"/>
      <c r="K4" s="868"/>
      <c r="L4" s="870"/>
      <c r="M4" s="870"/>
      <c r="N4" s="870"/>
      <c r="O4" s="870"/>
    </row>
    <row r="5" spans="1:18" s="1" customFormat="1" x14ac:dyDescent="0.2">
      <c r="A5" s="867" t="s">
        <v>278</v>
      </c>
      <c r="B5" s="868"/>
      <c r="C5" s="868"/>
      <c r="D5" s="869" t="s">
        <v>336</v>
      </c>
      <c r="E5" s="868"/>
      <c r="F5" s="868"/>
      <c r="G5" s="867"/>
      <c r="H5" s="868"/>
      <c r="I5" s="869" t="s">
        <v>113</v>
      </c>
      <c r="J5" s="868"/>
      <c r="K5" s="868"/>
      <c r="L5" s="870"/>
      <c r="M5" s="870"/>
      <c r="N5" s="870"/>
      <c r="O5" s="870"/>
    </row>
    <row r="6" spans="1:18" s="1" customFormat="1" x14ac:dyDescent="0.2">
      <c r="A6" s="871" t="s">
        <v>114</v>
      </c>
      <c r="B6" s="872"/>
      <c r="C6" s="872"/>
      <c r="D6" s="868" t="s">
        <v>40</v>
      </c>
      <c r="E6" s="868"/>
      <c r="F6" s="868"/>
      <c r="G6" s="871" t="s">
        <v>115</v>
      </c>
      <c r="H6" s="871"/>
      <c r="I6" s="2" t="s">
        <v>116</v>
      </c>
      <c r="J6" s="888"/>
      <c r="K6" s="888"/>
      <c r="L6" s="888"/>
      <c r="M6" s="888"/>
      <c r="N6" s="888"/>
      <c r="O6" s="889"/>
    </row>
    <row r="7" spans="1:18" s="1" customFormat="1" ht="13.5" thickBot="1" x14ac:dyDescent="0.25">
      <c r="A7" s="3"/>
      <c r="B7" s="4"/>
      <c r="C7" s="5"/>
      <c r="D7" s="6"/>
      <c r="E7" s="923"/>
      <c r="F7" s="924"/>
      <c r="G7" s="924"/>
      <c r="H7" s="924"/>
      <c r="I7" s="924"/>
      <c r="J7" s="924"/>
      <c r="K7" s="924"/>
      <c r="L7" s="924"/>
      <c r="M7" s="924"/>
      <c r="N7" s="924"/>
      <c r="O7" s="925"/>
      <c r="Q7" s="186"/>
      <c r="R7" s="186"/>
    </row>
    <row r="8" spans="1:18" s="11" customFormat="1" x14ac:dyDescent="0.2">
      <c r="A8" s="876" t="str">
        <f>I1</f>
        <v>Mr. Sudhakar S. Matkar</v>
      </c>
      <c r="B8" s="877"/>
      <c r="C8" s="9">
        <v>43160</v>
      </c>
      <c r="D8" s="9">
        <v>43191</v>
      </c>
      <c r="E8" s="9">
        <v>43221</v>
      </c>
      <c r="F8" s="9">
        <v>43252</v>
      </c>
      <c r="G8" s="9">
        <v>43282</v>
      </c>
      <c r="H8" s="9">
        <v>43313</v>
      </c>
      <c r="I8" s="9">
        <v>43344</v>
      </c>
      <c r="J8" s="9">
        <v>43374</v>
      </c>
      <c r="K8" s="9">
        <v>43405</v>
      </c>
      <c r="L8" s="9">
        <v>43435</v>
      </c>
      <c r="M8" s="9">
        <v>43466</v>
      </c>
      <c r="N8" s="9">
        <v>43497</v>
      </c>
      <c r="O8" s="10" t="s">
        <v>117</v>
      </c>
    </row>
    <row r="9" spans="1:18" ht="15" x14ac:dyDescent="0.2">
      <c r="A9" s="12"/>
      <c r="B9" s="13" t="s">
        <v>118</v>
      </c>
      <c r="C9" s="14">
        <v>70000</v>
      </c>
      <c r="D9" s="14">
        <v>70000</v>
      </c>
      <c r="E9" s="14">
        <v>70000</v>
      </c>
      <c r="F9" s="14">
        <v>70000</v>
      </c>
      <c r="G9" s="14">
        <v>72100</v>
      </c>
      <c r="H9" s="14">
        <v>72100</v>
      </c>
      <c r="I9" s="14">
        <v>72100</v>
      </c>
      <c r="J9" s="14">
        <v>72100</v>
      </c>
      <c r="K9" s="14">
        <v>0</v>
      </c>
      <c r="L9" s="14">
        <v>0</v>
      </c>
      <c r="M9" s="14">
        <v>0</v>
      </c>
      <c r="N9" s="14">
        <v>0</v>
      </c>
      <c r="O9" s="15">
        <f>SUM(C9:N9)</f>
        <v>568400</v>
      </c>
    </row>
    <row r="10" spans="1:18" ht="15" x14ac:dyDescent="0.2">
      <c r="A10" s="12"/>
      <c r="B10" s="13" t="s">
        <v>119</v>
      </c>
      <c r="C10" s="17">
        <v>0</v>
      </c>
      <c r="D10" s="17">
        <f>+C10</f>
        <v>0</v>
      </c>
      <c r="E10" s="17">
        <f>+D10</f>
        <v>0</v>
      </c>
      <c r="F10" s="17">
        <f>+E10</f>
        <v>0</v>
      </c>
      <c r="G10" s="17">
        <f>+F10</f>
        <v>0</v>
      </c>
      <c r="H10" s="17">
        <v>0</v>
      </c>
      <c r="I10" s="17">
        <f t="shared" ref="I10:N25" si="0">+H10</f>
        <v>0</v>
      </c>
      <c r="J10" s="17">
        <f t="shared" si="0"/>
        <v>0</v>
      </c>
      <c r="K10" s="17">
        <f t="shared" si="0"/>
        <v>0</v>
      </c>
      <c r="L10" s="17">
        <f t="shared" si="0"/>
        <v>0</v>
      </c>
      <c r="M10" s="17">
        <f t="shared" si="0"/>
        <v>0</v>
      </c>
      <c r="N10" s="17">
        <f t="shared" si="0"/>
        <v>0</v>
      </c>
      <c r="O10" s="18">
        <f>SUM(C10:N10)</f>
        <v>0</v>
      </c>
    </row>
    <row r="11" spans="1:18" ht="15" x14ac:dyDescent="0.2">
      <c r="A11" s="12"/>
      <c r="B11" s="13" t="s">
        <v>120</v>
      </c>
      <c r="C11" s="17">
        <v>3500</v>
      </c>
      <c r="D11" s="17">
        <v>4900</v>
      </c>
      <c r="E11" s="17">
        <f t="shared" ref="D11:K26" si="1">+D11</f>
        <v>4900</v>
      </c>
      <c r="F11" s="17">
        <f t="shared" si="1"/>
        <v>4900</v>
      </c>
      <c r="G11" s="17">
        <v>5047</v>
      </c>
      <c r="H11" s="17">
        <v>5047</v>
      </c>
      <c r="I11" s="17">
        <v>5047</v>
      </c>
      <c r="J11" s="17">
        <v>5047</v>
      </c>
      <c r="K11" s="17">
        <v>0</v>
      </c>
      <c r="L11" s="17">
        <f t="shared" si="0"/>
        <v>0</v>
      </c>
      <c r="M11" s="17">
        <f t="shared" si="0"/>
        <v>0</v>
      </c>
      <c r="N11" s="17">
        <f t="shared" si="0"/>
        <v>0</v>
      </c>
      <c r="O11" s="18">
        <f>SUM(C11:N11)</f>
        <v>38388</v>
      </c>
    </row>
    <row r="12" spans="1:18" ht="15" hidden="1" x14ac:dyDescent="0.2">
      <c r="A12" s="12"/>
      <c r="B12" s="13" t="s">
        <v>121</v>
      </c>
      <c r="C12" s="17">
        <v>0</v>
      </c>
      <c r="D12" s="17">
        <f t="shared" si="1"/>
        <v>0</v>
      </c>
      <c r="E12" s="17">
        <f t="shared" si="1"/>
        <v>0</v>
      </c>
      <c r="F12" s="17">
        <f t="shared" si="1"/>
        <v>0</v>
      </c>
      <c r="G12" s="17">
        <f t="shared" si="1"/>
        <v>0</v>
      </c>
      <c r="H12" s="17">
        <v>0</v>
      </c>
      <c r="I12" s="17">
        <f t="shared" ref="I12:K13" si="2">+H12</f>
        <v>0</v>
      </c>
      <c r="J12" s="17">
        <f t="shared" si="2"/>
        <v>0</v>
      </c>
      <c r="K12" s="17">
        <f t="shared" si="2"/>
        <v>0</v>
      </c>
      <c r="L12" s="17">
        <f t="shared" si="0"/>
        <v>0</v>
      </c>
      <c r="M12" s="17">
        <f t="shared" si="0"/>
        <v>0</v>
      </c>
      <c r="N12" s="17">
        <f t="shared" si="0"/>
        <v>0</v>
      </c>
      <c r="O12" s="18">
        <f>SUM(C12:N12)</f>
        <v>0</v>
      </c>
    </row>
    <row r="13" spans="1:18" ht="15" hidden="1" x14ac:dyDescent="0.2">
      <c r="A13" s="12"/>
      <c r="B13" s="13" t="s">
        <v>122</v>
      </c>
      <c r="C13" s="17">
        <v>0</v>
      </c>
      <c r="D13" s="17">
        <f t="shared" si="1"/>
        <v>0</v>
      </c>
      <c r="E13" s="17">
        <f t="shared" si="1"/>
        <v>0</v>
      </c>
      <c r="F13" s="17">
        <f t="shared" si="1"/>
        <v>0</v>
      </c>
      <c r="G13" s="17">
        <f t="shared" si="1"/>
        <v>0</v>
      </c>
      <c r="H13" s="17">
        <v>0</v>
      </c>
      <c r="I13" s="17">
        <f t="shared" si="2"/>
        <v>0</v>
      </c>
      <c r="J13" s="17">
        <f t="shared" si="2"/>
        <v>0</v>
      </c>
      <c r="K13" s="17">
        <f t="shared" si="2"/>
        <v>0</v>
      </c>
      <c r="L13" s="17">
        <f t="shared" si="0"/>
        <v>0</v>
      </c>
      <c r="M13" s="17">
        <f t="shared" si="0"/>
        <v>0</v>
      </c>
      <c r="N13" s="17">
        <f t="shared" si="0"/>
        <v>0</v>
      </c>
      <c r="O13" s="18">
        <f t="shared" ref="O13:O36" si="3">SUM(C13:N13)</f>
        <v>0</v>
      </c>
    </row>
    <row r="14" spans="1:18" ht="15" x14ac:dyDescent="0.2">
      <c r="A14" s="12"/>
      <c r="B14" s="13" t="s">
        <v>123</v>
      </c>
      <c r="C14" s="17">
        <v>3780</v>
      </c>
      <c r="D14" s="17">
        <v>3852</v>
      </c>
      <c r="E14" s="17">
        <f t="shared" si="1"/>
        <v>3852</v>
      </c>
      <c r="F14" s="17">
        <f t="shared" si="1"/>
        <v>3852</v>
      </c>
      <c r="G14" s="17">
        <f t="shared" si="1"/>
        <v>3852</v>
      </c>
      <c r="H14" s="17">
        <f t="shared" si="1"/>
        <v>3852</v>
      </c>
      <c r="I14" s="17">
        <f t="shared" si="1"/>
        <v>3852</v>
      </c>
      <c r="J14" s="17">
        <v>3924</v>
      </c>
      <c r="K14" s="17">
        <v>0</v>
      </c>
      <c r="L14" s="17">
        <f t="shared" si="0"/>
        <v>0</v>
      </c>
      <c r="M14" s="17">
        <f t="shared" si="0"/>
        <v>0</v>
      </c>
      <c r="N14" s="17">
        <f t="shared" si="0"/>
        <v>0</v>
      </c>
      <c r="O14" s="18">
        <f t="shared" si="3"/>
        <v>30816</v>
      </c>
    </row>
    <row r="15" spans="1:18" ht="15" x14ac:dyDescent="0.2">
      <c r="A15" s="12"/>
      <c r="B15" s="13" t="s">
        <v>124</v>
      </c>
      <c r="C15" s="17">
        <v>0</v>
      </c>
      <c r="D15" s="17">
        <f t="shared" si="1"/>
        <v>0</v>
      </c>
      <c r="E15" s="17">
        <f t="shared" si="1"/>
        <v>0</v>
      </c>
      <c r="F15" s="17">
        <f t="shared" si="1"/>
        <v>0</v>
      </c>
      <c r="G15" s="17">
        <f t="shared" si="1"/>
        <v>0</v>
      </c>
      <c r="H15" s="17">
        <v>0</v>
      </c>
      <c r="I15" s="17">
        <f t="shared" si="1"/>
        <v>0</v>
      </c>
      <c r="J15" s="17">
        <f t="shared" si="1"/>
        <v>0</v>
      </c>
      <c r="K15" s="17">
        <f t="shared" si="1"/>
        <v>0</v>
      </c>
      <c r="L15" s="17">
        <f t="shared" si="0"/>
        <v>0</v>
      </c>
      <c r="M15" s="17">
        <f t="shared" si="0"/>
        <v>0</v>
      </c>
      <c r="N15" s="17">
        <f t="shared" si="0"/>
        <v>0</v>
      </c>
      <c r="O15" s="18">
        <f t="shared" si="3"/>
        <v>0</v>
      </c>
    </row>
    <row r="16" spans="1:18" ht="15" x14ac:dyDescent="0.2">
      <c r="A16" s="12"/>
      <c r="B16" s="13" t="s">
        <v>125</v>
      </c>
      <c r="C16" s="17">
        <v>0</v>
      </c>
      <c r="D16" s="17">
        <f t="shared" si="1"/>
        <v>0</v>
      </c>
      <c r="E16" s="17">
        <f t="shared" si="1"/>
        <v>0</v>
      </c>
      <c r="F16" s="17">
        <f t="shared" si="1"/>
        <v>0</v>
      </c>
      <c r="G16" s="17">
        <f t="shared" si="1"/>
        <v>0</v>
      </c>
      <c r="H16" s="17">
        <v>0</v>
      </c>
      <c r="I16" s="17">
        <f t="shared" si="1"/>
        <v>0</v>
      </c>
      <c r="J16" s="17">
        <f t="shared" si="1"/>
        <v>0</v>
      </c>
      <c r="K16" s="17">
        <f t="shared" si="1"/>
        <v>0</v>
      </c>
      <c r="L16" s="17">
        <f t="shared" si="0"/>
        <v>0</v>
      </c>
      <c r="M16" s="17">
        <f t="shared" si="0"/>
        <v>0</v>
      </c>
      <c r="N16" s="17">
        <f t="shared" si="0"/>
        <v>0</v>
      </c>
      <c r="O16" s="18">
        <f t="shared" si="3"/>
        <v>0</v>
      </c>
    </row>
    <row r="17" spans="1:15" ht="15" customHeight="1" x14ac:dyDescent="0.2">
      <c r="A17" s="12"/>
      <c r="B17" s="166" t="s">
        <v>280</v>
      </c>
      <c r="C17" s="17">
        <v>0</v>
      </c>
      <c r="D17" s="17">
        <f t="shared" si="1"/>
        <v>0</v>
      </c>
      <c r="E17" s="17">
        <f t="shared" si="1"/>
        <v>0</v>
      </c>
      <c r="F17" s="17">
        <f t="shared" si="1"/>
        <v>0</v>
      </c>
      <c r="G17" s="17">
        <f t="shared" si="1"/>
        <v>0</v>
      </c>
      <c r="H17" s="17">
        <v>0</v>
      </c>
      <c r="I17" s="17">
        <f t="shared" si="1"/>
        <v>0</v>
      </c>
      <c r="J17" s="17">
        <f t="shared" si="1"/>
        <v>0</v>
      </c>
      <c r="K17" s="17">
        <f t="shared" si="1"/>
        <v>0</v>
      </c>
      <c r="L17" s="17">
        <f t="shared" si="0"/>
        <v>0</v>
      </c>
      <c r="M17" s="17">
        <f t="shared" si="0"/>
        <v>0</v>
      </c>
      <c r="N17" s="17">
        <f t="shared" si="0"/>
        <v>0</v>
      </c>
      <c r="O17" s="18">
        <f t="shared" si="3"/>
        <v>0</v>
      </c>
    </row>
    <row r="18" spans="1:15" ht="15" x14ac:dyDescent="0.2">
      <c r="A18" s="12"/>
      <c r="B18" s="13" t="s">
        <v>224</v>
      </c>
      <c r="C18" s="17">
        <v>0</v>
      </c>
      <c r="D18" s="17">
        <f t="shared" si="1"/>
        <v>0</v>
      </c>
      <c r="E18" s="17">
        <f t="shared" si="1"/>
        <v>0</v>
      </c>
      <c r="F18" s="17">
        <f t="shared" si="1"/>
        <v>0</v>
      </c>
      <c r="G18" s="17">
        <f t="shared" si="1"/>
        <v>0</v>
      </c>
      <c r="H18" s="17">
        <v>0</v>
      </c>
      <c r="I18" s="17">
        <f t="shared" si="1"/>
        <v>0</v>
      </c>
      <c r="J18" s="17">
        <f t="shared" si="1"/>
        <v>0</v>
      </c>
      <c r="K18" s="17">
        <f t="shared" si="1"/>
        <v>0</v>
      </c>
      <c r="L18" s="17">
        <f t="shared" si="0"/>
        <v>0</v>
      </c>
      <c r="M18" s="17">
        <f t="shared" si="0"/>
        <v>0</v>
      </c>
      <c r="N18" s="17">
        <f t="shared" si="0"/>
        <v>0</v>
      </c>
      <c r="O18" s="18">
        <f t="shared" si="3"/>
        <v>0</v>
      </c>
    </row>
    <row r="19" spans="1:15" ht="15" x14ac:dyDescent="0.2">
      <c r="A19" s="12"/>
      <c r="B19" s="13" t="s">
        <v>128</v>
      </c>
      <c r="C19" s="17">
        <v>0</v>
      </c>
      <c r="D19" s="17">
        <f t="shared" si="1"/>
        <v>0</v>
      </c>
      <c r="E19" s="17">
        <f t="shared" si="1"/>
        <v>0</v>
      </c>
      <c r="F19" s="17">
        <f t="shared" si="1"/>
        <v>0</v>
      </c>
      <c r="G19" s="17">
        <f t="shared" si="1"/>
        <v>0</v>
      </c>
      <c r="H19" s="17">
        <v>0</v>
      </c>
      <c r="I19" s="17">
        <f t="shared" si="1"/>
        <v>0</v>
      </c>
      <c r="J19" s="17">
        <f t="shared" si="1"/>
        <v>0</v>
      </c>
      <c r="K19" s="17">
        <f t="shared" si="1"/>
        <v>0</v>
      </c>
      <c r="L19" s="17">
        <f t="shared" si="0"/>
        <v>0</v>
      </c>
      <c r="M19" s="17">
        <f t="shared" si="0"/>
        <v>0</v>
      </c>
      <c r="N19" s="17">
        <f t="shared" si="0"/>
        <v>0</v>
      </c>
      <c r="O19" s="18">
        <f t="shared" si="3"/>
        <v>0</v>
      </c>
    </row>
    <row r="20" spans="1:15" ht="15" customHeight="1" x14ac:dyDescent="0.2">
      <c r="A20" s="12"/>
      <c r="B20" s="13" t="s">
        <v>129</v>
      </c>
      <c r="C20" s="17">
        <v>0</v>
      </c>
      <c r="D20" s="17">
        <f t="shared" si="1"/>
        <v>0</v>
      </c>
      <c r="E20" s="17">
        <f t="shared" si="1"/>
        <v>0</v>
      </c>
      <c r="F20" s="17">
        <f t="shared" si="1"/>
        <v>0</v>
      </c>
      <c r="G20" s="17">
        <f t="shared" si="1"/>
        <v>0</v>
      </c>
      <c r="H20" s="17">
        <v>0</v>
      </c>
      <c r="I20" s="17">
        <f t="shared" si="1"/>
        <v>0</v>
      </c>
      <c r="J20" s="17">
        <f t="shared" si="1"/>
        <v>0</v>
      </c>
      <c r="K20" s="17">
        <f t="shared" si="1"/>
        <v>0</v>
      </c>
      <c r="L20" s="17">
        <f t="shared" si="0"/>
        <v>0</v>
      </c>
      <c r="M20" s="17">
        <f t="shared" si="0"/>
        <v>0</v>
      </c>
      <c r="N20" s="17">
        <f t="shared" si="0"/>
        <v>0</v>
      </c>
      <c r="O20" s="18">
        <f t="shared" si="3"/>
        <v>0</v>
      </c>
    </row>
    <row r="21" spans="1:15" ht="15" hidden="1" customHeight="1" x14ac:dyDescent="0.2">
      <c r="A21" s="878" t="s">
        <v>130</v>
      </c>
      <c r="B21" s="19" t="s">
        <v>131</v>
      </c>
      <c r="C21" s="17">
        <v>0</v>
      </c>
      <c r="D21" s="17">
        <f t="shared" si="1"/>
        <v>0</v>
      </c>
      <c r="E21" s="17">
        <f t="shared" si="1"/>
        <v>0</v>
      </c>
      <c r="F21" s="17">
        <f t="shared" si="1"/>
        <v>0</v>
      </c>
      <c r="G21" s="17">
        <f t="shared" si="1"/>
        <v>0</v>
      </c>
      <c r="H21" s="17">
        <v>0</v>
      </c>
      <c r="I21" s="17">
        <f t="shared" si="1"/>
        <v>0</v>
      </c>
      <c r="J21" s="17">
        <f t="shared" si="1"/>
        <v>0</v>
      </c>
      <c r="K21" s="17">
        <f t="shared" si="1"/>
        <v>0</v>
      </c>
      <c r="L21" s="17">
        <f t="shared" si="0"/>
        <v>0</v>
      </c>
      <c r="M21" s="17">
        <f t="shared" si="0"/>
        <v>0</v>
      </c>
      <c r="N21" s="17">
        <f t="shared" si="0"/>
        <v>0</v>
      </c>
      <c r="O21" s="18">
        <f t="shared" si="3"/>
        <v>0</v>
      </c>
    </row>
    <row r="22" spans="1:15" ht="15" customHeight="1" x14ac:dyDescent="0.2">
      <c r="A22" s="879"/>
      <c r="B22" s="19" t="s">
        <v>132</v>
      </c>
      <c r="C22" s="17">
        <v>0</v>
      </c>
      <c r="D22" s="17">
        <f t="shared" si="1"/>
        <v>0</v>
      </c>
      <c r="E22" s="17">
        <f t="shared" si="1"/>
        <v>0</v>
      </c>
      <c r="F22" s="17">
        <f t="shared" si="1"/>
        <v>0</v>
      </c>
      <c r="G22" s="17">
        <f t="shared" si="1"/>
        <v>0</v>
      </c>
      <c r="H22" s="17">
        <v>0</v>
      </c>
      <c r="I22" s="17">
        <f>+H22</f>
        <v>0</v>
      </c>
      <c r="J22" s="17">
        <v>6908</v>
      </c>
      <c r="K22" s="17">
        <v>0</v>
      </c>
      <c r="L22" s="17">
        <f t="shared" si="0"/>
        <v>0</v>
      </c>
      <c r="M22" s="17">
        <f t="shared" si="0"/>
        <v>0</v>
      </c>
      <c r="N22" s="17">
        <f t="shared" si="0"/>
        <v>0</v>
      </c>
      <c r="O22" s="18">
        <f t="shared" si="3"/>
        <v>6908</v>
      </c>
    </row>
    <row r="23" spans="1:15" ht="15" hidden="1" customHeight="1" x14ac:dyDescent="0.2">
      <c r="A23" s="879"/>
      <c r="B23" s="19" t="s">
        <v>133</v>
      </c>
      <c r="C23" s="17">
        <v>0</v>
      </c>
      <c r="D23" s="17">
        <f t="shared" si="1"/>
        <v>0</v>
      </c>
      <c r="E23" s="17">
        <f t="shared" si="1"/>
        <v>0</v>
      </c>
      <c r="F23" s="17">
        <f t="shared" si="1"/>
        <v>0</v>
      </c>
      <c r="G23" s="17">
        <f t="shared" si="1"/>
        <v>0</v>
      </c>
      <c r="H23" s="17">
        <v>0</v>
      </c>
      <c r="I23" s="17">
        <f>+H23</f>
        <v>0</v>
      </c>
      <c r="J23" s="17">
        <f t="shared" ref="J23:K25" si="4">+I23</f>
        <v>0</v>
      </c>
      <c r="K23" s="17">
        <f t="shared" si="4"/>
        <v>0</v>
      </c>
      <c r="L23" s="17">
        <f t="shared" si="0"/>
        <v>0</v>
      </c>
      <c r="M23" s="17">
        <f t="shared" si="0"/>
        <v>0</v>
      </c>
      <c r="N23" s="17">
        <f t="shared" si="0"/>
        <v>0</v>
      </c>
      <c r="O23" s="18">
        <f t="shared" si="3"/>
        <v>0</v>
      </c>
    </row>
    <row r="24" spans="1:15" ht="15" hidden="1" customHeight="1" x14ac:dyDescent="0.2">
      <c r="A24" s="879"/>
      <c r="B24" s="19" t="s">
        <v>134</v>
      </c>
      <c r="C24" s="17">
        <v>0</v>
      </c>
      <c r="D24" s="17">
        <f t="shared" si="1"/>
        <v>0</v>
      </c>
      <c r="E24" s="17">
        <f t="shared" si="1"/>
        <v>0</v>
      </c>
      <c r="F24" s="17">
        <f t="shared" si="1"/>
        <v>0</v>
      </c>
      <c r="G24" s="17">
        <f t="shared" si="1"/>
        <v>0</v>
      </c>
      <c r="H24" s="17">
        <v>0</v>
      </c>
      <c r="I24" s="17">
        <f>+H24</f>
        <v>0</v>
      </c>
      <c r="J24" s="17">
        <f t="shared" si="4"/>
        <v>0</v>
      </c>
      <c r="K24" s="17">
        <f t="shared" si="4"/>
        <v>0</v>
      </c>
      <c r="L24" s="17">
        <f t="shared" si="0"/>
        <v>0</v>
      </c>
      <c r="M24" s="17">
        <f t="shared" si="0"/>
        <v>0</v>
      </c>
      <c r="N24" s="17">
        <f t="shared" si="0"/>
        <v>0</v>
      </c>
      <c r="O24" s="18">
        <f t="shared" si="3"/>
        <v>0</v>
      </c>
    </row>
    <row r="25" spans="1:15" ht="15" hidden="1" customHeight="1" x14ac:dyDescent="0.2">
      <c r="A25" s="879"/>
      <c r="B25" s="19" t="s">
        <v>135</v>
      </c>
      <c r="C25" s="17">
        <v>0</v>
      </c>
      <c r="D25" s="17">
        <f t="shared" si="1"/>
        <v>0</v>
      </c>
      <c r="E25" s="17">
        <f t="shared" si="1"/>
        <v>0</v>
      </c>
      <c r="F25" s="17">
        <f t="shared" si="1"/>
        <v>0</v>
      </c>
      <c r="G25" s="17">
        <f t="shared" si="1"/>
        <v>0</v>
      </c>
      <c r="H25" s="17">
        <v>0</v>
      </c>
      <c r="I25" s="17">
        <f>+H25</f>
        <v>0</v>
      </c>
      <c r="J25" s="17">
        <f t="shared" si="4"/>
        <v>0</v>
      </c>
      <c r="K25" s="17">
        <f t="shared" si="4"/>
        <v>0</v>
      </c>
      <c r="L25" s="17">
        <f t="shared" si="0"/>
        <v>0</v>
      </c>
      <c r="M25" s="17">
        <f t="shared" si="0"/>
        <v>0</v>
      </c>
      <c r="N25" s="17">
        <f t="shared" si="0"/>
        <v>0</v>
      </c>
      <c r="O25" s="18">
        <f t="shared" si="3"/>
        <v>0</v>
      </c>
    </row>
    <row r="26" spans="1:15" ht="15" hidden="1" customHeight="1" x14ac:dyDescent="0.2">
      <c r="A26" s="879"/>
      <c r="B26" s="19" t="s">
        <v>136</v>
      </c>
      <c r="C26" s="17">
        <v>0</v>
      </c>
      <c r="D26" s="17">
        <f t="shared" si="1"/>
        <v>0</v>
      </c>
      <c r="E26" s="17">
        <f t="shared" si="1"/>
        <v>0</v>
      </c>
      <c r="F26" s="17">
        <f t="shared" si="1"/>
        <v>0</v>
      </c>
      <c r="G26" s="17">
        <f t="shared" si="1"/>
        <v>0</v>
      </c>
      <c r="H26" s="17">
        <v>0</v>
      </c>
      <c r="I26" s="17">
        <f t="shared" ref="I26:N36" si="5">+H26</f>
        <v>0</v>
      </c>
      <c r="J26" s="17">
        <f t="shared" si="5"/>
        <v>0</v>
      </c>
      <c r="K26" s="17">
        <f t="shared" si="5"/>
        <v>0</v>
      </c>
      <c r="L26" s="17">
        <f t="shared" si="5"/>
        <v>0</v>
      </c>
      <c r="M26" s="17">
        <f t="shared" si="5"/>
        <v>0</v>
      </c>
      <c r="N26" s="17">
        <f t="shared" si="5"/>
        <v>0</v>
      </c>
      <c r="O26" s="18">
        <f t="shared" si="3"/>
        <v>0</v>
      </c>
    </row>
    <row r="27" spans="1:15" ht="15" hidden="1" customHeight="1" x14ac:dyDescent="0.2">
      <c r="A27" s="879"/>
      <c r="B27" s="19" t="s">
        <v>137</v>
      </c>
      <c r="C27" s="17">
        <v>0</v>
      </c>
      <c r="D27" s="17">
        <f t="shared" ref="D27:G36" si="6">+C27</f>
        <v>0</v>
      </c>
      <c r="E27" s="17">
        <f t="shared" si="6"/>
        <v>0</v>
      </c>
      <c r="F27" s="17">
        <f t="shared" si="6"/>
        <v>0</v>
      </c>
      <c r="G27" s="17">
        <f t="shared" si="6"/>
        <v>0</v>
      </c>
      <c r="H27" s="17">
        <v>0</v>
      </c>
      <c r="I27" s="17">
        <f t="shared" si="5"/>
        <v>0</v>
      </c>
      <c r="J27" s="17">
        <f t="shared" si="5"/>
        <v>0</v>
      </c>
      <c r="K27" s="17">
        <f t="shared" si="5"/>
        <v>0</v>
      </c>
      <c r="L27" s="17">
        <f t="shared" si="5"/>
        <v>0</v>
      </c>
      <c r="M27" s="17">
        <f t="shared" si="5"/>
        <v>0</v>
      </c>
      <c r="N27" s="17">
        <f t="shared" si="5"/>
        <v>0</v>
      </c>
      <c r="O27" s="18">
        <f t="shared" si="3"/>
        <v>0</v>
      </c>
    </row>
    <row r="28" spans="1:15" ht="15" hidden="1" customHeight="1" x14ac:dyDescent="0.2">
      <c r="A28" s="879"/>
      <c r="B28" s="19" t="s">
        <v>138</v>
      </c>
      <c r="C28" s="17">
        <v>0</v>
      </c>
      <c r="D28" s="17">
        <f t="shared" si="6"/>
        <v>0</v>
      </c>
      <c r="E28" s="17">
        <f t="shared" si="6"/>
        <v>0</v>
      </c>
      <c r="F28" s="17">
        <f t="shared" si="6"/>
        <v>0</v>
      </c>
      <c r="G28" s="17">
        <f t="shared" si="6"/>
        <v>0</v>
      </c>
      <c r="H28" s="17">
        <v>0</v>
      </c>
      <c r="I28" s="17">
        <f t="shared" si="5"/>
        <v>0</v>
      </c>
      <c r="J28" s="17">
        <f t="shared" si="5"/>
        <v>0</v>
      </c>
      <c r="K28" s="17">
        <f t="shared" si="5"/>
        <v>0</v>
      </c>
      <c r="L28" s="17">
        <f t="shared" si="5"/>
        <v>0</v>
      </c>
      <c r="M28" s="17">
        <f t="shared" si="5"/>
        <v>0</v>
      </c>
      <c r="N28" s="17">
        <f t="shared" si="5"/>
        <v>0</v>
      </c>
      <c r="O28" s="18">
        <f t="shared" si="3"/>
        <v>0</v>
      </c>
    </row>
    <row r="29" spans="1:15" ht="15" hidden="1" customHeight="1" x14ac:dyDescent="0.2">
      <c r="A29" s="879"/>
      <c r="B29" s="19" t="s">
        <v>139</v>
      </c>
      <c r="C29" s="17">
        <v>0</v>
      </c>
      <c r="D29" s="17">
        <f t="shared" si="6"/>
        <v>0</v>
      </c>
      <c r="E29" s="17">
        <f t="shared" si="6"/>
        <v>0</v>
      </c>
      <c r="F29" s="17">
        <f t="shared" si="6"/>
        <v>0</v>
      </c>
      <c r="G29" s="17">
        <f t="shared" si="6"/>
        <v>0</v>
      </c>
      <c r="H29" s="17">
        <v>0</v>
      </c>
      <c r="I29" s="17">
        <f t="shared" si="5"/>
        <v>0</v>
      </c>
      <c r="J29" s="17">
        <f t="shared" si="5"/>
        <v>0</v>
      </c>
      <c r="K29" s="17">
        <f t="shared" si="5"/>
        <v>0</v>
      </c>
      <c r="L29" s="17">
        <f t="shared" si="5"/>
        <v>0</v>
      </c>
      <c r="M29" s="17">
        <f t="shared" si="5"/>
        <v>0</v>
      </c>
      <c r="N29" s="17">
        <f t="shared" si="5"/>
        <v>0</v>
      </c>
      <c r="O29" s="18">
        <f t="shared" si="3"/>
        <v>0</v>
      </c>
    </row>
    <row r="30" spans="1:15" ht="15" hidden="1" customHeight="1" x14ac:dyDescent="0.2">
      <c r="A30" s="879"/>
      <c r="B30" s="19" t="s">
        <v>140</v>
      </c>
      <c r="C30" s="17">
        <v>0</v>
      </c>
      <c r="D30" s="17">
        <f t="shared" si="6"/>
        <v>0</v>
      </c>
      <c r="E30" s="17">
        <f t="shared" si="6"/>
        <v>0</v>
      </c>
      <c r="F30" s="17">
        <f t="shared" si="6"/>
        <v>0</v>
      </c>
      <c r="G30" s="17">
        <f t="shared" si="6"/>
        <v>0</v>
      </c>
      <c r="H30" s="17">
        <v>0</v>
      </c>
      <c r="I30" s="17">
        <f t="shared" si="5"/>
        <v>0</v>
      </c>
      <c r="J30" s="17">
        <f t="shared" si="5"/>
        <v>0</v>
      </c>
      <c r="K30" s="17">
        <f t="shared" si="5"/>
        <v>0</v>
      </c>
      <c r="L30" s="17">
        <f t="shared" si="5"/>
        <v>0</v>
      </c>
      <c r="M30" s="17">
        <f t="shared" si="5"/>
        <v>0</v>
      </c>
      <c r="N30" s="17">
        <f t="shared" si="5"/>
        <v>0</v>
      </c>
      <c r="O30" s="18">
        <f t="shared" si="3"/>
        <v>0</v>
      </c>
    </row>
    <row r="31" spans="1:15" ht="15" customHeight="1" x14ac:dyDescent="0.2">
      <c r="A31" s="879"/>
      <c r="B31" s="167" t="s">
        <v>246</v>
      </c>
      <c r="C31" s="17">
        <v>0</v>
      </c>
      <c r="D31" s="17">
        <f t="shared" si="6"/>
        <v>0</v>
      </c>
      <c r="E31" s="17">
        <f t="shared" si="6"/>
        <v>0</v>
      </c>
      <c r="F31" s="17">
        <f t="shared" si="6"/>
        <v>0</v>
      </c>
      <c r="G31" s="17">
        <f t="shared" si="6"/>
        <v>0</v>
      </c>
      <c r="H31" s="17">
        <v>0</v>
      </c>
      <c r="I31" s="17">
        <f t="shared" si="5"/>
        <v>0</v>
      </c>
      <c r="J31" s="17">
        <f t="shared" si="5"/>
        <v>0</v>
      </c>
      <c r="K31" s="17">
        <f t="shared" si="5"/>
        <v>0</v>
      </c>
      <c r="L31" s="17">
        <f t="shared" si="5"/>
        <v>0</v>
      </c>
      <c r="M31" s="17">
        <f t="shared" si="5"/>
        <v>0</v>
      </c>
      <c r="N31" s="17">
        <f t="shared" si="5"/>
        <v>0</v>
      </c>
      <c r="O31" s="18">
        <f t="shared" si="3"/>
        <v>0</v>
      </c>
    </row>
    <row r="32" spans="1:15" ht="15" customHeight="1" x14ac:dyDescent="0.2">
      <c r="A32" s="879"/>
      <c r="B32" s="21" t="s">
        <v>142</v>
      </c>
      <c r="C32" s="17">
        <v>0</v>
      </c>
      <c r="D32" s="17">
        <f t="shared" si="6"/>
        <v>0</v>
      </c>
      <c r="E32" s="17">
        <f t="shared" si="6"/>
        <v>0</v>
      </c>
      <c r="F32" s="17">
        <f t="shared" si="6"/>
        <v>0</v>
      </c>
      <c r="G32" s="17">
        <f t="shared" si="6"/>
        <v>0</v>
      </c>
      <c r="H32" s="17">
        <v>0</v>
      </c>
      <c r="I32" s="17">
        <f t="shared" si="5"/>
        <v>0</v>
      </c>
      <c r="J32" s="17">
        <f t="shared" si="5"/>
        <v>0</v>
      </c>
      <c r="K32" s="17">
        <f t="shared" si="5"/>
        <v>0</v>
      </c>
      <c r="L32" s="17">
        <f t="shared" si="5"/>
        <v>0</v>
      </c>
      <c r="M32" s="17">
        <f t="shared" si="5"/>
        <v>0</v>
      </c>
      <c r="N32" s="17">
        <f t="shared" si="5"/>
        <v>0</v>
      </c>
      <c r="O32" s="18">
        <f t="shared" si="3"/>
        <v>0</v>
      </c>
    </row>
    <row r="33" spans="1:16" ht="15" hidden="1" customHeight="1" x14ac:dyDescent="0.2">
      <c r="A33" s="880"/>
      <c r="B33" s="19" t="s">
        <v>226</v>
      </c>
      <c r="C33" s="17">
        <v>0</v>
      </c>
      <c r="D33" s="17">
        <f t="shared" si="6"/>
        <v>0</v>
      </c>
      <c r="E33" s="17">
        <f t="shared" si="6"/>
        <v>0</v>
      </c>
      <c r="F33" s="17">
        <f t="shared" si="6"/>
        <v>0</v>
      </c>
      <c r="G33" s="17">
        <f t="shared" si="6"/>
        <v>0</v>
      </c>
      <c r="H33" s="17">
        <v>0</v>
      </c>
      <c r="I33" s="17">
        <f t="shared" si="5"/>
        <v>0</v>
      </c>
      <c r="J33" s="17">
        <f t="shared" si="5"/>
        <v>0</v>
      </c>
      <c r="K33" s="17">
        <f t="shared" si="5"/>
        <v>0</v>
      </c>
      <c r="L33" s="17">
        <f t="shared" si="5"/>
        <v>0</v>
      </c>
      <c r="M33" s="17">
        <f t="shared" si="5"/>
        <v>0</v>
      </c>
      <c r="N33" s="17">
        <f t="shared" si="5"/>
        <v>0</v>
      </c>
      <c r="O33" s="18">
        <f t="shared" si="3"/>
        <v>0</v>
      </c>
    </row>
    <row r="34" spans="1:16" ht="15" customHeight="1" x14ac:dyDescent="0.2">
      <c r="A34" s="865" t="s">
        <v>144</v>
      </c>
      <c r="B34" s="866"/>
      <c r="C34" s="17">
        <v>0</v>
      </c>
      <c r="D34" s="17">
        <f t="shared" si="6"/>
        <v>0</v>
      </c>
      <c r="E34" s="17">
        <f t="shared" si="6"/>
        <v>0</v>
      </c>
      <c r="F34" s="17">
        <f t="shared" si="6"/>
        <v>0</v>
      </c>
      <c r="G34" s="17">
        <f t="shared" si="6"/>
        <v>0</v>
      </c>
      <c r="H34" s="17">
        <v>0</v>
      </c>
      <c r="I34" s="17">
        <f t="shared" si="5"/>
        <v>0</v>
      </c>
      <c r="J34" s="17">
        <f t="shared" si="5"/>
        <v>0</v>
      </c>
      <c r="K34" s="17">
        <f t="shared" si="5"/>
        <v>0</v>
      </c>
      <c r="L34" s="17">
        <f t="shared" si="5"/>
        <v>0</v>
      </c>
      <c r="M34" s="17">
        <f t="shared" si="5"/>
        <v>0</v>
      </c>
      <c r="N34" s="17">
        <f t="shared" si="5"/>
        <v>0</v>
      </c>
      <c r="O34" s="18">
        <f t="shared" si="3"/>
        <v>0</v>
      </c>
    </row>
    <row r="35" spans="1:16" ht="15" customHeight="1" x14ac:dyDescent="0.2">
      <c r="A35" s="865" t="s">
        <v>145</v>
      </c>
      <c r="B35" s="866"/>
      <c r="C35" s="17">
        <v>0</v>
      </c>
      <c r="D35" s="17">
        <v>216</v>
      </c>
      <c r="E35" s="17">
        <v>0</v>
      </c>
      <c r="F35" s="17">
        <f t="shared" si="6"/>
        <v>0</v>
      </c>
      <c r="G35" s="17">
        <f t="shared" si="6"/>
        <v>0</v>
      </c>
      <c r="H35" s="17">
        <v>0</v>
      </c>
      <c r="I35" s="17">
        <f t="shared" si="5"/>
        <v>0</v>
      </c>
      <c r="J35" s="17">
        <v>216</v>
      </c>
      <c r="K35" s="17">
        <v>0</v>
      </c>
      <c r="L35" s="17">
        <f t="shared" si="5"/>
        <v>0</v>
      </c>
      <c r="M35" s="17">
        <f t="shared" si="5"/>
        <v>0</v>
      </c>
      <c r="N35" s="17">
        <f t="shared" si="5"/>
        <v>0</v>
      </c>
      <c r="O35" s="18">
        <f t="shared" si="3"/>
        <v>432</v>
      </c>
    </row>
    <row r="36" spans="1:16" ht="15" customHeight="1" x14ac:dyDescent="0.2">
      <c r="A36" s="865" t="s">
        <v>146</v>
      </c>
      <c r="B36" s="866"/>
      <c r="C36" s="17">
        <v>0</v>
      </c>
      <c r="D36" s="17">
        <v>4200</v>
      </c>
      <c r="E36" s="17">
        <v>0</v>
      </c>
      <c r="F36" s="17">
        <f t="shared" si="6"/>
        <v>0</v>
      </c>
      <c r="G36" s="17">
        <f t="shared" si="6"/>
        <v>0</v>
      </c>
      <c r="H36" s="17">
        <v>0</v>
      </c>
      <c r="I36" s="17">
        <f t="shared" si="5"/>
        <v>0</v>
      </c>
      <c r="J36" s="17">
        <v>4326</v>
      </c>
      <c r="K36" s="17">
        <v>0</v>
      </c>
      <c r="L36" s="17">
        <f t="shared" si="5"/>
        <v>0</v>
      </c>
      <c r="M36" s="17">
        <f t="shared" si="5"/>
        <v>0</v>
      </c>
      <c r="N36" s="17">
        <f t="shared" si="5"/>
        <v>0</v>
      </c>
      <c r="O36" s="18">
        <f t="shared" si="3"/>
        <v>8526</v>
      </c>
    </row>
    <row r="37" spans="1:16" ht="15" customHeight="1" x14ac:dyDescent="0.2">
      <c r="A37" s="22"/>
      <c r="B37" s="23" t="s">
        <v>147</v>
      </c>
      <c r="C37" s="24">
        <f t="shared" ref="C37:N37" si="7">SUM(C9:C36)</f>
        <v>77280</v>
      </c>
      <c r="D37" s="24">
        <f t="shared" si="7"/>
        <v>83168</v>
      </c>
      <c r="E37" s="24">
        <f t="shared" si="7"/>
        <v>78752</v>
      </c>
      <c r="F37" s="24">
        <f t="shared" si="7"/>
        <v>78752</v>
      </c>
      <c r="G37" s="24">
        <f t="shared" si="7"/>
        <v>80999</v>
      </c>
      <c r="H37" s="24">
        <f t="shared" si="7"/>
        <v>80999</v>
      </c>
      <c r="I37" s="24">
        <f t="shared" si="7"/>
        <v>80999</v>
      </c>
      <c r="J37" s="24">
        <f t="shared" si="7"/>
        <v>92521</v>
      </c>
      <c r="K37" s="24">
        <f>SUM(K9:K36)</f>
        <v>0</v>
      </c>
      <c r="L37" s="24">
        <f t="shared" si="7"/>
        <v>0</v>
      </c>
      <c r="M37" s="24">
        <f t="shared" si="7"/>
        <v>0</v>
      </c>
      <c r="N37" s="24">
        <f t="shared" si="7"/>
        <v>0</v>
      </c>
      <c r="O37" s="25">
        <f>SUM(C37:N37)</f>
        <v>653470</v>
      </c>
    </row>
    <row r="38" spans="1:16" ht="15" customHeight="1" x14ac:dyDescent="0.2">
      <c r="A38" s="853" t="s">
        <v>148</v>
      </c>
      <c r="B38" s="27" t="s">
        <v>149</v>
      </c>
      <c r="C38" s="147">
        <v>5800</v>
      </c>
      <c r="D38" s="147">
        <v>6000</v>
      </c>
      <c r="E38" s="147">
        <v>6000</v>
      </c>
      <c r="F38" s="147">
        <v>6000</v>
      </c>
      <c r="G38" s="147">
        <v>6000</v>
      </c>
      <c r="H38" s="147">
        <v>6000</v>
      </c>
      <c r="I38" s="147">
        <v>6000</v>
      </c>
      <c r="J38" s="147">
        <v>6000</v>
      </c>
      <c r="K38" s="147">
        <v>0</v>
      </c>
      <c r="L38" s="147">
        <v>0</v>
      </c>
      <c r="M38" s="147">
        <v>0</v>
      </c>
      <c r="N38" s="147">
        <v>0</v>
      </c>
      <c r="O38" s="18">
        <f>SUM(C38:N38)</f>
        <v>47800</v>
      </c>
      <c r="P38" s="29"/>
    </row>
    <row r="39" spans="1:16" ht="15" x14ac:dyDescent="0.2">
      <c r="A39" s="854"/>
      <c r="B39" s="27" t="s">
        <v>150</v>
      </c>
      <c r="C39" s="147">
        <v>0</v>
      </c>
      <c r="D39" s="147">
        <v>0</v>
      </c>
      <c r="E39" s="147">
        <v>0</v>
      </c>
      <c r="F39" s="147">
        <v>0</v>
      </c>
      <c r="G39" s="147">
        <v>0</v>
      </c>
      <c r="H39" s="147">
        <v>0</v>
      </c>
      <c r="I39" s="147">
        <v>0</v>
      </c>
      <c r="J39" s="147">
        <v>0</v>
      </c>
      <c r="K39" s="147">
        <v>0</v>
      </c>
      <c r="L39" s="147">
        <v>0</v>
      </c>
      <c r="M39" s="147">
        <v>0</v>
      </c>
      <c r="N39" s="147">
        <v>0</v>
      </c>
      <c r="O39" s="18">
        <f>SUM(C39:N39)</f>
        <v>0</v>
      </c>
    </row>
    <row r="40" spans="1:16" ht="15" x14ac:dyDescent="0.2">
      <c r="A40" s="854"/>
      <c r="B40" s="27" t="s">
        <v>151</v>
      </c>
      <c r="C40" s="147">
        <v>60</v>
      </c>
      <c r="D40" s="147">
        <v>60</v>
      </c>
      <c r="E40" s="147">
        <v>60</v>
      </c>
      <c r="F40" s="147">
        <v>60</v>
      </c>
      <c r="G40" s="147">
        <v>60</v>
      </c>
      <c r="H40" s="147">
        <v>60</v>
      </c>
      <c r="I40" s="147">
        <v>60</v>
      </c>
      <c r="J40" s="147">
        <v>60</v>
      </c>
      <c r="K40" s="147">
        <v>0</v>
      </c>
      <c r="L40" s="147">
        <v>0</v>
      </c>
      <c r="M40" s="147">
        <v>0</v>
      </c>
      <c r="N40" s="147">
        <v>0</v>
      </c>
      <c r="O40" s="18">
        <f t="shared" ref="O40:O50" si="8">SUM(C40:N40)</f>
        <v>480</v>
      </c>
    </row>
    <row r="41" spans="1:16" ht="15" x14ac:dyDescent="0.2">
      <c r="A41" s="854"/>
      <c r="B41" s="27" t="s">
        <v>152</v>
      </c>
      <c r="C41" s="147">
        <v>0</v>
      </c>
      <c r="D41" s="147">
        <v>0</v>
      </c>
      <c r="E41" s="147">
        <v>0</v>
      </c>
      <c r="F41" s="147">
        <v>0</v>
      </c>
      <c r="G41" s="147">
        <v>0</v>
      </c>
      <c r="H41" s="147">
        <v>0</v>
      </c>
      <c r="I41" s="147">
        <v>0</v>
      </c>
      <c r="J41" s="147">
        <v>0</v>
      </c>
      <c r="K41" s="147">
        <v>0</v>
      </c>
      <c r="L41" s="147">
        <v>0</v>
      </c>
      <c r="M41" s="147">
        <v>0</v>
      </c>
      <c r="N41" s="147">
        <v>0</v>
      </c>
      <c r="O41" s="18">
        <f t="shared" si="8"/>
        <v>0</v>
      </c>
    </row>
    <row r="42" spans="1:16" ht="15" x14ac:dyDescent="0.2">
      <c r="A42" s="854"/>
      <c r="B42" s="27" t="s">
        <v>153</v>
      </c>
      <c r="C42" s="147">
        <v>650</v>
      </c>
      <c r="D42" s="147">
        <v>650</v>
      </c>
      <c r="E42" s="147">
        <v>650</v>
      </c>
      <c r="F42" s="147">
        <v>650</v>
      </c>
      <c r="G42" s="147">
        <v>650</v>
      </c>
      <c r="H42" s="147">
        <v>650</v>
      </c>
      <c r="I42" s="147">
        <v>650</v>
      </c>
      <c r="J42" s="147">
        <v>650</v>
      </c>
      <c r="K42" s="147">
        <v>0</v>
      </c>
      <c r="L42" s="147">
        <v>0</v>
      </c>
      <c r="M42" s="147">
        <v>0</v>
      </c>
      <c r="N42" s="147">
        <v>0</v>
      </c>
      <c r="O42" s="18">
        <f t="shared" si="8"/>
        <v>5200</v>
      </c>
    </row>
    <row r="43" spans="1:16" ht="15" x14ac:dyDescent="0.2">
      <c r="A43" s="854"/>
      <c r="B43" s="27" t="s">
        <v>154</v>
      </c>
      <c r="C43" s="147">
        <v>18000</v>
      </c>
      <c r="D43" s="147">
        <v>18000</v>
      </c>
      <c r="E43" s="147">
        <v>18000</v>
      </c>
      <c r="F43" s="147">
        <v>18000</v>
      </c>
      <c r="G43" s="147">
        <v>18000</v>
      </c>
      <c r="H43" s="147">
        <v>18000</v>
      </c>
      <c r="I43" s="147">
        <v>30000</v>
      </c>
      <c r="J43" s="147">
        <v>30000</v>
      </c>
      <c r="K43" s="147">
        <v>0</v>
      </c>
      <c r="L43" s="147">
        <v>0</v>
      </c>
      <c r="M43" s="147">
        <v>0</v>
      </c>
      <c r="N43" s="147">
        <v>0</v>
      </c>
      <c r="O43" s="18">
        <f t="shared" si="8"/>
        <v>168000</v>
      </c>
    </row>
    <row r="44" spans="1:16" ht="15" x14ac:dyDescent="0.2">
      <c r="A44" s="854"/>
      <c r="B44" s="27" t="s">
        <v>155</v>
      </c>
      <c r="C44" s="147">
        <v>200</v>
      </c>
      <c r="D44" s="147">
        <v>200</v>
      </c>
      <c r="E44" s="147">
        <v>200</v>
      </c>
      <c r="F44" s="147">
        <v>200</v>
      </c>
      <c r="G44" s="147">
        <v>200</v>
      </c>
      <c r="H44" s="147">
        <v>200</v>
      </c>
      <c r="I44" s="147">
        <v>200</v>
      </c>
      <c r="J44" s="147">
        <v>200</v>
      </c>
      <c r="K44" s="147">
        <v>0</v>
      </c>
      <c r="L44" s="147">
        <v>0</v>
      </c>
      <c r="M44" s="147">
        <v>0</v>
      </c>
      <c r="N44" s="147">
        <v>0</v>
      </c>
      <c r="O44" s="18">
        <f t="shared" si="8"/>
        <v>1600</v>
      </c>
    </row>
    <row r="45" spans="1:16" ht="15" x14ac:dyDescent="0.2">
      <c r="A45" s="854"/>
      <c r="B45" s="27" t="s">
        <v>1167</v>
      </c>
      <c r="C45" s="147">
        <v>520</v>
      </c>
      <c r="D45" s="147">
        <v>520</v>
      </c>
      <c r="E45" s="147">
        <v>520</v>
      </c>
      <c r="F45" s="147">
        <v>520</v>
      </c>
      <c r="G45" s="147">
        <v>520</v>
      </c>
      <c r="H45" s="147">
        <v>4552</v>
      </c>
      <c r="I45" s="147">
        <v>520</v>
      </c>
      <c r="J45" s="147">
        <v>520</v>
      </c>
      <c r="K45" s="147">
        <v>0</v>
      </c>
      <c r="L45" s="147">
        <v>0</v>
      </c>
      <c r="M45" s="147">
        <v>0</v>
      </c>
      <c r="N45" s="147">
        <v>0</v>
      </c>
      <c r="O45" s="18">
        <f t="shared" si="8"/>
        <v>8192</v>
      </c>
    </row>
    <row r="46" spans="1:16" ht="15" x14ac:dyDescent="0.2">
      <c r="A46" s="854"/>
      <c r="B46" s="27" t="s">
        <v>157</v>
      </c>
      <c r="C46" s="147">
        <v>0</v>
      </c>
      <c r="D46" s="147">
        <v>0</v>
      </c>
      <c r="E46" s="147">
        <v>0</v>
      </c>
      <c r="F46" s="147">
        <v>0</v>
      </c>
      <c r="G46" s="147">
        <v>0</v>
      </c>
      <c r="H46" s="147">
        <v>0</v>
      </c>
      <c r="I46" s="147">
        <v>0</v>
      </c>
      <c r="J46" s="147">
        <v>0</v>
      </c>
      <c r="K46" s="147">
        <v>0</v>
      </c>
      <c r="L46" s="147">
        <v>0</v>
      </c>
      <c r="M46" s="147">
        <v>0</v>
      </c>
      <c r="N46" s="147">
        <v>0</v>
      </c>
      <c r="O46" s="18">
        <f t="shared" si="8"/>
        <v>0</v>
      </c>
    </row>
    <row r="47" spans="1:16" ht="28.5" customHeight="1" x14ac:dyDescent="0.2">
      <c r="A47" s="855"/>
      <c r="B47" s="30" t="s">
        <v>158</v>
      </c>
      <c r="C47" s="147">
        <v>0</v>
      </c>
      <c r="D47" s="147">
        <v>0</v>
      </c>
      <c r="E47" s="147">
        <v>0</v>
      </c>
      <c r="F47" s="147">
        <v>0</v>
      </c>
      <c r="G47" s="147">
        <v>0</v>
      </c>
      <c r="H47" s="147">
        <v>0</v>
      </c>
      <c r="I47" s="147">
        <v>0</v>
      </c>
      <c r="J47" s="147">
        <v>0</v>
      </c>
      <c r="K47" s="147">
        <v>0</v>
      </c>
      <c r="L47" s="147">
        <v>0</v>
      </c>
      <c r="M47" s="147">
        <v>0</v>
      </c>
      <c r="N47" s="147">
        <v>0</v>
      </c>
      <c r="O47" s="31">
        <f t="shared" si="8"/>
        <v>0</v>
      </c>
    </row>
    <row r="48" spans="1:16" ht="15.75" customHeight="1" x14ac:dyDescent="0.2">
      <c r="A48" s="856"/>
      <c r="B48" s="169" t="s">
        <v>337</v>
      </c>
      <c r="C48" s="147">
        <v>0</v>
      </c>
      <c r="D48" s="147">
        <v>0</v>
      </c>
      <c r="E48" s="147">
        <v>0</v>
      </c>
      <c r="F48" s="147">
        <v>0</v>
      </c>
      <c r="G48" s="147">
        <v>0</v>
      </c>
      <c r="H48" s="147">
        <v>0</v>
      </c>
      <c r="I48" s="147">
        <v>0</v>
      </c>
      <c r="J48" s="147">
        <v>0</v>
      </c>
      <c r="K48" s="147">
        <v>0</v>
      </c>
      <c r="L48" s="147">
        <v>0</v>
      </c>
      <c r="M48" s="147">
        <v>0</v>
      </c>
      <c r="N48" s="147">
        <v>0</v>
      </c>
      <c r="O48" s="31">
        <f t="shared" si="8"/>
        <v>0</v>
      </c>
    </row>
    <row r="49" spans="1:18" ht="15" x14ac:dyDescent="0.2">
      <c r="A49" s="857" t="s">
        <v>160</v>
      </c>
      <c r="B49" s="858"/>
      <c r="C49" s="33">
        <f t="shared" ref="C49:N49" si="9">SUM(C38:C48)</f>
        <v>25230</v>
      </c>
      <c r="D49" s="33">
        <f t="shared" si="9"/>
        <v>25430</v>
      </c>
      <c r="E49" s="33">
        <f t="shared" si="9"/>
        <v>25430</v>
      </c>
      <c r="F49" s="33">
        <f t="shared" si="9"/>
        <v>25430</v>
      </c>
      <c r="G49" s="33">
        <f t="shared" si="9"/>
        <v>25430</v>
      </c>
      <c r="H49" s="33">
        <f t="shared" si="9"/>
        <v>29462</v>
      </c>
      <c r="I49" s="33">
        <f t="shared" si="9"/>
        <v>37430</v>
      </c>
      <c r="J49" s="33">
        <f t="shared" si="9"/>
        <v>37430</v>
      </c>
      <c r="K49" s="33">
        <f t="shared" si="9"/>
        <v>0</v>
      </c>
      <c r="L49" s="33">
        <f t="shared" si="9"/>
        <v>0</v>
      </c>
      <c r="M49" s="33">
        <f t="shared" si="9"/>
        <v>0</v>
      </c>
      <c r="N49" s="33">
        <f t="shared" si="9"/>
        <v>0</v>
      </c>
      <c r="O49" s="34">
        <f t="shared" si="8"/>
        <v>231272</v>
      </c>
    </row>
    <row r="50" spans="1:18" ht="15.75" thickBot="1" x14ac:dyDescent="0.25">
      <c r="A50" s="859" t="s">
        <v>161</v>
      </c>
      <c r="B50" s="860"/>
      <c r="C50" s="35">
        <f t="shared" ref="C50:N50" si="10">C37-C49</f>
        <v>52050</v>
      </c>
      <c r="D50" s="35">
        <f t="shared" si="10"/>
        <v>57738</v>
      </c>
      <c r="E50" s="35">
        <f t="shared" si="10"/>
        <v>53322</v>
      </c>
      <c r="F50" s="35">
        <f t="shared" si="10"/>
        <v>53322</v>
      </c>
      <c r="G50" s="35">
        <f t="shared" si="10"/>
        <v>55569</v>
      </c>
      <c r="H50" s="35">
        <f t="shared" si="10"/>
        <v>51537</v>
      </c>
      <c r="I50" s="35">
        <f t="shared" si="10"/>
        <v>43569</v>
      </c>
      <c r="J50" s="35">
        <f t="shared" si="10"/>
        <v>55091</v>
      </c>
      <c r="K50" s="35">
        <f t="shared" si="10"/>
        <v>0</v>
      </c>
      <c r="L50" s="35">
        <f t="shared" si="10"/>
        <v>0</v>
      </c>
      <c r="M50" s="35">
        <f t="shared" si="10"/>
        <v>0</v>
      </c>
      <c r="N50" s="35">
        <f t="shared" si="10"/>
        <v>0</v>
      </c>
      <c r="O50" s="36">
        <f t="shared" si="8"/>
        <v>422198</v>
      </c>
    </row>
    <row r="52" spans="1:18" ht="13.5" thickBot="1" x14ac:dyDescent="0.25"/>
    <row r="53" spans="1:18" ht="13.5" thickBot="1" x14ac:dyDescent="0.25">
      <c r="B53" s="789" t="s">
        <v>162</v>
      </c>
      <c r="C53" s="861"/>
      <c r="D53" s="861"/>
      <c r="E53" s="861"/>
      <c r="F53" s="862"/>
      <c r="G53" s="863">
        <f>O37</f>
        <v>653470</v>
      </c>
      <c r="H53" s="864"/>
    </row>
    <row r="54" spans="1:18" ht="13.5" thickBot="1" x14ac:dyDescent="0.25"/>
    <row r="55" spans="1:18" x14ac:dyDescent="0.2">
      <c r="B55" s="830" t="s">
        <v>163</v>
      </c>
      <c r="C55" s="833" t="s">
        <v>164</v>
      </c>
      <c r="D55" s="836" t="s">
        <v>229</v>
      </c>
      <c r="E55" s="837"/>
      <c r="F55" s="838"/>
      <c r="G55" s="839">
        <v>40000</v>
      </c>
      <c r="H55" s="840"/>
    </row>
    <row r="56" spans="1:18" x14ac:dyDescent="0.2">
      <c r="B56" s="831"/>
      <c r="C56" s="834"/>
      <c r="D56" s="841" t="s">
        <v>166</v>
      </c>
      <c r="E56" s="842"/>
      <c r="F56" s="843"/>
      <c r="G56" s="844">
        <f>+O44</f>
        <v>1600</v>
      </c>
      <c r="H56" s="841"/>
      <c r="I56" s="147"/>
      <c r="J56" s="871"/>
      <c r="K56" s="871"/>
      <c r="L56" s="871"/>
      <c r="M56" s="922"/>
      <c r="N56" s="922"/>
      <c r="O56" s="922"/>
    </row>
    <row r="57" spans="1:18" ht="13.5" thickBot="1" x14ac:dyDescent="0.25">
      <c r="B57" s="832"/>
      <c r="C57" s="835"/>
      <c r="D57" s="921" t="s">
        <v>167</v>
      </c>
      <c r="E57" s="849"/>
      <c r="F57" s="850"/>
      <c r="G57" s="851">
        <f>IF(O18&gt;15000,15000,+O18)</f>
        <v>0</v>
      </c>
      <c r="H57" s="852"/>
      <c r="I57" s="187"/>
      <c r="J57" s="188"/>
      <c r="K57" s="188"/>
      <c r="L57" s="188"/>
      <c r="M57" s="188"/>
      <c r="N57" s="188"/>
      <c r="O57" s="188"/>
    </row>
    <row r="58" spans="1:18" ht="13.5" thickBot="1" x14ac:dyDescent="0.25">
      <c r="B58" s="48"/>
      <c r="J58" s="47"/>
      <c r="K58" s="47"/>
      <c r="L58" s="47"/>
      <c r="M58" s="47"/>
      <c r="N58" s="47"/>
      <c r="O58" s="47"/>
    </row>
    <row r="59" spans="1:18" ht="13.5" thickBot="1" x14ac:dyDescent="0.25">
      <c r="B59" s="789" t="s">
        <v>168</v>
      </c>
      <c r="C59" s="790"/>
      <c r="D59" s="790"/>
      <c r="E59" s="790"/>
      <c r="F59" s="791"/>
      <c r="G59" s="825">
        <f>+G53-SUM(G55:H57)</f>
        <v>611870</v>
      </c>
      <c r="H59" s="826"/>
      <c r="J59" s="827" t="s">
        <v>169</v>
      </c>
      <c r="K59" s="828"/>
      <c r="L59" s="828"/>
      <c r="M59" s="828"/>
      <c r="N59" s="828"/>
      <c r="O59" s="829"/>
    </row>
    <row r="60" spans="1:18" ht="13.5" thickBot="1" x14ac:dyDescent="0.25">
      <c r="B60" s="49"/>
      <c r="C60" s="50"/>
      <c r="D60" s="50"/>
      <c r="E60" s="50"/>
      <c r="F60" s="50"/>
      <c r="G60" s="45"/>
      <c r="H60" s="50"/>
      <c r="J60" s="129"/>
      <c r="K60" s="130"/>
      <c r="L60" s="130"/>
      <c r="M60" s="130"/>
      <c r="N60" s="130"/>
      <c r="O60" s="131"/>
    </row>
    <row r="61" spans="1:18" ht="13.5" thickBot="1" x14ac:dyDescent="0.25">
      <c r="B61" s="789" t="s">
        <v>170</v>
      </c>
      <c r="C61" s="790"/>
      <c r="D61" s="790"/>
      <c r="E61" s="790"/>
      <c r="F61" s="791"/>
      <c r="G61" s="805"/>
      <c r="H61" s="791"/>
      <c r="J61" s="129"/>
      <c r="K61" s="130"/>
      <c r="L61" s="130"/>
      <c r="M61" s="130"/>
      <c r="N61" s="130"/>
      <c r="O61" s="131"/>
    </row>
    <row r="62" spans="1:18" ht="12.75" customHeight="1" x14ac:dyDescent="0.2">
      <c r="B62" s="57" t="s">
        <v>171</v>
      </c>
      <c r="C62" s="806" t="s">
        <v>172</v>
      </c>
      <c r="D62" s="807"/>
      <c r="E62" s="807"/>
      <c r="F62" s="808"/>
      <c r="G62" s="809">
        <v>0</v>
      </c>
      <c r="H62" s="809"/>
      <c r="I62" s="58"/>
      <c r="J62" s="810" t="s">
        <v>173</v>
      </c>
      <c r="K62" s="811"/>
      <c r="L62" s="811"/>
      <c r="M62" s="811"/>
      <c r="N62" s="811"/>
      <c r="O62" s="812"/>
      <c r="Q62" s="59"/>
      <c r="R62" s="59"/>
    </row>
    <row r="63" spans="1:18" ht="13.5" thickBot="1" x14ac:dyDescent="0.25">
      <c r="D63" s="37"/>
      <c r="I63" s="58"/>
      <c r="J63" s="60" t="s">
        <v>254</v>
      </c>
      <c r="K63" s="132"/>
      <c r="L63" s="132"/>
      <c r="M63" s="133"/>
      <c r="N63" s="133"/>
      <c r="O63" s="134"/>
      <c r="Q63" s="59"/>
      <c r="R63" s="59"/>
    </row>
    <row r="64" spans="1:18" ht="13.5" thickBot="1" x14ac:dyDescent="0.25">
      <c r="B64" s="789" t="s">
        <v>175</v>
      </c>
      <c r="C64" s="790"/>
      <c r="D64" s="790"/>
      <c r="E64" s="790"/>
      <c r="F64" s="791"/>
      <c r="G64" s="805">
        <f>+G59-G62</f>
        <v>611870</v>
      </c>
      <c r="H64" s="791"/>
      <c r="I64" s="63"/>
      <c r="J64" s="75"/>
      <c r="K64" s="39"/>
      <c r="L64" s="39"/>
      <c r="M64" s="39"/>
      <c r="N64" s="39"/>
      <c r="O64" s="65"/>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6.25" customHeight="1" thickBot="1" x14ac:dyDescent="0.25">
      <c r="B67" s="66"/>
      <c r="C67" s="48"/>
      <c r="G67" s="70" t="s">
        <v>177</v>
      </c>
      <c r="H67" s="70" t="s">
        <v>178</v>
      </c>
      <c r="I67" s="63"/>
      <c r="J67" s="810" t="s">
        <v>179</v>
      </c>
      <c r="K67" s="811"/>
      <c r="L67" s="71"/>
      <c r="M67" s="71"/>
      <c r="N67" s="71"/>
      <c r="O67" s="72"/>
      <c r="Q67" s="59"/>
      <c r="R67" s="59"/>
    </row>
    <row r="68" spans="2:18" ht="12.75" customHeight="1" x14ac:dyDescent="0.2">
      <c r="B68" s="802" t="s">
        <v>180</v>
      </c>
      <c r="C68" s="821" t="s">
        <v>181</v>
      </c>
      <c r="D68" s="823" t="s">
        <v>182</v>
      </c>
      <c r="E68" s="824"/>
      <c r="F68" s="824"/>
      <c r="G68" s="73">
        <f>+O43</f>
        <v>168000</v>
      </c>
      <c r="H68" s="74">
        <f t="shared" ref="H68:H76" si="11">+G68</f>
        <v>168000</v>
      </c>
      <c r="I68" s="63"/>
      <c r="J68" s="75" t="s">
        <v>183</v>
      </c>
      <c r="K68" s="58"/>
      <c r="L68" s="58"/>
      <c r="M68" s="58"/>
      <c r="N68" s="58"/>
      <c r="O68" s="76"/>
      <c r="Q68" s="59"/>
      <c r="R68" s="59"/>
    </row>
    <row r="69" spans="2:18" ht="12.75" customHeight="1" x14ac:dyDescent="0.2">
      <c r="B69" s="803"/>
      <c r="C69" s="822"/>
      <c r="D69" s="782" t="s">
        <v>184</v>
      </c>
      <c r="E69" s="783"/>
      <c r="F69" s="783"/>
      <c r="G69" s="77">
        <f>+O47</f>
        <v>0</v>
      </c>
      <c r="H69" s="78">
        <f t="shared" si="11"/>
        <v>0</v>
      </c>
      <c r="I69" s="63"/>
      <c r="J69" s="79"/>
      <c r="K69" s="68"/>
      <c r="L69" s="68"/>
      <c r="M69" s="68"/>
      <c r="N69" s="68"/>
      <c r="O69" s="69"/>
      <c r="Q69" s="59"/>
      <c r="R69" s="59"/>
    </row>
    <row r="70" spans="2:18" ht="12.75" customHeight="1" x14ac:dyDescent="0.2">
      <c r="B70" s="803"/>
      <c r="C70" s="822"/>
      <c r="D70" s="819" t="s">
        <v>185</v>
      </c>
      <c r="E70" s="820"/>
      <c r="F70" s="820"/>
      <c r="G70" s="80">
        <f>O40</f>
        <v>480</v>
      </c>
      <c r="H70" s="78">
        <f t="shared" si="11"/>
        <v>480</v>
      </c>
      <c r="I70" s="63"/>
      <c r="J70" s="67"/>
      <c r="K70" s="68"/>
      <c r="L70" s="68"/>
      <c r="M70" s="68"/>
      <c r="N70" s="68"/>
      <c r="O70" s="69"/>
    </row>
    <row r="71" spans="2:18" x14ac:dyDescent="0.2">
      <c r="B71" s="803"/>
      <c r="C71" s="822"/>
      <c r="D71" s="782" t="s">
        <v>186</v>
      </c>
      <c r="E71" s="783"/>
      <c r="F71" s="783"/>
      <c r="G71" s="81">
        <v>0</v>
      </c>
      <c r="H71" s="78">
        <f t="shared" si="11"/>
        <v>0</v>
      </c>
      <c r="I71" s="63"/>
      <c r="J71" s="82" t="s">
        <v>187</v>
      </c>
      <c r="K71" s="71"/>
      <c r="L71" s="71"/>
      <c r="M71" s="71"/>
      <c r="N71" s="71"/>
      <c r="O71" s="72"/>
    </row>
    <row r="72" spans="2:18" ht="12.75" customHeight="1" x14ac:dyDescent="0.2">
      <c r="B72" s="803"/>
      <c r="C72" s="822"/>
      <c r="D72" s="784" t="s">
        <v>188</v>
      </c>
      <c r="E72" s="783"/>
      <c r="F72" s="783"/>
      <c r="G72" s="80">
        <v>0</v>
      </c>
      <c r="H72" s="78">
        <f t="shared" si="11"/>
        <v>0</v>
      </c>
      <c r="I72" s="63"/>
      <c r="J72" s="75" t="s">
        <v>189</v>
      </c>
      <c r="K72" s="50"/>
      <c r="L72" s="50"/>
      <c r="M72" s="50"/>
      <c r="N72" s="50"/>
      <c r="O72" s="83">
        <f>O42</f>
        <v>5200</v>
      </c>
    </row>
    <row r="73" spans="2:18" ht="14.25" customHeight="1" x14ac:dyDescent="0.2">
      <c r="B73" s="803"/>
      <c r="C73" s="822"/>
      <c r="D73" s="782" t="s">
        <v>190</v>
      </c>
      <c r="E73" s="783"/>
      <c r="F73" s="783"/>
      <c r="G73" s="84">
        <v>0</v>
      </c>
      <c r="H73" s="78">
        <f t="shared" si="11"/>
        <v>0</v>
      </c>
      <c r="I73" s="63"/>
      <c r="J73" s="75"/>
      <c r="K73" s="39"/>
      <c r="L73" s="39"/>
      <c r="M73" s="39"/>
      <c r="N73" s="39"/>
      <c r="O73" s="65"/>
    </row>
    <row r="74" spans="2:18" x14ac:dyDescent="0.2">
      <c r="B74" s="803"/>
      <c r="C74" s="822"/>
      <c r="D74" s="782" t="s">
        <v>191</v>
      </c>
      <c r="E74" s="783"/>
      <c r="F74" s="783"/>
      <c r="G74" s="81">
        <v>0</v>
      </c>
      <c r="H74" s="78">
        <f t="shared" si="11"/>
        <v>0</v>
      </c>
      <c r="I74" s="58"/>
      <c r="J74" s="137"/>
      <c r="K74" s="50"/>
      <c r="L74" s="50"/>
      <c r="M74" s="50"/>
      <c r="N74" s="50"/>
      <c r="O74" s="83"/>
    </row>
    <row r="75" spans="2:18" x14ac:dyDescent="0.2">
      <c r="B75" s="803"/>
      <c r="C75" s="88" t="s">
        <v>192</v>
      </c>
      <c r="D75" s="813" t="s">
        <v>193</v>
      </c>
      <c r="E75" s="814"/>
      <c r="F75" s="814"/>
      <c r="G75" s="80">
        <v>0</v>
      </c>
      <c r="H75" s="78">
        <f t="shared" si="11"/>
        <v>0</v>
      </c>
      <c r="I75" s="58"/>
      <c r="J75" s="85"/>
      <c r="K75" s="138"/>
      <c r="L75" s="138"/>
      <c r="M75" s="138"/>
      <c r="N75" s="138"/>
      <c r="O75" s="139"/>
    </row>
    <row r="76" spans="2:18" ht="13.5" customHeight="1" thickBot="1" x14ac:dyDescent="0.25">
      <c r="B76" s="803"/>
      <c r="C76" s="88" t="s">
        <v>194</v>
      </c>
      <c r="D76" s="815" t="s">
        <v>195</v>
      </c>
      <c r="E76" s="815"/>
      <c r="F76" s="815"/>
      <c r="G76" s="89">
        <v>0</v>
      </c>
      <c r="H76" s="90">
        <f t="shared" si="11"/>
        <v>0</v>
      </c>
      <c r="I76" s="63"/>
      <c r="J76" s="75"/>
      <c r="K76" s="68"/>
      <c r="L76" s="68"/>
      <c r="M76" s="91"/>
      <c r="N76" s="91"/>
      <c r="O76" s="92"/>
    </row>
    <row r="77" spans="2:18" ht="13.5" thickBot="1" x14ac:dyDescent="0.25">
      <c r="B77" s="803"/>
      <c r="C77" s="93"/>
      <c r="D77" s="94"/>
      <c r="E77" s="816" t="s">
        <v>117</v>
      </c>
      <c r="F77" s="817"/>
      <c r="G77" s="95">
        <f>SUM(G68:G76)</f>
        <v>168480</v>
      </c>
      <c r="H77" s="96">
        <f>IF(SUM(G68:G74)&lt;150000,SUM(G68:G74),150000)+IF(+G75&lt;20000,+G75,20000)</f>
        <v>150000</v>
      </c>
      <c r="I77" s="63"/>
      <c r="J77" s="140"/>
      <c r="K77" s="141"/>
      <c r="L77" s="141"/>
      <c r="M77" s="142"/>
      <c r="N77" s="142"/>
      <c r="O77" s="143"/>
    </row>
    <row r="78" spans="2:18" ht="12.75" customHeight="1" x14ac:dyDescent="0.2">
      <c r="B78" s="803"/>
      <c r="C78" s="100" t="s">
        <v>196</v>
      </c>
      <c r="D78" s="782" t="s">
        <v>187</v>
      </c>
      <c r="E78" s="783"/>
      <c r="F78" s="818"/>
      <c r="G78" s="73">
        <f>+O42</f>
        <v>5200</v>
      </c>
      <c r="H78" s="101">
        <f>+IF(+G78&lt;25000,+G78,25000)</f>
        <v>5200</v>
      </c>
      <c r="I78" s="87"/>
    </row>
    <row r="79" spans="2:18" x14ac:dyDescent="0.2">
      <c r="B79" s="803"/>
      <c r="C79" s="100" t="s">
        <v>197</v>
      </c>
      <c r="D79" s="784" t="s">
        <v>198</v>
      </c>
      <c r="E79" s="785"/>
      <c r="F79" s="786"/>
      <c r="G79" s="102"/>
      <c r="H79" s="103">
        <f>+IF(+G79&lt;40000,+G79,40000)</f>
        <v>0</v>
      </c>
      <c r="I79" s="63"/>
    </row>
    <row r="80" spans="2:18" x14ac:dyDescent="0.2">
      <c r="B80" s="803"/>
      <c r="C80" s="100" t="s">
        <v>199</v>
      </c>
      <c r="D80" s="784" t="s">
        <v>200</v>
      </c>
      <c r="E80" s="785"/>
      <c r="F80" s="786"/>
      <c r="G80" s="81"/>
      <c r="H80" s="104">
        <v>0</v>
      </c>
      <c r="I80" s="63"/>
      <c r="J80" s="106"/>
    </row>
    <row r="81" spans="2:12" x14ac:dyDescent="0.2">
      <c r="B81" s="803"/>
      <c r="C81" s="100" t="s">
        <v>201</v>
      </c>
      <c r="D81" s="784" t="s">
        <v>202</v>
      </c>
      <c r="E81" s="785"/>
      <c r="F81" s="786"/>
      <c r="G81" s="81"/>
      <c r="H81" s="104">
        <v>0</v>
      </c>
      <c r="I81" s="63"/>
    </row>
    <row r="82" spans="2:12" ht="13.5" thickBot="1" x14ac:dyDescent="0.25">
      <c r="B82" s="804"/>
      <c r="C82" s="100" t="s">
        <v>203</v>
      </c>
      <c r="D82" s="784" t="s">
        <v>204</v>
      </c>
      <c r="E82" s="785"/>
      <c r="F82" s="786"/>
      <c r="G82" s="102"/>
      <c r="H82" s="103">
        <f>+IF(+G82&lt;100000,+G82,10000)</f>
        <v>0</v>
      </c>
      <c r="I82" s="63"/>
    </row>
    <row r="83" spans="2:12" ht="13.5" thickBot="1" x14ac:dyDescent="0.25">
      <c r="B83" s="787" t="s">
        <v>205</v>
      </c>
      <c r="C83" s="788"/>
      <c r="D83" s="788"/>
      <c r="E83" s="788"/>
      <c r="F83" s="788"/>
      <c r="G83" s="107">
        <f>SUM(G78:G82)</f>
        <v>5200</v>
      </c>
      <c r="H83" s="108">
        <f>SUM(H77:H82)</f>
        <v>155200</v>
      </c>
    </row>
    <row r="84" spans="2:12" ht="13.5" thickBot="1" x14ac:dyDescent="0.25"/>
    <row r="85" spans="2:12" ht="13.5" thickBot="1" x14ac:dyDescent="0.25">
      <c r="B85" s="789" t="s">
        <v>206</v>
      </c>
      <c r="C85" s="790"/>
      <c r="D85" s="790"/>
      <c r="E85" s="790"/>
      <c r="F85" s="791"/>
      <c r="G85" s="792">
        <f>+G64-H83</f>
        <v>456670</v>
      </c>
      <c r="H85" s="791"/>
      <c r="J85" s="87"/>
      <c r="K85" s="87"/>
    </row>
    <row r="86" spans="2:12" x14ac:dyDescent="0.2">
      <c r="B86" s="110"/>
      <c r="F86" s="105"/>
      <c r="J86" s="109">
        <f>C37+D37+E37+F37</f>
        <v>317952</v>
      </c>
      <c r="K86" s="16" t="s">
        <v>235</v>
      </c>
    </row>
    <row r="87" spans="2:12" x14ac:dyDescent="0.2">
      <c r="C87" s="793" t="s">
        <v>207</v>
      </c>
      <c r="D87" s="794"/>
      <c r="E87" s="111" t="s">
        <v>208</v>
      </c>
      <c r="F87" s="111" t="s">
        <v>209</v>
      </c>
      <c r="G87" s="111" t="s">
        <v>210</v>
      </c>
      <c r="H87" s="111" t="s">
        <v>211</v>
      </c>
      <c r="J87" s="109">
        <f>G37+H37+I37</f>
        <v>242997</v>
      </c>
      <c r="K87" s="16" t="s">
        <v>236</v>
      </c>
    </row>
    <row r="88" spans="2:12" x14ac:dyDescent="0.2">
      <c r="C88" s="795" t="str">
        <f>IF(I6="M","0          - 250000","0          -  250000")</f>
        <v>0          - 250000</v>
      </c>
      <c r="D88" s="796"/>
      <c r="E88" s="112">
        <v>0</v>
      </c>
      <c r="F88" s="113">
        <f>IF(I6="M",(IF(G85&lt;250000,G85,250000)),(IF(G85&lt;250000,G85,250000)))</f>
        <v>250000</v>
      </c>
      <c r="G88" s="113">
        <f>G85-F88</f>
        <v>206670</v>
      </c>
      <c r="H88" s="113">
        <f>E88*F88</f>
        <v>0</v>
      </c>
      <c r="J88" s="109">
        <f>J37+K37+L37</f>
        <v>92521</v>
      </c>
      <c r="K88" s="47" t="s">
        <v>237</v>
      </c>
    </row>
    <row r="89" spans="2:12" x14ac:dyDescent="0.2">
      <c r="C89" s="795" t="str">
        <f>IF(I6="M","250001 - 500000","250001-500000")</f>
        <v>250001 - 500000</v>
      </c>
      <c r="D89" s="796"/>
      <c r="E89" s="112">
        <v>0.05</v>
      </c>
      <c r="F89" s="113">
        <f>IF(I6="M",(IF(G88&lt;250000,G88,250000)),(IF(G88&lt;250000,G88,250000)))</f>
        <v>206670</v>
      </c>
      <c r="G89" s="113">
        <f>G88-F89</f>
        <v>0</v>
      </c>
      <c r="H89" s="114">
        <f>ROUND(E89*F89,0.1)</f>
        <v>10334</v>
      </c>
      <c r="J89" s="16">
        <f>M37+N37</f>
        <v>0</v>
      </c>
      <c r="K89" s="1" t="s">
        <v>238</v>
      </c>
    </row>
    <row r="90" spans="2:12" x14ac:dyDescent="0.2">
      <c r="C90" s="797" t="s">
        <v>212</v>
      </c>
      <c r="D90" s="798"/>
      <c r="E90" s="112">
        <v>0.2</v>
      </c>
      <c r="F90" s="113">
        <f>IF(G89&lt;500000,G89,500000)</f>
        <v>0</v>
      </c>
      <c r="G90" s="113">
        <f>G89-F90</f>
        <v>0</v>
      </c>
      <c r="H90" s="114">
        <f>ROUND(E90*F90,0.1)</f>
        <v>0</v>
      </c>
      <c r="J90" s="115">
        <f>SUM(J86:J89)</f>
        <v>653470</v>
      </c>
    </row>
    <row r="91" spans="2:12" x14ac:dyDescent="0.2">
      <c r="C91" s="795" t="s">
        <v>213</v>
      </c>
      <c r="D91" s="796"/>
      <c r="E91" s="112">
        <v>0.3</v>
      </c>
      <c r="F91" s="113">
        <f>G90</f>
        <v>0</v>
      </c>
      <c r="G91" s="113">
        <f>G90-F91</f>
        <v>0</v>
      </c>
      <c r="H91" s="114">
        <f>ROUND(E91*F91,0.1)</f>
        <v>0</v>
      </c>
      <c r="J91" s="16">
        <f>+G64-H83</f>
        <v>456670</v>
      </c>
    </row>
    <row r="92" spans="2:12" ht="12.75" customHeight="1" thickBot="1" x14ac:dyDescent="0.25">
      <c r="B92" s="116"/>
      <c r="C92" s="117"/>
      <c r="D92" s="47"/>
      <c r="E92" s="47"/>
      <c r="F92" s="47"/>
      <c r="J92" s="16">
        <f>+J90-J91</f>
        <v>196800</v>
      </c>
    </row>
    <row r="93" spans="2:12" ht="13.5" thickBot="1" x14ac:dyDescent="0.25">
      <c r="B93" s="799" t="s">
        <v>239</v>
      </c>
      <c r="C93" s="800"/>
      <c r="D93" s="800"/>
      <c r="E93" s="800"/>
      <c r="F93" s="801"/>
      <c r="G93" s="771">
        <f>H88+H89+H90+H91</f>
        <v>10334</v>
      </c>
      <c r="H93" s="772"/>
      <c r="J93" s="87"/>
      <c r="K93" s="87"/>
    </row>
    <row r="94" spans="2:12" ht="13.5" thickBot="1" x14ac:dyDescent="0.25">
      <c r="B94" s="119" t="s">
        <v>215</v>
      </c>
      <c r="C94" s="120"/>
      <c r="D94" s="120"/>
      <c r="E94" s="120"/>
      <c r="F94" s="120"/>
      <c r="G94" s="895">
        <f>IF((G64&lt;500000),5000,0)</f>
        <v>0</v>
      </c>
      <c r="H94" s="896">
        <f>IF(H92&lt;200000,0,IF(H92&lt;220000,((H92-200000)*10%),IF(H92&lt;=500000,2000,IF(H92&gt;=500000,0))))</f>
        <v>0</v>
      </c>
      <c r="J94" s="157"/>
      <c r="K94" s="159"/>
      <c r="L94" s="121"/>
    </row>
    <row r="95" spans="2:12" ht="13.5" thickBot="1" x14ac:dyDescent="0.25">
      <c r="B95" s="122" t="s">
        <v>216</v>
      </c>
      <c r="C95" s="123"/>
      <c r="D95" s="123"/>
      <c r="E95" s="123"/>
      <c r="F95" s="123"/>
      <c r="G95" s="771">
        <f>IF((G93-G94)&lt;0,0,(G93-G94))</f>
        <v>10334</v>
      </c>
      <c r="H95" s="772"/>
      <c r="I95" s="37"/>
    </row>
    <row r="96" spans="2:12" ht="13.5" thickBot="1" x14ac:dyDescent="0.25">
      <c r="B96" s="773" t="s">
        <v>240</v>
      </c>
      <c r="C96" s="774"/>
      <c r="D96" s="774"/>
      <c r="E96" s="774"/>
      <c r="F96" s="775"/>
      <c r="G96" s="776">
        <f>ROUND((IF(G95&gt;0,(G95*4%),0)),0)</f>
        <v>413</v>
      </c>
      <c r="H96" s="777"/>
      <c r="I96" s="37"/>
    </row>
    <row r="97" spans="2:9" ht="13.5" thickBot="1" x14ac:dyDescent="0.25">
      <c r="B97" s="778" t="s">
        <v>218</v>
      </c>
      <c r="C97" s="779"/>
      <c r="D97" s="779"/>
      <c r="E97" s="779"/>
      <c r="F97" s="779"/>
      <c r="G97" s="780">
        <f>G95+G96</f>
        <v>10747</v>
      </c>
      <c r="H97" s="781"/>
      <c r="I97" s="121"/>
    </row>
    <row r="98" spans="2:9" ht="13.5" thickBot="1" x14ac:dyDescent="0.25">
      <c r="B98" s="765" t="s">
        <v>219</v>
      </c>
      <c r="C98" s="766"/>
      <c r="D98" s="766"/>
      <c r="E98" s="766"/>
      <c r="F98" s="766"/>
      <c r="G98" s="767">
        <f>O38</f>
        <v>47800</v>
      </c>
      <c r="H98" s="768"/>
      <c r="I98" s="121"/>
    </row>
    <row r="99" spans="2:9" ht="13.5" thickBot="1" x14ac:dyDescent="0.25">
      <c r="B99" s="765" t="str">
        <f>IF(G99&gt;0,"TAX PAYABLE","TAX REFUND")</f>
        <v>TAX REFUND</v>
      </c>
      <c r="C99" s="766"/>
      <c r="D99" s="766"/>
      <c r="E99" s="766"/>
      <c r="F99" s="766"/>
      <c r="G99" s="767">
        <f>+G97-G98</f>
        <v>-37053</v>
      </c>
      <c r="H99" s="768"/>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E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0:F90 B99:F99 B93:F97">
    <cfRule type="cellIs" dxfId="2093" priority="1" stopIfTrue="1" operator="equal">
      <formula>"TAX PAYABLE"</formula>
    </cfRule>
    <cfRule type="cellIs" dxfId="2092" priority="2" stopIfTrue="1" operator="equal">
      <formula>"TAX REFUND"</formula>
    </cfRule>
  </conditionalFormatting>
  <conditionalFormatting sqref="G90:H90">
    <cfRule type="cellIs" dxfId="2091" priority="3" stopIfTrue="1" operator="lessThan">
      <formula>0</formula>
    </cfRule>
    <cfRule type="cellIs" dxfId="2090" priority="4" stopIfTrue="1" operator="greaterThan">
      <formula>0</formula>
    </cfRule>
  </conditionalFormatting>
  <conditionalFormatting sqref="G99:H99">
    <cfRule type="cellIs" dxfId="2089" priority="5" stopIfTrue="1" operator="greaterThan">
      <formula>0</formula>
    </cfRule>
    <cfRule type="cellIs" dxfId="2088" priority="6"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5" right="0.75" top="1" bottom="1" header="0.5" footer="0.5"/>
  <headerFooter alignWithMargins="0"/>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08"/>
  <sheetViews>
    <sheetView topLeftCell="A61" workbookViewId="0">
      <selection activeCell="G95" sqref="G95:H95"/>
    </sheetView>
  </sheetViews>
  <sheetFormatPr defaultRowHeight="12.75" x14ac:dyDescent="0.2"/>
  <cols>
    <col min="1" max="1" width="5" style="16" customWidth="1"/>
    <col min="2" max="2" width="19.7109375" style="37" customWidth="1"/>
    <col min="3" max="3" width="10.7109375" style="16" bestFit="1" customWidth="1"/>
    <col min="4" max="4" width="6.7109375" style="16" customWidth="1"/>
    <col min="5" max="5" width="8.5703125" style="16" customWidth="1"/>
    <col min="6" max="6" width="9.28515625" style="16" customWidth="1"/>
    <col min="7" max="7" width="10.42578125" style="16" bestFit="1" customWidth="1"/>
    <col min="8" max="8" width="10.28515625" style="16" bestFit="1" customWidth="1"/>
    <col min="9" max="9" width="7.140625" style="16" customWidth="1"/>
    <col min="10" max="10" width="7.28515625" style="16" customWidth="1"/>
    <col min="11" max="12" width="7" style="16" customWidth="1"/>
    <col min="13" max="13" width="6.85546875" style="16" customWidth="1"/>
    <col min="14" max="14" width="7" style="16" customWidth="1"/>
    <col min="15" max="15" width="7.14062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9.7109375" style="16" customWidth="1"/>
    <col min="259" max="259" width="10.7109375" style="16" bestFit="1" customWidth="1"/>
    <col min="260" max="260" width="6.7109375" style="16" customWidth="1"/>
    <col min="261" max="261" width="8.5703125" style="16" customWidth="1"/>
    <col min="262" max="262" width="9.28515625" style="16" customWidth="1"/>
    <col min="263" max="263" width="10.42578125" style="16" bestFit="1" customWidth="1"/>
    <col min="264" max="264" width="10.28515625" style="16" bestFit="1" customWidth="1"/>
    <col min="265" max="265" width="7.140625" style="16" customWidth="1"/>
    <col min="266" max="266" width="7.28515625" style="16" customWidth="1"/>
    <col min="267" max="268" width="7" style="16" customWidth="1"/>
    <col min="269" max="269" width="6.85546875" style="16" customWidth="1"/>
    <col min="270" max="270" width="7" style="16" customWidth="1"/>
    <col min="271" max="271" width="7.14062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9.7109375" style="16" customWidth="1"/>
    <col min="515" max="515" width="10.7109375" style="16" bestFit="1" customWidth="1"/>
    <col min="516" max="516" width="6.7109375" style="16" customWidth="1"/>
    <col min="517" max="517" width="8.5703125" style="16" customWidth="1"/>
    <col min="518" max="518" width="9.28515625" style="16" customWidth="1"/>
    <col min="519" max="519" width="10.42578125" style="16" bestFit="1" customWidth="1"/>
    <col min="520" max="520" width="10.28515625" style="16" bestFit="1" customWidth="1"/>
    <col min="521" max="521" width="7.140625" style="16" customWidth="1"/>
    <col min="522" max="522" width="7.28515625" style="16" customWidth="1"/>
    <col min="523" max="524" width="7" style="16" customWidth="1"/>
    <col min="525" max="525" width="6.85546875" style="16" customWidth="1"/>
    <col min="526" max="526" width="7" style="16" customWidth="1"/>
    <col min="527" max="527" width="7.14062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9.7109375" style="16" customWidth="1"/>
    <col min="771" max="771" width="10.7109375" style="16" bestFit="1" customWidth="1"/>
    <col min="772" max="772" width="6.7109375" style="16" customWidth="1"/>
    <col min="773" max="773" width="8.5703125" style="16" customWidth="1"/>
    <col min="774" max="774" width="9.28515625" style="16" customWidth="1"/>
    <col min="775" max="775" width="10.42578125" style="16" bestFit="1" customWidth="1"/>
    <col min="776" max="776" width="10.28515625" style="16" bestFit="1" customWidth="1"/>
    <col min="777" max="777" width="7.140625" style="16" customWidth="1"/>
    <col min="778" max="778" width="7.28515625" style="16" customWidth="1"/>
    <col min="779" max="780" width="7" style="16" customWidth="1"/>
    <col min="781" max="781" width="6.85546875" style="16" customWidth="1"/>
    <col min="782" max="782" width="7" style="16" customWidth="1"/>
    <col min="783" max="783" width="7.14062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9.7109375" style="16" customWidth="1"/>
    <col min="1027" max="1027" width="10.7109375" style="16" bestFit="1" customWidth="1"/>
    <col min="1028" max="1028" width="6.7109375" style="16" customWidth="1"/>
    <col min="1029" max="1029" width="8.5703125" style="16" customWidth="1"/>
    <col min="1030" max="1030" width="9.28515625" style="16" customWidth="1"/>
    <col min="1031" max="1031" width="10.42578125" style="16" bestFit="1" customWidth="1"/>
    <col min="1032" max="1032" width="10.28515625" style="16" bestFit="1" customWidth="1"/>
    <col min="1033" max="1033" width="7.140625" style="16" customWidth="1"/>
    <col min="1034" max="1034" width="7.28515625" style="16" customWidth="1"/>
    <col min="1035" max="1036" width="7" style="16" customWidth="1"/>
    <col min="1037" max="1037" width="6.85546875" style="16" customWidth="1"/>
    <col min="1038" max="1038" width="7" style="16" customWidth="1"/>
    <col min="1039" max="1039" width="7.14062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9.7109375" style="16" customWidth="1"/>
    <col min="1283" max="1283" width="10.7109375" style="16" bestFit="1" customWidth="1"/>
    <col min="1284" max="1284" width="6.7109375" style="16" customWidth="1"/>
    <col min="1285" max="1285" width="8.5703125" style="16" customWidth="1"/>
    <col min="1286" max="1286" width="9.28515625" style="16" customWidth="1"/>
    <col min="1287" max="1287" width="10.42578125" style="16" bestFit="1" customWidth="1"/>
    <col min="1288" max="1288" width="10.28515625" style="16" bestFit="1" customWidth="1"/>
    <col min="1289" max="1289" width="7.140625" style="16" customWidth="1"/>
    <col min="1290" max="1290" width="7.28515625" style="16" customWidth="1"/>
    <col min="1291" max="1292" width="7" style="16" customWidth="1"/>
    <col min="1293" max="1293" width="6.85546875" style="16" customWidth="1"/>
    <col min="1294" max="1294" width="7" style="16" customWidth="1"/>
    <col min="1295" max="1295" width="7.14062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9.7109375" style="16" customWidth="1"/>
    <col min="1539" max="1539" width="10.7109375" style="16" bestFit="1" customWidth="1"/>
    <col min="1540" max="1540" width="6.7109375" style="16" customWidth="1"/>
    <col min="1541" max="1541" width="8.5703125" style="16" customWidth="1"/>
    <col min="1542" max="1542" width="9.28515625" style="16" customWidth="1"/>
    <col min="1543" max="1543" width="10.42578125" style="16" bestFit="1" customWidth="1"/>
    <col min="1544" max="1544" width="10.28515625" style="16" bestFit="1" customWidth="1"/>
    <col min="1545" max="1545" width="7.140625" style="16" customWidth="1"/>
    <col min="1546" max="1546" width="7.28515625" style="16" customWidth="1"/>
    <col min="1547" max="1548" width="7" style="16" customWidth="1"/>
    <col min="1549" max="1549" width="6.85546875" style="16" customWidth="1"/>
    <col min="1550" max="1550" width="7" style="16" customWidth="1"/>
    <col min="1551" max="1551" width="7.14062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9.7109375" style="16" customWidth="1"/>
    <col min="1795" max="1795" width="10.7109375" style="16" bestFit="1" customWidth="1"/>
    <col min="1796" max="1796" width="6.7109375" style="16" customWidth="1"/>
    <col min="1797" max="1797" width="8.5703125" style="16" customWidth="1"/>
    <col min="1798" max="1798" width="9.28515625" style="16" customWidth="1"/>
    <col min="1799" max="1799" width="10.42578125" style="16" bestFit="1" customWidth="1"/>
    <col min="1800" max="1800" width="10.28515625" style="16" bestFit="1" customWidth="1"/>
    <col min="1801" max="1801" width="7.140625" style="16" customWidth="1"/>
    <col min="1802" max="1802" width="7.28515625" style="16" customWidth="1"/>
    <col min="1803" max="1804" width="7" style="16" customWidth="1"/>
    <col min="1805" max="1805" width="6.85546875" style="16" customWidth="1"/>
    <col min="1806" max="1806" width="7" style="16" customWidth="1"/>
    <col min="1807" max="1807" width="7.14062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9.7109375" style="16" customWidth="1"/>
    <col min="2051" max="2051" width="10.7109375" style="16" bestFit="1" customWidth="1"/>
    <col min="2052" max="2052" width="6.7109375" style="16" customWidth="1"/>
    <col min="2053" max="2053" width="8.5703125" style="16" customWidth="1"/>
    <col min="2054" max="2054" width="9.28515625" style="16" customWidth="1"/>
    <col min="2055" max="2055" width="10.42578125" style="16" bestFit="1" customWidth="1"/>
    <col min="2056" max="2056" width="10.28515625" style="16" bestFit="1" customWidth="1"/>
    <col min="2057" max="2057" width="7.140625" style="16" customWidth="1"/>
    <col min="2058" max="2058" width="7.28515625" style="16" customWidth="1"/>
    <col min="2059" max="2060" width="7" style="16" customWidth="1"/>
    <col min="2061" max="2061" width="6.85546875" style="16" customWidth="1"/>
    <col min="2062" max="2062" width="7" style="16" customWidth="1"/>
    <col min="2063" max="2063" width="7.14062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9.7109375" style="16" customWidth="1"/>
    <col min="2307" max="2307" width="10.7109375" style="16" bestFit="1" customWidth="1"/>
    <col min="2308" max="2308" width="6.7109375" style="16" customWidth="1"/>
    <col min="2309" max="2309" width="8.5703125" style="16" customWidth="1"/>
    <col min="2310" max="2310" width="9.28515625" style="16" customWidth="1"/>
    <col min="2311" max="2311" width="10.42578125" style="16" bestFit="1" customWidth="1"/>
    <col min="2312" max="2312" width="10.28515625" style="16" bestFit="1" customWidth="1"/>
    <col min="2313" max="2313" width="7.140625" style="16" customWidth="1"/>
    <col min="2314" max="2314" width="7.28515625" style="16" customWidth="1"/>
    <col min="2315" max="2316" width="7" style="16" customWidth="1"/>
    <col min="2317" max="2317" width="6.85546875" style="16" customWidth="1"/>
    <col min="2318" max="2318" width="7" style="16" customWidth="1"/>
    <col min="2319" max="2319" width="7.14062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9.7109375" style="16" customWidth="1"/>
    <col min="2563" max="2563" width="10.7109375" style="16" bestFit="1" customWidth="1"/>
    <col min="2564" max="2564" width="6.7109375" style="16" customWidth="1"/>
    <col min="2565" max="2565" width="8.5703125" style="16" customWidth="1"/>
    <col min="2566" max="2566" width="9.28515625" style="16" customWidth="1"/>
    <col min="2567" max="2567" width="10.42578125" style="16" bestFit="1" customWidth="1"/>
    <col min="2568" max="2568" width="10.28515625" style="16" bestFit="1" customWidth="1"/>
    <col min="2569" max="2569" width="7.140625" style="16" customWidth="1"/>
    <col min="2570" max="2570" width="7.28515625" style="16" customWidth="1"/>
    <col min="2571" max="2572" width="7" style="16" customWidth="1"/>
    <col min="2573" max="2573" width="6.85546875" style="16" customWidth="1"/>
    <col min="2574" max="2574" width="7" style="16" customWidth="1"/>
    <col min="2575" max="2575" width="7.14062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9.7109375" style="16" customWidth="1"/>
    <col min="2819" max="2819" width="10.7109375" style="16" bestFit="1" customWidth="1"/>
    <col min="2820" max="2820" width="6.7109375" style="16" customWidth="1"/>
    <col min="2821" max="2821" width="8.5703125" style="16" customWidth="1"/>
    <col min="2822" max="2822" width="9.28515625" style="16" customWidth="1"/>
    <col min="2823" max="2823" width="10.42578125" style="16" bestFit="1" customWidth="1"/>
    <col min="2824" max="2824" width="10.28515625" style="16" bestFit="1" customWidth="1"/>
    <col min="2825" max="2825" width="7.140625" style="16" customWidth="1"/>
    <col min="2826" max="2826" width="7.28515625" style="16" customWidth="1"/>
    <col min="2827" max="2828" width="7" style="16" customWidth="1"/>
    <col min="2829" max="2829" width="6.85546875" style="16" customWidth="1"/>
    <col min="2830" max="2830" width="7" style="16" customWidth="1"/>
    <col min="2831" max="2831" width="7.14062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9.7109375" style="16" customWidth="1"/>
    <col min="3075" max="3075" width="10.7109375" style="16" bestFit="1" customWidth="1"/>
    <col min="3076" max="3076" width="6.7109375" style="16" customWidth="1"/>
    <col min="3077" max="3077" width="8.5703125" style="16" customWidth="1"/>
    <col min="3078" max="3078" width="9.28515625" style="16" customWidth="1"/>
    <col min="3079" max="3079" width="10.42578125" style="16" bestFit="1" customWidth="1"/>
    <col min="3080" max="3080" width="10.28515625" style="16" bestFit="1" customWidth="1"/>
    <col min="3081" max="3081" width="7.140625" style="16" customWidth="1"/>
    <col min="3082" max="3082" width="7.28515625" style="16" customWidth="1"/>
    <col min="3083" max="3084" width="7" style="16" customWidth="1"/>
    <col min="3085" max="3085" width="6.85546875" style="16" customWidth="1"/>
    <col min="3086" max="3086" width="7" style="16" customWidth="1"/>
    <col min="3087" max="3087" width="7.14062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9.7109375" style="16" customWidth="1"/>
    <col min="3331" max="3331" width="10.7109375" style="16" bestFit="1" customWidth="1"/>
    <col min="3332" max="3332" width="6.7109375" style="16" customWidth="1"/>
    <col min="3333" max="3333" width="8.5703125" style="16" customWidth="1"/>
    <col min="3334" max="3334" width="9.28515625" style="16" customWidth="1"/>
    <col min="3335" max="3335" width="10.42578125" style="16" bestFit="1" customWidth="1"/>
    <col min="3336" max="3336" width="10.28515625" style="16" bestFit="1" customWidth="1"/>
    <col min="3337" max="3337" width="7.140625" style="16" customWidth="1"/>
    <col min="3338" max="3338" width="7.28515625" style="16" customWidth="1"/>
    <col min="3339" max="3340" width="7" style="16" customWidth="1"/>
    <col min="3341" max="3341" width="6.85546875" style="16" customWidth="1"/>
    <col min="3342" max="3342" width="7" style="16" customWidth="1"/>
    <col min="3343" max="3343" width="7.14062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9.7109375" style="16" customWidth="1"/>
    <col min="3587" max="3587" width="10.7109375" style="16" bestFit="1" customWidth="1"/>
    <col min="3588" max="3588" width="6.7109375" style="16" customWidth="1"/>
    <col min="3589" max="3589" width="8.5703125" style="16" customWidth="1"/>
    <col min="3590" max="3590" width="9.28515625" style="16" customWidth="1"/>
    <col min="3591" max="3591" width="10.42578125" style="16" bestFit="1" customWidth="1"/>
    <col min="3592" max="3592" width="10.28515625" style="16" bestFit="1" customWidth="1"/>
    <col min="3593" max="3593" width="7.140625" style="16" customWidth="1"/>
    <col min="3594" max="3594" width="7.28515625" style="16" customWidth="1"/>
    <col min="3595" max="3596" width="7" style="16" customWidth="1"/>
    <col min="3597" max="3597" width="6.85546875" style="16" customWidth="1"/>
    <col min="3598" max="3598" width="7" style="16" customWidth="1"/>
    <col min="3599" max="3599" width="7.14062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9.7109375" style="16" customWidth="1"/>
    <col min="3843" max="3843" width="10.7109375" style="16" bestFit="1" customWidth="1"/>
    <col min="3844" max="3844" width="6.7109375" style="16" customWidth="1"/>
    <col min="3845" max="3845" width="8.5703125" style="16" customWidth="1"/>
    <col min="3846" max="3846" width="9.28515625" style="16" customWidth="1"/>
    <col min="3847" max="3847" width="10.42578125" style="16" bestFit="1" customWidth="1"/>
    <col min="3848" max="3848" width="10.28515625" style="16" bestFit="1" customWidth="1"/>
    <col min="3849" max="3849" width="7.140625" style="16" customWidth="1"/>
    <col min="3850" max="3850" width="7.28515625" style="16" customWidth="1"/>
    <col min="3851" max="3852" width="7" style="16" customWidth="1"/>
    <col min="3853" max="3853" width="6.85546875" style="16" customWidth="1"/>
    <col min="3854" max="3854" width="7" style="16" customWidth="1"/>
    <col min="3855" max="3855" width="7.14062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9.7109375" style="16" customWidth="1"/>
    <col min="4099" max="4099" width="10.7109375" style="16" bestFit="1" customWidth="1"/>
    <col min="4100" max="4100" width="6.7109375" style="16" customWidth="1"/>
    <col min="4101" max="4101" width="8.5703125" style="16" customWidth="1"/>
    <col min="4102" max="4102" width="9.28515625" style="16" customWidth="1"/>
    <col min="4103" max="4103" width="10.42578125" style="16" bestFit="1" customWidth="1"/>
    <col min="4104" max="4104" width="10.28515625" style="16" bestFit="1" customWidth="1"/>
    <col min="4105" max="4105" width="7.140625" style="16" customWidth="1"/>
    <col min="4106" max="4106" width="7.28515625" style="16" customWidth="1"/>
    <col min="4107" max="4108" width="7" style="16" customWidth="1"/>
    <col min="4109" max="4109" width="6.85546875" style="16" customWidth="1"/>
    <col min="4110" max="4110" width="7" style="16" customWidth="1"/>
    <col min="4111" max="4111" width="7.14062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9.7109375" style="16" customWidth="1"/>
    <col min="4355" max="4355" width="10.7109375" style="16" bestFit="1" customWidth="1"/>
    <col min="4356" max="4356" width="6.7109375" style="16" customWidth="1"/>
    <col min="4357" max="4357" width="8.5703125" style="16" customWidth="1"/>
    <col min="4358" max="4358" width="9.28515625" style="16" customWidth="1"/>
    <col min="4359" max="4359" width="10.42578125" style="16" bestFit="1" customWidth="1"/>
    <col min="4360" max="4360" width="10.28515625" style="16" bestFit="1" customWidth="1"/>
    <col min="4361" max="4361" width="7.140625" style="16" customWidth="1"/>
    <col min="4362" max="4362" width="7.28515625" style="16" customWidth="1"/>
    <col min="4363" max="4364" width="7" style="16" customWidth="1"/>
    <col min="4365" max="4365" width="6.85546875" style="16" customWidth="1"/>
    <col min="4366" max="4366" width="7" style="16" customWidth="1"/>
    <col min="4367" max="4367" width="7.14062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9.7109375" style="16" customWidth="1"/>
    <col min="4611" max="4611" width="10.7109375" style="16" bestFit="1" customWidth="1"/>
    <col min="4612" max="4612" width="6.7109375" style="16" customWidth="1"/>
    <col min="4613" max="4613" width="8.5703125" style="16" customWidth="1"/>
    <col min="4614" max="4614" width="9.28515625" style="16" customWidth="1"/>
    <col min="4615" max="4615" width="10.42578125" style="16" bestFit="1" customWidth="1"/>
    <col min="4616" max="4616" width="10.28515625" style="16" bestFit="1" customWidth="1"/>
    <col min="4617" max="4617" width="7.140625" style="16" customWidth="1"/>
    <col min="4618" max="4618" width="7.28515625" style="16" customWidth="1"/>
    <col min="4619" max="4620" width="7" style="16" customWidth="1"/>
    <col min="4621" max="4621" width="6.85546875" style="16" customWidth="1"/>
    <col min="4622" max="4622" width="7" style="16" customWidth="1"/>
    <col min="4623" max="4623" width="7.14062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9.7109375" style="16" customWidth="1"/>
    <col min="4867" max="4867" width="10.7109375" style="16" bestFit="1" customWidth="1"/>
    <col min="4868" max="4868" width="6.7109375" style="16" customWidth="1"/>
    <col min="4869" max="4869" width="8.5703125" style="16" customWidth="1"/>
    <col min="4870" max="4870" width="9.28515625" style="16" customWidth="1"/>
    <col min="4871" max="4871" width="10.42578125" style="16" bestFit="1" customWidth="1"/>
    <col min="4872" max="4872" width="10.28515625" style="16" bestFit="1" customWidth="1"/>
    <col min="4873" max="4873" width="7.140625" style="16" customWidth="1"/>
    <col min="4874" max="4874" width="7.28515625" style="16" customWidth="1"/>
    <col min="4875" max="4876" width="7" style="16" customWidth="1"/>
    <col min="4877" max="4877" width="6.85546875" style="16" customWidth="1"/>
    <col min="4878" max="4878" width="7" style="16" customWidth="1"/>
    <col min="4879" max="4879" width="7.14062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9.7109375" style="16" customWidth="1"/>
    <col min="5123" max="5123" width="10.7109375" style="16" bestFit="1" customWidth="1"/>
    <col min="5124" max="5124" width="6.7109375" style="16" customWidth="1"/>
    <col min="5125" max="5125" width="8.5703125" style="16" customWidth="1"/>
    <col min="5126" max="5126" width="9.28515625" style="16" customWidth="1"/>
    <col min="5127" max="5127" width="10.42578125" style="16" bestFit="1" customWidth="1"/>
    <col min="5128" max="5128" width="10.28515625" style="16" bestFit="1" customWidth="1"/>
    <col min="5129" max="5129" width="7.140625" style="16" customWidth="1"/>
    <col min="5130" max="5130" width="7.28515625" style="16" customWidth="1"/>
    <col min="5131" max="5132" width="7" style="16" customWidth="1"/>
    <col min="5133" max="5133" width="6.85546875" style="16" customWidth="1"/>
    <col min="5134" max="5134" width="7" style="16" customWidth="1"/>
    <col min="5135" max="5135" width="7.14062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9.7109375" style="16" customWidth="1"/>
    <col min="5379" max="5379" width="10.7109375" style="16" bestFit="1" customWidth="1"/>
    <col min="5380" max="5380" width="6.7109375" style="16" customWidth="1"/>
    <col min="5381" max="5381" width="8.5703125" style="16" customWidth="1"/>
    <col min="5382" max="5382" width="9.28515625" style="16" customWidth="1"/>
    <col min="5383" max="5383" width="10.42578125" style="16" bestFit="1" customWidth="1"/>
    <col min="5384" max="5384" width="10.28515625" style="16" bestFit="1" customWidth="1"/>
    <col min="5385" max="5385" width="7.140625" style="16" customWidth="1"/>
    <col min="5386" max="5386" width="7.28515625" style="16" customWidth="1"/>
    <col min="5387" max="5388" width="7" style="16" customWidth="1"/>
    <col min="5389" max="5389" width="6.85546875" style="16" customWidth="1"/>
    <col min="5390" max="5390" width="7" style="16" customWidth="1"/>
    <col min="5391" max="5391" width="7.14062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9.7109375" style="16" customWidth="1"/>
    <col min="5635" max="5635" width="10.7109375" style="16" bestFit="1" customWidth="1"/>
    <col min="5636" max="5636" width="6.7109375" style="16" customWidth="1"/>
    <col min="5637" max="5637" width="8.5703125" style="16" customWidth="1"/>
    <col min="5638" max="5638" width="9.28515625" style="16" customWidth="1"/>
    <col min="5639" max="5639" width="10.42578125" style="16" bestFit="1" customWidth="1"/>
    <col min="5640" max="5640" width="10.28515625" style="16" bestFit="1" customWidth="1"/>
    <col min="5641" max="5641" width="7.140625" style="16" customWidth="1"/>
    <col min="5642" max="5642" width="7.28515625" style="16" customWidth="1"/>
    <col min="5643" max="5644" width="7" style="16" customWidth="1"/>
    <col min="5645" max="5645" width="6.85546875" style="16" customWidth="1"/>
    <col min="5646" max="5646" width="7" style="16" customWidth="1"/>
    <col min="5647" max="5647" width="7.14062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9.7109375" style="16" customWidth="1"/>
    <col min="5891" max="5891" width="10.7109375" style="16" bestFit="1" customWidth="1"/>
    <col min="5892" max="5892" width="6.7109375" style="16" customWidth="1"/>
    <col min="5893" max="5893" width="8.5703125" style="16" customWidth="1"/>
    <col min="5894" max="5894" width="9.28515625" style="16" customWidth="1"/>
    <col min="5895" max="5895" width="10.42578125" style="16" bestFit="1" customWidth="1"/>
    <col min="5896" max="5896" width="10.28515625" style="16" bestFit="1" customWidth="1"/>
    <col min="5897" max="5897" width="7.140625" style="16" customWidth="1"/>
    <col min="5898" max="5898" width="7.28515625" style="16" customWidth="1"/>
    <col min="5899" max="5900" width="7" style="16" customWidth="1"/>
    <col min="5901" max="5901" width="6.85546875" style="16" customWidth="1"/>
    <col min="5902" max="5902" width="7" style="16" customWidth="1"/>
    <col min="5903" max="5903" width="7.14062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9.7109375" style="16" customWidth="1"/>
    <col min="6147" max="6147" width="10.7109375" style="16" bestFit="1" customWidth="1"/>
    <col min="6148" max="6148" width="6.7109375" style="16" customWidth="1"/>
    <col min="6149" max="6149" width="8.5703125" style="16" customWidth="1"/>
    <col min="6150" max="6150" width="9.28515625" style="16" customWidth="1"/>
    <col min="6151" max="6151" width="10.42578125" style="16" bestFit="1" customWidth="1"/>
    <col min="6152" max="6152" width="10.28515625" style="16" bestFit="1" customWidth="1"/>
    <col min="6153" max="6153" width="7.140625" style="16" customWidth="1"/>
    <col min="6154" max="6154" width="7.28515625" style="16" customWidth="1"/>
    <col min="6155" max="6156" width="7" style="16" customWidth="1"/>
    <col min="6157" max="6157" width="6.85546875" style="16" customWidth="1"/>
    <col min="6158" max="6158" width="7" style="16" customWidth="1"/>
    <col min="6159" max="6159" width="7.14062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9.7109375" style="16" customWidth="1"/>
    <col min="6403" max="6403" width="10.7109375" style="16" bestFit="1" customWidth="1"/>
    <col min="6404" max="6404" width="6.7109375" style="16" customWidth="1"/>
    <col min="6405" max="6405" width="8.5703125" style="16" customWidth="1"/>
    <col min="6406" max="6406" width="9.28515625" style="16" customWidth="1"/>
    <col min="6407" max="6407" width="10.42578125" style="16" bestFit="1" customWidth="1"/>
    <col min="6408" max="6408" width="10.28515625" style="16" bestFit="1" customWidth="1"/>
    <col min="6409" max="6409" width="7.140625" style="16" customWidth="1"/>
    <col min="6410" max="6410" width="7.28515625" style="16" customWidth="1"/>
    <col min="6411" max="6412" width="7" style="16" customWidth="1"/>
    <col min="6413" max="6413" width="6.85546875" style="16" customWidth="1"/>
    <col min="6414" max="6414" width="7" style="16" customWidth="1"/>
    <col min="6415" max="6415" width="7.14062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9.7109375" style="16" customWidth="1"/>
    <col min="6659" max="6659" width="10.7109375" style="16" bestFit="1" customWidth="1"/>
    <col min="6660" max="6660" width="6.7109375" style="16" customWidth="1"/>
    <col min="6661" max="6661" width="8.5703125" style="16" customWidth="1"/>
    <col min="6662" max="6662" width="9.28515625" style="16" customWidth="1"/>
    <col min="6663" max="6663" width="10.42578125" style="16" bestFit="1" customWidth="1"/>
    <col min="6664" max="6664" width="10.28515625" style="16" bestFit="1" customWidth="1"/>
    <col min="6665" max="6665" width="7.140625" style="16" customWidth="1"/>
    <col min="6666" max="6666" width="7.28515625" style="16" customWidth="1"/>
    <col min="6667" max="6668" width="7" style="16" customWidth="1"/>
    <col min="6669" max="6669" width="6.85546875" style="16" customWidth="1"/>
    <col min="6670" max="6670" width="7" style="16" customWidth="1"/>
    <col min="6671" max="6671" width="7.14062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9.7109375" style="16" customWidth="1"/>
    <col min="6915" max="6915" width="10.7109375" style="16" bestFit="1" customWidth="1"/>
    <col min="6916" max="6916" width="6.7109375" style="16" customWidth="1"/>
    <col min="6917" max="6917" width="8.5703125" style="16" customWidth="1"/>
    <col min="6918" max="6918" width="9.28515625" style="16" customWidth="1"/>
    <col min="6919" max="6919" width="10.42578125" style="16" bestFit="1" customWidth="1"/>
    <col min="6920" max="6920" width="10.28515625" style="16" bestFit="1" customWidth="1"/>
    <col min="6921" max="6921" width="7.140625" style="16" customWidth="1"/>
    <col min="6922" max="6922" width="7.28515625" style="16" customWidth="1"/>
    <col min="6923" max="6924" width="7" style="16" customWidth="1"/>
    <col min="6925" max="6925" width="6.85546875" style="16" customWidth="1"/>
    <col min="6926" max="6926" width="7" style="16" customWidth="1"/>
    <col min="6927" max="6927" width="7.14062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9.7109375" style="16" customWidth="1"/>
    <col min="7171" max="7171" width="10.7109375" style="16" bestFit="1" customWidth="1"/>
    <col min="7172" max="7172" width="6.7109375" style="16" customWidth="1"/>
    <col min="7173" max="7173" width="8.5703125" style="16" customWidth="1"/>
    <col min="7174" max="7174" width="9.28515625" style="16" customWidth="1"/>
    <col min="7175" max="7175" width="10.42578125" style="16" bestFit="1" customWidth="1"/>
    <col min="7176" max="7176" width="10.28515625" style="16" bestFit="1" customWidth="1"/>
    <col min="7177" max="7177" width="7.140625" style="16" customWidth="1"/>
    <col min="7178" max="7178" width="7.28515625" style="16" customWidth="1"/>
    <col min="7179" max="7180" width="7" style="16" customWidth="1"/>
    <col min="7181" max="7181" width="6.85546875" style="16" customWidth="1"/>
    <col min="7182" max="7182" width="7" style="16" customWidth="1"/>
    <col min="7183" max="7183" width="7.14062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9.7109375" style="16" customWidth="1"/>
    <col min="7427" max="7427" width="10.7109375" style="16" bestFit="1" customWidth="1"/>
    <col min="7428" max="7428" width="6.7109375" style="16" customWidth="1"/>
    <col min="7429" max="7429" width="8.5703125" style="16" customWidth="1"/>
    <col min="7430" max="7430" width="9.28515625" style="16" customWidth="1"/>
    <col min="7431" max="7431" width="10.42578125" style="16" bestFit="1" customWidth="1"/>
    <col min="7432" max="7432" width="10.28515625" style="16" bestFit="1" customWidth="1"/>
    <col min="7433" max="7433" width="7.140625" style="16" customWidth="1"/>
    <col min="7434" max="7434" width="7.28515625" style="16" customWidth="1"/>
    <col min="7435" max="7436" width="7" style="16" customWidth="1"/>
    <col min="7437" max="7437" width="6.85546875" style="16" customWidth="1"/>
    <col min="7438" max="7438" width="7" style="16" customWidth="1"/>
    <col min="7439" max="7439" width="7.14062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9.7109375" style="16" customWidth="1"/>
    <col min="7683" max="7683" width="10.7109375" style="16" bestFit="1" customWidth="1"/>
    <col min="7684" max="7684" width="6.7109375" style="16" customWidth="1"/>
    <col min="7685" max="7685" width="8.5703125" style="16" customWidth="1"/>
    <col min="7686" max="7686" width="9.28515625" style="16" customWidth="1"/>
    <col min="7687" max="7687" width="10.42578125" style="16" bestFit="1" customWidth="1"/>
    <col min="7688" max="7688" width="10.28515625" style="16" bestFit="1" customWidth="1"/>
    <col min="7689" max="7689" width="7.140625" style="16" customWidth="1"/>
    <col min="7690" max="7690" width="7.28515625" style="16" customWidth="1"/>
    <col min="7691" max="7692" width="7" style="16" customWidth="1"/>
    <col min="7693" max="7693" width="6.85546875" style="16" customWidth="1"/>
    <col min="7694" max="7694" width="7" style="16" customWidth="1"/>
    <col min="7695" max="7695" width="7.14062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9.7109375" style="16" customWidth="1"/>
    <col min="7939" max="7939" width="10.7109375" style="16" bestFit="1" customWidth="1"/>
    <col min="7940" max="7940" width="6.7109375" style="16" customWidth="1"/>
    <col min="7941" max="7941" width="8.5703125" style="16" customWidth="1"/>
    <col min="7942" max="7942" width="9.28515625" style="16" customWidth="1"/>
    <col min="7943" max="7943" width="10.42578125" style="16" bestFit="1" customWidth="1"/>
    <col min="7944" max="7944" width="10.28515625" style="16" bestFit="1" customWidth="1"/>
    <col min="7945" max="7945" width="7.140625" style="16" customWidth="1"/>
    <col min="7946" max="7946" width="7.28515625" style="16" customWidth="1"/>
    <col min="7947" max="7948" width="7" style="16" customWidth="1"/>
    <col min="7949" max="7949" width="6.85546875" style="16" customWidth="1"/>
    <col min="7950" max="7950" width="7" style="16" customWidth="1"/>
    <col min="7951" max="7951" width="7.14062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9.7109375" style="16" customWidth="1"/>
    <col min="8195" max="8195" width="10.7109375" style="16" bestFit="1" customWidth="1"/>
    <col min="8196" max="8196" width="6.7109375" style="16" customWidth="1"/>
    <col min="8197" max="8197" width="8.5703125" style="16" customWidth="1"/>
    <col min="8198" max="8198" width="9.28515625" style="16" customWidth="1"/>
    <col min="8199" max="8199" width="10.42578125" style="16" bestFit="1" customWidth="1"/>
    <col min="8200" max="8200" width="10.28515625" style="16" bestFit="1" customWidth="1"/>
    <col min="8201" max="8201" width="7.140625" style="16" customWidth="1"/>
    <col min="8202" max="8202" width="7.28515625" style="16" customWidth="1"/>
    <col min="8203" max="8204" width="7" style="16" customWidth="1"/>
    <col min="8205" max="8205" width="6.85546875" style="16" customWidth="1"/>
    <col min="8206" max="8206" width="7" style="16" customWidth="1"/>
    <col min="8207" max="8207" width="7.14062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9.7109375" style="16" customWidth="1"/>
    <col min="8451" max="8451" width="10.7109375" style="16" bestFit="1" customWidth="1"/>
    <col min="8452" max="8452" width="6.7109375" style="16" customWidth="1"/>
    <col min="8453" max="8453" width="8.5703125" style="16" customWidth="1"/>
    <col min="8454" max="8454" width="9.28515625" style="16" customWidth="1"/>
    <col min="8455" max="8455" width="10.42578125" style="16" bestFit="1" customWidth="1"/>
    <col min="8456" max="8456" width="10.28515625" style="16" bestFit="1" customWidth="1"/>
    <col min="8457" max="8457" width="7.140625" style="16" customWidth="1"/>
    <col min="8458" max="8458" width="7.28515625" style="16" customWidth="1"/>
    <col min="8459" max="8460" width="7" style="16" customWidth="1"/>
    <col min="8461" max="8461" width="6.85546875" style="16" customWidth="1"/>
    <col min="8462" max="8462" width="7" style="16" customWidth="1"/>
    <col min="8463" max="8463" width="7.14062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9.7109375" style="16" customWidth="1"/>
    <col min="8707" max="8707" width="10.7109375" style="16" bestFit="1" customWidth="1"/>
    <col min="8708" max="8708" width="6.7109375" style="16" customWidth="1"/>
    <col min="8709" max="8709" width="8.5703125" style="16" customWidth="1"/>
    <col min="8710" max="8710" width="9.28515625" style="16" customWidth="1"/>
    <col min="8711" max="8711" width="10.42578125" style="16" bestFit="1" customWidth="1"/>
    <col min="8712" max="8712" width="10.28515625" style="16" bestFit="1" customWidth="1"/>
    <col min="8713" max="8713" width="7.140625" style="16" customWidth="1"/>
    <col min="8714" max="8714" width="7.28515625" style="16" customWidth="1"/>
    <col min="8715" max="8716" width="7" style="16" customWidth="1"/>
    <col min="8717" max="8717" width="6.85546875" style="16" customWidth="1"/>
    <col min="8718" max="8718" width="7" style="16" customWidth="1"/>
    <col min="8719" max="8719" width="7.14062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9.7109375" style="16" customWidth="1"/>
    <col min="8963" max="8963" width="10.7109375" style="16" bestFit="1" customWidth="1"/>
    <col min="8964" max="8964" width="6.7109375" style="16" customWidth="1"/>
    <col min="8965" max="8965" width="8.5703125" style="16" customWidth="1"/>
    <col min="8966" max="8966" width="9.28515625" style="16" customWidth="1"/>
    <col min="8967" max="8967" width="10.42578125" style="16" bestFit="1" customWidth="1"/>
    <col min="8968" max="8968" width="10.28515625" style="16" bestFit="1" customWidth="1"/>
    <col min="8969" max="8969" width="7.140625" style="16" customWidth="1"/>
    <col min="8970" max="8970" width="7.28515625" style="16" customWidth="1"/>
    <col min="8971" max="8972" width="7" style="16" customWidth="1"/>
    <col min="8973" max="8973" width="6.85546875" style="16" customWidth="1"/>
    <col min="8974" max="8974" width="7" style="16" customWidth="1"/>
    <col min="8975" max="8975" width="7.14062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9.7109375" style="16" customWidth="1"/>
    <col min="9219" max="9219" width="10.7109375" style="16" bestFit="1" customWidth="1"/>
    <col min="9220" max="9220" width="6.7109375" style="16" customWidth="1"/>
    <col min="9221" max="9221" width="8.5703125" style="16" customWidth="1"/>
    <col min="9222" max="9222" width="9.28515625" style="16" customWidth="1"/>
    <col min="9223" max="9223" width="10.42578125" style="16" bestFit="1" customWidth="1"/>
    <col min="9224" max="9224" width="10.28515625" style="16" bestFit="1" customWidth="1"/>
    <col min="9225" max="9225" width="7.140625" style="16" customWidth="1"/>
    <col min="9226" max="9226" width="7.28515625" style="16" customWidth="1"/>
    <col min="9227" max="9228" width="7" style="16" customWidth="1"/>
    <col min="9229" max="9229" width="6.85546875" style="16" customWidth="1"/>
    <col min="9230" max="9230" width="7" style="16" customWidth="1"/>
    <col min="9231" max="9231" width="7.14062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9.7109375" style="16" customWidth="1"/>
    <col min="9475" max="9475" width="10.7109375" style="16" bestFit="1" customWidth="1"/>
    <col min="9476" max="9476" width="6.7109375" style="16" customWidth="1"/>
    <col min="9477" max="9477" width="8.5703125" style="16" customWidth="1"/>
    <col min="9478" max="9478" width="9.28515625" style="16" customWidth="1"/>
    <col min="9479" max="9479" width="10.42578125" style="16" bestFit="1" customWidth="1"/>
    <col min="9480" max="9480" width="10.28515625" style="16" bestFit="1" customWidth="1"/>
    <col min="9481" max="9481" width="7.140625" style="16" customWidth="1"/>
    <col min="9482" max="9482" width="7.28515625" style="16" customWidth="1"/>
    <col min="9483" max="9484" width="7" style="16" customWidth="1"/>
    <col min="9485" max="9485" width="6.85546875" style="16" customWidth="1"/>
    <col min="9486" max="9486" width="7" style="16" customWidth="1"/>
    <col min="9487" max="9487" width="7.14062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9.7109375" style="16" customWidth="1"/>
    <col min="9731" max="9731" width="10.7109375" style="16" bestFit="1" customWidth="1"/>
    <col min="9732" max="9732" width="6.7109375" style="16" customWidth="1"/>
    <col min="9733" max="9733" width="8.5703125" style="16" customWidth="1"/>
    <col min="9734" max="9734" width="9.28515625" style="16" customWidth="1"/>
    <col min="9735" max="9735" width="10.42578125" style="16" bestFit="1" customWidth="1"/>
    <col min="9736" max="9736" width="10.28515625" style="16" bestFit="1" customWidth="1"/>
    <col min="9737" max="9737" width="7.140625" style="16" customWidth="1"/>
    <col min="9738" max="9738" width="7.28515625" style="16" customWidth="1"/>
    <col min="9739" max="9740" width="7" style="16" customWidth="1"/>
    <col min="9741" max="9741" width="6.85546875" style="16" customWidth="1"/>
    <col min="9742" max="9742" width="7" style="16" customWidth="1"/>
    <col min="9743" max="9743" width="7.14062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9.7109375" style="16" customWidth="1"/>
    <col min="9987" max="9987" width="10.7109375" style="16" bestFit="1" customWidth="1"/>
    <col min="9988" max="9988" width="6.7109375" style="16" customWidth="1"/>
    <col min="9989" max="9989" width="8.5703125" style="16" customWidth="1"/>
    <col min="9990" max="9990" width="9.28515625" style="16" customWidth="1"/>
    <col min="9991" max="9991" width="10.42578125" style="16" bestFit="1" customWidth="1"/>
    <col min="9992" max="9992" width="10.28515625" style="16" bestFit="1" customWidth="1"/>
    <col min="9993" max="9993" width="7.140625" style="16" customWidth="1"/>
    <col min="9994" max="9994" width="7.28515625" style="16" customWidth="1"/>
    <col min="9995" max="9996" width="7" style="16" customWidth="1"/>
    <col min="9997" max="9997" width="6.85546875" style="16" customWidth="1"/>
    <col min="9998" max="9998" width="7" style="16" customWidth="1"/>
    <col min="9999" max="9999" width="7.14062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9.7109375" style="16" customWidth="1"/>
    <col min="10243" max="10243" width="10.7109375" style="16" bestFit="1" customWidth="1"/>
    <col min="10244" max="10244" width="6.7109375" style="16" customWidth="1"/>
    <col min="10245" max="10245" width="8.5703125" style="16" customWidth="1"/>
    <col min="10246" max="10246" width="9.28515625" style="16" customWidth="1"/>
    <col min="10247" max="10247" width="10.42578125" style="16" bestFit="1" customWidth="1"/>
    <col min="10248" max="10248" width="10.28515625" style="16" bestFit="1" customWidth="1"/>
    <col min="10249" max="10249" width="7.140625" style="16" customWidth="1"/>
    <col min="10250" max="10250" width="7.28515625" style="16" customWidth="1"/>
    <col min="10251" max="10252" width="7" style="16" customWidth="1"/>
    <col min="10253" max="10253" width="6.85546875" style="16" customWidth="1"/>
    <col min="10254" max="10254" width="7" style="16" customWidth="1"/>
    <col min="10255" max="10255" width="7.14062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9.7109375" style="16" customWidth="1"/>
    <col min="10499" max="10499" width="10.7109375" style="16" bestFit="1" customWidth="1"/>
    <col min="10500" max="10500" width="6.7109375" style="16" customWidth="1"/>
    <col min="10501" max="10501" width="8.5703125" style="16" customWidth="1"/>
    <col min="10502" max="10502" width="9.28515625" style="16" customWidth="1"/>
    <col min="10503" max="10503" width="10.42578125" style="16" bestFit="1" customWidth="1"/>
    <col min="10504" max="10504" width="10.28515625" style="16" bestFit="1" customWidth="1"/>
    <col min="10505" max="10505" width="7.140625" style="16" customWidth="1"/>
    <col min="10506" max="10506" width="7.28515625" style="16" customWidth="1"/>
    <col min="10507" max="10508" width="7" style="16" customWidth="1"/>
    <col min="10509" max="10509" width="6.85546875" style="16" customWidth="1"/>
    <col min="10510" max="10510" width="7" style="16" customWidth="1"/>
    <col min="10511" max="10511" width="7.14062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9.7109375" style="16" customWidth="1"/>
    <col min="10755" max="10755" width="10.7109375" style="16" bestFit="1" customWidth="1"/>
    <col min="10756" max="10756" width="6.7109375" style="16" customWidth="1"/>
    <col min="10757" max="10757" width="8.5703125" style="16" customWidth="1"/>
    <col min="10758" max="10758" width="9.28515625" style="16" customWidth="1"/>
    <col min="10759" max="10759" width="10.42578125" style="16" bestFit="1" customWidth="1"/>
    <col min="10760" max="10760" width="10.28515625" style="16" bestFit="1" customWidth="1"/>
    <col min="10761" max="10761" width="7.140625" style="16" customWidth="1"/>
    <col min="10762" max="10762" width="7.28515625" style="16" customWidth="1"/>
    <col min="10763" max="10764" width="7" style="16" customWidth="1"/>
    <col min="10765" max="10765" width="6.85546875" style="16" customWidth="1"/>
    <col min="10766" max="10766" width="7" style="16" customWidth="1"/>
    <col min="10767" max="10767" width="7.14062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9.7109375" style="16" customWidth="1"/>
    <col min="11011" max="11011" width="10.7109375" style="16" bestFit="1" customWidth="1"/>
    <col min="11012" max="11012" width="6.7109375" style="16" customWidth="1"/>
    <col min="11013" max="11013" width="8.5703125" style="16" customWidth="1"/>
    <col min="11014" max="11014" width="9.28515625" style="16" customWidth="1"/>
    <col min="11015" max="11015" width="10.42578125" style="16" bestFit="1" customWidth="1"/>
    <col min="11016" max="11016" width="10.28515625" style="16" bestFit="1" customWidth="1"/>
    <col min="11017" max="11017" width="7.140625" style="16" customWidth="1"/>
    <col min="11018" max="11018" width="7.28515625" style="16" customWidth="1"/>
    <col min="11019" max="11020" width="7" style="16" customWidth="1"/>
    <col min="11021" max="11021" width="6.85546875" style="16" customWidth="1"/>
    <col min="11022" max="11022" width="7" style="16" customWidth="1"/>
    <col min="11023" max="11023" width="7.14062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9.7109375" style="16" customWidth="1"/>
    <col min="11267" max="11267" width="10.7109375" style="16" bestFit="1" customWidth="1"/>
    <col min="11268" max="11268" width="6.7109375" style="16" customWidth="1"/>
    <col min="11269" max="11269" width="8.5703125" style="16" customWidth="1"/>
    <col min="11270" max="11270" width="9.28515625" style="16" customWidth="1"/>
    <col min="11271" max="11271" width="10.42578125" style="16" bestFit="1" customWidth="1"/>
    <col min="11272" max="11272" width="10.28515625" style="16" bestFit="1" customWidth="1"/>
    <col min="11273" max="11273" width="7.140625" style="16" customWidth="1"/>
    <col min="11274" max="11274" width="7.28515625" style="16" customWidth="1"/>
    <col min="11275" max="11276" width="7" style="16" customWidth="1"/>
    <col min="11277" max="11277" width="6.85546875" style="16" customWidth="1"/>
    <col min="11278" max="11278" width="7" style="16" customWidth="1"/>
    <col min="11279" max="11279" width="7.14062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9.7109375" style="16" customWidth="1"/>
    <col min="11523" max="11523" width="10.7109375" style="16" bestFit="1" customWidth="1"/>
    <col min="11524" max="11524" width="6.7109375" style="16" customWidth="1"/>
    <col min="11525" max="11525" width="8.5703125" style="16" customWidth="1"/>
    <col min="11526" max="11526" width="9.28515625" style="16" customWidth="1"/>
    <col min="11527" max="11527" width="10.42578125" style="16" bestFit="1" customWidth="1"/>
    <col min="11528" max="11528" width="10.28515625" style="16" bestFit="1" customWidth="1"/>
    <col min="11529" max="11529" width="7.140625" style="16" customWidth="1"/>
    <col min="11530" max="11530" width="7.28515625" style="16" customWidth="1"/>
    <col min="11531" max="11532" width="7" style="16" customWidth="1"/>
    <col min="11533" max="11533" width="6.85546875" style="16" customWidth="1"/>
    <col min="11534" max="11534" width="7" style="16" customWidth="1"/>
    <col min="11535" max="11535" width="7.14062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9.7109375" style="16" customWidth="1"/>
    <col min="11779" max="11779" width="10.7109375" style="16" bestFit="1" customWidth="1"/>
    <col min="11780" max="11780" width="6.7109375" style="16" customWidth="1"/>
    <col min="11781" max="11781" width="8.5703125" style="16" customWidth="1"/>
    <col min="11782" max="11782" width="9.28515625" style="16" customWidth="1"/>
    <col min="11783" max="11783" width="10.42578125" style="16" bestFit="1" customWidth="1"/>
    <col min="11784" max="11784" width="10.28515625" style="16" bestFit="1" customWidth="1"/>
    <col min="11785" max="11785" width="7.140625" style="16" customWidth="1"/>
    <col min="11786" max="11786" width="7.28515625" style="16" customWidth="1"/>
    <col min="11787" max="11788" width="7" style="16" customWidth="1"/>
    <col min="11789" max="11789" width="6.85546875" style="16" customWidth="1"/>
    <col min="11790" max="11790" width="7" style="16" customWidth="1"/>
    <col min="11791" max="11791" width="7.14062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9.7109375" style="16" customWidth="1"/>
    <col min="12035" max="12035" width="10.7109375" style="16" bestFit="1" customWidth="1"/>
    <col min="12036" max="12036" width="6.7109375" style="16" customWidth="1"/>
    <col min="12037" max="12037" width="8.5703125" style="16" customWidth="1"/>
    <col min="12038" max="12038" width="9.28515625" style="16" customWidth="1"/>
    <col min="12039" max="12039" width="10.42578125" style="16" bestFit="1" customWidth="1"/>
    <col min="12040" max="12040" width="10.28515625" style="16" bestFit="1" customWidth="1"/>
    <col min="12041" max="12041" width="7.140625" style="16" customWidth="1"/>
    <col min="12042" max="12042" width="7.28515625" style="16" customWidth="1"/>
    <col min="12043" max="12044" width="7" style="16" customWidth="1"/>
    <col min="12045" max="12045" width="6.85546875" style="16" customWidth="1"/>
    <col min="12046" max="12046" width="7" style="16" customWidth="1"/>
    <col min="12047" max="12047" width="7.14062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9.7109375" style="16" customWidth="1"/>
    <col min="12291" max="12291" width="10.7109375" style="16" bestFit="1" customWidth="1"/>
    <col min="12292" max="12292" width="6.7109375" style="16" customWidth="1"/>
    <col min="12293" max="12293" width="8.5703125" style="16" customWidth="1"/>
    <col min="12294" max="12294" width="9.28515625" style="16" customWidth="1"/>
    <col min="12295" max="12295" width="10.42578125" style="16" bestFit="1" customWidth="1"/>
    <col min="12296" max="12296" width="10.28515625" style="16" bestFit="1" customWidth="1"/>
    <col min="12297" max="12297" width="7.140625" style="16" customWidth="1"/>
    <col min="12298" max="12298" width="7.28515625" style="16" customWidth="1"/>
    <col min="12299" max="12300" width="7" style="16" customWidth="1"/>
    <col min="12301" max="12301" width="6.85546875" style="16" customWidth="1"/>
    <col min="12302" max="12302" width="7" style="16" customWidth="1"/>
    <col min="12303" max="12303" width="7.14062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9.7109375" style="16" customWidth="1"/>
    <col min="12547" max="12547" width="10.7109375" style="16" bestFit="1" customWidth="1"/>
    <col min="12548" max="12548" width="6.7109375" style="16" customWidth="1"/>
    <col min="12549" max="12549" width="8.5703125" style="16" customWidth="1"/>
    <col min="12550" max="12550" width="9.28515625" style="16" customWidth="1"/>
    <col min="12551" max="12551" width="10.42578125" style="16" bestFit="1" customWidth="1"/>
    <col min="12552" max="12552" width="10.28515625" style="16" bestFit="1" customWidth="1"/>
    <col min="12553" max="12553" width="7.140625" style="16" customWidth="1"/>
    <col min="12554" max="12554" width="7.28515625" style="16" customWidth="1"/>
    <col min="12555" max="12556" width="7" style="16" customWidth="1"/>
    <col min="12557" max="12557" width="6.85546875" style="16" customWidth="1"/>
    <col min="12558" max="12558" width="7" style="16" customWidth="1"/>
    <col min="12559" max="12559" width="7.14062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9.7109375" style="16" customWidth="1"/>
    <col min="12803" max="12803" width="10.7109375" style="16" bestFit="1" customWidth="1"/>
    <col min="12804" max="12804" width="6.7109375" style="16" customWidth="1"/>
    <col min="12805" max="12805" width="8.5703125" style="16" customWidth="1"/>
    <col min="12806" max="12806" width="9.28515625" style="16" customWidth="1"/>
    <col min="12807" max="12807" width="10.42578125" style="16" bestFit="1" customWidth="1"/>
    <col min="12808" max="12808" width="10.28515625" style="16" bestFit="1" customWidth="1"/>
    <col min="12809" max="12809" width="7.140625" style="16" customWidth="1"/>
    <col min="12810" max="12810" width="7.28515625" style="16" customWidth="1"/>
    <col min="12811" max="12812" width="7" style="16" customWidth="1"/>
    <col min="12813" max="12813" width="6.85546875" style="16" customWidth="1"/>
    <col min="12814" max="12814" width="7" style="16" customWidth="1"/>
    <col min="12815" max="12815" width="7.14062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9.7109375" style="16" customWidth="1"/>
    <col min="13059" max="13059" width="10.7109375" style="16" bestFit="1" customWidth="1"/>
    <col min="13060" max="13060" width="6.7109375" style="16" customWidth="1"/>
    <col min="13061" max="13061" width="8.5703125" style="16" customWidth="1"/>
    <col min="13062" max="13062" width="9.28515625" style="16" customWidth="1"/>
    <col min="13063" max="13063" width="10.42578125" style="16" bestFit="1" customWidth="1"/>
    <col min="13064" max="13064" width="10.28515625" style="16" bestFit="1" customWidth="1"/>
    <col min="13065" max="13065" width="7.140625" style="16" customWidth="1"/>
    <col min="13066" max="13066" width="7.28515625" style="16" customWidth="1"/>
    <col min="13067" max="13068" width="7" style="16" customWidth="1"/>
    <col min="13069" max="13069" width="6.85546875" style="16" customWidth="1"/>
    <col min="13070" max="13070" width="7" style="16" customWidth="1"/>
    <col min="13071" max="13071" width="7.14062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9.7109375" style="16" customWidth="1"/>
    <col min="13315" max="13315" width="10.7109375" style="16" bestFit="1" customWidth="1"/>
    <col min="13316" max="13316" width="6.7109375" style="16" customWidth="1"/>
    <col min="13317" max="13317" width="8.5703125" style="16" customWidth="1"/>
    <col min="13318" max="13318" width="9.28515625" style="16" customWidth="1"/>
    <col min="13319" max="13319" width="10.42578125" style="16" bestFit="1" customWidth="1"/>
    <col min="13320" max="13320" width="10.28515625" style="16" bestFit="1" customWidth="1"/>
    <col min="13321" max="13321" width="7.140625" style="16" customWidth="1"/>
    <col min="13322" max="13322" width="7.28515625" style="16" customWidth="1"/>
    <col min="13323" max="13324" width="7" style="16" customWidth="1"/>
    <col min="13325" max="13325" width="6.85546875" style="16" customWidth="1"/>
    <col min="13326" max="13326" width="7" style="16" customWidth="1"/>
    <col min="13327" max="13327" width="7.14062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9.7109375" style="16" customWidth="1"/>
    <col min="13571" max="13571" width="10.7109375" style="16" bestFit="1" customWidth="1"/>
    <col min="13572" max="13572" width="6.7109375" style="16" customWidth="1"/>
    <col min="13573" max="13573" width="8.5703125" style="16" customWidth="1"/>
    <col min="13574" max="13574" width="9.28515625" style="16" customWidth="1"/>
    <col min="13575" max="13575" width="10.42578125" style="16" bestFit="1" customWidth="1"/>
    <col min="13576" max="13576" width="10.28515625" style="16" bestFit="1" customWidth="1"/>
    <col min="13577" max="13577" width="7.140625" style="16" customWidth="1"/>
    <col min="13578" max="13578" width="7.28515625" style="16" customWidth="1"/>
    <col min="13579" max="13580" width="7" style="16" customWidth="1"/>
    <col min="13581" max="13581" width="6.85546875" style="16" customWidth="1"/>
    <col min="13582" max="13582" width="7" style="16" customWidth="1"/>
    <col min="13583" max="13583" width="7.14062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9.7109375" style="16" customWidth="1"/>
    <col min="13827" max="13827" width="10.7109375" style="16" bestFit="1" customWidth="1"/>
    <col min="13828" max="13828" width="6.7109375" style="16" customWidth="1"/>
    <col min="13829" max="13829" width="8.5703125" style="16" customWidth="1"/>
    <col min="13830" max="13830" width="9.28515625" style="16" customWidth="1"/>
    <col min="13831" max="13831" width="10.42578125" style="16" bestFit="1" customWidth="1"/>
    <col min="13832" max="13832" width="10.28515625" style="16" bestFit="1" customWidth="1"/>
    <col min="13833" max="13833" width="7.140625" style="16" customWidth="1"/>
    <col min="13834" max="13834" width="7.28515625" style="16" customWidth="1"/>
    <col min="13835" max="13836" width="7" style="16" customWidth="1"/>
    <col min="13837" max="13837" width="6.85546875" style="16" customWidth="1"/>
    <col min="13838" max="13838" width="7" style="16" customWidth="1"/>
    <col min="13839" max="13839" width="7.14062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9.7109375" style="16" customWidth="1"/>
    <col min="14083" max="14083" width="10.7109375" style="16" bestFit="1" customWidth="1"/>
    <col min="14084" max="14084" width="6.7109375" style="16" customWidth="1"/>
    <col min="14085" max="14085" width="8.5703125" style="16" customWidth="1"/>
    <col min="14086" max="14086" width="9.28515625" style="16" customWidth="1"/>
    <col min="14087" max="14087" width="10.42578125" style="16" bestFit="1" customWidth="1"/>
    <col min="14088" max="14088" width="10.28515625" style="16" bestFit="1" customWidth="1"/>
    <col min="14089" max="14089" width="7.140625" style="16" customWidth="1"/>
    <col min="14090" max="14090" width="7.28515625" style="16" customWidth="1"/>
    <col min="14091" max="14092" width="7" style="16" customWidth="1"/>
    <col min="14093" max="14093" width="6.85546875" style="16" customWidth="1"/>
    <col min="14094" max="14094" width="7" style="16" customWidth="1"/>
    <col min="14095" max="14095" width="7.14062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9.7109375" style="16" customWidth="1"/>
    <col min="14339" max="14339" width="10.7109375" style="16" bestFit="1" customWidth="1"/>
    <col min="14340" max="14340" width="6.7109375" style="16" customWidth="1"/>
    <col min="14341" max="14341" width="8.5703125" style="16" customWidth="1"/>
    <col min="14342" max="14342" width="9.28515625" style="16" customWidth="1"/>
    <col min="14343" max="14343" width="10.42578125" style="16" bestFit="1" customWidth="1"/>
    <col min="14344" max="14344" width="10.28515625" style="16" bestFit="1" customWidth="1"/>
    <col min="14345" max="14345" width="7.140625" style="16" customWidth="1"/>
    <col min="14346" max="14346" width="7.28515625" style="16" customWidth="1"/>
    <col min="14347" max="14348" width="7" style="16" customWidth="1"/>
    <col min="14349" max="14349" width="6.85546875" style="16" customWidth="1"/>
    <col min="14350" max="14350" width="7" style="16" customWidth="1"/>
    <col min="14351" max="14351" width="7.14062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9.7109375" style="16" customWidth="1"/>
    <col min="14595" max="14595" width="10.7109375" style="16" bestFit="1" customWidth="1"/>
    <col min="14596" max="14596" width="6.7109375" style="16" customWidth="1"/>
    <col min="14597" max="14597" width="8.5703125" style="16" customWidth="1"/>
    <col min="14598" max="14598" width="9.28515625" style="16" customWidth="1"/>
    <col min="14599" max="14599" width="10.42578125" style="16" bestFit="1" customWidth="1"/>
    <col min="14600" max="14600" width="10.28515625" style="16" bestFit="1" customWidth="1"/>
    <col min="14601" max="14601" width="7.140625" style="16" customWidth="1"/>
    <col min="14602" max="14602" width="7.28515625" style="16" customWidth="1"/>
    <col min="14603" max="14604" width="7" style="16" customWidth="1"/>
    <col min="14605" max="14605" width="6.85546875" style="16" customWidth="1"/>
    <col min="14606" max="14606" width="7" style="16" customWidth="1"/>
    <col min="14607" max="14607" width="7.14062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9.7109375" style="16" customWidth="1"/>
    <col min="14851" max="14851" width="10.7109375" style="16" bestFit="1" customWidth="1"/>
    <col min="14852" max="14852" width="6.7109375" style="16" customWidth="1"/>
    <col min="14853" max="14853" width="8.5703125" style="16" customWidth="1"/>
    <col min="14854" max="14854" width="9.28515625" style="16" customWidth="1"/>
    <col min="14855" max="14855" width="10.42578125" style="16" bestFit="1" customWidth="1"/>
    <col min="14856" max="14856" width="10.28515625" style="16" bestFit="1" customWidth="1"/>
    <col min="14857" max="14857" width="7.140625" style="16" customWidth="1"/>
    <col min="14858" max="14858" width="7.28515625" style="16" customWidth="1"/>
    <col min="14859" max="14860" width="7" style="16" customWidth="1"/>
    <col min="14861" max="14861" width="6.85546875" style="16" customWidth="1"/>
    <col min="14862" max="14862" width="7" style="16" customWidth="1"/>
    <col min="14863" max="14863" width="7.14062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9.7109375" style="16" customWidth="1"/>
    <col min="15107" max="15107" width="10.7109375" style="16" bestFit="1" customWidth="1"/>
    <col min="15108" max="15108" width="6.7109375" style="16" customWidth="1"/>
    <col min="15109" max="15109" width="8.5703125" style="16" customWidth="1"/>
    <col min="15110" max="15110" width="9.28515625" style="16" customWidth="1"/>
    <col min="15111" max="15111" width="10.42578125" style="16" bestFit="1" customWidth="1"/>
    <col min="15112" max="15112" width="10.28515625" style="16" bestFit="1" customWidth="1"/>
    <col min="15113" max="15113" width="7.140625" style="16" customWidth="1"/>
    <col min="15114" max="15114" width="7.28515625" style="16" customWidth="1"/>
    <col min="15115" max="15116" width="7" style="16" customWidth="1"/>
    <col min="15117" max="15117" width="6.85546875" style="16" customWidth="1"/>
    <col min="15118" max="15118" width="7" style="16" customWidth="1"/>
    <col min="15119" max="15119" width="7.14062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9.7109375" style="16" customWidth="1"/>
    <col min="15363" max="15363" width="10.7109375" style="16" bestFit="1" customWidth="1"/>
    <col min="15364" max="15364" width="6.7109375" style="16" customWidth="1"/>
    <col min="15365" max="15365" width="8.5703125" style="16" customWidth="1"/>
    <col min="15366" max="15366" width="9.28515625" style="16" customWidth="1"/>
    <col min="15367" max="15367" width="10.42578125" style="16" bestFit="1" customWidth="1"/>
    <col min="15368" max="15368" width="10.28515625" style="16" bestFit="1" customWidth="1"/>
    <col min="15369" max="15369" width="7.140625" style="16" customWidth="1"/>
    <col min="15370" max="15370" width="7.28515625" style="16" customWidth="1"/>
    <col min="15371" max="15372" width="7" style="16" customWidth="1"/>
    <col min="15373" max="15373" width="6.85546875" style="16" customWidth="1"/>
    <col min="15374" max="15374" width="7" style="16" customWidth="1"/>
    <col min="15375" max="15375" width="7.14062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9.7109375" style="16" customWidth="1"/>
    <col min="15619" max="15619" width="10.7109375" style="16" bestFit="1" customWidth="1"/>
    <col min="15620" max="15620" width="6.7109375" style="16" customWidth="1"/>
    <col min="15621" max="15621" width="8.5703125" style="16" customWidth="1"/>
    <col min="15622" max="15622" width="9.28515625" style="16" customWidth="1"/>
    <col min="15623" max="15623" width="10.42578125" style="16" bestFit="1" customWidth="1"/>
    <col min="15624" max="15624" width="10.28515625" style="16" bestFit="1" customWidth="1"/>
    <col min="15625" max="15625" width="7.140625" style="16" customWidth="1"/>
    <col min="15626" max="15626" width="7.28515625" style="16" customWidth="1"/>
    <col min="15627" max="15628" width="7" style="16" customWidth="1"/>
    <col min="15629" max="15629" width="6.85546875" style="16" customWidth="1"/>
    <col min="15630" max="15630" width="7" style="16" customWidth="1"/>
    <col min="15631" max="15631" width="7.14062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9.7109375" style="16" customWidth="1"/>
    <col min="15875" max="15875" width="10.7109375" style="16" bestFit="1" customWidth="1"/>
    <col min="15876" max="15876" width="6.7109375" style="16" customWidth="1"/>
    <col min="15877" max="15877" width="8.5703125" style="16" customWidth="1"/>
    <col min="15878" max="15878" width="9.28515625" style="16" customWidth="1"/>
    <col min="15879" max="15879" width="10.42578125" style="16" bestFit="1" customWidth="1"/>
    <col min="15880" max="15880" width="10.28515625" style="16" bestFit="1" customWidth="1"/>
    <col min="15881" max="15881" width="7.140625" style="16" customWidth="1"/>
    <col min="15882" max="15882" width="7.28515625" style="16" customWidth="1"/>
    <col min="15883" max="15884" width="7" style="16" customWidth="1"/>
    <col min="15885" max="15885" width="6.85546875" style="16" customWidth="1"/>
    <col min="15886" max="15886" width="7" style="16" customWidth="1"/>
    <col min="15887" max="15887" width="7.14062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9.7109375" style="16" customWidth="1"/>
    <col min="16131" max="16131" width="10.7109375" style="16" bestFit="1" customWidth="1"/>
    <col min="16132" max="16132" width="6.7109375" style="16" customWidth="1"/>
    <col min="16133" max="16133" width="8.5703125" style="16" customWidth="1"/>
    <col min="16134" max="16134" width="9.28515625" style="16" customWidth="1"/>
    <col min="16135" max="16135" width="10.42578125" style="16" bestFit="1" customWidth="1"/>
    <col min="16136" max="16136" width="10.28515625" style="16" bestFit="1" customWidth="1"/>
    <col min="16137" max="16137" width="7.140625" style="16" customWidth="1"/>
    <col min="16138" max="16138" width="7.28515625" style="16" customWidth="1"/>
    <col min="16139" max="16140" width="7" style="16" customWidth="1"/>
    <col min="16141" max="16141" width="6.85546875" style="16" customWidth="1"/>
    <col min="16142" max="16142" width="7" style="16" customWidth="1"/>
    <col min="16143" max="16143" width="7.14062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67" t="s">
        <v>100</v>
      </c>
      <c r="B1" s="868"/>
      <c r="C1" s="868"/>
      <c r="D1" s="911" t="s">
        <v>421</v>
      </c>
      <c r="E1" s="868"/>
      <c r="F1" s="868"/>
      <c r="G1" s="867" t="s">
        <v>102</v>
      </c>
      <c r="H1" s="869"/>
      <c r="I1" s="869" t="s">
        <v>41</v>
      </c>
      <c r="J1" s="868"/>
      <c r="K1" s="868"/>
      <c r="L1" s="870"/>
      <c r="M1" s="870"/>
      <c r="N1" s="870"/>
      <c r="O1" s="870"/>
    </row>
    <row r="2" spans="1:15" s="1" customFormat="1" x14ac:dyDescent="0.2">
      <c r="A2" s="867" t="s">
        <v>103</v>
      </c>
      <c r="B2" s="868"/>
      <c r="C2" s="868"/>
      <c r="D2" s="869"/>
      <c r="E2" s="868"/>
      <c r="F2" s="868"/>
      <c r="G2" s="867" t="s">
        <v>104</v>
      </c>
      <c r="H2" s="869"/>
      <c r="I2" s="869" t="s">
        <v>105</v>
      </c>
      <c r="J2" s="868"/>
      <c r="K2" s="868"/>
      <c r="L2" s="870"/>
      <c r="M2" s="870"/>
      <c r="N2" s="870"/>
      <c r="O2" s="870"/>
    </row>
    <row r="3" spans="1:15" s="1" customFormat="1" x14ac:dyDescent="0.2">
      <c r="A3" s="867" t="s">
        <v>106</v>
      </c>
      <c r="B3" s="868"/>
      <c r="C3" s="868"/>
      <c r="D3" s="883" t="s">
        <v>422</v>
      </c>
      <c r="E3" s="868"/>
      <c r="F3" s="868"/>
      <c r="G3" s="867" t="s">
        <v>107</v>
      </c>
      <c r="H3" s="869"/>
      <c r="I3" s="869" t="s">
        <v>108</v>
      </c>
      <c r="J3" s="868"/>
      <c r="K3" s="868"/>
      <c r="L3" s="870"/>
      <c r="M3" s="870"/>
      <c r="N3" s="870"/>
      <c r="O3" s="870"/>
    </row>
    <row r="4" spans="1:15" s="1" customFormat="1" x14ac:dyDescent="0.2">
      <c r="A4" s="867" t="s">
        <v>109</v>
      </c>
      <c r="B4" s="868"/>
      <c r="C4" s="868"/>
      <c r="D4" s="869"/>
      <c r="E4" s="868"/>
      <c r="F4" s="868"/>
      <c r="G4" s="867" t="s">
        <v>110</v>
      </c>
      <c r="H4" s="869"/>
      <c r="I4" s="869" t="s">
        <v>419</v>
      </c>
      <c r="J4" s="868"/>
      <c r="K4" s="868"/>
      <c r="L4" s="870"/>
      <c r="M4" s="870"/>
      <c r="N4" s="870"/>
      <c r="O4" s="870"/>
    </row>
    <row r="5" spans="1:15" s="1" customFormat="1" x14ac:dyDescent="0.2">
      <c r="A5" s="867" t="s">
        <v>278</v>
      </c>
      <c r="B5" s="868"/>
      <c r="C5" s="868"/>
      <c r="D5" s="869" t="s">
        <v>423</v>
      </c>
      <c r="E5" s="868"/>
      <c r="F5" s="868"/>
      <c r="G5" s="867"/>
      <c r="H5" s="868"/>
      <c r="I5" s="869" t="s">
        <v>113</v>
      </c>
      <c r="J5" s="868"/>
      <c r="K5" s="868"/>
      <c r="L5" s="870"/>
      <c r="M5" s="870"/>
      <c r="N5" s="870"/>
      <c r="O5" s="870"/>
    </row>
    <row r="6" spans="1:15" s="1" customFormat="1" x14ac:dyDescent="0.2">
      <c r="A6" s="871" t="s">
        <v>114</v>
      </c>
      <c r="B6" s="872"/>
      <c r="C6" s="872"/>
      <c r="D6" s="868" t="s">
        <v>42</v>
      </c>
      <c r="E6" s="868"/>
      <c r="F6" s="868"/>
      <c r="G6" s="871" t="s">
        <v>115</v>
      </c>
      <c r="H6" s="871"/>
      <c r="I6" s="2" t="s">
        <v>116</v>
      </c>
      <c r="J6" s="888"/>
      <c r="K6" s="888"/>
      <c r="L6" s="888"/>
      <c r="M6" s="888"/>
      <c r="N6" s="888"/>
      <c r="O6" s="889"/>
    </row>
    <row r="7" spans="1:15" s="1" customFormat="1" ht="13.5" thickBot="1" x14ac:dyDescent="0.25">
      <c r="A7" s="3"/>
      <c r="B7" s="4"/>
      <c r="C7" s="5"/>
      <c r="D7" s="6"/>
      <c r="E7" s="6"/>
      <c r="F7" s="6"/>
      <c r="G7" s="6"/>
      <c r="H7" s="6"/>
      <c r="I7" s="6"/>
      <c r="J7" s="7"/>
      <c r="K7" s="8"/>
      <c r="L7" s="875" t="s">
        <v>223</v>
      </c>
      <c r="M7" s="875"/>
      <c r="N7" s="875"/>
      <c r="O7" s="875"/>
    </row>
    <row r="8" spans="1:15" s="11" customFormat="1" x14ac:dyDescent="0.2">
      <c r="A8" s="876" t="str">
        <f>I1</f>
        <v>Mr. S. V. Rajwadkar</v>
      </c>
      <c r="B8" s="877"/>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68000</v>
      </c>
      <c r="D9" s="14">
        <v>68000</v>
      </c>
      <c r="E9" s="14">
        <v>68000</v>
      </c>
      <c r="F9" s="14">
        <v>68000</v>
      </c>
      <c r="G9" s="14">
        <v>69484</v>
      </c>
      <c r="H9" s="14">
        <v>70000</v>
      </c>
      <c r="I9" s="14">
        <v>70000</v>
      </c>
      <c r="J9" s="14">
        <v>70000</v>
      </c>
      <c r="K9" s="14">
        <v>70000</v>
      </c>
      <c r="L9" s="14">
        <v>70000</v>
      </c>
      <c r="M9" s="14">
        <v>70000</v>
      </c>
      <c r="N9" s="14">
        <v>70000</v>
      </c>
      <c r="O9" s="15">
        <f>SUM(C9:N9)</f>
        <v>831484</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3400</v>
      </c>
      <c r="D11" s="17">
        <v>4760</v>
      </c>
      <c r="E11" s="17">
        <v>4760</v>
      </c>
      <c r="F11" s="17">
        <v>4760</v>
      </c>
      <c r="G11" s="17">
        <v>4864</v>
      </c>
      <c r="H11" s="17">
        <v>4900</v>
      </c>
      <c r="I11" s="17">
        <v>4900</v>
      </c>
      <c r="J11" s="17">
        <v>6300</v>
      </c>
      <c r="K11" s="17">
        <v>6300</v>
      </c>
      <c r="L11" s="17">
        <v>6300</v>
      </c>
      <c r="M11" s="17">
        <v>6300</v>
      </c>
      <c r="N11" s="17">
        <v>6300</v>
      </c>
      <c r="O11" s="18">
        <f>SUM(C11:N11)</f>
        <v>63844</v>
      </c>
    </row>
    <row r="12" spans="1:15"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x14ac:dyDescent="0.2">
      <c r="A14" s="12"/>
      <c r="B14" s="13" t="s">
        <v>123</v>
      </c>
      <c r="C14" s="17">
        <v>3780</v>
      </c>
      <c r="D14" s="17">
        <v>3752</v>
      </c>
      <c r="E14" s="17">
        <v>3752</v>
      </c>
      <c r="F14" s="17">
        <v>3752</v>
      </c>
      <c r="G14" s="17">
        <v>3752</v>
      </c>
      <c r="H14" s="17">
        <v>3752</v>
      </c>
      <c r="I14" s="17">
        <v>3752</v>
      </c>
      <c r="J14" s="17">
        <v>3924</v>
      </c>
      <c r="K14" s="17">
        <v>3924</v>
      </c>
      <c r="L14" s="17">
        <v>3924</v>
      </c>
      <c r="M14" s="17">
        <v>3924</v>
      </c>
      <c r="N14" s="17">
        <v>3924</v>
      </c>
      <c r="O14" s="18">
        <f t="shared" si="0"/>
        <v>45912</v>
      </c>
    </row>
    <row r="15" spans="1:15"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hidden="1"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row>
    <row r="17" spans="1:15" ht="15" customHeight="1" x14ac:dyDescent="0.2">
      <c r="A17" s="12"/>
      <c r="B17" s="166" t="s">
        <v>280</v>
      </c>
      <c r="C17" s="17">
        <v>0</v>
      </c>
      <c r="D17" s="17">
        <v>0</v>
      </c>
      <c r="E17" s="17">
        <v>0</v>
      </c>
      <c r="F17" s="17">
        <v>0</v>
      </c>
      <c r="G17" s="17">
        <v>0</v>
      </c>
      <c r="H17" s="17">
        <v>0</v>
      </c>
      <c r="I17" s="17">
        <v>0</v>
      </c>
      <c r="J17" s="17">
        <v>0</v>
      </c>
      <c r="K17" s="17">
        <v>0</v>
      </c>
      <c r="L17" s="17">
        <v>0</v>
      </c>
      <c r="M17" s="17">
        <v>0</v>
      </c>
      <c r="N17" s="17">
        <v>0</v>
      </c>
      <c r="O17" s="18">
        <f t="shared" si="0"/>
        <v>0</v>
      </c>
    </row>
    <row r="18" spans="1:15" ht="15" customHeight="1" x14ac:dyDescent="0.2">
      <c r="A18" s="12"/>
      <c r="B18" s="13" t="s">
        <v>127</v>
      </c>
      <c r="C18" s="17">
        <v>0</v>
      </c>
      <c r="D18" s="17">
        <v>0</v>
      </c>
      <c r="E18" s="17">
        <v>0</v>
      </c>
      <c r="F18" s="17">
        <v>0</v>
      </c>
      <c r="G18" s="17">
        <v>0</v>
      </c>
      <c r="H18" s="17">
        <v>0</v>
      </c>
      <c r="I18" s="17">
        <v>0</v>
      </c>
      <c r="J18" s="17">
        <v>0</v>
      </c>
      <c r="K18" s="17">
        <v>0</v>
      </c>
      <c r="L18" s="17">
        <v>0</v>
      </c>
      <c r="M18" s="17">
        <v>0</v>
      </c>
      <c r="N18" s="17">
        <v>0</v>
      </c>
      <c r="O18" s="18">
        <f>SUM(C18:N18)</f>
        <v>0</v>
      </c>
    </row>
    <row r="19" spans="1:15" ht="15" x14ac:dyDescent="0.2">
      <c r="A19" s="12"/>
      <c r="B19" s="13" t="s">
        <v>128</v>
      </c>
      <c r="C19" s="17">
        <v>16320</v>
      </c>
      <c r="D19" s="17">
        <v>16320</v>
      </c>
      <c r="E19" s="17">
        <v>16320</v>
      </c>
      <c r="F19" s="17">
        <v>16320</v>
      </c>
      <c r="G19" s="17">
        <v>16676</v>
      </c>
      <c r="H19" s="17">
        <v>16800</v>
      </c>
      <c r="I19" s="17">
        <v>16800</v>
      </c>
      <c r="J19" s="17">
        <v>16800</v>
      </c>
      <c r="K19" s="17">
        <v>16800</v>
      </c>
      <c r="L19" s="17">
        <v>16800</v>
      </c>
      <c r="M19" s="17">
        <v>16800</v>
      </c>
      <c r="N19" s="17">
        <v>16800</v>
      </c>
      <c r="O19" s="18">
        <f t="shared" si="0"/>
        <v>199556</v>
      </c>
    </row>
    <row r="20" spans="1:15" ht="15" customHeight="1" x14ac:dyDescent="0.2">
      <c r="A20" s="12"/>
      <c r="B20" s="13" t="s">
        <v>129</v>
      </c>
      <c r="C20" s="17">
        <v>0</v>
      </c>
      <c r="D20" s="17">
        <v>0</v>
      </c>
      <c r="E20" s="17">
        <v>0</v>
      </c>
      <c r="F20" s="17">
        <v>0</v>
      </c>
      <c r="G20" s="17">
        <v>26250</v>
      </c>
      <c r="H20" s="17">
        <v>0</v>
      </c>
      <c r="I20" s="17">
        <v>0</v>
      </c>
      <c r="J20" s="17">
        <v>0</v>
      </c>
      <c r="K20" s="17">
        <v>0</v>
      </c>
      <c r="L20" s="17">
        <v>0</v>
      </c>
      <c r="M20" s="17">
        <v>0</v>
      </c>
      <c r="N20" s="17">
        <v>0</v>
      </c>
      <c r="O20" s="18">
        <f t="shared" si="0"/>
        <v>26250</v>
      </c>
    </row>
    <row r="21" spans="1:15" ht="15" hidden="1" customHeight="1" x14ac:dyDescent="0.2">
      <c r="A21" s="878"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79"/>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5" ht="15" hidden="1" customHeight="1" x14ac:dyDescent="0.2">
      <c r="A23" s="879"/>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79"/>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79"/>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79"/>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79"/>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79"/>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79"/>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79"/>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customHeight="1" x14ac:dyDescent="0.2">
      <c r="A31" s="879"/>
      <c r="B31" s="167" t="s">
        <v>246</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79"/>
      <c r="B32" s="21" t="s">
        <v>142</v>
      </c>
      <c r="C32" s="17">
        <v>0</v>
      </c>
      <c r="D32" s="17">
        <v>0</v>
      </c>
      <c r="E32" s="17">
        <v>56082</v>
      </c>
      <c r="F32" s="17">
        <v>0</v>
      </c>
      <c r="G32" s="17">
        <v>0</v>
      </c>
      <c r="H32" s="17">
        <v>0</v>
      </c>
      <c r="I32" s="17">
        <v>0</v>
      </c>
      <c r="J32" s="17">
        <v>0</v>
      </c>
      <c r="K32" s="17">
        <v>0</v>
      </c>
      <c r="L32" s="17">
        <v>0</v>
      </c>
      <c r="M32" s="17">
        <v>0</v>
      </c>
      <c r="N32" s="17">
        <v>0</v>
      </c>
      <c r="O32" s="18">
        <f t="shared" si="0"/>
        <v>56082</v>
      </c>
    </row>
    <row r="33" spans="1:17" ht="15" hidden="1" customHeight="1" x14ac:dyDescent="0.2">
      <c r="A33" s="880"/>
      <c r="B33" s="19" t="s">
        <v>226</v>
      </c>
      <c r="C33" s="17">
        <v>0</v>
      </c>
      <c r="D33" s="17">
        <v>0</v>
      </c>
      <c r="E33" s="17">
        <v>0</v>
      </c>
      <c r="F33" s="17">
        <v>0</v>
      </c>
      <c r="G33" s="17">
        <v>0</v>
      </c>
      <c r="H33" s="17">
        <v>0</v>
      </c>
      <c r="I33" s="17">
        <v>0</v>
      </c>
      <c r="J33" s="17">
        <v>0</v>
      </c>
      <c r="K33" s="17">
        <v>0</v>
      </c>
      <c r="L33" s="17">
        <v>0</v>
      </c>
      <c r="M33" s="17">
        <v>0</v>
      </c>
      <c r="N33" s="17">
        <v>0</v>
      </c>
      <c r="O33" s="18">
        <f t="shared" si="0"/>
        <v>0</v>
      </c>
    </row>
    <row r="34" spans="1:17" ht="15" customHeight="1" x14ac:dyDescent="0.2">
      <c r="A34" s="865" t="s">
        <v>144</v>
      </c>
      <c r="B34" s="866"/>
      <c r="C34" s="17">
        <v>0</v>
      </c>
      <c r="D34" s="17">
        <v>0</v>
      </c>
      <c r="E34" s="17">
        <v>0</v>
      </c>
      <c r="F34" s="17">
        <v>0</v>
      </c>
      <c r="G34" s="17">
        <v>0</v>
      </c>
      <c r="H34" s="17">
        <v>0</v>
      </c>
      <c r="I34" s="17">
        <v>0</v>
      </c>
      <c r="J34" s="17">
        <v>0</v>
      </c>
      <c r="K34" s="17">
        <v>0</v>
      </c>
      <c r="L34" s="17">
        <v>0</v>
      </c>
      <c r="M34" s="17">
        <v>0</v>
      </c>
      <c r="N34" s="17">
        <v>0</v>
      </c>
      <c r="O34" s="18">
        <f t="shared" si="0"/>
        <v>0</v>
      </c>
    </row>
    <row r="35" spans="1:17" ht="15" customHeight="1" x14ac:dyDescent="0.2">
      <c r="A35" s="865" t="s">
        <v>145</v>
      </c>
      <c r="B35" s="866"/>
      <c r="C35" s="17">
        <v>0</v>
      </c>
      <c r="D35" s="17">
        <v>216</v>
      </c>
      <c r="E35" s="17">
        <v>0</v>
      </c>
      <c r="F35" s="17">
        <v>0</v>
      </c>
      <c r="G35" s="17">
        <v>0</v>
      </c>
      <c r="H35" s="17">
        <v>0</v>
      </c>
      <c r="I35" s="17">
        <v>0</v>
      </c>
      <c r="J35" s="17">
        <v>216</v>
      </c>
      <c r="K35" s="17">
        <v>0</v>
      </c>
      <c r="L35" s="17">
        <v>0</v>
      </c>
      <c r="M35" s="17">
        <v>0</v>
      </c>
      <c r="N35" s="17">
        <v>0</v>
      </c>
      <c r="O35" s="18">
        <f t="shared" si="0"/>
        <v>432</v>
      </c>
    </row>
    <row r="36" spans="1:17" ht="15" customHeight="1" x14ac:dyDescent="0.2">
      <c r="A36" s="865" t="s">
        <v>146</v>
      </c>
      <c r="B36" s="866"/>
      <c r="C36" s="17">
        <v>0</v>
      </c>
      <c r="D36" s="17">
        <v>4080</v>
      </c>
      <c r="E36" s="17">
        <v>0</v>
      </c>
      <c r="F36" s="17">
        <v>0</v>
      </c>
      <c r="G36" s="17">
        <v>0</v>
      </c>
      <c r="H36" s="17">
        <v>0</v>
      </c>
      <c r="I36" s="17">
        <v>0</v>
      </c>
      <c r="J36" s="17">
        <v>4190</v>
      </c>
      <c r="K36" s="17">
        <v>0</v>
      </c>
      <c r="L36" s="17">
        <v>0</v>
      </c>
      <c r="M36" s="17">
        <v>0</v>
      </c>
      <c r="N36" s="17">
        <v>0</v>
      </c>
      <c r="O36" s="18">
        <f t="shared" si="0"/>
        <v>8270</v>
      </c>
    </row>
    <row r="37" spans="1:17" ht="15" customHeight="1" x14ac:dyDescent="0.2">
      <c r="A37" s="22"/>
      <c r="B37" s="23" t="s">
        <v>147</v>
      </c>
      <c r="C37" s="24">
        <f t="shared" ref="C37:N37" si="1">SUM(C9:C36)</f>
        <v>91500</v>
      </c>
      <c r="D37" s="24">
        <f t="shared" si="1"/>
        <v>97128</v>
      </c>
      <c r="E37" s="24">
        <f t="shared" si="1"/>
        <v>148914</v>
      </c>
      <c r="F37" s="24">
        <f t="shared" si="1"/>
        <v>92832</v>
      </c>
      <c r="G37" s="24">
        <f t="shared" si="1"/>
        <v>121026</v>
      </c>
      <c r="H37" s="24">
        <f t="shared" si="1"/>
        <v>95452</v>
      </c>
      <c r="I37" s="24">
        <f t="shared" si="1"/>
        <v>95452</v>
      </c>
      <c r="J37" s="24">
        <f t="shared" si="1"/>
        <v>108338</v>
      </c>
      <c r="K37" s="24">
        <f t="shared" si="1"/>
        <v>97024</v>
      </c>
      <c r="L37" s="24">
        <f t="shared" si="1"/>
        <v>97024</v>
      </c>
      <c r="M37" s="24">
        <f t="shared" si="1"/>
        <v>97024</v>
      </c>
      <c r="N37" s="24">
        <f t="shared" si="1"/>
        <v>97024</v>
      </c>
      <c r="O37" s="25">
        <f>SUM(C37:N37)</f>
        <v>1238738</v>
      </c>
    </row>
    <row r="38" spans="1:17" ht="15" customHeight="1" x14ac:dyDescent="0.2">
      <c r="A38" s="853" t="s">
        <v>148</v>
      </c>
      <c r="B38" s="27" t="s">
        <v>149</v>
      </c>
      <c r="C38" s="28">
        <v>5900</v>
      </c>
      <c r="D38" s="28">
        <v>6000</v>
      </c>
      <c r="E38" s="28">
        <v>11608</v>
      </c>
      <c r="F38" s="28">
        <v>6000</v>
      </c>
      <c r="G38" s="28">
        <v>6000</v>
      </c>
      <c r="H38" s="28">
        <v>6000</v>
      </c>
      <c r="I38" s="28">
        <v>6000</v>
      </c>
      <c r="J38" s="28">
        <v>6000</v>
      </c>
      <c r="K38" s="28">
        <v>10000</v>
      </c>
      <c r="L38" s="28">
        <v>10342</v>
      </c>
      <c r="M38" s="28">
        <v>10342</v>
      </c>
      <c r="N38" s="28">
        <v>11262</v>
      </c>
      <c r="O38" s="18">
        <f>SUM(C38:N38)</f>
        <v>95454</v>
      </c>
      <c r="P38" s="29"/>
      <c r="Q38" s="16">
        <f>+O17</f>
        <v>0</v>
      </c>
    </row>
    <row r="39" spans="1:17" ht="15" x14ac:dyDescent="0.2">
      <c r="A39" s="854"/>
      <c r="B39" s="27" t="s">
        <v>150</v>
      </c>
      <c r="C39" s="28">
        <v>0</v>
      </c>
      <c r="D39" s="28">
        <v>0</v>
      </c>
      <c r="E39" s="28">
        <v>0</v>
      </c>
      <c r="F39" s="28">
        <v>0</v>
      </c>
      <c r="G39" s="28">
        <v>0</v>
      </c>
      <c r="H39" s="28">
        <v>0</v>
      </c>
      <c r="I39" s="28">
        <v>0</v>
      </c>
      <c r="J39" s="28">
        <v>0</v>
      </c>
      <c r="K39" s="28">
        <v>0</v>
      </c>
      <c r="L39" s="28">
        <v>0</v>
      </c>
      <c r="M39" s="28">
        <v>0</v>
      </c>
      <c r="N39" s="28">
        <v>0</v>
      </c>
      <c r="O39" s="18">
        <f>SUM(C39:N39)</f>
        <v>0</v>
      </c>
      <c r="Q39" s="16">
        <f>+Q37+Q38</f>
        <v>0</v>
      </c>
    </row>
    <row r="40" spans="1:17" ht="15" x14ac:dyDescent="0.2">
      <c r="A40" s="854"/>
      <c r="B40" s="27" t="s">
        <v>151</v>
      </c>
      <c r="C40" s="28">
        <v>60</v>
      </c>
      <c r="D40" s="28">
        <v>60</v>
      </c>
      <c r="E40" s="28">
        <v>60</v>
      </c>
      <c r="F40" s="28">
        <v>60</v>
      </c>
      <c r="G40" s="28">
        <v>60</v>
      </c>
      <c r="H40" s="28">
        <v>60</v>
      </c>
      <c r="I40" s="28">
        <v>60</v>
      </c>
      <c r="J40" s="28">
        <v>60</v>
      </c>
      <c r="K40" s="28">
        <v>60</v>
      </c>
      <c r="L40" s="28">
        <v>60</v>
      </c>
      <c r="M40" s="28">
        <v>60</v>
      </c>
      <c r="N40" s="28">
        <v>60</v>
      </c>
      <c r="O40" s="18">
        <f t="shared" ref="O40:O50" si="2">SUM(C40:N40)</f>
        <v>720</v>
      </c>
    </row>
    <row r="41" spans="1:17" ht="15" x14ac:dyDescent="0.2">
      <c r="A41" s="854"/>
      <c r="B41" s="27" t="s">
        <v>152</v>
      </c>
      <c r="C41" s="28">
        <v>0</v>
      </c>
      <c r="D41" s="28">
        <v>0</v>
      </c>
      <c r="E41" s="28">
        <v>0</v>
      </c>
      <c r="F41" s="28">
        <v>0</v>
      </c>
      <c r="G41" s="28">
        <v>0</v>
      </c>
      <c r="H41" s="28">
        <v>0</v>
      </c>
      <c r="I41" s="28">
        <v>0</v>
      </c>
      <c r="J41" s="28">
        <v>0</v>
      </c>
      <c r="K41" s="28">
        <v>0</v>
      </c>
      <c r="L41" s="28">
        <v>0</v>
      </c>
      <c r="M41" s="28">
        <v>0</v>
      </c>
      <c r="N41" s="28">
        <v>0</v>
      </c>
      <c r="O41" s="18">
        <f t="shared" si="2"/>
        <v>0</v>
      </c>
    </row>
    <row r="42" spans="1:17" ht="15" x14ac:dyDescent="0.2">
      <c r="A42" s="854"/>
      <c r="B42" s="27" t="s">
        <v>153</v>
      </c>
      <c r="C42" s="28">
        <v>650</v>
      </c>
      <c r="D42" s="28">
        <v>650</v>
      </c>
      <c r="E42" s="28">
        <v>650</v>
      </c>
      <c r="F42" s="28">
        <v>650</v>
      </c>
      <c r="G42" s="28">
        <v>650</v>
      </c>
      <c r="H42" s="28">
        <v>650</v>
      </c>
      <c r="I42" s="28">
        <v>650</v>
      </c>
      <c r="J42" s="28">
        <v>650</v>
      </c>
      <c r="K42" s="28">
        <v>650</v>
      </c>
      <c r="L42" s="28">
        <v>650</v>
      </c>
      <c r="M42" s="28">
        <v>650</v>
      </c>
      <c r="N42" s="28">
        <v>650</v>
      </c>
      <c r="O42" s="18">
        <f t="shared" si="2"/>
        <v>7800</v>
      </c>
    </row>
    <row r="43" spans="1:17" ht="15" x14ac:dyDescent="0.2">
      <c r="A43" s="854"/>
      <c r="B43" s="27" t="s">
        <v>154</v>
      </c>
      <c r="C43" s="28">
        <v>35000</v>
      </c>
      <c r="D43" s="28">
        <v>40000</v>
      </c>
      <c r="E43" s="28">
        <v>40000</v>
      </c>
      <c r="F43" s="28">
        <v>40000</v>
      </c>
      <c r="G43" s="28">
        <v>40000</v>
      </c>
      <c r="H43" s="28">
        <v>40000</v>
      </c>
      <c r="I43" s="28">
        <v>40000</v>
      </c>
      <c r="J43" s="28">
        <v>40000</v>
      </c>
      <c r="K43" s="28">
        <v>40000</v>
      </c>
      <c r="L43" s="28">
        <v>40000</v>
      </c>
      <c r="M43" s="28">
        <v>40000</v>
      </c>
      <c r="N43" s="28">
        <v>40000</v>
      </c>
      <c r="O43" s="18">
        <f t="shared" si="2"/>
        <v>475000</v>
      </c>
    </row>
    <row r="44" spans="1:17" ht="15" x14ac:dyDescent="0.2">
      <c r="A44" s="854"/>
      <c r="B44" s="27" t="s">
        <v>155</v>
      </c>
      <c r="C44" s="28">
        <v>200</v>
      </c>
      <c r="D44" s="28">
        <v>200</v>
      </c>
      <c r="E44" s="28">
        <v>200</v>
      </c>
      <c r="F44" s="28">
        <v>200</v>
      </c>
      <c r="G44" s="28">
        <v>200</v>
      </c>
      <c r="H44" s="28">
        <v>200</v>
      </c>
      <c r="I44" s="28">
        <v>200</v>
      </c>
      <c r="J44" s="28">
        <v>200</v>
      </c>
      <c r="K44" s="28">
        <v>200</v>
      </c>
      <c r="L44" s="28">
        <v>200</v>
      </c>
      <c r="M44" s="28">
        <v>200</v>
      </c>
      <c r="N44" s="28">
        <v>300</v>
      </c>
      <c r="O44" s="18">
        <f t="shared" si="2"/>
        <v>2500</v>
      </c>
    </row>
    <row r="45" spans="1:17" ht="15" x14ac:dyDescent="0.2">
      <c r="A45" s="854"/>
      <c r="B45" s="27" t="s">
        <v>424</v>
      </c>
      <c r="C45" s="28">
        <v>0</v>
      </c>
      <c r="D45" s="28">
        <v>0</v>
      </c>
      <c r="E45" s="28">
        <v>0</v>
      </c>
      <c r="F45" s="28">
        <v>0</v>
      </c>
      <c r="G45" s="28">
        <v>0</v>
      </c>
      <c r="H45" s="28">
        <v>0</v>
      </c>
      <c r="I45" s="28">
        <v>0</v>
      </c>
      <c r="J45" s="28">
        <v>0</v>
      </c>
      <c r="K45" s="28">
        <v>0</v>
      </c>
      <c r="L45" s="28">
        <v>0</v>
      </c>
      <c r="M45" s="28">
        <v>0</v>
      </c>
      <c r="N45" s="28">
        <v>0</v>
      </c>
      <c r="O45" s="18">
        <f t="shared" si="2"/>
        <v>0</v>
      </c>
    </row>
    <row r="46" spans="1:17" ht="15" x14ac:dyDescent="0.2">
      <c r="A46" s="854"/>
      <c r="B46" s="27" t="s">
        <v>157</v>
      </c>
      <c r="C46" s="28">
        <v>0</v>
      </c>
      <c r="D46" s="28">
        <v>0</v>
      </c>
      <c r="E46" s="28">
        <v>0</v>
      </c>
      <c r="F46" s="28">
        <v>0</v>
      </c>
      <c r="G46" s="28">
        <v>0</v>
      </c>
      <c r="H46" s="28">
        <v>0</v>
      </c>
      <c r="I46" s="28">
        <v>0</v>
      </c>
      <c r="J46" s="28">
        <v>0</v>
      </c>
      <c r="K46" s="28">
        <v>0</v>
      </c>
      <c r="L46" s="28">
        <v>0</v>
      </c>
      <c r="M46" s="28">
        <v>0</v>
      </c>
      <c r="N46" s="28">
        <v>0</v>
      </c>
      <c r="O46" s="18">
        <f t="shared" si="2"/>
        <v>0</v>
      </c>
    </row>
    <row r="47" spans="1:17" ht="28.5" customHeight="1" x14ac:dyDescent="0.2">
      <c r="A47" s="855"/>
      <c r="B47" s="30" t="s">
        <v>158</v>
      </c>
      <c r="C47" s="28">
        <v>1021</v>
      </c>
      <c r="D47" s="28">
        <v>1021</v>
      </c>
      <c r="E47" s="28">
        <v>1021</v>
      </c>
      <c r="F47" s="28">
        <v>1021</v>
      </c>
      <c r="G47" s="28">
        <v>1021</v>
      </c>
      <c r="H47" s="28">
        <v>1021</v>
      </c>
      <c r="I47" s="28">
        <v>1021</v>
      </c>
      <c r="J47" s="28">
        <v>1021</v>
      </c>
      <c r="K47" s="28">
        <v>1021</v>
      </c>
      <c r="L47" s="28">
        <v>1021</v>
      </c>
      <c r="M47" s="28">
        <v>1021</v>
      </c>
      <c r="N47" s="28">
        <v>1021</v>
      </c>
      <c r="O47" s="31">
        <f t="shared" si="2"/>
        <v>12252</v>
      </c>
    </row>
    <row r="48" spans="1:17" x14ac:dyDescent="0.2">
      <c r="A48" s="856"/>
      <c r="B48" s="160" t="s">
        <v>228</v>
      </c>
      <c r="C48" s="28">
        <v>0</v>
      </c>
      <c r="D48" s="28">
        <v>0</v>
      </c>
      <c r="E48" s="28">
        <v>0</v>
      </c>
      <c r="F48" s="28">
        <v>0</v>
      </c>
      <c r="G48" s="28">
        <v>0</v>
      </c>
      <c r="H48" s="28">
        <v>0</v>
      </c>
      <c r="I48" s="28">
        <v>0</v>
      </c>
      <c r="J48" s="28">
        <v>0</v>
      </c>
      <c r="K48" s="28">
        <v>0</v>
      </c>
      <c r="L48" s="28">
        <v>0</v>
      </c>
      <c r="M48" s="28">
        <v>0</v>
      </c>
      <c r="N48" s="28">
        <v>0</v>
      </c>
      <c r="O48" s="31">
        <f t="shared" si="2"/>
        <v>0</v>
      </c>
    </row>
    <row r="49" spans="1:18" ht="15" x14ac:dyDescent="0.2">
      <c r="A49" s="857" t="s">
        <v>160</v>
      </c>
      <c r="B49" s="858"/>
      <c r="C49" s="33">
        <f t="shared" ref="C49:N49" si="3">SUM(C38:C48)</f>
        <v>42831</v>
      </c>
      <c r="D49" s="33">
        <f t="shared" si="3"/>
        <v>47931</v>
      </c>
      <c r="E49" s="33">
        <f t="shared" si="3"/>
        <v>53539</v>
      </c>
      <c r="F49" s="33">
        <f t="shared" si="3"/>
        <v>47931</v>
      </c>
      <c r="G49" s="33">
        <f t="shared" si="3"/>
        <v>47931</v>
      </c>
      <c r="H49" s="33">
        <f t="shared" si="3"/>
        <v>47931</v>
      </c>
      <c r="I49" s="33">
        <f t="shared" si="3"/>
        <v>47931</v>
      </c>
      <c r="J49" s="33">
        <f t="shared" si="3"/>
        <v>47931</v>
      </c>
      <c r="K49" s="33">
        <f t="shared" si="3"/>
        <v>51931</v>
      </c>
      <c r="L49" s="33">
        <f t="shared" si="3"/>
        <v>52273</v>
      </c>
      <c r="M49" s="33">
        <f t="shared" si="3"/>
        <v>52273</v>
      </c>
      <c r="N49" s="33">
        <f t="shared" si="3"/>
        <v>53293</v>
      </c>
      <c r="O49" s="34">
        <f t="shared" si="2"/>
        <v>593726</v>
      </c>
    </row>
    <row r="50" spans="1:18" ht="15.75" thickBot="1" x14ac:dyDescent="0.25">
      <c r="A50" s="859" t="s">
        <v>161</v>
      </c>
      <c r="B50" s="860"/>
      <c r="C50" s="35">
        <f t="shared" ref="C50:N50" si="4">C37-C49</f>
        <v>48669</v>
      </c>
      <c r="D50" s="35">
        <f t="shared" si="4"/>
        <v>49197</v>
      </c>
      <c r="E50" s="35">
        <f t="shared" si="4"/>
        <v>95375</v>
      </c>
      <c r="F50" s="35">
        <f t="shared" si="4"/>
        <v>44901</v>
      </c>
      <c r="G50" s="35">
        <f t="shared" si="4"/>
        <v>73095</v>
      </c>
      <c r="H50" s="35">
        <f t="shared" si="4"/>
        <v>47521</v>
      </c>
      <c r="I50" s="35">
        <f t="shared" si="4"/>
        <v>47521</v>
      </c>
      <c r="J50" s="35">
        <f t="shared" si="4"/>
        <v>60407</v>
      </c>
      <c r="K50" s="35">
        <f t="shared" si="4"/>
        <v>45093</v>
      </c>
      <c r="L50" s="35">
        <f t="shared" si="4"/>
        <v>44751</v>
      </c>
      <c r="M50" s="35">
        <f t="shared" si="4"/>
        <v>44751</v>
      </c>
      <c r="N50" s="35">
        <f t="shared" si="4"/>
        <v>43731</v>
      </c>
      <c r="O50" s="36">
        <f t="shared" si="2"/>
        <v>645012</v>
      </c>
    </row>
    <row r="51" spans="1:18" x14ac:dyDescent="0.2">
      <c r="E51" s="38"/>
      <c r="J51" s="128">
        <f>+J37-SUM(J22:J36)</f>
        <v>97024</v>
      </c>
      <c r="Q51" s="38"/>
    </row>
    <row r="52" spans="1:18" ht="13.5" thickBot="1" x14ac:dyDescent="0.25">
      <c r="J52" s="38">
        <f>+J51-J49</f>
        <v>49093</v>
      </c>
    </row>
    <row r="53" spans="1:18" ht="13.5" thickBot="1" x14ac:dyDescent="0.25">
      <c r="B53" s="789" t="s">
        <v>162</v>
      </c>
      <c r="C53" s="861"/>
      <c r="D53" s="861"/>
      <c r="E53" s="861"/>
      <c r="F53" s="862"/>
      <c r="G53" s="863">
        <f>O37</f>
        <v>1238738</v>
      </c>
      <c r="H53" s="864"/>
    </row>
    <row r="54" spans="1:18" ht="13.5" thickBot="1" x14ac:dyDescent="0.25"/>
    <row r="55" spans="1:18" x14ac:dyDescent="0.2">
      <c r="B55" s="830" t="s">
        <v>163</v>
      </c>
      <c r="C55" s="833" t="s">
        <v>164</v>
      </c>
      <c r="D55" s="836" t="s">
        <v>425</v>
      </c>
      <c r="E55" s="837"/>
      <c r="F55" s="838"/>
      <c r="G55" s="839">
        <v>40000</v>
      </c>
      <c r="H55" s="840"/>
    </row>
    <row r="56" spans="1:18" x14ac:dyDescent="0.2">
      <c r="B56" s="831"/>
      <c r="C56" s="834"/>
      <c r="D56" s="841" t="s">
        <v>166</v>
      </c>
      <c r="E56" s="842"/>
      <c r="F56" s="843"/>
      <c r="G56" s="844">
        <v>2500</v>
      </c>
      <c r="H56" s="845"/>
      <c r="I56" s="39"/>
      <c r="J56" s="846"/>
      <c r="K56" s="846"/>
      <c r="L56" s="846"/>
      <c r="M56" s="847"/>
      <c r="N56" s="847"/>
      <c r="O56" s="847"/>
    </row>
    <row r="57" spans="1:18" ht="13.5" thickBot="1" x14ac:dyDescent="0.25">
      <c r="B57" s="886"/>
      <c r="C57" s="887"/>
      <c r="D57" s="227" t="s">
        <v>243</v>
      </c>
      <c r="E57" s="228"/>
      <c r="F57" s="42"/>
      <c r="G57" s="851">
        <f>IF(O18&gt;15000,15000,+O18)</f>
        <v>0</v>
      </c>
      <c r="H57" s="852"/>
      <c r="I57" s="39"/>
      <c r="J57" s="45"/>
      <c r="K57" s="45"/>
      <c r="L57" s="45"/>
      <c r="M57" s="46"/>
      <c r="N57" s="46"/>
      <c r="O57" s="46"/>
    </row>
    <row r="58" spans="1:18" ht="13.5" thickBot="1" x14ac:dyDescent="0.25">
      <c r="B58" s="832"/>
      <c r="C58" s="835"/>
      <c r="D58" s="921" t="s">
        <v>129</v>
      </c>
      <c r="E58" s="849"/>
      <c r="F58" s="850"/>
      <c r="G58" s="851">
        <v>0</v>
      </c>
      <c r="H58" s="852"/>
      <c r="J58" s="47"/>
      <c r="K58" s="47"/>
      <c r="L58" s="47"/>
      <c r="M58" s="47"/>
      <c r="N58" s="47"/>
      <c r="O58" s="47"/>
    </row>
    <row r="59" spans="1:18" ht="13.5" thickBot="1" x14ac:dyDescent="0.25">
      <c r="B59" s="48"/>
      <c r="J59" s="47"/>
      <c r="K59" s="47"/>
      <c r="L59" s="47"/>
      <c r="M59" s="47"/>
      <c r="N59" s="47"/>
      <c r="O59" s="47"/>
    </row>
    <row r="60" spans="1:18" ht="13.5" thickBot="1" x14ac:dyDescent="0.25">
      <c r="B60" s="789" t="s">
        <v>168</v>
      </c>
      <c r="C60" s="790"/>
      <c r="D60" s="790"/>
      <c r="E60" s="790"/>
      <c r="F60" s="791"/>
      <c r="G60" s="825">
        <f>+G53-SUM(G55:H58)</f>
        <v>1196238</v>
      </c>
      <c r="H60" s="826"/>
      <c r="J60" s="827" t="s">
        <v>169</v>
      </c>
      <c r="K60" s="828"/>
      <c r="L60" s="828"/>
      <c r="M60" s="828"/>
      <c r="N60" s="828"/>
      <c r="O60" s="829"/>
    </row>
    <row r="61" spans="1:18" ht="13.5" thickBot="1" x14ac:dyDescent="0.25">
      <c r="B61" s="49"/>
      <c r="C61" s="50"/>
      <c r="D61" s="50"/>
      <c r="E61" s="50"/>
      <c r="F61" s="50"/>
      <c r="G61" s="45"/>
      <c r="H61" s="50"/>
      <c r="J61" s="129"/>
      <c r="K61" s="130"/>
      <c r="L61" s="130"/>
      <c r="M61" s="130"/>
      <c r="N61" s="130"/>
      <c r="O61" s="131"/>
    </row>
    <row r="62" spans="1:18" ht="13.5" thickBot="1" x14ac:dyDescent="0.25">
      <c r="B62" s="789" t="s">
        <v>170</v>
      </c>
      <c r="C62" s="790"/>
      <c r="D62" s="790"/>
      <c r="E62" s="790"/>
      <c r="F62" s="791"/>
      <c r="G62" s="805"/>
      <c r="H62" s="791"/>
      <c r="J62" s="129"/>
      <c r="K62" s="130"/>
      <c r="L62" s="130"/>
      <c r="M62" s="130"/>
      <c r="N62" s="130"/>
      <c r="O62" s="131"/>
    </row>
    <row r="63" spans="1:18" ht="12.75" customHeight="1" x14ac:dyDescent="0.2">
      <c r="B63" s="57" t="s">
        <v>171</v>
      </c>
      <c r="C63" s="806" t="s">
        <v>172</v>
      </c>
      <c r="D63" s="807"/>
      <c r="E63" s="807"/>
      <c r="F63" s="808"/>
      <c r="G63" s="809">
        <v>59324</v>
      </c>
      <c r="H63" s="809"/>
      <c r="I63" s="58"/>
      <c r="J63" s="810" t="s">
        <v>173</v>
      </c>
      <c r="K63" s="811"/>
      <c r="L63" s="811"/>
      <c r="M63" s="811"/>
      <c r="N63" s="811"/>
      <c r="O63" s="812"/>
      <c r="Q63" s="59"/>
      <c r="R63" s="59"/>
    </row>
    <row r="64" spans="1:18" ht="13.5" thickBot="1" x14ac:dyDescent="0.25">
      <c r="D64" s="37"/>
      <c r="I64" s="58"/>
      <c r="J64" s="60" t="s">
        <v>426</v>
      </c>
      <c r="K64" s="61"/>
      <c r="L64" s="61"/>
      <c r="M64" s="61"/>
      <c r="N64" s="61" t="s">
        <v>315</v>
      </c>
      <c r="O64" s="62"/>
      <c r="Q64" s="59"/>
      <c r="R64" s="59"/>
    </row>
    <row r="65" spans="2:18" ht="13.5" thickBot="1" x14ac:dyDescent="0.25">
      <c r="B65" s="789" t="s">
        <v>175</v>
      </c>
      <c r="C65" s="790"/>
      <c r="D65" s="790"/>
      <c r="E65" s="790"/>
      <c r="F65" s="791"/>
      <c r="G65" s="805">
        <f>+G60-G63</f>
        <v>1136914</v>
      </c>
      <c r="H65" s="791"/>
      <c r="I65" s="63"/>
      <c r="J65" s="64"/>
      <c r="K65" s="39"/>
      <c r="L65" s="39"/>
      <c r="M65" s="39"/>
      <c r="N65" s="39" t="s">
        <v>388</v>
      </c>
      <c r="O65" s="65"/>
      <c r="Q65" s="59"/>
      <c r="R65" s="59"/>
    </row>
    <row r="66" spans="2:18" ht="12.75" customHeight="1" x14ac:dyDescent="0.2">
      <c r="B66" s="48"/>
      <c r="C66" s="48"/>
      <c r="I66" s="63"/>
      <c r="J66" s="64"/>
      <c r="K66" s="39"/>
      <c r="L66" s="39"/>
      <c r="M66" s="39"/>
      <c r="N66" s="39"/>
      <c r="O66" s="65"/>
      <c r="Q66" s="59"/>
      <c r="R66" s="59"/>
    </row>
    <row r="67" spans="2:18" x14ac:dyDescent="0.2">
      <c r="B67" s="66" t="s">
        <v>176</v>
      </c>
      <c r="C67" s="48"/>
      <c r="I67" s="63"/>
      <c r="J67" s="67"/>
      <c r="K67" s="68"/>
      <c r="L67" s="68"/>
      <c r="M67" s="68"/>
      <c r="N67" s="68"/>
      <c r="O67" s="69"/>
      <c r="Q67" s="59"/>
      <c r="R67" s="59"/>
    </row>
    <row r="68" spans="2:18" ht="26.25" customHeight="1" thickBot="1" x14ac:dyDescent="0.25">
      <c r="B68" s="66"/>
      <c r="C68" s="48"/>
      <c r="G68" s="70" t="s">
        <v>177</v>
      </c>
      <c r="H68" s="70" t="s">
        <v>178</v>
      </c>
      <c r="I68" s="63"/>
      <c r="J68" s="810" t="s">
        <v>179</v>
      </c>
      <c r="K68" s="811"/>
      <c r="L68" s="71"/>
      <c r="M68" s="71"/>
      <c r="N68" s="71"/>
      <c r="O68" s="72"/>
      <c r="Q68" s="59"/>
      <c r="R68" s="59"/>
    </row>
    <row r="69" spans="2:18" ht="12.75" customHeight="1" x14ac:dyDescent="0.2">
      <c r="B69" s="802" t="s">
        <v>180</v>
      </c>
      <c r="C69" s="821" t="s">
        <v>181</v>
      </c>
      <c r="D69" s="823" t="s">
        <v>182</v>
      </c>
      <c r="E69" s="824"/>
      <c r="F69" s="824"/>
      <c r="G69" s="73">
        <f>+O43</f>
        <v>475000</v>
      </c>
      <c r="H69" s="74">
        <f t="shared" ref="H69:H77" si="5">+G69</f>
        <v>475000</v>
      </c>
      <c r="I69" s="63"/>
      <c r="J69" s="75" t="s">
        <v>231</v>
      </c>
      <c r="K69" s="58"/>
      <c r="L69" s="58"/>
      <c r="M69" s="58"/>
      <c r="N69" s="58"/>
      <c r="O69" s="76"/>
      <c r="Q69" s="59"/>
      <c r="R69" s="59"/>
    </row>
    <row r="70" spans="2:18" ht="12.75" customHeight="1" x14ac:dyDescent="0.2">
      <c r="B70" s="803"/>
      <c r="C70" s="822"/>
      <c r="D70" s="782" t="s">
        <v>184</v>
      </c>
      <c r="E70" s="783"/>
      <c r="F70" s="783"/>
      <c r="G70" s="77">
        <f>+O47</f>
        <v>12252</v>
      </c>
      <c r="H70" s="78">
        <f t="shared" si="5"/>
        <v>12252</v>
      </c>
      <c r="I70" s="63"/>
      <c r="J70" s="79"/>
      <c r="K70" s="68"/>
      <c r="L70" s="68"/>
      <c r="M70" s="68"/>
      <c r="N70" s="68"/>
      <c r="O70" s="69"/>
      <c r="Q70" s="59"/>
      <c r="R70" s="59"/>
    </row>
    <row r="71" spans="2:18" ht="12.75" customHeight="1" x14ac:dyDescent="0.2">
      <c r="B71" s="803"/>
      <c r="C71" s="822"/>
      <c r="D71" s="819" t="s">
        <v>185</v>
      </c>
      <c r="E71" s="820"/>
      <c r="F71" s="820"/>
      <c r="G71" s="80">
        <f>O40</f>
        <v>720</v>
      </c>
      <c r="H71" s="78">
        <f t="shared" si="5"/>
        <v>720</v>
      </c>
      <c r="I71" s="63"/>
      <c r="J71" s="82" t="s">
        <v>187</v>
      </c>
      <c r="K71" s="71"/>
      <c r="L71" s="71"/>
      <c r="M71" s="71"/>
      <c r="N71" s="71"/>
      <c r="O71" s="72"/>
    </row>
    <row r="72" spans="2:18" x14ac:dyDescent="0.2">
      <c r="B72" s="803"/>
      <c r="C72" s="822"/>
      <c r="D72" s="782" t="s">
        <v>186</v>
      </c>
      <c r="E72" s="783"/>
      <c r="F72" s="783"/>
      <c r="G72" s="81">
        <v>0</v>
      </c>
      <c r="H72" s="78">
        <f t="shared" si="5"/>
        <v>0</v>
      </c>
      <c r="I72" s="63"/>
      <c r="J72" s="75" t="s">
        <v>189</v>
      </c>
      <c r="K72" s="50"/>
      <c r="L72" s="50"/>
      <c r="M72" s="50"/>
      <c r="N72" s="50"/>
      <c r="O72" s="83">
        <f>O42</f>
        <v>7800</v>
      </c>
    </row>
    <row r="73" spans="2:18" ht="12.75" customHeight="1" x14ac:dyDescent="0.2">
      <c r="B73" s="803"/>
      <c r="C73" s="822"/>
      <c r="D73" s="784" t="s">
        <v>188</v>
      </c>
      <c r="E73" s="783"/>
      <c r="F73" s="783"/>
      <c r="G73" s="80">
        <v>0</v>
      </c>
      <c r="H73" s="78">
        <f t="shared" si="5"/>
        <v>0</v>
      </c>
      <c r="I73" s="63"/>
      <c r="J73" s="75" t="s">
        <v>427</v>
      </c>
      <c r="K73" s="39"/>
      <c r="L73" s="39"/>
      <c r="M73" s="39"/>
      <c r="N73" s="39"/>
      <c r="O73" s="65"/>
    </row>
    <row r="74" spans="2:18" ht="14.25" customHeight="1" x14ac:dyDescent="0.2">
      <c r="B74" s="803"/>
      <c r="C74" s="822"/>
      <c r="D74" s="782" t="s">
        <v>190</v>
      </c>
      <c r="E74" s="783"/>
      <c r="F74" s="783"/>
      <c r="G74" s="84">
        <v>0</v>
      </c>
      <c r="H74" s="78">
        <f t="shared" si="5"/>
        <v>0</v>
      </c>
      <c r="I74" s="63"/>
      <c r="J74" s="75" t="s">
        <v>428</v>
      </c>
      <c r="K74" s="39"/>
      <c r="L74" s="39"/>
      <c r="M74" s="39"/>
      <c r="N74" s="39"/>
      <c r="O74" s="65"/>
    </row>
    <row r="75" spans="2:18" x14ac:dyDescent="0.2">
      <c r="B75" s="803"/>
      <c r="C75" s="822"/>
      <c r="D75" s="782" t="s">
        <v>191</v>
      </c>
      <c r="E75" s="783"/>
      <c r="F75" s="783"/>
      <c r="G75" s="81">
        <v>0</v>
      </c>
      <c r="H75" s="78">
        <f t="shared" si="5"/>
        <v>0</v>
      </c>
      <c r="I75" s="58"/>
      <c r="J75" s="150"/>
      <c r="K75" s="50"/>
      <c r="L75" s="50"/>
      <c r="M75" s="50"/>
      <c r="N75" s="50"/>
      <c r="O75" s="83"/>
    </row>
    <row r="76" spans="2:18" x14ac:dyDescent="0.2">
      <c r="B76" s="803"/>
      <c r="C76" s="88" t="s">
        <v>192</v>
      </c>
      <c r="D76" s="813" t="s">
        <v>193</v>
      </c>
      <c r="E76" s="814"/>
      <c r="F76" s="814"/>
      <c r="G76" s="80">
        <v>0</v>
      </c>
      <c r="H76" s="78">
        <f t="shared" si="5"/>
        <v>0</v>
      </c>
      <c r="I76" s="58"/>
      <c r="J76" s="82" t="s">
        <v>200</v>
      </c>
      <c r="K76" s="195"/>
      <c r="L76" s="195"/>
      <c r="M76" s="195"/>
      <c r="N76" s="195"/>
      <c r="O76" s="196"/>
    </row>
    <row r="77" spans="2:18" ht="13.5" customHeight="1" thickBot="1" x14ac:dyDescent="0.25">
      <c r="B77" s="803"/>
      <c r="C77" s="88" t="s">
        <v>194</v>
      </c>
      <c r="D77" s="815" t="s">
        <v>195</v>
      </c>
      <c r="E77" s="815"/>
      <c r="F77" s="815"/>
      <c r="G77" s="89">
        <v>0</v>
      </c>
      <c r="H77" s="90">
        <f t="shared" si="5"/>
        <v>0</v>
      </c>
      <c r="I77" s="63"/>
      <c r="J77" s="75" t="s">
        <v>429</v>
      </c>
      <c r="K77" s="68"/>
      <c r="L77" s="68"/>
      <c r="M77" s="91"/>
      <c r="N77" s="91"/>
      <c r="O77" s="92"/>
    </row>
    <row r="78" spans="2:18" ht="13.5" thickBot="1" x14ac:dyDescent="0.25">
      <c r="B78" s="803"/>
      <c r="C78" s="93"/>
      <c r="D78" s="94"/>
      <c r="E78" s="816" t="s">
        <v>117</v>
      </c>
      <c r="F78" s="817"/>
      <c r="G78" s="95">
        <f>SUM(G69:G77)</f>
        <v>487972</v>
      </c>
      <c r="H78" s="96">
        <f>IF(SUM(G69:G75)&lt;150000,SUM(G69:G75),150000)+IF(+G76&lt;20000,+G76,20000)</f>
        <v>150000</v>
      </c>
      <c r="I78" s="63"/>
      <c r="J78" s="140"/>
      <c r="K78" s="141"/>
      <c r="L78" s="141"/>
      <c r="M78" s="142"/>
      <c r="N78" s="142"/>
      <c r="O78" s="143"/>
    </row>
    <row r="79" spans="2:18" ht="12.75" customHeight="1" x14ac:dyDescent="0.2">
      <c r="B79" s="803"/>
      <c r="C79" s="100" t="s">
        <v>196</v>
      </c>
      <c r="D79" s="782" t="s">
        <v>187</v>
      </c>
      <c r="E79" s="783"/>
      <c r="F79" s="818"/>
      <c r="G79" s="73">
        <v>27800</v>
      </c>
      <c r="H79" s="101">
        <f>+IF(+G79&lt;25000,+G79,25000)</f>
        <v>25000</v>
      </c>
      <c r="I79" s="87"/>
    </row>
    <row r="80" spans="2:18" x14ac:dyDescent="0.2">
      <c r="B80" s="803"/>
      <c r="C80" s="100" t="s">
        <v>197</v>
      </c>
      <c r="D80" s="784" t="s">
        <v>198</v>
      </c>
      <c r="E80" s="785"/>
      <c r="F80" s="786"/>
      <c r="G80" s="102"/>
      <c r="H80" s="103">
        <f>+IF(+G80&lt;40000,+G80,40000)</f>
        <v>0</v>
      </c>
      <c r="I80" s="63"/>
      <c r="J80" s="106"/>
    </row>
    <row r="81" spans="2:12" x14ac:dyDescent="0.2">
      <c r="B81" s="803"/>
      <c r="C81" s="100" t="s">
        <v>199</v>
      </c>
      <c r="D81" s="784" t="s">
        <v>200</v>
      </c>
      <c r="E81" s="785"/>
      <c r="F81" s="786"/>
      <c r="G81" s="81">
        <v>40536</v>
      </c>
      <c r="H81" s="104">
        <f>+G81</f>
        <v>40536</v>
      </c>
      <c r="I81" s="63"/>
    </row>
    <row r="82" spans="2:12" x14ac:dyDescent="0.2">
      <c r="B82" s="803"/>
      <c r="C82" s="100" t="s">
        <v>201</v>
      </c>
      <c r="D82" s="784" t="s">
        <v>202</v>
      </c>
      <c r="E82" s="785"/>
      <c r="F82" s="786"/>
      <c r="G82" s="81"/>
      <c r="H82" s="104">
        <v>0</v>
      </c>
      <c r="I82" s="63"/>
    </row>
    <row r="83" spans="2:12" ht="13.5" thickBot="1" x14ac:dyDescent="0.25">
      <c r="B83" s="804"/>
      <c r="C83" s="100" t="s">
        <v>203</v>
      </c>
      <c r="D83" s="784" t="s">
        <v>204</v>
      </c>
      <c r="E83" s="785"/>
      <c r="F83" s="786"/>
      <c r="G83" s="102"/>
      <c r="H83" s="103">
        <f>+IF(+G83&lt;100000,+G83,10000)</f>
        <v>0</v>
      </c>
      <c r="I83" s="63"/>
    </row>
    <row r="84" spans="2:12" ht="13.5" thickBot="1" x14ac:dyDescent="0.25">
      <c r="B84" s="787" t="s">
        <v>205</v>
      </c>
      <c r="C84" s="788"/>
      <c r="D84" s="788"/>
      <c r="E84" s="788"/>
      <c r="F84" s="788"/>
      <c r="G84" s="107">
        <f>SUM(G79:G83)</f>
        <v>68336</v>
      </c>
      <c r="H84" s="108">
        <f>SUM(H78:H83)</f>
        <v>215536</v>
      </c>
    </row>
    <row r="85" spans="2:12" ht="13.5" thickBot="1" x14ac:dyDescent="0.25"/>
    <row r="86" spans="2:12" ht="13.5" thickBot="1" x14ac:dyDescent="0.25">
      <c r="B86" s="789" t="s">
        <v>206</v>
      </c>
      <c r="C86" s="790"/>
      <c r="D86" s="790"/>
      <c r="E86" s="790"/>
      <c r="F86" s="791"/>
      <c r="G86" s="792">
        <f>+G65-H84</f>
        <v>921378</v>
      </c>
      <c r="H86" s="791"/>
      <c r="J86" s="109">
        <f>C37+D37+E37+F37</f>
        <v>430374</v>
      </c>
      <c r="K86" s="16" t="s">
        <v>235</v>
      </c>
    </row>
    <row r="87" spans="2:12" x14ac:dyDescent="0.2">
      <c r="B87" s="110"/>
      <c r="F87" s="105"/>
      <c r="J87" s="109">
        <f>G37+H37+I37</f>
        <v>311930</v>
      </c>
      <c r="K87" s="16" t="s">
        <v>236</v>
      </c>
      <c r="L87" s="16">
        <f>+J87/3</f>
        <v>103976.66666666667</v>
      </c>
    </row>
    <row r="88" spans="2:12" x14ac:dyDescent="0.2">
      <c r="C88" s="793" t="s">
        <v>207</v>
      </c>
      <c r="D88" s="794"/>
      <c r="E88" s="111" t="s">
        <v>208</v>
      </c>
      <c r="F88" s="111" t="s">
        <v>209</v>
      </c>
      <c r="G88" s="111" t="s">
        <v>210</v>
      </c>
      <c r="H88" s="111" t="s">
        <v>211</v>
      </c>
      <c r="J88" s="109">
        <f>J37+K37+L37</f>
        <v>302386</v>
      </c>
      <c r="K88" s="47" t="s">
        <v>237</v>
      </c>
      <c r="L88" s="16">
        <f>+J88/3</f>
        <v>100795.33333333333</v>
      </c>
    </row>
    <row r="89" spans="2:12" x14ac:dyDescent="0.2">
      <c r="C89" s="795" t="str">
        <f>IF(I6="M","0          - 250000","0          -  250000")</f>
        <v>0          - 250000</v>
      </c>
      <c r="D89" s="796"/>
      <c r="E89" s="112">
        <v>0</v>
      </c>
      <c r="F89" s="113">
        <f>IF(I6="M",(IF(G86&lt;250000,G86,250000)),(IF(G86&lt;250000,G86,250000)))</f>
        <v>250000</v>
      </c>
      <c r="G89" s="113">
        <f>G86-F89</f>
        <v>671378</v>
      </c>
      <c r="H89" s="113">
        <f>E89*F89</f>
        <v>0</v>
      </c>
      <c r="J89" s="16">
        <f>M37+N37</f>
        <v>194048</v>
      </c>
      <c r="K89" s="1" t="s">
        <v>238</v>
      </c>
    </row>
    <row r="90" spans="2:12" x14ac:dyDescent="0.2">
      <c r="C90" s="795" t="str">
        <f>IF(I6="M","250001 - 500000","250001-500000")</f>
        <v>250001 - 500000</v>
      </c>
      <c r="D90" s="796"/>
      <c r="E90" s="112">
        <v>0.05</v>
      </c>
      <c r="F90" s="113">
        <f>IF(I6="M",(IF(G89&lt;250000,G89,250000)),(IF(G89&lt;250000,G89,250000)))</f>
        <v>250000</v>
      </c>
      <c r="G90" s="113">
        <f>G89-F90</f>
        <v>421378</v>
      </c>
      <c r="H90" s="114">
        <f>ROUND(E90*F90,0.1)</f>
        <v>12500</v>
      </c>
      <c r="J90" s="115">
        <f>SUM(J86:J89)</f>
        <v>1238738</v>
      </c>
    </row>
    <row r="91" spans="2:12" x14ac:dyDescent="0.2">
      <c r="C91" s="797" t="s">
        <v>212</v>
      </c>
      <c r="D91" s="798"/>
      <c r="E91" s="112">
        <v>0.2</v>
      </c>
      <c r="F91" s="113">
        <f>IF(G90&lt;500000,G90,500000)</f>
        <v>421378</v>
      </c>
      <c r="G91" s="113">
        <f>G90-F91</f>
        <v>0</v>
      </c>
      <c r="H91" s="114">
        <f>ROUND(E91*F91,0.1)</f>
        <v>84276</v>
      </c>
      <c r="J91" s="16">
        <f>+G86</f>
        <v>921378</v>
      </c>
    </row>
    <row r="92" spans="2:12" x14ac:dyDescent="0.2">
      <c r="C92" s="795" t="s">
        <v>213</v>
      </c>
      <c r="D92" s="796"/>
      <c r="E92" s="112">
        <v>0.3</v>
      </c>
      <c r="F92" s="113">
        <f>G91</f>
        <v>0</v>
      </c>
      <c r="G92" s="113">
        <f>G91-F92</f>
        <v>0</v>
      </c>
      <c r="H92" s="114">
        <f>ROUND(E92*F92,0.1)</f>
        <v>0</v>
      </c>
      <c r="J92" s="16">
        <f>+J90-J91</f>
        <v>317360</v>
      </c>
    </row>
    <row r="93" spans="2:12" ht="12.75" customHeight="1" thickBot="1" x14ac:dyDescent="0.25">
      <c r="B93" s="116"/>
      <c r="C93" s="117"/>
      <c r="D93" s="47"/>
      <c r="E93" s="47"/>
      <c r="F93" s="47"/>
      <c r="J93" s="87"/>
      <c r="K93" s="118"/>
    </row>
    <row r="94" spans="2:12" ht="13.5" thickBot="1" x14ac:dyDescent="0.25">
      <c r="B94" s="799" t="s">
        <v>239</v>
      </c>
      <c r="C94" s="800"/>
      <c r="D94" s="800"/>
      <c r="E94" s="800"/>
      <c r="F94" s="801"/>
      <c r="G94" s="771">
        <f>H89+H90+H91+H92</f>
        <v>96776</v>
      </c>
      <c r="H94" s="772"/>
    </row>
    <row r="95" spans="2:12" ht="13.5" thickBot="1" x14ac:dyDescent="0.25">
      <c r="B95" s="119" t="s">
        <v>215</v>
      </c>
      <c r="C95" s="120"/>
      <c r="D95" s="120"/>
      <c r="E95" s="120"/>
      <c r="F95" s="120"/>
      <c r="G95" s="884">
        <v>5000</v>
      </c>
      <c r="H95" s="885">
        <f>IF(H93&lt;200000,0,IF(H93&lt;220000,((H93-200000)*10%),IF(H93&lt;=500000,2000,IF(H93&gt;=500000,0))))</f>
        <v>0</v>
      </c>
      <c r="J95" s="1"/>
      <c r="K95" s="121"/>
      <c r="L95" s="121"/>
    </row>
    <row r="96" spans="2:12" ht="13.5" thickBot="1" x14ac:dyDescent="0.25">
      <c r="B96" s="122" t="s">
        <v>216</v>
      </c>
      <c r="C96" s="123"/>
      <c r="D96" s="123"/>
      <c r="E96" s="123"/>
      <c r="F96" s="123"/>
      <c r="G96" s="771">
        <f>IF((G94-G95)&lt;0,0,(G94-G95))</f>
        <v>91776</v>
      </c>
      <c r="H96" s="772"/>
      <c r="I96" s="37"/>
    </row>
    <row r="97" spans="2:9" ht="13.5" thickBot="1" x14ac:dyDescent="0.25">
      <c r="B97" s="773" t="s">
        <v>240</v>
      </c>
      <c r="C97" s="774"/>
      <c r="D97" s="774"/>
      <c r="E97" s="774"/>
      <c r="F97" s="775"/>
      <c r="G97" s="776">
        <f>ROUND((IF(G96&gt;0,(G96*4%),0)),0)</f>
        <v>3671</v>
      </c>
      <c r="H97" s="777"/>
      <c r="I97" s="37"/>
    </row>
    <row r="98" spans="2:9" ht="13.5" thickBot="1" x14ac:dyDescent="0.25">
      <c r="B98" s="778" t="s">
        <v>218</v>
      </c>
      <c r="C98" s="779"/>
      <c r="D98" s="779"/>
      <c r="E98" s="779"/>
      <c r="F98" s="779"/>
      <c r="G98" s="780">
        <f>G96+G97</f>
        <v>95447</v>
      </c>
      <c r="H98" s="781"/>
      <c r="I98" s="121"/>
    </row>
    <row r="99" spans="2:9" ht="13.5" thickBot="1" x14ac:dyDescent="0.25">
      <c r="B99" s="765" t="s">
        <v>219</v>
      </c>
      <c r="C99" s="766"/>
      <c r="D99" s="766"/>
      <c r="E99" s="766"/>
      <c r="F99" s="766"/>
      <c r="G99" s="767">
        <f>O38</f>
        <v>95454</v>
      </c>
      <c r="H99" s="768"/>
      <c r="I99" s="121"/>
    </row>
    <row r="100" spans="2:9" ht="13.5" thickBot="1" x14ac:dyDescent="0.25">
      <c r="B100" s="765" t="str">
        <f>IF(G100&gt;0,"TAX PAYABLE","TAX REFUND")</f>
        <v>TAX REFUND</v>
      </c>
      <c r="C100" s="766"/>
      <c r="D100" s="766"/>
      <c r="E100" s="766"/>
      <c r="F100" s="766"/>
      <c r="G100" s="767">
        <f>+G98-G99</f>
        <v>-7</v>
      </c>
      <c r="H100" s="768"/>
      <c r="I100" s="37"/>
    </row>
    <row r="101" spans="2:9" x14ac:dyDescent="0.2">
      <c r="C101" s="124"/>
      <c r="D101" s="45"/>
      <c r="E101" s="118"/>
      <c r="F101" s="118"/>
      <c r="G101" s="118"/>
      <c r="H101" s="118"/>
      <c r="I101" s="125"/>
    </row>
    <row r="102" spans="2:9" x14ac:dyDescent="0.2">
      <c r="C102" s="47"/>
      <c r="D102" s="50"/>
      <c r="E102" s="117"/>
      <c r="F102" s="47"/>
      <c r="G102" s="47"/>
      <c r="H102" s="47"/>
      <c r="I102" s="125"/>
    </row>
    <row r="103" spans="2:9" x14ac:dyDescent="0.2">
      <c r="C103" s="39"/>
      <c r="D103" s="126"/>
      <c r="E103" s="126"/>
      <c r="F103" s="126"/>
      <c r="G103" s="39"/>
      <c r="H103" s="39"/>
      <c r="I103" s="37"/>
    </row>
    <row r="104" spans="2:9" x14ac:dyDescent="0.2">
      <c r="C104" s="39"/>
      <c r="D104" s="126"/>
      <c r="E104" s="126"/>
      <c r="F104" s="39"/>
      <c r="G104" s="39"/>
      <c r="H104" s="39"/>
      <c r="I104" s="37"/>
    </row>
    <row r="105" spans="2:9" x14ac:dyDescent="0.2">
      <c r="C105" s="39"/>
      <c r="D105" s="126"/>
      <c r="E105" s="126"/>
      <c r="F105" s="39"/>
      <c r="G105" s="39"/>
      <c r="H105" s="39"/>
      <c r="I105" s="37"/>
    </row>
    <row r="106" spans="2:9" x14ac:dyDescent="0.2">
      <c r="C106" s="39"/>
      <c r="D106" s="39"/>
      <c r="E106" s="39"/>
      <c r="F106" s="39"/>
      <c r="G106" s="39"/>
      <c r="H106" s="39"/>
      <c r="I106" s="37"/>
    </row>
    <row r="107" spans="2:9" x14ac:dyDescent="0.2">
      <c r="C107" s="39"/>
      <c r="D107" s="39"/>
      <c r="E107" s="39"/>
      <c r="F107" s="39"/>
      <c r="G107" s="39"/>
      <c r="H107" s="39"/>
    </row>
    <row r="108" spans="2:9" x14ac:dyDescent="0.2">
      <c r="C108" s="39"/>
      <c r="D108" s="39"/>
      <c r="E108" s="39"/>
      <c r="F108" s="39"/>
      <c r="G108" s="39"/>
      <c r="H108" s="39"/>
    </row>
  </sheetData>
  <mergeCells count="94">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L7:O7"/>
    <mergeCell ref="A8:B8"/>
    <mergeCell ref="A21:A33"/>
    <mergeCell ref="A34:B34"/>
    <mergeCell ref="A35:B35"/>
    <mergeCell ref="I5:O5"/>
    <mergeCell ref="A6:C6"/>
    <mergeCell ref="D6:F6"/>
    <mergeCell ref="G6:H6"/>
    <mergeCell ref="J6:O6"/>
    <mergeCell ref="D55:F55"/>
    <mergeCell ref="G55:H55"/>
    <mergeCell ref="D56:F56"/>
    <mergeCell ref="A36:B36"/>
    <mergeCell ref="A5:C5"/>
    <mergeCell ref="D5:F5"/>
    <mergeCell ref="G5:H5"/>
    <mergeCell ref="A38:A48"/>
    <mergeCell ref="A49:B49"/>
    <mergeCell ref="A50:B50"/>
    <mergeCell ref="B53:F53"/>
    <mergeCell ref="G53:H53"/>
    <mergeCell ref="C63:F63"/>
    <mergeCell ref="G63:H63"/>
    <mergeCell ref="J63:O63"/>
    <mergeCell ref="G56:H56"/>
    <mergeCell ref="J56:L56"/>
    <mergeCell ref="M56:O56"/>
    <mergeCell ref="G57:H57"/>
    <mergeCell ref="D58:F58"/>
    <mergeCell ref="G58:H58"/>
    <mergeCell ref="B60:F60"/>
    <mergeCell ref="G60:H60"/>
    <mergeCell ref="J60:O60"/>
    <mergeCell ref="B62:F62"/>
    <mergeCell ref="G62:H62"/>
    <mergeCell ref="B55:B58"/>
    <mergeCell ref="C55:C58"/>
    <mergeCell ref="D79:F79"/>
    <mergeCell ref="B65:F65"/>
    <mergeCell ref="G65:H65"/>
    <mergeCell ref="J68:K68"/>
    <mergeCell ref="B69:B83"/>
    <mergeCell ref="C69:C75"/>
    <mergeCell ref="D69:F69"/>
    <mergeCell ref="D70:F70"/>
    <mergeCell ref="D71:F71"/>
    <mergeCell ref="D72:F72"/>
    <mergeCell ref="D73:F73"/>
    <mergeCell ref="D74:F74"/>
    <mergeCell ref="D75:F75"/>
    <mergeCell ref="D76:F76"/>
    <mergeCell ref="D77:F77"/>
    <mergeCell ref="E78:F78"/>
    <mergeCell ref="C92:D92"/>
    <mergeCell ref="D80:F80"/>
    <mergeCell ref="D81:F81"/>
    <mergeCell ref="D82:F82"/>
    <mergeCell ref="D83:F83"/>
    <mergeCell ref="B84:F84"/>
    <mergeCell ref="B86:F86"/>
    <mergeCell ref="G86:H86"/>
    <mergeCell ref="C88:D88"/>
    <mergeCell ref="C89:D89"/>
    <mergeCell ref="C90:D90"/>
    <mergeCell ref="C91:D91"/>
    <mergeCell ref="B94:F94"/>
    <mergeCell ref="G94:H94"/>
    <mergeCell ref="G95:H95"/>
    <mergeCell ref="G96:H96"/>
    <mergeCell ref="B97:F97"/>
    <mergeCell ref="G97:H97"/>
    <mergeCell ref="B98:F98"/>
    <mergeCell ref="G98:H98"/>
    <mergeCell ref="B99:F99"/>
    <mergeCell ref="G99:H99"/>
    <mergeCell ref="B100:F100"/>
    <mergeCell ref="G100:H100"/>
  </mergeCells>
  <conditionalFormatting sqref="B91:F91 B100:F100 B94:F98">
    <cfRule type="cellIs" dxfId="2087" priority="3" stopIfTrue="1" operator="equal">
      <formula>"TAX PAYABLE"</formula>
    </cfRule>
    <cfRule type="cellIs" dxfId="2086" priority="4" stopIfTrue="1" operator="equal">
      <formula>"TAX REFUND"</formula>
    </cfRule>
  </conditionalFormatting>
  <conditionalFormatting sqref="G91:H91">
    <cfRule type="cellIs" dxfId="2085" priority="5" stopIfTrue="1" operator="lessThan">
      <formula>0</formula>
    </cfRule>
    <cfRule type="cellIs" dxfId="2084" priority="6" stopIfTrue="1" operator="greaterThan">
      <formula>0</formula>
    </cfRule>
  </conditionalFormatting>
  <conditionalFormatting sqref="G100:H100">
    <cfRule type="cellIs" dxfId="2083" priority="1" stopIfTrue="1" operator="greaterThan">
      <formula>0</formula>
    </cfRule>
    <cfRule type="cellIs" dxfId="2082"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hyperlinks>
    <hyperlink ref="J51" r:id="rId1" display="+J37-@sum(J22:J36)"/>
  </hyperlinks>
  <pageMargins left="0.7" right="0.7" top="0.75" bottom="0.75" header="0.3" footer="0.3"/>
  <pageSetup paperSize="9" orientation="landscape" horizontalDpi="300" verticalDpi="300" r:id="rId2"/>
  <headerFooter alignWithMargins="0"/>
  <legacyDrawing r:id="rId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07"/>
  <sheetViews>
    <sheetView topLeftCell="A58" zoomScaleNormal="100" workbookViewId="0">
      <selection activeCell="O37" sqref="O37"/>
    </sheetView>
  </sheetViews>
  <sheetFormatPr defaultRowHeight="12.75" x14ac:dyDescent="0.2"/>
  <cols>
    <col min="1" max="1" width="5" style="16" customWidth="1"/>
    <col min="2" max="2" width="18.85546875" style="37" customWidth="1"/>
    <col min="3" max="3" width="10.85546875" style="16" bestFit="1" customWidth="1"/>
    <col min="4" max="4" width="6.7109375" style="16" customWidth="1"/>
    <col min="5" max="5" width="8.5703125" style="16" customWidth="1"/>
    <col min="6" max="6" width="9.28515625" style="16" customWidth="1"/>
    <col min="7" max="7" width="10.5703125" style="16" bestFit="1" customWidth="1"/>
    <col min="8" max="8" width="10.42578125" style="16" bestFit="1" customWidth="1"/>
    <col min="9" max="9" width="7.140625" style="16" customWidth="1"/>
    <col min="10" max="10" width="9" style="16" customWidth="1"/>
    <col min="11" max="12" width="7" style="16" customWidth="1"/>
    <col min="13" max="13" width="6.85546875" style="16" customWidth="1"/>
    <col min="14" max="14" width="7" style="16" customWidth="1"/>
    <col min="15" max="15" width="9.85546875" style="16" bestFit="1"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8.85546875" style="16" customWidth="1"/>
    <col min="259" max="259" width="10.85546875" style="16" bestFit="1" customWidth="1"/>
    <col min="260" max="260" width="6.7109375" style="16" customWidth="1"/>
    <col min="261" max="261" width="8.5703125" style="16" customWidth="1"/>
    <col min="262" max="262" width="9.28515625" style="16" customWidth="1"/>
    <col min="263" max="263" width="10.5703125" style="16" bestFit="1" customWidth="1"/>
    <col min="264" max="264" width="10.42578125" style="16" bestFit="1" customWidth="1"/>
    <col min="265" max="265" width="7.140625" style="16" customWidth="1"/>
    <col min="266" max="266" width="9" style="16" customWidth="1"/>
    <col min="267" max="268" width="7" style="16" customWidth="1"/>
    <col min="269" max="269" width="6.85546875" style="16" customWidth="1"/>
    <col min="270" max="270" width="7" style="16" customWidth="1"/>
    <col min="271" max="271" width="9.85546875" style="16" bestFit="1"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8.85546875" style="16" customWidth="1"/>
    <col min="515" max="515" width="10.85546875" style="16" bestFit="1" customWidth="1"/>
    <col min="516" max="516" width="6.7109375" style="16" customWidth="1"/>
    <col min="517" max="517" width="8.5703125" style="16" customWidth="1"/>
    <col min="518" max="518" width="9.28515625" style="16" customWidth="1"/>
    <col min="519" max="519" width="10.5703125" style="16" bestFit="1" customWidth="1"/>
    <col min="520" max="520" width="10.42578125" style="16" bestFit="1" customWidth="1"/>
    <col min="521" max="521" width="7.140625" style="16" customWidth="1"/>
    <col min="522" max="522" width="9" style="16" customWidth="1"/>
    <col min="523" max="524" width="7" style="16" customWidth="1"/>
    <col min="525" max="525" width="6.85546875" style="16" customWidth="1"/>
    <col min="526" max="526" width="7" style="16" customWidth="1"/>
    <col min="527" max="527" width="9.85546875" style="16" bestFit="1"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8.85546875" style="16" customWidth="1"/>
    <col min="771" max="771" width="10.85546875" style="16" bestFit="1" customWidth="1"/>
    <col min="772" max="772" width="6.7109375" style="16" customWidth="1"/>
    <col min="773" max="773" width="8.5703125" style="16" customWidth="1"/>
    <col min="774" max="774" width="9.28515625" style="16" customWidth="1"/>
    <col min="775" max="775" width="10.5703125" style="16" bestFit="1" customWidth="1"/>
    <col min="776" max="776" width="10.42578125" style="16" bestFit="1" customWidth="1"/>
    <col min="777" max="777" width="7.140625" style="16" customWidth="1"/>
    <col min="778" max="778" width="9" style="16" customWidth="1"/>
    <col min="779" max="780" width="7" style="16" customWidth="1"/>
    <col min="781" max="781" width="6.85546875" style="16" customWidth="1"/>
    <col min="782" max="782" width="7" style="16" customWidth="1"/>
    <col min="783" max="783" width="9.85546875" style="16" bestFit="1"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8.85546875" style="16" customWidth="1"/>
    <col min="1027" max="1027" width="10.85546875" style="16" bestFit="1" customWidth="1"/>
    <col min="1028" max="1028" width="6.7109375" style="16" customWidth="1"/>
    <col min="1029" max="1029" width="8.5703125" style="16" customWidth="1"/>
    <col min="1030" max="1030" width="9.28515625" style="16" customWidth="1"/>
    <col min="1031" max="1031" width="10.5703125" style="16" bestFit="1" customWidth="1"/>
    <col min="1032" max="1032" width="10.42578125" style="16" bestFit="1" customWidth="1"/>
    <col min="1033" max="1033" width="7.140625" style="16" customWidth="1"/>
    <col min="1034" max="1034" width="9" style="16" customWidth="1"/>
    <col min="1035" max="1036" width="7" style="16" customWidth="1"/>
    <col min="1037" max="1037" width="6.85546875" style="16" customWidth="1"/>
    <col min="1038" max="1038" width="7" style="16" customWidth="1"/>
    <col min="1039" max="1039" width="9.85546875" style="16" bestFit="1"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8.85546875" style="16" customWidth="1"/>
    <col min="1283" max="1283" width="10.85546875" style="16" bestFit="1" customWidth="1"/>
    <col min="1284" max="1284" width="6.7109375" style="16" customWidth="1"/>
    <col min="1285" max="1285" width="8.5703125" style="16" customWidth="1"/>
    <col min="1286" max="1286" width="9.28515625" style="16" customWidth="1"/>
    <col min="1287" max="1287" width="10.5703125" style="16" bestFit="1" customWidth="1"/>
    <col min="1288" max="1288" width="10.42578125" style="16" bestFit="1" customWidth="1"/>
    <col min="1289" max="1289" width="7.140625" style="16" customWidth="1"/>
    <col min="1290" max="1290" width="9" style="16" customWidth="1"/>
    <col min="1291" max="1292" width="7" style="16" customWidth="1"/>
    <col min="1293" max="1293" width="6.85546875" style="16" customWidth="1"/>
    <col min="1294" max="1294" width="7" style="16" customWidth="1"/>
    <col min="1295" max="1295" width="9.85546875" style="16" bestFit="1"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8.85546875" style="16" customWidth="1"/>
    <col min="1539" max="1539" width="10.85546875" style="16" bestFit="1" customWidth="1"/>
    <col min="1540" max="1540" width="6.7109375" style="16" customWidth="1"/>
    <col min="1541" max="1541" width="8.5703125" style="16" customWidth="1"/>
    <col min="1542" max="1542" width="9.28515625" style="16" customWidth="1"/>
    <col min="1543" max="1543" width="10.5703125" style="16" bestFit="1" customWidth="1"/>
    <col min="1544" max="1544" width="10.42578125" style="16" bestFit="1" customWidth="1"/>
    <col min="1545" max="1545" width="7.140625" style="16" customWidth="1"/>
    <col min="1546" max="1546" width="9" style="16" customWidth="1"/>
    <col min="1547" max="1548" width="7" style="16" customWidth="1"/>
    <col min="1549" max="1549" width="6.85546875" style="16" customWidth="1"/>
    <col min="1550" max="1550" width="7" style="16" customWidth="1"/>
    <col min="1551" max="1551" width="9.85546875" style="16" bestFit="1"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8.85546875" style="16" customWidth="1"/>
    <col min="1795" max="1795" width="10.85546875" style="16" bestFit="1" customWidth="1"/>
    <col min="1796" max="1796" width="6.7109375" style="16" customWidth="1"/>
    <col min="1797" max="1797" width="8.5703125" style="16" customWidth="1"/>
    <col min="1798" max="1798" width="9.28515625" style="16" customWidth="1"/>
    <col min="1799" max="1799" width="10.5703125" style="16" bestFit="1" customWidth="1"/>
    <col min="1800" max="1800" width="10.42578125" style="16" bestFit="1" customWidth="1"/>
    <col min="1801" max="1801" width="7.140625" style="16" customWidth="1"/>
    <col min="1802" max="1802" width="9" style="16" customWidth="1"/>
    <col min="1803" max="1804" width="7" style="16" customWidth="1"/>
    <col min="1805" max="1805" width="6.85546875" style="16" customWidth="1"/>
    <col min="1806" max="1806" width="7" style="16" customWidth="1"/>
    <col min="1807" max="1807" width="9.85546875" style="16" bestFit="1"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8.85546875" style="16" customWidth="1"/>
    <col min="2051" max="2051" width="10.85546875" style="16" bestFit="1" customWidth="1"/>
    <col min="2052" max="2052" width="6.7109375" style="16" customWidth="1"/>
    <col min="2053" max="2053" width="8.5703125" style="16" customWidth="1"/>
    <col min="2054" max="2054" width="9.28515625" style="16" customWidth="1"/>
    <col min="2055" max="2055" width="10.5703125" style="16" bestFit="1" customWidth="1"/>
    <col min="2056" max="2056" width="10.42578125" style="16" bestFit="1" customWidth="1"/>
    <col min="2057" max="2057" width="7.140625" style="16" customWidth="1"/>
    <col min="2058" max="2058" width="9" style="16" customWidth="1"/>
    <col min="2059" max="2060" width="7" style="16" customWidth="1"/>
    <col min="2061" max="2061" width="6.85546875" style="16" customWidth="1"/>
    <col min="2062" max="2062" width="7" style="16" customWidth="1"/>
    <col min="2063" max="2063" width="9.85546875" style="16" bestFit="1"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8.85546875" style="16" customWidth="1"/>
    <col min="2307" max="2307" width="10.85546875" style="16" bestFit="1" customWidth="1"/>
    <col min="2308" max="2308" width="6.7109375" style="16" customWidth="1"/>
    <col min="2309" max="2309" width="8.5703125" style="16" customWidth="1"/>
    <col min="2310" max="2310" width="9.28515625" style="16" customWidth="1"/>
    <col min="2311" max="2311" width="10.5703125" style="16" bestFit="1" customWidth="1"/>
    <col min="2312" max="2312" width="10.42578125" style="16" bestFit="1" customWidth="1"/>
    <col min="2313" max="2313" width="7.140625" style="16" customWidth="1"/>
    <col min="2314" max="2314" width="9" style="16" customWidth="1"/>
    <col min="2315" max="2316" width="7" style="16" customWidth="1"/>
    <col min="2317" max="2317" width="6.85546875" style="16" customWidth="1"/>
    <col min="2318" max="2318" width="7" style="16" customWidth="1"/>
    <col min="2319" max="2319" width="9.85546875" style="16" bestFit="1"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8.85546875" style="16" customWidth="1"/>
    <col min="2563" max="2563" width="10.85546875" style="16" bestFit="1" customWidth="1"/>
    <col min="2564" max="2564" width="6.7109375" style="16" customWidth="1"/>
    <col min="2565" max="2565" width="8.5703125" style="16" customWidth="1"/>
    <col min="2566" max="2566" width="9.28515625" style="16" customWidth="1"/>
    <col min="2567" max="2567" width="10.5703125" style="16" bestFit="1" customWidth="1"/>
    <col min="2568" max="2568" width="10.42578125" style="16" bestFit="1" customWidth="1"/>
    <col min="2569" max="2569" width="7.140625" style="16" customWidth="1"/>
    <col min="2570" max="2570" width="9" style="16" customWidth="1"/>
    <col min="2571" max="2572" width="7" style="16" customWidth="1"/>
    <col min="2573" max="2573" width="6.85546875" style="16" customWidth="1"/>
    <col min="2574" max="2574" width="7" style="16" customWidth="1"/>
    <col min="2575" max="2575" width="9.85546875" style="16" bestFit="1"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8.85546875" style="16" customWidth="1"/>
    <col min="2819" max="2819" width="10.85546875" style="16" bestFit="1" customWidth="1"/>
    <col min="2820" max="2820" width="6.7109375" style="16" customWidth="1"/>
    <col min="2821" max="2821" width="8.5703125" style="16" customWidth="1"/>
    <col min="2822" max="2822" width="9.28515625" style="16" customWidth="1"/>
    <col min="2823" max="2823" width="10.5703125" style="16" bestFit="1" customWidth="1"/>
    <col min="2824" max="2824" width="10.42578125" style="16" bestFit="1" customWidth="1"/>
    <col min="2825" max="2825" width="7.140625" style="16" customWidth="1"/>
    <col min="2826" max="2826" width="9" style="16" customWidth="1"/>
    <col min="2827" max="2828" width="7" style="16" customWidth="1"/>
    <col min="2829" max="2829" width="6.85546875" style="16" customWidth="1"/>
    <col min="2830" max="2830" width="7" style="16" customWidth="1"/>
    <col min="2831" max="2831" width="9.85546875" style="16" bestFit="1"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8.85546875" style="16" customWidth="1"/>
    <col min="3075" max="3075" width="10.85546875" style="16" bestFit="1" customWidth="1"/>
    <col min="3076" max="3076" width="6.7109375" style="16" customWidth="1"/>
    <col min="3077" max="3077" width="8.5703125" style="16" customWidth="1"/>
    <col min="3078" max="3078" width="9.28515625" style="16" customWidth="1"/>
    <col min="3079" max="3079" width="10.5703125" style="16" bestFit="1" customWidth="1"/>
    <col min="3080" max="3080" width="10.42578125" style="16" bestFit="1" customWidth="1"/>
    <col min="3081" max="3081" width="7.140625" style="16" customWidth="1"/>
    <col min="3082" max="3082" width="9" style="16" customWidth="1"/>
    <col min="3083" max="3084" width="7" style="16" customWidth="1"/>
    <col min="3085" max="3085" width="6.85546875" style="16" customWidth="1"/>
    <col min="3086" max="3086" width="7" style="16" customWidth="1"/>
    <col min="3087" max="3087" width="9.85546875" style="16" bestFit="1"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8.85546875" style="16" customWidth="1"/>
    <col min="3331" max="3331" width="10.85546875" style="16" bestFit="1" customWidth="1"/>
    <col min="3332" max="3332" width="6.7109375" style="16" customWidth="1"/>
    <col min="3333" max="3333" width="8.5703125" style="16" customWidth="1"/>
    <col min="3334" max="3334" width="9.28515625" style="16" customWidth="1"/>
    <col min="3335" max="3335" width="10.5703125" style="16" bestFit="1" customWidth="1"/>
    <col min="3336" max="3336" width="10.42578125" style="16" bestFit="1" customWidth="1"/>
    <col min="3337" max="3337" width="7.140625" style="16" customWidth="1"/>
    <col min="3338" max="3338" width="9" style="16" customWidth="1"/>
    <col min="3339" max="3340" width="7" style="16" customWidth="1"/>
    <col min="3341" max="3341" width="6.85546875" style="16" customWidth="1"/>
    <col min="3342" max="3342" width="7" style="16" customWidth="1"/>
    <col min="3343" max="3343" width="9.85546875" style="16" bestFit="1"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8.85546875" style="16" customWidth="1"/>
    <col min="3587" max="3587" width="10.85546875" style="16" bestFit="1" customWidth="1"/>
    <col min="3588" max="3588" width="6.7109375" style="16" customWidth="1"/>
    <col min="3589" max="3589" width="8.5703125" style="16" customWidth="1"/>
    <col min="3590" max="3590" width="9.28515625" style="16" customWidth="1"/>
    <col min="3591" max="3591" width="10.5703125" style="16" bestFit="1" customWidth="1"/>
    <col min="3592" max="3592" width="10.42578125" style="16" bestFit="1" customWidth="1"/>
    <col min="3593" max="3593" width="7.140625" style="16" customWidth="1"/>
    <col min="3594" max="3594" width="9" style="16" customWidth="1"/>
    <col min="3595" max="3596" width="7" style="16" customWidth="1"/>
    <col min="3597" max="3597" width="6.85546875" style="16" customWidth="1"/>
    <col min="3598" max="3598" width="7" style="16" customWidth="1"/>
    <col min="3599" max="3599" width="9.85546875" style="16" bestFit="1"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8.85546875" style="16" customWidth="1"/>
    <col min="3843" max="3843" width="10.85546875" style="16" bestFit="1" customWidth="1"/>
    <col min="3844" max="3844" width="6.7109375" style="16" customWidth="1"/>
    <col min="3845" max="3845" width="8.5703125" style="16" customWidth="1"/>
    <col min="3846" max="3846" width="9.28515625" style="16" customWidth="1"/>
    <col min="3847" max="3847" width="10.5703125" style="16" bestFit="1" customWidth="1"/>
    <col min="3848" max="3848" width="10.42578125" style="16" bestFit="1" customWidth="1"/>
    <col min="3849" max="3849" width="7.140625" style="16" customWidth="1"/>
    <col min="3850" max="3850" width="9" style="16" customWidth="1"/>
    <col min="3851" max="3852" width="7" style="16" customWidth="1"/>
    <col min="3853" max="3853" width="6.85546875" style="16" customWidth="1"/>
    <col min="3854" max="3854" width="7" style="16" customWidth="1"/>
    <col min="3855" max="3855" width="9.85546875" style="16" bestFit="1"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8.85546875" style="16" customWidth="1"/>
    <col min="4099" max="4099" width="10.85546875" style="16" bestFit="1" customWidth="1"/>
    <col min="4100" max="4100" width="6.7109375" style="16" customWidth="1"/>
    <col min="4101" max="4101" width="8.5703125" style="16" customWidth="1"/>
    <col min="4102" max="4102" width="9.28515625" style="16" customWidth="1"/>
    <col min="4103" max="4103" width="10.5703125" style="16" bestFit="1" customWidth="1"/>
    <col min="4104" max="4104" width="10.42578125" style="16" bestFit="1" customWidth="1"/>
    <col min="4105" max="4105" width="7.140625" style="16" customWidth="1"/>
    <col min="4106" max="4106" width="9" style="16" customWidth="1"/>
    <col min="4107" max="4108" width="7" style="16" customWidth="1"/>
    <col min="4109" max="4109" width="6.85546875" style="16" customWidth="1"/>
    <col min="4110" max="4110" width="7" style="16" customWidth="1"/>
    <col min="4111" max="4111" width="9.85546875" style="16" bestFit="1"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8.85546875" style="16" customWidth="1"/>
    <col min="4355" max="4355" width="10.85546875" style="16" bestFit="1" customWidth="1"/>
    <col min="4356" max="4356" width="6.7109375" style="16" customWidth="1"/>
    <col min="4357" max="4357" width="8.5703125" style="16" customWidth="1"/>
    <col min="4358" max="4358" width="9.28515625" style="16" customWidth="1"/>
    <col min="4359" max="4359" width="10.5703125" style="16" bestFit="1" customWidth="1"/>
    <col min="4360" max="4360" width="10.42578125" style="16" bestFit="1" customWidth="1"/>
    <col min="4361" max="4361" width="7.140625" style="16" customWidth="1"/>
    <col min="4362" max="4362" width="9" style="16" customWidth="1"/>
    <col min="4363" max="4364" width="7" style="16" customWidth="1"/>
    <col min="4365" max="4365" width="6.85546875" style="16" customWidth="1"/>
    <col min="4366" max="4366" width="7" style="16" customWidth="1"/>
    <col min="4367" max="4367" width="9.85546875" style="16" bestFit="1"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8.85546875" style="16" customWidth="1"/>
    <col min="4611" max="4611" width="10.85546875" style="16" bestFit="1" customWidth="1"/>
    <col min="4612" max="4612" width="6.7109375" style="16" customWidth="1"/>
    <col min="4613" max="4613" width="8.5703125" style="16" customWidth="1"/>
    <col min="4614" max="4614" width="9.28515625" style="16" customWidth="1"/>
    <col min="4615" max="4615" width="10.5703125" style="16" bestFit="1" customWidth="1"/>
    <col min="4616" max="4616" width="10.42578125" style="16" bestFit="1" customWidth="1"/>
    <col min="4617" max="4617" width="7.140625" style="16" customWidth="1"/>
    <col min="4618" max="4618" width="9" style="16" customWidth="1"/>
    <col min="4619" max="4620" width="7" style="16" customWidth="1"/>
    <col min="4621" max="4621" width="6.85546875" style="16" customWidth="1"/>
    <col min="4622" max="4622" width="7" style="16" customWidth="1"/>
    <col min="4623" max="4623" width="9.85546875" style="16" bestFit="1"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8.85546875" style="16" customWidth="1"/>
    <col min="4867" max="4867" width="10.85546875" style="16" bestFit="1" customWidth="1"/>
    <col min="4868" max="4868" width="6.7109375" style="16" customWidth="1"/>
    <col min="4869" max="4869" width="8.5703125" style="16" customWidth="1"/>
    <col min="4870" max="4870" width="9.28515625" style="16" customWidth="1"/>
    <col min="4871" max="4871" width="10.5703125" style="16" bestFit="1" customWidth="1"/>
    <col min="4872" max="4872" width="10.42578125" style="16" bestFit="1" customWidth="1"/>
    <col min="4873" max="4873" width="7.140625" style="16" customWidth="1"/>
    <col min="4874" max="4874" width="9" style="16" customWidth="1"/>
    <col min="4875" max="4876" width="7" style="16" customWidth="1"/>
    <col min="4877" max="4877" width="6.85546875" style="16" customWidth="1"/>
    <col min="4878" max="4878" width="7" style="16" customWidth="1"/>
    <col min="4879" max="4879" width="9.85546875" style="16" bestFit="1"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8.85546875" style="16" customWidth="1"/>
    <col min="5123" max="5123" width="10.85546875" style="16" bestFit="1" customWidth="1"/>
    <col min="5124" max="5124" width="6.7109375" style="16" customWidth="1"/>
    <col min="5125" max="5125" width="8.5703125" style="16" customWidth="1"/>
    <col min="5126" max="5126" width="9.28515625" style="16" customWidth="1"/>
    <col min="5127" max="5127" width="10.5703125" style="16" bestFit="1" customWidth="1"/>
    <col min="5128" max="5128" width="10.42578125" style="16" bestFit="1" customWidth="1"/>
    <col min="5129" max="5129" width="7.140625" style="16" customWidth="1"/>
    <col min="5130" max="5130" width="9" style="16" customWidth="1"/>
    <col min="5131" max="5132" width="7" style="16" customWidth="1"/>
    <col min="5133" max="5133" width="6.85546875" style="16" customWidth="1"/>
    <col min="5134" max="5134" width="7" style="16" customWidth="1"/>
    <col min="5135" max="5135" width="9.85546875" style="16" bestFit="1"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8.85546875" style="16" customWidth="1"/>
    <col min="5379" max="5379" width="10.85546875" style="16" bestFit="1" customWidth="1"/>
    <col min="5380" max="5380" width="6.7109375" style="16" customWidth="1"/>
    <col min="5381" max="5381" width="8.5703125" style="16" customWidth="1"/>
    <col min="5382" max="5382" width="9.28515625" style="16" customWidth="1"/>
    <col min="5383" max="5383" width="10.5703125" style="16" bestFit="1" customWidth="1"/>
    <col min="5384" max="5384" width="10.42578125" style="16" bestFit="1" customWidth="1"/>
    <col min="5385" max="5385" width="7.140625" style="16" customWidth="1"/>
    <col min="5386" max="5386" width="9" style="16" customWidth="1"/>
    <col min="5387" max="5388" width="7" style="16" customWidth="1"/>
    <col min="5389" max="5389" width="6.85546875" style="16" customWidth="1"/>
    <col min="5390" max="5390" width="7" style="16" customWidth="1"/>
    <col min="5391" max="5391" width="9.85546875" style="16" bestFit="1"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8.85546875" style="16" customWidth="1"/>
    <col min="5635" max="5635" width="10.85546875" style="16" bestFit="1" customWidth="1"/>
    <col min="5636" max="5636" width="6.7109375" style="16" customWidth="1"/>
    <col min="5637" max="5637" width="8.5703125" style="16" customWidth="1"/>
    <col min="5638" max="5638" width="9.28515625" style="16" customWidth="1"/>
    <col min="5639" max="5639" width="10.5703125" style="16" bestFit="1" customWidth="1"/>
    <col min="5640" max="5640" width="10.42578125" style="16" bestFit="1" customWidth="1"/>
    <col min="5641" max="5641" width="7.140625" style="16" customWidth="1"/>
    <col min="5642" max="5642" width="9" style="16" customWidth="1"/>
    <col min="5643" max="5644" width="7" style="16" customWidth="1"/>
    <col min="5645" max="5645" width="6.85546875" style="16" customWidth="1"/>
    <col min="5646" max="5646" width="7" style="16" customWidth="1"/>
    <col min="5647" max="5647" width="9.85546875" style="16" bestFit="1"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8.85546875" style="16" customWidth="1"/>
    <col min="5891" max="5891" width="10.85546875" style="16" bestFit="1" customWidth="1"/>
    <col min="5892" max="5892" width="6.7109375" style="16" customWidth="1"/>
    <col min="5893" max="5893" width="8.5703125" style="16" customWidth="1"/>
    <col min="5894" max="5894" width="9.28515625" style="16" customWidth="1"/>
    <col min="5895" max="5895" width="10.5703125" style="16" bestFit="1" customWidth="1"/>
    <col min="5896" max="5896" width="10.42578125" style="16" bestFit="1" customWidth="1"/>
    <col min="5897" max="5897" width="7.140625" style="16" customWidth="1"/>
    <col min="5898" max="5898" width="9" style="16" customWidth="1"/>
    <col min="5899" max="5900" width="7" style="16" customWidth="1"/>
    <col min="5901" max="5901" width="6.85546875" style="16" customWidth="1"/>
    <col min="5902" max="5902" width="7" style="16" customWidth="1"/>
    <col min="5903" max="5903" width="9.85546875" style="16" bestFit="1"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8.85546875" style="16" customWidth="1"/>
    <col min="6147" max="6147" width="10.85546875" style="16" bestFit="1" customWidth="1"/>
    <col min="6148" max="6148" width="6.7109375" style="16" customWidth="1"/>
    <col min="6149" max="6149" width="8.5703125" style="16" customWidth="1"/>
    <col min="6150" max="6150" width="9.28515625" style="16" customWidth="1"/>
    <col min="6151" max="6151" width="10.5703125" style="16" bestFit="1" customWidth="1"/>
    <col min="6152" max="6152" width="10.42578125" style="16" bestFit="1" customWidth="1"/>
    <col min="6153" max="6153" width="7.140625" style="16" customWidth="1"/>
    <col min="6154" max="6154" width="9" style="16" customWidth="1"/>
    <col min="6155" max="6156" width="7" style="16" customWidth="1"/>
    <col min="6157" max="6157" width="6.85546875" style="16" customWidth="1"/>
    <col min="6158" max="6158" width="7" style="16" customWidth="1"/>
    <col min="6159" max="6159" width="9.85546875" style="16" bestFit="1"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8.85546875" style="16" customWidth="1"/>
    <col min="6403" max="6403" width="10.85546875" style="16" bestFit="1" customWidth="1"/>
    <col min="6404" max="6404" width="6.7109375" style="16" customWidth="1"/>
    <col min="6405" max="6405" width="8.5703125" style="16" customWidth="1"/>
    <col min="6406" max="6406" width="9.28515625" style="16" customWidth="1"/>
    <col min="6407" max="6407" width="10.5703125" style="16" bestFit="1" customWidth="1"/>
    <col min="6408" max="6408" width="10.42578125" style="16" bestFit="1" customWidth="1"/>
    <col min="6409" max="6409" width="7.140625" style="16" customWidth="1"/>
    <col min="6410" max="6410" width="9" style="16" customWidth="1"/>
    <col min="6411" max="6412" width="7" style="16" customWidth="1"/>
    <col min="6413" max="6413" width="6.85546875" style="16" customWidth="1"/>
    <col min="6414" max="6414" width="7" style="16" customWidth="1"/>
    <col min="6415" max="6415" width="9.85546875" style="16" bestFit="1"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8.85546875" style="16" customWidth="1"/>
    <col min="6659" max="6659" width="10.85546875" style="16" bestFit="1" customWidth="1"/>
    <col min="6660" max="6660" width="6.7109375" style="16" customWidth="1"/>
    <col min="6661" max="6661" width="8.5703125" style="16" customWidth="1"/>
    <col min="6662" max="6662" width="9.28515625" style="16" customWidth="1"/>
    <col min="6663" max="6663" width="10.5703125" style="16" bestFit="1" customWidth="1"/>
    <col min="6664" max="6664" width="10.42578125" style="16" bestFit="1" customWidth="1"/>
    <col min="6665" max="6665" width="7.140625" style="16" customWidth="1"/>
    <col min="6666" max="6666" width="9" style="16" customWidth="1"/>
    <col min="6667" max="6668" width="7" style="16" customWidth="1"/>
    <col min="6669" max="6669" width="6.85546875" style="16" customWidth="1"/>
    <col min="6670" max="6670" width="7" style="16" customWidth="1"/>
    <col min="6671" max="6671" width="9.85546875" style="16" bestFit="1"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8.85546875" style="16" customWidth="1"/>
    <col min="6915" max="6915" width="10.85546875" style="16" bestFit="1" customWidth="1"/>
    <col min="6916" max="6916" width="6.7109375" style="16" customWidth="1"/>
    <col min="6917" max="6917" width="8.5703125" style="16" customWidth="1"/>
    <col min="6918" max="6918" width="9.28515625" style="16" customWidth="1"/>
    <col min="6919" max="6919" width="10.5703125" style="16" bestFit="1" customWidth="1"/>
    <col min="6920" max="6920" width="10.42578125" style="16" bestFit="1" customWidth="1"/>
    <col min="6921" max="6921" width="7.140625" style="16" customWidth="1"/>
    <col min="6922" max="6922" width="9" style="16" customWidth="1"/>
    <col min="6923" max="6924" width="7" style="16" customWidth="1"/>
    <col min="6925" max="6925" width="6.85546875" style="16" customWidth="1"/>
    <col min="6926" max="6926" width="7" style="16" customWidth="1"/>
    <col min="6927" max="6927" width="9.85546875" style="16" bestFit="1"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8.85546875" style="16" customWidth="1"/>
    <col min="7171" max="7171" width="10.85546875" style="16" bestFit="1" customWidth="1"/>
    <col min="7172" max="7172" width="6.7109375" style="16" customWidth="1"/>
    <col min="7173" max="7173" width="8.5703125" style="16" customWidth="1"/>
    <col min="7174" max="7174" width="9.28515625" style="16" customWidth="1"/>
    <col min="7175" max="7175" width="10.5703125" style="16" bestFit="1" customWidth="1"/>
    <col min="7176" max="7176" width="10.42578125" style="16" bestFit="1" customWidth="1"/>
    <col min="7177" max="7177" width="7.140625" style="16" customWidth="1"/>
    <col min="7178" max="7178" width="9" style="16" customWidth="1"/>
    <col min="7179" max="7180" width="7" style="16" customWidth="1"/>
    <col min="7181" max="7181" width="6.85546875" style="16" customWidth="1"/>
    <col min="7182" max="7182" width="7" style="16" customWidth="1"/>
    <col min="7183" max="7183" width="9.85546875" style="16" bestFit="1"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8.85546875" style="16" customWidth="1"/>
    <col min="7427" max="7427" width="10.85546875" style="16" bestFit="1" customWidth="1"/>
    <col min="7428" max="7428" width="6.7109375" style="16" customWidth="1"/>
    <col min="7429" max="7429" width="8.5703125" style="16" customWidth="1"/>
    <col min="7430" max="7430" width="9.28515625" style="16" customWidth="1"/>
    <col min="7431" max="7431" width="10.5703125" style="16" bestFit="1" customWidth="1"/>
    <col min="7432" max="7432" width="10.42578125" style="16" bestFit="1" customWidth="1"/>
    <col min="7433" max="7433" width="7.140625" style="16" customWidth="1"/>
    <col min="7434" max="7434" width="9" style="16" customWidth="1"/>
    <col min="7435" max="7436" width="7" style="16" customWidth="1"/>
    <col min="7437" max="7437" width="6.85546875" style="16" customWidth="1"/>
    <col min="7438" max="7438" width="7" style="16" customWidth="1"/>
    <col min="7439" max="7439" width="9.85546875" style="16" bestFit="1"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8.85546875" style="16" customWidth="1"/>
    <col min="7683" max="7683" width="10.85546875" style="16" bestFit="1" customWidth="1"/>
    <col min="7684" max="7684" width="6.7109375" style="16" customWidth="1"/>
    <col min="7685" max="7685" width="8.5703125" style="16" customWidth="1"/>
    <col min="7686" max="7686" width="9.28515625" style="16" customWidth="1"/>
    <col min="7687" max="7687" width="10.5703125" style="16" bestFit="1" customWidth="1"/>
    <col min="7688" max="7688" width="10.42578125" style="16" bestFit="1" customWidth="1"/>
    <col min="7689" max="7689" width="7.140625" style="16" customWidth="1"/>
    <col min="7690" max="7690" width="9" style="16" customWidth="1"/>
    <col min="7691" max="7692" width="7" style="16" customWidth="1"/>
    <col min="7693" max="7693" width="6.85546875" style="16" customWidth="1"/>
    <col min="7694" max="7694" width="7" style="16" customWidth="1"/>
    <col min="7695" max="7695" width="9.85546875" style="16" bestFit="1"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8.85546875" style="16" customWidth="1"/>
    <col min="7939" max="7939" width="10.85546875" style="16" bestFit="1" customWidth="1"/>
    <col min="7940" max="7940" width="6.7109375" style="16" customWidth="1"/>
    <col min="7941" max="7941" width="8.5703125" style="16" customWidth="1"/>
    <col min="7942" max="7942" width="9.28515625" style="16" customWidth="1"/>
    <col min="7943" max="7943" width="10.5703125" style="16" bestFit="1" customWidth="1"/>
    <col min="7944" max="7944" width="10.42578125" style="16" bestFit="1" customWidth="1"/>
    <col min="7945" max="7945" width="7.140625" style="16" customWidth="1"/>
    <col min="7946" max="7946" width="9" style="16" customWidth="1"/>
    <col min="7947" max="7948" width="7" style="16" customWidth="1"/>
    <col min="7949" max="7949" width="6.85546875" style="16" customWidth="1"/>
    <col min="7950" max="7950" width="7" style="16" customWidth="1"/>
    <col min="7951" max="7951" width="9.85546875" style="16" bestFit="1"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8.85546875" style="16" customWidth="1"/>
    <col min="8195" max="8195" width="10.85546875" style="16" bestFit="1" customWidth="1"/>
    <col min="8196" max="8196" width="6.7109375" style="16" customWidth="1"/>
    <col min="8197" max="8197" width="8.5703125" style="16" customWidth="1"/>
    <col min="8198" max="8198" width="9.28515625" style="16" customWidth="1"/>
    <col min="8199" max="8199" width="10.5703125" style="16" bestFit="1" customWidth="1"/>
    <col min="8200" max="8200" width="10.42578125" style="16" bestFit="1" customWidth="1"/>
    <col min="8201" max="8201" width="7.140625" style="16" customWidth="1"/>
    <col min="8202" max="8202" width="9" style="16" customWidth="1"/>
    <col min="8203" max="8204" width="7" style="16" customWidth="1"/>
    <col min="8205" max="8205" width="6.85546875" style="16" customWidth="1"/>
    <col min="8206" max="8206" width="7" style="16" customWidth="1"/>
    <col min="8207" max="8207" width="9.85546875" style="16" bestFit="1"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8.85546875" style="16" customWidth="1"/>
    <col min="8451" max="8451" width="10.85546875" style="16" bestFit="1" customWidth="1"/>
    <col min="8452" max="8452" width="6.7109375" style="16" customWidth="1"/>
    <col min="8453" max="8453" width="8.5703125" style="16" customWidth="1"/>
    <col min="8454" max="8454" width="9.28515625" style="16" customWidth="1"/>
    <col min="8455" max="8455" width="10.5703125" style="16" bestFit="1" customWidth="1"/>
    <col min="8456" max="8456" width="10.42578125" style="16" bestFit="1" customWidth="1"/>
    <col min="8457" max="8457" width="7.140625" style="16" customWidth="1"/>
    <col min="8458" max="8458" width="9" style="16" customWidth="1"/>
    <col min="8459" max="8460" width="7" style="16" customWidth="1"/>
    <col min="8461" max="8461" width="6.85546875" style="16" customWidth="1"/>
    <col min="8462" max="8462" width="7" style="16" customWidth="1"/>
    <col min="8463" max="8463" width="9.85546875" style="16" bestFit="1"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8.85546875" style="16" customWidth="1"/>
    <col min="8707" max="8707" width="10.85546875" style="16" bestFit="1" customWidth="1"/>
    <col min="8708" max="8708" width="6.7109375" style="16" customWidth="1"/>
    <col min="8709" max="8709" width="8.5703125" style="16" customWidth="1"/>
    <col min="8710" max="8710" width="9.28515625" style="16" customWidth="1"/>
    <col min="8711" max="8711" width="10.5703125" style="16" bestFit="1" customWidth="1"/>
    <col min="8712" max="8712" width="10.42578125" style="16" bestFit="1" customWidth="1"/>
    <col min="8713" max="8713" width="7.140625" style="16" customWidth="1"/>
    <col min="8714" max="8714" width="9" style="16" customWidth="1"/>
    <col min="8715" max="8716" width="7" style="16" customWidth="1"/>
    <col min="8717" max="8717" width="6.85546875" style="16" customWidth="1"/>
    <col min="8718" max="8718" width="7" style="16" customWidth="1"/>
    <col min="8719" max="8719" width="9.85546875" style="16" bestFit="1"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8.85546875" style="16" customWidth="1"/>
    <col min="8963" max="8963" width="10.85546875" style="16" bestFit="1" customWidth="1"/>
    <col min="8964" max="8964" width="6.7109375" style="16" customWidth="1"/>
    <col min="8965" max="8965" width="8.5703125" style="16" customWidth="1"/>
    <col min="8966" max="8966" width="9.28515625" style="16" customWidth="1"/>
    <col min="8967" max="8967" width="10.5703125" style="16" bestFit="1" customWidth="1"/>
    <col min="8968" max="8968" width="10.42578125" style="16" bestFit="1" customWidth="1"/>
    <col min="8969" max="8969" width="7.140625" style="16" customWidth="1"/>
    <col min="8970" max="8970" width="9" style="16" customWidth="1"/>
    <col min="8971" max="8972" width="7" style="16" customWidth="1"/>
    <col min="8973" max="8973" width="6.85546875" style="16" customWidth="1"/>
    <col min="8974" max="8974" width="7" style="16" customWidth="1"/>
    <col min="8975" max="8975" width="9.85546875" style="16" bestFit="1"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8.85546875" style="16" customWidth="1"/>
    <col min="9219" max="9219" width="10.85546875" style="16" bestFit="1" customWidth="1"/>
    <col min="9220" max="9220" width="6.7109375" style="16" customWidth="1"/>
    <col min="9221" max="9221" width="8.5703125" style="16" customWidth="1"/>
    <col min="9222" max="9222" width="9.28515625" style="16" customWidth="1"/>
    <col min="9223" max="9223" width="10.5703125" style="16" bestFit="1" customWidth="1"/>
    <col min="9224" max="9224" width="10.42578125" style="16" bestFit="1" customWidth="1"/>
    <col min="9225" max="9225" width="7.140625" style="16" customWidth="1"/>
    <col min="9226" max="9226" width="9" style="16" customWidth="1"/>
    <col min="9227" max="9228" width="7" style="16" customWidth="1"/>
    <col min="9229" max="9229" width="6.85546875" style="16" customWidth="1"/>
    <col min="9230" max="9230" width="7" style="16" customWidth="1"/>
    <col min="9231" max="9231" width="9.85546875" style="16" bestFit="1"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8.85546875" style="16" customWidth="1"/>
    <col min="9475" max="9475" width="10.85546875" style="16" bestFit="1" customWidth="1"/>
    <col min="9476" max="9476" width="6.7109375" style="16" customWidth="1"/>
    <col min="9477" max="9477" width="8.5703125" style="16" customWidth="1"/>
    <col min="9478" max="9478" width="9.28515625" style="16" customWidth="1"/>
    <col min="9479" max="9479" width="10.5703125" style="16" bestFit="1" customWidth="1"/>
    <col min="9480" max="9480" width="10.42578125" style="16" bestFit="1" customWidth="1"/>
    <col min="9481" max="9481" width="7.140625" style="16" customWidth="1"/>
    <col min="9482" max="9482" width="9" style="16" customWidth="1"/>
    <col min="9483" max="9484" width="7" style="16" customWidth="1"/>
    <col min="9485" max="9485" width="6.85546875" style="16" customWidth="1"/>
    <col min="9486" max="9486" width="7" style="16" customWidth="1"/>
    <col min="9487" max="9487" width="9.85546875" style="16" bestFit="1"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8.85546875" style="16" customWidth="1"/>
    <col min="9731" max="9731" width="10.85546875" style="16" bestFit="1" customWidth="1"/>
    <col min="9732" max="9732" width="6.7109375" style="16" customWidth="1"/>
    <col min="9733" max="9733" width="8.5703125" style="16" customWidth="1"/>
    <col min="9734" max="9734" width="9.28515625" style="16" customWidth="1"/>
    <col min="9735" max="9735" width="10.5703125" style="16" bestFit="1" customWidth="1"/>
    <col min="9736" max="9736" width="10.42578125" style="16" bestFit="1" customWidth="1"/>
    <col min="9737" max="9737" width="7.140625" style="16" customWidth="1"/>
    <col min="9738" max="9738" width="9" style="16" customWidth="1"/>
    <col min="9739" max="9740" width="7" style="16" customWidth="1"/>
    <col min="9741" max="9741" width="6.85546875" style="16" customWidth="1"/>
    <col min="9742" max="9742" width="7" style="16" customWidth="1"/>
    <col min="9743" max="9743" width="9.85546875" style="16" bestFit="1"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8.85546875" style="16" customWidth="1"/>
    <col min="9987" max="9987" width="10.85546875" style="16" bestFit="1" customWidth="1"/>
    <col min="9988" max="9988" width="6.7109375" style="16" customWidth="1"/>
    <col min="9989" max="9989" width="8.5703125" style="16" customWidth="1"/>
    <col min="9990" max="9990" width="9.28515625" style="16" customWidth="1"/>
    <col min="9991" max="9991" width="10.5703125" style="16" bestFit="1" customWidth="1"/>
    <col min="9992" max="9992" width="10.42578125" style="16" bestFit="1" customWidth="1"/>
    <col min="9993" max="9993" width="7.140625" style="16" customWidth="1"/>
    <col min="9994" max="9994" width="9" style="16" customWidth="1"/>
    <col min="9995" max="9996" width="7" style="16" customWidth="1"/>
    <col min="9997" max="9997" width="6.85546875" style="16" customWidth="1"/>
    <col min="9998" max="9998" width="7" style="16" customWidth="1"/>
    <col min="9999" max="9999" width="9.85546875" style="16" bestFit="1"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8.85546875" style="16" customWidth="1"/>
    <col min="10243" max="10243" width="10.85546875" style="16" bestFit="1" customWidth="1"/>
    <col min="10244" max="10244" width="6.7109375" style="16" customWidth="1"/>
    <col min="10245" max="10245" width="8.5703125" style="16" customWidth="1"/>
    <col min="10246" max="10246" width="9.28515625" style="16" customWidth="1"/>
    <col min="10247" max="10247" width="10.5703125" style="16" bestFit="1" customWidth="1"/>
    <col min="10248" max="10248" width="10.42578125" style="16" bestFit="1" customWidth="1"/>
    <col min="10249" max="10249" width="7.140625" style="16" customWidth="1"/>
    <col min="10250" max="10250" width="9" style="16" customWidth="1"/>
    <col min="10251" max="10252" width="7" style="16" customWidth="1"/>
    <col min="10253" max="10253" width="6.85546875" style="16" customWidth="1"/>
    <col min="10254" max="10254" width="7" style="16" customWidth="1"/>
    <col min="10255" max="10255" width="9.85546875" style="16" bestFit="1"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8.85546875" style="16" customWidth="1"/>
    <col min="10499" max="10499" width="10.85546875" style="16" bestFit="1" customWidth="1"/>
    <col min="10500" max="10500" width="6.7109375" style="16" customWidth="1"/>
    <col min="10501" max="10501" width="8.5703125" style="16" customWidth="1"/>
    <col min="10502" max="10502" width="9.28515625" style="16" customWidth="1"/>
    <col min="10503" max="10503" width="10.5703125" style="16" bestFit="1" customWidth="1"/>
    <col min="10504" max="10504" width="10.42578125" style="16" bestFit="1" customWidth="1"/>
    <col min="10505" max="10505" width="7.140625" style="16" customWidth="1"/>
    <col min="10506" max="10506" width="9" style="16" customWidth="1"/>
    <col min="10507" max="10508" width="7" style="16" customWidth="1"/>
    <col min="10509" max="10509" width="6.85546875" style="16" customWidth="1"/>
    <col min="10510" max="10510" width="7" style="16" customWidth="1"/>
    <col min="10511" max="10511" width="9.85546875" style="16" bestFit="1"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8.85546875" style="16" customWidth="1"/>
    <col min="10755" max="10755" width="10.85546875" style="16" bestFit="1" customWidth="1"/>
    <col min="10756" max="10756" width="6.7109375" style="16" customWidth="1"/>
    <col min="10757" max="10757" width="8.5703125" style="16" customWidth="1"/>
    <col min="10758" max="10758" width="9.28515625" style="16" customWidth="1"/>
    <col min="10759" max="10759" width="10.5703125" style="16" bestFit="1" customWidth="1"/>
    <col min="10760" max="10760" width="10.42578125" style="16" bestFit="1" customWidth="1"/>
    <col min="10761" max="10761" width="7.140625" style="16" customWidth="1"/>
    <col min="10762" max="10762" width="9" style="16" customWidth="1"/>
    <col min="10763" max="10764" width="7" style="16" customWidth="1"/>
    <col min="10765" max="10765" width="6.85546875" style="16" customWidth="1"/>
    <col min="10766" max="10766" width="7" style="16" customWidth="1"/>
    <col min="10767" max="10767" width="9.85546875" style="16" bestFit="1"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8.85546875" style="16" customWidth="1"/>
    <col min="11011" max="11011" width="10.85546875" style="16" bestFit="1" customWidth="1"/>
    <col min="11012" max="11012" width="6.7109375" style="16" customWidth="1"/>
    <col min="11013" max="11013" width="8.5703125" style="16" customWidth="1"/>
    <col min="11014" max="11014" width="9.28515625" style="16" customWidth="1"/>
    <col min="11015" max="11015" width="10.5703125" style="16" bestFit="1" customWidth="1"/>
    <col min="11016" max="11016" width="10.42578125" style="16" bestFit="1" customWidth="1"/>
    <col min="11017" max="11017" width="7.140625" style="16" customWidth="1"/>
    <col min="11018" max="11018" width="9" style="16" customWidth="1"/>
    <col min="11019" max="11020" width="7" style="16" customWidth="1"/>
    <col min="11021" max="11021" width="6.85546875" style="16" customWidth="1"/>
    <col min="11022" max="11022" width="7" style="16" customWidth="1"/>
    <col min="11023" max="11023" width="9.85546875" style="16" bestFit="1"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8.85546875" style="16" customWidth="1"/>
    <col min="11267" max="11267" width="10.85546875" style="16" bestFit="1" customWidth="1"/>
    <col min="11268" max="11268" width="6.7109375" style="16" customWidth="1"/>
    <col min="11269" max="11269" width="8.5703125" style="16" customWidth="1"/>
    <col min="11270" max="11270" width="9.28515625" style="16" customWidth="1"/>
    <col min="11271" max="11271" width="10.5703125" style="16" bestFit="1" customWidth="1"/>
    <col min="11272" max="11272" width="10.42578125" style="16" bestFit="1" customWidth="1"/>
    <col min="11273" max="11273" width="7.140625" style="16" customWidth="1"/>
    <col min="11274" max="11274" width="9" style="16" customWidth="1"/>
    <col min="11275" max="11276" width="7" style="16" customWidth="1"/>
    <col min="11277" max="11277" width="6.85546875" style="16" customWidth="1"/>
    <col min="11278" max="11278" width="7" style="16" customWidth="1"/>
    <col min="11279" max="11279" width="9.85546875" style="16" bestFit="1"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8.85546875" style="16" customWidth="1"/>
    <col min="11523" max="11523" width="10.85546875" style="16" bestFit="1" customWidth="1"/>
    <col min="11524" max="11524" width="6.7109375" style="16" customWidth="1"/>
    <col min="11525" max="11525" width="8.5703125" style="16" customWidth="1"/>
    <col min="11526" max="11526" width="9.28515625" style="16" customWidth="1"/>
    <col min="11527" max="11527" width="10.5703125" style="16" bestFit="1" customWidth="1"/>
    <col min="11528" max="11528" width="10.42578125" style="16" bestFit="1" customWidth="1"/>
    <col min="11529" max="11529" width="7.140625" style="16" customWidth="1"/>
    <col min="11530" max="11530" width="9" style="16" customWidth="1"/>
    <col min="11531" max="11532" width="7" style="16" customWidth="1"/>
    <col min="11533" max="11533" width="6.85546875" style="16" customWidth="1"/>
    <col min="11534" max="11534" width="7" style="16" customWidth="1"/>
    <col min="11535" max="11535" width="9.85546875" style="16" bestFit="1"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8.85546875" style="16" customWidth="1"/>
    <col min="11779" max="11779" width="10.85546875" style="16" bestFit="1" customWidth="1"/>
    <col min="11780" max="11780" width="6.7109375" style="16" customWidth="1"/>
    <col min="11781" max="11781" width="8.5703125" style="16" customWidth="1"/>
    <col min="11782" max="11782" width="9.28515625" style="16" customWidth="1"/>
    <col min="11783" max="11783" width="10.5703125" style="16" bestFit="1" customWidth="1"/>
    <col min="11784" max="11784" width="10.42578125" style="16" bestFit="1" customWidth="1"/>
    <col min="11785" max="11785" width="7.140625" style="16" customWidth="1"/>
    <col min="11786" max="11786" width="9" style="16" customWidth="1"/>
    <col min="11787" max="11788" width="7" style="16" customWidth="1"/>
    <col min="11789" max="11789" width="6.85546875" style="16" customWidth="1"/>
    <col min="11790" max="11790" width="7" style="16" customWidth="1"/>
    <col min="11791" max="11791" width="9.85546875" style="16" bestFit="1"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8.85546875" style="16" customWidth="1"/>
    <col min="12035" max="12035" width="10.85546875" style="16" bestFit="1" customWidth="1"/>
    <col min="12036" max="12036" width="6.7109375" style="16" customWidth="1"/>
    <col min="12037" max="12037" width="8.5703125" style="16" customWidth="1"/>
    <col min="12038" max="12038" width="9.28515625" style="16" customWidth="1"/>
    <col min="12039" max="12039" width="10.5703125" style="16" bestFit="1" customWidth="1"/>
    <col min="12040" max="12040" width="10.42578125" style="16" bestFit="1" customWidth="1"/>
    <col min="12041" max="12041" width="7.140625" style="16" customWidth="1"/>
    <col min="12042" max="12042" width="9" style="16" customWidth="1"/>
    <col min="12043" max="12044" width="7" style="16" customWidth="1"/>
    <col min="12045" max="12045" width="6.85546875" style="16" customWidth="1"/>
    <col min="12046" max="12046" width="7" style="16" customWidth="1"/>
    <col min="12047" max="12047" width="9.85546875" style="16" bestFit="1"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8.85546875" style="16" customWidth="1"/>
    <col min="12291" max="12291" width="10.85546875" style="16" bestFit="1" customWidth="1"/>
    <col min="12292" max="12292" width="6.7109375" style="16" customWidth="1"/>
    <col min="12293" max="12293" width="8.5703125" style="16" customWidth="1"/>
    <col min="12294" max="12294" width="9.28515625" style="16" customWidth="1"/>
    <col min="12295" max="12295" width="10.5703125" style="16" bestFit="1" customWidth="1"/>
    <col min="12296" max="12296" width="10.42578125" style="16" bestFit="1" customWidth="1"/>
    <col min="12297" max="12297" width="7.140625" style="16" customWidth="1"/>
    <col min="12298" max="12298" width="9" style="16" customWidth="1"/>
    <col min="12299" max="12300" width="7" style="16" customWidth="1"/>
    <col min="12301" max="12301" width="6.85546875" style="16" customWidth="1"/>
    <col min="12302" max="12302" width="7" style="16" customWidth="1"/>
    <col min="12303" max="12303" width="9.85546875" style="16" bestFit="1"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8.85546875" style="16" customWidth="1"/>
    <col min="12547" max="12547" width="10.85546875" style="16" bestFit="1" customWidth="1"/>
    <col min="12548" max="12548" width="6.7109375" style="16" customWidth="1"/>
    <col min="12549" max="12549" width="8.5703125" style="16" customWidth="1"/>
    <col min="12550" max="12550" width="9.28515625" style="16" customWidth="1"/>
    <col min="12551" max="12551" width="10.5703125" style="16" bestFit="1" customWidth="1"/>
    <col min="12552" max="12552" width="10.42578125" style="16" bestFit="1" customWidth="1"/>
    <col min="12553" max="12553" width="7.140625" style="16" customWidth="1"/>
    <col min="12554" max="12554" width="9" style="16" customWidth="1"/>
    <col min="12555" max="12556" width="7" style="16" customWidth="1"/>
    <col min="12557" max="12557" width="6.85546875" style="16" customWidth="1"/>
    <col min="12558" max="12558" width="7" style="16" customWidth="1"/>
    <col min="12559" max="12559" width="9.85546875" style="16" bestFit="1"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8.85546875" style="16" customWidth="1"/>
    <col min="12803" max="12803" width="10.85546875" style="16" bestFit="1" customWidth="1"/>
    <col min="12804" max="12804" width="6.7109375" style="16" customWidth="1"/>
    <col min="12805" max="12805" width="8.5703125" style="16" customWidth="1"/>
    <col min="12806" max="12806" width="9.28515625" style="16" customWidth="1"/>
    <col min="12807" max="12807" width="10.5703125" style="16" bestFit="1" customWidth="1"/>
    <col min="12808" max="12808" width="10.42578125" style="16" bestFit="1" customWidth="1"/>
    <col min="12809" max="12809" width="7.140625" style="16" customWidth="1"/>
    <col min="12810" max="12810" width="9" style="16" customWidth="1"/>
    <col min="12811" max="12812" width="7" style="16" customWidth="1"/>
    <col min="12813" max="12813" width="6.85546875" style="16" customWidth="1"/>
    <col min="12814" max="12814" width="7" style="16" customWidth="1"/>
    <col min="12815" max="12815" width="9.85546875" style="16" bestFit="1"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8.85546875" style="16" customWidth="1"/>
    <col min="13059" max="13059" width="10.85546875" style="16" bestFit="1" customWidth="1"/>
    <col min="13060" max="13060" width="6.7109375" style="16" customWidth="1"/>
    <col min="13061" max="13061" width="8.5703125" style="16" customWidth="1"/>
    <col min="13062" max="13062" width="9.28515625" style="16" customWidth="1"/>
    <col min="13063" max="13063" width="10.5703125" style="16" bestFit="1" customWidth="1"/>
    <col min="13064" max="13064" width="10.42578125" style="16" bestFit="1" customWidth="1"/>
    <col min="13065" max="13065" width="7.140625" style="16" customWidth="1"/>
    <col min="13066" max="13066" width="9" style="16" customWidth="1"/>
    <col min="13067" max="13068" width="7" style="16" customWidth="1"/>
    <col min="13069" max="13069" width="6.85546875" style="16" customWidth="1"/>
    <col min="13070" max="13070" width="7" style="16" customWidth="1"/>
    <col min="13071" max="13071" width="9.85546875" style="16" bestFit="1"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8.85546875" style="16" customWidth="1"/>
    <col min="13315" max="13315" width="10.85546875" style="16" bestFit="1" customWidth="1"/>
    <col min="13316" max="13316" width="6.7109375" style="16" customWidth="1"/>
    <col min="13317" max="13317" width="8.5703125" style="16" customWidth="1"/>
    <col min="13318" max="13318" width="9.28515625" style="16" customWidth="1"/>
    <col min="13319" max="13319" width="10.5703125" style="16" bestFit="1" customWidth="1"/>
    <col min="13320" max="13320" width="10.42578125" style="16" bestFit="1" customWidth="1"/>
    <col min="13321" max="13321" width="7.140625" style="16" customWidth="1"/>
    <col min="13322" max="13322" width="9" style="16" customWidth="1"/>
    <col min="13323" max="13324" width="7" style="16" customWidth="1"/>
    <col min="13325" max="13325" width="6.85546875" style="16" customWidth="1"/>
    <col min="13326" max="13326" width="7" style="16" customWidth="1"/>
    <col min="13327" max="13327" width="9.85546875" style="16" bestFit="1"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8.85546875" style="16" customWidth="1"/>
    <col min="13571" max="13571" width="10.85546875" style="16" bestFit="1" customWidth="1"/>
    <col min="13572" max="13572" width="6.7109375" style="16" customWidth="1"/>
    <col min="13573" max="13573" width="8.5703125" style="16" customWidth="1"/>
    <col min="13574" max="13574" width="9.28515625" style="16" customWidth="1"/>
    <col min="13575" max="13575" width="10.5703125" style="16" bestFit="1" customWidth="1"/>
    <col min="13576" max="13576" width="10.42578125" style="16" bestFit="1" customWidth="1"/>
    <col min="13577" max="13577" width="7.140625" style="16" customWidth="1"/>
    <col min="13578" max="13578" width="9" style="16" customWidth="1"/>
    <col min="13579" max="13580" width="7" style="16" customWidth="1"/>
    <col min="13581" max="13581" width="6.85546875" style="16" customWidth="1"/>
    <col min="13582" max="13582" width="7" style="16" customWidth="1"/>
    <col min="13583" max="13583" width="9.85546875" style="16" bestFit="1"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8.85546875" style="16" customWidth="1"/>
    <col min="13827" max="13827" width="10.85546875" style="16" bestFit="1" customWidth="1"/>
    <col min="13828" max="13828" width="6.7109375" style="16" customWidth="1"/>
    <col min="13829" max="13829" width="8.5703125" style="16" customWidth="1"/>
    <col min="13830" max="13830" width="9.28515625" style="16" customWidth="1"/>
    <col min="13831" max="13831" width="10.5703125" style="16" bestFit="1" customWidth="1"/>
    <col min="13832" max="13832" width="10.42578125" style="16" bestFit="1" customWidth="1"/>
    <col min="13833" max="13833" width="7.140625" style="16" customWidth="1"/>
    <col min="13834" max="13834" width="9" style="16" customWidth="1"/>
    <col min="13835" max="13836" width="7" style="16" customWidth="1"/>
    <col min="13837" max="13837" width="6.85546875" style="16" customWidth="1"/>
    <col min="13838" max="13838" width="7" style="16" customWidth="1"/>
    <col min="13839" max="13839" width="9.85546875" style="16" bestFit="1"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8.85546875" style="16" customWidth="1"/>
    <col min="14083" max="14083" width="10.85546875" style="16" bestFit="1" customWidth="1"/>
    <col min="14084" max="14084" width="6.7109375" style="16" customWidth="1"/>
    <col min="14085" max="14085" width="8.5703125" style="16" customWidth="1"/>
    <col min="14086" max="14086" width="9.28515625" style="16" customWidth="1"/>
    <col min="14087" max="14087" width="10.5703125" style="16" bestFit="1" customWidth="1"/>
    <col min="14088" max="14088" width="10.42578125" style="16" bestFit="1" customWidth="1"/>
    <col min="14089" max="14089" width="7.140625" style="16" customWidth="1"/>
    <col min="14090" max="14090" width="9" style="16" customWidth="1"/>
    <col min="14091" max="14092" width="7" style="16" customWidth="1"/>
    <col min="14093" max="14093" width="6.85546875" style="16" customWidth="1"/>
    <col min="14094" max="14094" width="7" style="16" customWidth="1"/>
    <col min="14095" max="14095" width="9.85546875" style="16" bestFit="1"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8.85546875" style="16" customWidth="1"/>
    <col min="14339" max="14339" width="10.85546875" style="16" bestFit="1" customWidth="1"/>
    <col min="14340" max="14340" width="6.7109375" style="16" customWidth="1"/>
    <col min="14341" max="14341" width="8.5703125" style="16" customWidth="1"/>
    <col min="14342" max="14342" width="9.28515625" style="16" customWidth="1"/>
    <col min="14343" max="14343" width="10.5703125" style="16" bestFit="1" customWidth="1"/>
    <col min="14344" max="14344" width="10.42578125" style="16" bestFit="1" customWidth="1"/>
    <col min="14345" max="14345" width="7.140625" style="16" customWidth="1"/>
    <col min="14346" max="14346" width="9" style="16" customWidth="1"/>
    <col min="14347" max="14348" width="7" style="16" customWidth="1"/>
    <col min="14349" max="14349" width="6.85546875" style="16" customWidth="1"/>
    <col min="14350" max="14350" width="7" style="16" customWidth="1"/>
    <col min="14351" max="14351" width="9.85546875" style="16" bestFit="1"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8.85546875" style="16" customWidth="1"/>
    <col min="14595" max="14595" width="10.85546875" style="16" bestFit="1" customWidth="1"/>
    <col min="14596" max="14596" width="6.7109375" style="16" customWidth="1"/>
    <col min="14597" max="14597" width="8.5703125" style="16" customWidth="1"/>
    <col min="14598" max="14598" width="9.28515625" style="16" customWidth="1"/>
    <col min="14599" max="14599" width="10.5703125" style="16" bestFit="1" customWidth="1"/>
    <col min="14600" max="14600" width="10.42578125" style="16" bestFit="1" customWidth="1"/>
    <col min="14601" max="14601" width="7.140625" style="16" customWidth="1"/>
    <col min="14602" max="14602" width="9" style="16" customWidth="1"/>
    <col min="14603" max="14604" width="7" style="16" customWidth="1"/>
    <col min="14605" max="14605" width="6.85546875" style="16" customWidth="1"/>
    <col min="14606" max="14606" width="7" style="16" customWidth="1"/>
    <col min="14607" max="14607" width="9.85546875" style="16" bestFit="1"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8.85546875" style="16" customWidth="1"/>
    <col min="14851" max="14851" width="10.85546875" style="16" bestFit="1" customWidth="1"/>
    <col min="14852" max="14852" width="6.7109375" style="16" customWidth="1"/>
    <col min="14853" max="14853" width="8.5703125" style="16" customWidth="1"/>
    <col min="14854" max="14854" width="9.28515625" style="16" customWidth="1"/>
    <col min="14855" max="14855" width="10.5703125" style="16" bestFit="1" customWidth="1"/>
    <col min="14856" max="14856" width="10.42578125" style="16" bestFit="1" customWidth="1"/>
    <col min="14857" max="14857" width="7.140625" style="16" customWidth="1"/>
    <col min="14858" max="14858" width="9" style="16" customWidth="1"/>
    <col min="14859" max="14860" width="7" style="16" customWidth="1"/>
    <col min="14861" max="14861" width="6.85546875" style="16" customWidth="1"/>
    <col min="14862" max="14862" width="7" style="16" customWidth="1"/>
    <col min="14863" max="14863" width="9.85546875" style="16" bestFit="1"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8.85546875" style="16" customWidth="1"/>
    <col min="15107" max="15107" width="10.85546875" style="16" bestFit="1" customWidth="1"/>
    <col min="15108" max="15108" width="6.7109375" style="16" customWidth="1"/>
    <col min="15109" max="15109" width="8.5703125" style="16" customWidth="1"/>
    <col min="15110" max="15110" width="9.28515625" style="16" customWidth="1"/>
    <col min="15111" max="15111" width="10.5703125" style="16" bestFit="1" customWidth="1"/>
    <col min="15112" max="15112" width="10.42578125" style="16" bestFit="1" customWidth="1"/>
    <col min="15113" max="15113" width="7.140625" style="16" customWidth="1"/>
    <col min="15114" max="15114" width="9" style="16" customWidth="1"/>
    <col min="15115" max="15116" width="7" style="16" customWidth="1"/>
    <col min="15117" max="15117" width="6.85546875" style="16" customWidth="1"/>
    <col min="15118" max="15118" width="7" style="16" customWidth="1"/>
    <col min="15119" max="15119" width="9.85546875" style="16" bestFit="1"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8.85546875" style="16" customWidth="1"/>
    <col min="15363" max="15363" width="10.85546875" style="16" bestFit="1" customWidth="1"/>
    <col min="15364" max="15364" width="6.7109375" style="16" customWidth="1"/>
    <col min="15365" max="15365" width="8.5703125" style="16" customWidth="1"/>
    <col min="15366" max="15366" width="9.28515625" style="16" customWidth="1"/>
    <col min="15367" max="15367" width="10.5703125" style="16" bestFit="1" customWidth="1"/>
    <col min="15368" max="15368" width="10.42578125" style="16" bestFit="1" customWidth="1"/>
    <col min="15369" max="15369" width="7.140625" style="16" customWidth="1"/>
    <col min="15370" max="15370" width="9" style="16" customWidth="1"/>
    <col min="15371" max="15372" width="7" style="16" customWidth="1"/>
    <col min="15373" max="15373" width="6.85546875" style="16" customWidth="1"/>
    <col min="15374" max="15374" width="7" style="16" customWidth="1"/>
    <col min="15375" max="15375" width="9.85546875" style="16" bestFit="1"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8.85546875" style="16" customWidth="1"/>
    <col min="15619" max="15619" width="10.85546875" style="16" bestFit="1" customWidth="1"/>
    <col min="15620" max="15620" width="6.7109375" style="16" customWidth="1"/>
    <col min="15621" max="15621" width="8.5703125" style="16" customWidth="1"/>
    <col min="15622" max="15622" width="9.28515625" style="16" customWidth="1"/>
    <col min="15623" max="15623" width="10.5703125" style="16" bestFit="1" customWidth="1"/>
    <col min="15624" max="15624" width="10.42578125" style="16" bestFit="1" customWidth="1"/>
    <col min="15625" max="15625" width="7.140625" style="16" customWidth="1"/>
    <col min="15626" max="15626" width="9" style="16" customWidth="1"/>
    <col min="15627" max="15628" width="7" style="16" customWidth="1"/>
    <col min="15629" max="15629" width="6.85546875" style="16" customWidth="1"/>
    <col min="15630" max="15630" width="7" style="16" customWidth="1"/>
    <col min="15631" max="15631" width="9.85546875" style="16" bestFit="1"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8.85546875" style="16" customWidth="1"/>
    <col min="15875" max="15875" width="10.85546875" style="16" bestFit="1" customWidth="1"/>
    <col min="15876" max="15876" width="6.7109375" style="16" customWidth="1"/>
    <col min="15877" max="15877" width="8.5703125" style="16" customWidth="1"/>
    <col min="15878" max="15878" width="9.28515625" style="16" customWidth="1"/>
    <col min="15879" max="15879" width="10.5703125" style="16" bestFit="1" customWidth="1"/>
    <col min="15880" max="15880" width="10.42578125" style="16" bestFit="1" customWidth="1"/>
    <col min="15881" max="15881" width="7.140625" style="16" customWidth="1"/>
    <col min="15882" max="15882" width="9" style="16" customWidth="1"/>
    <col min="15883" max="15884" width="7" style="16" customWidth="1"/>
    <col min="15885" max="15885" width="6.85546875" style="16" customWidth="1"/>
    <col min="15886" max="15886" width="7" style="16" customWidth="1"/>
    <col min="15887" max="15887" width="9.85546875" style="16" bestFit="1"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8.85546875" style="16" customWidth="1"/>
    <col min="16131" max="16131" width="10.85546875" style="16" bestFit="1" customWidth="1"/>
    <col min="16132" max="16132" width="6.7109375" style="16" customWidth="1"/>
    <col min="16133" max="16133" width="8.5703125" style="16" customWidth="1"/>
    <col min="16134" max="16134" width="9.28515625" style="16" customWidth="1"/>
    <col min="16135" max="16135" width="10.5703125" style="16" bestFit="1" customWidth="1"/>
    <col min="16136" max="16136" width="10.42578125" style="16" bestFit="1" customWidth="1"/>
    <col min="16137" max="16137" width="7.140625" style="16" customWidth="1"/>
    <col min="16138" max="16138" width="9" style="16" customWidth="1"/>
    <col min="16139" max="16140" width="7" style="16" customWidth="1"/>
    <col min="16141" max="16141" width="6.85546875" style="16" customWidth="1"/>
    <col min="16142" max="16142" width="7" style="16" customWidth="1"/>
    <col min="16143" max="16143" width="9.85546875" style="16" bestFit="1"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67" t="s">
        <v>100</v>
      </c>
      <c r="B1" s="868"/>
      <c r="C1" s="868"/>
      <c r="D1" s="911" t="s">
        <v>417</v>
      </c>
      <c r="E1" s="868"/>
      <c r="F1" s="868"/>
      <c r="G1" s="867" t="s">
        <v>102</v>
      </c>
      <c r="H1" s="869"/>
      <c r="I1" s="869" t="s">
        <v>43</v>
      </c>
      <c r="J1" s="868"/>
      <c r="K1" s="868"/>
      <c r="L1" s="870"/>
      <c r="M1" s="870"/>
      <c r="N1" s="870"/>
      <c r="O1" s="870"/>
    </row>
    <row r="2" spans="1:15" s="1" customFormat="1" x14ac:dyDescent="0.2">
      <c r="A2" s="867" t="s">
        <v>103</v>
      </c>
      <c r="B2" s="868"/>
      <c r="C2" s="868"/>
      <c r="D2" s="869"/>
      <c r="E2" s="868"/>
      <c r="F2" s="868"/>
      <c r="G2" s="867" t="s">
        <v>104</v>
      </c>
      <c r="H2" s="869"/>
      <c r="I2" s="869" t="s">
        <v>105</v>
      </c>
      <c r="J2" s="868"/>
      <c r="K2" s="868"/>
      <c r="L2" s="870"/>
      <c r="M2" s="870"/>
      <c r="N2" s="870"/>
      <c r="O2" s="870"/>
    </row>
    <row r="3" spans="1:15" s="1" customFormat="1" x14ac:dyDescent="0.2">
      <c r="A3" s="867" t="s">
        <v>106</v>
      </c>
      <c r="B3" s="868"/>
      <c r="C3" s="868"/>
      <c r="D3" s="883" t="s">
        <v>418</v>
      </c>
      <c r="E3" s="868"/>
      <c r="F3" s="868"/>
      <c r="G3" s="867" t="s">
        <v>107</v>
      </c>
      <c r="H3" s="869"/>
      <c r="I3" s="869" t="s">
        <v>108</v>
      </c>
      <c r="J3" s="868"/>
      <c r="K3" s="868"/>
      <c r="L3" s="870"/>
      <c r="M3" s="870"/>
      <c r="N3" s="870"/>
      <c r="O3" s="870"/>
    </row>
    <row r="4" spans="1:15" s="1" customFormat="1" x14ac:dyDescent="0.2">
      <c r="A4" s="867" t="s">
        <v>109</v>
      </c>
      <c r="B4" s="868"/>
      <c r="C4" s="868"/>
      <c r="D4" s="869"/>
      <c r="E4" s="868"/>
      <c r="F4" s="868"/>
      <c r="G4" s="867" t="s">
        <v>110</v>
      </c>
      <c r="H4" s="869"/>
      <c r="I4" s="869" t="s">
        <v>419</v>
      </c>
      <c r="J4" s="868"/>
      <c r="K4" s="868"/>
      <c r="L4" s="870"/>
      <c r="M4" s="870"/>
      <c r="N4" s="870"/>
      <c r="O4" s="870"/>
    </row>
    <row r="5" spans="1:15" s="1" customFormat="1" x14ac:dyDescent="0.2">
      <c r="A5" s="867" t="s">
        <v>278</v>
      </c>
      <c r="B5" s="868"/>
      <c r="C5" s="868"/>
      <c r="D5" s="869" t="s">
        <v>420</v>
      </c>
      <c r="E5" s="868"/>
      <c r="F5" s="868"/>
      <c r="G5" s="867"/>
      <c r="H5" s="868"/>
      <c r="I5" s="869" t="s">
        <v>113</v>
      </c>
      <c r="J5" s="868"/>
      <c r="K5" s="868"/>
      <c r="L5" s="870"/>
      <c r="M5" s="870"/>
      <c r="N5" s="870"/>
      <c r="O5" s="870"/>
    </row>
    <row r="6" spans="1:15" s="1" customFormat="1" x14ac:dyDescent="0.2">
      <c r="A6" s="871" t="s">
        <v>114</v>
      </c>
      <c r="B6" s="872"/>
      <c r="C6" s="872"/>
      <c r="D6" s="868" t="s">
        <v>44</v>
      </c>
      <c r="E6" s="868"/>
      <c r="F6" s="868"/>
      <c r="G6" s="871" t="s">
        <v>115</v>
      </c>
      <c r="H6" s="871"/>
      <c r="I6" s="2" t="s">
        <v>116</v>
      </c>
      <c r="J6" s="888"/>
      <c r="K6" s="888"/>
      <c r="L6" s="888"/>
      <c r="M6" s="888"/>
      <c r="N6" s="888"/>
      <c r="O6" s="889"/>
    </row>
    <row r="7" spans="1:15" s="1" customFormat="1" ht="13.5" thickBot="1" x14ac:dyDescent="0.25">
      <c r="A7" s="3"/>
      <c r="B7" s="4"/>
      <c r="C7" s="5"/>
      <c r="D7" s="6"/>
      <c r="E7" s="6"/>
      <c r="F7" s="6"/>
      <c r="G7" s="6"/>
      <c r="H7" s="6"/>
      <c r="I7" s="6"/>
      <c r="J7" s="7"/>
      <c r="K7" s="8"/>
      <c r="L7" s="875" t="s">
        <v>223</v>
      </c>
      <c r="M7" s="875"/>
      <c r="N7" s="875"/>
      <c r="O7" s="875"/>
    </row>
    <row r="8" spans="1:15" s="11" customFormat="1" x14ac:dyDescent="0.2">
      <c r="A8" s="876" t="str">
        <f>I1</f>
        <v>Mr. M.P. Joshi</v>
      </c>
      <c r="B8" s="877"/>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0</v>
      </c>
      <c r="D9" s="14">
        <v>87700</v>
      </c>
      <c r="E9" s="14">
        <v>87700</v>
      </c>
      <c r="F9" s="14">
        <v>87700</v>
      </c>
      <c r="G9" s="14">
        <v>90300</v>
      </c>
      <c r="H9" s="14">
        <v>90300</v>
      </c>
      <c r="I9" s="14">
        <v>90300</v>
      </c>
      <c r="J9" s="14">
        <v>90300</v>
      </c>
      <c r="K9" s="14">
        <v>90300</v>
      </c>
      <c r="L9" s="14">
        <v>90300</v>
      </c>
      <c r="M9" s="14">
        <v>90300</v>
      </c>
      <c r="N9" s="14">
        <v>90300</v>
      </c>
      <c r="O9" s="15">
        <f>SUM(C9:N9)</f>
        <v>985500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4385</v>
      </c>
      <c r="D11" s="17">
        <v>6139</v>
      </c>
      <c r="E11" s="17">
        <v>6139</v>
      </c>
      <c r="F11" s="17">
        <v>6139</v>
      </c>
      <c r="G11" s="17">
        <v>6321</v>
      </c>
      <c r="H11" s="17">
        <v>6321</v>
      </c>
      <c r="I11" s="17">
        <v>6321</v>
      </c>
      <c r="J11" s="17">
        <v>8127</v>
      </c>
      <c r="K11" s="17">
        <v>8127</v>
      </c>
      <c r="L11" s="17">
        <v>8127</v>
      </c>
      <c r="M11" s="17">
        <v>8127</v>
      </c>
      <c r="N11" s="17">
        <v>8127</v>
      </c>
      <c r="O11" s="18">
        <f>SUM(C11:N11)</f>
        <v>82400</v>
      </c>
    </row>
    <row r="12" spans="1:15"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x14ac:dyDescent="0.2">
      <c r="A14" s="12"/>
      <c r="B14" s="13" t="s">
        <v>123</v>
      </c>
      <c r="C14" s="17">
        <v>7560</v>
      </c>
      <c r="D14" s="17">
        <v>7704</v>
      </c>
      <c r="E14" s="17">
        <v>7704</v>
      </c>
      <c r="F14" s="17">
        <v>7704</v>
      </c>
      <c r="G14" s="17">
        <v>7704</v>
      </c>
      <c r="H14" s="17">
        <v>7704</v>
      </c>
      <c r="I14" s="17">
        <v>7704</v>
      </c>
      <c r="J14" s="17">
        <v>7848</v>
      </c>
      <c r="K14" s="17">
        <v>7848</v>
      </c>
      <c r="L14" s="17">
        <v>7848</v>
      </c>
      <c r="M14" s="17">
        <v>7848</v>
      </c>
      <c r="N14" s="17">
        <v>7848</v>
      </c>
      <c r="O14" s="18">
        <f t="shared" si="0"/>
        <v>93024</v>
      </c>
    </row>
    <row r="15" spans="1:15" ht="15" customHeight="1" x14ac:dyDescent="0.2">
      <c r="A15" s="12"/>
      <c r="B15" s="166" t="s">
        <v>280</v>
      </c>
      <c r="C15" s="17">
        <v>0</v>
      </c>
      <c r="D15" s="17">
        <v>0</v>
      </c>
      <c r="E15" s="17">
        <v>0</v>
      </c>
      <c r="F15" s="17">
        <v>0</v>
      </c>
      <c r="G15" s="17">
        <v>0</v>
      </c>
      <c r="H15" s="17">
        <v>0</v>
      </c>
      <c r="I15" s="17">
        <v>0</v>
      </c>
      <c r="J15" s="17">
        <v>0</v>
      </c>
      <c r="K15" s="17">
        <v>0</v>
      </c>
      <c r="L15" s="17">
        <v>0</v>
      </c>
      <c r="M15" s="17">
        <v>0</v>
      </c>
      <c r="N15" s="17">
        <v>0</v>
      </c>
      <c r="O15" s="18">
        <f t="shared" si="0"/>
        <v>0</v>
      </c>
    </row>
    <row r="16" spans="1:15" ht="15" hidden="1"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127</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21048</v>
      </c>
      <c r="D19" s="17">
        <v>21048</v>
      </c>
      <c r="E19" s="17">
        <v>21048</v>
      </c>
      <c r="F19" s="17">
        <v>21048</v>
      </c>
      <c r="G19" s="17">
        <v>21672</v>
      </c>
      <c r="H19" s="17">
        <v>21672</v>
      </c>
      <c r="I19" s="17">
        <v>21672</v>
      </c>
      <c r="J19" s="17">
        <v>21672</v>
      </c>
      <c r="K19" s="17">
        <v>21672</v>
      </c>
      <c r="L19" s="17">
        <v>21672</v>
      </c>
      <c r="M19" s="17">
        <v>21672</v>
      </c>
      <c r="N19" s="17">
        <v>21672</v>
      </c>
      <c r="O19" s="18">
        <f t="shared" si="0"/>
        <v>257568</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78"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79"/>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5" ht="15" hidden="1" customHeight="1" x14ac:dyDescent="0.2">
      <c r="A23" s="879"/>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79"/>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79"/>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79"/>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79"/>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79"/>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79"/>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79"/>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customHeight="1" x14ac:dyDescent="0.2">
      <c r="A31" s="879"/>
      <c r="B31" s="21" t="s">
        <v>246</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79"/>
      <c r="B32" s="21" t="s">
        <v>142</v>
      </c>
      <c r="C32" s="17">
        <v>0</v>
      </c>
      <c r="D32" s="17">
        <v>0</v>
      </c>
      <c r="E32" s="17">
        <v>0</v>
      </c>
      <c r="F32" s="17">
        <v>0</v>
      </c>
      <c r="G32" s="17">
        <v>0</v>
      </c>
      <c r="H32" s="17">
        <v>0</v>
      </c>
      <c r="I32" s="17">
        <v>0</v>
      </c>
      <c r="J32" s="17">
        <v>0</v>
      </c>
      <c r="K32" s="17">
        <v>0</v>
      </c>
      <c r="L32" s="17">
        <v>0</v>
      </c>
      <c r="M32" s="17">
        <v>0</v>
      </c>
      <c r="N32" s="17">
        <v>0</v>
      </c>
      <c r="O32" s="18">
        <f t="shared" si="0"/>
        <v>0</v>
      </c>
    </row>
    <row r="33" spans="1:16" ht="15" hidden="1" customHeight="1" x14ac:dyDescent="0.2">
      <c r="A33" s="880"/>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865" t="s">
        <v>144</v>
      </c>
      <c r="B34" s="866"/>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865" t="s">
        <v>145</v>
      </c>
      <c r="B35" s="866"/>
      <c r="C35" s="17">
        <v>0</v>
      </c>
      <c r="D35" s="17">
        <v>432</v>
      </c>
      <c r="E35" s="17">
        <v>0</v>
      </c>
      <c r="F35" s="17">
        <v>0</v>
      </c>
      <c r="G35" s="17">
        <v>0</v>
      </c>
      <c r="H35" s="17">
        <v>0</v>
      </c>
      <c r="I35" s="17">
        <v>0</v>
      </c>
      <c r="J35" s="17">
        <v>432</v>
      </c>
      <c r="K35" s="17">
        <v>0</v>
      </c>
      <c r="L35" s="17">
        <v>0</v>
      </c>
      <c r="M35" s="17">
        <v>0</v>
      </c>
      <c r="N35" s="17">
        <v>0</v>
      </c>
      <c r="O35" s="18">
        <f t="shared" si="0"/>
        <v>864</v>
      </c>
    </row>
    <row r="36" spans="1:16" ht="15" customHeight="1" x14ac:dyDescent="0.2">
      <c r="A36" s="865" t="s">
        <v>146</v>
      </c>
      <c r="B36" s="866"/>
      <c r="C36" s="17">
        <v>0</v>
      </c>
      <c r="D36" s="17">
        <v>5262</v>
      </c>
      <c r="E36" s="17">
        <v>0</v>
      </c>
      <c r="F36" s="17">
        <v>0</v>
      </c>
      <c r="G36" s="17">
        <v>0</v>
      </c>
      <c r="H36" s="17">
        <v>0</v>
      </c>
      <c r="I36" s="17">
        <v>0</v>
      </c>
      <c r="J36" s="17">
        <v>5418</v>
      </c>
      <c r="K36" s="17">
        <v>0</v>
      </c>
      <c r="L36" s="17">
        <v>0</v>
      </c>
      <c r="M36" s="17">
        <v>0</v>
      </c>
      <c r="N36" s="17">
        <v>0</v>
      </c>
      <c r="O36" s="18">
        <f t="shared" si="0"/>
        <v>10680</v>
      </c>
    </row>
    <row r="37" spans="1:16" ht="15" customHeight="1" x14ac:dyDescent="0.2">
      <c r="A37" s="22"/>
      <c r="B37" s="23" t="s">
        <v>147</v>
      </c>
      <c r="C37" s="24">
        <f t="shared" ref="C37:N37" si="1">SUM(C9:C36)</f>
        <v>32993</v>
      </c>
      <c r="D37" s="24">
        <f t="shared" si="1"/>
        <v>128285</v>
      </c>
      <c r="E37" s="24">
        <f t="shared" si="1"/>
        <v>122591</v>
      </c>
      <c r="F37" s="24">
        <f t="shared" si="1"/>
        <v>122591</v>
      </c>
      <c r="G37" s="24">
        <f t="shared" si="1"/>
        <v>125997</v>
      </c>
      <c r="H37" s="24">
        <f t="shared" si="1"/>
        <v>125997</v>
      </c>
      <c r="I37" s="24">
        <f t="shared" si="1"/>
        <v>125997</v>
      </c>
      <c r="J37" s="24">
        <f t="shared" si="1"/>
        <v>140705</v>
      </c>
      <c r="K37" s="24">
        <f t="shared" si="1"/>
        <v>127947</v>
      </c>
      <c r="L37" s="24">
        <f t="shared" si="1"/>
        <v>127947</v>
      </c>
      <c r="M37" s="24">
        <f t="shared" si="1"/>
        <v>127947</v>
      </c>
      <c r="N37" s="24">
        <f t="shared" si="1"/>
        <v>127947</v>
      </c>
      <c r="O37" s="25">
        <f>SUM(C37:N37)</f>
        <v>1436944</v>
      </c>
    </row>
    <row r="38" spans="1:16" ht="15" customHeight="1" x14ac:dyDescent="0.2">
      <c r="A38" s="853" t="s">
        <v>148</v>
      </c>
      <c r="B38" s="27" t="s">
        <v>149</v>
      </c>
      <c r="C38" s="28">
        <v>16300</v>
      </c>
      <c r="D38" s="28">
        <v>16000</v>
      </c>
      <c r="E38" s="28">
        <v>16000</v>
      </c>
      <c r="F38" s="28">
        <v>16000</v>
      </c>
      <c r="G38" s="28">
        <v>20000</v>
      </c>
      <c r="H38" s="28">
        <v>20000</v>
      </c>
      <c r="I38" s="28">
        <v>20000</v>
      </c>
      <c r="J38" s="28">
        <v>20000</v>
      </c>
      <c r="K38" s="28">
        <v>20000</v>
      </c>
      <c r="L38" s="28">
        <v>8235</v>
      </c>
      <c r="M38" s="28">
        <v>8235</v>
      </c>
      <c r="N38" s="28">
        <v>10070</v>
      </c>
      <c r="O38" s="18">
        <f>SUM(C38:N38)</f>
        <v>190840</v>
      </c>
      <c r="P38" s="29"/>
    </row>
    <row r="39" spans="1:16" ht="15" x14ac:dyDescent="0.2">
      <c r="A39" s="854"/>
      <c r="B39" s="27" t="s">
        <v>150</v>
      </c>
      <c r="C39" s="28">
        <v>0</v>
      </c>
      <c r="D39" s="28">
        <v>0</v>
      </c>
      <c r="E39" s="28">
        <v>0</v>
      </c>
      <c r="F39" s="28">
        <v>0</v>
      </c>
      <c r="G39" s="28">
        <v>0</v>
      </c>
      <c r="H39" s="28">
        <v>0</v>
      </c>
      <c r="I39" s="28">
        <v>0</v>
      </c>
      <c r="J39" s="28">
        <v>0</v>
      </c>
      <c r="K39" s="28">
        <v>0</v>
      </c>
      <c r="L39" s="28">
        <v>0</v>
      </c>
      <c r="M39" s="28">
        <v>0</v>
      </c>
      <c r="N39" s="28">
        <v>0</v>
      </c>
      <c r="O39" s="18">
        <f>SUM(C39:N39)</f>
        <v>0</v>
      </c>
    </row>
    <row r="40" spans="1:16" ht="15" x14ac:dyDescent="0.2">
      <c r="A40" s="854"/>
      <c r="B40" s="27" t="s">
        <v>151</v>
      </c>
      <c r="C40" s="28">
        <v>60</v>
      </c>
      <c r="D40" s="28">
        <v>60</v>
      </c>
      <c r="E40" s="28">
        <v>60</v>
      </c>
      <c r="F40" s="28">
        <v>60</v>
      </c>
      <c r="G40" s="28">
        <v>60</v>
      </c>
      <c r="H40" s="28">
        <v>60</v>
      </c>
      <c r="I40" s="28">
        <v>60</v>
      </c>
      <c r="J40" s="28">
        <v>60</v>
      </c>
      <c r="K40" s="28">
        <v>60</v>
      </c>
      <c r="L40" s="28">
        <v>60</v>
      </c>
      <c r="M40" s="28">
        <v>60</v>
      </c>
      <c r="N40" s="28">
        <v>60</v>
      </c>
      <c r="O40" s="18">
        <f t="shared" ref="O40:O50" si="2">SUM(C40:N40)</f>
        <v>720</v>
      </c>
    </row>
    <row r="41" spans="1:16" ht="15" x14ac:dyDescent="0.2">
      <c r="A41" s="854"/>
      <c r="B41" s="27" t="s">
        <v>152</v>
      </c>
      <c r="C41" s="28">
        <v>0</v>
      </c>
      <c r="D41" s="28">
        <v>0</v>
      </c>
      <c r="E41" s="28">
        <v>0</v>
      </c>
      <c r="F41" s="28">
        <v>0</v>
      </c>
      <c r="G41" s="28">
        <v>0</v>
      </c>
      <c r="H41" s="28">
        <v>0</v>
      </c>
      <c r="I41" s="28">
        <v>0</v>
      </c>
      <c r="J41" s="28">
        <v>0</v>
      </c>
      <c r="K41" s="28">
        <v>0</v>
      </c>
      <c r="L41" s="28">
        <v>0</v>
      </c>
      <c r="M41" s="28">
        <v>0</v>
      </c>
      <c r="N41" s="28">
        <v>0</v>
      </c>
      <c r="O41" s="18">
        <f t="shared" si="2"/>
        <v>0</v>
      </c>
    </row>
    <row r="42" spans="1:16" ht="15" x14ac:dyDescent="0.2">
      <c r="A42" s="854"/>
      <c r="B42" s="27" t="s">
        <v>153</v>
      </c>
      <c r="C42" s="28">
        <v>650</v>
      </c>
      <c r="D42" s="28">
        <v>650</v>
      </c>
      <c r="E42" s="28">
        <v>650</v>
      </c>
      <c r="F42" s="28">
        <v>650</v>
      </c>
      <c r="G42" s="28">
        <v>650</v>
      </c>
      <c r="H42" s="28">
        <v>650</v>
      </c>
      <c r="I42" s="28">
        <v>650</v>
      </c>
      <c r="J42" s="28">
        <v>650</v>
      </c>
      <c r="K42" s="28">
        <v>650</v>
      </c>
      <c r="L42" s="28">
        <v>650</v>
      </c>
      <c r="M42" s="28">
        <v>650</v>
      </c>
      <c r="N42" s="28">
        <v>650</v>
      </c>
      <c r="O42" s="18">
        <f t="shared" si="2"/>
        <v>7800</v>
      </c>
    </row>
    <row r="43" spans="1:16" ht="15" x14ac:dyDescent="0.2">
      <c r="A43" s="854"/>
      <c r="B43" s="27" t="s">
        <v>154</v>
      </c>
      <c r="C43" s="28">
        <v>30000</v>
      </c>
      <c r="D43" s="28">
        <v>30000</v>
      </c>
      <c r="E43" s="28">
        <v>30000</v>
      </c>
      <c r="F43" s="28">
        <v>30000</v>
      </c>
      <c r="G43" s="28">
        <v>30000</v>
      </c>
      <c r="H43" s="28">
        <v>30000</v>
      </c>
      <c r="I43" s="28">
        <v>30000</v>
      </c>
      <c r="J43" s="28">
        <v>30000</v>
      </c>
      <c r="K43" s="28">
        <v>30000</v>
      </c>
      <c r="L43" s="28">
        <v>30000</v>
      </c>
      <c r="M43" s="28">
        <v>30000</v>
      </c>
      <c r="N43" s="28">
        <v>30000</v>
      </c>
      <c r="O43" s="18">
        <f t="shared" si="2"/>
        <v>360000</v>
      </c>
    </row>
    <row r="44" spans="1:16" ht="15" x14ac:dyDescent="0.2">
      <c r="A44" s="854"/>
      <c r="B44" s="27" t="s">
        <v>155</v>
      </c>
      <c r="C44" s="28">
        <v>200</v>
      </c>
      <c r="D44" s="28">
        <v>200</v>
      </c>
      <c r="E44" s="28">
        <v>200</v>
      </c>
      <c r="F44" s="28">
        <v>200</v>
      </c>
      <c r="G44" s="28">
        <v>200</v>
      </c>
      <c r="H44" s="28">
        <v>200</v>
      </c>
      <c r="I44" s="28">
        <v>200</v>
      </c>
      <c r="J44" s="28">
        <v>200</v>
      </c>
      <c r="K44" s="28">
        <v>200</v>
      </c>
      <c r="L44" s="28">
        <v>200</v>
      </c>
      <c r="M44" s="28">
        <v>200</v>
      </c>
      <c r="N44" s="28">
        <v>300</v>
      </c>
      <c r="O44" s="18">
        <f t="shared" si="2"/>
        <v>2500</v>
      </c>
    </row>
    <row r="45" spans="1:16" ht="15" x14ac:dyDescent="0.2">
      <c r="A45" s="854"/>
      <c r="B45" s="27" t="s">
        <v>156</v>
      </c>
      <c r="C45" s="28">
        <v>0</v>
      </c>
      <c r="D45" s="28">
        <v>0</v>
      </c>
      <c r="E45" s="28">
        <v>0</v>
      </c>
      <c r="F45" s="28">
        <v>0</v>
      </c>
      <c r="G45" s="28">
        <v>0</v>
      </c>
      <c r="H45" s="28">
        <v>0</v>
      </c>
      <c r="I45" s="28">
        <v>0</v>
      </c>
      <c r="J45" s="28">
        <v>0</v>
      </c>
      <c r="K45" s="28">
        <v>0</v>
      </c>
      <c r="L45" s="28">
        <v>0</v>
      </c>
      <c r="M45" s="28">
        <v>0</v>
      </c>
      <c r="N45" s="28">
        <v>0</v>
      </c>
      <c r="O45" s="18">
        <f t="shared" si="2"/>
        <v>0</v>
      </c>
    </row>
    <row r="46" spans="1:16" ht="15" x14ac:dyDescent="0.2">
      <c r="A46" s="854"/>
      <c r="B46" s="27" t="s">
        <v>157</v>
      </c>
      <c r="C46" s="28">
        <v>0</v>
      </c>
      <c r="D46" s="28">
        <v>0</v>
      </c>
      <c r="E46" s="28">
        <v>0</v>
      </c>
      <c r="F46" s="28">
        <v>0</v>
      </c>
      <c r="G46" s="28">
        <v>0</v>
      </c>
      <c r="H46" s="28">
        <v>0</v>
      </c>
      <c r="I46" s="28">
        <v>0</v>
      </c>
      <c r="J46" s="28">
        <v>0</v>
      </c>
      <c r="K46" s="28">
        <v>0</v>
      </c>
      <c r="L46" s="28">
        <v>0</v>
      </c>
      <c r="M46" s="28">
        <v>0</v>
      </c>
      <c r="N46" s="28">
        <v>0</v>
      </c>
      <c r="O46" s="18">
        <f t="shared" si="2"/>
        <v>0</v>
      </c>
    </row>
    <row r="47" spans="1:16" ht="28.5" customHeight="1" x14ac:dyDescent="0.2">
      <c r="A47" s="855"/>
      <c r="B47" s="30" t="s">
        <v>158</v>
      </c>
      <c r="C47" s="28">
        <v>0</v>
      </c>
      <c r="D47" s="28">
        <v>0</v>
      </c>
      <c r="E47" s="28">
        <v>0</v>
      </c>
      <c r="F47" s="28">
        <v>0</v>
      </c>
      <c r="G47" s="28">
        <v>0</v>
      </c>
      <c r="H47" s="28">
        <v>0</v>
      </c>
      <c r="I47" s="28">
        <v>0</v>
      </c>
      <c r="J47" s="28">
        <v>0</v>
      </c>
      <c r="K47" s="28">
        <v>0</v>
      </c>
      <c r="L47" s="28">
        <v>0</v>
      </c>
      <c r="M47" s="28">
        <v>0</v>
      </c>
      <c r="N47" s="28">
        <v>0</v>
      </c>
      <c r="O47" s="31">
        <f t="shared" si="2"/>
        <v>0</v>
      </c>
    </row>
    <row r="48" spans="1:16" ht="15" x14ac:dyDescent="0.2">
      <c r="A48" s="856"/>
      <c r="B48" s="127" t="s">
        <v>406</v>
      </c>
      <c r="C48" s="28">
        <v>0</v>
      </c>
      <c r="D48" s="28">
        <v>0</v>
      </c>
      <c r="E48" s="28">
        <v>0</v>
      </c>
      <c r="F48" s="28">
        <v>0</v>
      </c>
      <c r="G48" s="28">
        <v>0</v>
      </c>
      <c r="H48" s="28">
        <v>0</v>
      </c>
      <c r="I48" s="28">
        <v>0</v>
      </c>
      <c r="J48" s="28">
        <v>0</v>
      </c>
      <c r="K48" s="28">
        <v>0</v>
      </c>
      <c r="L48" s="28">
        <v>0</v>
      </c>
      <c r="M48" s="28">
        <v>0</v>
      </c>
      <c r="N48" s="28">
        <v>0</v>
      </c>
      <c r="O48" s="31">
        <f t="shared" si="2"/>
        <v>0</v>
      </c>
    </row>
    <row r="49" spans="1:18" ht="15" x14ac:dyDescent="0.2">
      <c r="A49" s="857" t="s">
        <v>160</v>
      </c>
      <c r="B49" s="858"/>
      <c r="C49" s="33">
        <f t="shared" ref="C49:N49" si="3">SUM(C38:C48)</f>
        <v>47210</v>
      </c>
      <c r="D49" s="33">
        <f t="shared" si="3"/>
        <v>46910</v>
      </c>
      <c r="E49" s="33">
        <f t="shared" si="3"/>
        <v>46910</v>
      </c>
      <c r="F49" s="33">
        <f t="shared" si="3"/>
        <v>46910</v>
      </c>
      <c r="G49" s="33">
        <f t="shared" si="3"/>
        <v>50910</v>
      </c>
      <c r="H49" s="33">
        <f t="shared" si="3"/>
        <v>50910</v>
      </c>
      <c r="I49" s="33">
        <f t="shared" si="3"/>
        <v>50910</v>
      </c>
      <c r="J49" s="33">
        <f t="shared" si="3"/>
        <v>50910</v>
      </c>
      <c r="K49" s="33">
        <f t="shared" si="3"/>
        <v>50910</v>
      </c>
      <c r="L49" s="33">
        <f t="shared" si="3"/>
        <v>39145</v>
      </c>
      <c r="M49" s="33">
        <f t="shared" si="3"/>
        <v>39145</v>
      </c>
      <c r="N49" s="33">
        <f t="shared" si="3"/>
        <v>41080</v>
      </c>
      <c r="O49" s="34">
        <f t="shared" si="2"/>
        <v>561860</v>
      </c>
    </row>
    <row r="50" spans="1:18" ht="15.75" thickBot="1" x14ac:dyDescent="0.25">
      <c r="A50" s="859" t="s">
        <v>161</v>
      </c>
      <c r="B50" s="860"/>
      <c r="C50" s="35">
        <f t="shared" ref="C50:N50" si="4">C37-C49</f>
        <v>-14217</v>
      </c>
      <c r="D50" s="35">
        <f t="shared" si="4"/>
        <v>81375</v>
      </c>
      <c r="E50" s="35">
        <f t="shared" si="4"/>
        <v>75681</v>
      </c>
      <c r="F50" s="35">
        <f t="shared" si="4"/>
        <v>75681</v>
      </c>
      <c r="G50" s="35">
        <f t="shared" si="4"/>
        <v>75087</v>
      </c>
      <c r="H50" s="35">
        <f t="shared" si="4"/>
        <v>75087</v>
      </c>
      <c r="I50" s="35">
        <f t="shared" si="4"/>
        <v>75087</v>
      </c>
      <c r="J50" s="35">
        <f t="shared" si="4"/>
        <v>89795</v>
      </c>
      <c r="K50" s="35">
        <f t="shared" si="4"/>
        <v>77037</v>
      </c>
      <c r="L50" s="35">
        <f t="shared" si="4"/>
        <v>88802</v>
      </c>
      <c r="M50" s="35">
        <f t="shared" si="4"/>
        <v>88802</v>
      </c>
      <c r="N50" s="35">
        <f t="shared" si="4"/>
        <v>86867</v>
      </c>
      <c r="O50" s="36">
        <f t="shared" si="2"/>
        <v>875084</v>
      </c>
    </row>
    <row r="51" spans="1:18" x14ac:dyDescent="0.2">
      <c r="J51" s="128">
        <f>+J37-SUM(J22:J36)</f>
        <v>127947</v>
      </c>
      <c r="Q51" s="38"/>
    </row>
    <row r="52" spans="1:18" ht="13.5" thickBot="1" x14ac:dyDescent="0.25">
      <c r="J52" s="38">
        <f>+J51-J49</f>
        <v>77037</v>
      </c>
    </row>
    <row r="53" spans="1:18" ht="13.5" thickBot="1" x14ac:dyDescent="0.25">
      <c r="B53" s="789" t="s">
        <v>162</v>
      </c>
      <c r="C53" s="861"/>
      <c r="D53" s="861"/>
      <c r="E53" s="861"/>
      <c r="F53" s="862"/>
      <c r="G53" s="863">
        <f>O37</f>
        <v>1436944</v>
      </c>
      <c r="H53" s="864"/>
    </row>
    <row r="54" spans="1:18" ht="13.5" thickBot="1" x14ac:dyDescent="0.25"/>
    <row r="55" spans="1:18" x14ac:dyDescent="0.2">
      <c r="B55" s="830" t="s">
        <v>163</v>
      </c>
      <c r="C55" s="833" t="s">
        <v>164</v>
      </c>
      <c r="D55" s="836" t="s">
        <v>229</v>
      </c>
      <c r="E55" s="837"/>
      <c r="F55" s="838"/>
      <c r="G55" s="839">
        <v>40000</v>
      </c>
      <c r="H55" s="840"/>
      <c r="J55" s="106"/>
    </row>
    <row r="56" spans="1:18" x14ac:dyDescent="0.2">
      <c r="B56" s="831"/>
      <c r="C56" s="834"/>
      <c r="D56" s="841" t="s">
        <v>166</v>
      </c>
      <c r="E56" s="842"/>
      <c r="F56" s="843"/>
      <c r="G56" s="844">
        <f>+O44</f>
        <v>2500</v>
      </c>
      <c r="H56" s="845"/>
      <c r="I56" s="39"/>
      <c r="J56" s="846"/>
      <c r="K56" s="846"/>
      <c r="L56" s="846"/>
      <c r="M56" s="847"/>
      <c r="N56" s="847"/>
      <c r="O56" s="847"/>
    </row>
    <row r="57" spans="1:18" ht="13.5" thickBot="1" x14ac:dyDescent="0.25">
      <c r="B57" s="832"/>
      <c r="C57" s="835"/>
      <c r="D57" s="926" t="s">
        <v>243</v>
      </c>
      <c r="E57" s="927"/>
      <c r="F57" s="928"/>
      <c r="G57" s="851">
        <f>IF(O18&gt;15000,15000,+O18)</f>
        <v>0</v>
      </c>
      <c r="H57" s="852"/>
      <c r="J57" s="47"/>
      <c r="K57" s="47"/>
      <c r="L57" s="47"/>
      <c r="M57" s="47"/>
      <c r="N57" s="47"/>
      <c r="O57" s="47"/>
    </row>
    <row r="58" spans="1:18" ht="13.5" thickBot="1" x14ac:dyDescent="0.25">
      <c r="B58" s="48"/>
      <c r="J58" s="47"/>
      <c r="K58" s="47"/>
      <c r="L58" s="47"/>
      <c r="M58" s="47"/>
      <c r="N58" s="47"/>
      <c r="O58" s="47"/>
    </row>
    <row r="59" spans="1:18" ht="13.5" thickBot="1" x14ac:dyDescent="0.25">
      <c r="B59" s="789" t="s">
        <v>168</v>
      </c>
      <c r="C59" s="790"/>
      <c r="D59" s="790"/>
      <c r="E59" s="790"/>
      <c r="F59" s="791"/>
      <c r="G59" s="825">
        <f>+G53-SUM(G55:H57)</f>
        <v>1394444</v>
      </c>
      <c r="H59" s="826"/>
      <c r="J59" s="827" t="s">
        <v>169</v>
      </c>
      <c r="K59" s="828"/>
      <c r="L59" s="828"/>
      <c r="M59" s="828"/>
      <c r="N59" s="828"/>
      <c r="O59" s="829"/>
    </row>
    <row r="60" spans="1:18" ht="13.5" thickBot="1" x14ac:dyDescent="0.25">
      <c r="B60" s="49"/>
      <c r="C60" s="50"/>
      <c r="D60" s="50"/>
      <c r="E60" s="50"/>
      <c r="F60" s="50"/>
      <c r="G60" s="45"/>
      <c r="H60" s="50"/>
      <c r="J60" s="129"/>
      <c r="K60" s="130"/>
      <c r="L60" s="130"/>
      <c r="M60" s="130"/>
      <c r="N60" s="130"/>
      <c r="O60" s="131"/>
    </row>
    <row r="61" spans="1:18" ht="13.5" thickBot="1" x14ac:dyDescent="0.25">
      <c r="B61" s="789" t="s">
        <v>170</v>
      </c>
      <c r="C61" s="790"/>
      <c r="D61" s="790"/>
      <c r="E61" s="790"/>
      <c r="F61" s="791"/>
      <c r="G61" s="805"/>
      <c r="H61" s="791"/>
      <c r="J61" s="129"/>
      <c r="K61" s="130"/>
      <c r="L61" s="130"/>
      <c r="M61" s="130"/>
      <c r="N61" s="130"/>
      <c r="O61" s="131"/>
    </row>
    <row r="62" spans="1:18" ht="12.75" customHeight="1" x14ac:dyDescent="0.2">
      <c r="B62" s="57" t="s">
        <v>171</v>
      </c>
      <c r="C62" s="806" t="s">
        <v>172</v>
      </c>
      <c r="D62" s="807"/>
      <c r="E62" s="807"/>
      <c r="F62" s="808"/>
      <c r="G62" s="809">
        <v>0</v>
      </c>
      <c r="H62" s="809"/>
      <c r="I62" s="58"/>
      <c r="J62" s="810" t="s">
        <v>173</v>
      </c>
      <c r="K62" s="811"/>
      <c r="L62" s="811"/>
      <c r="M62" s="811"/>
      <c r="N62" s="811"/>
      <c r="O62" s="812"/>
      <c r="Q62" s="59"/>
      <c r="R62" s="59"/>
    </row>
    <row r="63" spans="1:18" ht="13.5" thickBot="1" x14ac:dyDescent="0.25">
      <c r="D63" s="37"/>
      <c r="I63" s="58"/>
      <c r="J63" s="60" t="s">
        <v>360</v>
      </c>
      <c r="K63" s="132"/>
      <c r="L63" s="132"/>
      <c r="M63" s="133"/>
      <c r="N63" s="133"/>
      <c r="O63" s="134"/>
      <c r="Q63" s="59"/>
      <c r="R63" s="59"/>
    </row>
    <row r="64" spans="1:18" ht="13.5" thickBot="1" x14ac:dyDescent="0.25">
      <c r="B64" s="789" t="s">
        <v>175</v>
      </c>
      <c r="C64" s="790"/>
      <c r="D64" s="790"/>
      <c r="E64" s="790"/>
      <c r="F64" s="791"/>
      <c r="G64" s="805">
        <f>+G59-G62</f>
        <v>1394444</v>
      </c>
      <c r="H64" s="791"/>
      <c r="I64" s="63"/>
      <c r="J64" s="75"/>
      <c r="K64" s="39"/>
      <c r="L64" s="39"/>
      <c r="M64" s="39"/>
      <c r="N64" s="39"/>
      <c r="O64" s="65"/>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6.25" customHeight="1" thickBot="1" x14ac:dyDescent="0.25">
      <c r="B67" s="66"/>
      <c r="C67" s="48"/>
      <c r="G67" s="70" t="s">
        <v>177</v>
      </c>
      <c r="H67" s="70" t="s">
        <v>178</v>
      </c>
      <c r="I67" s="63"/>
      <c r="J67" s="810" t="s">
        <v>179</v>
      </c>
      <c r="K67" s="811"/>
      <c r="L67" s="71"/>
      <c r="M67" s="71"/>
      <c r="N67" s="71"/>
      <c r="O67" s="72"/>
      <c r="Q67" s="59"/>
      <c r="R67" s="59"/>
    </row>
    <row r="68" spans="2:18" ht="12.75" customHeight="1" x14ac:dyDescent="0.2">
      <c r="B68" s="802" t="s">
        <v>180</v>
      </c>
      <c r="C68" s="821" t="s">
        <v>181</v>
      </c>
      <c r="D68" s="823" t="s">
        <v>182</v>
      </c>
      <c r="E68" s="824"/>
      <c r="F68" s="824"/>
      <c r="G68" s="73">
        <f>+O43</f>
        <v>360000</v>
      </c>
      <c r="H68" s="74">
        <f t="shared" ref="H68:H76" si="5">+G68</f>
        <v>360000</v>
      </c>
      <c r="I68" s="63"/>
      <c r="J68" s="75" t="s">
        <v>183</v>
      </c>
      <c r="K68" s="58"/>
      <c r="L68" s="58"/>
      <c r="M68" s="58"/>
      <c r="N68" s="58"/>
      <c r="O68" s="76"/>
      <c r="Q68" s="59"/>
      <c r="R68" s="59"/>
    </row>
    <row r="69" spans="2:18" ht="12.75" customHeight="1" x14ac:dyDescent="0.2">
      <c r="B69" s="803"/>
      <c r="C69" s="822"/>
      <c r="D69" s="782" t="s">
        <v>184</v>
      </c>
      <c r="E69" s="783"/>
      <c r="F69" s="783"/>
      <c r="G69" s="77">
        <v>0</v>
      </c>
      <c r="H69" s="78">
        <f t="shared" si="5"/>
        <v>0</v>
      </c>
      <c r="I69" s="63"/>
      <c r="J69" s="79"/>
      <c r="K69" s="68"/>
      <c r="L69" s="68"/>
      <c r="M69" s="68"/>
      <c r="N69" s="68"/>
      <c r="O69" s="69"/>
      <c r="Q69" s="59"/>
      <c r="R69" s="59"/>
    </row>
    <row r="70" spans="2:18" ht="12.75" customHeight="1" x14ac:dyDescent="0.2">
      <c r="B70" s="803"/>
      <c r="C70" s="822"/>
      <c r="D70" s="819" t="s">
        <v>185</v>
      </c>
      <c r="E70" s="820"/>
      <c r="F70" s="820"/>
      <c r="G70" s="80">
        <f>O40</f>
        <v>720</v>
      </c>
      <c r="H70" s="78">
        <f t="shared" si="5"/>
        <v>720</v>
      </c>
      <c r="I70" s="63"/>
      <c r="J70" s="67"/>
      <c r="K70" s="68"/>
      <c r="L70" s="68"/>
      <c r="M70" s="68"/>
      <c r="N70" s="68"/>
      <c r="O70" s="69"/>
    </row>
    <row r="71" spans="2:18" x14ac:dyDescent="0.2">
      <c r="B71" s="803"/>
      <c r="C71" s="822"/>
      <c r="D71" s="782" t="s">
        <v>186</v>
      </c>
      <c r="E71" s="783"/>
      <c r="F71" s="783"/>
      <c r="G71" s="81">
        <v>0</v>
      </c>
      <c r="H71" s="78">
        <f t="shared" si="5"/>
        <v>0</v>
      </c>
      <c r="I71" s="63"/>
      <c r="J71" s="82" t="s">
        <v>187</v>
      </c>
      <c r="K71" s="71"/>
      <c r="L71" s="71"/>
      <c r="M71" s="71"/>
      <c r="N71" s="71"/>
      <c r="O71" s="72"/>
    </row>
    <row r="72" spans="2:18" ht="12.75" customHeight="1" x14ac:dyDescent="0.2">
      <c r="B72" s="803"/>
      <c r="C72" s="822"/>
      <c r="D72" s="784" t="s">
        <v>188</v>
      </c>
      <c r="E72" s="783"/>
      <c r="F72" s="783"/>
      <c r="G72" s="80">
        <v>0</v>
      </c>
      <c r="H72" s="78">
        <f t="shared" si="5"/>
        <v>0</v>
      </c>
      <c r="I72" s="63"/>
      <c r="J72" s="75" t="s">
        <v>189</v>
      </c>
      <c r="K72" s="50"/>
      <c r="L72" s="50"/>
      <c r="M72" s="50"/>
      <c r="N72" s="50"/>
      <c r="O72" s="83">
        <f>O42</f>
        <v>7800</v>
      </c>
    </row>
    <row r="73" spans="2:18" ht="14.25" customHeight="1" x14ac:dyDescent="0.2">
      <c r="B73" s="803"/>
      <c r="C73" s="822"/>
      <c r="D73" s="782" t="s">
        <v>190</v>
      </c>
      <c r="E73" s="783"/>
      <c r="F73" s="783"/>
      <c r="G73" s="84">
        <v>0</v>
      </c>
      <c r="H73" s="78">
        <f t="shared" si="5"/>
        <v>0</v>
      </c>
      <c r="I73" s="63"/>
      <c r="J73" s="75"/>
      <c r="K73" s="39"/>
      <c r="L73" s="39"/>
      <c r="M73" s="39"/>
      <c r="N73" s="39"/>
      <c r="O73" s="65"/>
    </row>
    <row r="74" spans="2:18" x14ac:dyDescent="0.2">
      <c r="B74" s="803"/>
      <c r="C74" s="822"/>
      <c r="D74" s="782" t="s">
        <v>191</v>
      </c>
      <c r="E74" s="783"/>
      <c r="F74" s="783"/>
      <c r="G74" s="81">
        <v>0</v>
      </c>
      <c r="H74" s="78">
        <f t="shared" si="5"/>
        <v>0</v>
      </c>
      <c r="I74" s="58"/>
      <c r="J74" s="224"/>
      <c r="K74" s="225"/>
      <c r="L74" s="225"/>
      <c r="M74" s="50"/>
      <c r="N74" s="50"/>
      <c r="O74" s="83"/>
    </row>
    <row r="75" spans="2:18" x14ac:dyDescent="0.2">
      <c r="B75" s="803"/>
      <c r="C75" s="88" t="s">
        <v>192</v>
      </c>
      <c r="D75" s="813" t="s">
        <v>193</v>
      </c>
      <c r="E75" s="814"/>
      <c r="F75" s="814"/>
      <c r="G75" s="80">
        <v>0</v>
      </c>
      <c r="H75" s="78">
        <f t="shared" si="5"/>
        <v>0</v>
      </c>
      <c r="I75" s="58"/>
      <c r="J75" s="75"/>
      <c r="K75" s="126"/>
      <c r="L75" s="39"/>
      <c r="M75" s="39"/>
      <c r="N75" s="39"/>
      <c r="O75" s="65"/>
    </row>
    <row r="76" spans="2:18" ht="13.5" customHeight="1" thickBot="1" x14ac:dyDescent="0.25">
      <c r="B76" s="803"/>
      <c r="C76" s="88" t="s">
        <v>194</v>
      </c>
      <c r="D76" s="815" t="s">
        <v>195</v>
      </c>
      <c r="E76" s="815"/>
      <c r="F76" s="815"/>
      <c r="G76" s="89">
        <v>0</v>
      </c>
      <c r="H76" s="90">
        <f t="shared" si="5"/>
        <v>0</v>
      </c>
      <c r="I76" s="63"/>
      <c r="J76" s="60"/>
      <c r="K76" s="39"/>
      <c r="L76" s="39"/>
      <c r="M76" s="39"/>
      <c r="N76" s="39"/>
      <c r="O76" s="65"/>
    </row>
    <row r="77" spans="2:18" ht="13.5" thickBot="1" x14ac:dyDescent="0.25">
      <c r="B77" s="803"/>
      <c r="C77" s="93"/>
      <c r="D77" s="94"/>
      <c r="E77" s="816" t="s">
        <v>117</v>
      </c>
      <c r="F77" s="817"/>
      <c r="G77" s="95">
        <f>SUM(G68:G76)</f>
        <v>360720</v>
      </c>
      <c r="H77" s="96">
        <f>IF(SUM(G68:G74)&lt;150000,SUM(G68:G74),150000)+IF(+G75&lt;20000,+G75,20000)</f>
        <v>150000</v>
      </c>
      <c r="I77" s="63"/>
      <c r="J77" s="60"/>
      <c r="K77" s="39"/>
      <c r="L77" s="39"/>
      <c r="M77" s="39"/>
      <c r="N77" s="39"/>
      <c r="O77" s="65"/>
    </row>
    <row r="78" spans="2:18" ht="12.75" customHeight="1" x14ac:dyDescent="0.2">
      <c r="B78" s="803"/>
      <c r="C78" s="100" t="s">
        <v>196</v>
      </c>
      <c r="D78" s="782" t="s">
        <v>187</v>
      </c>
      <c r="E78" s="783"/>
      <c r="F78" s="818"/>
      <c r="G78" s="73">
        <f>O73+O72</f>
        <v>7800</v>
      </c>
      <c r="H78" s="101">
        <f>+IF(+G78&lt;25000,+G78,25000)</f>
        <v>7800</v>
      </c>
      <c r="I78" s="87"/>
      <c r="J78" s="82"/>
      <c r="K78" s="195"/>
      <c r="L78" s="195"/>
      <c r="M78" s="195"/>
      <c r="N78" s="195"/>
      <c r="O78" s="196"/>
    </row>
    <row r="79" spans="2:18" x14ac:dyDescent="0.2">
      <c r="B79" s="803"/>
      <c r="C79" s="100" t="s">
        <v>197</v>
      </c>
      <c r="D79" s="784" t="s">
        <v>198</v>
      </c>
      <c r="E79" s="785"/>
      <c r="F79" s="786"/>
      <c r="G79" s="102"/>
      <c r="H79" s="103">
        <f>+IF(+G79&lt;40000,+G79,40000)</f>
        <v>0</v>
      </c>
      <c r="I79" s="63"/>
      <c r="J79" s="75"/>
      <c r="K79" s="68"/>
      <c r="L79" s="68"/>
      <c r="M79" s="91"/>
      <c r="N79" s="91"/>
      <c r="O79" s="92"/>
    </row>
    <row r="80" spans="2:18" ht="13.5" thickBot="1" x14ac:dyDescent="0.25">
      <c r="B80" s="803"/>
      <c r="C80" s="100" t="s">
        <v>199</v>
      </c>
      <c r="D80" s="784" t="s">
        <v>200</v>
      </c>
      <c r="E80" s="785"/>
      <c r="F80" s="786"/>
      <c r="G80" s="81"/>
      <c r="H80" s="104">
        <v>0</v>
      </c>
      <c r="I80" s="63"/>
      <c r="J80" s="185"/>
      <c r="K80" s="141"/>
      <c r="L80" s="141"/>
      <c r="M80" s="142"/>
      <c r="N80" s="142"/>
      <c r="O80" s="143"/>
    </row>
    <row r="81" spans="2:12" x14ac:dyDescent="0.2">
      <c r="B81" s="803"/>
      <c r="C81" s="100" t="s">
        <v>201</v>
      </c>
      <c r="D81" s="784" t="s">
        <v>202</v>
      </c>
      <c r="E81" s="785"/>
      <c r="F81" s="786"/>
      <c r="G81" s="81">
        <v>0</v>
      </c>
      <c r="H81" s="104">
        <f>+G81*50%</f>
        <v>0</v>
      </c>
      <c r="I81" s="63"/>
    </row>
    <row r="82" spans="2:12" ht="13.5" thickBot="1" x14ac:dyDescent="0.25">
      <c r="B82" s="804"/>
      <c r="C82" s="100" t="s">
        <v>203</v>
      </c>
      <c r="D82" s="784" t="s">
        <v>204</v>
      </c>
      <c r="E82" s="785"/>
      <c r="F82" s="786"/>
      <c r="G82" s="102"/>
      <c r="H82" s="103">
        <f>+IF(+G82&lt;100000,+G82,10000)</f>
        <v>0</v>
      </c>
      <c r="I82" s="63"/>
      <c r="J82" s="106"/>
      <c r="K82" s="226"/>
      <c r="L82" s="226"/>
    </row>
    <row r="83" spans="2:12" ht="13.5" thickBot="1" x14ac:dyDescent="0.25">
      <c r="B83" s="787" t="s">
        <v>205</v>
      </c>
      <c r="C83" s="788"/>
      <c r="D83" s="788"/>
      <c r="E83" s="788"/>
      <c r="F83" s="788"/>
      <c r="G83" s="107">
        <f>SUM(G78:G82)</f>
        <v>7800</v>
      </c>
      <c r="H83" s="108">
        <f>SUM(H77:H82)</f>
        <v>157800</v>
      </c>
    </row>
    <row r="84" spans="2:12" ht="13.5" thickBot="1" x14ac:dyDescent="0.25"/>
    <row r="85" spans="2:12" ht="13.5" thickBot="1" x14ac:dyDescent="0.25">
      <c r="B85" s="789" t="s">
        <v>206</v>
      </c>
      <c r="C85" s="790"/>
      <c r="D85" s="790"/>
      <c r="E85" s="790"/>
      <c r="F85" s="791"/>
      <c r="G85" s="792">
        <f>+G64-H83</f>
        <v>1236644</v>
      </c>
      <c r="H85" s="791"/>
      <c r="J85" s="109">
        <f>C37+D37+E37+F37</f>
        <v>406460</v>
      </c>
      <c r="K85" s="16" t="s">
        <v>235</v>
      </c>
    </row>
    <row r="86" spans="2:12" x14ac:dyDescent="0.2">
      <c r="B86" s="110"/>
      <c r="F86" s="105"/>
      <c r="J86" s="109">
        <f>G37+H37+I37</f>
        <v>377991</v>
      </c>
      <c r="K86" s="16" t="s">
        <v>236</v>
      </c>
      <c r="L86" s="16">
        <f>+J86/3</f>
        <v>125997</v>
      </c>
    </row>
    <row r="87" spans="2:12" x14ac:dyDescent="0.2">
      <c r="C87" s="793" t="s">
        <v>207</v>
      </c>
      <c r="D87" s="794"/>
      <c r="E87" s="111" t="s">
        <v>208</v>
      </c>
      <c r="F87" s="111" t="s">
        <v>209</v>
      </c>
      <c r="G87" s="111" t="s">
        <v>210</v>
      </c>
      <c r="H87" s="111" t="s">
        <v>211</v>
      </c>
      <c r="J87" s="109">
        <f>J37+K37+L37</f>
        <v>396599</v>
      </c>
      <c r="K87" s="47" t="s">
        <v>237</v>
      </c>
    </row>
    <row r="88" spans="2:12" x14ac:dyDescent="0.2">
      <c r="C88" s="795" t="str">
        <f>IF(I6="M","0          - 250000","0          -  250000")</f>
        <v>0          - 250000</v>
      </c>
      <c r="D88" s="796"/>
      <c r="E88" s="112">
        <v>0</v>
      </c>
      <c r="F88" s="113">
        <f>IF(I6="M",(IF(G85&lt;250000,G85,250000)),(IF(G85&lt;250000,G85,250000)))</f>
        <v>250000</v>
      </c>
      <c r="G88" s="113">
        <f>G85-F88</f>
        <v>986644</v>
      </c>
      <c r="H88" s="113">
        <f>E88*F88</f>
        <v>0</v>
      </c>
      <c r="J88" s="16">
        <f>M37+N37</f>
        <v>255894</v>
      </c>
      <c r="K88" s="1" t="s">
        <v>238</v>
      </c>
      <c r="L88" s="16">
        <f>+J88/2</f>
        <v>127947</v>
      </c>
    </row>
    <row r="89" spans="2:12" x14ac:dyDescent="0.2">
      <c r="C89" s="795" t="str">
        <f>IF(I6="M","250001 - 500000","250001-500000")</f>
        <v>250001 - 500000</v>
      </c>
      <c r="D89" s="796"/>
      <c r="E89" s="112">
        <v>0.05</v>
      </c>
      <c r="F89" s="113">
        <f>IF(I6="M",(IF(G88&lt;250000,G88,250000)),(IF(G88&lt;250000,G88,250000)))</f>
        <v>250000</v>
      </c>
      <c r="G89" s="113">
        <f>G88-F89</f>
        <v>736644</v>
      </c>
      <c r="H89" s="114">
        <f>ROUND(E89*F89,0.1)</f>
        <v>12500</v>
      </c>
      <c r="J89" s="115">
        <f>SUM(J85:J88)</f>
        <v>1436944</v>
      </c>
    </row>
    <row r="90" spans="2:12" x14ac:dyDescent="0.2">
      <c r="C90" s="797" t="s">
        <v>212</v>
      </c>
      <c r="D90" s="798"/>
      <c r="E90" s="112">
        <v>0.2</v>
      </c>
      <c r="F90" s="113">
        <f>IF(G89&lt;500000,G89,500000)</f>
        <v>500000</v>
      </c>
      <c r="G90" s="113">
        <f>G89-F90</f>
        <v>236644</v>
      </c>
      <c r="H90" s="114">
        <f>ROUND(E90*F90,0.1)</f>
        <v>100000</v>
      </c>
      <c r="J90" s="16">
        <f>+G85</f>
        <v>1236644</v>
      </c>
    </row>
    <row r="91" spans="2:12" x14ac:dyDescent="0.2">
      <c r="C91" s="795" t="s">
        <v>213</v>
      </c>
      <c r="D91" s="796"/>
      <c r="E91" s="112">
        <v>0.3</v>
      </c>
      <c r="F91" s="113">
        <f>G90</f>
        <v>236644</v>
      </c>
      <c r="G91" s="113">
        <f>G90-F91</f>
        <v>0</v>
      </c>
      <c r="H91" s="114">
        <f>ROUND(E91*F91,0.1)</f>
        <v>70993</v>
      </c>
      <c r="J91" s="16">
        <f>+J89-J90</f>
        <v>200300</v>
      </c>
    </row>
    <row r="92" spans="2:12" ht="12.75" customHeight="1" thickBot="1" x14ac:dyDescent="0.25">
      <c r="B92" s="116"/>
      <c r="C92" s="117"/>
      <c r="D92" s="47"/>
      <c r="E92" s="47"/>
      <c r="F92" s="47"/>
      <c r="J92" s="87"/>
      <c r="K92" s="118"/>
    </row>
    <row r="93" spans="2:12" ht="13.5" thickBot="1" x14ac:dyDescent="0.25">
      <c r="B93" s="799" t="s">
        <v>239</v>
      </c>
      <c r="C93" s="800"/>
      <c r="D93" s="800"/>
      <c r="E93" s="800"/>
      <c r="F93" s="801"/>
      <c r="G93" s="771">
        <f>H88+H89+H90+H91</f>
        <v>183493</v>
      </c>
      <c r="H93" s="772"/>
    </row>
    <row r="94" spans="2:12" ht="13.5" thickBot="1" x14ac:dyDescent="0.25">
      <c r="B94" s="119" t="s">
        <v>215</v>
      </c>
      <c r="C94" s="120"/>
      <c r="D94" s="120"/>
      <c r="E94" s="120"/>
      <c r="F94" s="120"/>
      <c r="G94" s="884">
        <f>IF((G64&lt;500000),5000,0)</f>
        <v>0</v>
      </c>
      <c r="H94" s="885">
        <f>IF(H92&lt;200000,0,IF(H92&lt;220000,((H92-200000)*10%),IF(H92&lt;=500000,2000,IF(H92&gt;=500000,0))))</f>
        <v>0</v>
      </c>
      <c r="J94" s="1"/>
      <c r="K94" s="121"/>
      <c r="L94" s="121"/>
    </row>
    <row r="95" spans="2:12" ht="13.5" thickBot="1" x14ac:dyDescent="0.25">
      <c r="B95" s="122" t="s">
        <v>216</v>
      </c>
      <c r="C95" s="123"/>
      <c r="D95" s="123"/>
      <c r="E95" s="123"/>
      <c r="F95" s="123"/>
      <c r="G95" s="771">
        <f>IF((G93-G94)&lt;0,0,(G93-G94))</f>
        <v>183493</v>
      </c>
      <c r="H95" s="772"/>
      <c r="I95" s="37"/>
    </row>
    <row r="96" spans="2:12" ht="13.5" thickBot="1" x14ac:dyDescent="0.25">
      <c r="B96" s="773" t="s">
        <v>240</v>
      </c>
      <c r="C96" s="774"/>
      <c r="D96" s="774"/>
      <c r="E96" s="774"/>
      <c r="F96" s="775"/>
      <c r="G96" s="776">
        <f>ROUND((IF(G95&gt;0,(G95*4%),0)),0)</f>
        <v>7340</v>
      </c>
      <c r="H96" s="777"/>
      <c r="I96" s="37"/>
    </row>
    <row r="97" spans="2:9" ht="13.5" thickBot="1" x14ac:dyDescent="0.25">
      <c r="B97" s="778" t="s">
        <v>218</v>
      </c>
      <c r="C97" s="779"/>
      <c r="D97" s="779"/>
      <c r="E97" s="779"/>
      <c r="F97" s="779"/>
      <c r="G97" s="780">
        <f>G95+G96</f>
        <v>190833</v>
      </c>
      <c r="H97" s="781"/>
      <c r="I97" s="121"/>
    </row>
    <row r="98" spans="2:9" ht="13.5" thickBot="1" x14ac:dyDescent="0.25">
      <c r="B98" s="765" t="s">
        <v>219</v>
      </c>
      <c r="C98" s="766"/>
      <c r="D98" s="766"/>
      <c r="E98" s="766"/>
      <c r="F98" s="766"/>
      <c r="G98" s="767">
        <f>O38</f>
        <v>190840</v>
      </c>
      <c r="H98" s="768"/>
      <c r="I98" s="121"/>
    </row>
    <row r="99" spans="2:9" ht="13.5" thickBot="1" x14ac:dyDescent="0.25">
      <c r="B99" s="765" t="str">
        <f>IF(G99&gt;0,"TAX PAYABLE","TAX REFUND")</f>
        <v>TAX REFUND</v>
      </c>
      <c r="C99" s="766"/>
      <c r="D99" s="766"/>
      <c r="E99" s="766"/>
      <c r="F99" s="766"/>
      <c r="G99" s="767">
        <f>+G97-G98</f>
        <v>-7</v>
      </c>
      <c r="H99" s="768"/>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9:F99 B93:F97">
    <cfRule type="cellIs" dxfId="2081" priority="3" stopIfTrue="1" operator="equal">
      <formula>"TAX PAYABLE"</formula>
    </cfRule>
    <cfRule type="cellIs" dxfId="2080" priority="4" stopIfTrue="1" operator="equal">
      <formula>"TAX REFUND"</formula>
    </cfRule>
  </conditionalFormatting>
  <conditionalFormatting sqref="G99:H99">
    <cfRule type="cellIs" dxfId="2079" priority="1" stopIfTrue="1" operator="greaterThan">
      <formula>0</formula>
    </cfRule>
    <cfRule type="cellIs" dxfId="2078"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hyperlinks>
    <hyperlink ref="J51" r:id="rId1" display="+J37-@sum(J22:J36)"/>
  </hyperlinks>
  <pageMargins left="0.70866141732283505" right="0.511811023622047" top="0.74803149606299202" bottom="0.74803149606299202" header="0.31496062992126" footer="0.31496062992126"/>
  <pageSetup paperSize="9" scale="63" orientation="portrait" horizontalDpi="300" verticalDpi="300" r:id="rId2"/>
  <headerFooter alignWithMargins="0"/>
  <rowBreaks count="1" manualBreakCount="1">
    <brk id="50" max="14" man="1"/>
  </rowBreaks>
  <legacyDrawing r:id="rId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8"/>
  <sheetViews>
    <sheetView topLeftCell="A65" zoomScaleNormal="100" workbookViewId="0">
      <selection activeCell="D6" sqref="D6:F6"/>
    </sheetView>
  </sheetViews>
  <sheetFormatPr defaultRowHeight="12.75" x14ac:dyDescent="0.2"/>
  <cols>
    <col min="1" max="1" width="5" style="16" customWidth="1"/>
    <col min="2" max="2" width="18.85546875" style="37" customWidth="1"/>
    <col min="3" max="3" width="8.5703125" style="16" customWidth="1"/>
    <col min="4" max="4" width="7" style="16" customWidth="1"/>
    <col min="5" max="8" width="7.85546875" style="16" customWidth="1"/>
    <col min="9" max="14" width="7.5703125" style="16" customWidth="1"/>
    <col min="15" max="15" width="8.710937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8.85546875" style="16" customWidth="1"/>
    <col min="259" max="259" width="8.5703125" style="16" customWidth="1"/>
    <col min="260" max="260" width="7" style="16" customWidth="1"/>
    <col min="261" max="264" width="7.85546875" style="16" customWidth="1"/>
    <col min="265" max="270" width="7.5703125" style="16" customWidth="1"/>
    <col min="271" max="271" width="8.710937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8.85546875" style="16" customWidth="1"/>
    <col min="515" max="515" width="8.5703125" style="16" customWidth="1"/>
    <col min="516" max="516" width="7" style="16" customWidth="1"/>
    <col min="517" max="520" width="7.85546875" style="16" customWidth="1"/>
    <col min="521" max="526" width="7.5703125" style="16" customWidth="1"/>
    <col min="527" max="527" width="8.710937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8.85546875" style="16" customWidth="1"/>
    <col min="771" max="771" width="8.5703125" style="16" customWidth="1"/>
    <col min="772" max="772" width="7" style="16" customWidth="1"/>
    <col min="773" max="776" width="7.85546875" style="16" customWidth="1"/>
    <col min="777" max="782" width="7.5703125" style="16" customWidth="1"/>
    <col min="783" max="783" width="8.710937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8.85546875" style="16" customWidth="1"/>
    <col min="1027" max="1027" width="8.5703125" style="16" customWidth="1"/>
    <col min="1028" max="1028" width="7" style="16" customWidth="1"/>
    <col min="1029" max="1032" width="7.85546875" style="16" customWidth="1"/>
    <col min="1033" max="1038" width="7.5703125" style="16" customWidth="1"/>
    <col min="1039" max="1039" width="8.710937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8.85546875" style="16" customWidth="1"/>
    <col min="1283" max="1283" width="8.5703125" style="16" customWidth="1"/>
    <col min="1284" max="1284" width="7" style="16" customWidth="1"/>
    <col min="1285" max="1288" width="7.85546875" style="16" customWidth="1"/>
    <col min="1289" max="1294" width="7.5703125" style="16" customWidth="1"/>
    <col min="1295" max="1295" width="8.710937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8.85546875" style="16" customWidth="1"/>
    <col min="1539" max="1539" width="8.5703125" style="16" customWidth="1"/>
    <col min="1540" max="1540" width="7" style="16" customWidth="1"/>
    <col min="1541" max="1544" width="7.85546875" style="16" customWidth="1"/>
    <col min="1545" max="1550" width="7.5703125" style="16" customWidth="1"/>
    <col min="1551" max="1551" width="8.710937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8.85546875" style="16" customWidth="1"/>
    <col min="1795" max="1795" width="8.5703125" style="16" customWidth="1"/>
    <col min="1796" max="1796" width="7" style="16" customWidth="1"/>
    <col min="1797" max="1800" width="7.85546875" style="16" customWidth="1"/>
    <col min="1801" max="1806" width="7.5703125" style="16" customWidth="1"/>
    <col min="1807" max="1807" width="8.710937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8.85546875" style="16" customWidth="1"/>
    <col min="2051" max="2051" width="8.5703125" style="16" customWidth="1"/>
    <col min="2052" max="2052" width="7" style="16" customWidth="1"/>
    <col min="2053" max="2056" width="7.85546875" style="16" customWidth="1"/>
    <col min="2057" max="2062" width="7.5703125" style="16" customWidth="1"/>
    <col min="2063" max="2063" width="8.710937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8.85546875" style="16" customWidth="1"/>
    <col min="2307" max="2307" width="8.5703125" style="16" customWidth="1"/>
    <col min="2308" max="2308" width="7" style="16" customWidth="1"/>
    <col min="2309" max="2312" width="7.85546875" style="16" customWidth="1"/>
    <col min="2313" max="2318" width="7.5703125" style="16" customWidth="1"/>
    <col min="2319" max="2319" width="8.710937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8.85546875" style="16" customWidth="1"/>
    <col min="2563" max="2563" width="8.5703125" style="16" customWidth="1"/>
    <col min="2564" max="2564" width="7" style="16" customWidth="1"/>
    <col min="2565" max="2568" width="7.85546875" style="16" customWidth="1"/>
    <col min="2569" max="2574" width="7.5703125" style="16" customWidth="1"/>
    <col min="2575" max="2575" width="8.710937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8.85546875" style="16" customWidth="1"/>
    <col min="2819" max="2819" width="8.5703125" style="16" customWidth="1"/>
    <col min="2820" max="2820" width="7" style="16" customWidth="1"/>
    <col min="2821" max="2824" width="7.85546875" style="16" customWidth="1"/>
    <col min="2825" max="2830" width="7.5703125" style="16" customWidth="1"/>
    <col min="2831" max="2831" width="8.710937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8.85546875" style="16" customWidth="1"/>
    <col min="3075" max="3075" width="8.5703125" style="16" customWidth="1"/>
    <col min="3076" max="3076" width="7" style="16" customWidth="1"/>
    <col min="3077" max="3080" width="7.85546875" style="16" customWidth="1"/>
    <col min="3081" max="3086" width="7.5703125" style="16" customWidth="1"/>
    <col min="3087" max="3087" width="8.710937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8.85546875" style="16" customWidth="1"/>
    <col min="3331" max="3331" width="8.5703125" style="16" customWidth="1"/>
    <col min="3332" max="3332" width="7" style="16" customWidth="1"/>
    <col min="3333" max="3336" width="7.85546875" style="16" customWidth="1"/>
    <col min="3337" max="3342" width="7.5703125" style="16" customWidth="1"/>
    <col min="3343" max="3343" width="8.710937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8.85546875" style="16" customWidth="1"/>
    <col min="3587" max="3587" width="8.5703125" style="16" customWidth="1"/>
    <col min="3588" max="3588" width="7" style="16" customWidth="1"/>
    <col min="3589" max="3592" width="7.85546875" style="16" customWidth="1"/>
    <col min="3593" max="3598" width="7.5703125" style="16" customWidth="1"/>
    <col min="3599" max="3599" width="8.710937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8.85546875" style="16" customWidth="1"/>
    <col min="3843" max="3843" width="8.5703125" style="16" customWidth="1"/>
    <col min="3844" max="3844" width="7" style="16" customWidth="1"/>
    <col min="3845" max="3848" width="7.85546875" style="16" customWidth="1"/>
    <col min="3849" max="3854" width="7.5703125" style="16" customWidth="1"/>
    <col min="3855" max="3855" width="8.710937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8.85546875" style="16" customWidth="1"/>
    <col min="4099" max="4099" width="8.5703125" style="16" customWidth="1"/>
    <col min="4100" max="4100" width="7" style="16" customWidth="1"/>
    <col min="4101" max="4104" width="7.85546875" style="16" customWidth="1"/>
    <col min="4105" max="4110" width="7.5703125" style="16" customWidth="1"/>
    <col min="4111" max="4111" width="8.710937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8.85546875" style="16" customWidth="1"/>
    <col min="4355" max="4355" width="8.5703125" style="16" customWidth="1"/>
    <col min="4356" max="4356" width="7" style="16" customWidth="1"/>
    <col min="4357" max="4360" width="7.85546875" style="16" customWidth="1"/>
    <col min="4361" max="4366" width="7.5703125" style="16" customWidth="1"/>
    <col min="4367" max="4367" width="8.710937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8.85546875" style="16" customWidth="1"/>
    <col min="4611" max="4611" width="8.5703125" style="16" customWidth="1"/>
    <col min="4612" max="4612" width="7" style="16" customWidth="1"/>
    <col min="4613" max="4616" width="7.85546875" style="16" customWidth="1"/>
    <col min="4617" max="4622" width="7.5703125" style="16" customWidth="1"/>
    <col min="4623" max="4623" width="8.710937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8.85546875" style="16" customWidth="1"/>
    <col min="4867" max="4867" width="8.5703125" style="16" customWidth="1"/>
    <col min="4868" max="4868" width="7" style="16" customWidth="1"/>
    <col min="4869" max="4872" width="7.85546875" style="16" customWidth="1"/>
    <col min="4873" max="4878" width="7.5703125" style="16" customWidth="1"/>
    <col min="4879" max="4879" width="8.710937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8.85546875" style="16" customWidth="1"/>
    <col min="5123" max="5123" width="8.5703125" style="16" customWidth="1"/>
    <col min="5124" max="5124" width="7" style="16" customWidth="1"/>
    <col min="5125" max="5128" width="7.85546875" style="16" customWidth="1"/>
    <col min="5129" max="5134" width="7.5703125" style="16" customWidth="1"/>
    <col min="5135" max="5135" width="8.710937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8.85546875" style="16" customWidth="1"/>
    <col min="5379" max="5379" width="8.5703125" style="16" customWidth="1"/>
    <col min="5380" max="5380" width="7" style="16" customWidth="1"/>
    <col min="5381" max="5384" width="7.85546875" style="16" customWidth="1"/>
    <col min="5385" max="5390" width="7.5703125" style="16" customWidth="1"/>
    <col min="5391" max="5391" width="8.710937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8.85546875" style="16" customWidth="1"/>
    <col min="5635" max="5635" width="8.5703125" style="16" customWidth="1"/>
    <col min="5636" max="5636" width="7" style="16" customWidth="1"/>
    <col min="5637" max="5640" width="7.85546875" style="16" customWidth="1"/>
    <col min="5641" max="5646" width="7.5703125" style="16" customWidth="1"/>
    <col min="5647" max="5647" width="8.710937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8.85546875" style="16" customWidth="1"/>
    <col min="5891" max="5891" width="8.5703125" style="16" customWidth="1"/>
    <col min="5892" max="5892" width="7" style="16" customWidth="1"/>
    <col min="5893" max="5896" width="7.85546875" style="16" customWidth="1"/>
    <col min="5897" max="5902" width="7.5703125" style="16" customWidth="1"/>
    <col min="5903" max="5903" width="8.710937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8.85546875" style="16" customWidth="1"/>
    <col min="6147" max="6147" width="8.5703125" style="16" customWidth="1"/>
    <col min="6148" max="6148" width="7" style="16" customWidth="1"/>
    <col min="6149" max="6152" width="7.85546875" style="16" customWidth="1"/>
    <col min="6153" max="6158" width="7.5703125" style="16" customWidth="1"/>
    <col min="6159" max="6159" width="8.710937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8.85546875" style="16" customWidth="1"/>
    <col min="6403" max="6403" width="8.5703125" style="16" customWidth="1"/>
    <col min="6404" max="6404" width="7" style="16" customWidth="1"/>
    <col min="6405" max="6408" width="7.85546875" style="16" customWidth="1"/>
    <col min="6409" max="6414" width="7.5703125" style="16" customWidth="1"/>
    <col min="6415" max="6415" width="8.710937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8.85546875" style="16" customWidth="1"/>
    <col min="6659" max="6659" width="8.5703125" style="16" customWidth="1"/>
    <col min="6660" max="6660" width="7" style="16" customWidth="1"/>
    <col min="6661" max="6664" width="7.85546875" style="16" customWidth="1"/>
    <col min="6665" max="6670" width="7.5703125" style="16" customWidth="1"/>
    <col min="6671" max="6671" width="8.710937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8.85546875" style="16" customWidth="1"/>
    <col min="6915" max="6915" width="8.5703125" style="16" customWidth="1"/>
    <col min="6916" max="6916" width="7" style="16" customWidth="1"/>
    <col min="6917" max="6920" width="7.85546875" style="16" customWidth="1"/>
    <col min="6921" max="6926" width="7.5703125" style="16" customWidth="1"/>
    <col min="6927" max="6927" width="8.710937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8.85546875" style="16" customWidth="1"/>
    <col min="7171" max="7171" width="8.5703125" style="16" customWidth="1"/>
    <col min="7172" max="7172" width="7" style="16" customWidth="1"/>
    <col min="7173" max="7176" width="7.85546875" style="16" customWidth="1"/>
    <col min="7177" max="7182" width="7.5703125" style="16" customWidth="1"/>
    <col min="7183" max="7183" width="8.710937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8.85546875" style="16" customWidth="1"/>
    <col min="7427" max="7427" width="8.5703125" style="16" customWidth="1"/>
    <col min="7428" max="7428" width="7" style="16" customWidth="1"/>
    <col min="7429" max="7432" width="7.85546875" style="16" customWidth="1"/>
    <col min="7433" max="7438" width="7.5703125" style="16" customWidth="1"/>
    <col min="7439" max="7439" width="8.710937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8.85546875" style="16" customWidth="1"/>
    <col min="7683" max="7683" width="8.5703125" style="16" customWidth="1"/>
    <col min="7684" max="7684" width="7" style="16" customWidth="1"/>
    <col min="7685" max="7688" width="7.85546875" style="16" customWidth="1"/>
    <col min="7689" max="7694" width="7.5703125" style="16" customWidth="1"/>
    <col min="7695" max="7695" width="8.710937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8.85546875" style="16" customWidth="1"/>
    <col min="7939" max="7939" width="8.5703125" style="16" customWidth="1"/>
    <col min="7940" max="7940" width="7" style="16" customWidth="1"/>
    <col min="7941" max="7944" width="7.85546875" style="16" customWidth="1"/>
    <col min="7945" max="7950" width="7.5703125" style="16" customWidth="1"/>
    <col min="7951" max="7951" width="8.710937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8.85546875" style="16" customWidth="1"/>
    <col min="8195" max="8195" width="8.5703125" style="16" customWidth="1"/>
    <col min="8196" max="8196" width="7" style="16" customWidth="1"/>
    <col min="8197" max="8200" width="7.85546875" style="16" customWidth="1"/>
    <col min="8201" max="8206" width="7.5703125" style="16" customWidth="1"/>
    <col min="8207" max="8207" width="8.710937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8.85546875" style="16" customWidth="1"/>
    <col min="8451" max="8451" width="8.5703125" style="16" customWidth="1"/>
    <col min="8452" max="8452" width="7" style="16" customWidth="1"/>
    <col min="8453" max="8456" width="7.85546875" style="16" customWidth="1"/>
    <col min="8457" max="8462" width="7.5703125" style="16" customWidth="1"/>
    <col min="8463" max="8463" width="8.710937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8.85546875" style="16" customWidth="1"/>
    <col min="8707" max="8707" width="8.5703125" style="16" customWidth="1"/>
    <col min="8708" max="8708" width="7" style="16" customWidth="1"/>
    <col min="8709" max="8712" width="7.85546875" style="16" customWidth="1"/>
    <col min="8713" max="8718" width="7.5703125" style="16" customWidth="1"/>
    <col min="8719" max="8719" width="8.710937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8.85546875" style="16" customWidth="1"/>
    <col min="8963" max="8963" width="8.5703125" style="16" customWidth="1"/>
    <col min="8964" max="8964" width="7" style="16" customWidth="1"/>
    <col min="8965" max="8968" width="7.85546875" style="16" customWidth="1"/>
    <col min="8969" max="8974" width="7.5703125" style="16" customWidth="1"/>
    <col min="8975" max="8975" width="8.710937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8.85546875" style="16" customWidth="1"/>
    <col min="9219" max="9219" width="8.5703125" style="16" customWidth="1"/>
    <col min="9220" max="9220" width="7" style="16" customWidth="1"/>
    <col min="9221" max="9224" width="7.85546875" style="16" customWidth="1"/>
    <col min="9225" max="9230" width="7.5703125" style="16" customWidth="1"/>
    <col min="9231" max="9231" width="8.710937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8.85546875" style="16" customWidth="1"/>
    <col min="9475" max="9475" width="8.5703125" style="16" customWidth="1"/>
    <col min="9476" max="9476" width="7" style="16" customWidth="1"/>
    <col min="9477" max="9480" width="7.85546875" style="16" customWidth="1"/>
    <col min="9481" max="9486" width="7.5703125" style="16" customWidth="1"/>
    <col min="9487" max="9487" width="8.710937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8.85546875" style="16" customWidth="1"/>
    <col min="9731" max="9731" width="8.5703125" style="16" customWidth="1"/>
    <col min="9732" max="9732" width="7" style="16" customWidth="1"/>
    <col min="9733" max="9736" width="7.85546875" style="16" customWidth="1"/>
    <col min="9737" max="9742" width="7.5703125" style="16" customWidth="1"/>
    <col min="9743" max="9743" width="8.710937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8.85546875" style="16" customWidth="1"/>
    <col min="9987" max="9987" width="8.5703125" style="16" customWidth="1"/>
    <col min="9988" max="9988" width="7" style="16" customWidth="1"/>
    <col min="9989" max="9992" width="7.85546875" style="16" customWidth="1"/>
    <col min="9993" max="9998" width="7.5703125" style="16" customWidth="1"/>
    <col min="9999" max="9999" width="8.710937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8.85546875" style="16" customWidth="1"/>
    <col min="10243" max="10243" width="8.5703125" style="16" customWidth="1"/>
    <col min="10244" max="10244" width="7" style="16" customWidth="1"/>
    <col min="10245" max="10248" width="7.85546875" style="16" customWidth="1"/>
    <col min="10249" max="10254" width="7.5703125" style="16" customWidth="1"/>
    <col min="10255" max="10255" width="8.710937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8.85546875" style="16" customWidth="1"/>
    <col min="10499" max="10499" width="8.5703125" style="16" customWidth="1"/>
    <col min="10500" max="10500" width="7" style="16" customWidth="1"/>
    <col min="10501" max="10504" width="7.85546875" style="16" customWidth="1"/>
    <col min="10505" max="10510" width="7.5703125" style="16" customWidth="1"/>
    <col min="10511" max="10511" width="8.710937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8.85546875" style="16" customWidth="1"/>
    <col min="10755" max="10755" width="8.5703125" style="16" customWidth="1"/>
    <col min="10756" max="10756" width="7" style="16" customWidth="1"/>
    <col min="10757" max="10760" width="7.85546875" style="16" customWidth="1"/>
    <col min="10761" max="10766" width="7.5703125" style="16" customWidth="1"/>
    <col min="10767" max="10767" width="8.710937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8.85546875" style="16" customWidth="1"/>
    <col min="11011" max="11011" width="8.5703125" style="16" customWidth="1"/>
    <col min="11012" max="11012" width="7" style="16" customWidth="1"/>
    <col min="11013" max="11016" width="7.85546875" style="16" customWidth="1"/>
    <col min="11017" max="11022" width="7.5703125" style="16" customWidth="1"/>
    <col min="11023" max="11023" width="8.710937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8.85546875" style="16" customWidth="1"/>
    <col min="11267" max="11267" width="8.5703125" style="16" customWidth="1"/>
    <col min="11268" max="11268" width="7" style="16" customWidth="1"/>
    <col min="11269" max="11272" width="7.85546875" style="16" customWidth="1"/>
    <col min="11273" max="11278" width="7.5703125" style="16" customWidth="1"/>
    <col min="11279" max="11279" width="8.710937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8.85546875" style="16" customWidth="1"/>
    <col min="11523" max="11523" width="8.5703125" style="16" customWidth="1"/>
    <col min="11524" max="11524" width="7" style="16" customWidth="1"/>
    <col min="11525" max="11528" width="7.85546875" style="16" customWidth="1"/>
    <col min="11529" max="11534" width="7.5703125" style="16" customWidth="1"/>
    <col min="11535" max="11535" width="8.710937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8.85546875" style="16" customWidth="1"/>
    <col min="11779" max="11779" width="8.5703125" style="16" customWidth="1"/>
    <col min="11780" max="11780" width="7" style="16" customWidth="1"/>
    <col min="11781" max="11784" width="7.85546875" style="16" customWidth="1"/>
    <col min="11785" max="11790" width="7.5703125" style="16" customWidth="1"/>
    <col min="11791" max="11791" width="8.710937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8.85546875" style="16" customWidth="1"/>
    <col min="12035" max="12035" width="8.5703125" style="16" customWidth="1"/>
    <col min="12036" max="12036" width="7" style="16" customWidth="1"/>
    <col min="12037" max="12040" width="7.85546875" style="16" customWidth="1"/>
    <col min="12041" max="12046" width="7.5703125" style="16" customWidth="1"/>
    <col min="12047" max="12047" width="8.710937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8.85546875" style="16" customWidth="1"/>
    <col min="12291" max="12291" width="8.5703125" style="16" customWidth="1"/>
    <col min="12292" max="12292" width="7" style="16" customWidth="1"/>
    <col min="12293" max="12296" width="7.85546875" style="16" customWidth="1"/>
    <col min="12297" max="12302" width="7.5703125" style="16" customWidth="1"/>
    <col min="12303" max="12303" width="8.710937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8.85546875" style="16" customWidth="1"/>
    <col min="12547" max="12547" width="8.5703125" style="16" customWidth="1"/>
    <col min="12548" max="12548" width="7" style="16" customWidth="1"/>
    <col min="12549" max="12552" width="7.85546875" style="16" customWidth="1"/>
    <col min="12553" max="12558" width="7.5703125" style="16" customWidth="1"/>
    <col min="12559" max="12559" width="8.710937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8.85546875" style="16" customWidth="1"/>
    <col min="12803" max="12803" width="8.5703125" style="16" customWidth="1"/>
    <col min="12804" max="12804" width="7" style="16" customWidth="1"/>
    <col min="12805" max="12808" width="7.85546875" style="16" customWidth="1"/>
    <col min="12809" max="12814" width="7.5703125" style="16" customWidth="1"/>
    <col min="12815" max="12815" width="8.710937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8.85546875" style="16" customWidth="1"/>
    <col min="13059" max="13059" width="8.5703125" style="16" customWidth="1"/>
    <col min="13060" max="13060" width="7" style="16" customWidth="1"/>
    <col min="13061" max="13064" width="7.85546875" style="16" customWidth="1"/>
    <col min="13065" max="13070" width="7.5703125" style="16" customWidth="1"/>
    <col min="13071" max="13071" width="8.710937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8.85546875" style="16" customWidth="1"/>
    <col min="13315" max="13315" width="8.5703125" style="16" customWidth="1"/>
    <col min="13316" max="13316" width="7" style="16" customWidth="1"/>
    <col min="13317" max="13320" width="7.85546875" style="16" customWidth="1"/>
    <col min="13321" max="13326" width="7.5703125" style="16" customWidth="1"/>
    <col min="13327" max="13327" width="8.710937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8.85546875" style="16" customWidth="1"/>
    <col min="13571" max="13571" width="8.5703125" style="16" customWidth="1"/>
    <col min="13572" max="13572" width="7" style="16" customWidth="1"/>
    <col min="13573" max="13576" width="7.85546875" style="16" customWidth="1"/>
    <col min="13577" max="13582" width="7.5703125" style="16" customWidth="1"/>
    <col min="13583" max="13583" width="8.710937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8.85546875" style="16" customWidth="1"/>
    <col min="13827" max="13827" width="8.5703125" style="16" customWidth="1"/>
    <col min="13828" max="13828" width="7" style="16" customWidth="1"/>
    <col min="13829" max="13832" width="7.85546875" style="16" customWidth="1"/>
    <col min="13833" max="13838" width="7.5703125" style="16" customWidth="1"/>
    <col min="13839" max="13839" width="8.710937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8.85546875" style="16" customWidth="1"/>
    <col min="14083" max="14083" width="8.5703125" style="16" customWidth="1"/>
    <col min="14084" max="14084" width="7" style="16" customWidth="1"/>
    <col min="14085" max="14088" width="7.85546875" style="16" customWidth="1"/>
    <col min="14089" max="14094" width="7.5703125" style="16" customWidth="1"/>
    <col min="14095" max="14095" width="8.710937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8.85546875" style="16" customWidth="1"/>
    <col min="14339" max="14339" width="8.5703125" style="16" customWidth="1"/>
    <col min="14340" max="14340" width="7" style="16" customWidth="1"/>
    <col min="14341" max="14344" width="7.85546875" style="16" customWidth="1"/>
    <col min="14345" max="14350" width="7.5703125" style="16" customWidth="1"/>
    <col min="14351" max="14351" width="8.710937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8.85546875" style="16" customWidth="1"/>
    <col min="14595" max="14595" width="8.5703125" style="16" customWidth="1"/>
    <col min="14596" max="14596" width="7" style="16" customWidth="1"/>
    <col min="14597" max="14600" width="7.85546875" style="16" customWidth="1"/>
    <col min="14601" max="14606" width="7.5703125" style="16" customWidth="1"/>
    <col min="14607" max="14607" width="8.710937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8.85546875" style="16" customWidth="1"/>
    <col min="14851" max="14851" width="8.5703125" style="16" customWidth="1"/>
    <col min="14852" max="14852" width="7" style="16" customWidth="1"/>
    <col min="14853" max="14856" width="7.85546875" style="16" customWidth="1"/>
    <col min="14857" max="14862" width="7.5703125" style="16" customWidth="1"/>
    <col min="14863" max="14863" width="8.710937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8.85546875" style="16" customWidth="1"/>
    <col min="15107" max="15107" width="8.5703125" style="16" customWidth="1"/>
    <col min="15108" max="15108" width="7" style="16" customWidth="1"/>
    <col min="15109" max="15112" width="7.85546875" style="16" customWidth="1"/>
    <col min="15113" max="15118" width="7.5703125" style="16" customWidth="1"/>
    <col min="15119" max="15119" width="8.710937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8.85546875" style="16" customWidth="1"/>
    <col min="15363" max="15363" width="8.5703125" style="16" customWidth="1"/>
    <col min="15364" max="15364" width="7" style="16" customWidth="1"/>
    <col min="15365" max="15368" width="7.85546875" style="16" customWidth="1"/>
    <col min="15369" max="15374" width="7.5703125" style="16" customWidth="1"/>
    <col min="15375" max="15375" width="8.710937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8.85546875" style="16" customWidth="1"/>
    <col min="15619" max="15619" width="8.5703125" style="16" customWidth="1"/>
    <col min="15620" max="15620" width="7" style="16" customWidth="1"/>
    <col min="15621" max="15624" width="7.85546875" style="16" customWidth="1"/>
    <col min="15625" max="15630" width="7.5703125" style="16" customWidth="1"/>
    <col min="15631" max="15631" width="8.710937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8.85546875" style="16" customWidth="1"/>
    <col min="15875" max="15875" width="8.5703125" style="16" customWidth="1"/>
    <col min="15876" max="15876" width="7" style="16" customWidth="1"/>
    <col min="15877" max="15880" width="7.85546875" style="16" customWidth="1"/>
    <col min="15881" max="15886" width="7.5703125" style="16" customWidth="1"/>
    <col min="15887" max="15887" width="8.710937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8.85546875" style="16" customWidth="1"/>
    <col min="16131" max="16131" width="8.5703125" style="16" customWidth="1"/>
    <col min="16132" max="16132" width="7" style="16" customWidth="1"/>
    <col min="16133" max="16136" width="7.85546875" style="16" customWidth="1"/>
    <col min="16137" max="16142" width="7.5703125" style="16" customWidth="1"/>
    <col min="16143" max="16143" width="8.710937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67" t="s">
        <v>100</v>
      </c>
      <c r="B1" s="868"/>
      <c r="C1" s="868"/>
      <c r="D1" s="911" t="s">
        <v>408</v>
      </c>
      <c r="E1" s="868"/>
      <c r="F1" s="868"/>
      <c r="G1" s="867" t="s">
        <v>102</v>
      </c>
      <c r="H1" s="869"/>
      <c r="I1" s="869" t="s">
        <v>45</v>
      </c>
      <c r="J1" s="868"/>
      <c r="K1" s="868"/>
      <c r="L1" s="870"/>
      <c r="M1" s="870"/>
      <c r="N1" s="870"/>
      <c r="O1" s="870"/>
    </row>
    <row r="2" spans="1:15" s="1" customFormat="1" x14ac:dyDescent="0.2">
      <c r="A2" s="867" t="s">
        <v>103</v>
      </c>
      <c r="B2" s="868"/>
      <c r="C2" s="868"/>
      <c r="D2" s="869"/>
      <c r="E2" s="868"/>
      <c r="F2" s="868"/>
      <c r="G2" s="867" t="s">
        <v>104</v>
      </c>
      <c r="H2" s="869"/>
      <c r="I2" s="869" t="s">
        <v>105</v>
      </c>
      <c r="J2" s="868"/>
      <c r="K2" s="868"/>
      <c r="L2" s="870"/>
      <c r="M2" s="870"/>
      <c r="N2" s="870"/>
      <c r="O2" s="870"/>
    </row>
    <row r="3" spans="1:15" s="1" customFormat="1" x14ac:dyDescent="0.2">
      <c r="A3" s="867" t="s">
        <v>106</v>
      </c>
      <c r="B3" s="868"/>
      <c r="C3" s="868"/>
      <c r="D3" s="883" t="s">
        <v>409</v>
      </c>
      <c r="E3" s="868"/>
      <c r="F3" s="868"/>
      <c r="G3" s="867" t="s">
        <v>107</v>
      </c>
      <c r="H3" s="869"/>
      <c r="I3" s="869" t="s">
        <v>108</v>
      </c>
      <c r="J3" s="868"/>
      <c r="K3" s="868"/>
      <c r="L3" s="870"/>
      <c r="M3" s="870"/>
      <c r="N3" s="870"/>
      <c r="O3" s="870"/>
    </row>
    <row r="4" spans="1:15" s="1" customFormat="1" x14ac:dyDescent="0.2">
      <c r="A4" s="867" t="s">
        <v>109</v>
      </c>
      <c r="B4" s="868"/>
      <c r="C4" s="868"/>
      <c r="D4" s="869"/>
      <c r="E4" s="868"/>
      <c r="F4" s="868"/>
      <c r="G4" s="867" t="s">
        <v>110</v>
      </c>
      <c r="H4" s="869"/>
      <c r="I4" s="869" t="s">
        <v>410</v>
      </c>
      <c r="J4" s="868"/>
      <c r="K4" s="868"/>
      <c r="L4" s="870"/>
      <c r="M4" s="870"/>
      <c r="N4" s="870"/>
      <c r="O4" s="870"/>
    </row>
    <row r="5" spans="1:15" s="1" customFormat="1" x14ac:dyDescent="0.2">
      <c r="A5" s="867" t="s">
        <v>278</v>
      </c>
      <c r="B5" s="868"/>
      <c r="C5" s="868"/>
      <c r="D5" s="869" t="s">
        <v>411</v>
      </c>
      <c r="E5" s="868"/>
      <c r="F5" s="868"/>
      <c r="G5" s="867"/>
      <c r="H5" s="868"/>
      <c r="I5" s="869" t="s">
        <v>113</v>
      </c>
      <c r="J5" s="868"/>
      <c r="K5" s="868"/>
      <c r="L5" s="870"/>
      <c r="M5" s="870"/>
      <c r="N5" s="870"/>
      <c r="O5" s="870"/>
    </row>
    <row r="6" spans="1:15" s="1" customFormat="1" x14ac:dyDescent="0.2">
      <c r="A6" s="871" t="s">
        <v>114</v>
      </c>
      <c r="B6" s="872"/>
      <c r="C6" s="872"/>
      <c r="D6" s="868" t="s">
        <v>46</v>
      </c>
      <c r="E6" s="868"/>
      <c r="F6" s="868"/>
      <c r="G6" s="871" t="s">
        <v>115</v>
      </c>
      <c r="H6" s="871"/>
      <c r="I6" s="2" t="s">
        <v>116</v>
      </c>
      <c r="J6" s="888"/>
      <c r="K6" s="888"/>
      <c r="L6" s="888"/>
      <c r="M6" s="888"/>
      <c r="N6" s="888"/>
      <c r="O6" s="889"/>
    </row>
    <row r="7" spans="1:15" s="1" customFormat="1" ht="13.5" thickBot="1" x14ac:dyDescent="0.25">
      <c r="A7" s="3"/>
      <c r="B7" s="4"/>
      <c r="C7" s="5"/>
      <c r="D7" s="6"/>
      <c r="E7" s="6"/>
      <c r="F7" s="6"/>
      <c r="G7" s="6"/>
      <c r="H7" s="6"/>
      <c r="I7" s="6"/>
      <c r="J7" s="7"/>
      <c r="K7" s="8"/>
      <c r="L7" s="875" t="s">
        <v>223</v>
      </c>
      <c r="M7" s="875"/>
      <c r="N7" s="875"/>
      <c r="O7" s="875"/>
    </row>
    <row r="8" spans="1:15" s="11" customFormat="1" x14ac:dyDescent="0.2">
      <c r="A8" s="876" t="str">
        <f>I1</f>
        <v>Mr. D.P. Varghese</v>
      </c>
      <c r="B8" s="877"/>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66000</v>
      </c>
      <c r="D9" s="14">
        <v>66000</v>
      </c>
      <c r="E9" s="14">
        <v>66000</v>
      </c>
      <c r="F9" s="14">
        <v>66000</v>
      </c>
      <c r="G9" s="14">
        <v>68000</v>
      </c>
      <c r="H9" s="14">
        <v>68000</v>
      </c>
      <c r="I9" s="14">
        <v>68000</v>
      </c>
      <c r="J9" s="14">
        <v>68000</v>
      </c>
      <c r="K9" s="14">
        <v>68000</v>
      </c>
      <c r="L9" s="14">
        <v>68000</v>
      </c>
      <c r="M9" s="14">
        <v>68000</v>
      </c>
      <c r="N9" s="14">
        <v>68000</v>
      </c>
      <c r="O9" s="15">
        <f>SUM(C9:N9)</f>
        <v>808000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3300</v>
      </c>
      <c r="D11" s="17">
        <v>4620</v>
      </c>
      <c r="E11" s="17">
        <v>4620</v>
      </c>
      <c r="F11" s="17">
        <v>4620</v>
      </c>
      <c r="G11" s="17">
        <v>4760</v>
      </c>
      <c r="H11" s="17">
        <v>4760</v>
      </c>
      <c r="I11" s="17">
        <v>4760</v>
      </c>
      <c r="J11" s="17">
        <v>6120</v>
      </c>
      <c r="K11" s="17">
        <v>6120</v>
      </c>
      <c r="L11" s="17">
        <v>6120</v>
      </c>
      <c r="M11" s="17">
        <v>6120</v>
      </c>
      <c r="N11" s="17">
        <v>6120</v>
      </c>
      <c r="O11" s="18">
        <f>SUM(C11:N11)</f>
        <v>62040</v>
      </c>
    </row>
    <row r="12" spans="1:15"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x14ac:dyDescent="0.2">
      <c r="A14" s="12"/>
      <c r="B14" s="13" t="s">
        <v>123</v>
      </c>
      <c r="C14" s="17">
        <v>3780</v>
      </c>
      <c r="D14" s="17">
        <v>3752</v>
      </c>
      <c r="E14" s="17">
        <v>3752</v>
      </c>
      <c r="F14" s="17">
        <v>3752</v>
      </c>
      <c r="G14" s="17">
        <v>3752</v>
      </c>
      <c r="H14" s="17">
        <v>3752</v>
      </c>
      <c r="I14" s="17">
        <v>3752</v>
      </c>
      <c r="J14" s="17">
        <v>3924</v>
      </c>
      <c r="K14" s="17">
        <v>3924</v>
      </c>
      <c r="L14" s="17">
        <v>3924</v>
      </c>
      <c r="M14" s="17">
        <v>3924</v>
      </c>
      <c r="N14" s="17">
        <v>3924</v>
      </c>
      <c r="O14" s="18">
        <f t="shared" si="0"/>
        <v>45912</v>
      </c>
    </row>
    <row r="15" spans="1:15"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hidden="1"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127</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15840</v>
      </c>
      <c r="D19" s="17">
        <v>15840</v>
      </c>
      <c r="E19" s="17">
        <v>15840</v>
      </c>
      <c r="F19" s="17">
        <v>15840</v>
      </c>
      <c r="G19" s="17">
        <v>16320</v>
      </c>
      <c r="H19" s="17">
        <v>16320</v>
      </c>
      <c r="I19" s="17">
        <v>16320</v>
      </c>
      <c r="J19" s="17">
        <v>16320</v>
      </c>
      <c r="K19" s="17">
        <v>16320</v>
      </c>
      <c r="L19" s="17">
        <v>16320</v>
      </c>
      <c r="M19" s="17">
        <v>16320</v>
      </c>
      <c r="N19" s="17">
        <v>16320</v>
      </c>
      <c r="O19" s="18">
        <f t="shared" si="0"/>
        <v>193920</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78"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79"/>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5" ht="15" hidden="1" customHeight="1" x14ac:dyDescent="0.2">
      <c r="A23" s="879"/>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79"/>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79"/>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79"/>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79"/>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79"/>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79"/>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79"/>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79"/>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79"/>
      <c r="B32" s="21" t="s">
        <v>142</v>
      </c>
      <c r="C32" s="17">
        <v>0</v>
      </c>
      <c r="D32" s="17">
        <v>0</v>
      </c>
      <c r="E32" s="17">
        <v>0</v>
      </c>
      <c r="F32" s="17">
        <v>0</v>
      </c>
      <c r="G32" s="17">
        <v>0</v>
      </c>
      <c r="H32" s="17">
        <v>0</v>
      </c>
      <c r="I32" s="17">
        <v>0</v>
      </c>
      <c r="J32" s="17">
        <v>0</v>
      </c>
      <c r="K32" s="17">
        <v>0</v>
      </c>
      <c r="L32" s="17">
        <v>0</v>
      </c>
      <c r="M32" s="17">
        <v>0</v>
      </c>
      <c r="N32" s="17">
        <v>0</v>
      </c>
      <c r="O32" s="18">
        <f t="shared" si="0"/>
        <v>0</v>
      </c>
    </row>
    <row r="33" spans="1:16" ht="15" hidden="1" customHeight="1" x14ac:dyDescent="0.2">
      <c r="A33" s="880"/>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865" t="s">
        <v>143</v>
      </c>
      <c r="B34" s="866"/>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865" t="s">
        <v>145</v>
      </c>
      <c r="B35" s="866"/>
      <c r="C35" s="17">
        <v>0</v>
      </c>
      <c r="D35" s="17">
        <v>216</v>
      </c>
      <c r="E35" s="17">
        <v>0</v>
      </c>
      <c r="F35" s="17">
        <v>0</v>
      </c>
      <c r="G35" s="17">
        <v>0</v>
      </c>
      <c r="H35" s="17">
        <v>0</v>
      </c>
      <c r="I35" s="17">
        <v>0</v>
      </c>
      <c r="J35" s="17">
        <v>216</v>
      </c>
      <c r="K35" s="17">
        <v>0</v>
      </c>
      <c r="L35" s="17">
        <v>0</v>
      </c>
      <c r="M35" s="17">
        <v>0</v>
      </c>
      <c r="N35" s="17">
        <v>0</v>
      </c>
      <c r="O35" s="18">
        <f t="shared" si="0"/>
        <v>432</v>
      </c>
    </row>
    <row r="36" spans="1:16" ht="15" customHeight="1" x14ac:dyDescent="0.2">
      <c r="A36" s="865" t="s">
        <v>146</v>
      </c>
      <c r="B36" s="866"/>
      <c r="C36" s="17">
        <v>0</v>
      </c>
      <c r="D36" s="17">
        <v>3960</v>
      </c>
      <c r="E36" s="17">
        <v>0</v>
      </c>
      <c r="F36" s="17">
        <v>0</v>
      </c>
      <c r="G36" s="17">
        <v>0</v>
      </c>
      <c r="H36" s="17">
        <v>0</v>
      </c>
      <c r="I36" s="17">
        <v>0</v>
      </c>
      <c r="J36" s="17">
        <v>4080</v>
      </c>
      <c r="K36" s="17">
        <v>0</v>
      </c>
      <c r="L36" s="17">
        <v>0</v>
      </c>
      <c r="M36" s="17">
        <v>0</v>
      </c>
      <c r="N36" s="17">
        <v>0</v>
      </c>
      <c r="O36" s="18">
        <f t="shared" si="0"/>
        <v>8040</v>
      </c>
    </row>
    <row r="37" spans="1:16" ht="15" customHeight="1" x14ac:dyDescent="0.2">
      <c r="A37" s="22"/>
      <c r="B37" s="23" t="s">
        <v>147</v>
      </c>
      <c r="C37" s="24">
        <f t="shared" ref="C37:N37" si="1">SUM(C9:C36)</f>
        <v>88920</v>
      </c>
      <c r="D37" s="24">
        <f t="shared" si="1"/>
        <v>94388</v>
      </c>
      <c r="E37" s="24">
        <f t="shared" si="1"/>
        <v>90212</v>
      </c>
      <c r="F37" s="24">
        <f t="shared" si="1"/>
        <v>90212</v>
      </c>
      <c r="G37" s="24">
        <f t="shared" si="1"/>
        <v>92832</v>
      </c>
      <c r="H37" s="24">
        <f t="shared" si="1"/>
        <v>92832</v>
      </c>
      <c r="I37" s="24">
        <f t="shared" si="1"/>
        <v>92832</v>
      </c>
      <c r="J37" s="24">
        <f t="shared" si="1"/>
        <v>105568</v>
      </c>
      <c r="K37" s="24">
        <f t="shared" si="1"/>
        <v>94364</v>
      </c>
      <c r="L37" s="24">
        <f t="shared" si="1"/>
        <v>94364</v>
      </c>
      <c r="M37" s="24">
        <f t="shared" si="1"/>
        <v>94364</v>
      </c>
      <c r="N37" s="24">
        <f t="shared" si="1"/>
        <v>94364</v>
      </c>
      <c r="O37" s="25">
        <f>SUM(C37:N37)</f>
        <v>1125252</v>
      </c>
    </row>
    <row r="38" spans="1:16" ht="15" customHeight="1" x14ac:dyDescent="0.2">
      <c r="A38" s="853" t="s">
        <v>148</v>
      </c>
      <c r="B38" s="27" t="s">
        <v>149</v>
      </c>
      <c r="C38" s="17">
        <v>7900</v>
      </c>
      <c r="D38" s="17">
        <v>8000</v>
      </c>
      <c r="E38" s="17">
        <v>8000</v>
      </c>
      <c r="F38" s="17">
        <v>8000</v>
      </c>
      <c r="G38" s="17">
        <v>8000</v>
      </c>
      <c r="H38" s="17">
        <v>8000</v>
      </c>
      <c r="I38" s="17">
        <v>8000</v>
      </c>
      <c r="J38" s="17">
        <v>8000</v>
      </c>
      <c r="K38" s="17">
        <v>10000</v>
      </c>
      <c r="L38" s="17">
        <v>9755</v>
      </c>
      <c r="M38" s="17">
        <v>9755</v>
      </c>
      <c r="N38" s="17">
        <v>10475</v>
      </c>
      <c r="O38" s="18">
        <f>SUM(C38:N38)</f>
        <v>103885</v>
      </c>
      <c r="P38" s="29"/>
    </row>
    <row r="39" spans="1:16" ht="15" x14ac:dyDescent="0.2">
      <c r="A39" s="854"/>
      <c r="B39" s="27" t="s">
        <v>150</v>
      </c>
      <c r="C39" s="17">
        <v>0</v>
      </c>
      <c r="D39" s="17">
        <v>0</v>
      </c>
      <c r="E39" s="17">
        <v>0</v>
      </c>
      <c r="F39" s="17">
        <v>0</v>
      </c>
      <c r="G39" s="17">
        <v>0</v>
      </c>
      <c r="H39" s="17">
        <v>0</v>
      </c>
      <c r="I39" s="17">
        <v>0</v>
      </c>
      <c r="J39" s="17">
        <v>0</v>
      </c>
      <c r="K39" s="17">
        <v>0</v>
      </c>
      <c r="L39" s="17">
        <v>0</v>
      </c>
      <c r="M39" s="17">
        <v>0</v>
      </c>
      <c r="N39" s="17">
        <v>0</v>
      </c>
      <c r="O39" s="18">
        <f>SUM(C39:N39)</f>
        <v>0</v>
      </c>
    </row>
    <row r="40" spans="1:16" ht="15" x14ac:dyDescent="0.2">
      <c r="A40" s="854"/>
      <c r="B40" s="27" t="s">
        <v>151</v>
      </c>
      <c r="C40" s="17">
        <v>60</v>
      </c>
      <c r="D40" s="17">
        <v>60</v>
      </c>
      <c r="E40" s="17">
        <v>60</v>
      </c>
      <c r="F40" s="17">
        <v>60</v>
      </c>
      <c r="G40" s="17">
        <v>60</v>
      </c>
      <c r="H40" s="17">
        <v>60</v>
      </c>
      <c r="I40" s="17">
        <v>60</v>
      </c>
      <c r="J40" s="17">
        <v>60</v>
      </c>
      <c r="K40" s="17">
        <v>0</v>
      </c>
      <c r="L40" s="17">
        <v>0</v>
      </c>
      <c r="M40" s="17">
        <v>0</v>
      </c>
      <c r="N40" s="17">
        <v>0</v>
      </c>
      <c r="O40" s="18">
        <f t="shared" ref="O40:O50" si="2">SUM(C40:N40)</f>
        <v>480</v>
      </c>
    </row>
    <row r="41" spans="1:16" ht="15" x14ac:dyDescent="0.2">
      <c r="A41" s="854"/>
      <c r="B41" s="27" t="s">
        <v>152</v>
      </c>
      <c r="C41" s="17">
        <v>0</v>
      </c>
      <c r="D41" s="17">
        <v>0</v>
      </c>
      <c r="E41" s="17">
        <v>0</v>
      </c>
      <c r="F41" s="17">
        <v>0</v>
      </c>
      <c r="G41" s="17">
        <v>0</v>
      </c>
      <c r="H41" s="17">
        <v>0</v>
      </c>
      <c r="I41" s="17">
        <v>0</v>
      </c>
      <c r="J41" s="17">
        <v>0</v>
      </c>
      <c r="K41" s="17">
        <v>0</v>
      </c>
      <c r="L41" s="17">
        <v>0</v>
      </c>
      <c r="M41" s="17">
        <v>0</v>
      </c>
      <c r="N41" s="17">
        <v>0</v>
      </c>
      <c r="O41" s="18">
        <f t="shared" si="2"/>
        <v>0</v>
      </c>
    </row>
    <row r="42" spans="1:16" ht="15" x14ac:dyDescent="0.2">
      <c r="A42" s="854"/>
      <c r="B42" s="27" t="s">
        <v>153</v>
      </c>
      <c r="C42" s="17">
        <v>0</v>
      </c>
      <c r="D42" s="17">
        <v>0</v>
      </c>
      <c r="E42" s="17">
        <v>0</v>
      </c>
      <c r="F42" s="17">
        <v>0</v>
      </c>
      <c r="G42" s="17">
        <v>0</v>
      </c>
      <c r="H42" s="17">
        <v>0</v>
      </c>
      <c r="I42" s="17">
        <v>0</v>
      </c>
      <c r="J42" s="17">
        <v>0</v>
      </c>
      <c r="K42" s="17">
        <v>0</v>
      </c>
      <c r="L42" s="17">
        <v>0</v>
      </c>
      <c r="M42" s="17">
        <v>0</v>
      </c>
      <c r="N42" s="17">
        <v>0</v>
      </c>
      <c r="O42" s="18">
        <f t="shared" si="2"/>
        <v>0</v>
      </c>
    </row>
    <row r="43" spans="1:16" ht="15" x14ac:dyDescent="0.2">
      <c r="A43" s="854"/>
      <c r="B43" s="27" t="s">
        <v>154</v>
      </c>
      <c r="C43" s="17">
        <v>12000</v>
      </c>
      <c r="D43" s="17">
        <v>12000</v>
      </c>
      <c r="E43" s="17">
        <v>12000</v>
      </c>
      <c r="F43" s="17">
        <v>12000</v>
      </c>
      <c r="G43" s="17">
        <v>12000</v>
      </c>
      <c r="H43" s="17">
        <v>12000</v>
      </c>
      <c r="I43" s="17">
        <v>12000</v>
      </c>
      <c r="J43" s="17">
        <v>12000</v>
      </c>
      <c r="K43" s="17">
        <v>12000</v>
      </c>
      <c r="L43" s="17">
        <v>12000</v>
      </c>
      <c r="M43" s="17">
        <v>12000</v>
      </c>
      <c r="N43" s="17">
        <v>12000</v>
      </c>
      <c r="O43" s="18">
        <f t="shared" si="2"/>
        <v>144000</v>
      </c>
    </row>
    <row r="44" spans="1:16" ht="15" x14ac:dyDescent="0.2">
      <c r="A44" s="854"/>
      <c r="B44" s="27" t="s">
        <v>155</v>
      </c>
      <c r="C44" s="17">
        <v>200</v>
      </c>
      <c r="D44" s="17">
        <v>200</v>
      </c>
      <c r="E44" s="17">
        <v>200</v>
      </c>
      <c r="F44" s="17">
        <v>200</v>
      </c>
      <c r="G44" s="17">
        <v>200</v>
      </c>
      <c r="H44" s="17">
        <v>200</v>
      </c>
      <c r="I44" s="17">
        <v>200</v>
      </c>
      <c r="J44" s="17">
        <v>200</v>
      </c>
      <c r="K44" s="17">
        <v>200</v>
      </c>
      <c r="L44" s="17">
        <v>200</v>
      </c>
      <c r="M44" s="17">
        <v>200</v>
      </c>
      <c r="N44" s="17">
        <v>300</v>
      </c>
      <c r="O44" s="18">
        <f t="shared" si="2"/>
        <v>2500</v>
      </c>
    </row>
    <row r="45" spans="1:16" ht="15" x14ac:dyDescent="0.2">
      <c r="A45" s="854"/>
      <c r="B45" s="27" t="s">
        <v>156</v>
      </c>
      <c r="C45" s="17">
        <v>0</v>
      </c>
      <c r="D45" s="17">
        <v>0</v>
      </c>
      <c r="E45" s="17">
        <v>0</v>
      </c>
      <c r="F45" s="17">
        <v>0</v>
      </c>
      <c r="G45" s="17">
        <v>0</v>
      </c>
      <c r="H45" s="17">
        <v>0</v>
      </c>
      <c r="I45" s="17">
        <v>0</v>
      </c>
      <c r="J45" s="17">
        <v>0</v>
      </c>
      <c r="K45" s="17">
        <v>0</v>
      </c>
      <c r="L45" s="17">
        <v>0</v>
      </c>
      <c r="M45" s="17">
        <v>0</v>
      </c>
      <c r="N45" s="17">
        <v>0</v>
      </c>
      <c r="O45" s="18">
        <f t="shared" si="2"/>
        <v>0</v>
      </c>
    </row>
    <row r="46" spans="1:16" ht="15" x14ac:dyDescent="0.2">
      <c r="A46" s="854"/>
      <c r="B46" s="27" t="s">
        <v>157</v>
      </c>
      <c r="C46" s="17">
        <v>0</v>
      </c>
      <c r="D46" s="17">
        <v>0</v>
      </c>
      <c r="E46" s="17">
        <v>0</v>
      </c>
      <c r="F46" s="17">
        <v>0</v>
      </c>
      <c r="G46" s="17">
        <v>0</v>
      </c>
      <c r="H46" s="17">
        <v>0</v>
      </c>
      <c r="I46" s="17">
        <v>0</v>
      </c>
      <c r="J46" s="17">
        <v>0</v>
      </c>
      <c r="K46" s="17">
        <v>0</v>
      </c>
      <c r="L46" s="17">
        <v>0</v>
      </c>
      <c r="M46" s="17">
        <v>0</v>
      </c>
      <c r="N46" s="17">
        <v>0</v>
      </c>
      <c r="O46" s="18">
        <f t="shared" si="2"/>
        <v>0</v>
      </c>
    </row>
    <row r="47" spans="1:16" ht="28.5" customHeight="1" x14ac:dyDescent="0.2">
      <c r="A47" s="855"/>
      <c r="B47" s="30" t="s">
        <v>158</v>
      </c>
      <c r="C47" s="17">
        <v>272</v>
      </c>
      <c r="D47" s="17">
        <v>272</v>
      </c>
      <c r="E47" s="17">
        <v>272</v>
      </c>
      <c r="F47" s="17">
        <v>272</v>
      </c>
      <c r="G47" s="17">
        <v>272</v>
      </c>
      <c r="H47" s="17">
        <v>0</v>
      </c>
      <c r="I47" s="17">
        <v>0</v>
      </c>
      <c r="J47" s="17">
        <v>0</v>
      </c>
      <c r="K47" s="17">
        <v>0</v>
      </c>
      <c r="L47" s="17">
        <v>0</v>
      </c>
      <c r="M47" s="17">
        <v>0</v>
      </c>
      <c r="N47" s="17">
        <v>0</v>
      </c>
      <c r="O47" s="31">
        <f t="shared" si="2"/>
        <v>1360</v>
      </c>
    </row>
    <row r="48" spans="1:16" ht="30" x14ac:dyDescent="0.2">
      <c r="A48" s="856"/>
      <c r="B48" s="127" t="s">
        <v>329</v>
      </c>
      <c r="C48" s="17">
        <v>0</v>
      </c>
      <c r="D48" s="17">
        <v>0</v>
      </c>
      <c r="E48" s="17">
        <v>0</v>
      </c>
      <c r="F48" s="17">
        <v>0</v>
      </c>
      <c r="G48" s="17">
        <v>0</v>
      </c>
      <c r="H48" s="17">
        <v>0</v>
      </c>
      <c r="I48" s="17">
        <v>0</v>
      </c>
      <c r="J48" s="17">
        <v>0</v>
      </c>
      <c r="K48" s="17">
        <v>0</v>
      </c>
      <c r="L48" s="17">
        <v>0</v>
      </c>
      <c r="M48" s="17">
        <v>0</v>
      </c>
      <c r="N48" s="17">
        <v>0</v>
      </c>
      <c r="O48" s="31">
        <f t="shared" si="2"/>
        <v>0</v>
      </c>
    </row>
    <row r="49" spans="1:18" ht="15" x14ac:dyDescent="0.2">
      <c r="A49" s="857" t="s">
        <v>160</v>
      </c>
      <c r="B49" s="858"/>
      <c r="C49" s="33">
        <f t="shared" ref="C49:N49" si="3">SUM(C38:C48)</f>
        <v>20432</v>
      </c>
      <c r="D49" s="33">
        <f t="shared" si="3"/>
        <v>20532</v>
      </c>
      <c r="E49" s="33">
        <f t="shared" si="3"/>
        <v>20532</v>
      </c>
      <c r="F49" s="33">
        <f t="shared" si="3"/>
        <v>20532</v>
      </c>
      <c r="G49" s="33">
        <f t="shared" si="3"/>
        <v>20532</v>
      </c>
      <c r="H49" s="33">
        <f t="shared" si="3"/>
        <v>20260</v>
      </c>
      <c r="I49" s="33">
        <f t="shared" si="3"/>
        <v>20260</v>
      </c>
      <c r="J49" s="33">
        <f t="shared" si="3"/>
        <v>20260</v>
      </c>
      <c r="K49" s="33">
        <f t="shared" si="3"/>
        <v>22200</v>
      </c>
      <c r="L49" s="33">
        <f t="shared" si="3"/>
        <v>21955</v>
      </c>
      <c r="M49" s="33">
        <f t="shared" si="3"/>
        <v>21955</v>
      </c>
      <c r="N49" s="33">
        <f t="shared" si="3"/>
        <v>22775</v>
      </c>
      <c r="O49" s="34">
        <f t="shared" si="2"/>
        <v>252225</v>
      </c>
    </row>
    <row r="50" spans="1:18" ht="15.75" thickBot="1" x14ac:dyDescent="0.25">
      <c r="A50" s="859" t="s">
        <v>161</v>
      </c>
      <c r="B50" s="860"/>
      <c r="C50" s="35">
        <f t="shared" ref="C50:N50" si="4">C37-C49</f>
        <v>68488</v>
      </c>
      <c r="D50" s="35">
        <f t="shared" si="4"/>
        <v>73856</v>
      </c>
      <c r="E50" s="35">
        <f t="shared" si="4"/>
        <v>69680</v>
      </c>
      <c r="F50" s="35">
        <f t="shared" si="4"/>
        <v>69680</v>
      </c>
      <c r="G50" s="35">
        <f t="shared" si="4"/>
        <v>72300</v>
      </c>
      <c r="H50" s="35">
        <f t="shared" si="4"/>
        <v>72572</v>
      </c>
      <c r="I50" s="35">
        <f t="shared" si="4"/>
        <v>72572</v>
      </c>
      <c r="J50" s="35">
        <f t="shared" si="4"/>
        <v>85308</v>
      </c>
      <c r="K50" s="35">
        <f t="shared" si="4"/>
        <v>72164</v>
      </c>
      <c r="L50" s="35">
        <f t="shared" si="4"/>
        <v>72409</v>
      </c>
      <c r="M50" s="35">
        <f t="shared" si="4"/>
        <v>72409</v>
      </c>
      <c r="N50" s="35">
        <f t="shared" si="4"/>
        <v>71589</v>
      </c>
      <c r="O50" s="36">
        <f t="shared" si="2"/>
        <v>873027</v>
      </c>
      <c r="Q50" s="16">
        <f>26165+15000+22986+18800+7160+24666+24786+26109+27409+33034+6903+3454+34135+34035+34035*2+33915</f>
        <v>406627</v>
      </c>
    </row>
    <row r="51" spans="1:18" x14ac:dyDescent="0.2">
      <c r="J51" s="128">
        <f>+J37-SUM(J22:J36)</f>
        <v>94364</v>
      </c>
      <c r="Q51" s="38"/>
    </row>
    <row r="52" spans="1:18" ht="13.5" thickBot="1" x14ac:dyDescent="0.25">
      <c r="J52" s="38">
        <f>+J51-J49</f>
        <v>74104</v>
      </c>
    </row>
    <row r="53" spans="1:18" ht="13.5" thickBot="1" x14ac:dyDescent="0.25">
      <c r="B53" s="789" t="s">
        <v>162</v>
      </c>
      <c r="C53" s="861"/>
      <c r="D53" s="861"/>
      <c r="E53" s="861"/>
      <c r="F53" s="862"/>
      <c r="G53" s="863">
        <f>O37</f>
        <v>1125252</v>
      </c>
      <c r="H53" s="864"/>
    </row>
    <row r="54" spans="1:18" ht="13.5" thickBot="1" x14ac:dyDescent="0.25"/>
    <row r="55" spans="1:18" x14ac:dyDescent="0.2">
      <c r="B55" s="830" t="s">
        <v>163</v>
      </c>
      <c r="C55" s="833" t="s">
        <v>164</v>
      </c>
      <c r="D55" s="836" t="s">
        <v>229</v>
      </c>
      <c r="E55" s="837"/>
      <c r="F55" s="838"/>
      <c r="G55" s="839">
        <v>40000</v>
      </c>
      <c r="H55" s="840"/>
    </row>
    <row r="56" spans="1:18" x14ac:dyDescent="0.2">
      <c r="B56" s="831"/>
      <c r="C56" s="834"/>
      <c r="D56" s="841" t="s">
        <v>166</v>
      </c>
      <c r="E56" s="842"/>
      <c r="F56" s="843"/>
      <c r="G56" s="844">
        <f>+O44</f>
        <v>2500</v>
      </c>
      <c r="H56" s="845"/>
      <c r="I56" s="39"/>
      <c r="J56" s="846"/>
      <c r="K56" s="846"/>
      <c r="L56" s="846"/>
      <c r="M56" s="847"/>
      <c r="N56" s="847"/>
      <c r="O56" s="847"/>
    </row>
    <row r="57" spans="1:18" x14ac:dyDescent="0.2">
      <c r="B57" s="886"/>
      <c r="C57" s="887"/>
      <c r="D57" s="153" t="s">
        <v>129</v>
      </c>
      <c r="E57" s="41"/>
      <c r="F57" s="42"/>
      <c r="G57" s="43"/>
      <c r="H57" s="44">
        <v>0</v>
      </c>
      <c r="I57" s="39"/>
      <c r="J57" s="45"/>
      <c r="K57" s="45"/>
      <c r="L57" s="45"/>
      <c r="M57" s="46"/>
      <c r="N57" s="46"/>
      <c r="O57" s="46"/>
    </row>
    <row r="58" spans="1:18" ht="13.5" thickBot="1" x14ac:dyDescent="0.25">
      <c r="B58" s="832"/>
      <c r="C58" s="835"/>
      <c r="D58" s="921" t="s">
        <v>167</v>
      </c>
      <c r="E58" s="849"/>
      <c r="F58" s="850"/>
      <c r="G58" s="851">
        <f>IF(O18&gt;15000,15000,+O18)</f>
        <v>0</v>
      </c>
      <c r="H58" s="852"/>
      <c r="J58" s="47"/>
      <c r="K58" s="47"/>
      <c r="L58" s="47"/>
      <c r="M58" s="47"/>
      <c r="N58" s="47"/>
      <c r="O58" s="47"/>
    </row>
    <row r="59" spans="1:18" ht="13.5" thickBot="1" x14ac:dyDescent="0.25">
      <c r="B59" s="48"/>
      <c r="J59" s="47"/>
      <c r="K59" s="47"/>
      <c r="L59" s="47"/>
      <c r="M59" s="47"/>
      <c r="N59" s="47"/>
      <c r="O59" s="47"/>
    </row>
    <row r="60" spans="1:18" ht="13.5" thickBot="1" x14ac:dyDescent="0.25">
      <c r="B60" s="789" t="s">
        <v>168</v>
      </c>
      <c r="C60" s="790"/>
      <c r="D60" s="790"/>
      <c r="E60" s="790"/>
      <c r="F60" s="791"/>
      <c r="G60" s="825">
        <f>+G53-SUM(G55:H58)</f>
        <v>1082752</v>
      </c>
      <c r="H60" s="826"/>
      <c r="J60" s="827" t="s">
        <v>169</v>
      </c>
      <c r="K60" s="828"/>
      <c r="L60" s="828"/>
      <c r="M60" s="828"/>
      <c r="N60" s="828"/>
      <c r="O60" s="829"/>
    </row>
    <row r="61" spans="1:18" ht="13.5" thickBot="1" x14ac:dyDescent="0.25">
      <c r="B61" s="49"/>
      <c r="C61" s="50"/>
      <c r="D61" s="50"/>
      <c r="E61" s="50"/>
      <c r="F61" s="50"/>
      <c r="G61" s="45"/>
      <c r="H61" s="50"/>
      <c r="J61" s="51"/>
      <c r="K61" s="52"/>
      <c r="L61" s="52"/>
      <c r="M61" s="52"/>
      <c r="N61" s="52"/>
      <c r="O61" s="53"/>
    </row>
    <row r="62" spans="1:18" ht="13.5" thickBot="1" x14ac:dyDescent="0.25">
      <c r="B62" s="789" t="s">
        <v>170</v>
      </c>
      <c r="C62" s="790"/>
      <c r="D62" s="790"/>
      <c r="E62" s="790"/>
      <c r="F62" s="791"/>
      <c r="G62" s="805"/>
      <c r="H62" s="791"/>
      <c r="J62" s="54"/>
      <c r="K62" s="55"/>
      <c r="L62" s="55"/>
      <c r="M62" s="55"/>
      <c r="N62" s="55"/>
      <c r="O62" s="56"/>
    </row>
    <row r="63" spans="1:18" ht="12.75" customHeight="1" x14ac:dyDescent="0.2">
      <c r="B63" s="57" t="s">
        <v>171</v>
      </c>
      <c r="C63" s="806" t="s">
        <v>172</v>
      </c>
      <c r="D63" s="807"/>
      <c r="E63" s="807"/>
      <c r="F63" s="808"/>
      <c r="G63" s="809">
        <v>0</v>
      </c>
      <c r="H63" s="809"/>
      <c r="I63" s="58"/>
      <c r="J63" s="810" t="s">
        <v>173</v>
      </c>
      <c r="K63" s="811"/>
      <c r="L63" s="811"/>
      <c r="M63" s="811"/>
      <c r="N63" s="811"/>
      <c r="O63" s="812"/>
      <c r="Q63" s="59"/>
      <c r="R63" s="59"/>
    </row>
    <row r="64" spans="1:18" ht="13.5" thickBot="1" x14ac:dyDescent="0.25">
      <c r="D64" s="37"/>
      <c r="I64" s="58"/>
      <c r="J64" s="60" t="s">
        <v>254</v>
      </c>
      <c r="K64" s="61"/>
      <c r="L64" s="61"/>
      <c r="M64" s="61"/>
      <c r="N64" s="61"/>
      <c r="O64" s="62"/>
      <c r="Q64" s="59"/>
      <c r="R64" s="59"/>
    </row>
    <row r="65" spans="2:18" ht="13.5" thickBot="1" x14ac:dyDescent="0.25">
      <c r="B65" s="789" t="s">
        <v>175</v>
      </c>
      <c r="C65" s="790"/>
      <c r="D65" s="790"/>
      <c r="E65" s="790"/>
      <c r="F65" s="791"/>
      <c r="G65" s="805">
        <f>+G60-G63</f>
        <v>1082752</v>
      </c>
      <c r="H65" s="791"/>
      <c r="I65" s="63"/>
      <c r="J65" s="64"/>
      <c r="K65" s="39"/>
      <c r="L65" s="39"/>
      <c r="M65" s="39"/>
      <c r="N65" s="39"/>
      <c r="O65" s="65"/>
      <c r="Q65" s="59"/>
      <c r="R65" s="59"/>
    </row>
    <row r="66" spans="2:18" ht="12.75" customHeight="1" x14ac:dyDescent="0.2">
      <c r="B66" s="48"/>
      <c r="C66" s="48"/>
      <c r="I66" s="63"/>
      <c r="J66" s="64"/>
      <c r="K66" s="39"/>
      <c r="L66" s="39"/>
      <c r="M66" s="39"/>
      <c r="N66" s="39"/>
      <c r="O66" s="65"/>
      <c r="Q66" s="59"/>
      <c r="R66" s="59"/>
    </row>
    <row r="67" spans="2:18" x14ac:dyDescent="0.2">
      <c r="B67" s="66" t="s">
        <v>176</v>
      </c>
      <c r="C67" s="48"/>
      <c r="I67" s="63"/>
      <c r="J67" s="67"/>
      <c r="K67" s="68"/>
      <c r="L67" s="68"/>
      <c r="M67" s="68"/>
      <c r="N67" s="68"/>
      <c r="O67" s="69"/>
      <c r="Q67" s="59"/>
      <c r="R67" s="59"/>
    </row>
    <row r="68" spans="2:18" ht="26.25" customHeight="1" thickBot="1" x14ac:dyDescent="0.25">
      <c r="B68" s="66"/>
      <c r="C68" s="48"/>
      <c r="G68" s="70" t="s">
        <v>177</v>
      </c>
      <c r="H68" s="70" t="s">
        <v>178</v>
      </c>
      <c r="I68" s="63"/>
      <c r="J68" s="810" t="s">
        <v>179</v>
      </c>
      <c r="K68" s="811"/>
      <c r="L68" s="71"/>
      <c r="M68" s="71"/>
      <c r="N68" s="71"/>
      <c r="O68" s="72"/>
      <c r="Q68" s="59"/>
      <c r="R68" s="59"/>
    </row>
    <row r="69" spans="2:18" ht="12.75" customHeight="1" x14ac:dyDescent="0.2">
      <c r="B69" s="802" t="s">
        <v>180</v>
      </c>
      <c r="C69" s="821" t="s">
        <v>181</v>
      </c>
      <c r="D69" s="823" t="s">
        <v>182</v>
      </c>
      <c r="E69" s="824"/>
      <c r="F69" s="824"/>
      <c r="G69" s="73">
        <f>+O43</f>
        <v>144000</v>
      </c>
      <c r="H69" s="74">
        <f t="shared" ref="H69:H77" si="5">+G69</f>
        <v>144000</v>
      </c>
      <c r="I69" s="63"/>
      <c r="J69" s="75" t="s">
        <v>231</v>
      </c>
      <c r="K69" s="58"/>
      <c r="L69" s="58"/>
      <c r="M69" s="58"/>
      <c r="N69" s="58"/>
      <c r="O69" s="76"/>
      <c r="Q69" s="59"/>
      <c r="R69" s="59"/>
    </row>
    <row r="70" spans="2:18" ht="12.75" customHeight="1" x14ac:dyDescent="0.2">
      <c r="B70" s="803"/>
      <c r="C70" s="822"/>
      <c r="D70" s="782" t="s">
        <v>184</v>
      </c>
      <c r="E70" s="783"/>
      <c r="F70" s="783"/>
      <c r="G70" s="77">
        <v>0</v>
      </c>
      <c r="H70" s="78">
        <f t="shared" si="5"/>
        <v>0</v>
      </c>
      <c r="I70" s="63"/>
      <c r="J70" s="79" t="s">
        <v>412</v>
      </c>
      <c r="K70" s="68"/>
      <c r="L70" s="68"/>
      <c r="M70" s="68" t="s">
        <v>413</v>
      </c>
      <c r="N70" s="68"/>
      <c r="O70" s="69"/>
      <c r="Q70" s="59"/>
      <c r="R70" s="59"/>
    </row>
    <row r="71" spans="2:18" ht="12.75" customHeight="1" x14ac:dyDescent="0.2">
      <c r="B71" s="803"/>
      <c r="C71" s="822"/>
      <c r="D71" s="819" t="s">
        <v>185</v>
      </c>
      <c r="E71" s="820"/>
      <c r="F71" s="820"/>
      <c r="G71" s="80">
        <f>O40</f>
        <v>480</v>
      </c>
      <c r="H71" s="78">
        <f t="shared" si="5"/>
        <v>480</v>
      </c>
      <c r="I71" s="63"/>
      <c r="J71" s="67"/>
      <c r="K71" s="68"/>
      <c r="L71" s="68"/>
      <c r="M71" s="68"/>
      <c r="N71" s="68"/>
      <c r="O71" s="69"/>
    </row>
    <row r="72" spans="2:18" x14ac:dyDescent="0.2">
      <c r="B72" s="803"/>
      <c r="C72" s="822"/>
      <c r="D72" s="782" t="s">
        <v>186</v>
      </c>
      <c r="E72" s="783"/>
      <c r="F72" s="783"/>
      <c r="G72" s="81">
        <v>0</v>
      </c>
      <c r="H72" s="78">
        <f t="shared" si="5"/>
        <v>0</v>
      </c>
      <c r="I72" s="63"/>
      <c r="J72" s="82" t="s">
        <v>187</v>
      </c>
      <c r="K72" s="71"/>
      <c r="L72" s="71"/>
      <c r="M72" s="71"/>
      <c r="N72" s="71"/>
      <c r="O72" s="72"/>
    </row>
    <row r="73" spans="2:18" ht="12.75" customHeight="1" x14ac:dyDescent="0.2">
      <c r="B73" s="803"/>
      <c r="C73" s="822"/>
      <c r="D73" s="784" t="s">
        <v>188</v>
      </c>
      <c r="E73" s="783"/>
      <c r="F73" s="783"/>
      <c r="G73" s="80">
        <v>0</v>
      </c>
      <c r="H73" s="78">
        <f t="shared" si="5"/>
        <v>0</v>
      </c>
      <c r="I73" s="63"/>
      <c r="J73" s="75" t="s">
        <v>189</v>
      </c>
      <c r="K73" s="50"/>
      <c r="L73" s="50"/>
      <c r="M73" s="50"/>
      <c r="N73" s="50"/>
      <c r="O73" s="83">
        <v>0</v>
      </c>
    </row>
    <row r="74" spans="2:18" ht="14.25" customHeight="1" x14ac:dyDescent="0.2">
      <c r="B74" s="803"/>
      <c r="C74" s="822"/>
      <c r="D74" s="782" t="s">
        <v>190</v>
      </c>
      <c r="E74" s="783"/>
      <c r="F74" s="783"/>
      <c r="G74" s="84">
        <v>0</v>
      </c>
      <c r="H74" s="78">
        <f t="shared" si="5"/>
        <v>0</v>
      </c>
      <c r="I74" s="63"/>
      <c r="J74" s="64" t="s">
        <v>414</v>
      </c>
      <c r="K74" s="39"/>
      <c r="L74" s="39"/>
      <c r="M74" s="39"/>
      <c r="N74" s="39"/>
      <c r="O74" s="65"/>
    </row>
    <row r="75" spans="2:18" x14ac:dyDescent="0.2">
      <c r="B75" s="803"/>
      <c r="C75" s="822"/>
      <c r="D75" s="782" t="s">
        <v>191</v>
      </c>
      <c r="E75" s="783"/>
      <c r="F75" s="783"/>
      <c r="G75" s="81">
        <v>0</v>
      </c>
      <c r="H75" s="78">
        <f t="shared" si="5"/>
        <v>0</v>
      </c>
      <c r="I75" s="58"/>
      <c r="J75" s="85" t="s">
        <v>415</v>
      </c>
      <c r="K75" s="63"/>
      <c r="L75" s="63"/>
      <c r="M75" s="63"/>
      <c r="N75" s="63"/>
      <c r="O75" s="86"/>
    </row>
    <row r="76" spans="2:18" x14ac:dyDescent="0.2">
      <c r="B76" s="803"/>
      <c r="C76" s="88" t="s">
        <v>192</v>
      </c>
      <c r="D76" s="813" t="s">
        <v>193</v>
      </c>
      <c r="E76" s="814"/>
      <c r="F76" s="814"/>
      <c r="G76" s="80">
        <v>0</v>
      </c>
      <c r="H76" s="78">
        <f t="shared" si="5"/>
        <v>0</v>
      </c>
      <c r="I76" s="58"/>
      <c r="J76" s="60"/>
      <c r="K76" s="68"/>
      <c r="L76" s="68"/>
      <c r="M76" s="50"/>
      <c r="N76" s="50"/>
      <c r="O76" s="83"/>
    </row>
    <row r="77" spans="2:18" ht="13.5" customHeight="1" thickBot="1" x14ac:dyDescent="0.25">
      <c r="B77" s="803"/>
      <c r="C77" s="88" t="s">
        <v>194</v>
      </c>
      <c r="D77" s="815" t="s">
        <v>195</v>
      </c>
      <c r="E77" s="815"/>
      <c r="F77" s="815"/>
      <c r="G77" s="89">
        <v>0</v>
      </c>
      <c r="H77" s="90">
        <f t="shared" si="5"/>
        <v>0</v>
      </c>
      <c r="I77" s="63"/>
      <c r="J77" s="75"/>
      <c r="K77" s="68"/>
      <c r="L77" s="68"/>
      <c r="M77" s="91"/>
      <c r="N77" s="91"/>
      <c r="O77" s="92"/>
    </row>
    <row r="78" spans="2:18" ht="13.5" thickBot="1" x14ac:dyDescent="0.25">
      <c r="B78" s="803"/>
      <c r="C78" s="93"/>
      <c r="D78" s="94"/>
      <c r="E78" s="816" t="s">
        <v>117</v>
      </c>
      <c r="F78" s="817"/>
      <c r="G78" s="95">
        <f>SUM(G69:G77)</f>
        <v>144480</v>
      </c>
      <c r="H78" s="96">
        <f>IF(SUM(G69:G75)&lt;150000,SUM(G69:G75),150000)+IF(+G76&lt;20000,+G76,20000)</f>
        <v>144480</v>
      </c>
      <c r="I78" s="63"/>
      <c r="J78" s="97"/>
      <c r="K78" s="98"/>
      <c r="L78" s="98"/>
      <c r="M78" s="98"/>
      <c r="N78" s="98"/>
      <c r="O78" s="99"/>
    </row>
    <row r="79" spans="2:18" ht="12.75" customHeight="1" x14ac:dyDescent="0.2">
      <c r="B79" s="803"/>
      <c r="C79" s="100" t="s">
        <v>196</v>
      </c>
      <c r="D79" s="782" t="s">
        <v>187</v>
      </c>
      <c r="E79" s="783"/>
      <c r="F79" s="818"/>
      <c r="G79" s="73">
        <f>+O42+O74</f>
        <v>0</v>
      </c>
      <c r="H79" s="101">
        <f>+IF(+G79&lt;25000,+G79,25000)</f>
        <v>0</v>
      </c>
      <c r="I79" s="87"/>
    </row>
    <row r="80" spans="2:18" x14ac:dyDescent="0.2">
      <c r="B80" s="803"/>
      <c r="C80" s="100" t="s">
        <v>197</v>
      </c>
      <c r="D80" s="784" t="s">
        <v>198</v>
      </c>
      <c r="E80" s="785"/>
      <c r="F80" s="786"/>
      <c r="G80" s="102"/>
      <c r="H80" s="103">
        <f>+IF(+G80&lt;40000,+G80,40000)</f>
        <v>0</v>
      </c>
      <c r="I80" s="63"/>
    </row>
    <row r="81" spans="2:12" x14ac:dyDescent="0.2">
      <c r="B81" s="803"/>
      <c r="C81" s="100" t="s">
        <v>199</v>
      </c>
      <c r="D81" s="784" t="s">
        <v>200</v>
      </c>
      <c r="E81" s="785"/>
      <c r="F81" s="786"/>
      <c r="G81" s="81"/>
      <c r="H81" s="104">
        <v>0</v>
      </c>
      <c r="I81" s="63"/>
      <c r="J81" s="106"/>
    </row>
    <row r="82" spans="2:12" x14ac:dyDescent="0.2">
      <c r="B82" s="803"/>
      <c r="C82" s="100" t="s">
        <v>201</v>
      </c>
      <c r="D82" s="784" t="s">
        <v>202</v>
      </c>
      <c r="E82" s="785"/>
      <c r="F82" s="786"/>
      <c r="G82" s="81"/>
      <c r="H82" s="104">
        <v>0</v>
      </c>
      <c r="I82" s="63"/>
    </row>
    <row r="83" spans="2:12" ht="13.5" thickBot="1" x14ac:dyDescent="0.25">
      <c r="B83" s="804"/>
      <c r="C83" s="100" t="s">
        <v>203</v>
      </c>
      <c r="D83" s="784" t="s">
        <v>204</v>
      </c>
      <c r="E83" s="785"/>
      <c r="F83" s="786"/>
      <c r="G83" s="102"/>
      <c r="H83" s="103">
        <f>+IF(+G83&lt;100000,+G83,10000)</f>
        <v>0</v>
      </c>
      <c r="I83" s="63"/>
    </row>
    <row r="84" spans="2:12" ht="13.5" thickBot="1" x14ac:dyDescent="0.25">
      <c r="B84" s="787" t="s">
        <v>205</v>
      </c>
      <c r="C84" s="788"/>
      <c r="D84" s="788"/>
      <c r="E84" s="788"/>
      <c r="F84" s="788"/>
      <c r="G84" s="107">
        <f>SUM(G79:G83)</f>
        <v>0</v>
      </c>
      <c r="H84" s="108">
        <f>SUM(H78:H83)</f>
        <v>144480</v>
      </c>
    </row>
    <row r="85" spans="2:12" ht="13.5" thickBot="1" x14ac:dyDescent="0.25"/>
    <row r="86" spans="2:12" ht="13.5" thickBot="1" x14ac:dyDescent="0.25">
      <c r="B86" s="789" t="s">
        <v>206</v>
      </c>
      <c r="C86" s="790"/>
      <c r="D86" s="790"/>
      <c r="E86" s="790"/>
      <c r="F86" s="791"/>
      <c r="G86" s="792">
        <f>+G65-H84</f>
        <v>938272</v>
      </c>
      <c r="H86" s="791"/>
      <c r="J86" s="105">
        <f>C37+D37+E37+F37</f>
        <v>363732</v>
      </c>
      <c r="K86" s="16" t="s">
        <v>235</v>
      </c>
    </row>
    <row r="87" spans="2:12" x14ac:dyDescent="0.2">
      <c r="B87" s="110"/>
      <c r="F87" s="105"/>
      <c r="J87" s="105">
        <f>G37+H37+I37</f>
        <v>278496</v>
      </c>
      <c r="K87" s="16" t="s">
        <v>236</v>
      </c>
      <c r="L87" s="16">
        <f>+J87/3</f>
        <v>92832</v>
      </c>
    </row>
    <row r="88" spans="2:12" x14ac:dyDescent="0.2">
      <c r="C88" s="793" t="s">
        <v>207</v>
      </c>
      <c r="D88" s="794"/>
      <c r="E88" s="111" t="s">
        <v>208</v>
      </c>
      <c r="F88" s="111" t="s">
        <v>209</v>
      </c>
      <c r="G88" s="111" t="s">
        <v>210</v>
      </c>
      <c r="H88" s="111" t="s">
        <v>211</v>
      </c>
      <c r="J88" s="213">
        <f>J37+K37+L37</f>
        <v>294296</v>
      </c>
      <c r="K88" s="47" t="s">
        <v>237</v>
      </c>
    </row>
    <row r="89" spans="2:12" x14ac:dyDescent="0.2">
      <c r="C89" s="795" t="str">
        <f>IF(I6="M","0          - 250000","0          -  250000")</f>
        <v>0          - 250000</v>
      </c>
      <c r="D89" s="796"/>
      <c r="E89" s="112">
        <v>0</v>
      </c>
      <c r="F89" s="113">
        <f>IF(I6="M",(IF(G86&lt;250000,G86,250000)),(IF(G86&lt;250000,G86,250000)))</f>
        <v>250000</v>
      </c>
      <c r="G89" s="113">
        <f>G86-F89</f>
        <v>688272</v>
      </c>
      <c r="H89" s="113">
        <f>E89*F89</f>
        <v>0</v>
      </c>
      <c r="J89" s="207">
        <f>M37+N37</f>
        <v>188728</v>
      </c>
      <c r="K89" s="1" t="s">
        <v>238</v>
      </c>
    </row>
    <row r="90" spans="2:12" x14ac:dyDescent="0.2">
      <c r="C90" s="795" t="str">
        <f>IF(I6="M","250001 - 500000","250001-500000")</f>
        <v>250001 - 500000</v>
      </c>
      <c r="D90" s="796"/>
      <c r="E90" s="112">
        <v>0.05</v>
      </c>
      <c r="F90" s="113">
        <f>IF(I6="M",(IF(G89&lt;250000,G89,250000)),(IF(G89&lt;250000,G89,250000)))</f>
        <v>250000</v>
      </c>
      <c r="G90" s="113">
        <f>G89-F90</f>
        <v>438272</v>
      </c>
      <c r="H90" s="114">
        <f>ROUND(E90*F90,0.1)</f>
        <v>12500</v>
      </c>
      <c r="J90" s="115">
        <f>SUM(J86:J89)</f>
        <v>1125252</v>
      </c>
    </row>
    <row r="91" spans="2:12" x14ac:dyDescent="0.2">
      <c r="C91" s="797" t="s">
        <v>212</v>
      </c>
      <c r="D91" s="798"/>
      <c r="E91" s="112">
        <v>0.2</v>
      </c>
      <c r="F91" s="113">
        <f>IF(G90&lt;500000,G90,500000)</f>
        <v>438272</v>
      </c>
      <c r="G91" s="113">
        <f>G90-F91</f>
        <v>0</v>
      </c>
      <c r="H91" s="114">
        <f>ROUND(E91*F91,0.1)</f>
        <v>87654</v>
      </c>
      <c r="J91" s="16">
        <f>+G86</f>
        <v>938272</v>
      </c>
    </row>
    <row r="92" spans="2:12" x14ac:dyDescent="0.2">
      <c r="C92" s="795" t="s">
        <v>213</v>
      </c>
      <c r="D92" s="796"/>
      <c r="E92" s="112">
        <v>0.3</v>
      </c>
      <c r="F92" s="113">
        <f>G91</f>
        <v>0</v>
      </c>
      <c r="G92" s="113">
        <f>G91-F92</f>
        <v>0</v>
      </c>
      <c r="H92" s="114">
        <f>ROUND(E92*F92,0.1)</f>
        <v>0</v>
      </c>
      <c r="J92" s="16">
        <f>+J90-J91</f>
        <v>186980</v>
      </c>
    </row>
    <row r="93" spans="2:12" ht="12.75" customHeight="1" thickBot="1" x14ac:dyDescent="0.25">
      <c r="B93" s="116"/>
      <c r="C93" s="117"/>
      <c r="D93" s="47"/>
      <c r="E93" s="47"/>
      <c r="F93" s="47"/>
      <c r="J93" s="16">
        <f>ROUND(+G86/12,0.1)</f>
        <v>78189</v>
      </c>
      <c r="K93" s="223" t="s">
        <v>416</v>
      </c>
    </row>
    <row r="94" spans="2:12" ht="13.5" thickBot="1" x14ac:dyDescent="0.25">
      <c r="B94" s="799" t="s">
        <v>239</v>
      </c>
      <c r="C94" s="800"/>
      <c r="D94" s="800"/>
      <c r="E94" s="800"/>
      <c r="F94" s="801"/>
      <c r="G94" s="771">
        <f>H89+H90+H91+H92</f>
        <v>100154</v>
      </c>
      <c r="H94" s="772"/>
    </row>
    <row r="95" spans="2:12" ht="13.5" thickBot="1" x14ac:dyDescent="0.25">
      <c r="B95" s="119" t="s">
        <v>215</v>
      </c>
      <c r="C95" s="120"/>
      <c r="D95" s="120"/>
      <c r="E95" s="120"/>
      <c r="F95" s="120"/>
      <c r="G95" s="884">
        <f>IF((G65&lt;500000),5000,0)</f>
        <v>0</v>
      </c>
      <c r="H95" s="885">
        <f>IF(H93&lt;200000,0,IF(H93&lt;220000,((H93-200000)*10%),IF(H93&lt;=500000,2000,IF(H93&gt;=500000,0))))</f>
        <v>0</v>
      </c>
      <c r="J95" s="1"/>
      <c r="K95" s="121"/>
      <c r="L95" s="121"/>
    </row>
    <row r="96" spans="2:12" ht="13.5" thickBot="1" x14ac:dyDescent="0.25">
      <c r="B96" s="122" t="s">
        <v>216</v>
      </c>
      <c r="C96" s="123"/>
      <c r="D96" s="123"/>
      <c r="E96" s="123"/>
      <c r="F96" s="123"/>
      <c r="G96" s="771">
        <f>IF((G94-G95)&lt;0,0,(G94-G95))</f>
        <v>100154</v>
      </c>
      <c r="H96" s="772"/>
      <c r="I96" s="37"/>
    </row>
    <row r="97" spans="2:9" ht="13.5" thickBot="1" x14ac:dyDescent="0.25">
      <c r="B97" s="773" t="s">
        <v>240</v>
      </c>
      <c r="C97" s="774"/>
      <c r="D97" s="774"/>
      <c r="E97" s="774"/>
      <c r="F97" s="775"/>
      <c r="G97" s="776">
        <f>ROUND((IF(G96&gt;0,(G96*4%),0)),0)</f>
        <v>4006</v>
      </c>
      <c r="H97" s="777"/>
      <c r="I97" s="37"/>
    </row>
    <row r="98" spans="2:9" ht="13.5" thickBot="1" x14ac:dyDescent="0.25">
      <c r="B98" s="778" t="s">
        <v>218</v>
      </c>
      <c r="C98" s="779"/>
      <c r="D98" s="779"/>
      <c r="E98" s="779"/>
      <c r="F98" s="779"/>
      <c r="G98" s="780">
        <f>G96+G97</f>
        <v>104160</v>
      </c>
      <c r="H98" s="781"/>
      <c r="I98" s="121"/>
    </row>
    <row r="99" spans="2:9" ht="13.5" thickBot="1" x14ac:dyDescent="0.25">
      <c r="B99" s="765" t="s">
        <v>219</v>
      </c>
      <c r="C99" s="766"/>
      <c r="D99" s="766"/>
      <c r="E99" s="766"/>
      <c r="F99" s="766"/>
      <c r="G99" s="767">
        <f>O38</f>
        <v>103885</v>
      </c>
      <c r="H99" s="768"/>
      <c r="I99" s="121"/>
    </row>
    <row r="100" spans="2:9" ht="13.5" thickBot="1" x14ac:dyDescent="0.25">
      <c r="B100" s="765" t="str">
        <f>IF(G100&gt;0,"TAX PAYABLE","TAX REFUND")</f>
        <v>TAX PAYABLE</v>
      </c>
      <c r="C100" s="766"/>
      <c r="D100" s="766"/>
      <c r="E100" s="766"/>
      <c r="F100" s="766"/>
      <c r="G100" s="767">
        <f>+G98-G99</f>
        <v>275</v>
      </c>
      <c r="H100" s="768"/>
      <c r="I100" s="37"/>
    </row>
    <row r="101" spans="2:9" x14ac:dyDescent="0.2">
      <c r="C101" s="124"/>
      <c r="D101" s="45"/>
      <c r="E101" s="118"/>
      <c r="F101" s="118"/>
      <c r="G101" s="118"/>
      <c r="H101" s="118"/>
      <c r="I101" s="125"/>
    </row>
    <row r="102" spans="2:9" x14ac:dyDescent="0.2">
      <c r="C102" s="47"/>
      <c r="D102" s="50"/>
      <c r="E102" s="117"/>
      <c r="F102" s="47"/>
      <c r="G102" s="47"/>
      <c r="H102" s="47"/>
      <c r="I102" s="125"/>
    </row>
    <row r="103" spans="2:9" x14ac:dyDescent="0.2">
      <c r="C103" s="39"/>
      <c r="D103" s="126"/>
      <c r="E103" s="126"/>
      <c r="F103" s="126"/>
      <c r="G103" s="39"/>
      <c r="H103" s="39"/>
      <c r="I103" s="37"/>
    </row>
    <row r="104" spans="2:9" x14ac:dyDescent="0.2">
      <c r="C104" s="39"/>
      <c r="D104" s="126"/>
      <c r="E104" s="126"/>
      <c r="F104" s="39"/>
      <c r="G104" s="39"/>
      <c r="H104" s="39"/>
      <c r="I104" s="37"/>
    </row>
    <row r="105" spans="2:9" x14ac:dyDescent="0.2">
      <c r="C105" s="39"/>
      <c r="D105" s="126"/>
      <c r="E105" s="126"/>
      <c r="F105" s="39"/>
      <c r="G105" s="39"/>
      <c r="H105" s="39"/>
      <c r="I105" s="37"/>
    </row>
    <row r="106" spans="2:9" x14ac:dyDescent="0.2">
      <c r="C106" s="39"/>
      <c r="D106" s="39"/>
      <c r="E106" s="39"/>
      <c r="F106" s="39"/>
      <c r="G106" s="39"/>
      <c r="H106" s="39"/>
      <c r="I106" s="37"/>
    </row>
    <row r="107" spans="2:9" x14ac:dyDescent="0.2">
      <c r="C107" s="39"/>
      <c r="D107" s="39"/>
      <c r="E107" s="39"/>
      <c r="F107" s="39"/>
      <c r="G107" s="39"/>
      <c r="H107" s="39"/>
    </row>
    <row r="108" spans="2:9" x14ac:dyDescent="0.2">
      <c r="C108" s="39"/>
      <c r="D108" s="39"/>
      <c r="E108" s="39"/>
      <c r="F108" s="39"/>
      <c r="G108" s="39"/>
      <c r="H108"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60:F60"/>
    <mergeCell ref="G60:H60"/>
    <mergeCell ref="J60:O60"/>
    <mergeCell ref="B55:B58"/>
    <mergeCell ref="C55:C58"/>
    <mergeCell ref="D55:F55"/>
    <mergeCell ref="G55:H55"/>
    <mergeCell ref="D56:F56"/>
    <mergeCell ref="G56:H56"/>
    <mergeCell ref="J56:L56"/>
    <mergeCell ref="M56:O56"/>
    <mergeCell ref="D58:F58"/>
    <mergeCell ref="G58:H58"/>
    <mergeCell ref="J63:O63"/>
    <mergeCell ref="D81:F81"/>
    <mergeCell ref="J68:K68"/>
    <mergeCell ref="B65:F65"/>
    <mergeCell ref="G65:H65"/>
    <mergeCell ref="D76:F76"/>
    <mergeCell ref="D77:F77"/>
    <mergeCell ref="E78:F78"/>
    <mergeCell ref="D79:F79"/>
    <mergeCell ref="D80:F80"/>
    <mergeCell ref="D71:F71"/>
    <mergeCell ref="D72:F72"/>
    <mergeCell ref="C69:C75"/>
    <mergeCell ref="D69:F69"/>
    <mergeCell ref="D70:F70"/>
    <mergeCell ref="D74:F74"/>
    <mergeCell ref="G62:H62"/>
    <mergeCell ref="C63:F63"/>
    <mergeCell ref="G63:H63"/>
    <mergeCell ref="B62:F62"/>
    <mergeCell ref="D73:F73"/>
    <mergeCell ref="D75:F75"/>
    <mergeCell ref="G94:H94"/>
    <mergeCell ref="D82:F82"/>
    <mergeCell ref="D83:F83"/>
    <mergeCell ref="B84:F84"/>
    <mergeCell ref="B86:F86"/>
    <mergeCell ref="G86:H86"/>
    <mergeCell ref="C88:D88"/>
    <mergeCell ref="C89:D89"/>
    <mergeCell ref="C90:D90"/>
    <mergeCell ref="C91:D91"/>
    <mergeCell ref="C92:D92"/>
    <mergeCell ref="B94:F94"/>
    <mergeCell ref="B69:B83"/>
    <mergeCell ref="B100:F100"/>
    <mergeCell ref="G100:H100"/>
    <mergeCell ref="G95:H95"/>
    <mergeCell ref="G96:H96"/>
    <mergeCell ref="B97:F97"/>
    <mergeCell ref="G97:H97"/>
    <mergeCell ref="B98:F98"/>
    <mergeCell ref="G98:H98"/>
    <mergeCell ref="B99:F99"/>
    <mergeCell ref="G99:H99"/>
  </mergeCells>
  <conditionalFormatting sqref="B100:F100 B94:F98">
    <cfRule type="cellIs" dxfId="2077" priority="3" stopIfTrue="1" operator="equal">
      <formula>"TAX PAYABLE"</formula>
    </cfRule>
    <cfRule type="cellIs" dxfId="2076" priority="4" stopIfTrue="1" operator="equal">
      <formula>"TAX REFUND"</formula>
    </cfRule>
  </conditionalFormatting>
  <conditionalFormatting sqref="G100:H100">
    <cfRule type="cellIs" dxfId="2075" priority="1" stopIfTrue="1" operator="greaterThan">
      <formula>0</formula>
    </cfRule>
    <cfRule type="cellIs" dxfId="2074"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scale="90" orientation="landscape" horizontalDpi="300" verticalDpi="300"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3"/>
  <sheetViews>
    <sheetView workbookViewId="0">
      <selection activeCell="O37" sqref="O37"/>
    </sheetView>
  </sheetViews>
  <sheetFormatPr defaultRowHeight="12.75" x14ac:dyDescent="0.2"/>
  <cols>
    <col min="1" max="1" width="5" style="16" customWidth="1"/>
    <col min="2" max="2" width="18.42578125" style="37" customWidth="1"/>
    <col min="3" max="3" width="8.5703125" style="16" customWidth="1"/>
    <col min="4" max="4" width="6.7109375" style="16" bestFit="1" customWidth="1"/>
    <col min="5" max="5" width="8.5703125" style="16" bestFit="1" customWidth="1"/>
    <col min="6" max="6" width="8.5703125" style="16" customWidth="1"/>
    <col min="7" max="7" width="9" style="16" customWidth="1"/>
    <col min="8" max="8" width="7.140625" style="16" customWidth="1"/>
    <col min="9" max="9" width="7.140625" style="16" bestFit="1" customWidth="1"/>
    <col min="10" max="10" width="7.5703125" style="16" customWidth="1"/>
    <col min="11" max="12" width="7" style="16" bestFit="1" customWidth="1"/>
    <col min="13" max="13" width="6.85546875" style="16" bestFit="1" customWidth="1"/>
    <col min="14" max="14" width="7" style="16" bestFit="1" customWidth="1"/>
    <col min="15" max="15" width="7.140625" style="16" bestFit="1"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8.42578125" style="16" customWidth="1"/>
    <col min="259" max="259" width="8.5703125" style="16" customWidth="1"/>
    <col min="260" max="260" width="6.7109375" style="16" bestFit="1" customWidth="1"/>
    <col min="261" max="261" width="8.5703125" style="16" bestFit="1" customWidth="1"/>
    <col min="262" max="262" width="8.5703125" style="16" customWidth="1"/>
    <col min="263" max="263" width="9" style="16" customWidth="1"/>
    <col min="264" max="264" width="7.140625" style="16" customWidth="1"/>
    <col min="265" max="265" width="7.140625" style="16" bestFit="1" customWidth="1"/>
    <col min="266" max="266" width="7.5703125" style="16" customWidth="1"/>
    <col min="267" max="268" width="7" style="16" bestFit="1" customWidth="1"/>
    <col min="269" max="269" width="6.85546875" style="16" bestFit="1" customWidth="1"/>
    <col min="270" max="270" width="7" style="16" bestFit="1" customWidth="1"/>
    <col min="271" max="271" width="7.140625" style="16" bestFit="1"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8.42578125" style="16" customWidth="1"/>
    <col min="515" max="515" width="8.5703125" style="16" customWidth="1"/>
    <col min="516" max="516" width="6.7109375" style="16" bestFit="1" customWidth="1"/>
    <col min="517" max="517" width="8.5703125" style="16" bestFit="1" customWidth="1"/>
    <col min="518" max="518" width="8.5703125" style="16" customWidth="1"/>
    <col min="519" max="519" width="9" style="16" customWidth="1"/>
    <col min="520" max="520" width="7.140625" style="16" customWidth="1"/>
    <col min="521" max="521" width="7.140625" style="16" bestFit="1" customWidth="1"/>
    <col min="522" max="522" width="7.5703125" style="16" customWidth="1"/>
    <col min="523" max="524" width="7" style="16" bestFit="1" customWidth="1"/>
    <col min="525" max="525" width="6.85546875" style="16" bestFit="1" customWidth="1"/>
    <col min="526" max="526" width="7" style="16" bestFit="1" customWidth="1"/>
    <col min="527" max="527" width="7.140625" style="16" bestFit="1"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8.42578125" style="16" customWidth="1"/>
    <col min="771" max="771" width="8.5703125" style="16" customWidth="1"/>
    <col min="772" max="772" width="6.7109375" style="16" bestFit="1" customWidth="1"/>
    <col min="773" max="773" width="8.5703125" style="16" bestFit="1" customWidth="1"/>
    <col min="774" max="774" width="8.5703125" style="16" customWidth="1"/>
    <col min="775" max="775" width="9" style="16" customWidth="1"/>
    <col min="776" max="776" width="7.140625" style="16" customWidth="1"/>
    <col min="777" max="777" width="7.140625" style="16" bestFit="1" customWidth="1"/>
    <col min="778" max="778" width="7.5703125" style="16" customWidth="1"/>
    <col min="779" max="780" width="7" style="16" bestFit="1" customWidth="1"/>
    <col min="781" max="781" width="6.85546875" style="16" bestFit="1" customWidth="1"/>
    <col min="782" max="782" width="7" style="16" bestFit="1" customWidth="1"/>
    <col min="783" max="783" width="7.140625" style="16" bestFit="1"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8.42578125" style="16" customWidth="1"/>
    <col min="1027" max="1027" width="8.5703125" style="16" customWidth="1"/>
    <col min="1028" max="1028" width="6.7109375" style="16" bestFit="1" customWidth="1"/>
    <col min="1029" max="1029" width="8.5703125" style="16" bestFit="1" customWidth="1"/>
    <col min="1030" max="1030" width="8.5703125" style="16" customWidth="1"/>
    <col min="1031" max="1031" width="9" style="16" customWidth="1"/>
    <col min="1032" max="1032" width="7.140625" style="16" customWidth="1"/>
    <col min="1033" max="1033" width="7.140625" style="16" bestFit="1" customWidth="1"/>
    <col min="1034" max="1034" width="7.5703125" style="16" customWidth="1"/>
    <col min="1035" max="1036" width="7" style="16" bestFit="1" customWidth="1"/>
    <col min="1037" max="1037" width="6.85546875" style="16" bestFit="1" customWidth="1"/>
    <col min="1038" max="1038" width="7" style="16" bestFit="1" customWidth="1"/>
    <col min="1039" max="1039" width="7.140625" style="16" bestFit="1"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8.42578125" style="16" customWidth="1"/>
    <col min="1283" max="1283" width="8.5703125" style="16" customWidth="1"/>
    <col min="1284" max="1284" width="6.7109375" style="16" bestFit="1" customWidth="1"/>
    <col min="1285" max="1285" width="8.5703125" style="16" bestFit="1" customWidth="1"/>
    <col min="1286" max="1286" width="8.5703125" style="16" customWidth="1"/>
    <col min="1287" max="1287" width="9" style="16" customWidth="1"/>
    <col min="1288" max="1288" width="7.140625" style="16" customWidth="1"/>
    <col min="1289" max="1289" width="7.140625" style="16" bestFit="1" customWidth="1"/>
    <col min="1290" max="1290" width="7.5703125" style="16" customWidth="1"/>
    <col min="1291" max="1292" width="7" style="16" bestFit="1" customWidth="1"/>
    <col min="1293" max="1293" width="6.85546875" style="16" bestFit="1" customWidth="1"/>
    <col min="1294" max="1294" width="7" style="16" bestFit="1" customWidth="1"/>
    <col min="1295" max="1295" width="7.140625" style="16" bestFit="1"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8.42578125" style="16" customWidth="1"/>
    <col min="1539" max="1539" width="8.5703125" style="16" customWidth="1"/>
    <col min="1540" max="1540" width="6.7109375" style="16" bestFit="1" customWidth="1"/>
    <col min="1541" max="1541" width="8.5703125" style="16" bestFit="1" customWidth="1"/>
    <col min="1542" max="1542" width="8.5703125" style="16" customWidth="1"/>
    <col min="1543" max="1543" width="9" style="16" customWidth="1"/>
    <col min="1544" max="1544" width="7.140625" style="16" customWidth="1"/>
    <col min="1545" max="1545" width="7.140625" style="16" bestFit="1" customWidth="1"/>
    <col min="1546" max="1546" width="7.5703125" style="16" customWidth="1"/>
    <col min="1547" max="1548" width="7" style="16" bestFit="1" customWidth="1"/>
    <col min="1549" max="1549" width="6.85546875" style="16" bestFit="1" customWidth="1"/>
    <col min="1550" max="1550" width="7" style="16" bestFit="1" customWidth="1"/>
    <col min="1551" max="1551" width="7.140625" style="16" bestFit="1"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8.42578125" style="16" customWidth="1"/>
    <col min="1795" max="1795" width="8.5703125" style="16" customWidth="1"/>
    <col min="1796" max="1796" width="6.7109375" style="16" bestFit="1" customWidth="1"/>
    <col min="1797" max="1797" width="8.5703125" style="16" bestFit="1" customWidth="1"/>
    <col min="1798" max="1798" width="8.5703125" style="16" customWidth="1"/>
    <col min="1799" max="1799" width="9" style="16" customWidth="1"/>
    <col min="1800" max="1800" width="7.140625" style="16" customWidth="1"/>
    <col min="1801" max="1801" width="7.140625" style="16" bestFit="1" customWidth="1"/>
    <col min="1802" max="1802" width="7.5703125" style="16" customWidth="1"/>
    <col min="1803" max="1804" width="7" style="16" bestFit="1" customWidth="1"/>
    <col min="1805" max="1805" width="6.85546875" style="16" bestFit="1" customWidth="1"/>
    <col min="1806" max="1806" width="7" style="16" bestFit="1" customWidth="1"/>
    <col min="1807" max="1807" width="7.140625" style="16" bestFit="1"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8.42578125" style="16" customWidth="1"/>
    <col min="2051" max="2051" width="8.5703125" style="16" customWidth="1"/>
    <col min="2052" max="2052" width="6.7109375" style="16" bestFit="1" customWidth="1"/>
    <col min="2053" max="2053" width="8.5703125" style="16" bestFit="1" customWidth="1"/>
    <col min="2054" max="2054" width="8.5703125" style="16" customWidth="1"/>
    <col min="2055" max="2055" width="9" style="16" customWidth="1"/>
    <col min="2056" max="2056" width="7.140625" style="16" customWidth="1"/>
    <col min="2057" max="2057" width="7.140625" style="16" bestFit="1" customWidth="1"/>
    <col min="2058" max="2058" width="7.5703125" style="16" customWidth="1"/>
    <col min="2059" max="2060" width="7" style="16" bestFit="1" customWidth="1"/>
    <col min="2061" max="2061" width="6.85546875" style="16" bestFit="1" customWidth="1"/>
    <col min="2062" max="2062" width="7" style="16" bestFit="1" customWidth="1"/>
    <col min="2063" max="2063" width="7.140625" style="16" bestFit="1"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8.42578125" style="16" customWidth="1"/>
    <col min="2307" max="2307" width="8.5703125" style="16" customWidth="1"/>
    <col min="2308" max="2308" width="6.7109375" style="16" bestFit="1" customWidth="1"/>
    <col min="2309" max="2309" width="8.5703125" style="16" bestFit="1" customWidth="1"/>
    <col min="2310" max="2310" width="8.5703125" style="16" customWidth="1"/>
    <col min="2311" max="2311" width="9" style="16" customWidth="1"/>
    <col min="2312" max="2312" width="7.140625" style="16" customWidth="1"/>
    <col min="2313" max="2313" width="7.140625" style="16" bestFit="1" customWidth="1"/>
    <col min="2314" max="2314" width="7.5703125" style="16" customWidth="1"/>
    <col min="2315" max="2316" width="7" style="16" bestFit="1" customWidth="1"/>
    <col min="2317" max="2317" width="6.85546875" style="16" bestFit="1" customWidth="1"/>
    <col min="2318" max="2318" width="7" style="16" bestFit="1" customWidth="1"/>
    <col min="2319" max="2319" width="7.140625" style="16" bestFit="1"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8.42578125" style="16" customWidth="1"/>
    <col min="2563" max="2563" width="8.5703125" style="16" customWidth="1"/>
    <col min="2564" max="2564" width="6.7109375" style="16" bestFit="1" customWidth="1"/>
    <col min="2565" max="2565" width="8.5703125" style="16" bestFit="1" customWidth="1"/>
    <col min="2566" max="2566" width="8.5703125" style="16" customWidth="1"/>
    <col min="2567" max="2567" width="9" style="16" customWidth="1"/>
    <col min="2568" max="2568" width="7.140625" style="16" customWidth="1"/>
    <col min="2569" max="2569" width="7.140625" style="16" bestFit="1" customWidth="1"/>
    <col min="2570" max="2570" width="7.5703125" style="16" customWidth="1"/>
    <col min="2571" max="2572" width="7" style="16" bestFit="1" customWidth="1"/>
    <col min="2573" max="2573" width="6.85546875" style="16" bestFit="1" customWidth="1"/>
    <col min="2574" max="2574" width="7" style="16" bestFit="1" customWidth="1"/>
    <col min="2575" max="2575" width="7.140625" style="16" bestFit="1"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8.42578125" style="16" customWidth="1"/>
    <col min="2819" max="2819" width="8.5703125" style="16" customWidth="1"/>
    <col min="2820" max="2820" width="6.7109375" style="16" bestFit="1" customWidth="1"/>
    <col min="2821" max="2821" width="8.5703125" style="16" bestFit="1" customWidth="1"/>
    <col min="2822" max="2822" width="8.5703125" style="16" customWidth="1"/>
    <col min="2823" max="2823" width="9" style="16" customWidth="1"/>
    <col min="2824" max="2824" width="7.140625" style="16" customWidth="1"/>
    <col min="2825" max="2825" width="7.140625" style="16" bestFit="1" customWidth="1"/>
    <col min="2826" max="2826" width="7.5703125" style="16" customWidth="1"/>
    <col min="2827" max="2828" width="7" style="16" bestFit="1" customWidth="1"/>
    <col min="2829" max="2829" width="6.85546875" style="16" bestFit="1" customWidth="1"/>
    <col min="2830" max="2830" width="7" style="16" bestFit="1" customWidth="1"/>
    <col min="2831" max="2831" width="7.140625" style="16" bestFit="1"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8.42578125" style="16" customWidth="1"/>
    <col min="3075" max="3075" width="8.5703125" style="16" customWidth="1"/>
    <col min="3076" max="3076" width="6.7109375" style="16" bestFit="1" customWidth="1"/>
    <col min="3077" max="3077" width="8.5703125" style="16" bestFit="1" customWidth="1"/>
    <col min="3078" max="3078" width="8.5703125" style="16" customWidth="1"/>
    <col min="3079" max="3079" width="9" style="16" customWidth="1"/>
    <col min="3080" max="3080" width="7.140625" style="16" customWidth="1"/>
    <col min="3081" max="3081" width="7.140625" style="16" bestFit="1" customWidth="1"/>
    <col min="3082" max="3082" width="7.5703125" style="16" customWidth="1"/>
    <col min="3083" max="3084" width="7" style="16" bestFit="1" customWidth="1"/>
    <col min="3085" max="3085" width="6.85546875" style="16" bestFit="1" customWidth="1"/>
    <col min="3086" max="3086" width="7" style="16" bestFit="1" customWidth="1"/>
    <col min="3087" max="3087" width="7.140625" style="16" bestFit="1"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8.42578125" style="16" customWidth="1"/>
    <col min="3331" max="3331" width="8.5703125" style="16" customWidth="1"/>
    <col min="3332" max="3332" width="6.7109375" style="16" bestFit="1" customWidth="1"/>
    <col min="3333" max="3333" width="8.5703125" style="16" bestFit="1" customWidth="1"/>
    <col min="3334" max="3334" width="8.5703125" style="16" customWidth="1"/>
    <col min="3335" max="3335" width="9" style="16" customWidth="1"/>
    <col min="3336" max="3336" width="7.140625" style="16" customWidth="1"/>
    <col min="3337" max="3337" width="7.140625" style="16" bestFit="1" customWidth="1"/>
    <col min="3338" max="3338" width="7.5703125" style="16" customWidth="1"/>
    <col min="3339" max="3340" width="7" style="16" bestFit="1" customWidth="1"/>
    <col min="3341" max="3341" width="6.85546875" style="16" bestFit="1" customWidth="1"/>
    <col min="3342" max="3342" width="7" style="16" bestFit="1" customWidth="1"/>
    <col min="3343" max="3343" width="7.140625" style="16" bestFit="1"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8.42578125" style="16" customWidth="1"/>
    <col min="3587" max="3587" width="8.5703125" style="16" customWidth="1"/>
    <col min="3588" max="3588" width="6.7109375" style="16" bestFit="1" customWidth="1"/>
    <col min="3589" max="3589" width="8.5703125" style="16" bestFit="1" customWidth="1"/>
    <col min="3590" max="3590" width="8.5703125" style="16" customWidth="1"/>
    <col min="3591" max="3591" width="9" style="16" customWidth="1"/>
    <col min="3592" max="3592" width="7.140625" style="16" customWidth="1"/>
    <col min="3593" max="3593" width="7.140625" style="16" bestFit="1" customWidth="1"/>
    <col min="3594" max="3594" width="7.5703125" style="16" customWidth="1"/>
    <col min="3595" max="3596" width="7" style="16" bestFit="1" customWidth="1"/>
    <col min="3597" max="3597" width="6.85546875" style="16" bestFit="1" customWidth="1"/>
    <col min="3598" max="3598" width="7" style="16" bestFit="1" customWidth="1"/>
    <col min="3599" max="3599" width="7.140625" style="16" bestFit="1"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8.42578125" style="16" customWidth="1"/>
    <col min="3843" max="3843" width="8.5703125" style="16" customWidth="1"/>
    <col min="3844" max="3844" width="6.7109375" style="16" bestFit="1" customWidth="1"/>
    <col min="3845" max="3845" width="8.5703125" style="16" bestFit="1" customWidth="1"/>
    <col min="3846" max="3846" width="8.5703125" style="16" customWidth="1"/>
    <col min="3847" max="3847" width="9" style="16" customWidth="1"/>
    <col min="3848" max="3848" width="7.140625" style="16" customWidth="1"/>
    <col min="3849" max="3849" width="7.140625" style="16" bestFit="1" customWidth="1"/>
    <col min="3850" max="3850" width="7.5703125" style="16" customWidth="1"/>
    <col min="3851" max="3852" width="7" style="16" bestFit="1" customWidth="1"/>
    <col min="3853" max="3853" width="6.85546875" style="16" bestFit="1" customWidth="1"/>
    <col min="3854" max="3854" width="7" style="16" bestFit="1" customWidth="1"/>
    <col min="3855" max="3855" width="7.140625" style="16" bestFit="1"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8.42578125" style="16" customWidth="1"/>
    <col min="4099" max="4099" width="8.5703125" style="16" customWidth="1"/>
    <col min="4100" max="4100" width="6.7109375" style="16" bestFit="1" customWidth="1"/>
    <col min="4101" max="4101" width="8.5703125" style="16" bestFit="1" customWidth="1"/>
    <col min="4102" max="4102" width="8.5703125" style="16" customWidth="1"/>
    <col min="4103" max="4103" width="9" style="16" customWidth="1"/>
    <col min="4104" max="4104" width="7.140625" style="16" customWidth="1"/>
    <col min="4105" max="4105" width="7.140625" style="16" bestFit="1" customWidth="1"/>
    <col min="4106" max="4106" width="7.5703125" style="16" customWidth="1"/>
    <col min="4107" max="4108" width="7" style="16" bestFit="1" customWidth="1"/>
    <col min="4109" max="4109" width="6.85546875" style="16" bestFit="1" customWidth="1"/>
    <col min="4110" max="4110" width="7" style="16" bestFit="1" customWidth="1"/>
    <col min="4111" max="4111" width="7.140625" style="16" bestFit="1"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8.42578125" style="16" customWidth="1"/>
    <col min="4355" max="4355" width="8.5703125" style="16" customWidth="1"/>
    <col min="4356" max="4356" width="6.7109375" style="16" bestFit="1" customWidth="1"/>
    <col min="4357" max="4357" width="8.5703125" style="16" bestFit="1" customWidth="1"/>
    <col min="4358" max="4358" width="8.5703125" style="16" customWidth="1"/>
    <col min="4359" max="4359" width="9" style="16" customWidth="1"/>
    <col min="4360" max="4360" width="7.140625" style="16" customWidth="1"/>
    <col min="4361" max="4361" width="7.140625" style="16" bestFit="1" customWidth="1"/>
    <col min="4362" max="4362" width="7.5703125" style="16" customWidth="1"/>
    <col min="4363" max="4364" width="7" style="16" bestFit="1" customWidth="1"/>
    <col min="4365" max="4365" width="6.85546875" style="16" bestFit="1" customWidth="1"/>
    <col min="4366" max="4366" width="7" style="16" bestFit="1" customWidth="1"/>
    <col min="4367" max="4367" width="7.140625" style="16" bestFit="1"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8.42578125" style="16" customWidth="1"/>
    <col min="4611" max="4611" width="8.5703125" style="16" customWidth="1"/>
    <col min="4612" max="4612" width="6.7109375" style="16" bestFit="1" customWidth="1"/>
    <col min="4613" max="4613" width="8.5703125" style="16" bestFit="1" customWidth="1"/>
    <col min="4614" max="4614" width="8.5703125" style="16" customWidth="1"/>
    <col min="4615" max="4615" width="9" style="16" customWidth="1"/>
    <col min="4616" max="4616" width="7.140625" style="16" customWidth="1"/>
    <col min="4617" max="4617" width="7.140625" style="16" bestFit="1" customWidth="1"/>
    <col min="4618" max="4618" width="7.5703125" style="16" customWidth="1"/>
    <col min="4619" max="4620" width="7" style="16" bestFit="1" customWidth="1"/>
    <col min="4621" max="4621" width="6.85546875" style="16" bestFit="1" customWidth="1"/>
    <col min="4622" max="4622" width="7" style="16" bestFit="1" customWidth="1"/>
    <col min="4623" max="4623" width="7.140625" style="16" bestFit="1"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8.42578125" style="16" customWidth="1"/>
    <col min="4867" max="4867" width="8.5703125" style="16" customWidth="1"/>
    <col min="4868" max="4868" width="6.7109375" style="16" bestFit="1" customWidth="1"/>
    <col min="4869" max="4869" width="8.5703125" style="16" bestFit="1" customWidth="1"/>
    <col min="4870" max="4870" width="8.5703125" style="16" customWidth="1"/>
    <col min="4871" max="4871" width="9" style="16" customWidth="1"/>
    <col min="4872" max="4872" width="7.140625" style="16" customWidth="1"/>
    <col min="4873" max="4873" width="7.140625" style="16" bestFit="1" customWidth="1"/>
    <col min="4874" max="4874" width="7.5703125" style="16" customWidth="1"/>
    <col min="4875" max="4876" width="7" style="16" bestFit="1" customWidth="1"/>
    <col min="4877" max="4877" width="6.85546875" style="16" bestFit="1" customWidth="1"/>
    <col min="4878" max="4878" width="7" style="16" bestFit="1" customWidth="1"/>
    <col min="4879" max="4879" width="7.140625" style="16" bestFit="1"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8.42578125" style="16" customWidth="1"/>
    <col min="5123" max="5123" width="8.5703125" style="16" customWidth="1"/>
    <col min="5124" max="5124" width="6.7109375" style="16" bestFit="1" customWidth="1"/>
    <col min="5125" max="5125" width="8.5703125" style="16" bestFit="1" customWidth="1"/>
    <col min="5126" max="5126" width="8.5703125" style="16" customWidth="1"/>
    <col min="5127" max="5127" width="9" style="16" customWidth="1"/>
    <col min="5128" max="5128" width="7.140625" style="16" customWidth="1"/>
    <col min="5129" max="5129" width="7.140625" style="16" bestFit="1" customWidth="1"/>
    <col min="5130" max="5130" width="7.5703125" style="16" customWidth="1"/>
    <col min="5131" max="5132" width="7" style="16" bestFit="1" customWidth="1"/>
    <col min="5133" max="5133" width="6.85546875" style="16" bestFit="1" customWidth="1"/>
    <col min="5134" max="5134" width="7" style="16" bestFit="1" customWidth="1"/>
    <col min="5135" max="5135" width="7.140625" style="16" bestFit="1"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8.42578125" style="16" customWidth="1"/>
    <col min="5379" max="5379" width="8.5703125" style="16" customWidth="1"/>
    <col min="5380" max="5380" width="6.7109375" style="16" bestFit="1" customWidth="1"/>
    <col min="5381" max="5381" width="8.5703125" style="16" bestFit="1" customWidth="1"/>
    <col min="5382" max="5382" width="8.5703125" style="16" customWidth="1"/>
    <col min="5383" max="5383" width="9" style="16" customWidth="1"/>
    <col min="5384" max="5384" width="7.140625" style="16" customWidth="1"/>
    <col min="5385" max="5385" width="7.140625" style="16" bestFit="1" customWidth="1"/>
    <col min="5386" max="5386" width="7.5703125" style="16" customWidth="1"/>
    <col min="5387" max="5388" width="7" style="16" bestFit="1" customWidth="1"/>
    <col min="5389" max="5389" width="6.85546875" style="16" bestFit="1" customWidth="1"/>
    <col min="5390" max="5390" width="7" style="16" bestFit="1" customWidth="1"/>
    <col min="5391" max="5391" width="7.140625" style="16" bestFit="1"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8.42578125" style="16" customWidth="1"/>
    <col min="5635" max="5635" width="8.5703125" style="16" customWidth="1"/>
    <col min="5636" max="5636" width="6.7109375" style="16" bestFit="1" customWidth="1"/>
    <col min="5637" max="5637" width="8.5703125" style="16" bestFit="1" customWidth="1"/>
    <col min="5638" max="5638" width="8.5703125" style="16" customWidth="1"/>
    <col min="5639" max="5639" width="9" style="16" customWidth="1"/>
    <col min="5640" max="5640" width="7.140625" style="16" customWidth="1"/>
    <col min="5641" max="5641" width="7.140625" style="16" bestFit="1" customWidth="1"/>
    <col min="5642" max="5642" width="7.5703125" style="16" customWidth="1"/>
    <col min="5643" max="5644" width="7" style="16" bestFit="1" customWidth="1"/>
    <col min="5645" max="5645" width="6.85546875" style="16" bestFit="1" customWidth="1"/>
    <col min="5646" max="5646" width="7" style="16" bestFit="1" customWidth="1"/>
    <col min="5647" max="5647" width="7.140625" style="16" bestFit="1"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8.42578125" style="16" customWidth="1"/>
    <col min="5891" max="5891" width="8.5703125" style="16" customWidth="1"/>
    <col min="5892" max="5892" width="6.7109375" style="16" bestFit="1" customWidth="1"/>
    <col min="5893" max="5893" width="8.5703125" style="16" bestFit="1" customWidth="1"/>
    <col min="5894" max="5894" width="8.5703125" style="16" customWidth="1"/>
    <col min="5895" max="5895" width="9" style="16" customWidth="1"/>
    <col min="5896" max="5896" width="7.140625" style="16" customWidth="1"/>
    <col min="5897" max="5897" width="7.140625" style="16" bestFit="1" customWidth="1"/>
    <col min="5898" max="5898" width="7.5703125" style="16" customWidth="1"/>
    <col min="5899" max="5900" width="7" style="16" bestFit="1" customWidth="1"/>
    <col min="5901" max="5901" width="6.85546875" style="16" bestFit="1" customWidth="1"/>
    <col min="5902" max="5902" width="7" style="16" bestFit="1" customWidth="1"/>
    <col min="5903" max="5903" width="7.140625" style="16" bestFit="1"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8.42578125" style="16" customWidth="1"/>
    <col min="6147" max="6147" width="8.5703125" style="16" customWidth="1"/>
    <col min="6148" max="6148" width="6.7109375" style="16" bestFit="1" customWidth="1"/>
    <col min="6149" max="6149" width="8.5703125" style="16" bestFit="1" customWidth="1"/>
    <col min="6150" max="6150" width="8.5703125" style="16" customWidth="1"/>
    <col min="6151" max="6151" width="9" style="16" customWidth="1"/>
    <col min="6152" max="6152" width="7.140625" style="16" customWidth="1"/>
    <col min="6153" max="6153" width="7.140625" style="16" bestFit="1" customWidth="1"/>
    <col min="6154" max="6154" width="7.5703125" style="16" customWidth="1"/>
    <col min="6155" max="6156" width="7" style="16" bestFit="1" customWidth="1"/>
    <col min="6157" max="6157" width="6.85546875" style="16" bestFit="1" customWidth="1"/>
    <col min="6158" max="6158" width="7" style="16" bestFit="1" customWidth="1"/>
    <col min="6159" max="6159" width="7.140625" style="16" bestFit="1"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8.42578125" style="16" customWidth="1"/>
    <col min="6403" max="6403" width="8.5703125" style="16" customWidth="1"/>
    <col min="6404" max="6404" width="6.7109375" style="16" bestFit="1" customWidth="1"/>
    <col min="6405" max="6405" width="8.5703125" style="16" bestFit="1" customWidth="1"/>
    <col min="6406" max="6406" width="8.5703125" style="16" customWidth="1"/>
    <col min="6407" max="6407" width="9" style="16" customWidth="1"/>
    <col min="6408" max="6408" width="7.140625" style="16" customWidth="1"/>
    <col min="6409" max="6409" width="7.140625" style="16" bestFit="1" customWidth="1"/>
    <col min="6410" max="6410" width="7.5703125" style="16" customWidth="1"/>
    <col min="6411" max="6412" width="7" style="16" bestFit="1" customWidth="1"/>
    <col min="6413" max="6413" width="6.85546875" style="16" bestFit="1" customWidth="1"/>
    <col min="6414" max="6414" width="7" style="16" bestFit="1" customWidth="1"/>
    <col min="6415" max="6415" width="7.140625" style="16" bestFit="1"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8.42578125" style="16" customWidth="1"/>
    <col min="6659" max="6659" width="8.5703125" style="16" customWidth="1"/>
    <col min="6660" max="6660" width="6.7109375" style="16" bestFit="1" customWidth="1"/>
    <col min="6661" max="6661" width="8.5703125" style="16" bestFit="1" customWidth="1"/>
    <col min="6662" max="6662" width="8.5703125" style="16" customWidth="1"/>
    <col min="6663" max="6663" width="9" style="16" customWidth="1"/>
    <col min="6664" max="6664" width="7.140625" style="16" customWidth="1"/>
    <col min="6665" max="6665" width="7.140625" style="16" bestFit="1" customWidth="1"/>
    <col min="6666" max="6666" width="7.5703125" style="16" customWidth="1"/>
    <col min="6667" max="6668" width="7" style="16" bestFit="1" customWidth="1"/>
    <col min="6669" max="6669" width="6.85546875" style="16" bestFit="1" customWidth="1"/>
    <col min="6670" max="6670" width="7" style="16" bestFit="1" customWidth="1"/>
    <col min="6671" max="6671" width="7.140625" style="16" bestFit="1"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8.42578125" style="16" customWidth="1"/>
    <col min="6915" max="6915" width="8.5703125" style="16" customWidth="1"/>
    <col min="6916" max="6916" width="6.7109375" style="16" bestFit="1" customWidth="1"/>
    <col min="6917" max="6917" width="8.5703125" style="16" bestFit="1" customWidth="1"/>
    <col min="6918" max="6918" width="8.5703125" style="16" customWidth="1"/>
    <col min="6919" max="6919" width="9" style="16" customWidth="1"/>
    <col min="6920" max="6920" width="7.140625" style="16" customWidth="1"/>
    <col min="6921" max="6921" width="7.140625" style="16" bestFit="1" customWidth="1"/>
    <col min="6922" max="6922" width="7.5703125" style="16" customWidth="1"/>
    <col min="6923" max="6924" width="7" style="16" bestFit="1" customWidth="1"/>
    <col min="6925" max="6925" width="6.85546875" style="16" bestFit="1" customWidth="1"/>
    <col min="6926" max="6926" width="7" style="16" bestFit="1" customWidth="1"/>
    <col min="6927" max="6927" width="7.140625" style="16" bestFit="1"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8.42578125" style="16" customWidth="1"/>
    <col min="7171" max="7171" width="8.5703125" style="16" customWidth="1"/>
    <col min="7172" max="7172" width="6.7109375" style="16" bestFit="1" customWidth="1"/>
    <col min="7173" max="7173" width="8.5703125" style="16" bestFit="1" customWidth="1"/>
    <col min="7174" max="7174" width="8.5703125" style="16" customWidth="1"/>
    <col min="7175" max="7175" width="9" style="16" customWidth="1"/>
    <col min="7176" max="7176" width="7.140625" style="16" customWidth="1"/>
    <col min="7177" max="7177" width="7.140625" style="16" bestFit="1" customWidth="1"/>
    <col min="7178" max="7178" width="7.5703125" style="16" customWidth="1"/>
    <col min="7179" max="7180" width="7" style="16" bestFit="1" customWidth="1"/>
    <col min="7181" max="7181" width="6.85546875" style="16" bestFit="1" customWidth="1"/>
    <col min="7182" max="7182" width="7" style="16" bestFit="1" customWidth="1"/>
    <col min="7183" max="7183" width="7.140625" style="16" bestFit="1"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8.42578125" style="16" customWidth="1"/>
    <col min="7427" max="7427" width="8.5703125" style="16" customWidth="1"/>
    <col min="7428" max="7428" width="6.7109375" style="16" bestFit="1" customWidth="1"/>
    <col min="7429" max="7429" width="8.5703125" style="16" bestFit="1" customWidth="1"/>
    <col min="7430" max="7430" width="8.5703125" style="16" customWidth="1"/>
    <col min="7431" max="7431" width="9" style="16" customWidth="1"/>
    <col min="7432" max="7432" width="7.140625" style="16" customWidth="1"/>
    <col min="7433" max="7433" width="7.140625" style="16" bestFit="1" customWidth="1"/>
    <col min="7434" max="7434" width="7.5703125" style="16" customWidth="1"/>
    <col min="7435" max="7436" width="7" style="16" bestFit="1" customWidth="1"/>
    <col min="7437" max="7437" width="6.85546875" style="16" bestFit="1" customWidth="1"/>
    <col min="7438" max="7438" width="7" style="16" bestFit="1" customWidth="1"/>
    <col min="7439" max="7439" width="7.140625" style="16" bestFit="1"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8.42578125" style="16" customWidth="1"/>
    <col min="7683" max="7683" width="8.5703125" style="16" customWidth="1"/>
    <col min="7684" max="7684" width="6.7109375" style="16" bestFit="1" customWidth="1"/>
    <col min="7685" max="7685" width="8.5703125" style="16" bestFit="1" customWidth="1"/>
    <col min="7686" max="7686" width="8.5703125" style="16" customWidth="1"/>
    <col min="7687" max="7687" width="9" style="16" customWidth="1"/>
    <col min="7688" max="7688" width="7.140625" style="16" customWidth="1"/>
    <col min="7689" max="7689" width="7.140625" style="16" bestFit="1" customWidth="1"/>
    <col min="7690" max="7690" width="7.5703125" style="16" customWidth="1"/>
    <col min="7691" max="7692" width="7" style="16" bestFit="1" customWidth="1"/>
    <col min="7693" max="7693" width="6.85546875" style="16" bestFit="1" customWidth="1"/>
    <col min="7694" max="7694" width="7" style="16" bestFit="1" customWidth="1"/>
    <col min="7695" max="7695" width="7.140625" style="16" bestFit="1"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8.42578125" style="16" customWidth="1"/>
    <col min="7939" max="7939" width="8.5703125" style="16" customWidth="1"/>
    <col min="7940" max="7940" width="6.7109375" style="16" bestFit="1" customWidth="1"/>
    <col min="7941" max="7941" width="8.5703125" style="16" bestFit="1" customWidth="1"/>
    <col min="7942" max="7942" width="8.5703125" style="16" customWidth="1"/>
    <col min="7943" max="7943" width="9" style="16" customWidth="1"/>
    <col min="7944" max="7944" width="7.140625" style="16" customWidth="1"/>
    <col min="7945" max="7945" width="7.140625" style="16" bestFit="1" customWidth="1"/>
    <col min="7946" max="7946" width="7.5703125" style="16" customWidth="1"/>
    <col min="7947" max="7948" width="7" style="16" bestFit="1" customWidth="1"/>
    <col min="7949" max="7949" width="6.85546875" style="16" bestFit="1" customWidth="1"/>
    <col min="7950" max="7950" width="7" style="16" bestFit="1" customWidth="1"/>
    <col min="7951" max="7951" width="7.140625" style="16" bestFit="1"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8.42578125" style="16" customWidth="1"/>
    <col min="8195" max="8195" width="8.5703125" style="16" customWidth="1"/>
    <col min="8196" max="8196" width="6.7109375" style="16" bestFit="1" customWidth="1"/>
    <col min="8197" max="8197" width="8.5703125" style="16" bestFit="1" customWidth="1"/>
    <col min="8198" max="8198" width="8.5703125" style="16" customWidth="1"/>
    <col min="8199" max="8199" width="9" style="16" customWidth="1"/>
    <col min="8200" max="8200" width="7.140625" style="16" customWidth="1"/>
    <col min="8201" max="8201" width="7.140625" style="16" bestFit="1" customWidth="1"/>
    <col min="8202" max="8202" width="7.5703125" style="16" customWidth="1"/>
    <col min="8203" max="8204" width="7" style="16" bestFit="1" customWidth="1"/>
    <col min="8205" max="8205" width="6.85546875" style="16" bestFit="1" customWidth="1"/>
    <col min="8206" max="8206" width="7" style="16" bestFit="1" customWidth="1"/>
    <col min="8207" max="8207" width="7.140625" style="16" bestFit="1"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8.42578125" style="16" customWidth="1"/>
    <col min="8451" max="8451" width="8.5703125" style="16" customWidth="1"/>
    <col min="8452" max="8452" width="6.7109375" style="16" bestFit="1" customWidth="1"/>
    <col min="8453" max="8453" width="8.5703125" style="16" bestFit="1" customWidth="1"/>
    <col min="8454" max="8454" width="8.5703125" style="16" customWidth="1"/>
    <col min="8455" max="8455" width="9" style="16" customWidth="1"/>
    <col min="8456" max="8456" width="7.140625" style="16" customWidth="1"/>
    <col min="8457" max="8457" width="7.140625" style="16" bestFit="1" customWidth="1"/>
    <col min="8458" max="8458" width="7.5703125" style="16" customWidth="1"/>
    <col min="8459" max="8460" width="7" style="16" bestFit="1" customWidth="1"/>
    <col min="8461" max="8461" width="6.85546875" style="16" bestFit="1" customWidth="1"/>
    <col min="8462" max="8462" width="7" style="16" bestFit="1" customWidth="1"/>
    <col min="8463" max="8463" width="7.140625" style="16" bestFit="1"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8.42578125" style="16" customWidth="1"/>
    <col min="8707" max="8707" width="8.5703125" style="16" customWidth="1"/>
    <col min="8708" max="8708" width="6.7109375" style="16" bestFit="1" customWidth="1"/>
    <col min="8709" max="8709" width="8.5703125" style="16" bestFit="1" customWidth="1"/>
    <col min="8710" max="8710" width="8.5703125" style="16" customWidth="1"/>
    <col min="8711" max="8711" width="9" style="16" customWidth="1"/>
    <col min="8712" max="8712" width="7.140625" style="16" customWidth="1"/>
    <col min="8713" max="8713" width="7.140625" style="16" bestFit="1" customWidth="1"/>
    <col min="8714" max="8714" width="7.5703125" style="16" customWidth="1"/>
    <col min="8715" max="8716" width="7" style="16" bestFit="1" customWidth="1"/>
    <col min="8717" max="8717" width="6.85546875" style="16" bestFit="1" customWidth="1"/>
    <col min="8718" max="8718" width="7" style="16" bestFit="1" customWidth="1"/>
    <col min="8719" max="8719" width="7.140625" style="16" bestFit="1"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8.42578125" style="16" customWidth="1"/>
    <col min="8963" max="8963" width="8.5703125" style="16" customWidth="1"/>
    <col min="8964" max="8964" width="6.7109375" style="16" bestFit="1" customWidth="1"/>
    <col min="8965" max="8965" width="8.5703125" style="16" bestFit="1" customWidth="1"/>
    <col min="8966" max="8966" width="8.5703125" style="16" customWidth="1"/>
    <col min="8967" max="8967" width="9" style="16" customWidth="1"/>
    <col min="8968" max="8968" width="7.140625" style="16" customWidth="1"/>
    <col min="8969" max="8969" width="7.140625" style="16" bestFit="1" customWidth="1"/>
    <col min="8970" max="8970" width="7.5703125" style="16" customWidth="1"/>
    <col min="8971" max="8972" width="7" style="16" bestFit="1" customWidth="1"/>
    <col min="8973" max="8973" width="6.85546875" style="16" bestFit="1" customWidth="1"/>
    <col min="8974" max="8974" width="7" style="16" bestFit="1" customWidth="1"/>
    <col min="8975" max="8975" width="7.140625" style="16" bestFit="1"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8.42578125" style="16" customWidth="1"/>
    <col min="9219" max="9219" width="8.5703125" style="16" customWidth="1"/>
    <col min="9220" max="9220" width="6.7109375" style="16" bestFit="1" customWidth="1"/>
    <col min="9221" max="9221" width="8.5703125" style="16" bestFit="1" customWidth="1"/>
    <col min="9222" max="9222" width="8.5703125" style="16" customWidth="1"/>
    <col min="9223" max="9223" width="9" style="16" customWidth="1"/>
    <col min="9224" max="9224" width="7.140625" style="16" customWidth="1"/>
    <col min="9225" max="9225" width="7.140625" style="16" bestFit="1" customWidth="1"/>
    <col min="9226" max="9226" width="7.5703125" style="16" customWidth="1"/>
    <col min="9227" max="9228" width="7" style="16" bestFit="1" customWidth="1"/>
    <col min="9229" max="9229" width="6.85546875" style="16" bestFit="1" customWidth="1"/>
    <col min="9230" max="9230" width="7" style="16" bestFit="1" customWidth="1"/>
    <col min="9231" max="9231" width="7.140625" style="16" bestFit="1"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8.42578125" style="16" customWidth="1"/>
    <col min="9475" max="9475" width="8.5703125" style="16" customWidth="1"/>
    <col min="9476" max="9476" width="6.7109375" style="16" bestFit="1" customWidth="1"/>
    <col min="9477" max="9477" width="8.5703125" style="16" bestFit="1" customWidth="1"/>
    <col min="9478" max="9478" width="8.5703125" style="16" customWidth="1"/>
    <col min="9479" max="9479" width="9" style="16" customWidth="1"/>
    <col min="9480" max="9480" width="7.140625" style="16" customWidth="1"/>
    <col min="9481" max="9481" width="7.140625" style="16" bestFit="1" customWidth="1"/>
    <col min="9482" max="9482" width="7.5703125" style="16" customWidth="1"/>
    <col min="9483" max="9484" width="7" style="16" bestFit="1" customWidth="1"/>
    <col min="9485" max="9485" width="6.85546875" style="16" bestFit="1" customWidth="1"/>
    <col min="9486" max="9486" width="7" style="16" bestFit="1" customWidth="1"/>
    <col min="9487" max="9487" width="7.140625" style="16" bestFit="1"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8.42578125" style="16" customWidth="1"/>
    <col min="9731" max="9731" width="8.5703125" style="16" customWidth="1"/>
    <col min="9732" max="9732" width="6.7109375" style="16" bestFit="1" customWidth="1"/>
    <col min="9733" max="9733" width="8.5703125" style="16" bestFit="1" customWidth="1"/>
    <col min="9734" max="9734" width="8.5703125" style="16" customWidth="1"/>
    <col min="9735" max="9735" width="9" style="16" customWidth="1"/>
    <col min="9736" max="9736" width="7.140625" style="16" customWidth="1"/>
    <col min="9737" max="9737" width="7.140625" style="16" bestFit="1" customWidth="1"/>
    <col min="9738" max="9738" width="7.5703125" style="16" customWidth="1"/>
    <col min="9739" max="9740" width="7" style="16" bestFit="1" customWidth="1"/>
    <col min="9741" max="9741" width="6.85546875" style="16" bestFit="1" customWidth="1"/>
    <col min="9742" max="9742" width="7" style="16" bestFit="1" customWidth="1"/>
    <col min="9743" max="9743" width="7.140625" style="16" bestFit="1"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8.42578125" style="16" customWidth="1"/>
    <col min="9987" max="9987" width="8.5703125" style="16" customWidth="1"/>
    <col min="9988" max="9988" width="6.7109375" style="16" bestFit="1" customWidth="1"/>
    <col min="9989" max="9989" width="8.5703125" style="16" bestFit="1" customWidth="1"/>
    <col min="9990" max="9990" width="8.5703125" style="16" customWidth="1"/>
    <col min="9991" max="9991" width="9" style="16" customWidth="1"/>
    <col min="9992" max="9992" width="7.140625" style="16" customWidth="1"/>
    <col min="9993" max="9993" width="7.140625" style="16" bestFit="1" customWidth="1"/>
    <col min="9994" max="9994" width="7.5703125" style="16" customWidth="1"/>
    <col min="9995" max="9996" width="7" style="16" bestFit="1" customWidth="1"/>
    <col min="9997" max="9997" width="6.85546875" style="16" bestFit="1" customWidth="1"/>
    <col min="9998" max="9998" width="7" style="16" bestFit="1" customWidth="1"/>
    <col min="9999" max="9999" width="7.140625" style="16" bestFit="1"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8.42578125" style="16" customWidth="1"/>
    <col min="10243" max="10243" width="8.5703125" style="16" customWidth="1"/>
    <col min="10244" max="10244" width="6.7109375" style="16" bestFit="1" customWidth="1"/>
    <col min="10245" max="10245" width="8.5703125" style="16" bestFit="1" customWidth="1"/>
    <col min="10246" max="10246" width="8.5703125" style="16" customWidth="1"/>
    <col min="10247" max="10247" width="9" style="16" customWidth="1"/>
    <col min="10248" max="10248" width="7.140625" style="16" customWidth="1"/>
    <col min="10249" max="10249" width="7.140625" style="16" bestFit="1" customWidth="1"/>
    <col min="10250" max="10250" width="7.5703125" style="16" customWidth="1"/>
    <col min="10251" max="10252" width="7" style="16" bestFit="1" customWidth="1"/>
    <col min="10253" max="10253" width="6.85546875" style="16" bestFit="1" customWidth="1"/>
    <col min="10254" max="10254" width="7" style="16" bestFit="1" customWidth="1"/>
    <col min="10255" max="10255" width="7.140625" style="16" bestFit="1"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8.42578125" style="16" customWidth="1"/>
    <col min="10499" max="10499" width="8.5703125" style="16" customWidth="1"/>
    <col min="10500" max="10500" width="6.7109375" style="16" bestFit="1" customWidth="1"/>
    <col min="10501" max="10501" width="8.5703125" style="16" bestFit="1" customWidth="1"/>
    <col min="10502" max="10502" width="8.5703125" style="16" customWidth="1"/>
    <col min="10503" max="10503" width="9" style="16" customWidth="1"/>
    <col min="10504" max="10504" width="7.140625" style="16" customWidth="1"/>
    <col min="10505" max="10505" width="7.140625" style="16" bestFit="1" customWidth="1"/>
    <col min="10506" max="10506" width="7.5703125" style="16" customWidth="1"/>
    <col min="10507" max="10508" width="7" style="16" bestFit="1" customWidth="1"/>
    <col min="10509" max="10509" width="6.85546875" style="16" bestFit="1" customWidth="1"/>
    <col min="10510" max="10510" width="7" style="16" bestFit="1" customWidth="1"/>
    <col min="10511" max="10511" width="7.140625" style="16" bestFit="1"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8.42578125" style="16" customWidth="1"/>
    <col min="10755" max="10755" width="8.5703125" style="16" customWidth="1"/>
    <col min="10756" max="10756" width="6.7109375" style="16" bestFit="1" customWidth="1"/>
    <col min="10757" max="10757" width="8.5703125" style="16" bestFit="1" customWidth="1"/>
    <col min="10758" max="10758" width="8.5703125" style="16" customWidth="1"/>
    <col min="10759" max="10759" width="9" style="16" customWidth="1"/>
    <col min="10760" max="10760" width="7.140625" style="16" customWidth="1"/>
    <col min="10761" max="10761" width="7.140625" style="16" bestFit="1" customWidth="1"/>
    <col min="10762" max="10762" width="7.5703125" style="16" customWidth="1"/>
    <col min="10763" max="10764" width="7" style="16" bestFit="1" customWidth="1"/>
    <col min="10765" max="10765" width="6.85546875" style="16" bestFit="1" customWidth="1"/>
    <col min="10766" max="10766" width="7" style="16" bestFit="1" customWidth="1"/>
    <col min="10767" max="10767" width="7.140625" style="16" bestFit="1"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8.42578125" style="16" customWidth="1"/>
    <col min="11011" max="11011" width="8.5703125" style="16" customWidth="1"/>
    <col min="11012" max="11012" width="6.7109375" style="16" bestFit="1" customWidth="1"/>
    <col min="11013" max="11013" width="8.5703125" style="16" bestFit="1" customWidth="1"/>
    <col min="11014" max="11014" width="8.5703125" style="16" customWidth="1"/>
    <col min="11015" max="11015" width="9" style="16" customWidth="1"/>
    <col min="11016" max="11016" width="7.140625" style="16" customWidth="1"/>
    <col min="11017" max="11017" width="7.140625" style="16" bestFit="1" customWidth="1"/>
    <col min="11018" max="11018" width="7.5703125" style="16" customWidth="1"/>
    <col min="11019" max="11020" width="7" style="16" bestFit="1" customWidth="1"/>
    <col min="11021" max="11021" width="6.85546875" style="16" bestFit="1" customWidth="1"/>
    <col min="11022" max="11022" width="7" style="16" bestFit="1" customWidth="1"/>
    <col min="11023" max="11023" width="7.140625" style="16" bestFit="1"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8.42578125" style="16" customWidth="1"/>
    <col min="11267" max="11267" width="8.5703125" style="16" customWidth="1"/>
    <col min="11268" max="11268" width="6.7109375" style="16" bestFit="1" customWidth="1"/>
    <col min="11269" max="11269" width="8.5703125" style="16" bestFit="1" customWidth="1"/>
    <col min="11270" max="11270" width="8.5703125" style="16" customWidth="1"/>
    <col min="11271" max="11271" width="9" style="16" customWidth="1"/>
    <col min="11272" max="11272" width="7.140625" style="16" customWidth="1"/>
    <col min="11273" max="11273" width="7.140625" style="16" bestFit="1" customWidth="1"/>
    <col min="11274" max="11274" width="7.5703125" style="16" customWidth="1"/>
    <col min="11275" max="11276" width="7" style="16" bestFit="1" customWidth="1"/>
    <col min="11277" max="11277" width="6.85546875" style="16" bestFit="1" customWidth="1"/>
    <col min="11278" max="11278" width="7" style="16" bestFit="1" customWidth="1"/>
    <col min="11279" max="11279" width="7.140625" style="16" bestFit="1"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8.42578125" style="16" customWidth="1"/>
    <col min="11523" max="11523" width="8.5703125" style="16" customWidth="1"/>
    <col min="11524" max="11524" width="6.7109375" style="16" bestFit="1" customWidth="1"/>
    <col min="11525" max="11525" width="8.5703125" style="16" bestFit="1" customWidth="1"/>
    <col min="11526" max="11526" width="8.5703125" style="16" customWidth="1"/>
    <col min="11527" max="11527" width="9" style="16" customWidth="1"/>
    <col min="11528" max="11528" width="7.140625" style="16" customWidth="1"/>
    <col min="11529" max="11529" width="7.140625" style="16" bestFit="1" customWidth="1"/>
    <col min="11530" max="11530" width="7.5703125" style="16" customWidth="1"/>
    <col min="11531" max="11532" width="7" style="16" bestFit="1" customWidth="1"/>
    <col min="11533" max="11533" width="6.85546875" style="16" bestFit="1" customWidth="1"/>
    <col min="11534" max="11534" width="7" style="16" bestFit="1" customWidth="1"/>
    <col min="11535" max="11535" width="7.140625" style="16" bestFit="1"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8.42578125" style="16" customWidth="1"/>
    <col min="11779" max="11779" width="8.5703125" style="16" customWidth="1"/>
    <col min="11780" max="11780" width="6.7109375" style="16" bestFit="1" customWidth="1"/>
    <col min="11781" max="11781" width="8.5703125" style="16" bestFit="1" customWidth="1"/>
    <col min="11782" max="11782" width="8.5703125" style="16" customWidth="1"/>
    <col min="11783" max="11783" width="9" style="16" customWidth="1"/>
    <col min="11784" max="11784" width="7.140625" style="16" customWidth="1"/>
    <col min="11785" max="11785" width="7.140625" style="16" bestFit="1" customWidth="1"/>
    <col min="11786" max="11786" width="7.5703125" style="16" customWidth="1"/>
    <col min="11787" max="11788" width="7" style="16" bestFit="1" customWidth="1"/>
    <col min="11789" max="11789" width="6.85546875" style="16" bestFit="1" customWidth="1"/>
    <col min="11790" max="11790" width="7" style="16" bestFit="1" customWidth="1"/>
    <col min="11791" max="11791" width="7.140625" style="16" bestFit="1"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8.42578125" style="16" customWidth="1"/>
    <col min="12035" max="12035" width="8.5703125" style="16" customWidth="1"/>
    <col min="12036" max="12036" width="6.7109375" style="16" bestFit="1" customWidth="1"/>
    <col min="12037" max="12037" width="8.5703125" style="16" bestFit="1" customWidth="1"/>
    <col min="12038" max="12038" width="8.5703125" style="16" customWidth="1"/>
    <col min="12039" max="12039" width="9" style="16" customWidth="1"/>
    <col min="12040" max="12040" width="7.140625" style="16" customWidth="1"/>
    <col min="12041" max="12041" width="7.140625" style="16" bestFit="1" customWidth="1"/>
    <col min="12042" max="12042" width="7.5703125" style="16" customWidth="1"/>
    <col min="12043" max="12044" width="7" style="16" bestFit="1" customWidth="1"/>
    <col min="12045" max="12045" width="6.85546875" style="16" bestFit="1" customWidth="1"/>
    <col min="12046" max="12046" width="7" style="16" bestFit="1" customWidth="1"/>
    <col min="12047" max="12047" width="7.140625" style="16" bestFit="1"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8.42578125" style="16" customWidth="1"/>
    <col min="12291" max="12291" width="8.5703125" style="16" customWidth="1"/>
    <col min="12292" max="12292" width="6.7109375" style="16" bestFit="1" customWidth="1"/>
    <col min="12293" max="12293" width="8.5703125" style="16" bestFit="1" customWidth="1"/>
    <col min="12294" max="12294" width="8.5703125" style="16" customWidth="1"/>
    <col min="12295" max="12295" width="9" style="16" customWidth="1"/>
    <col min="12296" max="12296" width="7.140625" style="16" customWidth="1"/>
    <col min="12297" max="12297" width="7.140625" style="16" bestFit="1" customWidth="1"/>
    <col min="12298" max="12298" width="7.5703125" style="16" customWidth="1"/>
    <col min="12299" max="12300" width="7" style="16" bestFit="1" customWidth="1"/>
    <col min="12301" max="12301" width="6.85546875" style="16" bestFit="1" customWidth="1"/>
    <col min="12302" max="12302" width="7" style="16" bestFit="1" customWidth="1"/>
    <col min="12303" max="12303" width="7.140625" style="16" bestFit="1"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8.42578125" style="16" customWidth="1"/>
    <col min="12547" max="12547" width="8.5703125" style="16" customWidth="1"/>
    <col min="12548" max="12548" width="6.7109375" style="16" bestFit="1" customWidth="1"/>
    <col min="12549" max="12549" width="8.5703125" style="16" bestFit="1" customWidth="1"/>
    <col min="12550" max="12550" width="8.5703125" style="16" customWidth="1"/>
    <col min="12551" max="12551" width="9" style="16" customWidth="1"/>
    <col min="12552" max="12552" width="7.140625" style="16" customWidth="1"/>
    <col min="12553" max="12553" width="7.140625" style="16" bestFit="1" customWidth="1"/>
    <col min="12554" max="12554" width="7.5703125" style="16" customWidth="1"/>
    <col min="12555" max="12556" width="7" style="16" bestFit="1" customWidth="1"/>
    <col min="12557" max="12557" width="6.85546875" style="16" bestFit="1" customWidth="1"/>
    <col min="12558" max="12558" width="7" style="16" bestFit="1" customWidth="1"/>
    <col min="12559" max="12559" width="7.140625" style="16" bestFit="1"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8.42578125" style="16" customWidth="1"/>
    <col min="12803" max="12803" width="8.5703125" style="16" customWidth="1"/>
    <col min="12804" max="12804" width="6.7109375" style="16" bestFit="1" customWidth="1"/>
    <col min="12805" max="12805" width="8.5703125" style="16" bestFit="1" customWidth="1"/>
    <col min="12806" max="12806" width="8.5703125" style="16" customWidth="1"/>
    <col min="12807" max="12807" width="9" style="16" customWidth="1"/>
    <col min="12808" max="12808" width="7.140625" style="16" customWidth="1"/>
    <col min="12809" max="12809" width="7.140625" style="16" bestFit="1" customWidth="1"/>
    <col min="12810" max="12810" width="7.5703125" style="16" customWidth="1"/>
    <col min="12811" max="12812" width="7" style="16" bestFit="1" customWidth="1"/>
    <col min="12813" max="12813" width="6.85546875" style="16" bestFit="1" customWidth="1"/>
    <col min="12814" max="12814" width="7" style="16" bestFit="1" customWidth="1"/>
    <col min="12815" max="12815" width="7.140625" style="16" bestFit="1"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8.42578125" style="16" customWidth="1"/>
    <col min="13059" max="13059" width="8.5703125" style="16" customWidth="1"/>
    <col min="13060" max="13060" width="6.7109375" style="16" bestFit="1" customWidth="1"/>
    <col min="13061" max="13061" width="8.5703125" style="16" bestFit="1" customWidth="1"/>
    <col min="13062" max="13062" width="8.5703125" style="16" customWidth="1"/>
    <col min="13063" max="13063" width="9" style="16" customWidth="1"/>
    <col min="13064" max="13064" width="7.140625" style="16" customWidth="1"/>
    <col min="13065" max="13065" width="7.140625" style="16" bestFit="1" customWidth="1"/>
    <col min="13066" max="13066" width="7.5703125" style="16" customWidth="1"/>
    <col min="13067" max="13068" width="7" style="16" bestFit="1" customWidth="1"/>
    <col min="13069" max="13069" width="6.85546875" style="16" bestFit="1" customWidth="1"/>
    <col min="13070" max="13070" width="7" style="16" bestFit="1" customWidth="1"/>
    <col min="13071" max="13071" width="7.140625" style="16" bestFit="1"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8.42578125" style="16" customWidth="1"/>
    <col min="13315" max="13315" width="8.5703125" style="16" customWidth="1"/>
    <col min="13316" max="13316" width="6.7109375" style="16" bestFit="1" customWidth="1"/>
    <col min="13317" max="13317" width="8.5703125" style="16" bestFit="1" customWidth="1"/>
    <col min="13318" max="13318" width="8.5703125" style="16" customWidth="1"/>
    <col min="13319" max="13319" width="9" style="16" customWidth="1"/>
    <col min="13320" max="13320" width="7.140625" style="16" customWidth="1"/>
    <col min="13321" max="13321" width="7.140625" style="16" bestFit="1" customWidth="1"/>
    <col min="13322" max="13322" width="7.5703125" style="16" customWidth="1"/>
    <col min="13323" max="13324" width="7" style="16" bestFit="1" customWidth="1"/>
    <col min="13325" max="13325" width="6.85546875" style="16" bestFit="1" customWidth="1"/>
    <col min="13326" max="13326" width="7" style="16" bestFit="1" customWidth="1"/>
    <col min="13327" max="13327" width="7.140625" style="16" bestFit="1"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8.42578125" style="16" customWidth="1"/>
    <col min="13571" max="13571" width="8.5703125" style="16" customWidth="1"/>
    <col min="13572" max="13572" width="6.7109375" style="16" bestFit="1" customWidth="1"/>
    <col min="13573" max="13573" width="8.5703125" style="16" bestFit="1" customWidth="1"/>
    <col min="13574" max="13574" width="8.5703125" style="16" customWidth="1"/>
    <col min="13575" max="13575" width="9" style="16" customWidth="1"/>
    <col min="13576" max="13576" width="7.140625" style="16" customWidth="1"/>
    <col min="13577" max="13577" width="7.140625" style="16" bestFit="1" customWidth="1"/>
    <col min="13578" max="13578" width="7.5703125" style="16" customWidth="1"/>
    <col min="13579" max="13580" width="7" style="16" bestFit="1" customWidth="1"/>
    <col min="13581" max="13581" width="6.85546875" style="16" bestFit="1" customWidth="1"/>
    <col min="13582" max="13582" width="7" style="16" bestFit="1" customWidth="1"/>
    <col min="13583" max="13583" width="7.140625" style="16" bestFit="1"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8.42578125" style="16" customWidth="1"/>
    <col min="13827" max="13827" width="8.5703125" style="16" customWidth="1"/>
    <col min="13828" max="13828" width="6.7109375" style="16" bestFit="1" customWidth="1"/>
    <col min="13829" max="13829" width="8.5703125" style="16" bestFit="1" customWidth="1"/>
    <col min="13830" max="13830" width="8.5703125" style="16" customWidth="1"/>
    <col min="13831" max="13831" width="9" style="16" customWidth="1"/>
    <col min="13832" max="13832" width="7.140625" style="16" customWidth="1"/>
    <col min="13833" max="13833" width="7.140625" style="16" bestFit="1" customWidth="1"/>
    <col min="13834" max="13834" width="7.5703125" style="16" customWidth="1"/>
    <col min="13835" max="13836" width="7" style="16" bestFit="1" customWidth="1"/>
    <col min="13837" max="13837" width="6.85546875" style="16" bestFit="1" customWidth="1"/>
    <col min="13838" max="13838" width="7" style="16" bestFit="1" customWidth="1"/>
    <col min="13839" max="13839" width="7.140625" style="16" bestFit="1"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8.42578125" style="16" customWidth="1"/>
    <col min="14083" max="14083" width="8.5703125" style="16" customWidth="1"/>
    <col min="14084" max="14084" width="6.7109375" style="16" bestFit="1" customWidth="1"/>
    <col min="14085" max="14085" width="8.5703125" style="16" bestFit="1" customWidth="1"/>
    <col min="14086" max="14086" width="8.5703125" style="16" customWidth="1"/>
    <col min="14087" max="14087" width="9" style="16" customWidth="1"/>
    <col min="14088" max="14088" width="7.140625" style="16" customWidth="1"/>
    <col min="14089" max="14089" width="7.140625" style="16" bestFit="1" customWidth="1"/>
    <col min="14090" max="14090" width="7.5703125" style="16" customWidth="1"/>
    <col min="14091" max="14092" width="7" style="16" bestFit="1" customWidth="1"/>
    <col min="14093" max="14093" width="6.85546875" style="16" bestFit="1" customWidth="1"/>
    <col min="14094" max="14094" width="7" style="16" bestFit="1" customWidth="1"/>
    <col min="14095" max="14095" width="7.140625" style="16" bestFit="1"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8.42578125" style="16" customWidth="1"/>
    <col min="14339" max="14339" width="8.5703125" style="16" customWidth="1"/>
    <col min="14340" max="14340" width="6.7109375" style="16" bestFit="1" customWidth="1"/>
    <col min="14341" max="14341" width="8.5703125" style="16" bestFit="1" customWidth="1"/>
    <col min="14342" max="14342" width="8.5703125" style="16" customWidth="1"/>
    <col min="14343" max="14343" width="9" style="16" customWidth="1"/>
    <col min="14344" max="14344" width="7.140625" style="16" customWidth="1"/>
    <col min="14345" max="14345" width="7.140625" style="16" bestFit="1" customWidth="1"/>
    <col min="14346" max="14346" width="7.5703125" style="16" customWidth="1"/>
    <col min="14347" max="14348" width="7" style="16" bestFit="1" customWidth="1"/>
    <col min="14349" max="14349" width="6.85546875" style="16" bestFit="1" customWidth="1"/>
    <col min="14350" max="14350" width="7" style="16" bestFit="1" customWidth="1"/>
    <col min="14351" max="14351" width="7.140625" style="16" bestFit="1"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8.42578125" style="16" customWidth="1"/>
    <col min="14595" max="14595" width="8.5703125" style="16" customWidth="1"/>
    <col min="14596" max="14596" width="6.7109375" style="16" bestFit="1" customWidth="1"/>
    <col min="14597" max="14597" width="8.5703125" style="16" bestFit="1" customWidth="1"/>
    <col min="14598" max="14598" width="8.5703125" style="16" customWidth="1"/>
    <col min="14599" max="14599" width="9" style="16" customWidth="1"/>
    <col min="14600" max="14600" width="7.140625" style="16" customWidth="1"/>
    <col min="14601" max="14601" width="7.140625" style="16" bestFit="1" customWidth="1"/>
    <col min="14602" max="14602" width="7.5703125" style="16" customWidth="1"/>
    <col min="14603" max="14604" width="7" style="16" bestFit="1" customWidth="1"/>
    <col min="14605" max="14605" width="6.85546875" style="16" bestFit="1" customWidth="1"/>
    <col min="14606" max="14606" width="7" style="16" bestFit="1" customWidth="1"/>
    <col min="14607" max="14607" width="7.140625" style="16" bestFit="1"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8.42578125" style="16" customWidth="1"/>
    <col min="14851" max="14851" width="8.5703125" style="16" customWidth="1"/>
    <col min="14852" max="14852" width="6.7109375" style="16" bestFit="1" customWidth="1"/>
    <col min="14853" max="14853" width="8.5703125" style="16" bestFit="1" customWidth="1"/>
    <col min="14854" max="14854" width="8.5703125" style="16" customWidth="1"/>
    <col min="14855" max="14855" width="9" style="16" customWidth="1"/>
    <col min="14856" max="14856" width="7.140625" style="16" customWidth="1"/>
    <col min="14857" max="14857" width="7.140625" style="16" bestFit="1" customWidth="1"/>
    <col min="14858" max="14858" width="7.5703125" style="16" customWidth="1"/>
    <col min="14859" max="14860" width="7" style="16" bestFit="1" customWidth="1"/>
    <col min="14861" max="14861" width="6.85546875" style="16" bestFit="1" customWidth="1"/>
    <col min="14862" max="14862" width="7" style="16" bestFit="1" customWidth="1"/>
    <col min="14863" max="14863" width="7.140625" style="16" bestFit="1"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8.42578125" style="16" customWidth="1"/>
    <col min="15107" max="15107" width="8.5703125" style="16" customWidth="1"/>
    <col min="15108" max="15108" width="6.7109375" style="16" bestFit="1" customWidth="1"/>
    <col min="15109" max="15109" width="8.5703125" style="16" bestFit="1" customWidth="1"/>
    <col min="15110" max="15110" width="8.5703125" style="16" customWidth="1"/>
    <col min="15111" max="15111" width="9" style="16" customWidth="1"/>
    <col min="15112" max="15112" width="7.140625" style="16" customWidth="1"/>
    <col min="15113" max="15113" width="7.140625" style="16" bestFit="1" customWidth="1"/>
    <col min="15114" max="15114" width="7.5703125" style="16" customWidth="1"/>
    <col min="15115" max="15116" width="7" style="16" bestFit="1" customWidth="1"/>
    <col min="15117" max="15117" width="6.85546875" style="16" bestFit="1" customWidth="1"/>
    <col min="15118" max="15118" width="7" style="16" bestFit="1" customWidth="1"/>
    <col min="15119" max="15119" width="7.140625" style="16" bestFit="1"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8.42578125" style="16" customWidth="1"/>
    <col min="15363" max="15363" width="8.5703125" style="16" customWidth="1"/>
    <col min="15364" max="15364" width="6.7109375" style="16" bestFit="1" customWidth="1"/>
    <col min="15365" max="15365" width="8.5703125" style="16" bestFit="1" customWidth="1"/>
    <col min="15366" max="15366" width="8.5703125" style="16" customWidth="1"/>
    <col min="15367" max="15367" width="9" style="16" customWidth="1"/>
    <col min="15368" max="15368" width="7.140625" style="16" customWidth="1"/>
    <col min="15369" max="15369" width="7.140625" style="16" bestFit="1" customWidth="1"/>
    <col min="15370" max="15370" width="7.5703125" style="16" customWidth="1"/>
    <col min="15371" max="15372" width="7" style="16" bestFit="1" customWidth="1"/>
    <col min="15373" max="15373" width="6.85546875" style="16" bestFit="1" customWidth="1"/>
    <col min="15374" max="15374" width="7" style="16" bestFit="1" customWidth="1"/>
    <col min="15375" max="15375" width="7.140625" style="16" bestFit="1"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8.42578125" style="16" customWidth="1"/>
    <col min="15619" max="15619" width="8.5703125" style="16" customWidth="1"/>
    <col min="15620" max="15620" width="6.7109375" style="16" bestFit="1" customWidth="1"/>
    <col min="15621" max="15621" width="8.5703125" style="16" bestFit="1" customWidth="1"/>
    <col min="15622" max="15622" width="8.5703125" style="16" customWidth="1"/>
    <col min="15623" max="15623" width="9" style="16" customWidth="1"/>
    <col min="15624" max="15624" width="7.140625" style="16" customWidth="1"/>
    <col min="15625" max="15625" width="7.140625" style="16" bestFit="1" customWidth="1"/>
    <col min="15626" max="15626" width="7.5703125" style="16" customWidth="1"/>
    <col min="15627" max="15628" width="7" style="16" bestFit="1" customWidth="1"/>
    <col min="15629" max="15629" width="6.85546875" style="16" bestFit="1" customWidth="1"/>
    <col min="15630" max="15630" width="7" style="16" bestFit="1" customWidth="1"/>
    <col min="15631" max="15631" width="7.140625" style="16" bestFit="1"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8.42578125" style="16" customWidth="1"/>
    <col min="15875" max="15875" width="8.5703125" style="16" customWidth="1"/>
    <col min="15876" max="15876" width="6.7109375" style="16" bestFit="1" customWidth="1"/>
    <col min="15877" max="15877" width="8.5703125" style="16" bestFit="1" customWidth="1"/>
    <col min="15878" max="15878" width="8.5703125" style="16" customWidth="1"/>
    <col min="15879" max="15879" width="9" style="16" customWidth="1"/>
    <col min="15880" max="15880" width="7.140625" style="16" customWidth="1"/>
    <col min="15881" max="15881" width="7.140625" style="16" bestFit="1" customWidth="1"/>
    <col min="15882" max="15882" width="7.5703125" style="16" customWidth="1"/>
    <col min="15883" max="15884" width="7" style="16" bestFit="1" customWidth="1"/>
    <col min="15885" max="15885" width="6.85546875" style="16" bestFit="1" customWidth="1"/>
    <col min="15886" max="15886" width="7" style="16" bestFit="1" customWidth="1"/>
    <col min="15887" max="15887" width="7.140625" style="16" bestFit="1"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8.42578125" style="16" customWidth="1"/>
    <col min="16131" max="16131" width="8.5703125" style="16" customWidth="1"/>
    <col min="16132" max="16132" width="6.7109375" style="16" bestFit="1" customWidth="1"/>
    <col min="16133" max="16133" width="8.5703125" style="16" bestFit="1" customWidth="1"/>
    <col min="16134" max="16134" width="8.5703125" style="16" customWidth="1"/>
    <col min="16135" max="16135" width="9" style="16" customWidth="1"/>
    <col min="16136" max="16136" width="7.140625" style="16" customWidth="1"/>
    <col min="16137" max="16137" width="7.140625" style="16" bestFit="1" customWidth="1"/>
    <col min="16138" max="16138" width="7.5703125" style="16" customWidth="1"/>
    <col min="16139" max="16140" width="7" style="16" bestFit="1" customWidth="1"/>
    <col min="16141" max="16141" width="6.85546875" style="16" bestFit="1" customWidth="1"/>
    <col min="16142" max="16142" width="7" style="16" bestFit="1" customWidth="1"/>
    <col min="16143" max="16143" width="7.140625" style="16" bestFit="1"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67" t="s">
        <v>100</v>
      </c>
      <c r="B1" s="868"/>
      <c r="C1" s="868"/>
      <c r="D1" s="911" t="s">
        <v>402</v>
      </c>
      <c r="E1" s="868"/>
      <c r="F1" s="868"/>
      <c r="G1" s="867" t="s">
        <v>102</v>
      </c>
      <c r="H1" s="869"/>
      <c r="I1" s="869" t="s">
        <v>47</v>
      </c>
      <c r="J1" s="868"/>
      <c r="K1" s="868"/>
      <c r="L1" s="870"/>
      <c r="M1" s="870"/>
      <c r="N1" s="870"/>
      <c r="O1" s="870"/>
    </row>
    <row r="2" spans="1:15" s="1" customFormat="1" x14ac:dyDescent="0.2">
      <c r="A2" s="867" t="s">
        <v>103</v>
      </c>
      <c r="B2" s="868"/>
      <c r="C2" s="868"/>
      <c r="D2" s="869"/>
      <c r="E2" s="868"/>
      <c r="F2" s="868"/>
      <c r="G2" s="867" t="s">
        <v>104</v>
      </c>
      <c r="H2" s="869"/>
      <c r="I2" s="869" t="s">
        <v>105</v>
      </c>
      <c r="J2" s="868"/>
      <c r="K2" s="868"/>
      <c r="L2" s="870"/>
      <c r="M2" s="870"/>
      <c r="N2" s="870"/>
      <c r="O2" s="870"/>
    </row>
    <row r="3" spans="1:15" s="1" customFormat="1" x14ac:dyDescent="0.2">
      <c r="A3" s="867" t="s">
        <v>106</v>
      </c>
      <c r="B3" s="868"/>
      <c r="C3" s="868"/>
      <c r="D3" s="883" t="s">
        <v>403</v>
      </c>
      <c r="E3" s="868"/>
      <c r="F3" s="868"/>
      <c r="G3" s="867" t="s">
        <v>107</v>
      </c>
      <c r="H3" s="869"/>
      <c r="I3" s="869" t="s">
        <v>108</v>
      </c>
      <c r="J3" s="868"/>
      <c r="K3" s="868"/>
      <c r="L3" s="870"/>
      <c r="M3" s="870"/>
      <c r="N3" s="870"/>
      <c r="O3" s="870"/>
    </row>
    <row r="4" spans="1:15" s="1" customFormat="1" x14ac:dyDescent="0.2">
      <c r="A4" s="867" t="s">
        <v>109</v>
      </c>
      <c r="B4" s="868"/>
      <c r="C4" s="868"/>
      <c r="D4" s="869"/>
      <c r="E4" s="868"/>
      <c r="F4" s="868"/>
      <c r="G4" s="867" t="s">
        <v>110</v>
      </c>
      <c r="H4" s="869"/>
      <c r="I4" s="869" t="s">
        <v>404</v>
      </c>
      <c r="J4" s="868"/>
      <c r="K4" s="868"/>
      <c r="L4" s="870"/>
      <c r="M4" s="870"/>
      <c r="N4" s="870"/>
      <c r="O4" s="870"/>
    </row>
    <row r="5" spans="1:15" s="1" customFormat="1" x14ac:dyDescent="0.2">
      <c r="A5" s="867" t="s">
        <v>112</v>
      </c>
      <c r="B5" s="868"/>
      <c r="C5" s="868"/>
      <c r="D5" s="869"/>
      <c r="E5" s="868"/>
      <c r="F5" s="868"/>
      <c r="G5" s="867"/>
      <c r="H5" s="868"/>
      <c r="I5" s="869" t="s">
        <v>113</v>
      </c>
      <c r="J5" s="868"/>
      <c r="K5" s="868"/>
      <c r="L5" s="870"/>
      <c r="M5" s="870"/>
      <c r="N5" s="870"/>
      <c r="O5" s="870"/>
    </row>
    <row r="6" spans="1:15" s="1" customFormat="1" x14ac:dyDescent="0.2">
      <c r="A6" s="871" t="s">
        <v>114</v>
      </c>
      <c r="B6" s="872"/>
      <c r="C6" s="872"/>
      <c r="D6" s="868" t="s">
        <v>48</v>
      </c>
      <c r="E6" s="868"/>
      <c r="F6" s="868"/>
      <c r="G6" s="871" t="s">
        <v>115</v>
      </c>
      <c r="H6" s="871"/>
      <c r="I6" s="2" t="s">
        <v>222</v>
      </c>
      <c r="J6" s="888"/>
      <c r="K6" s="888"/>
      <c r="L6" s="888"/>
      <c r="M6" s="888"/>
      <c r="N6" s="888"/>
      <c r="O6" s="889"/>
    </row>
    <row r="7" spans="1:15" s="1" customFormat="1" ht="13.5" thickBot="1" x14ac:dyDescent="0.25">
      <c r="A7" s="3"/>
      <c r="B7" s="4"/>
      <c r="C7" s="5"/>
      <c r="D7" s="6"/>
      <c r="E7" s="6"/>
      <c r="F7" s="6"/>
      <c r="G7" s="6"/>
      <c r="H7" s="6"/>
      <c r="I7" s="6"/>
      <c r="J7" s="7"/>
      <c r="K7" s="8"/>
      <c r="L7" s="875" t="s">
        <v>223</v>
      </c>
      <c r="M7" s="875"/>
      <c r="N7" s="875"/>
      <c r="O7" s="875"/>
    </row>
    <row r="8" spans="1:15" s="11" customFormat="1" x14ac:dyDescent="0.2">
      <c r="A8" s="876" t="str">
        <f>I1</f>
        <v>Ms. Sujata R. Patkar</v>
      </c>
      <c r="B8" s="877"/>
      <c r="C8" s="9">
        <v>43160</v>
      </c>
      <c r="D8" s="9">
        <v>43191</v>
      </c>
      <c r="E8" s="9">
        <v>43221</v>
      </c>
      <c r="F8" s="9">
        <v>43252</v>
      </c>
      <c r="G8" s="9">
        <v>43282</v>
      </c>
      <c r="H8" s="9">
        <v>43313</v>
      </c>
      <c r="I8" s="9">
        <v>43344</v>
      </c>
      <c r="J8" s="9">
        <v>43374</v>
      </c>
      <c r="K8" s="9">
        <v>43405</v>
      </c>
      <c r="L8" s="9">
        <v>43435</v>
      </c>
      <c r="M8" s="9">
        <v>43466</v>
      </c>
      <c r="N8" s="9">
        <v>43497</v>
      </c>
      <c r="O8" s="10" t="s">
        <v>117</v>
      </c>
    </row>
    <row r="9" spans="1:15" ht="15" customHeight="1" x14ac:dyDescent="0.2">
      <c r="A9" s="12"/>
      <c r="B9" s="13" t="s">
        <v>118</v>
      </c>
      <c r="C9" s="14">
        <v>55200</v>
      </c>
      <c r="D9" s="14">
        <f>+C9</f>
        <v>55200</v>
      </c>
      <c r="E9" s="14">
        <f t="shared" ref="E9:N9" si="0">+D9</f>
        <v>55200</v>
      </c>
      <c r="F9" s="14">
        <f t="shared" si="0"/>
        <v>55200</v>
      </c>
      <c r="G9" s="14">
        <f t="shared" si="0"/>
        <v>55200</v>
      </c>
      <c r="H9" s="14">
        <v>56900</v>
      </c>
      <c r="I9" s="14">
        <f t="shared" si="0"/>
        <v>56900</v>
      </c>
      <c r="J9" s="14">
        <f t="shared" si="0"/>
        <v>56900</v>
      </c>
      <c r="K9" s="14">
        <f t="shared" si="0"/>
        <v>56900</v>
      </c>
      <c r="L9" s="14">
        <f t="shared" si="0"/>
        <v>56900</v>
      </c>
      <c r="M9" s="14">
        <f t="shared" si="0"/>
        <v>56900</v>
      </c>
      <c r="N9" s="14">
        <f t="shared" si="0"/>
        <v>56900</v>
      </c>
      <c r="O9" s="15">
        <f>SUM(C9:N9)</f>
        <v>674300</v>
      </c>
    </row>
    <row r="10" spans="1:15" ht="15" customHeight="1"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2760</v>
      </c>
      <c r="D11" s="17">
        <v>3864</v>
      </c>
      <c r="E11" s="17">
        <v>3864</v>
      </c>
      <c r="F11" s="17">
        <v>3864</v>
      </c>
      <c r="G11" s="17">
        <v>3983</v>
      </c>
      <c r="H11" s="17">
        <v>3983</v>
      </c>
      <c r="I11" s="17">
        <v>3983</v>
      </c>
      <c r="J11" s="17">
        <v>5121</v>
      </c>
      <c r="K11" s="17">
        <v>5121</v>
      </c>
      <c r="L11" s="17">
        <v>5121</v>
      </c>
      <c r="M11" s="17">
        <v>5121</v>
      </c>
      <c r="N11" s="17">
        <v>5121</v>
      </c>
      <c r="O11" s="18">
        <f>SUM(C11:N11)</f>
        <v>51906</v>
      </c>
    </row>
    <row r="12" spans="1:15" ht="15" hidden="1" customHeight="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5" hidden="1" customHeight="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1">SUM(C13:N13)</f>
        <v>0</v>
      </c>
    </row>
    <row r="14" spans="1:15" ht="15" x14ac:dyDescent="0.2">
      <c r="A14" s="12"/>
      <c r="B14" s="13" t="s">
        <v>123</v>
      </c>
      <c r="C14" s="17">
        <v>3780</v>
      </c>
      <c r="D14" s="17">
        <v>3752</v>
      </c>
      <c r="E14" s="17">
        <v>3752</v>
      </c>
      <c r="F14" s="17">
        <v>3752</v>
      </c>
      <c r="G14" s="17">
        <v>3752</v>
      </c>
      <c r="H14" s="17">
        <v>3752</v>
      </c>
      <c r="I14" s="17">
        <v>3752</v>
      </c>
      <c r="J14" s="17">
        <v>3924</v>
      </c>
      <c r="K14" s="17">
        <v>3924</v>
      </c>
      <c r="L14" s="17">
        <v>3924</v>
      </c>
      <c r="M14" s="17">
        <v>3924</v>
      </c>
      <c r="N14" s="17">
        <v>3924</v>
      </c>
      <c r="O14" s="18">
        <f t="shared" si="1"/>
        <v>45912</v>
      </c>
    </row>
    <row r="15" spans="1:15" ht="15" customHeight="1" x14ac:dyDescent="0.2">
      <c r="A15" s="12"/>
      <c r="B15" s="13" t="s">
        <v>124</v>
      </c>
      <c r="C15" s="17">
        <v>0</v>
      </c>
      <c r="D15" s="17">
        <v>0</v>
      </c>
      <c r="E15" s="17">
        <v>0</v>
      </c>
      <c r="F15" s="17">
        <v>0</v>
      </c>
      <c r="G15" s="17">
        <v>0</v>
      </c>
      <c r="H15" s="17">
        <v>0</v>
      </c>
      <c r="I15" s="17">
        <v>0</v>
      </c>
      <c r="J15" s="17">
        <v>0</v>
      </c>
      <c r="K15" s="17">
        <v>0</v>
      </c>
      <c r="L15" s="17">
        <v>0</v>
      </c>
      <c r="M15" s="17">
        <v>0</v>
      </c>
      <c r="N15" s="17">
        <v>0</v>
      </c>
      <c r="O15" s="18">
        <f t="shared" si="1"/>
        <v>0</v>
      </c>
    </row>
    <row r="16" spans="1:15" ht="15" hidden="1" customHeight="1" x14ac:dyDescent="0.2">
      <c r="A16" s="12"/>
      <c r="B16" s="13" t="s">
        <v>405</v>
      </c>
      <c r="C16" s="17">
        <v>0</v>
      </c>
      <c r="D16" s="17">
        <v>0</v>
      </c>
      <c r="E16" s="17">
        <v>0</v>
      </c>
      <c r="F16" s="17">
        <v>0</v>
      </c>
      <c r="G16" s="17">
        <v>0</v>
      </c>
      <c r="H16" s="17">
        <v>0</v>
      </c>
      <c r="I16" s="17">
        <v>0</v>
      </c>
      <c r="J16" s="17">
        <v>0</v>
      </c>
      <c r="K16" s="17">
        <v>0</v>
      </c>
      <c r="L16" s="17">
        <v>0</v>
      </c>
      <c r="M16" s="17">
        <v>0</v>
      </c>
      <c r="N16" s="17">
        <v>0</v>
      </c>
      <c r="O16" s="18">
        <f t="shared" si="1"/>
        <v>0</v>
      </c>
    </row>
    <row r="17" spans="1:15" ht="15" hidden="1" customHeight="1" x14ac:dyDescent="0.2">
      <c r="A17" s="12"/>
      <c r="B17" s="13" t="s">
        <v>126</v>
      </c>
      <c r="C17" s="17">
        <v>0</v>
      </c>
      <c r="D17" s="17">
        <v>0</v>
      </c>
      <c r="E17" s="17">
        <v>0</v>
      </c>
      <c r="F17" s="17">
        <v>0</v>
      </c>
      <c r="G17" s="17">
        <v>0</v>
      </c>
      <c r="H17" s="17">
        <v>0</v>
      </c>
      <c r="I17" s="17">
        <v>0</v>
      </c>
      <c r="J17" s="17">
        <v>0</v>
      </c>
      <c r="K17" s="17">
        <v>0</v>
      </c>
      <c r="L17" s="17">
        <v>0</v>
      </c>
      <c r="M17" s="17">
        <v>0</v>
      </c>
      <c r="N17" s="17">
        <v>0</v>
      </c>
      <c r="O17" s="18">
        <f t="shared" si="1"/>
        <v>0</v>
      </c>
    </row>
    <row r="18" spans="1:15" ht="15" customHeight="1" x14ac:dyDescent="0.2">
      <c r="A18" s="12"/>
      <c r="B18" s="13" t="s">
        <v>127</v>
      </c>
      <c r="C18" s="17">
        <v>0</v>
      </c>
      <c r="D18" s="17">
        <v>0</v>
      </c>
      <c r="E18" s="17">
        <v>0</v>
      </c>
      <c r="F18" s="17">
        <v>0</v>
      </c>
      <c r="G18" s="17">
        <v>0</v>
      </c>
      <c r="H18" s="17">
        <v>0</v>
      </c>
      <c r="I18" s="17">
        <v>0</v>
      </c>
      <c r="J18" s="17">
        <v>0</v>
      </c>
      <c r="K18" s="17">
        <v>0</v>
      </c>
      <c r="L18" s="17">
        <v>0</v>
      </c>
      <c r="M18" s="17">
        <v>0</v>
      </c>
      <c r="N18" s="17">
        <v>0</v>
      </c>
      <c r="O18" s="18">
        <f t="shared" si="1"/>
        <v>0</v>
      </c>
    </row>
    <row r="19" spans="1:15" ht="15" customHeight="1" x14ac:dyDescent="0.2">
      <c r="A19" s="12"/>
      <c r="B19" s="13" t="s">
        <v>128</v>
      </c>
      <c r="C19" s="17">
        <v>13248</v>
      </c>
      <c r="D19" s="17">
        <v>13248</v>
      </c>
      <c r="E19" s="17">
        <v>13248</v>
      </c>
      <c r="F19" s="17">
        <v>13248</v>
      </c>
      <c r="G19" s="17">
        <v>13656</v>
      </c>
      <c r="H19" s="17">
        <v>13656</v>
      </c>
      <c r="I19" s="17">
        <v>13656</v>
      </c>
      <c r="J19" s="17">
        <v>13656</v>
      </c>
      <c r="K19" s="17">
        <v>13656</v>
      </c>
      <c r="L19" s="17">
        <v>13656</v>
      </c>
      <c r="M19" s="17">
        <v>13656</v>
      </c>
      <c r="N19" s="17">
        <v>13656</v>
      </c>
      <c r="O19" s="18">
        <f t="shared" si="1"/>
        <v>162240</v>
      </c>
    </row>
    <row r="20" spans="1:15" ht="15" customHeight="1" x14ac:dyDescent="0.2">
      <c r="A20" s="12"/>
      <c r="B20" s="13" t="s">
        <v>129</v>
      </c>
      <c r="C20" s="17">
        <v>0</v>
      </c>
      <c r="D20" s="17">
        <v>0</v>
      </c>
      <c r="E20" s="17">
        <v>0</v>
      </c>
      <c r="F20" s="17">
        <v>0</v>
      </c>
      <c r="G20" s="17">
        <v>26250</v>
      </c>
      <c r="H20" s="17">
        <v>0</v>
      </c>
      <c r="I20" s="17">
        <v>0</v>
      </c>
      <c r="J20" s="17">
        <v>0</v>
      </c>
      <c r="K20" s="17">
        <v>0</v>
      </c>
      <c r="L20" s="17">
        <v>0</v>
      </c>
      <c r="M20" s="17">
        <v>0</v>
      </c>
      <c r="N20" s="17">
        <v>0</v>
      </c>
      <c r="O20" s="18">
        <f t="shared" si="1"/>
        <v>26250</v>
      </c>
    </row>
    <row r="21" spans="1:15" ht="15" hidden="1" customHeight="1" x14ac:dyDescent="0.2">
      <c r="A21" s="878" t="s">
        <v>130</v>
      </c>
      <c r="B21" s="19" t="s">
        <v>131</v>
      </c>
      <c r="C21" s="17">
        <v>0</v>
      </c>
      <c r="D21" s="17">
        <v>0</v>
      </c>
      <c r="E21" s="17">
        <v>0</v>
      </c>
      <c r="F21" s="17">
        <v>0</v>
      </c>
      <c r="G21" s="17">
        <v>0</v>
      </c>
      <c r="H21" s="17">
        <v>0</v>
      </c>
      <c r="I21" s="17">
        <v>0</v>
      </c>
      <c r="J21" s="17">
        <v>0</v>
      </c>
      <c r="K21" s="17">
        <v>0</v>
      </c>
      <c r="L21" s="17">
        <v>0</v>
      </c>
      <c r="M21" s="17">
        <v>0</v>
      </c>
      <c r="N21" s="17">
        <v>0</v>
      </c>
      <c r="O21" s="18">
        <f t="shared" si="1"/>
        <v>0</v>
      </c>
    </row>
    <row r="22" spans="1:15" ht="15" customHeight="1" x14ac:dyDescent="0.2">
      <c r="A22" s="879"/>
      <c r="B22" s="19" t="s">
        <v>132</v>
      </c>
      <c r="C22" s="17">
        <v>0</v>
      </c>
      <c r="D22" s="17">
        <v>0</v>
      </c>
      <c r="E22" s="17">
        <v>0</v>
      </c>
      <c r="F22" s="17">
        <v>0</v>
      </c>
      <c r="G22" s="17">
        <v>0</v>
      </c>
      <c r="H22" s="17">
        <v>0</v>
      </c>
      <c r="I22" s="17">
        <v>0</v>
      </c>
      <c r="J22" s="17">
        <v>6908</v>
      </c>
      <c r="K22" s="17">
        <v>0</v>
      </c>
      <c r="L22" s="17">
        <v>0</v>
      </c>
      <c r="M22" s="17">
        <v>0</v>
      </c>
      <c r="N22" s="17">
        <v>0</v>
      </c>
      <c r="O22" s="18">
        <f t="shared" si="1"/>
        <v>6908</v>
      </c>
    </row>
    <row r="23" spans="1:15" ht="15" hidden="1" customHeight="1" x14ac:dyDescent="0.2">
      <c r="A23" s="879"/>
      <c r="B23" s="19" t="s">
        <v>133</v>
      </c>
      <c r="C23" s="17">
        <v>0</v>
      </c>
      <c r="D23" s="17">
        <v>0</v>
      </c>
      <c r="E23" s="17">
        <v>0</v>
      </c>
      <c r="F23" s="17">
        <v>0</v>
      </c>
      <c r="G23" s="17">
        <v>0</v>
      </c>
      <c r="H23" s="17">
        <v>0</v>
      </c>
      <c r="I23" s="17">
        <v>0</v>
      </c>
      <c r="J23" s="17">
        <v>0</v>
      </c>
      <c r="K23" s="17">
        <v>0</v>
      </c>
      <c r="L23" s="17">
        <v>0</v>
      </c>
      <c r="M23" s="17">
        <v>0</v>
      </c>
      <c r="N23" s="17">
        <v>0</v>
      </c>
      <c r="O23" s="18">
        <f t="shared" si="1"/>
        <v>0</v>
      </c>
    </row>
    <row r="24" spans="1:15" ht="15" hidden="1" customHeight="1" x14ac:dyDescent="0.2">
      <c r="A24" s="879"/>
      <c r="B24" s="19" t="s">
        <v>134</v>
      </c>
      <c r="C24" s="17">
        <v>0</v>
      </c>
      <c r="D24" s="17">
        <v>0</v>
      </c>
      <c r="E24" s="17">
        <v>0</v>
      </c>
      <c r="F24" s="17">
        <v>0</v>
      </c>
      <c r="G24" s="17">
        <v>0</v>
      </c>
      <c r="H24" s="17">
        <v>0</v>
      </c>
      <c r="I24" s="17">
        <v>0</v>
      </c>
      <c r="J24" s="17">
        <v>0</v>
      </c>
      <c r="K24" s="17">
        <v>0</v>
      </c>
      <c r="L24" s="17">
        <v>0</v>
      </c>
      <c r="M24" s="17">
        <v>0</v>
      </c>
      <c r="N24" s="17">
        <v>0</v>
      </c>
      <c r="O24" s="18">
        <f t="shared" si="1"/>
        <v>0</v>
      </c>
    </row>
    <row r="25" spans="1:15" ht="15" hidden="1" customHeight="1" x14ac:dyDescent="0.2">
      <c r="A25" s="879"/>
      <c r="B25" s="19" t="s">
        <v>135</v>
      </c>
      <c r="C25" s="17">
        <v>0</v>
      </c>
      <c r="D25" s="17">
        <v>0</v>
      </c>
      <c r="E25" s="17">
        <v>0</v>
      </c>
      <c r="F25" s="17">
        <v>0</v>
      </c>
      <c r="G25" s="17">
        <v>0</v>
      </c>
      <c r="H25" s="17">
        <v>0</v>
      </c>
      <c r="I25" s="17">
        <v>0</v>
      </c>
      <c r="J25" s="17">
        <v>0</v>
      </c>
      <c r="K25" s="17">
        <v>0</v>
      </c>
      <c r="L25" s="17">
        <v>0</v>
      </c>
      <c r="M25" s="17">
        <v>0</v>
      </c>
      <c r="N25" s="17">
        <v>0</v>
      </c>
      <c r="O25" s="18">
        <f t="shared" si="1"/>
        <v>0</v>
      </c>
    </row>
    <row r="26" spans="1:15" ht="15" hidden="1" customHeight="1" x14ac:dyDescent="0.2">
      <c r="A26" s="879"/>
      <c r="B26" s="19" t="s">
        <v>136</v>
      </c>
      <c r="C26" s="17">
        <v>0</v>
      </c>
      <c r="D26" s="17">
        <v>0</v>
      </c>
      <c r="E26" s="17">
        <v>0</v>
      </c>
      <c r="F26" s="17">
        <v>0</v>
      </c>
      <c r="G26" s="17">
        <v>0</v>
      </c>
      <c r="H26" s="17">
        <v>0</v>
      </c>
      <c r="I26" s="17">
        <v>0</v>
      </c>
      <c r="J26" s="17">
        <v>0</v>
      </c>
      <c r="K26" s="17">
        <v>0</v>
      </c>
      <c r="L26" s="17">
        <v>0</v>
      </c>
      <c r="M26" s="17">
        <v>0</v>
      </c>
      <c r="N26" s="17">
        <v>0</v>
      </c>
      <c r="O26" s="18">
        <f t="shared" si="1"/>
        <v>0</v>
      </c>
    </row>
    <row r="27" spans="1:15" ht="15" hidden="1" customHeight="1" x14ac:dyDescent="0.2">
      <c r="A27" s="879"/>
      <c r="B27" s="19" t="s">
        <v>137</v>
      </c>
      <c r="C27" s="17">
        <v>0</v>
      </c>
      <c r="D27" s="17">
        <v>0</v>
      </c>
      <c r="E27" s="17">
        <v>0</v>
      </c>
      <c r="F27" s="17">
        <v>0</v>
      </c>
      <c r="G27" s="17">
        <v>0</v>
      </c>
      <c r="H27" s="17">
        <v>0</v>
      </c>
      <c r="I27" s="17">
        <v>0</v>
      </c>
      <c r="J27" s="17">
        <v>0</v>
      </c>
      <c r="K27" s="17">
        <v>0</v>
      </c>
      <c r="L27" s="17">
        <v>0</v>
      </c>
      <c r="M27" s="17">
        <v>0</v>
      </c>
      <c r="N27" s="17">
        <v>0</v>
      </c>
      <c r="O27" s="18">
        <f t="shared" si="1"/>
        <v>0</v>
      </c>
    </row>
    <row r="28" spans="1:15" ht="15" hidden="1" customHeight="1" x14ac:dyDescent="0.2">
      <c r="A28" s="879"/>
      <c r="B28" s="19" t="s">
        <v>138</v>
      </c>
      <c r="C28" s="17">
        <v>0</v>
      </c>
      <c r="D28" s="17">
        <v>0</v>
      </c>
      <c r="E28" s="17">
        <v>0</v>
      </c>
      <c r="F28" s="17">
        <v>0</v>
      </c>
      <c r="G28" s="17">
        <v>0</v>
      </c>
      <c r="H28" s="17">
        <v>0</v>
      </c>
      <c r="I28" s="17">
        <v>0</v>
      </c>
      <c r="J28" s="17">
        <v>0</v>
      </c>
      <c r="K28" s="17">
        <v>0</v>
      </c>
      <c r="L28" s="17">
        <v>0</v>
      </c>
      <c r="M28" s="17">
        <v>0</v>
      </c>
      <c r="N28" s="17">
        <v>0</v>
      </c>
      <c r="O28" s="18">
        <f t="shared" si="1"/>
        <v>0</v>
      </c>
    </row>
    <row r="29" spans="1:15" ht="15" hidden="1" customHeight="1" x14ac:dyDescent="0.2">
      <c r="A29" s="879"/>
      <c r="B29" s="19" t="s">
        <v>139</v>
      </c>
      <c r="C29" s="17">
        <v>0</v>
      </c>
      <c r="D29" s="17">
        <v>0</v>
      </c>
      <c r="E29" s="17">
        <v>0</v>
      </c>
      <c r="F29" s="17">
        <v>0</v>
      </c>
      <c r="G29" s="17">
        <v>0</v>
      </c>
      <c r="H29" s="17">
        <v>0</v>
      </c>
      <c r="I29" s="17">
        <v>0</v>
      </c>
      <c r="J29" s="17">
        <v>0</v>
      </c>
      <c r="K29" s="17">
        <v>0</v>
      </c>
      <c r="L29" s="17">
        <v>0</v>
      </c>
      <c r="M29" s="17">
        <v>0</v>
      </c>
      <c r="N29" s="17">
        <v>0</v>
      </c>
      <c r="O29" s="18">
        <f t="shared" si="1"/>
        <v>0</v>
      </c>
    </row>
    <row r="30" spans="1:15" ht="15" hidden="1" customHeight="1" x14ac:dyDescent="0.2">
      <c r="A30" s="879"/>
      <c r="B30" s="19" t="s">
        <v>140</v>
      </c>
      <c r="C30" s="17">
        <v>0</v>
      </c>
      <c r="D30" s="17">
        <v>0</v>
      </c>
      <c r="E30" s="17">
        <v>0</v>
      </c>
      <c r="F30" s="17">
        <v>0</v>
      </c>
      <c r="G30" s="17">
        <v>0</v>
      </c>
      <c r="H30" s="17">
        <v>0</v>
      </c>
      <c r="I30" s="17">
        <v>0</v>
      </c>
      <c r="J30" s="17">
        <v>0</v>
      </c>
      <c r="K30" s="17">
        <v>0</v>
      </c>
      <c r="L30" s="17">
        <v>0</v>
      </c>
      <c r="M30" s="17">
        <v>0</v>
      </c>
      <c r="N30" s="17">
        <v>0</v>
      </c>
      <c r="O30" s="18">
        <f t="shared" si="1"/>
        <v>0</v>
      </c>
    </row>
    <row r="31" spans="1:15" ht="15" hidden="1" customHeight="1" x14ac:dyDescent="0.2">
      <c r="A31" s="879"/>
      <c r="B31" s="19" t="s">
        <v>225</v>
      </c>
      <c r="C31" s="17">
        <v>0</v>
      </c>
      <c r="D31" s="17">
        <v>0</v>
      </c>
      <c r="E31" s="17">
        <v>0</v>
      </c>
      <c r="F31" s="17">
        <v>0</v>
      </c>
      <c r="G31" s="17">
        <v>0</v>
      </c>
      <c r="H31" s="17">
        <v>0</v>
      </c>
      <c r="I31" s="17">
        <v>0</v>
      </c>
      <c r="J31" s="17">
        <v>0</v>
      </c>
      <c r="K31" s="17">
        <v>0</v>
      </c>
      <c r="L31" s="17">
        <v>0</v>
      </c>
      <c r="M31" s="17">
        <v>0</v>
      </c>
      <c r="N31" s="17">
        <v>0</v>
      </c>
      <c r="O31" s="18">
        <f t="shared" si="1"/>
        <v>0</v>
      </c>
    </row>
    <row r="32" spans="1:15" ht="15" customHeight="1" x14ac:dyDescent="0.2">
      <c r="A32" s="879"/>
      <c r="B32" s="21" t="s">
        <v>142</v>
      </c>
      <c r="C32" s="17">
        <v>0</v>
      </c>
      <c r="D32" s="17">
        <v>0</v>
      </c>
      <c r="E32" s="17">
        <v>0</v>
      </c>
      <c r="F32" s="17">
        <v>0</v>
      </c>
      <c r="G32" s="17">
        <v>0</v>
      </c>
      <c r="H32" s="17">
        <v>0</v>
      </c>
      <c r="I32" s="17">
        <v>0</v>
      </c>
      <c r="J32" s="17">
        <v>0</v>
      </c>
      <c r="K32" s="17">
        <v>0</v>
      </c>
      <c r="L32" s="17">
        <v>0</v>
      </c>
      <c r="M32" s="17">
        <v>0</v>
      </c>
      <c r="N32" s="17">
        <v>0</v>
      </c>
      <c r="O32" s="18">
        <f t="shared" si="1"/>
        <v>0</v>
      </c>
    </row>
    <row r="33" spans="1:16" ht="15" hidden="1" customHeight="1" x14ac:dyDescent="0.2">
      <c r="A33" s="880"/>
      <c r="B33" s="19" t="s">
        <v>226</v>
      </c>
      <c r="C33" s="17">
        <v>0</v>
      </c>
      <c r="D33" s="17">
        <v>0</v>
      </c>
      <c r="E33" s="17">
        <v>0</v>
      </c>
      <c r="F33" s="17">
        <v>0</v>
      </c>
      <c r="G33" s="17">
        <v>0</v>
      </c>
      <c r="H33" s="17">
        <v>0</v>
      </c>
      <c r="I33" s="17">
        <v>0</v>
      </c>
      <c r="J33" s="17">
        <v>0</v>
      </c>
      <c r="K33" s="17">
        <v>0</v>
      </c>
      <c r="L33" s="17">
        <v>0</v>
      </c>
      <c r="M33" s="17">
        <v>0</v>
      </c>
      <c r="N33" s="17">
        <v>0</v>
      </c>
      <c r="O33" s="18">
        <f t="shared" si="1"/>
        <v>0</v>
      </c>
    </row>
    <row r="34" spans="1:16" ht="15" customHeight="1" x14ac:dyDescent="0.2">
      <c r="A34" s="219"/>
      <c r="B34" s="220" t="s">
        <v>143</v>
      </c>
      <c r="C34" s="17">
        <v>0</v>
      </c>
      <c r="D34" s="17">
        <v>0</v>
      </c>
      <c r="E34" s="17">
        <v>0</v>
      </c>
      <c r="F34" s="17">
        <v>0</v>
      </c>
      <c r="G34" s="17">
        <v>0</v>
      </c>
      <c r="H34" s="17">
        <v>0</v>
      </c>
      <c r="I34" s="17">
        <v>0</v>
      </c>
      <c r="J34" s="17">
        <v>0</v>
      </c>
      <c r="K34" s="17">
        <v>0</v>
      </c>
      <c r="L34" s="17">
        <v>0</v>
      </c>
      <c r="M34" s="17">
        <v>0</v>
      </c>
      <c r="N34" s="17">
        <v>0</v>
      </c>
      <c r="O34" s="18">
        <f t="shared" si="1"/>
        <v>0</v>
      </c>
    </row>
    <row r="35" spans="1:16" ht="15" customHeight="1" x14ac:dyDescent="0.2">
      <c r="A35" s="865" t="s">
        <v>145</v>
      </c>
      <c r="B35" s="866"/>
      <c r="C35" s="17">
        <v>0</v>
      </c>
      <c r="D35" s="17">
        <v>216</v>
      </c>
      <c r="E35" s="17">
        <v>0</v>
      </c>
      <c r="F35" s="17">
        <v>0</v>
      </c>
      <c r="G35" s="17">
        <v>0</v>
      </c>
      <c r="H35" s="17">
        <v>0</v>
      </c>
      <c r="I35" s="17">
        <v>0</v>
      </c>
      <c r="J35" s="17">
        <v>216</v>
      </c>
      <c r="K35" s="17">
        <v>0</v>
      </c>
      <c r="L35" s="17">
        <v>0</v>
      </c>
      <c r="M35" s="17">
        <v>0</v>
      </c>
      <c r="N35" s="17">
        <v>0</v>
      </c>
      <c r="O35" s="18">
        <f t="shared" si="1"/>
        <v>432</v>
      </c>
    </row>
    <row r="36" spans="1:16" ht="15" customHeight="1" x14ac:dyDescent="0.2">
      <c r="A36" s="865" t="s">
        <v>146</v>
      </c>
      <c r="B36" s="866"/>
      <c r="C36" s="17">
        <v>0</v>
      </c>
      <c r="D36" s="17">
        <v>3312</v>
      </c>
      <c r="E36" s="17">
        <v>0</v>
      </c>
      <c r="F36" s="17">
        <v>0</v>
      </c>
      <c r="G36" s="17">
        <v>0</v>
      </c>
      <c r="H36" s="17">
        <v>0</v>
      </c>
      <c r="I36" s="17">
        <v>0</v>
      </c>
      <c r="J36" s="17">
        <v>3414</v>
      </c>
      <c r="K36" s="17">
        <v>0</v>
      </c>
      <c r="L36" s="17">
        <v>0</v>
      </c>
      <c r="M36" s="17">
        <v>0</v>
      </c>
      <c r="N36" s="17">
        <v>0</v>
      </c>
      <c r="O36" s="18">
        <f t="shared" si="1"/>
        <v>6726</v>
      </c>
    </row>
    <row r="37" spans="1:16" ht="15" customHeight="1" x14ac:dyDescent="0.2">
      <c r="A37" s="22"/>
      <c r="B37" s="23" t="s">
        <v>147</v>
      </c>
      <c r="C37" s="24">
        <f t="shared" ref="C37:N37" si="2">SUM(C9:C36)</f>
        <v>74988</v>
      </c>
      <c r="D37" s="24">
        <f t="shared" si="2"/>
        <v>79592</v>
      </c>
      <c r="E37" s="24">
        <f t="shared" si="2"/>
        <v>76064</v>
      </c>
      <c r="F37" s="24">
        <f t="shared" si="2"/>
        <v>76064</v>
      </c>
      <c r="G37" s="24">
        <f t="shared" si="2"/>
        <v>102841</v>
      </c>
      <c r="H37" s="24">
        <f t="shared" si="2"/>
        <v>78291</v>
      </c>
      <c r="I37" s="24">
        <f t="shared" si="2"/>
        <v>78291</v>
      </c>
      <c r="J37" s="24">
        <f t="shared" si="2"/>
        <v>90139</v>
      </c>
      <c r="K37" s="24">
        <f t="shared" si="2"/>
        <v>79601</v>
      </c>
      <c r="L37" s="24">
        <f t="shared" si="2"/>
        <v>79601</v>
      </c>
      <c r="M37" s="24">
        <f t="shared" si="2"/>
        <v>79601</v>
      </c>
      <c r="N37" s="24">
        <f t="shared" si="2"/>
        <v>79601</v>
      </c>
      <c r="O37" s="25">
        <f>SUM(C37:N37)</f>
        <v>974674</v>
      </c>
    </row>
    <row r="38" spans="1:16" ht="15" customHeight="1" x14ac:dyDescent="0.2">
      <c r="A38" s="853" t="s">
        <v>148</v>
      </c>
      <c r="B38" s="27" t="s">
        <v>149</v>
      </c>
      <c r="C38" s="28">
        <v>4600</v>
      </c>
      <c r="D38" s="28">
        <v>5000</v>
      </c>
      <c r="E38" s="28">
        <v>4500</v>
      </c>
      <c r="F38" s="28">
        <v>4500</v>
      </c>
      <c r="G38" s="28">
        <v>4500</v>
      </c>
      <c r="H38" s="28">
        <v>4500</v>
      </c>
      <c r="I38" s="28">
        <v>4500</v>
      </c>
      <c r="J38" s="28">
        <v>4500</v>
      </c>
      <c r="K38" s="28">
        <v>8500</v>
      </c>
      <c r="L38" s="28">
        <v>6920</v>
      </c>
      <c r="M38" s="28">
        <v>6920</v>
      </c>
      <c r="N38" s="28">
        <v>7560</v>
      </c>
      <c r="O38" s="18">
        <f t="shared" ref="O38:O50" si="3">SUM(C38:N38)</f>
        <v>66500</v>
      </c>
      <c r="P38" s="29"/>
    </row>
    <row r="39" spans="1:16" ht="15" customHeight="1" x14ac:dyDescent="0.2">
      <c r="A39" s="854"/>
      <c r="B39" s="27" t="s">
        <v>150</v>
      </c>
      <c r="C39" s="28">
        <v>0</v>
      </c>
      <c r="D39" s="28">
        <v>0</v>
      </c>
      <c r="E39" s="28">
        <v>0</v>
      </c>
      <c r="F39" s="28">
        <v>0</v>
      </c>
      <c r="G39" s="28">
        <v>0</v>
      </c>
      <c r="H39" s="28">
        <v>0</v>
      </c>
      <c r="I39" s="28">
        <v>0</v>
      </c>
      <c r="J39" s="28">
        <v>0</v>
      </c>
      <c r="K39" s="28">
        <v>0</v>
      </c>
      <c r="L39" s="28">
        <v>0</v>
      </c>
      <c r="M39" s="28">
        <v>0</v>
      </c>
      <c r="N39" s="28">
        <v>0</v>
      </c>
      <c r="O39" s="18">
        <f t="shared" si="3"/>
        <v>0</v>
      </c>
    </row>
    <row r="40" spans="1:16" ht="15" customHeight="1" x14ac:dyDescent="0.2">
      <c r="A40" s="854"/>
      <c r="B40" s="27" t="s">
        <v>151</v>
      </c>
      <c r="C40" s="28">
        <v>60</v>
      </c>
      <c r="D40" s="28">
        <v>60</v>
      </c>
      <c r="E40" s="28">
        <v>60</v>
      </c>
      <c r="F40" s="28">
        <v>60</v>
      </c>
      <c r="G40" s="28">
        <v>60</v>
      </c>
      <c r="H40" s="28">
        <v>60</v>
      </c>
      <c r="I40" s="28">
        <v>60</v>
      </c>
      <c r="J40" s="28">
        <v>60</v>
      </c>
      <c r="K40" s="28">
        <v>0</v>
      </c>
      <c r="L40" s="28">
        <v>0</v>
      </c>
      <c r="M40" s="28">
        <v>0</v>
      </c>
      <c r="N40" s="28">
        <v>0</v>
      </c>
      <c r="O40" s="18">
        <f t="shared" si="3"/>
        <v>480</v>
      </c>
    </row>
    <row r="41" spans="1:16" ht="15" customHeight="1" x14ac:dyDescent="0.2">
      <c r="A41" s="854"/>
      <c r="B41" s="27" t="s">
        <v>152</v>
      </c>
      <c r="C41" s="28">
        <v>0</v>
      </c>
      <c r="D41" s="28">
        <v>0</v>
      </c>
      <c r="E41" s="28">
        <v>0</v>
      </c>
      <c r="F41" s="28">
        <v>0</v>
      </c>
      <c r="G41" s="28">
        <v>0</v>
      </c>
      <c r="H41" s="28">
        <v>0</v>
      </c>
      <c r="I41" s="28">
        <v>0</v>
      </c>
      <c r="J41" s="28">
        <v>0</v>
      </c>
      <c r="K41" s="28">
        <v>0</v>
      </c>
      <c r="L41" s="28">
        <v>0</v>
      </c>
      <c r="M41" s="28">
        <v>0</v>
      </c>
      <c r="N41" s="28">
        <v>0</v>
      </c>
      <c r="O41" s="18">
        <f t="shared" si="3"/>
        <v>0</v>
      </c>
    </row>
    <row r="42" spans="1:16" ht="15" customHeight="1" x14ac:dyDescent="0.2">
      <c r="A42" s="854"/>
      <c r="B42" s="27" t="s">
        <v>153</v>
      </c>
      <c r="C42" s="28">
        <v>0</v>
      </c>
      <c r="D42" s="28">
        <v>0</v>
      </c>
      <c r="E42" s="28">
        <v>0</v>
      </c>
      <c r="F42" s="28">
        <v>0</v>
      </c>
      <c r="G42" s="28">
        <v>0</v>
      </c>
      <c r="H42" s="28">
        <v>0</v>
      </c>
      <c r="I42" s="28">
        <v>0</v>
      </c>
      <c r="J42" s="28">
        <v>0</v>
      </c>
      <c r="K42" s="28">
        <v>0</v>
      </c>
      <c r="L42" s="28">
        <v>0</v>
      </c>
      <c r="M42" s="28">
        <v>0</v>
      </c>
      <c r="N42" s="28">
        <v>0</v>
      </c>
      <c r="O42" s="18">
        <f t="shared" si="3"/>
        <v>0</v>
      </c>
    </row>
    <row r="43" spans="1:16" ht="15" customHeight="1" x14ac:dyDescent="0.2">
      <c r="A43" s="854"/>
      <c r="B43" s="27" t="s">
        <v>154</v>
      </c>
      <c r="C43" s="28">
        <v>12000</v>
      </c>
      <c r="D43" s="28">
        <v>12000</v>
      </c>
      <c r="E43" s="28">
        <v>12000</v>
      </c>
      <c r="F43" s="28">
        <v>12000</v>
      </c>
      <c r="G43" s="28">
        <v>12000</v>
      </c>
      <c r="H43" s="28">
        <v>12000</v>
      </c>
      <c r="I43" s="28">
        <v>12000</v>
      </c>
      <c r="J43" s="28">
        <v>12000</v>
      </c>
      <c r="K43" s="28">
        <v>3000</v>
      </c>
      <c r="L43" s="28">
        <v>3000</v>
      </c>
      <c r="M43" s="28">
        <v>3000</v>
      </c>
      <c r="N43" s="28">
        <v>3000</v>
      </c>
      <c r="O43" s="18">
        <f t="shared" si="3"/>
        <v>108000</v>
      </c>
    </row>
    <row r="44" spans="1:16" ht="15" customHeight="1" x14ac:dyDescent="0.2">
      <c r="A44" s="854"/>
      <c r="B44" s="27" t="s">
        <v>155</v>
      </c>
      <c r="C44" s="28">
        <v>200</v>
      </c>
      <c r="D44" s="28">
        <v>200</v>
      </c>
      <c r="E44" s="28">
        <v>200</v>
      </c>
      <c r="F44" s="28">
        <v>200</v>
      </c>
      <c r="G44" s="28">
        <v>200</v>
      </c>
      <c r="H44" s="28">
        <v>200</v>
      </c>
      <c r="I44" s="28">
        <v>200</v>
      </c>
      <c r="J44" s="28">
        <v>200</v>
      </c>
      <c r="K44" s="28">
        <v>200</v>
      </c>
      <c r="L44" s="28">
        <v>200</v>
      </c>
      <c r="M44" s="28">
        <v>200</v>
      </c>
      <c r="N44" s="28">
        <v>300</v>
      </c>
      <c r="O44" s="18">
        <f t="shared" si="3"/>
        <v>2500</v>
      </c>
    </row>
    <row r="45" spans="1:16" ht="15" customHeight="1" x14ac:dyDescent="0.2">
      <c r="A45" s="854"/>
      <c r="B45" s="27" t="s">
        <v>156</v>
      </c>
      <c r="C45" s="28">
        <v>0</v>
      </c>
      <c r="D45" s="28">
        <v>0</v>
      </c>
      <c r="E45" s="28">
        <v>0</v>
      </c>
      <c r="F45" s="28">
        <v>0</v>
      </c>
      <c r="G45" s="28">
        <v>0</v>
      </c>
      <c r="H45" s="28">
        <v>0</v>
      </c>
      <c r="I45" s="28">
        <v>0</v>
      </c>
      <c r="J45" s="28">
        <v>0</v>
      </c>
      <c r="K45" s="28">
        <v>0</v>
      </c>
      <c r="L45" s="28">
        <v>0</v>
      </c>
      <c r="M45" s="28">
        <v>0</v>
      </c>
      <c r="N45" s="28">
        <v>0</v>
      </c>
      <c r="O45" s="18">
        <f t="shared" si="3"/>
        <v>0</v>
      </c>
    </row>
    <row r="46" spans="1:16" ht="15" customHeight="1" x14ac:dyDescent="0.2">
      <c r="A46" s="854"/>
      <c r="B46" s="27" t="s">
        <v>157</v>
      </c>
      <c r="C46" s="28">
        <v>0</v>
      </c>
      <c r="D46" s="28">
        <v>0</v>
      </c>
      <c r="E46" s="28">
        <v>0</v>
      </c>
      <c r="F46" s="28">
        <v>0</v>
      </c>
      <c r="G46" s="28">
        <v>0</v>
      </c>
      <c r="H46" s="28">
        <v>0</v>
      </c>
      <c r="I46" s="28">
        <v>0</v>
      </c>
      <c r="J46" s="28">
        <v>0</v>
      </c>
      <c r="K46" s="28">
        <v>0</v>
      </c>
      <c r="L46" s="28">
        <v>0</v>
      </c>
      <c r="M46" s="28">
        <v>0</v>
      </c>
      <c r="N46" s="28">
        <v>0</v>
      </c>
      <c r="O46" s="18">
        <f t="shared" si="3"/>
        <v>0</v>
      </c>
    </row>
    <row r="47" spans="1:16" ht="28.5" customHeight="1" x14ac:dyDescent="0.2">
      <c r="A47" s="855"/>
      <c r="B47" s="30" t="s">
        <v>158</v>
      </c>
      <c r="C47" s="28">
        <v>1517</v>
      </c>
      <c r="D47" s="28">
        <v>1517</v>
      </c>
      <c r="E47" s="28">
        <v>1517</v>
      </c>
      <c r="F47" s="28">
        <v>1517</v>
      </c>
      <c r="G47" s="28">
        <v>1517</v>
      </c>
      <c r="H47" s="28">
        <v>1517</v>
      </c>
      <c r="I47" s="28">
        <v>1517</v>
      </c>
      <c r="J47" s="28">
        <v>1517</v>
      </c>
      <c r="K47" s="28">
        <v>1517</v>
      </c>
      <c r="L47" s="28">
        <v>1517</v>
      </c>
      <c r="M47" s="28">
        <v>1517</v>
      </c>
      <c r="N47" s="28">
        <v>1517</v>
      </c>
      <c r="O47" s="31">
        <f t="shared" si="3"/>
        <v>18204</v>
      </c>
    </row>
    <row r="48" spans="1:16" ht="15" x14ac:dyDescent="0.2">
      <c r="A48" s="856"/>
      <c r="B48" s="127" t="s">
        <v>406</v>
      </c>
      <c r="C48" s="28">
        <v>0</v>
      </c>
      <c r="D48" s="28">
        <v>0</v>
      </c>
      <c r="E48" s="28">
        <v>0</v>
      </c>
      <c r="F48" s="28">
        <v>0</v>
      </c>
      <c r="G48" s="28">
        <v>0</v>
      </c>
      <c r="H48" s="28">
        <v>0</v>
      </c>
      <c r="I48" s="28">
        <v>0</v>
      </c>
      <c r="J48" s="28">
        <v>0</v>
      </c>
      <c r="K48" s="28">
        <v>0</v>
      </c>
      <c r="L48" s="28">
        <v>0</v>
      </c>
      <c r="M48" s="28">
        <v>0</v>
      </c>
      <c r="N48" s="28">
        <v>0</v>
      </c>
      <c r="O48" s="31">
        <f t="shared" si="3"/>
        <v>0</v>
      </c>
    </row>
    <row r="49" spans="1:18" ht="15" x14ac:dyDescent="0.2">
      <c r="A49" s="857" t="s">
        <v>160</v>
      </c>
      <c r="B49" s="858"/>
      <c r="C49" s="33">
        <f t="shared" ref="C49:N49" si="4">SUM(C38:C48)</f>
        <v>18377</v>
      </c>
      <c r="D49" s="33">
        <f t="shared" si="4"/>
        <v>18777</v>
      </c>
      <c r="E49" s="33">
        <f t="shared" si="4"/>
        <v>18277</v>
      </c>
      <c r="F49" s="33">
        <f t="shared" si="4"/>
        <v>18277</v>
      </c>
      <c r="G49" s="33">
        <f t="shared" si="4"/>
        <v>18277</v>
      </c>
      <c r="H49" s="33">
        <f t="shared" si="4"/>
        <v>18277</v>
      </c>
      <c r="I49" s="33">
        <f t="shared" si="4"/>
        <v>18277</v>
      </c>
      <c r="J49" s="33">
        <f t="shared" si="4"/>
        <v>18277</v>
      </c>
      <c r="K49" s="33">
        <f t="shared" si="4"/>
        <v>13217</v>
      </c>
      <c r="L49" s="33">
        <f t="shared" si="4"/>
        <v>11637</v>
      </c>
      <c r="M49" s="33">
        <f t="shared" si="4"/>
        <v>11637</v>
      </c>
      <c r="N49" s="33">
        <f t="shared" si="4"/>
        <v>12377</v>
      </c>
      <c r="O49" s="34">
        <f t="shared" si="3"/>
        <v>195684</v>
      </c>
    </row>
    <row r="50" spans="1:18" ht="15.75" thickBot="1" x14ac:dyDescent="0.25">
      <c r="A50" s="859" t="s">
        <v>161</v>
      </c>
      <c r="B50" s="860"/>
      <c r="C50" s="35">
        <f t="shared" ref="C50:N50" si="5">C37-C49</f>
        <v>56611</v>
      </c>
      <c r="D50" s="35">
        <f t="shared" si="5"/>
        <v>60815</v>
      </c>
      <c r="E50" s="35">
        <f t="shared" si="5"/>
        <v>57787</v>
      </c>
      <c r="F50" s="35">
        <f t="shared" si="5"/>
        <v>57787</v>
      </c>
      <c r="G50" s="35">
        <f t="shared" si="5"/>
        <v>84564</v>
      </c>
      <c r="H50" s="35">
        <f t="shared" si="5"/>
        <v>60014</v>
      </c>
      <c r="I50" s="35">
        <f t="shared" si="5"/>
        <v>60014</v>
      </c>
      <c r="J50" s="35">
        <f t="shared" si="5"/>
        <v>71862</v>
      </c>
      <c r="K50" s="35">
        <f t="shared" si="5"/>
        <v>66384</v>
      </c>
      <c r="L50" s="35">
        <f t="shared" si="5"/>
        <v>67964</v>
      </c>
      <c r="M50" s="35">
        <f t="shared" si="5"/>
        <v>67964</v>
      </c>
      <c r="N50" s="35">
        <f t="shared" si="5"/>
        <v>67224</v>
      </c>
      <c r="O50" s="36">
        <f t="shared" si="3"/>
        <v>778990</v>
      </c>
      <c r="Q50" s="16">
        <f>30040+7596+28490+6352+29968+30088+31243+31093+2400+31093+6120+3454+32633*2+32533+32333+32205</f>
        <v>400274</v>
      </c>
    </row>
    <row r="51" spans="1:18" x14ac:dyDescent="0.2">
      <c r="J51" s="128">
        <f>+J37-SUM(J22:J36)</f>
        <v>79601</v>
      </c>
      <c r="Q51" s="38"/>
    </row>
    <row r="52" spans="1:18" ht="13.5" thickBot="1" x14ac:dyDescent="0.25">
      <c r="J52" s="38">
        <f>+J51-J49</f>
        <v>61324</v>
      </c>
    </row>
    <row r="53" spans="1:18" ht="13.5" thickBot="1" x14ac:dyDescent="0.25">
      <c r="B53" s="789" t="s">
        <v>162</v>
      </c>
      <c r="C53" s="861"/>
      <c r="D53" s="861"/>
      <c r="E53" s="861"/>
      <c r="F53" s="862"/>
      <c r="G53" s="863">
        <f>O37</f>
        <v>974674</v>
      </c>
      <c r="H53" s="864"/>
    </row>
    <row r="54" spans="1:18" ht="13.5" thickBot="1" x14ac:dyDescent="0.25"/>
    <row r="55" spans="1:18" x14ac:dyDescent="0.2">
      <c r="B55" s="830" t="s">
        <v>163</v>
      </c>
      <c r="C55" s="833" t="s">
        <v>164</v>
      </c>
      <c r="D55" s="836" t="s">
        <v>229</v>
      </c>
      <c r="E55" s="837"/>
      <c r="F55" s="838"/>
      <c r="G55" s="839">
        <v>40000</v>
      </c>
      <c r="H55" s="840"/>
    </row>
    <row r="56" spans="1:18" x14ac:dyDescent="0.2">
      <c r="B56" s="831"/>
      <c r="C56" s="834"/>
      <c r="D56" s="841" t="s">
        <v>166</v>
      </c>
      <c r="E56" s="842"/>
      <c r="F56" s="843"/>
      <c r="G56" s="844">
        <f>+O44</f>
        <v>2500</v>
      </c>
      <c r="H56" s="845"/>
      <c r="I56" s="39"/>
      <c r="J56" s="846"/>
      <c r="K56" s="846"/>
      <c r="L56" s="846"/>
      <c r="M56" s="847"/>
      <c r="N56" s="847"/>
      <c r="O56" s="847"/>
    </row>
    <row r="57" spans="1:18" ht="13.5" thickBot="1" x14ac:dyDescent="0.25">
      <c r="B57" s="832"/>
      <c r="C57" s="835"/>
      <c r="D57" s="921" t="s">
        <v>129</v>
      </c>
      <c r="E57" s="849"/>
      <c r="F57" s="850"/>
      <c r="G57" s="851">
        <v>0</v>
      </c>
      <c r="H57" s="852"/>
      <c r="J57" s="47"/>
      <c r="K57" s="47"/>
      <c r="L57" s="47"/>
      <c r="M57" s="47"/>
      <c r="N57" s="47"/>
      <c r="O57" s="47"/>
    </row>
    <row r="58" spans="1:18" ht="13.5" thickBot="1" x14ac:dyDescent="0.25">
      <c r="B58" s="48"/>
      <c r="J58" s="47"/>
      <c r="K58" s="47"/>
      <c r="L58" s="47"/>
      <c r="M58" s="47"/>
      <c r="N58" s="47"/>
      <c r="O58" s="47"/>
    </row>
    <row r="59" spans="1:18" ht="13.5" thickBot="1" x14ac:dyDescent="0.25">
      <c r="B59" s="789" t="s">
        <v>168</v>
      </c>
      <c r="C59" s="790"/>
      <c r="D59" s="790"/>
      <c r="E59" s="790"/>
      <c r="F59" s="791"/>
      <c r="G59" s="825">
        <f>+G53-SUM(G55:H57)</f>
        <v>932174</v>
      </c>
      <c r="H59" s="826"/>
      <c r="J59" s="827" t="s">
        <v>169</v>
      </c>
      <c r="K59" s="828"/>
      <c r="L59" s="828"/>
      <c r="M59" s="828"/>
      <c r="N59" s="828"/>
      <c r="O59" s="829"/>
    </row>
    <row r="60" spans="1:18" ht="13.5" thickBot="1" x14ac:dyDescent="0.25">
      <c r="B60" s="49"/>
      <c r="C60" s="50"/>
      <c r="D60" s="50"/>
      <c r="E60" s="50"/>
      <c r="F60" s="50"/>
      <c r="G60" s="45"/>
      <c r="H60" s="50"/>
      <c r="J60" s="51"/>
      <c r="K60" s="52"/>
      <c r="L60" s="52"/>
      <c r="M60" s="52"/>
      <c r="N60" s="52"/>
      <c r="O60" s="53"/>
    </row>
    <row r="61" spans="1:18" ht="13.5" thickBot="1" x14ac:dyDescent="0.25">
      <c r="B61" s="789" t="s">
        <v>170</v>
      </c>
      <c r="C61" s="790"/>
      <c r="D61" s="790"/>
      <c r="E61" s="790"/>
      <c r="F61" s="791"/>
      <c r="G61" s="805"/>
      <c r="H61" s="791"/>
      <c r="J61" s="54"/>
      <c r="K61" s="55"/>
      <c r="L61" s="55"/>
      <c r="M61" s="55"/>
      <c r="N61" s="55"/>
      <c r="O61" s="56"/>
    </row>
    <row r="62" spans="1:18" ht="12.75" customHeight="1" x14ac:dyDescent="0.2">
      <c r="B62" s="57" t="s">
        <v>171</v>
      </c>
      <c r="C62" s="806" t="s">
        <v>172</v>
      </c>
      <c r="D62" s="807"/>
      <c r="E62" s="807"/>
      <c r="F62" s="808"/>
      <c r="G62" s="809">
        <v>0</v>
      </c>
      <c r="H62" s="809"/>
      <c r="I62" s="58"/>
      <c r="J62" s="810" t="s">
        <v>173</v>
      </c>
      <c r="K62" s="811"/>
      <c r="L62" s="811"/>
      <c r="M62" s="811"/>
      <c r="N62" s="811"/>
      <c r="O62" s="812"/>
      <c r="Q62" s="59"/>
      <c r="R62" s="59"/>
    </row>
    <row r="63" spans="1:18" ht="13.5" thickBot="1" x14ac:dyDescent="0.25">
      <c r="D63" s="37"/>
      <c r="I63" s="58"/>
      <c r="J63" s="60" t="s">
        <v>254</v>
      </c>
      <c r="K63" s="61"/>
      <c r="L63" s="61"/>
      <c r="M63" s="61"/>
      <c r="N63" s="61"/>
      <c r="O63" s="62"/>
      <c r="Q63" s="59"/>
      <c r="R63" s="59"/>
    </row>
    <row r="64" spans="1:18" ht="13.5" thickBot="1" x14ac:dyDescent="0.25">
      <c r="B64" s="789" t="s">
        <v>175</v>
      </c>
      <c r="C64" s="790"/>
      <c r="D64" s="790"/>
      <c r="E64" s="790"/>
      <c r="F64" s="791"/>
      <c r="G64" s="805">
        <f>+G59-G62</f>
        <v>932174</v>
      </c>
      <c r="H64" s="791"/>
      <c r="I64" s="63"/>
      <c r="J64" s="64"/>
      <c r="K64" s="39"/>
      <c r="L64" s="39"/>
      <c r="M64" s="39"/>
      <c r="N64" s="39"/>
      <c r="O64" s="65"/>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6.25" customHeight="1" thickBot="1" x14ac:dyDescent="0.25">
      <c r="B67" s="66"/>
      <c r="C67" s="48"/>
      <c r="G67" s="70" t="s">
        <v>177</v>
      </c>
      <c r="H67" s="70" t="s">
        <v>178</v>
      </c>
      <c r="I67" s="63"/>
      <c r="J67" s="810" t="s">
        <v>179</v>
      </c>
      <c r="K67" s="811"/>
      <c r="L67" s="71"/>
      <c r="M67" s="71"/>
      <c r="N67" s="71"/>
      <c r="O67" s="72"/>
      <c r="Q67" s="59"/>
      <c r="R67" s="59"/>
    </row>
    <row r="68" spans="2:18" ht="12.75" customHeight="1" x14ac:dyDescent="0.2">
      <c r="B68" s="802" t="s">
        <v>180</v>
      </c>
      <c r="C68" s="821" t="s">
        <v>181</v>
      </c>
      <c r="D68" s="823" t="s">
        <v>182</v>
      </c>
      <c r="E68" s="824"/>
      <c r="F68" s="824"/>
      <c r="G68" s="73">
        <f>+O43</f>
        <v>108000</v>
      </c>
      <c r="H68" s="74">
        <f>+G68</f>
        <v>108000</v>
      </c>
      <c r="I68" s="63"/>
      <c r="J68" s="75" t="s">
        <v>231</v>
      </c>
      <c r="K68" s="58"/>
      <c r="L68" s="58"/>
      <c r="M68" s="58"/>
      <c r="N68" s="58"/>
      <c r="O68" s="76">
        <v>18204</v>
      </c>
      <c r="Q68" s="59"/>
      <c r="R68" s="59"/>
    </row>
    <row r="69" spans="2:18" ht="12.75" customHeight="1" x14ac:dyDescent="0.2">
      <c r="B69" s="803"/>
      <c r="C69" s="822"/>
      <c r="D69" s="782" t="s">
        <v>184</v>
      </c>
      <c r="E69" s="783"/>
      <c r="F69" s="783"/>
      <c r="G69" s="77">
        <f>+O47</f>
        <v>18204</v>
      </c>
      <c r="H69" s="78">
        <f t="shared" ref="H69:H75" si="6">+G69</f>
        <v>18204</v>
      </c>
      <c r="I69" s="63"/>
      <c r="J69" s="79"/>
      <c r="K69" s="68"/>
      <c r="L69" s="68"/>
      <c r="M69" s="68"/>
      <c r="N69" s="68"/>
      <c r="O69" s="69"/>
      <c r="Q69" s="59"/>
      <c r="R69" s="59"/>
    </row>
    <row r="70" spans="2:18" ht="12.75" customHeight="1" x14ac:dyDescent="0.2">
      <c r="B70" s="803"/>
      <c r="C70" s="822"/>
      <c r="D70" s="819" t="s">
        <v>185</v>
      </c>
      <c r="E70" s="820"/>
      <c r="F70" s="820"/>
      <c r="G70" s="80">
        <f>O40</f>
        <v>480</v>
      </c>
      <c r="H70" s="78">
        <f t="shared" si="6"/>
        <v>480</v>
      </c>
      <c r="I70" s="63"/>
      <c r="J70" s="67"/>
      <c r="K70" s="68"/>
      <c r="L70" s="68"/>
      <c r="M70" s="68"/>
      <c r="N70" s="68"/>
      <c r="O70" s="69"/>
    </row>
    <row r="71" spans="2:18" x14ac:dyDescent="0.2">
      <c r="B71" s="803"/>
      <c r="C71" s="822"/>
      <c r="D71" s="782" t="s">
        <v>186</v>
      </c>
      <c r="E71" s="783"/>
      <c r="F71" s="783"/>
      <c r="G71" s="81">
        <v>0</v>
      </c>
      <c r="H71" s="78">
        <f t="shared" si="6"/>
        <v>0</v>
      </c>
      <c r="I71" s="63"/>
      <c r="J71" s="82" t="s">
        <v>187</v>
      </c>
      <c r="K71" s="71"/>
      <c r="L71" s="71"/>
      <c r="M71" s="71"/>
      <c r="N71" s="71"/>
      <c r="O71" s="72"/>
    </row>
    <row r="72" spans="2:18" ht="12.75" customHeight="1" x14ac:dyDescent="0.2">
      <c r="B72" s="803"/>
      <c r="C72" s="822"/>
      <c r="D72" s="784" t="s">
        <v>188</v>
      </c>
      <c r="E72" s="783"/>
      <c r="F72" s="783"/>
      <c r="G72" s="80">
        <v>0</v>
      </c>
      <c r="H72" s="78">
        <f t="shared" si="6"/>
        <v>0</v>
      </c>
      <c r="I72" s="63"/>
      <c r="J72" s="75" t="s">
        <v>189</v>
      </c>
      <c r="K72" s="50"/>
      <c r="L72" s="50"/>
      <c r="M72" s="50"/>
      <c r="N72" s="50"/>
      <c r="O72" s="83"/>
    </row>
    <row r="73" spans="2:18" ht="14.25" customHeight="1" x14ac:dyDescent="0.2">
      <c r="B73" s="803"/>
      <c r="C73" s="822"/>
      <c r="D73" s="782" t="s">
        <v>190</v>
      </c>
      <c r="E73" s="783"/>
      <c r="F73" s="783"/>
      <c r="G73" s="84">
        <v>25000</v>
      </c>
      <c r="H73" s="78">
        <f t="shared" si="6"/>
        <v>25000</v>
      </c>
      <c r="I73" s="63"/>
      <c r="J73" s="64" t="s">
        <v>407</v>
      </c>
      <c r="K73" s="39"/>
      <c r="L73" s="39"/>
      <c r="M73" s="39"/>
      <c r="N73" s="39"/>
      <c r="O73" s="65">
        <v>20560</v>
      </c>
    </row>
    <row r="74" spans="2:18" x14ac:dyDescent="0.2">
      <c r="B74" s="803"/>
      <c r="C74" s="822"/>
      <c r="D74" s="782" t="s">
        <v>191</v>
      </c>
      <c r="E74" s="783"/>
      <c r="F74" s="783"/>
      <c r="G74" s="81">
        <v>0</v>
      </c>
      <c r="H74" s="78">
        <f t="shared" si="6"/>
        <v>0</v>
      </c>
      <c r="I74" s="58"/>
      <c r="J74" s="85"/>
      <c r="K74" s="63"/>
      <c r="L74" s="63"/>
      <c r="M74" s="63"/>
      <c r="N74" s="63"/>
      <c r="O74" s="86"/>
    </row>
    <row r="75" spans="2:18" x14ac:dyDescent="0.2">
      <c r="B75" s="803"/>
      <c r="C75" s="88" t="s">
        <v>192</v>
      </c>
      <c r="D75" s="813" t="s">
        <v>193</v>
      </c>
      <c r="E75" s="814"/>
      <c r="F75" s="814"/>
      <c r="G75" s="80">
        <v>0</v>
      </c>
      <c r="H75" s="78">
        <f t="shared" si="6"/>
        <v>0</v>
      </c>
      <c r="I75" s="58"/>
      <c r="J75" s="60"/>
      <c r="K75" s="68"/>
      <c r="L75" s="68"/>
      <c r="M75" s="50"/>
      <c r="N75" s="50"/>
      <c r="O75" s="83"/>
    </row>
    <row r="76" spans="2:18" ht="13.5" customHeight="1" thickBot="1" x14ac:dyDescent="0.25">
      <c r="B76" s="803"/>
      <c r="C76" s="88" t="s">
        <v>194</v>
      </c>
      <c r="D76" s="815" t="s">
        <v>195</v>
      </c>
      <c r="E76" s="815"/>
      <c r="F76" s="815"/>
      <c r="G76" s="89">
        <v>0</v>
      </c>
      <c r="H76" s="90">
        <f>+G76</f>
        <v>0</v>
      </c>
      <c r="I76" s="63"/>
      <c r="J76" s="75"/>
      <c r="K76" s="68"/>
      <c r="L76" s="68"/>
      <c r="M76" s="91"/>
      <c r="N76" s="91"/>
      <c r="O76" s="92"/>
    </row>
    <row r="77" spans="2:18" ht="13.5" thickBot="1" x14ac:dyDescent="0.25">
      <c r="B77" s="803"/>
      <c r="C77" s="93"/>
      <c r="D77" s="94"/>
      <c r="E77" s="816" t="s">
        <v>117</v>
      </c>
      <c r="F77" s="817"/>
      <c r="G77" s="95">
        <f>SUM(G68:G76)</f>
        <v>151684</v>
      </c>
      <c r="H77" s="96">
        <f>IF(SUM(G68:G74)&lt;150000,SUM(G68:G74),150000)+IF(+G75&lt;20000,+G75,20000)</f>
        <v>150000</v>
      </c>
      <c r="I77" s="63"/>
      <c r="J77" s="97"/>
      <c r="K77" s="98"/>
      <c r="L77" s="98"/>
      <c r="M77" s="98"/>
      <c r="N77" s="98"/>
      <c r="O77" s="99"/>
    </row>
    <row r="78" spans="2:18" ht="12.75" customHeight="1" x14ac:dyDescent="0.2">
      <c r="B78" s="803"/>
      <c r="C78" s="100" t="s">
        <v>196</v>
      </c>
      <c r="D78" s="782" t="s">
        <v>187</v>
      </c>
      <c r="E78" s="783"/>
      <c r="F78" s="818"/>
      <c r="G78" s="73">
        <v>25060</v>
      </c>
      <c r="H78" s="221">
        <f>+IF(+G78&lt;25000,+G78,25000)</f>
        <v>25000</v>
      </c>
      <c r="I78" s="87"/>
    </row>
    <row r="79" spans="2:18" x14ac:dyDescent="0.2">
      <c r="B79" s="803"/>
      <c r="C79" s="100" t="s">
        <v>197</v>
      </c>
      <c r="D79" s="784" t="s">
        <v>198</v>
      </c>
      <c r="E79" s="785"/>
      <c r="F79" s="786"/>
      <c r="G79" s="102"/>
      <c r="H79" s="222">
        <f>+IF(+G79&lt;40000,+G79,40000)</f>
        <v>0</v>
      </c>
      <c r="I79" s="63"/>
    </row>
    <row r="80" spans="2:18" x14ac:dyDescent="0.2">
      <c r="B80" s="803"/>
      <c r="C80" s="100" t="s">
        <v>199</v>
      </c>
      <c r="D80" s="784" t="s">
        <v>200</v>
      </c>
      <c r="E80" s="785"/>
      <c r="F80" s="786"/>
      <c r="G80" s="81"/>
      <c r="H80" s="104">
        <v>0</v>
      </c>
      <c r="I80" s="63"/>
      <c r="J80" s="106"/>
    </row>
    <row r="81" spans="2:12" x14ac:dyDescent="0.2">
      <c r="B81" s="803"/>
      <c r="C81" s="100" t="s">
        <v>201</v>
      </c>
      <c r="D81" s="784" t="s">
        <v>202</v>
      </c>
      <c r="E81" s="785"/>
      <c r="F81" s="786"/>
      <c r="G81" s="81"/>
      <c r="H81" s="104">
        <v>0</v>
      </c>
      <c r="I81" s="63"/>
    </row>
    <row r="82" spans="2:12" ht="13.5" thickBot="1" x14ac:dyDescent="0.25">
      <c r="B82" s="804"/>
      <c r="C82" s="100" t="s">
        <v>203</v>
      </c>
      <c r="D82" s="784" t="s">
        <v>204</v>
      </c>
      <c r="E82" s="785"/>
      <c r="F82" s="786"/>
      <c r="G82" s="102"/>
      <c r="H82" s="222">
        <f>+IF(+G82&lt;100000,+G82,10000)</f>
        <v>0</v>
      </c>
      <c r="I82" s="63"/>
    </row>
    <row r="83" spans="2:12" ht="13.5" thickBot="1" x14ac:dyDescent="0.25">
      <c r="B83" s="787" t="s">
        <v>205</v>
      </c>
      <c r="C83" s="788"/>
      <c r="D83" s="788"/>
      <c r="E83" s="788"/>
      <c r="F83" s="788"/>
      <c r="G83" s="107">
        <f>SUM(G78:G82)</f>
        <v>25060</v>
      </c>
      <c r="H83" s="108">
        <f>SUM(H77:H82)</f>
        <v>175000</v>
      </c>
    </row>
    <row r="84" spans="2:12" ht="13.5" thickBot="1" x14ac:dyDescent="0.25"/>
    <row r="85" spans="2:12" ht="13.5" thickBot="1" x14ac:dyDescent="0.25">
      <c r="B85" s="789" t="s">
        <v>206</v>
      </c>
      <c r="C85" s="790"/>
      <c r="D85" s="790"/>
      <c r="E85" s="790"/>
      <c r="F85" s="791"/>
      <c r="G85" s="792">
        <f>+G64-H83</f>
        <v>757174</v>
      </c>
      <c r="H85" s="791"/>
      <c r="J85" s="105">
        <f>C37+D37+E37+F37</f>
        <v>306708</v>
      </c>
      <c r="K85" s="16" t="s">
        <v>235</v>
      </c>
    </row>
    <row r="86" spans="2:12" x14ac:dyDescent="0.2">
      <c r="B86" s="110"/>
      <c r="F86" s="105"/>
      <c r="J86" s="105">
        <f>G37+H37+I37</f>
        <v>259423</v>
      </c>
      <c r="K86" s="16" t="s">
        <v>236</v>
      </c>
      <c r="L86" s="16">
        <f>+J86/3</f>
        <v>86474.333333333328</v>
      </c>
    </row>
    <row r="87" spans="2:12" x14ac:dyDescent="0.2">
      <c r="C87" s="793" t="s">
        <v>207</v>
      </c>
      <c r="D87" s="794"/>
      <c r="E87" s="111" t="s">
        <v>208</v>
      </c>
      <c r="F87" s="111" t="s">
        <v>209</v>
      </c>
      <c r="G87" s="111" t="s">
        <v>210</v>
      </c>
      <c r="H87" s="111" t="s">
        <v>211</v>
      </c>
      <c r="J87" s="213">
        <f>J37+K37+L37</f>
        <v>249341</v>
      </c>
      <c r="K87" s="47" t="s">
        <v>237</v>
      </c>
      <c r="L87" s="16">
        <f>+J87/3</f>
        <v>83113.666666666672</v>
      </c>
    </row>
    <row r="88" spans="2:12" x14ac:dyDescent="0.2">
      <c r="C88" s="795" t="str">
        <f>IF(I6="M","0          - 250000","0          -  250000")</f>
        <v>0          -  250000</v>
      </c>
      <c r="D88" s="796"/>
      <c r="E88" s="112">
        <v>0</v>
      </c>
      <c r="F88" s="113">
        <f>IF(I6="M",(IF(G85&lt;250000,G85,250000)),(IF(G85&lt;250000,G85,250000)))</f>
        <v>250000</v>
      </c>
      <c r="G88" s="113">
        <f>G85-F88</f>
        <v>507174</v>
      </c>
      <c r="H88" s="113">
        <f>E88*F88</f>
        <v>0</v>
      </c>
      <c r="J88" s="207">
        <f>M37+N37</f>
        <v>159202</v>
      </c>
      <c r="K88" s="1" t="s">
        <v>238</v>
      </c>
      <c r="L88" s="16">
        <f>+J88/2</f>
        <v>79601</v>
      </c>
    </row>
    <row r="89" spans="2:12" x14ac:dyDescent="0.2">
      <c r="C89" s="795" t="str">
        <f>IF(I6="M","250001 - 500000","250001-500000")</f>
        <v>250001-500000</v>
      </c>
      <c r="D89" s="796"/>
      <c r="E89" s="112">
        <v>0.05</v>
      </c>
      <c r="F89" s="113">
        <f>IF(I6="M",(IF(G88&lt;250000,G88,250000)),(IF(G88&lt;250000,G88,250000)))</f>
        <v>250000</v>
      </c>
      <c r="G89" s="113">
        <f>G88-F89</f>
        <v>257174</v>
      </c>
      <c r="H89" s="114">
        <f>ROUND(E89*F89,0.1)</f>
        <v>12500</v>
      </c>
      <c r="J89" s="115">
        <f>SUM(J85:J88)</f>
        <v>974674</v>
      </c>
    </row>
    <row r="90" spans="2:12" x14ac:dyDescent="0.2">
      <c r="C90" s="797" t="s">
        <v>212</v>
      </c>
      <c r="D90" s="798"/>
      <c r="E90" s="112">
        <v>0.2</v>
      </c>
      <c r="F90" s="113">
        <f>IF(G89&lt;500000,G89,500000)</f>
        <v>257174</v>
      </c>
      <c r="G90" s="113">
        <f>G89-F90</f>
        <v>0</v>
      </c>
      <c r="H90" s="114">
        <f>ROUND(E90*F90,0.1)</f>
        <v>51435</v>
      </c>
      <c r="J90" s="16">
        <f>+G85</f>
        <v>757174</v>
      </c>
    </row>
    <row r="91" spans="2:12" x14ac:dyDescent="0.2">
      <c r="C91" s="795" t="s">
        <v>213</v>
      </c>
      <c r="D91" s="796"/>
      <c r="E91" s="112">
        <v>0.3</v>
      </c>
      <c r="F91" s="113">
        <f>G90</f>
        <v>0</v>
      </c>
      <c r="G91" s="113">
        <f>G90-F91</f>
        <v>0</v>
      </c>
      <c r="H91" s="114">
        <f>ROUND(E91*F91,0.1)</f>
        <v>0</v>
      </c>
      <c r="J91" s="16">
        <f>+J89-J90</f>
        <v>217500</v>
      </c>
    </row>
    <row r="92" spans="2:12" ht="12.75" customHeight="1" thickBot="1" x14ac:dyDescent="0.25">
      <c r="B92" s="116"/>
      <c r="C92" s="117"/>
      <c r="D92" s="47"/>
      <c r="E92" s="47"/>
      <c r="F92" s="47"/>
      <c r="J92" s="87"/>
      <c r="K92" s="118"/>
    </row>
    <row r="93" spans="2:12" ht="13.5" thickBot="1" x14ac:dyDescent="0.25">
      <c r="B93" s="799" t="s">
        <v>239</v>
      </c>
      <c r="C93" s="800"/>
      <c r="D93" s="800"/>
      <c r="E93" s="800"/>
      <c r="F93" s="801"/>
      <c r="G93" s="771">
        <f>H88+H89+H90+H91</f>
        <v>63935</v>
      </c>
      <c r="H93" s="772"/>
    </row>
    <row r="94" spans="2:12" ht="13.5" thickBot="1" x14ac:dyDescent="0.25">
      <c r="B94" s="119" t="s">
        <v>215</v>
      </c>
      <c r="C94" s="120"/>
      <c r="D94" s="120"/>
      <c r="E94" s="120"/>
      <c r="F94" s="120"/>
      <c r="G94" s="884">
        <f>IF((G64&lt;500000),5000,0)</f>
        <v>0</v>
      </c>
      <c r="H94" s="885">
        <f>IF(H92&lt;200000,0,IF(H92&lt;220000,((H92-200000)*10%),IF(H92&lt;=500000,2000,IF(H92&gt;=500000,0))))</f>
        <v>0</v>
      </c>
      <c r="J94" s="1"/>
      <c r="K94" s="121"/>
      <c r="L94" s="121"/>
    </row>
    <row r="95" spans="2:12" ht="13.5" thickBot="1" x14ac:dyDescent="0.25">
      <c r="B95" s="122" t="s">
        <v>216</v>
      </c>
      <c r="C95" s="123"/>
      <c r="D95" s="123"/>
      <c r="E95" s="123"/>
      <c r="F95" s="123"/>
      <c r="G95" s="771">
        <f>IF((G93-G94)&lt;0,0,(G93-G94))</f>
        <v>63935</v>
      </c>
      <c r="H95" s="772"/>
      <c r="I95" s="37"/>
    </row>
    <row r="96" spans="2:12" ht="13.5" thickBot="1" x14ac:dyDescent="0.25">
      <c r="B96" s="773" t="s">
        <v>240</v>
      </c>
      <c r="C96" s="774"/>
      <c r="D96" s="774"/>
      <c r="E96" s="774"/>
      <c r="F96" s="775"/>
      <c r="G96" s="776">
        <f>ROUND((IF(G95&gt;0,(G95*4%),0)),0)</f>
        <v>2557</v>
      </c>
      <c r="H96" s="777"/>
      <c r="I96" s="37"/>
    </row>
    <row r="97" spans="2:9" ht="13.5" thickBot="1" x14ac:dyDescent="0.25">
      <c r="B97" s="778" t="s">
        <v>218</v>
      </c>
      <c r="C97" s="779"/>
      <c r="D97" s="779"/>
      <c r="E97" s="779"/>
      <c r="F97" s="779"/>
      <c r="G97" s="780">
        <f>G95+G96</f>
        <v>66492</v>
      </c>
      <c r="H97" s="781"/>
      <c r="I97" s="121"/>
    </row>
    <row r="98" spans="2:9" ht="13.5" thickBot="1" x14ac:dyDescent="0.25">
      <c r="B98" s="765" t="s">
        <v>219</v>
      </c>
      <c r="C98" s="766"/>
      <c r="D98" s="766"/>
      <c r="E98" s="766"/>
      <c r="F98" s="766"/>
      <c r="G98" s="767">
        <f>O38</f>
        <v>66500</v>
      </c>
      <c r="H98" s="768"/>
      <c r="I98" s="121"/>
    </row>
    <row r="99" spans="2:9" ht="13.5" thickBot="1" x14ac:dyDescent="0.25">
      <c r="B99" s="765" t="str">
        <f>IF(G99&gt;0,"TAX PAYABLE","TAX REFUND")</f>
        <v>TAX REFUND</v>
      </c>
      <c r="C99" s="766"/>
      <c r="D99" s="766"/>
      <c r="E99" s="766"/>
      <c r="F99" s="766"/>
      <c r="G99" s="767">
        <f>+G97-G98</f>
        <v>-8</v>
      </c>
      <c r="H99" s="768"/>
      <c r="I99" s="37"/>
    </row>
    <row r="100" spans="2:9" x14ac:dyDescent="0.2">
      <c r="C100" s="39"/>
      <c r="D100" s="126"/>
      <c r="E100" s="126"/>
      <c r="F100" s="39"/>
      <c r="G100" s="39"/>
      <c r="H100" s="39"/>
    </row>
    <row r="101" spans="2:9" x14ac:dyDescent="0.2">
      <c r="C101" s="39"/>
      <c r="D101" s="39"/>
      <c r="E101" s="39"/>
      <c r="F101" s="39"/>
      <c r="G101" s="39"/>
      <c r="H101" s="39"/>
    </row>
    <row r="102" spans="2:9" x14ac:dyDescent="0.2">
      <c r="C102" s="39"/>
      <c r="D102" s="39"/>
      <c r="E102" s="39"/>
      <c r="F102" s="39"/>
      <c r="G102" s="39"/>
      <c r="H102" s="39"/>
    </row>
    <row r="103" spans="2:9" x14ac:dyDescent="0.2">
      <c r="C103" s="39"/>
      <c r="D103" s="39"/>
      <c r="E103" s="39"/>
      <c r="F103" s="39"/>
      <c r="G103" s="39"/>
      <c r="H103" s="39"/>
    </row>
  </sheetData>
  <mergeCells count="92">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8:A48"/>
    <mergeCell ref="A5:C5"/>
    <mergeCell ref="D5:F5"/>
    <mergeCell ref="G5:H5"/>
    <mergeCell ref="I5:O5"/>
    <mergeCell ref="A6:C6"/>
    <mergeCell ref="D6:F6"/>
    <mergeCell ref="G6:H6"/>
    <mergeCell ref="J6:O6"/>
    <mergeCell ref="L7:O7"/>
    <mergeCell ref="A8:B8"/>
    <mergeCell ref="A21:A33"/>
    <mergeCell ref="A35:B35"/>
    <mergeCell ref="A36:B36"/>
    <mergeCell ref="A49:B49"/>
    <mergeCell ref="A50:B50"/>
    <mergeCell ref="B53:F53"/>
    <mergeCell ref="G53:H53"/>
    <mergeCell ref="B55:B57"/>
    <mergeCell ref="C55:C57"/>
    <mergeCell ref="D55:F55"/>
    <mergeCell ref="G55:H55"/>
    <mergeCell ref="D56:F56"/>
    <mergeCell ref="G56:H56"/>
    <mergeCell ref="B64:F64"/>
    <mergeCell ref="G64:H64"/>
    <mergeCell ref="J56:L56"/>
    <mergeCell ref="M56:O56"/>
    <mergeCell ref="D57:F57"/>
    <mergeCell ref="G57:H57"/>
    <mergeCell ref="B59:F59"/>
    <mergeCell ref="G59:H59"/>
    <mergeCell ref="J59:O59"/>
    <mergeCell ref="B61:F61"/>
    <mergeCell ref="G61:H61"/>
    <mergeCell ref="C62:F62"/>
    <mergeCell ref="G62:H62"/>
    <mergeCell ref="J62:O62"/>
    <mergeCell ref="D80:F80"/>
    <mergeCell ref="J67:K67"/>
    <mergeCell ref="B68:B82"/>
    <mergeCell ref="C68:C74"/>
    <mergeCell ref="D68:F68"/>
    <mergeCell ref="D69:F69"/>
    <mergeCell ref="D70:F70"/>
    <mergeCell ref="D71:F71"/>
    <mergeCell ref="D72:F72"/>
    <mergeCell ref="D73:F73"/>
    <mergeCell ref="D74:F74"/>
    <mergeCell ref="D75:F75"/>
    <mergeCell ref="D76:F76"/>
    <mergeCell ref="E77:F77"/>
    <mergeCell ref="D78:F78"/>
    <mergeCell ref="D79:F79"/>
    <mergeCell ref="G93:H93"/>
    <mergeCell ref="D81:F81"/>
    <mergeCell ref="D82:F82"/>
    <mergeCell ref="B83:F83"/>
    <mergeCell ref="B85:F85"/>
    <mergeCell ref="G85:H85"/>
    <mergeCell ref="C87:D87"/>
    <mergeCell ref="C88:D88"/>
    <mergeCell ref="C89:D89"/>
    <mergeCell ref="C90:D90"/>
    <mergeCell ref="C91:D91"/>
    <mergeCell ref="B93:F93"/>
    <mergeCell ref="B98:F98"/>
    <mergeCell ref="G98:H98"/>
    <mergeCell ref="B99:F99"/>
    <mergeCell ref="G99:H99"/>
    <mergeCell ref="G94:H94"/>
    <mergeCell ref="G95:H95"/>
    <mergeCell ref="B96:F96"/>
    <mergeCell ref="G96:H96"/>
    <mergeCell ref="B97:F97"/>
    <mergeCell ref="G97:H97"/>
  </mergeCells>
  <conditionalFormatting sqref="B90:F90 B99:F99 B93:F97">
    <cfRule type="cellIs" dxfId="2073" priority="3" stopIfTrue="1" operator="equal">
      <formula>"TAX PAYABLE"</formula>
    </cfRule>
    <cfRule type="cellIs" dxfId="2072" priority="4" stopIfTrue="1" operator="equal">
      <formula>"TAX REFUND"</formula>
    </cfRule>
  </conditionalFormatting>
  <conditionalFormatting sqref="G90:H90">
    <cfRule type="cellIs" dxfId="2071" priority="5" stopIfTrue="1" operator="lessThan">
      <formula>0</formula>
    </cfRule>
    <cfRule type="cellIs" dxfId="2070" priority="6" stopIfTrue="1" operator="greaterThan">
      <formula>0</formula>
    </cfRule>
  </conditionalFormatting>
  <conditionalFormatting sqref="G99:H99">
    <cfRule type="cellIs" dxfId="2069" priority="1" stopIfTrue="1" operator="greaterThan">
      <formula>0</formula>
    </cfRule>
    <cfRule type="cellIs" dxfId="2068"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8"/>
  <sheetViews>
    <sheetView workbookViewId="0">
      <selection activeCell="G70" sqref="G70"/>
    </sheetView>
  </sheetViews>
  <sheetFormatPr defaultRowHeight="12.75" x14ac:dyDescent="0.2"/>
  <cols>
    <col min="1" max="1" width="5" style="16" customWidth="1"/>
    <col min="2" max="2" width="18" style="37" customWidth="1"/>
    <col min="3" max="3" width="10.7109375" style="16" bestFit="1" customWidth="1"/>
    <col min="4" max="4" width="6.7109375" style="16" customWidth="1"/>
    <col min="5" max="5" width="8.5703125" style="16" customWidth="1"/>
    <col min="6" max="6" width="9.28515625" style="16" customWidth="1"/>
    <col min="7" max="7" width="10.42578125" style="16" bestFit="1" customWidth="1"/>
    <col min="8" max="8" width="10.28515625" style="16" bestFit="1" customWidth="1"/>
    <col min="9" max="9" width="7.140625" style="16" customWidth="1"/>
    <col min="10" max="10" width="8.28515625" style="16" customWidth="1"/>
    <col min="11" max="12" width="7" style="16" customWidth="1"/>
    <col min="13" max="13" width="6.85546875" style="16" customWidth="1"/>
    <col min="14" max="14" width="7" style="16" customWidth="1"/>
    <col min="15" max="15" width="9.28515625" style="16" customWidth="1"/>
    <col min="16" max="18" width="9.140625" style="16"/>
    <col min="19" max="19" width="12.42578125" style="16" customWidth="1"/>
    <col min="20" max="20" width="9.140625" style="16"/>
    <col min="21" max="21" width="12" style="16" customWidth="1"/>
    <col min="22" max="256" width="9.140625" style="16"/>
    <col min="257" max="257" width="5" style="16" customWidth="1"/>
    <col min="258" max="258" width="18" style="16" customWidth="1"/>
    <col min="259" max="259" width="10.7109375" style="16" bestFit="1" customWidth="1"/>
    <col min="260" max="260" width="6.7109375" style="16" customWidth="1"/>
    <col min="261" max="261" width="8.5703125" style="16" customWidth="1"/>
    <col min="262" max="262" width="9.28515625" style="16" customWidth="1"/>
    <col min="263" max="263" width="10.42578125" style="16" bestFit="1" customWidth="1"/>
    <col min="264" max="264" width="10.28515625" style="16" bestFit="1" customWidth="1"/>
    <col min="265" max="265" width="7.140625" style="16" customWidth="1"/>
    <col min="266" max="266" width="8.28515625" style="16" customWidth="1"/>
    <col min="267" max="268" width="7" style="16" customWidth="1"/>
    <col min="269" max="269" width="6.85546875" style="16" customWidth="1"/>
    <col min="270" max="270" width="7" style="16" customWidth="1"/>
    <col min="271" max="271" width="9.28515625" style="16" customWidth="1"/>
    <col min="272" max="274" width="9.140625" style="16"/>
    <col min="275" max="275" width="12.42578125" style="16" customWidth="1"/>
    <col min="276" max="276" width="9.140625" style="16"/>
    <col min="277" max="277" width="12" style="16" customWidth="1"/>
    <col min="278" max="512" width="9.140625" style="16"/>
    <col min="513" max="513" width="5" style="16" customWidth="1"/>
    <col min="514" max="514" width="18" style="16" customWidth="1"/>
    <col min="515" max="515" width="10.7109375" style="16" bestFit="1" customWidth="1"/>
    <col min="516" max="516" width="6.7109375" style="16" customWidth="1"/>
    <col min="517" max="517" width="8.5703125" style="16" customWidth="1"/>
    <col min="518" max="518" width="9.28515625" style="16" customWidth="1"/>
    <col min="519" max="519" width="10.42578125" style="16" bestFit="1" customWidth="1"/>
    <col min="520" max="520" width="10.28515625" style="16" bestFit="1" customWidth="1"/>
    <col min="521" max="521" width="7.140625" style="16" customWidth="1"/>
    <col min="522" max="522" width="8.28515625" style="16" customWidth="1"/>
    <col min="523" max="524" width="7" style="16" customWidth="1"/>
    <col min="525" max="525" width="6.85546875" style="16" customWidth="1"/>
    <col min="526" max="526" width="7" style="16" customWidth="1"/>
    <col min="527" max="527" width="9.28515625" style="16" customWidth="1"/>
    <col min="528" max="530" width="9.140625" style="16"/>
    <col min="531" max="531" width="12.42578125" style="16" customWidth="1"/>
    <col min="532" max="532" width="9.140625" style="16"/>
    <col min="533" max="533" width="12" style="16" customWidth="1"/>
    <col min="534" max="768" width="9.140625" style="16"/>
    <col min="769" max="769" width="5" style="16" customWidth="1"/>
    <col min="770" max="770" width="18" style="16" customWidth="1"/>
    <col min="771" max="771" width="10.7109375" style="16" bestFit="1" customWidth="1"/>
    <col min="772" max="772" width="6.7109375" style="16" customWidth="1"/>
    <col min="773" max="773" width="8.5703125" style="16" customWidth="1"/>
    <col min="774" max="774" width="9.28515625" style="16" customWidth="1"/>
    <col min="775" max="775" width="10.42578125" style="16" bestFit="1" customWidth="1"/>
    <col min="776" max="776" width="10.28515625" style="16" bestFit="1" customWidth="1"/>
    <col min="777" max="777" width="7.140625" style="16" customWidth="1"/>
    <col min="778" max="778" width="8.28515625" style="16" customWidth="1"/>
    <col min="779" max="780" width="7" style="16" customWidth="1"/>
    <col min="781" max="781" width="6.85546875" style="16" customWidth="1"/>
    <col min="782" max="782" width="7" style="16" customWidth="1"/>
    <col min="783" max="783" width="9.28515625" style="16" customWidth="1"/>
    <col min="784" max="786" width="9.140625" style="16"/>
    <col min="787" max="787" width="12.42578125" style="16" customWidth="1"/>
    <col min="788" max="788" width="9.140625" style="16"/>
    <col min="789" max="789" width="12" style="16" customWidth="1"/>
    <col min="790" max="1024" width="9.140625" style="16"/>
    <col min="1025" max="1025" width="5" style="16" customWidth="1"/>
    <col min="1026" max="1026" width="18" style="16" customWidth="1"/>
    <col min="1027" max="1027" width="10.7109375" style="16" bestFit="1" customWidth="1"/>
    <col min="1028" max="1028" width="6.7109375" style="16" customWidth="1"/>
    <col min="1029" max="1029" width="8.5703125" style="16" customWidth="1"/>
    <col min="1030" max="1030" width="9.28515625" style="16" customWidth="1"/>
    <col min="1031" max="1031" width="10.42578125" style="16" bestFit="1" customWidth="1"/>
    <col min="1032" max="1032" width="10.28515625" style="16" bestFit="1" customWidth="1"/>
    <col min="1033" max="1033" width="7.140625" style="16" customWidth="1"/>
    <col min="1034" max="1034" width="8.28515625" style="16" customWidth="1"/>
    <col min="1035" max="1036" width="7" style="16" customWidth="1"/>
    <col min="1037" max="1037" width="6.85546875" style="16" customWidth="1"/>
    <col min="1038" max="1038" width="7" style="16" customWidth="1"/>
    <col min="1039" max="1039" width="9.28515625" style="16" customWidth="1"/>
    <col min="1040" max="1042" width="9.140625" style="16"/>
    <col min="1043" max="1043" width="12.42578125" style="16" customWidth="1"/>
    <col min="1044" max="1044" width="9.140625" style="16"/>
    <col min="1045" max="1045" width="12" style="16" customWidth="1"/>
    <col min="1046" max="1280" width="9.140625" style="16"/>
    <col min="1281" max="1281" width="5" style="16" customWidth="1"/>
    <col min="1282" max="1282" width="18" style="16" customWidth="1"/>
    <col min="1283" max="1283" width="10.7109375" style="16" bestFit="1" customWidth="1"/>
    <col min="1284" max="1284" width="6.7109375" style="16" customWidth="1"/>
    <col min="1285" max="1285" width="8.5703125" style="16" customWidth="1"/>
    <col min="1286" max="1286" width="9.28515625" style="16" customWidth="1"/>
    <col min="1287" max="1287" width="10.42578125" style="16" bestFit="1" customWidth="1"/>
    <col min="1288" max="1288" width="10.28515625" style="16" bestFit="1" customWidth="1"/>
    <col min="1289" max="1289" width="7.140625" style="16" customWidth="1"/>
    <col min="1290" max="1290" width="8.28515625" style="16" customWidth="1"/>
    <col min="1291" max="1292" width="7" style="16" customWidth="1"/>
    <col min="1293" max="1293" width="6.85546875" style="16" customWidth="1"/>
    <col min="1294" max="1294" width="7" style="16" customWidth="1"/>
    <col min="1295" max="1295" width="9.28515625" style="16" customWidth="1"/>
    <col min="1296" max="1298" width="9.140625" style="16"/>
    <col min="1299" max="1299" width="12.42578125" style="16" customWidth="1"/>
    <col min="1300" max="1300" width="9.140625" style="16"/>
    <col min="1301" max="1301" width="12" style="16" customWidth="1"/>
    <col min="1302" max="1536" width="9.140625" style="16"/>
    <col min="1537" max="1537" width="5" style="16" customWidth="1"/>
    <col min="1538" max="1538" width="18" style="16" customWidth="1"/>
    <col min="1539" max="1539" width="10.7109375" style="16" bestFit="1" customWidth="1"/>
    <col min="1540" max="1540" width="6.7109375" style="16" customWidth="1"/>
    <col min="1541" max="1541" width="8.5703125" style="16" customWidth="1"/>
    <col min="1542" max="1542" width="9.28515625" style="16" customWidth="1"/>
    <col min="1543" max="1543" width="10.42578125" style="16" bestFit="1" customWidth="1"/>
    <col min="1544" max="1544" width="10.28515625" style="16" bestFit="1" customWidth="1"/>
    <col min="1545" max="1545" width="7.140625" style="16" customWidth="1"/>
    <col min="1546" max="1546" width="8.28515625" style="16" customWidth="1"/>
    <col min="1547" max="1548" width="7" style="16" customWidth="1"/>
    <col min="1549" max="1549" width="6.85546875" style="16" customWidth="1"/>
    <col min="1550" max="1550" width="7" style="16" customWidth="1"/>
    <col min="1551" max="1551" width="9.28515625" style="16" customWidth="1"/>
    <col min="1552" max="1554" width="9.140625" style="16"/>
    <col min="1555" max="1555" width="12.42578125" style="16" customWidth="1"/>
    <col min="1556" max="1556" width="9.140625" style="16"/>
    <col min="1557" max="1557" width="12" style="16" customWidth="1"/>
    <col min="1558" max="1792" width="9.140625" style="16"/>
    <col min="1793" max="1793" width="5" style="16" customWidth="1"/>
    <col min="1794" max="1794" width="18" style="16" customWidth="1"/>
    <col min="1795" max="1795" width="10.7109375" style="16" bestFit="1" customWidth="1"/>
    <col min="1796" max="1796" width="6.7109375" style="16" customWidth="1"/>
    <col min="1797" max="1797" width="8.5703125" style="16" customWidth="1"/>
    <col min="1798" max="1798" width="9.28515625" style="16" customWidth="1"/>
    <col min="1799" max="1799" width="10.42578125" style="16" bestFit="1" customWidth="1"/>
    <col min="1800" max="1800" width="10.28515625" style="16" bestFit="1" customWidth="1"/>
    <col min="1801" max="1801" width="7.140625" style="16" customWidth="1"/>
    <col min="1802" max="1802" width="8.28515625" style="16" customWidth="1"/>
    <col min="1803" max="1804" width="7" style="16" customWidth="1"/>
    <col min="1805" max="1805" width="6.85546875" style="16" customWidth="1"/>
    <col min="1806" max="1806" width="7" style="16" customWidth="1"/>
    <col min="1807" max="1807" width="9.28515625" style="16" customWidth="1"/>
    <col min="1808" max="1810" width="9.140625" style="16"/>
    <col min="1811" max="1811" width="12.42578125" style="16" customWidth="1"/>
    <col min="1812" max="1812" width="9.140625" style="16"/>
    <col min="1813" max="1813" width="12" style="16" customWidth="1"/>
    <col min="1814" max="2048" width="9.140625" style="16"/>
    <col min="2049" max="2049" width="5" style="16" customWidth="1"/>
    <col min="2050" max="2050" width="18" style="16" customWidth="1"/>
    <col min="2051" max="2051" width="10.7109375" style="16" bestFit="1" customWidth="1"/>
    <col min="2052" max="2052" width="6.7109375" style="16" customWidth="1"/>
    <col min="2053" max="2053" width="8.5703125" style="16" customWidth="1"/>
    <col min="2054" max="2054" width="9.28515625" style="16" customWidth="1"/>
    <col min="2055" max="2055" width="10.42578125" style="16" bestFit="1" customWidth="1"/>
    <col min="2056" max="2056" width="10.28515625" style="16" bestFit="1" customWidth="1"/>
    <col min="2057" max="2057" width="7.140625" style="16" customWidth="1"/>
    <col min="2058" max="2058" width="8.28515625" style="16" customWidth="1"/>
    <col min="2059" max="2060" width="7" style="16" customWidth="1"/>
    <col min="2061" max="2061" width="6.85546875" style="16" customWidth="1"/>
    <col min="2062" max="2062" width="7" style="16" customWidth="1"/>
    <col min="2063" max="2063" width="9.28515625" style="16" customWidth="1"/>
    <col min="2064" max="2066" width="9.140625" style="16"/>
    <col min="2067" max="2067" width="12.42578125" style="16" customWidth="1"/>
    <col min="2068" max="2068" width="9.140625" style="16"/>
    <col min="2069" max="2069" width="12" style="16" customWidth="1"/>
    <col min="2070" max="2304" width="9.140625" style="16"/>
    <col min="2305" max="2305" width="5" style="16" customWidth="1"/>
    <col min="2306" max="2306" width="18" style="16" customWidth="1"/>
    <col min="2307" max="2307" width="10.7109375" style="16" bestFit="1" customWidth="1"/>
    <col min="2308" max="2308" width="6.7109375" style="16" customWidth="1"/>
    <col min="2309" max="2309" width="8.5703125" style="16" customWidth="1"/>
    <col min="2310" max="2310" width="9.28515625" style="16" customWidth="1"/>
    <col min="2311" max="2311" width="10.42578125" style="16" bestFit="1" customWidth="1"/>
    <col min="2312" max="2312" width="10.28515625" style="16" bestFit="1" customWidth="1"/>
    <col min="2313" max="2313" width="7.140625" style="16" customWidth="1"/>
    <col min="2314" max="2314" width="8.28515625" style="16" customWidth="1"/>
    <col min="2315" max="2316" width="7" style="16" customWidth="1"/>
    <col min="2317" max="2317" width="6.85546875" style="16" customWidth="1"/>
    <col min="2318" max="2318" width="7" style="16" customWidth="1"/>
    <col min="2319" max="2319" width="9.28515625" style="16" customWidth="1"/>
    <col min="2320" max="2322" width="9.140625" style="16"/>
    <col min="2323" max="2323" width="12.42578125" style="16" customWidth="1"/>
    <col min="2324" max="2324" width="9.140625" style="16"/>
    <col min="2325" max="2325" width="12" style="16" customWidth="1"/>
    <col min="2326" max="2560" width="9.140625" style="16"/>
    <col min="2561" max="2561" width="5" style="16" customWidth="1"/>
    <col min="2562" max="2562" width="18" style="16" customWidth="1"/>
    <col min="2563" max="2563" width="10.7109375" style="16" bestFit="1" customWidth="1"/>
    <col min="2564" max="2564" width="6.7109375" style="16" customWidth="1"/>
    <col min="2565" max="2565" width="8.5703125" style="16" customWidth="1"/>
    <col min="2566" max="2566" width="9.28515625" style="16" customWidth="1"/>
    <col min="2567" max="2567" width="10.42578125" style="16" bestFit="1" customWidth="1"/>
    <col min="2568" max="2568" width="10.28515625" style="16" bestFit="1" customWidth="1"/>
    <col min="2569" max="2569" width="7.140625" style="16" customWidth="1"/>
    <col min="2570" max="2570" width="8.28515625" style="16" customWidth="1"/>
    <col min="2571" max="2572" width="7" style="16" customWidth="1"/>
    <col min="2573" max="2573" width="6.85546875" style="16" customWidth="1"/>
    <col min="2574" max="2574" width="7" style="16" customWidth="1"/>
    <col min="2575" max="2575" width="9.28515625" style="16" customWidth="1"/>
    <col min="2576" max="2578" width="9.140625" style="16"/>
    <col min="2579" max="2579" width="12.42578125" style="16" customWidth="1"/>
    <col min="2580" max="2580" width="9.140625" style="16"/>
    <col min="2581" max="2581" width="12" style="16" customWidth="1"/>
    <col min="2582" max="2816" width="9.140625" style="16"/>
    <col min="2817" max="2817" width="5" style="16" customWidth="1"/>
    <col min="2818" max="2818" width="18" style="16" customWidth="1"/>
    <col min="2819" max="2819" width="10.7109375" style="16" bestFit="1" customWidth="1"/>
    <col min="2820" max="2820" width="6.7109375" style="16" customWidth="1"/>
    <col min="2821" max="2821" width="8.5703125" style="16" customWidth="1"/>
    <col min="2822" max="2822" width="9.28515625" style="16" customWidth="1"/>
    <col min="2823" max="2823" width="10.42578125" style="16" bestFit="1" customWidth="1"/>
    <col min="2824" max="2824" width="10.28515625" style="16" bestFit="1" customWidth="1"/>
    <col min="2825" max="2825" width="7.140625" style="16" customWidth="1"/>
    <col min="2826" max="2826" width="8.28515625" style="16" customWidth="1"/>
    <col min="2827" max="2828" width="7" style="16" customWidth="1"/>
    <col min="2829" max="2829" width="6.85546875" style="16" customWidth="1"/>
    <col min="2830" max="2830" width="7" style="16" customWidth="1"/>
    <col min="2831" max="2831" width="9.28515625" style="16" customWidth="1"/>
    <col min="2832" max="2834" width="9.140625" style="16"/>
    <col min="2835" max="2835" width="12.42578125" style="16" customWidth="1"/>
    <col min="2836" max="2836" width="9.140625" style="16"/>
    <col min="2837" max="2837" width="12" style="16" customWidth="1"/>
    <col min="2838" max="3072" width="9.140625" style="16"/>
    <col min="3073" max="3073" width="5" style="16" customWidth="1"/>
    <col min="3074" max="3074" width="18" style="16" customWidth="1"/>
    <col min="3075" max="3075" width="10.7109375" style="16" bestFit="1" customWidth="1"/>
    <col min="3076" max="3076" width="6.7109375" style="16" customWidth="1"/>
    <col min="3077" max="3077" width="8.5703125" style="16" customWidth="1"/>
    <col min="3078" max="3078" width="9.28515625" style="16" customWidth="1"/>
    <col min="3079" max="3079" width="10.42578125" style="16" bestFit="1" customWidth="1"/>
    <col min="3080" max="3080" width="10.28515625" style="16" bestFit="1" customWidth="1"/>
    <col min="3081" max="3081" width="7.140625" style="16" customWidth="1"/>
    <col min="3082" max="3082" width="8.28515625" style="16" customWidth="1"/>
    <col min="3083" max="3084" width="7" style="16" customWidth="1"/>
    <col min="3085" max="3085" width="6.85546875" style="16" customWidth="1"/>
    <col min="3086" max="3086" width="7" style="16" customWidth="1"/>
    <col min="3087" max="3087" width="9.28515625" style="16" customWidth="1"/>
    <col min="3088" max="3090" width="9.140625" style="16"/>
    <col min="3091" max="3091" width="12.42578125" style="16" customWidth="1"/>
    <col min="3092" max="3092" width="9.140625" style="16"/>
    <col min="3093" max="3093" width="12" style="16" customWidth="1"/>
    <col min="3094" max="3328" width="9.140625" style="16"/>
    <col min="3329" max="3329" width="5" style="16" customWidth="1"/>
    <col min="3330" max="3330" width="18" style="16" customWidth="1"/>
    <col min="3331" max="3331" width="10.7109375" style="16" bestFit="1" customWidth="1"/>
    <col min="3332" max="3332" width="6.7109375" style="16" customWidth="1"/>
    <col min="3333" max="3333" width="8.5703125" style="16" customWidth="1"/>
    <col min="3334" max="3334" width="9.28515625" style="16" customWidth="1"/>
    <col min="3335" max="3335" width="10.42578125" style="16" bestFit="1" customWidth="1"/>
    <col min="3336" max="3336" width="10.28515625" style="16" bestFit="1" customWidth="1"/>
    <col min="3337" max="3337" width="7.140625" style="16" customWidth="1"/>
    <col min="3338" max="3338" width="8.28515625" style="16" customWidth="1"/>
    <col min="3339" max="3340" width="7" style="16" customWidth="1"/>
    <col min="3341" max="3341" width="6.85546875" style="16" customWidth="1"/>
    <col min="3342" max="3342" width="7" style="16" customWidth="1"/>
    <col min="3343" max="3343" width="9.28515625" style="16" customWidth="1"/>
    <col min="3344" max="3346" width="9.140625" style="16"/>
    <col min="3347" max="3347" width="12.42578125" style="16" customWidth="1"/>
    <col min="3348" max="3348" width="9.140625" style="16"/>
    <col min="3349" max="3349" width="12" style="16" customWidth="1"/>
    <col min="3350" max="3584" width="9.140625" style="16"/>
    <col min="3585" max="3585" width="5" style="16" customWidth="1"/>
    <col min="3586" max="3586" width="18" style="16" customWidth="1"/>
    <col min="3587" max="3587" width="10.7109375" style="16" bestFit="1" customWidth="1"/>
    <col min="3588" max="3588" width="6.7109375" style="16" customWidth="1"/>
    <col min="3589" max="3589" width="8.5703125" style="16" customWidth="1"/>
    <col min="3590" max="3590" width="9.28515625" style="16" customWidth="1"/>
    <col min="3591" max="3591" width="10.42578125" style="16" bestFit="1" customWidth="1"/>
    <col min="3592" max="3592" width="10.28515625" style="16" bestFit="1" customWidth="1"/>
    <col min="3593" max="3593" width="7.140625" style="16" customWidth="1"/>
    <col min="3594" max="3594" width="8.28515625" style="16" customWidth="1"/>
    <col min="3595" max="3596" width="7" style="16" customWidth="1"/>
    <col min="3597" max="3597" width="6.85546875" style="16" customWidth="1"/>
    <col min="3598" max="3598" width="7" style="16" customWidth="1"/>
    <col min="3599" max="3599" width="9.28515625" style="16" customWidth="1"/>
    <col min="3600" max="3602" width="9.140625" style="16"/>
    <col min="3603" max="3603" width="12.42578125" style="16" customWidth="1"/>
    <col min="3604" max="3604" width="9.140625" style="16"/>
    <col min="3605" max="3605" width="12" style="16" customWidth="1"/>
    <col min="3606" max="3840" width="9.140625" style="16"/>
    <col min="3841" max="3841" width="5" style="16" customWidth="1"/>
    <col min="3842" max="3842" width="18" style="16" customWidth="1"/>
    <col min="3843" max="3843" width="10.7109375" style="16" bestFit="1" customWidth="1"/>
    <col min="3844" max="3844" width="6.7109375" style="16" customWidth="1"/>
    <col min="3845" max="3845" width="8.5703125" style="16" customWidth="1"/>
    <col min="3846" max="3846" width="9.28515625" style="16" customWidth="1"/>
    <col min="3847" max="3847" width="10.42578125" style="16" bestFit="1" customWidth="1"/>
    <col min="3848" max="3848" width="10.28515625" style="16" bestFit="1" customWidth="1"/>
    <col min="3849" max="3849" width="7.140625" style="16" customWidth="1"/>
    <col min="3850" max="3850" width="8.28515625" style="16" customWidth="1"/>
    <col min="3851" max="3852" width="7" style="16" customWidth="1"/>
    <col min="3853" max="3853" width="6.85546875" style="16" customWidth="1"/>
    <col min="3854" max="3854" width="7" style="16" customWidth="1"/>
    <col min="3855" max="3855" width="9.28515625" style="16" customWidth="1"/>
    <col min="3856" max="3858" width="9.140625" style="16"/>
    <col min="3859" max="3859" width="12.42578125" style="16" customWidth="1"/>
    <col min="3860" max="3860" width="9.140625" style="16"/>
    <col min="3861" max="3861" width="12" style="16" customWidth="1"/>
    <col min="3862" max="4096" width="9.140625" style="16"/>
    <col min="4097" max="4097" width="5" style="16" customWidth="1"/>
    <col min="4098" max="4098" width="18" style="16" customWidth="1"/>
    <col min="4099" max="4099" width="10.7109375" style="16" bestFit="1" customWidth="1"/>
    <col min="4100" max="4100" width="6.7109375" style="16" customWidth="1"/>
    <col min="4101" max="4101" width="8.5703125" style="16" customWidth="1"/>
    <col min="4102" max="4102" width="9.28515625" style="16" customWidth="1"/>
    <col min="4103" max="4103" width="10.42578125" style="16" bestFit="1" customWidth="1"/>
    <col min="4104" max="4104" width="10.28515625" style="16" bestFit="1" customWidth="1"/>
    <col min="4105" max="4105" width="7.140625" style="16" customWidth="1"/>
    <col min="4106" max="4106" width="8.28515625" style="16" customWidth="1"/>
    <col min="4107" max="4108" width="7" style="16" customWidth="1"/>
    <col min="4109" max="4109" width="6.85546875" style="16" customWidth="1"/>
    <col min="4110" max="4110" width="7" style="16" customWidth="1"/>
    <col min="4111" max="4111" width="9.28515625" style="16" customWidth="1"/>
    <col min="4112" max="4114" width="9.140625" style="16"/>
    <col min="4115" max="4115" width="12.42578125" style="16" customWidth="1"/>
    <col min="4116" max="4116" width="9.140625" style="16"/>
    <col min="4117" max="4117" width="12" style="16" customWidth="1"/>
    <col min="4118" max="4352" width="9.140625" style="16"/>
    <col min="4353" max="4353" width="5" style="16" customWidth="1"/>
    <col min="4354" max="4354" width="18" style="16" customWidth="1"/>
    <col min="4355" max="4355" width="10.7109375" style="16" bestFit="1" customWidth="1"/>
    <col min="4356" max="4356" width="6.7109375" style="16" customWidth="1"/>
    <col min="4357" max="4357" width="8.5703125" style="16" customWidth="1"/>
    <col min="4358" max="4358" width="9.28515625" style="16" customWidth="1"/>
    <col min="4359" max="4359" width="10.42578125" style="16" bestFit="1" customWidth="1"/>
    <col min="4360" max="4360" width="10.28515625" style="16" bestFit="1" customWidth="1"/>
    <col min="4361" max="4361" width="7.140625" style="16" customWidth="1"/>
    <col min="4362" max="4362" width="8.28515625" style="16" customWidth="1"/>
    <col min="4363" max="4364" width="7" style="16" customWidth="1"/>
    <col min="4365" max="4365" width="6.85546875" style="16" customWidth="1"/>
    <col min="4366" max="4366" width="7" style="16" customWidth="1"/>
    <col min="4367" max="4367" width="9.28515625" style="16" customWidth="1"/>
    <col min="4368" max="4370" width="9.140625" style="16"/>
    <col min="4371" max="4371" width="12.42578125" style="16" customWidth="1"/>
    <col min="4372" max="4372" width="9.140625" style="16"/>
    <col min="4373" max="4373" width="12" style="16" customWidth="1"/>
    <col min="4374" max="4608" width="9.140625" style="16"/>
    <col min="4609" max="4609" width="5" style="16" customWidth="1"/>
    <col min="4610" max="4610" width="18" style="16" customWidth="1"/>
    <col min="4611" max="4611" width="10.7109375" style="16" bestFit="1" customWidth="1"/>
    <col min="4612" max="4612" width="6.7109375" style="16" customWidth="1"/>
    <col min="4613" max="4613" width="8.5703125" style="16" customWidth="1"/>
    <col min="4614" max="4614" width="9.28515625" style="16" customWidth="1"/>
    <col min="4615" max="4615" width="10.42578125" style="16" bestFit="1" customWidth="1"/>
    <col min="4616" max="4616" width="10.28515625" style="16" bestFit="1" customWidth="1"/>
    <col min="4617" max="4617" width="7.140625" style="16" customWidth="1"/>
    <col min="4618" max="4618" width="8.28515625" style="16" customWidth="1"/>
    <col min="4619" max="4620" width="7" style="16" customWidth="1"/>
    <col min="4621" max="4621" width="6.85546875" style="16" customWidth="1"/>
    <col min="4622" max="4622" width="7" style="16" customWidth="1"/>
    <col min="4623" max="4623" width="9.28515625" style="16" customWidth="1"/>
    <col min="4624" max="4626" width="9.140625" style="16"/>
    <col min="4627" max="4627" width="12.42578125" style="16" customWidth="1"/>
    <col min="4628" max="4628" width="9.140625" style="16"/>
    <col min="4629" max="4629" width="12" style="16" customWidth="1"/>
    <col min="4630" max="4864" width="9.140625" style="16"/>
    <col min="4865" max="4865" width="5" style="16" customWidth="1"/>
    <col min="4866" max="4866" width="18" style="16" customWidth="1"/>
    <col min="4867" max="4867" width="10.7109375" style="16" bestFit="1" customWidth="1"/>
    <col min="4868" max="4868" width="6.7109375" style="16" customWidth="1"/>
    <col min="4869" max="4869" width="8.5703125" style="16" customWidth="1"/>
    <col min="4870" max="4870" width="9.28515625" style="16" customWidth="1"/>
    <col min="4871" max="4871" width="10.42578125" style="16" bestFit="1" customWidth="1"/>
    <col min="4872" max="4872" width="10.28515625" style="16" bestFit="1" customWidth="1"/>
    <col min="4873" max="4873" width="7.140625" style="16" customWidth="1"/>
    <col min="4874" max="4874" width="8.28515625" style="16" customWidth="1"/>
    <col min="4875" max="4876" width="7" style="16" customWidth="1"/>
    <col min="4877" max="4877" width="6.85546875" style="16" customWidth="1"/>
    <col min="4878" max="4878" width="7" style="16" customWidth="1"/>
    <col min="4879" max="4879" width="9.28515625" style="16" customWidth="1"/>
    <col min="4880" max="4882" width="9.140625" style="16"/>
    <col min="4883" max="4883" width="12.42578125" style="16" customWidth="1"/>
    <col min="4884" max="4884" width="9.140625" style="16"/>
    <col min="4885" max="4885" width="12" style="16" customWidth="1"/>
    <col min="4886" max="5120" width="9.140625" style="16"/>
    <col min="5121" max="5121" width="5" style="16" customWidth="1"/>
    <col min="5122" max="5122" width="18" style="16" customWidth="1"/>
    <col min="5123" max="5123" width="10.7109375" style="16" bestFit="1" customWidth="1"/>
    <col min="5124" max="5124" width="6.7109375" style="16" customWidth="1"/>
    <col min="5125" max="5125" width="8.5703125" style="16" customWidth="1"/>
    <col min="5126" max="5126" width="9.28515625" style="16" customWidth="1"/>
    <col min="5127" max="5127" width="10.42578125" style="16" bestFit="1" customWidth="1"/>
    <col min="5128" max="5128" width="10.28515625" style="16" bestFit="1" customWidth="1"/>
    <col min="5129" max="5129" width="7.140625" style="16" customWidth="1"/>
    <col min="5130" max="5130" width="8.28515625" style="16" customWidth="1"/>
    <col min="5131" max="5132" width="7" style="16" customWidth="1"/>
    <col min="5133" max="5133" width="6.85546875" style="16" customWidth="1"/>
    <col min="5134" max="5134" width="7" style="16" customWidth="1"/>
    <col min="5135" max="5135" width="9.28515625" style="16" customWidth="1"/>
    <col min="5136" max="5138" width="9.140625" style="16"/>
    <col min="5139" max="5139" width="12.42578125" style="16" customWidth="1"/>
    <col min="5140" max="5140" width="9.140625" style="16"/>
    <col min="5141" max="5141" width="12" style="16" customWidth="1"/>
    <col min="5142" max="5376" width="9.140625" style="16"/>
    <col min="5377" max="5377" width="5" style="16" customWidth="1"/>
    <col min="5378" max="5378" width="18" style="16" customWidth="1"/>
    <col min="5379" max="5379" width="10.7109375" style="16" bestFit="1" customWidth="1"/>
    <col min="5380" max="5380" width="6.7109375" style="16" customWidth="1"/>
    <col min="5381" max="5381" width="8.5703125" style="16" customWidth="1"/>
    <col min="5382" max="5382" width="9.28515625" style="16" customWidth="1"/>
    <col min="5383" max="5383" width="10.42578125" style="16" bestFit="1" customWidth="1"/>
    <col min="5384" max="5384" width="10.28515625" style="16" bestFit="1" customWidth="1"/>
    <col min="5385" max="5385" width="7.140625" style="16" customWidth="1"/>
    <col min="5386" max="5386" width="8.28515625" style="16" customWidth="1"/>
    <col min="5387" max="5388" width="7" style="16" customWidth="1"/>
    <col min="5389" max="5389" width="6.85546875" style="16" customWidth="1"/>
    <col min="5390" max="5390" width="7" style="16" customWidth="1"/>
    <col min="5391" max="5391" width="9.28515625" style="16" customWidth="1"/>
    <col min="5392" max="5394" width="9.140625" style="16"/>
    <col min="5395" max="5395" width="12.42578125" style="16" customWidth="1"/>
    <col min="5396" max="5396" width="9.140625" style="16"/>
    <col min="5397" max="5397" width="12" style="16" customWidth="1"/>
    <col min="5398" max="5632" width="9.140625" style="16"/>
    <col min="5633" max="5633" width="5" style="16" customWidth="1"/>
    <col min="5634" max="5634" width="18" style="16" customWidth="1"/>
    <col min="5635" max="5635" width="10.7109375" style="16" bestFit="1" customWidth="1"/>
    <col min="5636" max="5636" width="6.7109375" style="16" customWidth="1"/>
    <col min="5637" max="5637" width="8.5703125" style="16" customWidth="1"/>
    <col min="5638" max="5638" width="9.28515625" style="16" customWidth="1"/>
    <col min="5639" max="5639" width="10.42578125" style="16" bestFit="1" customWidth="1"/>
    <col min="5640" max="5640" width="10.28515625" style="16" bestFit="1" customWidth="1"/>
    <col min="5641" max="5641" width="7.140625" style="16" customWidth="1"/>
    <col min="5642" max="5642" width="8.28515625" style="16" customWidth="1"/>
    <col min="5643" max="5644" width="7" style="16" customWidth="1"/>
    <col min="5645" max="5645" width="6.85546875" style="16" customWidth="1"/>
    <col min="5646" max="5646" width="7" style="16" customWidth="1"/>
    <col min="5647" max="5647" width="9.28515625" style="16" customWidth="1"/>
    <col min="5648" max="5650" width="9.140625" style="16"/>
    <col min="5651" max="5651" width="12.42578125" style="16" customWidth="1"/>
    <col min="5652" max="5652" width="9.140625" style="16"/>
    <col min="5653" max="5653" width="12" style="16" customWidth="1"/>
    <col min="5654" max="5888" width="9.140625" style="16"/>
    <col min="5889" max="5889" width="5" style="16" customWidth="1"/>
    <col min="5890" max="5890" width="18" style="16" customWidth="1"/>
    <col min="5891" max="5891" width="10.7109375" style="16" bestFit="1" customWidth="1"/>
    <col min="5892" max="5892" width="6.7109375" style="16" customWidth="1"/>
    <col min="5893" max="5893" width="8.5703125" style="16" customWidth="1"/>
    <col min="5894" max="5894" width="9.28515625" style="16" customWidth="1"/>
    <col min="5895" max="5895" width="10.42578125" style="16" bestFit="1" customWidth="1"/>
    <col min="5896" max="5896" width="10.28515625" style="16" bestFit="1" customWidth="1"/>
    <col min="5897" max="5897" width="7.140625" style="16" customWidth="1"/>
    <col min="5898" max="5898" width="8.28515625" style="16" customWidth="1"/>
    <col min="5899" max="5900" width="7" style="16" customWidth="1"/>
    <col min="5901" max="5901" width="6.85546875" style="16" customWidth="1"/>
    <col min="5902" max="5902" width="7" style="16" customWidth="1"/>
    <col min="5903" max="5903" width="9.28515625" style="16" customWidth="1"/>
    <col min="5904" max="5906" width="9.140625" style="16"/>
    <col min="5907" max="5907" width="12.42578125" style="16" customWidth="1"/>
    <col min="5908" max="5908" width="9.140625" style="16"/>
    <col min="5909" max="5909" width="12" style="16" customWidth="1"/>
    <col min="5910" max="6144" width="9.140625" style="16"/>
    <col min="6145" max="6145" width="5" style="16" customWidth="1"/>
    <col min="6146" max="6146" width="18" style="16" customWidth="1"/>
    <col min="6147" max="6147" width="10.7109375" style="16" bestFit="1" customWidth="1"/>
    <col min="6148" max="6148" width="6.7109375" style="16" customWidth="1"/>
    <col min="6149" max="6149" width="8.5703125" style="16" customWidth="1"/>
    <col min="6150" max="6150" width="9.28515625" style="16" customWidth="1"/>
    <col min="6151" max="6151" width="10.42578125" style="16" bestFit="1" customWidth="1"/>
    <col min="6152" max="6152" width="10.28515625" style="16" bestFit="1" customWidth="1"/>
    <col min="6153" max="6153" width="7.140625" style="16" customWidth="1"/>
    <col min="6154" max="6154" width="8.28515625" style="16" customWidth="1"/>
    <col min="6155" max="6156" width="7" style="16" customWidth="1"/>
    <col min="6157" max="6157" width="6.85546875" style="16" customWidth="1"/>
    <col min="6158" max="6158" width="7" style="16" customWidth="1"/>
    <col min="6159" max="6159" width="9.28515625" style="16" customWidth="1"/>
    <col min="6160" max="6162" width="9.140625" style="16"/>
    <col min="6163" max="6163" width="12.42578125" style="16" customWidth="1"/>
    <col min="6164" max="6164" width="9.140625" style="16"/>
    <col min="6165" max="6165" width="12" style="16" customWidth="1"/>
    <col min="6166" max="6400" width="9.140625" style="16"/>
    <col min="6401" max="6401" width="5" style="16" customWidth="1"/>
    <col min="6402" max="6402" width="18" style="16" customWidth="1"/>
    <col min="6403" max="6403" width="10.7109375" style="16" bestFit="1" customWidth="1"/>
    <col min="6404" max="6404" width="6.7109375" style="16" customWidth="1"/>
    <col min="6405" max="6405" width="8.5703125" style="16" customWidth="1"/>
    <col min="6406" max="6406" width="9.28515625" style="16" customWidth="1"/>
    <col min="6407" max="6407" width="10.42578125" style="16" bestFit="1" customWidth="1"/>
    <col min="6408" max="6408" width="10.28515625" style="16" bestFit="1" customWidth="1"/>
    <col min="6409" max="6409" width="7.140625" style="16" customWidth="1"/>
    <col min="6410" max="6410" width="8.28515625" style="16" customWidth="1"/>
    <col min="6411" max="6412" width="7" style="16" customWidth="1"/>
    <col min="6413" max="6413" width="6.85546875" style="16" customWidth="1"/>
    <col min="6414" max="6414" width="7" style="16" customWidth="1"/>
    <col min="6415" max="6415" width="9.28515625" style="16" customWidth="1"/>
    <col min="6416" max="6418" width="9.140625" style="16"/>
    <col min="6419" max="6419" width="12.42578125" style="16" customWidth="1"/>
    <col min="6420" max="6420" width="9.140625" style="16"/>
    <col min="6421" max="6421" width="12" style="16" customWidth="1"/>
    <col min="6422" max="6656" width="9.140625" style="16"/>
    <col min="6657" max="6657" width="5" style="16" customWidth="1"/>
    <col min="6658" max="6658" width="18" style="16" customWidth="1"/>
    <col min="6659" max="6659" width="10.7109375" style="16" bestFit="1" customWidth="1"/>
    <col min="6660" max="6660" width="6.7109375" style="16" customWidth="1"/>
    <col min="6661" max="6661" width="8.5703125" style="16" customWidth="1"/>
    <col min="6662" max="6662" width="9.28515625" style="16" customWidth="1"/>
    <col min="6663" max="6663" width="10.42578125" style="16" bestFit="1" customWidth="1"/>
    <col min="6664" max="6664" width="10.28515625" style="16" bestFit="1" customWidth="1"/>
    <col min="6665" max="6665" width="7.140625" style="16" customWidth="1"/>
    <col min="6666" max="6666" width="8.28515625" style="16" customWidth="1"/>
    <col min="6667" max="6668" width="7" style="16" customWidth="1"/>
    <col min="6669" max="6669" width="6.85546875" style="16" customWidth="1"/>
    <col min="6670" max="6670" width="7" style="16" customWidth="1"/>
    <col min="6671" max="6671" width="9.28515625" style="16" customWidth="1"/>
    <col min="6672" max="6674" width="9.140625" style="16"/>
    <col min="6675" max="6675" width="12.42578125" style="16" customWidth="1"/>
    <col min="6676" max="6676" width="9.140625" style="16"/>
    <col min="6677" max="6677" width="12" style="16" customWidth="1"/>
    <col min="6678" max="6912" width="9.140625" style="16"/>
    <col min="6913" max="6913" width="5" style="16" customWidth="1"/>
    <col min="6914" max="6914" width="18" style="16" customWidth="1"/>
    <col min="6915" max="6915" width="10.7109375" style="16" bestFit="1" customWidth="1"/>
    <col min="6916" max="6916" width="6.7109375" style="16" customWidth="1"/>
    <col min="6917" max="6917" width="8.5703125" style="16" customWidth="1"/>
    <col min="6918" max="6918" width="9.28515625" style="16" customWidth="1"/>
    <col min="6919" max="6919" width="10.42578125" style="16" bestFit="1" customWidth="1"/>
    <col min="6920" max="6920" width="10.28515625" style="16" bestFit="1" customWidth="1"/>
    <col min="6921" max="6921" width="7.140625" style="16" customWidth="1"/>
    <col min="6922" max="6922" width="8.28515625" style="16" customWidth="1"/>
    <col min="6923" max="6924" width="7" style="16" customWidth="1"/>
    <col min="6925" max="6925" width="6.85546875" style="16" customWidth="1"/>
    <col min="6926" max="6926" width="7" style="16" customWidth="1"/>
    <col min="6927" max="6927" width="9.28515625" style="16" customWidth="1"/>
    <col min="6928" max="6930" width="9.140625" style="16"/>
    <col min="6931" max="6931" width="12.42578125" style="16" customWidth="1"/>
    <col min="6932" max="6932" width="9.140625" style="16"/>
    <col min="6933" max="6933" width="12" style="16" customWidth="1"/>
    <col min="6934" max="7168" width="9.140625" style="16"/>
    <col min="7169" max="7169" width="5" style="16" customWidth="1"/>
    <col min="7170" max="7170" width="18" style="16" customWidth="1"/>
    <col min="7171" max="7171" width="10.7109375" style="16" bestFit="1" customWidth="1"/>
    <col min="7172" max="7172" width="6.7109375" style="16" customWidth="1"/>
    <col min="7173" max="7173" width="8.5703125" style="16" customWidth="1"/>
    <col min="7174" max="7174" width="9.28515625" style="16" customWidth="1"/>
    <col min="7175" max="7175" width="10.42578125" style="16" bestFit="1" customWidth="1"/>
    <col min="7176" max="7176" width="10.28515625" style="16" bestFit="1" customWidth="1"/>
    <col min="7177" max="7177" width="7.140625" style="16" customWidth="1"/>
    <col min="7178" max="7178" width="8.28515625" style="16" customWidth="1"/>
    <col min="7179" max="7180" width="7" style="16" customWidth="1"/>
    <col min="7181" max="7181" width="6.85546875" style="16" customWidth="1"/>
    <col min="7182" max="7182" width="7" style="16" customWidth="1"/>
    <col min="7183" max="7183" width="9.28515625" style="16" customWidth="1"/>
    <col min="7184" max="7186" width="9.140625" style="16"/>
    <col min="7187" max="7187" width="12.42578125" style="16" customWidth="1"/>
    <col min="7188" max="7188" width="9.140625" style="16"/>
    <col min="7189" max="7189" width="12" style="16" customWidth="1"/>
    <col min="7190" max="7424" width="9.140625" style="16"/>
    <col min="7425" max="7425" width="5" style="16" customWidth="1"/>
    <col min="7426" max="7426" width="18" style="16" customWidth="1"/>
    <col min="7427" max="7427" width="10.7109375" style="16" bestFit="1" customWidth="1"/>
    <col min="7428" max="7428" width="6.7109375" style="16" customWidth="1"/>
    <col min="7429" max="7429" width="8.5703125" style="16" customWidth="1"/>
    <col min="7430" max="7430" width="9.28515625" style="16" customWidth="1"/>
    <col min="7431" max="7431" width="10.42578125" style="16" bestFit="1" customWidth="1"/>
    <col min="7432" max="7432" width="10.28515625" style="16" bestFit="1" customWidth="1"/>
    <col min="7433" max="7433" width="7.140625" style="16" customWidth="1"/>
    <col min="7434" max="7434" width="8.28515625" style="16" customWidth="1"/>
    <col min="7435" max="7436" width="7" style="16" customWidth="1"/>
    <col min="7437" max="7437" width="6.85546875" style="16" customWidth="1"/>
    <col min="7438" max="7438" width="7" style="16" customWidth="1"/>
    <col min="7439" max="7439" width="9.28515625" style="16" customWidth="1"/>
    <col min="7440" max="7442" width="9.140625" style="16"/>
    <col min="7443" max="7443" width="12.42578125" style="16" customWidth="1"/>
    <col min="7444" max="7444" width="9.140625" style="16"/>
    <col min="7445" max="7445" width="12" style="16" customWidth="1"/>
    <col min="7446" max="7680" width="9.140625" style="16"/>
    <col min="7681" max="7681" width="5" style="16" customWidth="1"/>
    <col min="7682" max="7682" width="18" style="16" customWidth="1"/>
    <col min="7683" max="7683" width="10.7109375" style="16" bestFit="1" customWidth="1"/>
    <col min="7684" max="7684" width="6.7109375" style="16" customWidth="1"/>
    <col min="7685" max="7685" width="8.5703125" style="16" customWidth="1"/>
    <col min="7686" max="7686" width="9.28515625" style="16" customWidth="1"/>
    <col min="7687" max="7687" width="10.42578125" style="16" bestFit="1" customWidth="1"/>
    <col min="7688" max="7688" width="10.28515625" style="16" bestFit="1" customWidth="1"/>
    <col min="7689" max="7689" width="7.140625" style="16" customWidth="1"/>
    <col min="7690" max="7690" width="8.28515625" style="16" customWidth="1"/>
    <col min="7691" max="7692" width="7" style="16" customWidth="1"/>
    <col min="7693" max="7693" width="6.85546875" style="16" customWidth="1"/>
    <col min="7694" max="7694" width="7" style="16" customWidth="1"/>
    <col min="7695" max="7695" width="9.28515625" style="16" customWidth="1"/>
    <col min="7696" max="7698" width="9.140625" style="16"/>
    <col min="7699" max="7699" width="12.42578125" style="16" customWidth="1"/>
    <col min="7700" max="7700" width="9.140625" style="16"/>
    <col min="7701" max="7701" width="12" style="16" customWidth="1"/>
    <col min="7702" max="7936" width="9.140625" style="16"/>
    <col min="7937" max="7937" width="5" style="16" customWidth="1"/>
    <col min="7938" max="7938" width="18" style="16" customWidth="1"/>
    <col min="7939" max="7939" width="10.7109375" style="16" bestFit="1" customWidth="1"/>
    <col min="7940" max="7940" width="6.7109375" style="16" customWidth="1"/>
    <col min="7941" max="7941" width="8.5703125" style="16" customWidth="1"/>
    <col min="7942" max="7942" width="9.28515625" style="16" customWidth="1"/>
    <col min="7943" max="7943" width="10.42578125" style="16" bestFit="1" customWidth="1"/>
    <col min="7944" max="7944" width="10.28515625" style="16" bestFit="1" customWidth="1"/>
    <col min="7945" max="7945" width="7.140625" style="16" customWidth="1"/>
    <col min="7946" max="7946" width="8.28515625" style="16" customWidth="1"/>
    <col min="7947" max="7948" width="7" style="16" customWidth="1"/>
    <col min="7949" max="7949" width="6.85546875" style="16" customWidth="1"/>
    <col min="7950" max="7950" width="7" style="16" customWidth="1"/>
    <col min="7951" max="7951" width="9.28515625" style="16" customWidth="1"/>
    <col min="7952" max="7954" width="9.140625" style="16"/>
    <col min="7955" max="7955" width="12.42578125" style="16" customWidth="1"/>
    <col min="7956" max="7956" width="9.140625" style="16"/>
    <col min="7957" max="7957" width="12" style="16" customWidth="1"/>
    <col min="7958" max="8192" width="9.140625" style="16"/>
    <col min="8193" max="8193" width="5" style="16" customWidth="1"/>
    <col min="8194" max="8194" width="18" style="16" customWidth="1"/>
    <col min="8195" max="8195" width="10.7109375" style="16" bestFit="1" customWidth="1"/>
    <col min="8196" max="8196" width="6.7109375" style="16" customWidth="1"/>
    <col min="8197" max="8197" width="8.5703125" style="16" customWidth="1"/>
    <col min="8198" max="8198" width="9.28515625" style="16" customWidth="1"/>
    <col min="8199" max="8199" width="10.42578125" style="16" bestFit="1" customWidth="1"/>
    <col min="8200" max="8200" width="10.28515625" style="16" bestFit="1" customWidth="1"/>
    <col min="8201" max="8201" width="7.140625" style="16" customWidth="1"/>
    <col min="8202" max="8202" width="8.28515625" style="16" customWidth="1"/>
    <col min="8203" max="8204" width="7" style="16" customWidth="1"/>
    <col min="8205" max="8205" width="6.85546875" style="16" customWidth="1"/>
    <col min="8206" max="8206" width="7" style="16" customWidth="1"/>
    <col min="8207" max="8207" width="9.28515625" style="16" customWidth="1"/>
    <col min="8208" max="8210" width="9.140625" style="16"/>
    <col min="8211" max="8211" width="12.42578125" style="16" customWidth="1"/>
    <col min="8212" max="8212" width="9.140625" style="16"/>
    <col min="8213" max="8213" width="12" style="16" customWidth="1"/>
    <col min="8214" max="8448" width="9.140625" style="16"/>
    <col min="8449" max="8449" width="5" style="16" customWidth="1"/>
    <col min="8450" max="8450" width="18" style="16" customWidth="1"/>
    <col min="8451" max="8451" width="10.7109375" style="16" bestFit="1" customWidth="1"/>
    <col min="8452" max="8452" width="6.7109375" style="16" customWidth="1"/>
    <col min="8453" max="8453" width="8.5703125" style="16" customWidth="1"/>
    <col min="8454" max="8454" width="9.28515625" style="16" customWidth="1"/>
    <col min="8455" max="8455" width="10.42578125" style="16" bestFit="1" customWidth="1"/>
    <col min="8456" max="8456" width="10.28515625" style="16" bestFit="1" customWidth="1"/>
    <col min="8457" max="8457" width="7.140625" style="16" customWidth="1"/>
    <col min="8458" max="8458" width="8.28515625" style="16" customWidth="1"/>
    <col min="8459" max="8460" width="7" style="16" customWidth="1"/>
    <col min="8461" max="8461" width="6.85546875" style="16" customWidth="1"/>
    <col min="8462" max="8462" width="7" style="16" customWidth="1"/>
    <col min="8463" max="8463" width="9.28515625" style="16" customWidth="1"/>
    <col min="8464" max="8466" width="9.140625" style="16"/>
    <col min="8467" max="8467" width="12.42578125" style="16" customWidth="1"/>
    <col min="8468" max="8468" width="9.140625" style="16"/>
    <col min="8469" max="8469" width="12" style="16" customWidth="1"/>
    <col min="8470" max="8704" width="9.140625" style="16"/>
    <col min="8705" max="8705" width="5" style="16" customWidth="1"/>
    <col min="8706" max="8706" width="18" style="16" customWidth="1"/>
    <col min="8707" max="8707" width="10.7109375" style="16" bestFit="1" customWidth="1"/>
    <col min="8708" max="8708" width="6.7109375" style="16" customWidth="1"/>
    <col min="8709" max="8709" width="8.5703125" style="16" customWidth="1"/>
    <col min="8710" max="8710" width="9.28515625" style="16" customWidth="1"/>
    <col min="8711" max="8711" width="10.42578125" style="16" bestFit="1" customWidth="1"/>
    <col min="8712" max="8712" width="10.28515625" style="16" bestFit="1" customWidth="1"/>
    <col min="8713" max="8713" width="7.140625" style="16" customWidth="1"/>
    <col min="8714" max="8714" width="8.28515625" style="16" customWidth="1"/>
    <col min="8715" max="8716" width="7" style="16" customWidth="1"/>
    <col min="8717" max="8717" width="6.85546875" style="16" customWidth="1"/>
    <col min="8718" max="8718" width="7" style="16" customWidth="1"/>
    <col min="8719" max="8719" width="9.28515625" style="16" customWidth="1"/>
    <col min="8720" max="8722" width="9.140625" style="16"/>
    <col min="8723" max="8723" width="12.42578125" style="16" customWidth="1"/>
    <col min="8724" max="8724" width="9.140625" style="16"/>
    <col min="8725" max="8725" width="12" style="16" customWidth="1"/>
    <col min="8726" max="8960" width="9.140625" style="16"/>
    <col min="8961" max="8961" width="5" style="16" customWidth="1"/>
    <col min="8962" max="8962" width="18" style="16" customWidth="1"/>
    <col min="8963" max="8963" width="10.7109375" style="16" bestFit="1" customWidth="1"/>
    <col min="8964" max="8964" width="6.7109375" style="16" customWidth="1"/>
    <col min="8965" max="8965" width="8.5703125" style="16" customWidth="1"/>
    <col min="8966" max="8966" width="9.28515625" style="16" customWidth="1"/>
    <col min="8967" max="8967" width="10.42578125" style="16" bestFit="1" customWidth="1"/>
    <col min="8968" max="8968" width="10.28515625" style="16" bestFit="1" customWidth="1"/>
    <col min="8969" max="8969" width="7.140625" style="16" customWidth="1"/>
    <col min="8970" max="8970" width="8.28515625" style="16" customWidth="1"/>
    <col min="8971" max="8972" width="7" style="16" customWidth="1"/>
    <col min="8973" max="8973" width="6.85546875" style="16" customWidth="1"/>
    <col min="8974" max="8974" width="7" style="16" customWidth="1"/>
    <col min="8975" max="8975" width="9.28515625" style="16" customWidth="1"/>
    <col min="8976" max="8978" width="9.140625" style="16"/>
    <col min="8979" max="8979" width="12.42578125" style="16" customWidth="1"/>
    <col min="8980" max="8980" width="9.140625" style="16"/>
    <col min="8981" max="8981" width="12" style="16" customWidth="1"/>
    <col min="8982" max="9216" width="9.140625" style="16"/>
    <col min="9217" max="9217" width="5" style="16" customWidth="1"/>
    <col min="9218" max="9218" width="18" style="16" customWidth="1"/>
    <col min="9219" max="9219" width="10.7109375" style="16" bestFit="1" customWidth="1"/>
    <col min="9220" max="9220" width="6.7109375" style="16" customWidth="1"/>
    <col min="9221" max="9221" width="8.5703125" style="16" customWidth="1"/>
    <col min="9222" max="9222" width="9.28515625" style="16" customWidth="1"/>
    <col min="9223" max="9223" width="10.42578125" style="16" bestFit="1" customWidth="1"/>
    <col min="9224" max="9224" width="10.28515625" style="16" bestFit="1" customWidth="1"/>
    <col min="9225" max="9225" width="7.140625" style="16" customWidth="1"/>
    <col min="9226" max="9226" width="8.28515625" style="16" customWidth="1"/>
    <col min="9227" max="9228" width="7" style="16" customWidth="1"/>
    <col min="9229" max="9229" width="6.85546875" style="16" customWidth="1"/>
    <col min="9230" max="9230" width="7" style="16" customWidth="1"/>
    <col min="9231" max="9231" width="9.28515625" style="16" customWidth="1"/>
    <col min="9232" max="9234" width="9.140625" style="16"/>
    <col min="9235" max="9235" width="12.42578125" style="16" customWidth="1"/>
    <col min="9236" max="9236" width="9.140625" style="16"/>
    <col min="9237" max="9237" width="12" style="16" customWidth="1"/>
    <col min="9238" max="9472" width="9.140625" style="16"/>
    <col min="9473" max="9473" width="5" style="16" customWidth="1"/>
    <col min="9474" max="9474" width="18" style="16" customWidth="1"/>
    <col min="9475" max="9475" width="10.7109375" style="16" bestFit="1" customWidth="1"/>
    <col min="9476" max="9476" width="6.7109375" style="16" customWidth="1"/>
    <col min="9477" max="9477" width="8.5703125" style="16" customWidth="1"/>
    <col min="9478" max="9478" width="9.28515625" style="16" customWidth="1"/>
    <col min="9479" max="9479" width="10.42578125" style="16" bestFit="1" customWidth="1"/>
    <col min="9480" max="9480" width="10.28515625" style="16" bestFit="1" customWidth="1"/>
    <col min="9481" max="9481" width="7.140625" style="16" customWidth="1"/>
    <col min="9482" max="9482" width="8.28515625" style="16" customWidth="1"/>
    <col min="9483" max="9484" width="7" style="16" customWidth="1"/>
    <col min="9485" max="9485" width="6.85546875" style="16" customWidth="1"/>
    <col min="9486" max="9486" width="7" style="16" customWidth="1"/>
    <col min="9487" max="9487" width="9.28515625" style="16" customWidth="1"/>
    <col min="9488" max="9490" width="9.140625" style="16"/>
    <col min="9491" max="9491" width="12.42578125" style="16" customWidth="1"/>
    <col min="9492" max="9492" width="9.140625" style="16"/>
    <col min="9493" max="9493" width="12" style="16" customWidth="1"/>
    <col min="9494" max="9728" width="9.140625" style="16"/>
    <col min="9729" max="9729" width="5" style="16" customWidth="1"/>
    <col min="9730" max="9730" width="18" style="16" customWidth="1"/>
    <col min="9731" max="9731" width="10.7109375" style="16" bestFit="1" customWidth="1"/>
    <col min="9732" max="9732" width="6.7109375" style="16" customWidth="1"/>
    <col min="9733" max="9733" width="8.5703125" style="16" customWidth="1"/>
    <col min="9734" max="9734" width="9.28515625" style="16" customWidth="1"/>
    <col min="9735" max="9735" width="10.42578125" style="16" bestFit="1" customWidth="1"/>
    <col min="9736" max="9736" width="10.28515625" style="16" bestFit="1" customWidth="1"/>
    <col min="9737" max="9737" width="7.140625" style="16" customWidth="1"/>
    <col min="9738" max="9738" width="8.28515625" style="16" customWidth="1"/>
    <col min="9739" max="9740" width="7" style="16" customWidth="1"/>
    <col min="9741" max="9741" width="6.85546875" style="16" customWidth="1"/>
    <col min="9742" max="9742" width="7" style="16" customWidth="1"/>
    <col min="9743" max="9743" width="9.28515625" style="16" customWidth="1"/>
    <col min="9744" max="9746" width="9.140625" style="16"/>
    <col min="9747" max="9747" width="12.42578125" style="16" customWidth="1"/>
    <col min="9748" max="9748" width="9.140625" style="16"/>
    <col min="9749" max="9749" width="12" style="16" customWidth="1"/>
    <col min="9750" max="9984" width="9.140625" style="16"/>
    <col min="9985" max="9985" width="5" style="16" customWidth="1"/>
    <col min="9986" max="9986" width="18" style="16" customWidth="1"/>
    <col min="9987" max="9987" width="10.7109375" style="16" bestFit="1" customWidth="1"/>
    <col min="9988" max="9988" width="6.7109375" style="16" customWidth="1"/>
    <col min="9989" max="9989" width="8.5703125" style="16" customWidth="1"/>
    <col min="9990" max="9990" width="9.28515625" style="16" customWidth="1"/>
    <col min="9991" max="9991" width="10.42578125" style="16" bestFit="1" customWidth="1"/>
    <col min="9992" max="9992" width="10.28515625" style="16" bestFit="1" customWidth="1"/>
    <col min="9993" max="9993" width="7.140625" style="16" customWidth="1"/>
    <col min="9994" max="9994" width="8.28515625" style="16" customWidth="1"/>
    <col min="9995" max="9996" width="7" style="16" customWidth="1"/>
    <col min="9997" max="9997" width="6.85546875" style="16" customWidth="1"/>
    <col min="9998" max="9998" width="7" style="16" customWidth="1"/>
    <col min="9999" max="9999" width="9.28515625" style="16" customWidth="1"/>
    <col min="10000" max="10002" width="9.140625" style="16"/>
    <col min="10003" max="10003" width="12.42578125" style="16" customWidth="1"/>
    <col min="10004" max="10004" width="9.140625" style="16"/>
    <col min="10005" max="10005" width="12" style="16" customWidth="1"/>
    <col min="10006" max="10240" width="9.140625" style="16"/>
    <col min="10241" max="10241" width="5" style="16" customWidth="1"/>
    <col min="10242" max="10242" width="18" style="16" customWidth="1"/>
    <col min="10243" max="10243" width="10.7109375" style="16" bestFit="1" customWidth="1"/>
    <col min="10244" max="10244" width="6.7109375" style="16" customWidth="1"/>
    <col min="10245" max="10245" width="8.5703125" style="16" customWidth="1"/>
    <col min="10246" max="10246" width="9.28515625" style="16" customWidth="1"/>
    <col min="10247" max="10247" width="10.42578125" style="16" bestFit="1" customWidth="1"/>
    <col min="10248" max="10248" width="10.28515625" style="16" bestFit="1" customWidth="1"/>
    <col min="10249" max="10249" width="7.140625" style="16" customWidth="1"/>
    <col min="10250" max="10250" width="8.28515625" style="16" customWidth="1"/>
    <col min="10251" max="10252" width="7" style="16" customWidth="1"/>
    <col min="10253" max="10253" width="6.85546875" style="16" customWidth="1"/>
    <col min="10254" max="10254" width="7" style="16" customWidth="1"/>
    <col min="10255" max="10255" width="9.28515625" style="16" customWidth="1"/>
    <col min="10256" max="10258" width="9.140625" style="16"/>
    <col min="10259" max="10259" width="12.42578125" style="16" customWidth="1"/>
    <col min="10260" max="10260" width="9.140625" style="16"/>
    <col min="10261" max="10261" width="12" style="16" customWidth="1"/>
    <col min="10262" max="10496" width="9.140625" style="16"/>
    <col min="10497" max="10497" width="5" style="16" customWidth="1"/>
    <col min="10498" max="10498" width="18" style="16" customWidth="1"/>
    <col min="10499" max="10499" width="10.7109375" style="16" bestFit="1" customWidth="1"/>
    <col min="10500" max="10500" width="6.7109375" style="16" customWidth="1"/>
    <col min="10501" max="10501" width="8.5703125" style="16" customWidth="1"/>
    <col min="10502" max="10502" width="9.28515625" style="16" customWidth="1"/>
    <col min="10503" max="10503" width="10.42578125" style="16" bestFit="1" customWidth="1"/>
    <col min="10504" max="10504" width="10.28515625" style="16" bestFit="1" customWidth="1"/>
    <col min="10505" max="10505" width="7.140625" style="16" customWidth="1"/>
    <col min="10506" max="10506" width="8.28515625" style="16" customWidth="1"/>
    <col min="10507" max="10508" width="7" style="16" customWidth="1"/>
    <col min="10509" max="10509" width="6.85546875" style="16" customWidth="1"/>
    <col min="10510" max="10510" width="7" style="16" customWidth="1"/>
    <col min="10511" max="10511" width="9.28515625" style="16" customWidth="1"/>
    <col min="10512" max="10514" width="9.140625" style="16"/>
    <col min="10515" max="10515" width="12.42578125" style="16" customWidth="1"/>
    <col min="10516" max="10516" width="9.140625" style="16"/>
    <col min="10517" max="10517" width="12" style="16" customWidth="1"/>
    <col min="10518" max="10752" width="9.140625" style="16"/>
    <col min="10753" max="10753" width="5" style="16" customWidth="1"/>
    <col min="10754" max="10754" width="18" style="16" customWidth="1"/>
    <col min="10755" max="10755" width="10.7109375" style="16" bestFit="1" customWidth="1"/>
    <col min="10756" max="10756" width="6.7109375" style="16" customWidth="1"/>
    <col min="10757" max="10757" width="8.5703125" style="16" customWidth="1"/>
    <col min="10758" max="10758" width="9.28515625" style="16" customWidth="1"/>
    <col min="10759" max="10759" width="10.42578125" style="16" bestFit="1" customWidth="1"/>
    <col min="10760" max="10760" width="10.28515625" style="16" bestFit="1" customWidth="1"/>
    <col min="10761" max="10761" width="7.140625" style="16" customWidth="1"/>
    <col min="10762" max="10762" width="8.28515625" style="16" customWidth="1"/>
    <col min="10763" max="10764" width="7" style="16" customWidth="1"/>
    <col min="10765" max="10765" width="6.85546875" style="16" customWidth="1"/>
    <col min="10766" max="10766" width="7" style="16" customWidth="1"/>
    <col min="10767" max="10767" width="9.28515625" style="16" customWidth="1"/>
    <col min="10768" max="10770" width="9.140625" style="16"/>
    <col min="10771" max="10771" width="12.42578125" style="16" customWidth="1"/>
    <col min="10772" max="10772" width="9.140625" style="16"/>
    <col min="10773" max="10773" width="12" style="16" customWidth="1"/>
    <col min="10774" max="11008" width="9.140625" style="16"/>
    <col min="11009" max="11009" width="5" style="16" customWidth="1"/>
    <col min="11010" max="11010" width="18" style="16" customWidth="1"/>
    <col min="11011" max="11011" width="10.7109375" style="16" bestFit="1" customWidth="1"/>
    <col min="11012" max="11012" width="6.7109375" style="16" customWidth="1"/>
    <col min="11013" max="11013" width="8.5703125" style="16" customWidth="1"/>
    <col min="11014" max="11014" width="9.28515625" style="16" customWidth="1"/>
    <col min="11015" max="11015" width="10.42578125" style="16" bestFit="1" customWidth="1"/>
    <col min="11016" max="11016" width="10.28515625" style="16" bestFit="1" customWidth="1"/>
    <col min="11017" max="11017" width="7.140625" style="16" customWidth="1"/>
    <col min="11018" max="11018" width="8.28515625" style="16" customWidth="1"/>
    <col min="11019" max="11020" width="7" style="16" customWidth="1"/>
    <col min="11021" max="11021" width="6.85546875" style="16" customWidth="1"/>
    <col min="11022" max="11022" width="7" style="16" customWidth="1"/>
    <col min="11023" max="11023" width="9.28515625" style="16" customWidth="1"/>
    <col min="11024" max="11026" width="9.140625" style="16"/>
    <col min="11027" max="11027" width="12.42578125" style="16" customWidth="1"/>
    <col min="11028" max="11028" width="9.140625" style="16"/>
    <col min="11029" max="11029" width="12" style="16" customWidth="1"/>
    <col min="11030" max="11264" width="9.140625" style="16"/>
    <col min="11265" max="11265" width="5" style="16" customWidth="1"/>
    <col min="11266" max="11266" width="18" style="16" customWidth="1"/>
    <col min="11267" max="11267" width="10.7109375" style="16" bestFit="1" customWidth="1"/>
    <col min="11268" max="11268" width="6.7109375" style="16" customWidth="1"/>
    <col min="11269" max="11269" width="8.5703125" style="16" customWidth="1"/>
    <col min="11270" max="11270" width="9.28515625" style="16" customWidth="1"/>
    <col min="11271" max="11271" width="10.42578125" style="16" bestFit="1" customWidth="1"/>
    <col min="11272" max="11272" width="10.28515625" style="16" bestFit="1" customWidth="1"/>
    <col min="11273" max="11273" width="7.140625" style="16" customWidth="1"/>
    <col min="11274" max="11274" width="8.28515625" style="16" customWidth="1"/>
    <col min="11275" max="11276" width="7" style="16" customWidth="1"/>
    <col min="11277" max="11277" width="6.85546875" style="16" customWidth="1"/>
    <col min="11278" max="11278" width="7" style="16" customWidth="1"/>
    <col min="11279" max="11279" width="9.28515625" style="16" customWidth="1"/>
    <col min="11280" max="11282" width="9.140625" style="16"/>
    <col min="11283" max="11283" width="12.42578125" style="16" customWidth="1"/>
    <col min="11284" max="11284" width="9.140625" style="16"/>
    <col min="11285" max="11285" width="12" style="16" customWidth="1"/>
    <col min="11286" max="11520" width="9.140625" style="16"/>
    <col min="11521" max="11521" width="5" style="16" customWidth="1"/>
    <col min="11522" max="11522" width="18" style="16" customWidth="1"/>
    <col min="11523" max="11523" width="10.7109375" style="16" bestFit="1" customWidth="1"/>
    <col min="11524" max="11524" width="6.7109375" style="16" customWidth="1"/>
    <col min="11525" max="11525" width="8.5703125" style="16" customWidth="1"/>
    <col min="11526" max="11526" width="9.28515625" style="16" customWidth="1"/>
    <col min="11527" max="11527" width="10.42578125" style="16" bestFit="1" customWidth="1"/>
    <col min="11528" max="11528" width="10.28515625" style="16" bestFit="1" customWidth="1"/>
    <col min="11529" max="11529" width="7.140625" style="16" customWidth="1"/>
    <col min="11530" max="11530" width="8.28515625" style="16" customWidth="1"/>
    <col min="11531" max="11532" width="7" style="16" customWidth="1"/>
    <col min="11533" max="11533" width="6.85546875" style="16" customWidth="1"/>
    <col min="11534" max="11534" width="7" style="16" customWidth="1"/>
    <col min="11535" max="11535" width="9.28515625" style="16" customWidth="1"/>
    <col min="11536" max="11538" width="9.140625" style="16"/>
    <col min="11539" max="11539" width="12.42578125" style="16" customWidth="1"/>
    <col min="11540" max="11540" width="9.140625" style="16"/>
    <col min="11541" max="11541" width="12" style="16" customWidth="1"/>
    <col min="11542" max="11776" width="9.140625" style="16"/>
    <col min="11777" max="11777" width="5" style="16" customWidth="1"/>
    <col min="11778" max="11778" width="18" style="16" customWidth="1"/>
    <col min="11779" max="11779" width="10.7109375" style="16" bestFit="1" customWidth="1"/>
    <col min="11780" max="11780" width="6.7109375" style="16" customWidth="1"/>
    <col min="11781" max="11781" width="8.5703125" style="16" customWidth="1"/>
    <col min="11782" max="11782" width="9.28515625" style="16" customWidth="1"/>
    <col min="11783" max="11783" width="10.42578125" style="16" bestFit="1" customWidth="1"/>
    <col min="11784" max="11784" width="10.28515625" style="16" bestFit="1" customWidth="1"/>
    <col min="11785" max="11785" width="7.140625" style="16" customWidth="1"/>
    <col min="11786" max="11786" width="8.28515625" style="16" customWidth="1"/>
    <col min="11787" max="11788" width="7" style="16" customWidth="1"/>
    <col min="11789" max="11789" width="6.85546875" style="16" customWidth="1"/>
    <col min="11790" max="11790" width="7" style="16" customWidth="1"/>
    <col min="11791" max="11791" width="9.28515625" style="16" customWidth="1"/>
    <col min="11792" max="11794" width="9.140625" style="16"/>
    <col min="11795" max="11795" width="12.42578125" style="16" customWidth="1"/>
    <col min="11796" max="11796" width="9.140625" style="16"/>
    <col min="11797" max="11797" width="12" style="16" customWidth="1"/>
    <col min="11798" max="12032" width="9.140625" style="16"/>
    <col min="12033" max="12033" width="5" style="16" customWidth="1"/>
    <col min="12034" max="12034" width="18" style="16" customWidth="1"/>
    <col min="12035" max="12035" width="10.7109375" style="16" bestFit="1" customWidth="1"/>
    <col min="12036" max="12036" width="6.7109375" style="16" customWidth="1"/>
    <col min="12037" max="12037" width="8.5703125" style="16" customWidth="1"/>
    <col min="12038" max="12038" width="9.28515625" style="16" customWidth="1"/>
    <col min="12039" max="12039" width="10.42578125" style="16" bestFit="1" customWidth="1"/>
    <col min="12040" max="12040" width="10.28515625" style="16" bestFit="1" customWidth="1"/>
    <col min="12041" max="12041" width="7.140625" style="16" customWidth="1"/>
    <col min="12042" max="12042" width="8.28515625" style="16" customWidth="1"/>
    <col min="12043" max="12044" width="7" style="16" customWidth="1"/>
    <col min="12045" max="12045" width="6.85546875" style="16" customWidth="1"/>
    <col min="12046" max="12046" width="7" style="16" customWidth="1"/>
    <col min="12047" max="12047" width="9.28515625" style="16" customWidth="1"/>
    <col min="12048" max="12050" width="9.140625" style="16"/>
    <col min="12051" max="12051" width="12.42578125" style="16" customWidth="1"/>
    <col min="12052" max="12052" width="9.140625" style="16"/>
    <col min="12053" max="12053" width="12" style="16" customWidth="1"/>
    <col min="12054" max="12288" width="9.140625" style="16"/>
    <col min="12289" max="12289" width="5" style="16" customWidth="1"/>
    <col min="12290" max="12290" width="18" style="16" customWidth="1"/>
    <col min="12291" max="12291" width="10.7109375" style="16" bestFit="1" customWidth="1"/>
    <col min="12292" max="12292" width="6.7109375" style="16" customWidth="1"/>
    <col min="12293" max="12293" width="8.5703125" style="16" customWidth="1"/>
    <col min="12294" max="12294" width="9.28515625" style="16" customWidth="1"/>
    <col min="12295" max="12295" width="10.42578125" style="16" bestFit="1" customWidth="1"/>
    <col min="12296" max="12296" width="10.28515625" style="16" bestFit="1" customWidth="1"/>
    <col min="12297" max="12297" width="7.140625" style="16" customWidth="1"/>
    <col min="12298" max="12298" width="8.28515625" style="16" customWidth="1"/>
    <col min="12299" max="12300" width="7" style="16" customWidth="1"/>
    <col min="12301" max="12301" width="6.85546875" style="16" customWidth="1"/>
    <col min="12302" max="12302" width="7" style="16" customWidth="1"/>
    <col min="12303" max="12303" width="9.28515625" style="16" customWidth="1"/>
    <col min="12304" max="12306" width="9.140625" style="16"/>
    <col min="12307" max="12307" width="12.42578125" style="16" customWidth="1"/>
    <col min="12308" max="12308" width="9.140625" style="16"/>
    <col min="12309" max="12309" width="12" style="16" customWidth="1"/>
    <col min="12310" max="12544" width="9.140625" style="16"/>
    <col min="12545" max="12545" width="5" style="16" customWidth="1"/>
    <col min="12546" max="12546" width="18" style="16" customWidth="1"/>
    <col min="12547" max="12547" width="10.7109375" style="16" bestFit="1" customWidth="1"/>
    <col min="12548" max="12548" width="6.7109375" style="16" customWidth="1"/>
    <col min="12549" max="12549" width="8.5703125" style="16" customWidth="1"/>
    <col min="12550" max="12550" width="9.28515625" style="16" customWidth="1"/>
    <col min="12551" max="12551" width="10.42578125" style="16" bestFit="1" customWidth="1"/>
    <col min="12552" max="12552" width="10.28515625" style="16" bestFit="1" customWidth="1"/>
    <col min="12553" max="12553" width="7.140625" style="16" customWidth="1"/>
    <col min="12554" max="12554" width="8.28515625" style="16" customWidth="1"/>
    <col min="12555" max="12556" width="7" style="16" customWidth="1"/>
    <col min="12557" max="12557" width="6.85546875" style="16" customWidth="1"/>
    <col min="12558" max="12558" width="7" style="16" customWidth="1"/>
    <col min="12559" max="12559" width="9.28515625" style="16" customWidth="1"/>
    <col min="12560" max="12562" width="9.140625" style="16"/>
    <col min="12563" max="12563" width="12.42578125" style="16" customWidth="1"/>
    <col min="12564" max="12564" width="9.140625" style="16"/>
    <col min="12565" max="12565" width="12" style="16" customWidth="1"/>
    <col min="12566" max="12800" width="9.140625" style="16"/>
    <col min="12801" max="12801" width="5" style="16" customWidth="1"/>
    <col min="12802" max="12802" width="18" style="16" customWidth="1"/>
    <col min="12803" max="12803" width="10.7109375" style="16" bestFit="1" customWidth="1"/>
    <col min="12804" max="12804" width="6.7109375" style="16" customWidth="1"/>
    <col min="12805" max="12805" width="8.5703125" style="16" customWidth="1"/>
    <col min="12806" max="12806" width="9.28515625" style="16" customWidth="1"/>
    <col min="12807" max="12807" width="10.42578125" style="16" bestFit="1" customWidth="1"/>
    <col min="12808" max="12808" width="10.28515625" style="16" bestFit="1" customWidth="1"/>
    <col min="12809" max="12809" width="7.140625" style="16" customWidth="1"/>
    <col min="12810" max="12810" width="8.28515625" style="16" customWidth="1"/>
    <col min="12811" max="12812" width="7" style="16" customWidth="1"/>
    <col min="12813" max="12813" width="6.85546875" style="16" customWidth="1"/>
    <col min="12814" max="12814" width="7" style="16" customWidth="1"/>
    <col min="12815" max="12815" width="9.28515625" style="16" customWidth="1"/>
    <col min="12816" max="12818" width="9.140625" style="16"/>
    <col min="12819" max="12819" width="12.42578125" style="16" customWidth="1"/>
    <col min="12820" max="12820" width="9.140625" style="16"/>
    <col min="12821" max="12821" width="12" style="16" customWidth="1"/>
    <col min="12822" max="13056" width="9.140625" style="16"/>
    <col min="13057" max="13057" width="5" style="16" customWidth="1"/>
    <col min="13058" max="13058" width="18" style="16" customWidth="1"/>
    <col min="13059" max="13059" width="10.7109375" style="16" bestFit="1" customWidth="1"/>
    <col min="13060" max="13060" width="6.7109375" style="16" customWidth="1"/>
    <col min="13061" max="13061" width="8.5703125" style="16" customWidth="1"/>
    <col min="13062" max="13062" width="9.28515625" style="16" customWidth="1"/>
    <col min="13063" max="13063" width="10.42578125" style="16" bestFit="1" customWidth="1"/>
    <col min="13064" max="13064" width="10.28515625" style="16" bestFit="1" customWidth="1"/>
    <col min="13065" max="13065" width="7.140625" style="16" customWidth="1"/>
    <col min="13066" max="13066" width="8.28515625" style="16" customWidth="1"/>
    <col min="13067" max="13068" width="7" style="16" customWidth="1"/>
    <col min="13069" max="13069" width="6.85546875" style="16" customWidth="1"/>
    <col min="13070" max="13070" width="7" style="16" customWidth="1"/>
    <col min="13071" max="13071" width="9.28515625" style="16" customWidth="1"/>
    <col min="13072" max="13074" width="9.140625" style="16"/>
    <col min="13075" max="13075" width="12.42578125" style="16" customWidth="1"/>
    <col min="13076" max="13076" width="9.140625" style="16"/>
    <col min="13077" max="13077" width="12" style="16" customWidth="1"/>
    <col min="13078" max="13312" width="9.140625" style="16"/>
    <col min="13313" max="13313" width="5" style="16" customWidth="1"/>
    <col min="13314" max="13314" width="18" style="16" customWidth="1"/>
    <col min="13315" max="13315" width="10.7109375" style="16" bestFit="1" customWidth="1"/>
    <col min="13316" max="13316" width="6.7109375" style="16" customWidth="1"/>
    <col min="13317" max="13317" width="8.5703125" style="16" customWidth="1"/>
    <col min="13318" max="13318" width="9.28515625" style="16" customWidth="1"/>
    <col min="13319" max="13319" width="10.42578125" style="16" bestFit="1" customWidth="1"/>
    <col min="13320" max="13320" width="10.28515625" style="16" bestFit="1" customWidth="1"/>
    <col min="13321" max="13321" width="7.140625" style="16" customWidth="1"/>
    <col min="13322" max="13322" width="8.28515625" style="16" customWidth="1"/>
    <col min="13323" max="13324" width="7" style="16" customWidth="1"/>
    <col min="13325" max="13325" width="6.85546875" style="16" customWidth="1"/>
    <col min="13326" max="13326" width="7" style="16" customWidth="1"/>
    <col min="13327" max="13327" width="9.28515625" style="16" customWidth="1"/>
    <col min="13328" max="13330" width="9.140625" style="16"/>
    <col min="13331" max="13331" width="12.42578125" style="16" customWidth="1"/>
    <col min="13332" max="13332" width="9.140625" style="16"/>
    <col min="13333" max="13333" width="12" style="16" customWidth="1"/>
    <col min="13334" max="13568" width="9.140625" style="16"/>
    <col min="13569" max="13569" width="5" style="16" customWidth="1"/>
    <col min="13570" max="13570" width="18" style="16" customWidth="1"/>
    <col min="13571" max="13571" width="10.7109375" style="16" bestFit="1" customWidth="1"/>
    <col min="13572" max="13572" width="6.7109375" style="16" customWidth="1"/>
    <col min="13573" max="13573" width="8.5703125" style="16" customWidth="1"/>
    <col min="13574" max="13574" width="9.28515625" style="16" customWidth="1"/>
    <col min="13575" max="13575" width="10.42578125" style="16" bestFit="1" customWidth="1"/>
    <col min="13576" max="13576" width="10.28515625" style="16" bestFit="1" customWidth="1"/>
    <col min="13577" max="13577" width="7.140625" style="16" customWidth="1"/>
    <col min="13578" max="13578" width="8.28515625" style="16" customWidth="1"/>
    <col min="13579" max="13580" width="7" style="16" customWidth="1"/>
    <col min="13581" max="13581" width="6.85546875" style="16" customWidth="1"/>
    <col min="13582" max="13582" width="7" style="16" customWidth="1"/>
    <col min="13583" max="13583" width="9.28515625" style="16" customWidth="1"/>
    <col min="13584" max="13586" width="9.140625" style="16"/>
    <col min="13587" max="13587" width="12.42578125" style="16" customWidth="1"/>
    <col min="13588" max="13588" width="9.140625" style="16"/>
    <col min="13589" max="13589" width="12" style="16" customWidth="1"/>
    <col min="13590" max="13824" width="9.140625" style="16"/>
    <col min="13825" max="13825" width="5" style="16" customWidth="1"/>
    <col min="13826" max="13826" width="18" style="16" customWidth="1"/>
    <col min="13827" max="13827" width="10.7109375" style="16" bestFit="1" customWidth="1"/>
    <col min="13828" max="13828" width="6.7109375" style="16" customWidth="1"/>
    <col min="13829" max="13829" width="8.5703125" style="16" customWidth="1"/>
    <col min="13830" max="13830" width="9.28515625" style="16" customWidth="1"/>
    <col min="13831" max="13831" width="10.42578125" style="16" bestFit="1" customWidth="1"/>
    <col min="13832" max="13832" width="10.28515625" style="16" bestFit="1" customWidth="1"/>
    <col min="13833" max="13833" width="7.140625" style="16" customWidth="1"/>
    <col min="13834" max="13834" width="8.28515625" style="16" customWidth="1"/>
    <col min="13835" max="13836" width="7" style="16" customWidth="1"/>
    <col min="13837" max="13837" width="6.85546875" style="16" customWidth="1"/>
    <col min="13838" max="13838" width="7" style="16" customWidth="1"/>
    <col min="13839" max="13839" width="9.28515625" style="16" customWidth="1"/>
    <col min="13840" max="13842" width="9.140625" style="16"/>
    <col min="13843" max="13843" width="12.42578125" style="16" customWidth="1"/>
    <col min="13844" max="13844" width="9.140625" style="16"/>
    <col min="13845" max="13845" width="12" style="16" customWidth="1"/>
    <col min="13846" max="14080" width="9.140625" style="16"/>
    <col min="14081" max="14081" width="5" style="16" customWidth="1"/>
    <col min="14082" max="14082" width="18" style="16" customWidth="1"/>
    <col min="14083" max="14083" width="10.7109375" style="16" bestFit="1" customWidth="1"/>
    <col min="14084" max="14084" width="6.7109375" style="16" customWidth="1"/>
    <col min="14085" max="14085" width="8.5703125" style="16" customWidth="1"/>
    <col min="14086" max="14086" width="9.28515625" style="16" customWidth="1"/>
    <col min="14087" max="14087" width="10.42578125" style="16" bestFit="1" customWidth="1"/>
    <col min="14088" max="14088" width="10.28515625" style="16" bestFit="1" customWidth="1"/>
    <col min="14089" max="14089" width="7.140625" style="16" customWidth="1"/>
    <col min="14090" max="14090" width="8.28515625" style="16" customWidth="1"/>
    <col min="14091" max="14092" width="7" style="16" customWidth="1"/>
    <col min="14093" max="14093" width="6.85546875" style="16" customWidth="1"/>
    <col min="14094" max="14094" width="7" style="16" customWidth="1"/>
    <col min="14095" max="14095" width="9.28515625" style="16" customWidth="1"/>
    <col min="14096" max="14098" width="9.140625" style="16"/>
    <col min="14099" max="14099" width="12.42578125" style="16" customWidth="1"/>
    <col min="14100" max="14100" width="9.140625" style="16"/>
    <col min="14101" max="14101" width="12" style="16" customWidth="1"/>
    <col min="14102" max="14336" width="9.140625" style="16"/>
    <col min="14337" max="14337" width="5" style="16" customWidth="1"/>
    <col min="14338" max="14338" width="18" style="16" customWidth="1"/>
    <col min="14339" max="14339" width="10.7109375" style="16" bestFit="1" customWidth="1"/>
    <col min="14340" max="14340" width="6.7109375" style="16" customWidth="1"/>
    <col min="14341" max="14341" width="8.5703125" style="16" customWidth="1"/>
    <col min="14342" max="14342" width="9.28515625" style="16" customWidth="1"/>
    <col min="14343" max="14343" width="10.42578125" style="16" bestFit="1" customWidth="1"/>
    <col min="14344" max="14344" width="10.28515625" style="16" bestFit="1" customWidth="1"/>
    <col min="14345" max="14345" width="7.140625" style="16" customWidth="1"/>
    <col min="14346" max="14346" width="8.28515625" style="16" customWidth="1"/>
    <col min="14347" max="14348" width="7" style="16" customWidth="1"/>
    <col min="14349" max="14349" width="6.85546875" style="16" customWidth="1"/>
    <col min="14350" max="14350" width="7" style="16" customWidth="1"/>
    <col min="14351" max="14351" width="9.28515625" style="16" customWidth="1"/>
    <col min="14352" max="14354" width="9.140625" style="16"/>
    <col min="14355" max="14355" width="12.42578125" style="16" customWidth="1"/>
    <col min="14356" max="14356" width="9.140625" style="16"/>
    <col min="14357" max="14357" width="12" style="16" customWidth="1"/>
    <col min="14358" max="14592" width="9.140625" style="16"/>
    <col min="14593" max="14593" width="5" style="16" customWidth="1"/>
    <col min="14594" max="14594" width="18" style="16" customWidth="1"/>
    <col min="14595" max="14595" width="10.7109375" style="16" bestFit="1" customWidth="1"/>
    <col min="14596" max="14596" width="6.7109375" style="16" customWidth="1"/>
    <col min="14597" max="14597" width="8.5703125" style="16" customWidth="1"/>
    <col min="14598" max="14598" width="9.28515625" style="16" customWidth="1"/>
    <col min="14599" max="14599" width="10.42578125" style="16" bestFit="1" customWidth="1"/>
    <col min="14600" max="14600" width="10.28515625" style="16" bestFit="1" customWidth="1"/>
    <col min="14601" max="14601" width="7.140625" style="16" customWidth="1"/>
    <col min="14602" max="14602" width="8.28515625" style="16" customWidth="1"/>
    <col min="14603" max="14604" width="7" style="16" customWidth="1"/>
    <col min="14605" max="14605" width="6.85546875" style="16" customWidth="1"/>
    <col min="14606" max="14606" width="7" style="16" customWidth="1"/>
    <col min="14607" max="14607" width="9.28515625" style="16" customWidth="1"/>
    <col min="14608" max="14610" width="9.140625" style="16"/>
    <col min="14611" max="14611" width="12.42578125" style="16" customWidth="1"/>
    <col min="14612" max="14612" width="9.140625" style="16"/>
    <col min="14613" max="14613" width="12" style="16" customWidth="1"/>
    <col min="14614" max="14848" width="9.140625" style="16"/>
    <col min="14849" max="14849" width="5" style="16" customWidth="1"/>
    <col min="14850" max="14850" width="18" style="16" customWidth="1"/>
    <col min="14851" max="14851" width="10.7109375" style="16" bestFit="1" customWidth="1"/>
    <col min="14852" max="14852" width="6.7109375" style="16" customWidth="1"/>
    <col min="14853" max="14853" width="8.5703125" style="16" customWidth="1"/>
    <col min="14854" max="14854" width="9.28515625" style="16" customWidth="1"/>
    <col min="14855" max="14855" width="10.42578125" style="16" bestFit="1" customWidth="1"/>
    <col min="14856" max="14856" width="10.28515625" style="16" bestFit="1" customWidth="1"/>
    <col min="14857" max="14857" width="7.140625" style="16" customWidth="1"/>
    <col min="14858" max="14858" width="8.28515625" style="16" customWidth="1"/>
    <col min="14859" max="14860" width="7" style="16" customWidth="1"/>
    <col min="14861" max="14861" width="6.85546875" style="16" customWidth="1"/>
    <col min="14862" max="14862" width="7" style="16" customWidth="1"/>
    <col min="14863" max="14863" width="9.28515625" style="16" customWidth="1"/>
    <col min="14864" max="14866" width="9.140625" style="16"/>
    <col min="14867" max="14867" width="12.42578125" style="16" customWidth="1"/>
    <col min="14868" max="14868" width="9.140625" style="16"/>
    <col min="14869" max="14869" width="12" style="16" customWidth="1"/>
    <col min="14870" max="15104" width="9.140625" style="16"/>
    <col min="15105" max="15105" width="5" style="16" customWidth="1"/>
    <col min="15106" max="15106" width="18" style="16" customWidth="1"/>
    <col min="15107" max="15107" width="10.7109375" style="16" bestFit="1" customWidth="1"/>
    <col min="15108" max="15108" width="6.7109375" style="16" customWidth="1"/>
    <col min="15109" max="15109" width="8.5703125" style="16" customWidth="1"/>
    <col min="15110" max="15110" width="9.28515625" style="16" customWidth="1"/>
    <col min="15111" max="15111" width="10.42578125" style="16" bestFit="1" customWidth="1"/>
    <col min="15112" max="15112" width="10.28515625" style="16" bestFit="1" customWidth="1"/>
    <col min="15113" max="15113" width="7.140625" style="16" customWidth="1"/>
    <col min="15114" max="15114" width="8.28515625" style="16" customWidth="1"/>
    <col min="15115" max="15116" width="7" style="16" customWidth="1"/>
    <col min="15117" max="15117" width="6.85546875" style="16" customWidth="1"/>
    <col min="15118" max="15118" width="7" style="16" customWidth="1"/>
    <col min="15119" max="15119" width="9.28515625" style="16" customWidth="1"/>
    <col min="15120" max="15122" width="9.140625" style="16"/>
    <col min="15123" max="15123" width="12.42578125" style="16" customWidth="1"/>
    <col min="15124" max="15124" width="9.140625" style="16"/>
    <col min="15125" max="15125" width="12" style="16" customWidth="1"/>
    <col min="15126" max="15360" width="9.140625" style="16"/>
    <col min="15361" max="15361" width="5" style="16" customWidth="1"/>
    <col min="15362" max="15362" width="18" style="16" customWidth="1"/>
    <col min="15363" max="15363" width="10.7109375" style="16" bestFit="1" customWidth="1"/>
    <col min="15364" max="15364" width="6.7109375" style="16" customWidth="1"/>
    <col min="15365" max="15365" width="8.5703125" style="16" customWidth="1"/>
    <col min="15366" max="15366" width="9.28515625" style="16" customWidth="1"/>
    <col min="15367" max="15367" width="10.42578125" style="16" bestFit="1" customWidth="1"/>
    <col min="15368" max="15368" width="10.28515625" style="16" bestFit="1" customWidth="1"/>
    <col min="15369" max="15369" width="7.140625" style="16" customWidth="1"/>
    <col min="15370" max="15370" width="8.28515625" style="16" customWidth="1"/>
    <col min="15371" max="15372" width="7" style="16" customWidth="1"/>
    <col min="15373" max="15373" width="6.85546875" style="16" customWidth="1"/>
    <col min="15374" max="15374" width="7" style="16" customWidth="1"/>
    <col min="15375" max="15375" width="9.28515625" style="16" customWidth="1"/>
    <col min="15376" max="15378" width="9.140625" style="16"/>
    <col min="15379" max="15379" width="12.42578125" style="16" customWidth="1"/>
    <col min="15380" max="15380" width="9.140625" style="16"/>
    <col min="15381" max="15381" width="12" style="16" customWidth="1"/>
    <col min="15382" max="15616" width="9.140625" style="16"/>
    <col min="15617" max="15617" width="5" style="16" customWidth="1"/>
    <col min="15618" max="15618" width="18" style="16" customWidth="1"/>
    <col min="15619" max="15619" width="10.7109375" style="16" bestFit="1" customWidth="1"/>
    <col min="15620" max="15620" width="6.7109375" style="16" customWidth="1"/>
    <col min="15621" max="15621" width="8.5703125" style="16" customWidth="1"/>
    <col min="15622" max="15622" width="9.28515625" style="16" customWidth="1"/>
    <col min="15623" max="15623" width="10.42578125" style="16" bestFit="1" customWidth="1"/>
    <col min="15624" max="15624" width="10.28515625" style="16" bestFit="1" customWidth="1"/>
    <col min="15625" max="15625" width="7.140625" style="16" customWidth="1"/>
    <col min="15626" max="15626" width="8.28515625" style="16" customWidth="1"/>
    <col min="15627" max="15628" width="7" style="16" customWidth="1"/>
    <col min="15629" max="15629" width="6.85546875" style="16" customWidth="1"/>
    <col min="15630" max="15630" width="7" style="16" customWidth="1"/>
    <col min="15631" max="15631" width="9.28515625" style="16" customWidth="1"/>
    <col min="15632" max="15634" width="9.140625" style="16"/>
    <col min="15635" max="15635" width="12.42578125" style="16" customWidth="1"/>
    <col min="15636" max="15636" width="9.140625" style="16"/>
    <col min="15637" max="15637" width="12" style="16" customWidth="1"/>
    <col min="15638" max="15872" width="9.140625" style="16"/>
    <col min="15873" max="15873" width="5" style="16" customWidth="1"/>
    <col min="15874" max="15874" width="18" style="16" customWidth="1"/>
    <col min="15875" max="15875" width="10.7109375" style="16" bestFit="1" customWidth="1"/>
    <col min="15876" max="15876" width="6.7109375" style="16" customWidth="1"/>
    <col min="15877" max="15877" width="8.5703125" style="16" customWidth="1"/>
    <col min="15878" max="15878" width="9.28515625" style="16" customWidth="1"/>
    <col min="15879" max="15879" width="10.42578125" style="16" bestFit="1" customWidth="1"/>
    <col min="15880" max="15880" width="10.28515625" style="16" bestFit="1" customWidth="1"/>
    <col min="15881" max="15881" width="7.140625" style="16" customWidth="1"/>
    <col min="15882" max="15882" width="8.28515625" style="16" customWidth="1"/>
    <col min="15883" max="15884" width="7" style="16" customWidth="1"/>
    <col min="15885" max="15885" width="6.85546875" style="16" customWidth="1"/>
    <col min="15886" max="15886" width="7" style="16" customWidth="1"/>
    <col min="15887" max="15887" width="9.28515625" style="16" customWidth="1"/>
    <col min="15888" max="15890" width="9.140625" style="16"/>
    <col min="15891" max="15891" width="12.42578125" style="16" customWidth="1"/>
    <col min="15892" max="15892" width="9.140625" style="16"/>
    <col min="15893" max="15893" width="12" style="16" customWidth="1"/>
    <col min="15894" max="16128" width="9.140625" style="16"/>
    <col min="16129" max="16129" width="5" style="16" customWidth="1"/>
    <col min="16130" max="16130" width="18" style="16" customWidth="1"/>
    <col min="16131" max="16131" width="10.7109375" style="16" bestFit="1" customWidth="1"/>
    <col min="16132" max="16132" width="6.7109375" style="16" customWidth="1"/>
    <col min="16133" max="16133" width="8.5703125" style="16" customWidth="1"/>
    <col min="16134" max="16134" width="9.28515625" style="16" customWidth="1"/>
    <col min="16135" max="16135" width="10.42578125" style="16" bestFit="1" customWidth="1"/>
    <col min="16136" max="16136" width="10.28515625" style="16" bestFit="1" customWidth="1"/>
    <col min="16137" max="16137" width="7.140625" style="16" customWidth="1"/>
    <col min="16138" max="16138" width="8.28515625" style="16" customWidth="1"/>
    <col min="16139" max="16140" width="7" style="16" customWidth="1"/>
    <col min="16141" max="16141" width="6.85546875" style="16" customWidth="1"/>
    <col min="16142" max="16142" width="7" style="16" customWidth="1"/>
    <col min="16143" max="16143" width="9.28515625" style="16" customWidth="1"/>
    <col min="16144" max="16146" width="9.140625" style="16"/>
    <col min="16147" max="16147" width="12.42578125" style="16" customWidth="1"/>
    <col min="16148" max="16148" width="9.140625" style="16"/>
    <col min="16149" max="16149" width="12" style="16" customWidth="1"/>
    <col min="16150" max="16384" width="9.140625" style="16"/>
  </cols>
  <sheetData>
    <row r="1" spans="1:15" s="1" customFormat="1" x14ac:dyDescent="0.2">
      <c r="A1" s="867" t="s">
        <v>100</v>
      </c>
      <c r="B1" s="868"/>
      <c r="C1" s="868"/>
      <c r="D1" s="911" t="s">
        <v>397</v>
      </c>
      <c r="E1" s="868"/>
      <c r="F1" s="868"/>
      <c r="G1" s="867" t="s">
        <v>102</v>
      </c>
      <c r="H1" s="869"/>
      <c r="I1" s="869" t="s">
        <v>51</v>
      </c>
      <c r="J1" s="868"/>
      <c r="K1" s="868"/>
      <c r="L1" s="870"/>
      <c r="M1" s="870"/>
      <c r="N1" s="870"/>
      <c r="O1" s="870"/>
    </row>
    <row r="2" spans="1:15" s="1" customFormat="1" x14ac:dyDescent="0.2">
      <c r="A2" s="867" t="s">
        <v>103</v>
      </c>
      <c r="B2" s="868"/>
      <c r="C2" s="868"/>
      <c r="D2" s="869"/>
      <c r="E2" s="868"/>
      <c r="F2" s="868"/>
      <c r="G2" s="867" t="s">
        <v>104</v>
      </c>
      <c r="H2" s="869"/>
      <c r="I2" s="869" t="s">
        <v>105</v>
      </c>
      <c r="J2" s="868"/>
      <c r="K2" s="868"/>
      <c r="L2" s="870"/>
      <c r="M2" s="870"/>
      <c r="N2" s="870"/>
      <c r="O2" s="870"/>
    </row>
    <row r="3" spans="1:15" s="1" customFormat="1" x14ac:dyDescent="0.2">
      <c r="A3" s="867" t="s">
        <v>106</v>
      </c>
      <c r="B3" s="868"/>
      <c r="C3" s="868"/>
      <c r="D3" s="883" t="s">
        <v>398</v>
      </c>
      <c r="E3" s="868"/>
      <c r="F3" s="868"/>
      <c r="G3" s="867" t="s">
        <v>107</v>
      </c>
      <c r="H3" s="869"/>
      <c r="I3" s="869" t="s">
        <v>108</v>
      </c>
      <c r="J3" s="868"/>
      <c r="K3" s="868"/>
      <c r="L3" s="870"/>
      <c r="M3" s="870"/>
      <c r="N3" s="870"/>
      <c r="O3" s="870"/>
    </row>
    <row r="4" spans="1:15" s="1" customFormat="1" x14ac:dyDescent="0.2">
      <c r="A4" s="867" t="s">
        <v>109</v>
      </c>
      <c r="B4" s="868"/>
      <c r="C4" s="868"/>
      <c r="D4" s="869"/>
      <c r="E4" s="868"/>
      <c r="F4" s="868"/>
      <c r="G4" s="867" t="s">
        <v>110</v>
      </c>
      <c r="H4" s="869"/>
      <c r="I4" s="869" t="s">
        <v>399</v>
      </c>
      <c r="J4" s="868"/>
      <c r="K4" s="868"/>
      <c r="L4" s="870"/>
      <c r="M4" s="870"/>
      <c r="N4" s="870"/>
      <c r="O4" s="870"/>
    </row>
    <row r="5" spans="1:15" s="1" customFormat="1" x14ac:dyDescent="0.2">
      <c r="A5" s="867" t="s">
        <v>278</v>
      </c>
      <c r="B5" s="868"/>
      <c r="C5" s="868"/>
      <c r="D5" s="869" t="s">
        <v>400</v>
      </c>
      <c r="E5" s="868"/>
      <c r="F5" s="868"/>
      <c r="G5" s="867"/>
      <c r="H5" s="868"/>
      <c r="I5" s="869" t="s">
        <v>113</v>
      </c>
      <c r="J5" s="868"/>
      <c r="K5" s="868"/>
      <c r="L5" s="870"/>
      <c r="M5" s="870"/>
      <c r="N5" s="870"/>
      <c r="O5" s="870"/>
    </row>
    <row r="6" spans="1:15" s="1" customFormat="1" x14ac:dyDescent="0.2">
      <c r="A6" s="871" t="s">
        <v>114</v>
      </c>
      <c r="B6" s="872"/>
      <c r="C6" s="872"/>
      <c r="D6" s="868" t="s">
        <v>52</v>
      </c>
      <c r="E6" s="868"/>
      <c r="F6" s="868"/>
      <c r="G6" s="871" t="s">
        <v>115</v>
      </c>
      <c r="H6" s="871"/>
      <c r="I6" s="2" t="s">
        <v>116</v>
      </c>
      <c r="J6" s="888"/>
      <c r="K6" s="888"/>
      <c r="L6" s="888"/>
      <c r="M6" s="888"/>
      <c r="N6" s="888"/>
      <c r="O6" s="889"/>
    </row>
    <row r="7" spans="1:15" s="1" customFormat="1" ht="13.5" thickBot="1" x14ac:dyDescent="0.25">
      <c r="A7" s="3"/>
      <c r="B7" s="4"/>
      <c r="C7" s="5"/>
      <c r="D7" s="6"/>
      <c r="E7" s="6"/>
      <c r="F7" s="6"/>
      <c r="G7" s="6"/>
      <c r="H7" s="6"/>
      <c r="I7" s="6"/>
      <c r="J7" s="7"/>
      <c r="K7" s="8"/>
      <c r="L7" s="875" t="s">
        <v>223</v>
      </c>
      <c r="M7" s="875"/>
      <c r="N7" s="875"/>
      <c r="O7" s="875"/>
    </row>
    <row r="8" spans="1:15" s="11" customFormat="1" x14ac:dyDescent="0.2">
      <c r="A8" s="876" t="str">
        <f>I1</f>
        <v>Mr. V. N. Waghmare</v>
      </c>
      <c r="B8" s="877"/>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76500</v>
      </c>
      <c r="D9" s="14">
        <v>76500</v>
      </c>
      <c r="E9" s="14">
        <v>76500</v>
      </c>
      <c r="F9" s="14">
        <v>76500</v>
      </c>
      <c r="G9" s="14">
        <v>78800</v>
      </c>
      <c r="H9" s="14">
        <v>78800</v>
      </c>
      <c r="I9" s="14">
        <v>78800</v>
      </c>
      <c r="J9" s="14">
        <v>78800</v>
      </c>
      <c r="K9" s="14">
        <v>78800</v>
      </c>
      <c r="L9" s="14">
        <v>78800</v>
      </c>
      <c r="M9" s="14">
        <v>78800</v>
      </c>
      <c r="N9" s="14">
        <v>78800</v>
      </c>
      <c r="O9" s="15">
        <f>SUM(C9:N9)</f>
        <v>936400</v>
      </c>
    </row>
    <row r="10" spans="1:15" ht="15" x14ac:dyDescent="0.2">
      <c r="A10" s="12"/>
      <c r="B10" s="13" t="s">
        <v>119</v>
      </c>
      <c r="C10" s="17">
        <v>0</v>
      </c>
      <c r="D10" s="17">
        <f t="shared" ref="D10:N34" si="0">+C10</f>
        <v>0</v>
      </c>
      <c r="E10" s="17">
        <f t="shared" si="0"/>
        <v>0</v>
      </c>
      <c r="F10" s="17">
        <f t="shared" si="0"/>
        <v>0</v>
      </c>
      <c r="G10" s="17">
        <f t="shared" si="0"/>
        <v>0</v>
      </c>
      <c r="H10" s="17">
        <v>0</v>
      </c>
      <c r="I10" s="17">
        <f t="shared" si="0"/>
        <v>0</v>
      </c>
      <c r="J10" s="17">
        <f t="shared" si="0"/>
        <v>0</v>
      </c>
      <c r="K10" s="17">
        <f t="shared" si="0"/>
        <v>0</v>
      </c>
      <c r="L10" s="17">
        <f t="shared" si="0"/>
        <v>0</v>
      </c>
      <c r="M10" s="17">
        <f t="shared" si="0"/>
        <v>0</v>
      </c>
      <c r="N10" s="17">
        <f t="shared" si="0"/>
        <v>0</v>
      </c>
      <c r="O10" s="18">
        <f>SUM(C10:N10)</f>
        <v>0</v>
      </c>
    </row>
    <row r="11" spans="1:15" ht="15" x14ac:dyDescent="0.2">
      <c r="A11" s="12"/>
      <c r="B11" s="13" t="s">
        <v>120</v>
      </c>
      <c r="C11" s="17">
        <v>3825</v>
      </c>
      <c r="D11" s="17">
        <v>5355</v>
      </c>
      <c r="E11" s="17">
        <f t="shared" si="0"/>
        <v>5355</v>
      </c>
      <c r="F11" s="17">
        <f t="shared" si="0"/>
        <v>5355</v>
      </c>
      <c r="G11" s="17">
        <v>5516</v>
      </c>
      <c r="H11" s="17">
        <v>5516</v>
      </c>
      <c r="I11" s="17">
        <v>5516</v>
      </c>
      <c r="J11" s="17">
        <v>7092</v>
      </c>
      <c r="K11" s="17">
        <f>+J11</f>
        <v>7092</v>
      </c>
      <c r="L11" s="17">
        <f>+K11</f>
        <v>7092</v>
      </c>
      <c r="M11" s="17">
        <f>+L11</f>
        <v>7092</v>
      </c>
      <c r="N11" s="17">
        <f>+M11</f>
        <v>7092</v>
      </c>
      <c r="O11" s="18">
        <f>SUM(C11:N11)</f>
        <v>71898</v>
      </c>
    </row>
    <row r="12" spans="1:15" ht="15" hidden="1" x14ac:dyDescent="0.2">
      <c r="A12" s="12"/>
      <c r="B12" s="13" t="s">
        <v>121</v>
      </c>
      <c r="C12" s="17">
        <v>0</v>
      </c>
      <c r="D12" s="17">
        <f t="shared" si="0"/>
        <v>0</v>
      </c>
      <c r="E12" s="17">
        <f t="shared" si="0"/>
        <v>0</v>
      </c>
      <c r="F12" s="17">
        <f t="shared" si="0"/>
        <v>0</v>
      </c>
      <c r="G12" s="17">
        <f t="shared" si="0"/>
        <v>0</v>
      </c>
      <c r="H12" s="17">
        <v>0</v>
      </c>
      <c r="I12" s="17">
        <f t="shared" ref="I12:N13" si="1">+H12</f>
        <v>0</v>
      </c>
      <c r="J12" s="17">
        <f t="shared" si="1"/>
        <v>0</v>
      </c>
      <c r="K12" s="17">
        <f t="shared" si="1"/>
        <v>0</v>
      </c>
      <c r="L12" s="17">
        <f t="shared" si="1"/>
        <v>0</v>
      </c>
      <c r="M12" s="17">
        <f t="shared" si="1"/>
        <v>0</v>
      </c>
      <c r="N12" s="17">
        <f t="shared" si="1"/>
        <v>0</v>
      </c>
      <c r="O12" s="18">
        <f>SUM(C12:N12)</f>
        <v>0</v>
      </c>
    </row>
    <row r="13" spans="1:15" ht="15" hidden="1" x14ac:dyDescent="0.2">
      <c r="A13" s="12"/>
      <c r="B13" s="13" t="s">
        <v>122</v>
      </c>
      <c r="C13" s="17">
        <v>0</v>
      </c>
      <c r="D13" s="17">
        <f t="shared" si="0"/>
        <v>0</v>
      </c>
      <c r="E13" s="17">
        <f t="shared" si="0"/>
        <v>0</v>
      </c>
      <c r="F13" s="17">
        <f t="shared" si="0"/>
        <v>0</v>
      </c>
      <c r="G13" s="17">
        <f t="shared" si="0"/>
        <v>0</v>
      </c>
      <c r="H13" s="17">
        <v>0</v>
      </c>
      <c r="I13" s="17">
        <f t="shared" si="1"/>
        <v>0</v>
      </c>
      <c r="J13" s="17">
        <f t="shared" si="1"/>
        <v>0</v>
      </c>
      <c r="K13" s="17">
        <f t="shared" si="1"/>
        <v>0</v>
      </c>
      <c r="L13" s="17">
        <f t="shared" si="1"/>
        <v>0</v>
      </c>
      <c r="M13" s="17">
        <f t="shared" si="1"/>
        <v>0</v>
      </c>
      <c r="N13" s="17">
        <f t="shared" si="1"/>
        <v>0</v>
      </c>
      <c r="O13" s="18">
        <f t="shared" ref="O13:O36" si="2">SUM(C13:N13)</f>
        <v>0</v>
      </c>
    </row>
    <row r="14" spans="1:15" ht="15" x14ac:dyDescent="0.2">
      <c r="A14" s="12"/>
      <c r="B14" s="13" t="s">
        <v>123</v>
      </c>
      <c r="C14" s="17">
        <v>3780</v>
      </c>
      <c r="D14" s="17">
        <v>3852</v>
      </c>
      <c r="E14" s="17">
        <f t="shared" si="0"/>
        <v>3852</v>
      </c>
      <c r="F14" s="17">
        <f t="shared" si="0"/>
        <v>3852</v>
      </c>
      <c r="G14" s="17">
        <f t="shared" si="0"/>
        <v>3852</v>
      </c>
      <c r="H14" s="17">
        <f t="shared" si="0"/>
        <v>3852</v>
      </c>
      <c r="I14" s="17">
        <f t="shared" si="0"/>
        <v>3852</v>
      </c>
      <c r="J14" s="17">
        <v>3924</v>
      </c>
      <c r="K14" s="17">
        <f>+J14</f>
        <v>3924</v>
      </c>
      <c r="L14" s="17">
        <f>+K14</f>
        <v>3924</v>
      </c>
      <c r="M14" s="17">
        <f>+L14</f>
        <v>3924</v>
      </c>
      <c r="N14" s="17">
        <f>+M14</f>
        <v>3924</v>
      </c>
      <c r="O14" s="18">
        <f t="shared" si="2"/>
        <v>46512</v>
      </c>
    </row>
    <row r="15" spans="1:15" ht="15" hidden="1" x14ac:dyDescent="0.2">
      <c r="A15" s="12"/>
      <c r="B15" s="13" t="s">
        <v>124</v>
      </c>
      <c r="C15" s="17">
        <v>0</v>
      </c>
      <c r="D15" s="17">
        <f t="shared" si="0"/>
        <v>0</v>
      </c>
      <c r="E15" s="17">
        <f t="shared" si="0"/>
        <v>0</v>
      </c>
      <c r="F15" s="17">
        <f t="shared" si="0"/>
        <v>0</v>
      </c>
      <c r="G15" s="17">
        <f t="shared" si="0"/>
        <v>0</v>
      </c>
      <c r="H15" s="17">
        <v>0</v>
      </c>
      <c r="I15" s="17">
        <f t="shared" si="0"/>
        <v>0</v>
      </c>
      <c r="J15" s="17">
        <f t="shared" si="0"/>
        <v>0</v>
      </c>
      <c r="K15" s="17">
        <f t="shared" si="0"/>
        <v>0</v>
      </c>
      <c r="L15" s="17">
        <f t="shared" si="0"/>
        <v>0</v>
      </c>
      <c r="M15" s="17">
        <f t="shared" si="0"/>
        <v>0</v>
      </c>
      <c r="N15" s="17">
        <f t="shared" si="0"/>
        <v>0</v>
      </c>
      <c r="O15" s="18">
        <f t="shared" si="2"/>
        <v>0</v>
      </c>
    </row>
    <row r="16" spans="1:15" ht="15" hidden="1" x14ac:dyDescent="0.2">
      <c r="A16" s="12"/>
      <c r="B16" s="13" t="s">
        <v>125</v>
      </c>
      <c r="C16" s="17">
        <v>0</v>
      </c>
      <c r="D16" s="17">
        <f t="shared" si="0"/>
        <v>0</v>
      </c>
      <c r="E16" s="17">
        <f t="shared" si="0"/>
        <v>0</v>
      </c>
      <c r="F16" s="17">
        <f t="shared" si="0"/>
        <v>0</v>
      </c>
      <c r="G16" s="17">
        <f t="shared" si="0"/>
        <v>0</v>
      </c>
      <c r="H16" s="17">
        <v>0</v>
      </c>
      <c r="I16" s="17">
        <f t="shared" si="0"/>
        <v>0</v>
      </c>
      <c r="J16" s="17">
        <f t="shared" si="0"/>
        <v>0</v>
      </c>
      <c r="K16" s="17">
        <f t="shared" si="0"/>
        <v>0</v>
      </c>
      <c r="L16" s="17">
        <f t="shared" si="0"/>
        <v>0</v>
      </c>
      <c r="M16" s="17">
        <f t="shared" si="0"/>
        <v>0</v>
      </c>
      <c r="N16" s="17">
        <f t="shared" si="0"/>
        <v>0</v>
      </c>
      <c r="O16" s="18">
        <f t="shared" si="2"/>
        <v>0</v>
      </c>
    </row>
    <row r="17" spans="1:15" ht="15" customHeight="1" x14ac:dyDescent="0.2">
      <c r="A17" s="12"/>
      <c r="B17" s="217" t="s">
        <v>280</v>
      </c>
      <c r="C17" s="17">
        <v>0</v>
      </c>
      <c r="D17" s="17">
        <f t="shared" si="0"/>
        <v>0</v>
      </c>
      <c r="E17" s="17">
        <f t="shared" si="0"/>
        <v>0</v>
      </c>
      <c r="F17" s="17">
        <f t="shared" si="0"/>
        <v>0</v>
      </c>
      <c r="G17" s="17">
        <f t="shared" si="0"/>
        <v>0</v>
      </c>
      <c r="H17" s="17">
        <v>0</v>
      </c>
      <c r="I17" s="17">
        <f t="shared" si="0"/>
        <v>0</v>
      </c>
      <c r="J17" s="17">
        <f t="shared" si="0"/>
        <v>0</v>
      </c>
      <c r="K17" s="17">
        <f t="shared" si="0"/>
        <v>0</v>
      </c>
      <c r="L17" s="17">
        <f t="shared" si="0"/>
        <v>0</v>
      </c>
      <c r="M17" s="17">
        <f t="shared" si="0"/>
        <v>0</v>
      </c>
      <c r="N17" s="17">
        <f t="shared" si="0"/>
        <v>0</v>
      </c>
      <c r="O17" s="18">
        <f t="shared" si="2"/>
        <v>0</v>
      </c>
    </row>
    <row r="18" spans="1:15" ht="15" x14ac:dyDescent="0.2">
      <c r="A18" s="12"/>
      <c r="B18" s="13" t="s">
        <v>127</v>
      </c>
      <c r="C18" s="17">
        <v>0</v>
      </c>
      <c r="D18" s="17">
        <f t="shared" si="0"/>
        <v>0</v>
      </c>
      <c r="E18" s="17">
        <f t="shared" si="0"/>
        <v>0</v>
      </c>
      <c r="F18" s="17">
        <f t="shared" si="0"/>
        <v>0</v>
      </c>
      <c r="G18" s="17">
        <f t="shared" si="0"/>
        <v>0</v>
      </c>
      <c r="H18" s="17">
        <v>0</v>
      </c>
      <c r="I18" s="17">
        <f t="shared" si="0"/>
        <v>0</v>
      </c>
      <c r="J18" s="17">
        <f t="shared" si="0"/>
        <v>0</v>
      </c>
      <c r="K18" s="17">
        <f t="shared" si="0"/>
        <v>0</v>
      </c>
      <c r="L18" s="17">
        <f t="shared" si="0"/>
        <v>0</v>
      </c>
      <c r="M18" s="17">
        <f t="shared" si="0"/>
        <v>0</v>
      </c>
      <c r="N18" s="17">
        <f t="shared" si="0"/>
        <v>0</v>
      </c>
      <c r="O18" s="18">
        <f t="shared" si="2"/>
        <v>0</v>
      </c>
    </row>
    <row r="19" spans="1:15" ht="15" x14ac:dyDescent="0.2">
      <c r="A19" s="12"/>
      <c r="B19" s="13" t="s">
        <v>128</v>
      </c>
      <c r="C19" s="17">
        <v>18360</v>
      </c>
      <c r="D19" s="17">
        <f t="shared" si="0"/>
        <v>18360</v>
      </c>
      <c r="E19" s="17">
        <f t="shared" si="0"/>
        <v>18360</v>
      </c>
      <c r="F19" s="17">
        <f t="shared" si="0"/>
        <v>18360</v>
      </c>
      <c r="G19" s="17">
        <v>18912</v>
      </c>
      <c r="H19" s="17">
        <v>18912</v>
      </c>
      <c r="I19" s="17">
        <v>18912</v>
      </c>
      <c r="J19" s="17">
        <v>18912</v>
      </c>
      <c r="K19" s="17">
        <v>18912</v>
      </c>
      <c r="L19" s="17">
        <v>18912</v>
      </c>
      <c r="M19" s="17">
        <v>18912</v>
      </c>
      <c r="N19" s="17">
        <v>18912</v>
      </c>
      <c r="O19" s="18">
        <f>SUM(C19:N19)</f>
        <v>224736</v>
      </c>
    </row>
    <row r="20" spans="1:15" ht="15" customHeight="1" x14ac:dyDescent="0.2">
      <c r="A20" s="12"/>
      <c r="B20" s="13" t="s">
        <v>129</v>
      </c>
      <c r="C20" s="17">
        <v>0</v>
      </c>
      <c r="D20" s="17">
        <f t="shared" si="0"/>
        <v>0</v>
      </c>
      <c r="E20" s="17">
        <f t="shared" si="0"/>
        <v>0</v>
      </c>
      <c r="F20" s="17">
        <f t="shared" si="0"/>
        <v>0</v>
      </c>
      <c r="G20" s="17">
        <f t="shared" si="0"/>
        <v>0</v>
      </c>
      <c r="H20" s="17">
        <v>0</v>
      </c>
      <c r="I20" s="17">
        <f t="shared" ref="I20:N35" si="3">+H20</f>
        <v>0</v>
      </c>
      <c r="J20" s="17">
        <f t="shared" si="3"/>
        <v>0</v>
      </c>
      <c r="K20" s="17">
        <f t="shared" si="3"/>
        <v>0</v>
      </c>
      <c r="L20" s="17">
        <f t="shared" si="3"/>
        <v>0</v>
      </c>
      <c r="M20" s="17">
        <f t="shared" si="3"/>
        <v>0</v>
      </c>
      <c r="N20" s="17">
        <f t="shared" si="3"/>
        <v>0</v>
      </c>
      <c r="O20" s="18">
        <f t="shared" si="2"/>
        <v>0</v>
      </c>
    </row>
    <row r="21" spans="1:15" ht="15" hidden="1" customHeight="1" x14ac:dyDescent="0.2">
      <c r="A21" s="878" t="s">
        <v>130</v>
      </c>
      <c r="B21" s="19" t="s">
        <v>131</v>
      </c>
      <c r="C21" s="17">
        <v>0</v>
      </c>
      <c r="D21" s="17">
        <f t="shared" si="0"/>
        <v>0</v>
      </c>
      <c r="E21" s="17">
        <f t="shared" si="0"/>
        <v>0</v>
      </c>
      <c r="F21" s="17">
        <f t="shared" si="0"/>
        <v>0</v>
      </c>
      <c r="G21" s="17">
        <f t="shared" si="0"/>
        <v>0</v>
      </c>
      <c r="H21" s="17">
        <v>0</v>
      </c>
      <c r="I21" s="17">
        <f t="shared" si="3"/>
        <v>0</v>
      </c>
      <c r="J21" s="17">
        <f t="shared" si="3"/>
        <v>0</v>
      </c>
      <c r="K21" s="17">
        <f t="shared" si="3"/>
        <v>0</v>
      </c>
      <c r="L21" s="17">
        <f t="shared" si="3"/>
        <v>0</v>
      </c>
      <c r="M21" s="17">
        <f t="shared" si="3"/>
        <v>0</v>
      </c>
      <c r="N21" s="17">
        <f t="shared" si="3"/>
        <v>0</v>
      </c>
      <c r="O21" s="18">
        <f t="shared" si="2"/>
        <v>0</v>
      </c>
    </row>
    <row r="22" spans="1:15" ht="15" customHeight="1" x14ac:dyDescent="0.2">
      <c r="A22" s="879"/>
      <c r="B22" s="19" t="s">
        <v>132</v>
      </c>
      <c r="C22" s="17">
        <v>0</v>
      </c>
      <c r="D22" s="17">
        <f t="shared" si="0"/>
        <v>0</v>
      </c>
      <c r="E22" s="17">
        <f t="shared" si="0"/>
        <v>0</v>
      </c>
      <c r="F22" s="17">
        <f t="shared" si="0"/>
        <v>0</v>
      </c>
      <c r="G22" s="17">
        <f t="shared" si="0"/>
        <v>0</v>
      </c>
      <c r="H22" s="17">
        <v>0</v>
      </c>
      <c r="I22" s="17">
        <f t="shared" si="3"/>
        <v>0</v>
      </c>
      <c r="J22" s="17">
        <v>6908</v>
      </c>
      <c r="K22" s="17">
        <v>0</v>
      </c>
      <c r="L22" s="17">
        <f t="shared" si="3"/>
        <v>0</v>
      </c>
      <c r="M22" s="17">
        <f t="shared" si="3"/>
        <v>0</v>
      </c>
      <c r="N22" s="17">
        <f t="shared" si="3"/>
        <v>0</v>
      </c>
      <c r="O22" s="18">
        <f t="shared" si="2"/>
        <v>6908</v>
      </c>
    </row>
    <row r="23" spans="1:15" ht="15" hidden="1" customHeight="1" x14ac:dyDescent="0.2">
      <c r="A23" s="879"/>
      <c r="B23" s="19" t="s">
        <v>133</v>
      </c>
      <c r="C23" s="17">
        <v>0</v>
      </c>
      <c r="D23" s="17">
        <f t="shared" si="0"/>
        <v>0</v>
      </c>
      <c r="E23" s="17">
        <f t="shared" si="0"/>
        <v>0</v>
      </c>
      <c r="F23" s="17">
        <f t="shared" si="0"/>
        <v>0</v>
      </c>
      <c r="G23" s="17">
        <f t="shared" si="0"/>
        <v>0</v>
      </c>
      <c r="H23" s="17">
        <v>0</v>
      </c>
      <c r="I23" s="17">
        <f t="shared" si="3"/>
        <v>0</v>
      </c>
      <c r="J23" s="17">
        <f t="shared" si="3"/>
        <v>0</v>
      </c>
      <c r="K23" s="17">
        <f t="shared" si="3"/>
        <v>0</v>
      </c>
      <c r="L23" s="17">
        <f t="shared" si="3"/>
        <v>0</v>
      </c>
      <c r="M23" s="17">
        <f t="shared" si="3"/>
        <v>0</v>
      </c>
      <c r="N23" s="17">
        <f t="shared" si="3"/>
        <v>0</v>
      </c>
      <c r="O23" s="18">
        <f t="shared" si="2"/>
        <v>0</v>
      </c>
    </row>
    <row r="24" spans="1:15" ht="15" hidden="1" customHeight="1" x14ac:dyDescent="0.2">
      <c r="A24" s="879"/>
      <c r="B24" s="19" t="s">
        <v>134</v>
      </c>
      <c r="C24" s="17">
        <v>0</v>
      </c>
      <c r="D24" s="17">
        <f t="shared" si="0"/>
        <v>0</v>
      </c>
      <c r="E24" s="17">
        <f t="shared" si="0"/>
        <v>0</v>
      </c>
      <c r="F24" s="17">
        <f t="shared" si="0"/>
        <v>0</v>
      </c>
      <c r="G24" s="17">
        <f t="shared" si="0"/>
        <v>0</v>
      </c>
      <c r="H24" s="17">
        <v>0</v>
      </c>
      <c r="I24" s="17">
        <f t="shared" si="3"/>
        <v>0</v>
      </c>
      <c r="J24" s="17">
        <f t="shared" si="3"/>
        <v>0</v>
      </c>
      <c r="K24" s="17">
        <f t="shared" si="3"/>
        <v>0</v>
      </c>
      <c r="L24" s="17">
        <f t="shared" si="3"/>
        <v>0</v>
      </c>
      <c r="M24" s="17">
        <f t="shared" si="3"/>
        <v>0</v>
      </c>
      <c r="N24" s="17">
        <f t="shared" si="3"/>
        <v>0</v>
      </c>
      <c r="O24" s="18">
        <f t="shared" si="2"/>
        <v>0</v>
      </c>
    </row>
    <row r="25" spans="1:15" ht="15" hidden="1" customHeight="1" x14ac:dyDescent="0.2">
      <c r="A25" s="879"/>
      <c r="B25" s="19" t="s">
        <v>135</v>
      </c>
      <c r="C25" s="17">
        <v>0</v>
      </c>
      <c r="D25" s="17">
        <f t="shared" si="0"/>
        <v>0</v>
      </c>
      <c r="E25" s="17">
        <f t="shared" si="0"/>
        <v>0</v>
      </c>
      <c r="F25" s="17">
        <f t="shared" si="0"/>
        <v>0</v>
      </c>
      <c r="G25" s="17">
        <f t="shared" si="0"/>
        <v>0</v>
      </c>
      <c r="H25" s="17">
        <v>0</v>
      </c>
      <c r="I25" s="17">
        <f t="shared" si="3"/>
        <v>0</v>
      </c>
      <c r="J25" s="17">
        <f t="shared" si="3"/>
        <v>0</v>
      </c>
      <c r="K25" s="17">
        <f t="shared" si="3"/>
        <v>0</v>
      </c>
      <c r="L25" s="17">
        <f t="shared" si="3"/>
        <v>0</v>
      </c>
      <c r="M25" s="17">
        <f t="shared" si="3"/>
        <v>0</v>
      </c>
      <c r="N25" s="17">
        <f t="shared" si="3"/>
        <v>0</v>
      </c>
      <c r="O25" s="18">
        <f t="shared" si="2"/>
        <v>0</v>
      </c>
    </row>
    <row r="26" spans="1:15" ht="15" hidden="1" customHeight="1" x14ac:dyDescent="0.2">
      <c r="A26" s="879"/>
      <c r="B26" s="19" t="s">
        <v>136</v>
      </c>
      <c r="C26" s="17">
        <v>0</v>
      </c>
      <c r="D26" s="17">
        <f t="shared" si="0"/>
        <v>0</v>
      </c>
      <c r="E26" s="17">
        <f t="shared" si="0"/>
        <v>0</v>
      </c>
      <c r="F26" s="17">
        <f t="shared" si="0"/>
        <v>0</v>
      </c>
      <c r="G26" s="17">
        <f t="shared" si="0"/>
        <v>0</v>
      </c>
      <c r="H26" s="17">
        <v>0</v>
      </c>
      <c r="I26" s="17">
        <f t="shared" si="3"/>
        <v>0</v>
      </c>
      <c r="J26" s="17">
        <f t="shared" si="3"/>
        <v>0</v>
      </c>
      <c r="K26" s="17">
        <f t="shared" si="3"/>
        <v>0</v>
      </c>
      <c r="L26" s="17">
        <f t="shared" si="3"/>
        <v>0</v>
      </c>
      <c r="M26" s="17">
        <f t="shared" si="3"/>
        <v>0</v>
      </c>
      <c r="N26" s="17">
        <f t="shared" si="3"/>
        <v>0</v>
      </c>
      <c r="O26" s="18">
        <f t="shared" si="2"/>
        <v>0</v>
      </c>
    </row>
    <row r="27" spans="1:15" ht="15" hidden="1" customHeight="1" x14ac:dyDescent="0.2">
      <c r="A27" s="879"/>
      <c r="B27" s="19" t="s">
        <v>137</v>
      </c>
      <c r="C27" s="17">
        <v>0</v>
      </c>
      <c r="D27" s="17">
        <f t="shared" si="0"/>
        <v>0</v>
      </c>
      <c r="E27" s="17">
        <f t="shared" si="0"/>
        <v>0</v>
      </c>
      <c r="F27" s="17">
        <f t="shared" si="0"/>
        <v>0</v>
      </c>
      <c r="G27" s="17">
        <f t="shared" si="0"/>
        <v>0</v>
      </c>
      <c r="H27" s="17">
        <v>0</v>
      </c>
      <c r="I27" s="17">
        <f t="shared" si="3"/>
        <v>0</v>
      </c>
      <c r="J27" s="17">
        <f t="shared" si="3"/>
        <v>0</v>
      </c>
      <c r="K27" s="17">
        <f t="shared" si="3"/>
        <v>0</v>
      </c>
      <c r="L27" s="17">
        <f t="shared" si="3"/>
        <v>0</v>
      </c>
      <c r="M27" s="17">
        <f t="shared" si="3"/>
        <v>0</v>
      </c>
      <c r="N27" s="17">
        <f t="shared" si="3"/>
        <v>0</v>
      </c>
      <c r="O27" s="18">
        <f t="shared" si="2"/>
        <v>0</v>
      </c>
    </row>
    <row r="28" spans="1:15" ht="15" hidden="1" customHeight="1" x14ac:dyDescent="0.2">
      <c r="A28" s="879"/>
      <c r="B28" s="19" t="s">
        <v>138</v>
      </c>
      <c r="C28" s="17">
        <v>0</v>
      </c>
      <c r="D28" s="17">
        <f t="shared" si="0"/>
        <v>0</v>
      </c>
      <c r="E28" s="17">
        <f t="shared" si="0"/>
        <v>0</v>
      </c>
      <c r="F28" s="17">
        <f t="shared" si="0"/>
        <v>0</v>
      </c>
      <c r="G28" s="17">
        <f t="shared" si="0"/>
        <v>0</v>
      </c>
      <c r="H28" s="17">
        <v>0</v>
      </c>
      <c r="I28" s="17">
        <f t="shared" si="3"/>
        <v>0</v>
      </c>
      <c r="J28" s="17">
        <f t="shared" si="3"/>
        <v>0</v>
      </c>
      <c r="K28" s="17">
        <f t="shared" si="3"/>
        <v>0</v>
      </c>
      <c r="L28" s="17">
        <f t="shared" si="3"/>
        <v>0</v>
      </c>
      <c r="M28" s="17">
        <f t="shared" si="3"/>
        <v>0</v>
      </c>
      <c r="N28" s="17">
        <f t="shared" si="3"/>
        <v>0</v>
      </c>
      <c r="O28" s="18">
        <f t="shared" si="2"/>
        <v>0</v>
      </c>
    </row>
    <row r="29" spans="1:15" ht="15" hidden="1" customHeight="1" x14ac:dyDescent="0.2">
      <c r="A29" s="879"/>
      <c r="B29" s="19" t="s">
        <v>139</v>
      </c>
      <c r="C29" s="17">
        <v>0</v>
      </c>
      <c r="D29" s="17">
        <f t="shared" si="0"/>
        <v>0</v>
      </c>
      <c r="E29" s="17">
        <f t="shared" si="0"/>
        <v>0</v>
      </c>
      <c r="F29" s="17">
        <f t="shared" si="0"/>
        <v>0</v>
      </c>
      <c r="G29" s="17">
        <f t="shared" si="0"/>
        <v>0</v>
      </c>
      <c r="H29" s="17">
        <v>0</v>
      </c>
      <c r="I29" s="17">
        <f t="shared" si="3"/>
        <v>0</v>
      </c>
      <c r="J29" s="17">
        <f t="shared" si="3"/>
        <v>0</v>
      </c>
      <c r="K29" s="17">
        <f t="shared" si="3"/>
        <v>0</v>
      </c>
      <c r="L29" s="17">
        <f t="shared" si="3"/>
        <v>0</v>
      </c>
      <c r="M29" s="17">
        <f t="shared" si="3"/>
        <v>0</v>
      </c>
      <c r="N29" s="17">
        <f t="shared" si="3"/>
        <v>0</v>
      </c>
      <c r="O29" s="18">
        <f t="shared" si="2"/>
        <v>0</v>
      </c>
    </row>
    <row r="30" spans="1:15" ht="15" hidden="1" customHeight="1" x14ac:dyDescent="0.2">
      <c r="A30" s="879"/>
      <c r="B30" s="19" t="s">
        <v>140</v>
      </c>
      <c r="C30" s="17">
        <v>0</v>
      </c>
      <c r="D30" s="17">
        <f t="shared" si="0"/>
        <v>0</v>
      </c>
      <c r="E30" s="17">
        <f t="shared" si="0"/>
        <v>0</v>
      </c>
      <c r="F30" s="17">
        <f t="shared" si="0"/>
        <v>0</v>
      </c>
      <c r="G30" s="17">
        <f t="shared" si="0"/>
        <v>0</v>
      </c>
      <c r="H30" s="17">
        <v>0</v>
      </c>
      <c r="I30" s="17">
        <f t="shared" si="3"/>
        <v>0</v>
      </c>
      <c r="J30" s="17">
        <f t="shared" si="3"/>
        <v>0</v>
      </c>
      <c r="K30" s="17">
        <f t="shared" si="3"/>
        <v>0</v>
      </c>
      <c r="L30" s="17">
        <f t="shared" si="3"/>
        <v>0</v>
      </c>
      <c r="M30" s="17">
        <f t="shared" si="3"/>
        <v>0</v>
      </c>
      <c r="N30" s="17">
        <f t="shared" si="3"/>
        <v>0</v>
      </c>
      <c r="O30" s="18">
        <f t="shared" si="2"/>
        <v>0</v>
      </c>
    </row>
    <row r="31" spans="1:15" ht="15" hidden="1" customHeight="1" x14ac:dyDescent="0.2">
      <c r="A31" s="879"/>
      <c r="B31" s="19" t="s">
        <v>225</v>
      </c>
      <c r="C31" s="17">
        <v>0</v>
      </c>
      <c r="D31" s="17">
        <f t="shared" si="0"/>
        <v>0</v>
      </c>
      <c r="E31" s="17">
        <f t="shared" si="0"/>
        <v>0</v>
      </c>
      <c r="F31" s="17">
        <f t="shared" si="0"/>
        <v>0</v>
      </c>
      <c r="G31" s="17">
        <f t="shared" si="0"/>
        <v>0</v>
      </c>
      <c r="H31" s="17">
        <v>0</v>
      </c>
      <c r="I31" s="17">
        <f t="shared" si="3"/>
        <v>0</v>
      </c>
      <c r="J31" s="17">
        <f t="shared" si="3"/>
        <v>0</v>
      </c>
      <c r="K31" s="17">
        <f t="shared" si="3"/>
        <v>0</v>
      </c>
      <c r="L31" s="17">
        <f t="shared" si="3"/>
        <v>0</v>
      </c>
      <c r="M31" s="17">
        <f t="shared" si="3"/>
        <v>0</v>
      </c>
      <c r="N31" s="17">
        <f t="shared" si="3"/>
        <v>0</v>
      </c>
      <c r="O31" s="18">
        <f t="shared" si="2"/>
        <v>0</v>
      </c>
    </row>
    <row r="32" spans="1:15" ht="15" customHeight="1" x14ac:dyDescent="0.2">
      <c r="A32" s="879"/>
      <c r="B32" s="21" t="s">
        <v>142</v>
      </c>
      <c r="C32" s="17">
        <v>0</v>
      </c>
      <c r="D32" s="17">
        <f t="shared" si="0"/>
        <v>0</v>
      </c>
      <c r="E32" s="17">
        <f t="shared" si="0"/>
        <v>0</v>
      </c>
      <c r="F32" s="17">
        <f t="shared" si="0"/>
        <v>0</v>
      </c>
      <c r="G32" s="17">
        <f t="shared" si="0"/>
        <v>0</v>
      </c>
      <c r="H32" s="17">
        <v>0</v>
      </c>
      <c r="I32" s="17">
        <f t="shared" si="3"/>
        <v>0</v>
      </c>
      <c r="J32" s="17">
        <f t="shared" si="3"/>
        <v>0</v>
      </c>
      <c r="K32" s="17">
        <f t="shared" si="3"/>
        <v>0</v>
      </c>
      <c r="L32" s="17">
        <f t="shared" si="3"/>
        <v>0</v>
      </c>
      <c r="M32" s="17">
        <f t="shared" si="3"/>
        <v>0</v>
      </c>
      <c r="N32" s="17">
        <f t="shared" si="3"/>
        <v>0</v>
      </c>
      <c r="O32" s="18">
        <f t="shared" si="2"/>
        <v>0</v>
      </c>
    </row>
    <row r="33" spans="1:15" ht="15" hidden="1" customHeight="1" x14ac:dyDescent="0.2">
      <c r="A33" s="880"/>
      <c r="B33" s="19" t="s">
        <v>226</v>
      </c>
      <c r="C33" s="17">
        <v>0</v>
      </c>
      <c r="D33" s="17">
        <f t="shared" si="0"/>
        <v>0</v>
      </c>
      <c r="E33" s="17">
        <f t="shared" si="0"/>
        <v>0</v>
      </c>
      <c r="F33" s="17">
        <f t="shared" si="0"/>
        <v>0</v>
      </c>
      <c r="G33" s="17">
        <f t="shared" si="0"/>
        <v>0</v>
      </c>
      <c r="H33" s="17">
        <v>0</v>
      </c>
      <c r="I33" s="17">
        <f t="shared" si="3"/>
        <v>0</v>
      </c>
      <c r="J33" s="17">
        <f t="shared" si="3"/>
        <v>0</v>
      </c>
      <c r="K33" s="17">
        <f t="shared" si="3"/>
        <v>0</v>
      </c>
      <c r="L33" s="17">
        <f t="shared" si="3"/>
        <v>0</v>
      </c>
      <c r="M33" s="17">
        <f t="shared" si="3"/>
        <v>0</v>
      </c>
      <c r="N33" s="17">
        <f t="shared" si="3"/>
        <v>0</v>
      </c>
      <c r="O33" s="18">
        <f t="shared" si="2"/>
        <v>0</v>
      </c>
    </row>
    <row r="34" spans="1:15" ht="15" customHeight="1" x14ac:dyDescent="0.2">
      <c r="A34" s="929" t="s">
        <v>280</v>
      </c>
      <c r="B34" s="930"/>
      <c r="C34" s="17">
        <v>0</v>
      </c>
      <c r="D34" s="17">
        <f t="shared" si="0"/>
        <v>0</v>
      </c>
      <c r="E34" s="17">
        <f t="shared" si="0"/>
        <v>0</v>
      </c>
      <c r="F34" s="17">
        <f t="shared" si="0"/>
        <v>0</v>
      </c>
      <c r="G34" s="17">
        <f t="shared" si="0"/>
        <v>0</v>
      </c>
      <c r="H34" s="17">
        <v>0</v>
      </c>
      <c r="I34" s="17">
        <f t="shared" si="3"/>
        <v>0</v>
      </c>
      <c r="J34" s="17">
        <f t="shared" si="3"/>
        <v>0</v>
      </c>
      <c r="K34" s="17">
        <f t="shared" si="3"/>
        <v>0</v>
      </c>
      <c r="L34" s="17">
        <f t="shared" si="3"/>
        <v>0</v>
      </c>
      <c r="M34" s="17">
        <f t="shared" si="3"/>
        <v>0</v>
      </c>
      <c r="N34" s="17">
        <f t="shared" si="3"/>
        <v>0</v>
      </c>
      <c r="O34" s="18">
        <f t="shared" si="2"/>
        <v>0</v>
      </c>
    </row>
    <row r="35" spans="1:15" ht="15" customHeight="1" x14ac:dyDescent="0.2">
      <c r="A35" s="865" t="s">
        <v>145</v>
      </c>
      <c r="B35" s="866"/>
      <c r="C35" s="17">
        <v>0</v>
      </c>
      <c r="D35" s="17">
        <v>216</v>
      </c>
      <c r="E35" s="17">
        <v>0</v>
      </c>
      <c r="F35" s="17">
        <f>+E35</f>
        <v>0</v>
      </c>
      <c r="G35" s="17">
        <f>+F35</f>
        <v>0</v>
      </c>
      <c r="H35" s="17">
        <v>0</v>
      </c>
      <c r="I35" s="17">
        <f t="shared" si="3"/>
        <v>0</v>
      </c>
      <c r="J35" s="17">
        <v>216</v>
      </c>
      <c r="K35" s="17">
        <v>0</v>
      </c>
      <c r="L35" s="17">
        <f t="shared" si="3"/>
        <v>0</v>
      </c>
      <c r="M35" s="17">
        <f t="shared" si="3"/>
        <v>0</v>
      </c>
      <c r="N35" s="17">
        <f t="shared" si="3"/>
        <v>0</v>
      </c>
      <c r="O35" s="18">
        <f t="shared" si="2"/>
        <v>432</v>
      </c>
    </row>
    <row r="36" spans="1:15" ht="15" customHeight="1" x14ac:dyDescent="0.2">
      <c r="A36" s="865" t="s">
        <v>146</v>
      </c>
      <c r="B36" s="866"/>
      <c r="C36" s="17">
        <v>0</v>
      </c>
      <c r="D36" s="17">
        <v>4590</v>
      </c>
      <c r="E36" s="17">
        <v>0</v>
      </c>
      <c r="F36" s="17">
        <f>+E36</f>
        <v>0</v>
      </c>
      <c r="G36" s="17">
        <f>+F36</f>
        <v>0</v>
      </c>
      <c r="H36" s="17">
        <v>0</v>
      </c>
      <c r="I36" s="17">
        <f t="shared" ref="I36:N36" si="4">+H36</f>
        <v>0</v>
      </c>
      <c r="J36" s="17">
        <v>4728</v>
      </c>
      <c r="K36" s="17">
        <v>0</v>
      </c>
      <c r="L36" s="17">
        <f t="shared" si="4"/>
        <v>0</v>
      </c>
      <c r="M36" s="17">
        <f t="shared" si="4"/>
        <v>0</v>
      </c>
      <c r="N36" s="17">
        <f t="shared" si="4"/>
        <v>0</v>
      </c>
      <c r="O36" s="18">
        <f t="shared" si="2"/>
        <v>9318</v>
      </c>
    </row>
    <row r="37" spans="1:15" ht="15" customHeight="1" x14ac:dyDescent="0.2">
      <c r="A37" s="22"/>
      <c r="B37" s="23" t="s">
        <v>147</v>
      </c>
      <c r="C37" s="24">
        <f t="shared" ref="C37:N37" si="5">SUM(C9:C36)</f>
        <v>102465</v>
      </c>
      <c r="D37" s="24">
        <f t="shared" si="5"/>
        <v>108873</v>
      </c>
      <c r="E37" s="24">
        <f t="shared" si="5"/>
        <v>104067</v>
      </c>
      <c r="F37" s="24">
        <f t="shared" si="5"/>
        <v>104067</v>
      </c>
      <c r="G37" s="24">
        <f t="shared" si="5"/>
        <v>107080</v>
      </c>
      <c r="H37" s="24">
        <f t="shared" si="5"/>
        <v>107080</v>
      </c>
      <c r="I37" s="24">
        <f t="shared" si="5"/>
        <v>107080</v>
      </c>
      <c r="J37" s="24">
        <f t="shared" si="5"/>
        <v>120580</v>
      </c>
      <c r="K37" s="24">
        <f t="shared" si="5"/>
        <v>108728</v>
      </c>
      <c r="L37" s="24">
        <f t="shared" si="5"/>
        <v>108728</v>
      </c>
      <c r="M37" s="24">
        <f t="shared" si="5"/>
        <v>108728</v>
      </c>
      <c r="N37" s="24">
        <f t="shared" si="5"/>
        <v>108728</v>
      </c>
      <c r="O37" s="25">
        <f>SUM(C37:N37)</f>
        <v>1296204</v>
      </c>
    </row>
    <row r="38" spans="1:15" ht="15" customHeight="1" x14ac:dyDescent="0.2">
      <c r="A38" s="853" t="s">
        <v>148</v>
      </c>
      <c r="B38" s="27" t="s">
        <v>149</v>
      </c>
      <c r="C38" s="28">
        <v>10900</v>
      </c>
      <c r="D38" s="28">
        <v>10500</v>
      </c>
      <c r="E38" s="28">
        <v>10000</v>
      </c>
      <c r="F38" s="28">
        <v>10000</v>
      </c>
      <c r="G38" s="28">
        <v>10000</v>
      </c>
      <c r="H38" s="28">
        <v>10000</v>
      </c>
      <c r="I38" s="28">
        <v>10000</v>
      </c>
      <c r="J38" s="28">
        <v>10000</v>
      </c>
      <c r="K38" s="28">
        <v>16500</v>
      </c>
      <c r="L38" s="28">
        <v>15872</v>
      </c>
      <c r="M38" s="28">
        <v>15872</v>
      </c>
      <c r="N38" s="28">
        <v>17287</v>
      </c>
      <c r="O38" s="18">
        <f>SUM(C38:N38)</f>
        <v>146931</v>
      </c>
    </row>
    <row r="39" spans="1:15" ht="15" x14ac:dyDescent="0.2">
      <c r="A39" s="854"/>
      <c r="B39" s="27" t="s">
        <v>150</v>
      </c>
      <c r="C39" s="28">
        <v>0</v>
      </c>
      <c r="D39" s="28">
        <v>0</v>
      </c>
      <c r="E39" s="28">
        <v>0</v>
      </c>
      <c r="F39" s="28">
        <v>0</v>
      </c>
      <c r="G39" s="28">
        <v>0</v>
      </c>
      <c r="H39" s="28">
        <v>0</v>
      </c>
      <c r="I39" s="28">
        <v>0</v>
      </c>
      <c r="J39" s="28">
        <v>0</v>
      </c>
      <c r="K39" s="28">
        <v>0</v>
      </c>
      <c r="L39" s="28">
        <v>0</v>
      </c>
      <c r="M39" s="28">
        <v>0</v>
      </c>
      <c r="N39" s="28">
        <v>0</v>
      </c>
      <c r="O39" s="18">
        <f>SUM(C39:N39)</f>
        <v>0</v>
      </c>
    </row>
    <row r="40" spans="1:15" ht="15" x14ac:dyDescent="0.2">
      <c r="A40" s="854"/>
      <c r="B40" s="27" t="s">
        <v>151</v>
      </c>
      <c r="C40" s="28">
        <v>60</v>
      </c>
      <c r="D40" s="28">
        <v>60</v>
      </c>
      <c r="E40" s="28">
        <v>60</v>
      </c>
      <c r="F40" s="28">
        <v>60</v>
      </c>
      <c r="G40" s="28">
        <v>60</v>
      </c>
      <c r="H40" s="28">
        <v>60</v>
      </c>
      <c r="I40" s="28">
        <v>60</v>
      </c>
      <c r="J40" s="28">
        <v>60</v>
      </c>
      <c r="K40" s="28">
        <v>60</v>
      </c>
      <c r="L40" s="28">
        <v>60</v>
      </c>
      <c r="M40" s="28">
        <v>60</v>
      </c>
      <c r="N40" s="28">
        <v>60</v>
      </c>
      <c r="O40" s="18">
        <f t="shared" ref="O40:O51" si="6">SUM(C40:N40)</f>
        <v>720</v>
      </c>
    </row>
    <row r="41" spans="1:15" ht="15" x14ac:dyDescent="0.2">
      <c r="A41" s="854"/>
      <c r="B41" s="27" t="s">
        <v>152</v>
      </c>
      <c r="C41" s="28">
        <v>0</v>
      </c>
      <c r="D41" s="28">
        <v>0</v>
      </c>
      <c r="E41" s="28">
        <v>0</v>
      </c>
      <c r="F41" s="28">
        <v>0</v>
      </c>
      <c r="G41" s="28">
        <v>0</v>
      </c>
      <c r="H41" s="28">
        <v>0</v>
      </c>
      <c r="I41" s="28">
        <v>0</v>
      </c>
      <c r="J41" s="28">
        <v>0</v>
      </c>
      <c r="K41" s="28">
        <v>0</v>
      </c>
      <c r="L41" s="28">
        <v>0</v>
      </c>
      <c r="M41" s="28">
        <v>0</v>
      </c>
      <c r="N41" s="28">
        <v>0</v>
      </c>
      <c r="O41" s="18">
        <f t="shared" si="6"/>
        <v>0</v>
      </c>
    </row>
    <row r="42" spans="1:15" ht="15" x14ac:dyDescent="0.2">
      <c r="A42" s="854"/>
      <c r="B42" s="27" t="s">
        <v>153</v>
      </c>
      <c r="C42" s="28">
        <v>650</v>
      </c>
      <c r="D42" s="28">
        <v>650</v>
      </c>
      <c r="E42" s="28">
        <v>650</v>
      </c>
      <c r="F42" s="28">
        <v>650</v>
      </c>
      <c r="G42" s="28">
        <v>650</v>
      </c>
      <c r="H42" s="28">
        <v>650</v>
      </c>
      <c r="I42" s="28">
        <v>650</v>
      </c>
      <c r="J42" s="28">
        <v>650</v>
      </c>
      <c r="K42" s="28">
        <v>650</v>
      </c>
      <c r="L42" s="28">
        <v>650</v>
      </c>
      <c r="M42" s="28">
        <v>650</v>
      </c>
      <c r="N42" s="28">
        <v>650</v>
      </c>
      <c r="O42" s="18">
        <f t="shared" si="6"/>
        <v>7800</v>
      </c>
    </row>
    <row r="43" spans="1:15" ht="15" x14ac:dyDescent="0.2">
      <c r="A43" s="854"/>
      <c r="B43" s="27" t="s">
        <v>154</v>
      </c>
      <c r="C43" s="28">
        <v>15000</v>
      </c>
      <c r="D43" s="28">
        <v>15000</v>
      </c>
      <c r="E43" s="28">
        <v>15000</v>
      </c>
      <c r="F43" s="28">
        <v>15000</v>
      </c>
      <c r="G43" s="28">
        <v>30000</v>
      </c>
      <c r="H43" s="28">
        <v>30000</v>
      </c>
      <c r="I43" s="28">
        <v>30000</v>
      </c>
      <c r="J43" s="28">
        <v>30000</v>
      </c>
      <c r="K43" s="28">
        <v>30000</v>
      </c>
      <c r="L43" s="28">
        <v>30000</v>
      </c>
      <c r="M43" s="28">
        <v>30000</v>
      </c>
      <c r="N43" s="28">
        <v>30000</v>
      </c>
      <c r="O43" s="18">
        <f t="shared" si="6"/>
        <v>300000</v>
      </c>
    </row>
    <row r="44" spans="1:15" ht="15" x14ac:dyDescent="0.2">
      <c r="A44" s="854"/>
      <c r="B44" s="27" t="s">
        <v>155</v>
      </c>
      <c r="C44" s="28">
        <v>200</v>
      </c>
      <c r="D44" s="28">
        <v>200</v>
      </c>
      <c r="E44" s="28">
        <v>200</v>
      </c>
      <c r="F44" s="28">
        <v>200</v>
      </c>
      <c r="G44" s="28">
        <v>200</v>
      </c>
      <c r="H44" s="28">
        <v>200</v>
      </c>
      <c r="I44" s="28">
        <v>200</v>
      </c>
      <c r="J44" s="28">
        <v>200</v>
      </c>
      <c r="K44" s="28">
        <v>200</v>
      </c>
      <c r="L44" s="28">
        <v>200</v>
      </c>
      <c r="M44" s="28">
        <v>200</v>
      </c>
      <c r="N44" s="28">
        <v>300</v>
      </c>
      <c r="O44" s="18">
        <f t="shared" si="6"/>
        <v>2500</v>
      </c>
    </row>
    <row r="45" spans="1:15" ht="15" x14ac:dyDescent="0.2">
      <c r="A45" s="854"/>
      <c r="B45" s="27" t="s">
        <v>156</v>
      </c>
      <c r="C45" s="28">
        <v>0</v>
      </c>
      <c r="D45" s="28">
        <v>0</v>
      </c>
      <c r="E45" s="28">
        <v>0</v>
      </c>
      <c r="F45" s="28">
        <v>0</v>
      </c>
      <c r="G45" s="28">
        <v>0</v>
      </c>
      <c r="H45" s="28">
        <v>0</v>
      </c>
      <c r="I45" s="28">
        <v>0</v>
      </c>
      <c r="J45" s="28">
        <v>0</v>
      </c>
      <c r="K45" s="28">
        <v>0</v>
      </c>
      <c r="L45" s="28">
        <v>0</v>
      </c>
      <c r="M45" s="28">
        <v>0</v>
      </c>
      <c r="N45" s="28">
        <v>0</v>
      </c>
      <c r="O45" s="18">
        <f t="shared" si="6"/>
        <v>0</v>
      </c>
    </row>
    <row r="46" spans="1:15" ht="14.25" x14ac:dyDescent="0.2">
      <c r="A46" s="854"/>
      <c r="B46" s="218" t="s">
        <v>321</v>
      </c>
      <c r="C46" s="28">
        <v>0</v>
      </c>
      <c r="D46" s="28">
        <v>0</v>
      </c>
      <c r="E46" s="28">
        <v>0</v>
      </c>
      <c r="F46" s="28">
        <v>0</v>
      </c>
      <c r="G46" s="28">
        <v>0</v>
      </c>
      <c r="H46" s="28">
        <v>0</v>
      </c>
      <c r="I46" s="28">
        <v>0</v>
      </c>
      <c r="J46" s="28">
        <v>0</v>
      </c>
      <c r="K46" s="28">
        <v>0</v>
      </c>
      <c r="L46" s="28">
        <v>0</v>
      </c>
      <c r="M46" s="28">
        <v>0</v>
      </c>
      <c r="N46" s="28">
        <v>0</v>
      </c>
      <c r="O46" s="18">
        <f t="shared" si="6"/>
        <v>0</v>
      </c>
    </row>
    <row r="47" spans="1:15" ht="15" x14ac:dyDescent="0.2">
      <c r="A47" s="854"/>
      <c r="B47" s="27" t="s">
        <v>157</v>
      </c>
      <c r="C47" s="28">
        <v>0</v>
      </c>
      <c r="D47" s="28">
        <v>0</v>
      </c>
      <c r="E47" s="28">
        <v>0</v>
      </c>
      <c r="F47" s="28">
        <v>0</v>
      </c>
      <c r="G47" s="28">
        <v>0</v>
      </c>
      <c r="H47" s="28">
        <v>0</v>
      </c>
      <c r="I47" s="28">
        <v>0</v>
      </c>
      <c r="J47" s="28">
        <v>0</v>
      </c>
      <c r="K47" s="28">
        <v>0</v>
      </c>
      <c r="L47" s="28">
        <v>0</v>
      </c>
      <c r="M47" s="28">
        <v>0</v>
      </c>
      <c r="N47" s="28">
        <v>0</v>
      </c>
      <c r="O47" s="18">
        <f t="shared" si="6"/>
        <v>0</v>
      </c>
    </row>
    <row r="48" spans="1:15" ht="28.5" customHeight="1" x14ac:dyDescent="0.2">
      <c r="A48" s="855"/>
      <c r="B48" s="30" t="s">
        <v>158</v>
      </c>
      <c r="C48" s="28">
        <v>2500</v>
      </c>
      <c r="D48" s="28">
        <v>2500</v>
      </c>
      <c r="E48" s="28">
        <v>2500</v>
      </c>
      <c r="F48" s="28">
        <v>2500</v>
      </c>
      <c r="G48" s="28">
        <v>2500</v>
      </c>
      <c r="H48" s="28">
        <v>2500</v>
      </c>
      <c r="I48" s="28">
        <v>2500</v>
      </c>
      <c r="J48" s="28">
        <v>2500</v>
      </c>
      <c r="K48" s="28">
        <v>2500</v>
      </c>
      <c r="L48" s="28">
        <v>2500</v>
      </c>
      <c r="M48" s="28">
        <v>2500</v>
      </c>
      <c r="N48" s="28">
        <v>2500</v>
      </c>
      <c r="O48" s="31">
        <f t="shared" si="6"/>
        <v>30000</v>
      </c>
    </row>
    <row r="49" spans="1:17" ht="30" x14ac:dyDescent="0.2">
      <c r="A49" s="856"/>
      <c r="B49" s="169" t="s">
        <v>401</v>
      </c>
      <c r="C49" s="28">
        <v>0</v>
      </c>
      <c r="D49" s="28">
        <v>0</v>
      </c>
      <c r="E49" s="28">
        <v>0</v>
      </c>
      <c r="F49" s="28">
        <v>0</v>
      </c>
      <c r="G49" s="28">
        <v>0</v>
      </c>
      <c r="H49" s="28">
        <v>0</v>
      </c>
      <c r="I49" s="28">
        <v>0</v>
      </c>
      <c r="J49" s="28">
        <v>0</v>
      </c>
      <c r="K49" s="28">
        <v>0</v>
      </c>
      <c r="L49" s="28">
        <v>0</v>
      </c>
      <c r="M49" s="28">
        <v>0</v>
      </c>
      <c r="N49" s="28">
        <v>0</v>
      </c>
      <c r="O49" s="31">
        <f t="shared" si="6"/>
        <v>0</v>
      </c>
    </row>
    <row r="50" spans="1:17" ht="15" x14ac:dyDescent="0.2">
      <c r="A50" s="857" t="s">
        <v>160</v>
      </c>
      <c r="B50" s="858"/>
      <c r="C50" s="33">
        <f t="shared" ref="C50:N50" si="7">SUM(C38:C49)</f>
        <v>29310</v>
      </c>
      <c r="D50" s="33">
        <f t="shared" si="7"/>
        <v>28910</v>
      </c>
      <c r="E50" s="33">
        <f t="shared" si="7"/>
        <v>28410</v>
      </c>
      <c r="F50" s="33">
        <f t="shared" si="7"/>
        <v>28410</v>
      </c>
      <c r="G50" s="33">
        <f t="shared" si="7"/>
        <v>43410</v>
      </c>
      <c r="H50" s="33">
        <f t="shared" si="7"/>
        <v>43410</v>
      </c>
      <c r="I50" s="33">
        <f t="shared" si="7"/>
        <v>43410</v>
      </c>
      <c r="J50" s="33">
        <f t="shared" si="7"/>
        <v>43410</v>
      </c>
      <c r="K50" s="33">
        <f t="shared" si="7"/>
        <v>49910</v>
      </c>
      <c r="L50" s="33">
        <f t="shared" si="7"/>
        <v>49282</v>
      </c>
      <c r="M50" s="33">
        <f t="shared" si="7"/>
        <v>49282</v>
      </c>
      <c r="N50" s="33">
        <f t="shared" si="7"/>
        <v>50797</v>
      </c>
      <c r="O50" s="34">
        <f t="shared" si="6"/>
        <v>487951</v>
      </c>
    </row>
    <row r="51" spans="1:17" ht="15.75" thickBot="1" x14ac:dyDescent="0.25">
      <c r="A51" s="859" t="s">
        <v>161</v>
      </c>
      <c r="B51" s="860"/>
      <c r="C51" s="35">
        <f t="shared" ref="C51:N51" si="8">C37-C50</f>
        <v>73155</v>
      </c>
      <c r="D51" s="35">
        <f t="shared" si="8"/>
        <v>79963</v>
      </c>
      <c r="E51" s="35">
        <f t="shared" si="8"/>
        <v>75657</v>
      </c>
      <c r="F51" s="35">
        <f t="shared" si="8"/>
        <v>75657</v>
      </c>
      <c r="G51" s="35">
        <f t="shared" si="8"/>
        <v>63670</v>
      </c>
      <c r="H51" s="35">
        <f t="shared" si="8"/>
        <v>63670</v>
      </c>
      <c r="I51" s="35">
        <f t="shared" si="8"/>
        <v>63670</v>
      </c>
      <c r="J51" s="35">
        <f t="shared" si="8"/>
        <v>77170</v>
      </c>
      <c r="K51" s="35">
        <f t="shared" si="8"/>
        <v>58818</v>
      </c>
      <c r="L51" s="35">
        <f t="shared" si="8"/>
        <v>59446</v>
      </c>
      <c r="M51" s="35">
        <f t="shared" si="8"/>
        <v>59446</v>
      </c>
      <c r="N51" s="35">
        <f t="shared" si="8"/>
        <v>57931</v>
      </c>
      <c r="O51" s="36">
        <f t="shared" si="6"/>
        <v>808253</v>
      </c>
    </row>
    <row r="52" spans="1:17" x14ac:dyDescent="0.2">
      <c r="J52" s="128">
        <f>+J37-SUM(J22:J36)</f>
        <v>108728</v>
      </c>
      <c r="Q52" s="38"/>
    </row>
    <row r="53" spans="1:17" ht="13.5" thickBot="1" x14ac:dyDescent="0.25">
      <c r="J53" s="38">
        <f>+J52-J50</f>
        <v>65318</v>
      </c>
    </row>
    <row r="54" spans="1:17" ht="13.5" thickBot="1" x14ac:dyDescent="0.25">
      <c r="B54" s="789" t="s">
        <v>162</v>
      </c>
      <c r="C54" s="861"/>
      <c r="D54" s="861"/>
      <c r="E54" s="861"/>
      <c r="F54" s="862"/>
      <c r="G54" s="863">
        <f>O37</f>
        <v>1296204</v>
      </c>
      <c r="H54" s="864"/>
    </row>
    <row r="55" spans="1:17" ht="13.5" thickBot="1" x14ac:dyDescent="0.25"/>
    <row r="56" spans="1:17" x14ac:dyDescent="0.2">
      <c r="B56" s="830" t="s">
        <v>163</v>
      </c>
      <c r="C56" s="833" t="s">
        <v>164</v>
      </c>
      <c r="D56" s="836" t="s">
        <v>229</v>
      </c>
      <c r="E56" s="837"/>
      <c r="F56" s="838"/>
      <c r="G56" s="839">
        <v>40000</v>
      </c>
      <c r="H56" s="840"/>
    </row>
    <row r="57" spans="1:17" x14ac:dyDescent="0.2">
      <c r="B57" s="831"/>
      <c r="C57" s="834"/>
      <c r="D57" s="841" t="s">
        <v>166</v>
      </c>
      <c r="E57" s="842"/>
      <c r="F57" s="843"/>
      <c r="G57" s="844">
        <f>+O44</f>
        <v>2500</v>
      </c>
      <c r="H57" s="845"/>
      <c r="I57" s="39"/>
      <c r="J57" s="846"/>
      <c r="K57" s="846"/>
      <c r="L57" s="846"/>
      <c r="M57" s="847"/>
      <c r="N57" s="847"/>
      <c r="O57" s="847"/>
    </row>
    <row r="58" spans="1:17" ht="13.5" thickBot="1" x14ac:dyDescent="0.25">
      <c r="B58" s="832"/>
      <c r="C58" s="835"/>
      <c r="D58" s="848" t="s">
        <v>266</v>
      </c>
      <c r="E58" s="849"/>
      <c r="F58" s="850"/>
      <c r="G58" s="851">
        <v>0</v>
      </c>
      <c r="H58" s="852"/>
      <c r="J58" s="47"/>
      <c r="K58" s="47"/>
      <c r="L58" s="47"/>
      <c r="M58" s="47"/>
      <c r="N58" s="47"/>
      <c r="O58" s="47"/>
    </row>
    <row r="59" spans="1:17" ht="13.5" thickBot="1" x14ac:dyDescent="0.25">
      <c r="B59" s="48"/>
      <c r="J59" s="47"/>
      <c r="K59" s="47"/>
      <c r="L59" s="47"/>
      <c r="M59" s="47"/>
      <c r="N59" s="47"/>
      <c r="O59" s="47"/>
    </row>
    <row r="60" spans="1:17" ht="13.5" thickBot="1" x14ac:dyDescent="0.25">
      <c r="B60" s="789" t="s">
        <v>168</v>
      </c>
      <c r="C60" s="790"/>
      <c r="D60" s="790"/>
      <c r="E60" s="790"/>
      <c r="F60" s="791"/>
      <c r="G60" s="825">
        <f>+G54-SUM(G56:H58)</f>
        <v>1253704</v>
      </c>
      <c r="H60" s="826"/>
      <c r="J60" s="827" t="s">
        <v>169</v>
      </c>
      <c r="K60" s="828"/>
      <c r="L60" s="828"/>
      <c r="M60" s="828"/>
      <c r="N60" s="828"/>
      <c r="O60" s="829"/>
    </row>
    <row r="61" spans="1:17" ht="13.5" thickBot="1" x14ac:dyDescent="0.25">
      <c r="B61" s="49"/>
      <c r="C61" s="50"/>
      <c r="D61" s="50"/>
      <c r="E61" s="50"/>
      <c r="F61" s="50"/>
      <c r="G61" s="45"/>
      <c r="H61" s="50"/>
      <c r="J61" s="51"/>
      <c r="K61" s="52"/>
      <c r="L61" s="52"/>
      <c r="M61" s="52"/>
      <c r="N61" s="52"/>
      <c r="O61" s="53"/>
    </row>
    <row r="62" spans="1:17" ht="13.5" thickBot="1" x14ac:dyDescent="0.25">
      <c r="B62" s="789" t="s">
        <v>170</v>
      </c>
      <c r="C62" s="790"/>
      <c r="D62" s="790"/>
      <c r="E62" s="790"/>
      <c r="F62" s="791"/>
      <c r="G62" s="805"/>
      <c r="H62" s="791"/>
      <c r="J62" s="54"/>
      <c r="K62" s="55"/>
      <c r="L62" s="55"/>
      <c r="M62" s="55"/>
      <c r="N62" s="55"/>
      <c r="O62" s="56"/>
    </row>
    <row r="63" spans="1:17" ht="12.75" customHeight="1" x14ac:dyDescent="0.2">
      <c r="B63" s="57" t="s">
        <v>171</v>
      </c>
      <c r="C63" s="806" t="s">
        <v>172</v>
      </c>
      <c r="D63" s="807"/>
      <c r="E63" s="807"/>
      <c r="F63" s="808"/>
      <c r="G63" s="809">
        <v>0</v>
      </c>
      <c r="H63" s="809"/>
      <c r="I63" s="58"/>
      <c r="J63" s="810" t="s">
        <v>173</v>
      </c>
      <c r="K63" s="811"/>
      <c r="L63" s="811"/>
      <c r="M63" s="811"/>
      <c r="N63" s="811"/>
      <c r="O63" s="812"/>
      <c r="Q63" s="59"/>
    </row>
    <row r="64" spans="1:17" ht="13.5" thickBot="1" x14ac:dyDescent="0.25">
      <c r="D64" s="37"/>
      <c r="I64" s="58"/>
      <c r="J64" s="60" t="s">
        <v>254</v>
      </c>
      <c r="K64" s="61"/>
      <c r="L64" s="61"/>
      <c r="M64" s="61"/>
      <c r="N64" s="61"/>
      <c r="O64" s="62"/>
      <c r="Q64" s="59"/>
    </row>
    <row r="65" spans="2:17" ht="13.5" thickBot="1" x14ac:dyDescent="0.25">
      <c r="B65" s="789" t="s">
        <v>175</v>
      </c>
      <c r="C65" s="790"/>
      <c r="D65" s="790"/>
      <c r="E65" s="790"/>
      <c r="F65" s="791"/>
      <c r="G65" s="805">
        <f>+G60-G63</f>
        <v>1253704</v>
      </c>
      <c r="H65" s="791"/>
      <c r="I65" s="63"/>
      <c r="J65" s="64"/>
      <c r="K65" s="39"/>
      <c r="L65" s="39"/>
      <c r="M65" s="39"/>
      <c r="N65" s="39"/>
      <c r="O65" s="65"/>
      <c r="Q65" s="59"/>
    </row>
    <row r="66" spans="2:17" ht="12.75" customHeight="1" x14ac:dyDescent="0.2">
      <c r="B66" s="48"/>
      <c r="C66" s="48"/>
      <c r="I66" s="63"/>
      <c r="J66" s="64"/>
      <c r="K66" s="39"/>
      <c r="L66" s="39"/>
      <c r="M66" s="39"/>
      <c r="N66" s="39"/>
      <c r="O66" s="65"/>
      <c r="Q66" s="59"/>
    </row>
    <row r="67" spans="2:17" x14ac:dyDescent="0.2">
      <c r="B67" s="66" t="s">
        <v>176</v>
      </c>
      <c r="C67" s="48"/>
      <c r="I67" s="63"/>
      <c r="J67" s="67"/>
      <c r="K67" s="68"/>
      <c r="L67" s="68"/>
      <c r="M67" s="68"/>
      <c r="N67" s="68"/>
      <c r="O67" s="69"/>
      <c r="Q67" s="59"/>
    </row>
    <row r="68" spans="2:17" ht="26.25" customHeight="1" thickBot="1" x14ac:dyDescent="0.25">
      <c r="B68" s="66"/>
      <c r="C68" s="48"/>
      <c r="G68" s="70" t="s">
        <v>177</v>
      </c>
      <c r="H68" s="70" t="s">
        <v>178</v>
      </c>
      <c r="I68" s="63"/>
      <c r="J68" s="810" t="s">
        <v>179</v>
      </c>
      <c r="K68" s="811"/>
      <c r="L68" s="71"/>
      <c r="M68" s="71"/>
      <c r="N68" s="71"/>
      <c r="O68" s="72"/>
      <c r="Q68" s="59"/>
    </row>
    <row r="69" spans="2:17" ht="12.75" customHeight="1" x14ac:dyDescent="0.2">
      <c r="B69" s="802" t="s">
        <v>180</v>
      </c>
      <c r="C69" s="821" t="s">
        <v>181</v>
      </c>
      <c r="D69" s="823" t="s">
        <v>182</v>
      </c>
      <c r="E69" s="824"/>
      <c r="F69" s="824"/>
      <c r="G69" s="73">
        <f>+O43</f>
        <v>300000</v>
      </c>
      <c r="H69" s="74">
        <f t="shared" ref="H69:H77" si="9">+G69</f>
        <v>300000</v>
      </c>
      <c r="I69" s="63"/>
      <c r="J69" s="75" t="s">
        <v>231</v>
      </c>
      <c r="K69" s="58"/>
      <c r="L69" s="58"/>
      <c r="M69" s="58"/>
      <c r="N69" s="58"/>
      <c r="O69" s="76">
        <f>+O48</f>
        <v>30000</v>
      </c>
      <c r="Q69" s="59"/>
    </row>
    <row r="70" spans="2:17" ht="12.75" customHeight="1" x14ac:dyDescent="0.2">
      <c r="B70" s="803"/>
      <c r="C70" s="822"/>
      <c r="D70" s="782" t="s">
        <v>184</v>
      </c>
      <c r="E70" s="783"/>
      <c r="F70" s="783"/>
      <c r="G70" s="77">
        <f>+O48</f>
        <v>30000</v>
      </c>
      <c r="H70" s="78">
        <f t="shared" si="9"/>
        <v>30000</v>
      </c>
      <c r="I70" s="63"/>
      <c r="J70" s="79"/>
      <c r="K70" s="68"/>
      <c r="L70" s="68"/>
      <c r="M70" s="68"/>
      <c r="N70" s="68"/>
      <c r="O70" s="69"/>
      <c r="Q70" s="59"/>
    </row>
    <row r="71" spans="2:17" ht="12.75" customHeight="1" x14ac:dyDescent="0.2">
      <c r="B71" s="803"/>
      <c r="C71" s="822"/>
      <c r="D71" s="819" t="s">
        <v>185</v>
      </c>
      <c r="E71" s="820"/>
      <c r="F71" s="820"/>
      <c r="G71" s="80">
        <f>O40</f>
        <v>720</v>
      </c>
      <c r="H71" s="78">
        <f t="shared" si="9"/>
        <v>720</v>
      </c>
      <c r="I71" s="63"/>
      <c r="J71" s="67"/>
      <c r="K71" s="68"/>
      <c r="L71" s="68"/>
      <c r="M71" s="68"/>
      <c r="N71" s="68"/>
      <c r="O71" s="69"/>
    </row>
    <row r="72" spans="2:17" x14ac:dyDescent="0.2">
      <c r="B72" s="803"/>
      <c r="C72" s="822"/>
      <c r="D72" s="782" t="s">
        <v>186</v>
      </c>
      <c r="E72" s="783"/>
      <c r="F72" s="783"/>
      <c r="G72" s="81">
        <v>0</v>
      </c>
      <c r="H72" s="78">
        <f t="shared" si="9"/>
        <v>0</v>
      </c>
      <c r="I72" s="63"/>
      <c r="J72" s="82" t="s">
        <v>187</v>
      </c>
      <c r="K72" s="71"/>
      <c r="L72" s="71"/>
      <c r="M72" s="71"/>
      <c r="N72" s="71"/>
      <c r="O72" s="72"/>
    </row>
    <row r="73" spans="2:17" ht="12.75" customHeight="1" x14ac:dyDescent="0.2">
      <c r="B73" s="803"/>
      <c r="C73" s="822"/>
      <c r="D73" s="784" t="s">
        <v>188</v>
      </c>
      <c r="E73" s="783"/>
      <c r="F73" s="783"/>
      <c r="G73" s="80">
        <v>0</v>
      </c>
      <c r="H73" s="78">
        <f t="shared" si="9"/>
        <v>0</v>
      </c>
      <c r="I73" s="63"/>
      <c r="J73" s="75" t="s">
        <v>189</v>
      </c>
      <c r="K73" s="50"/>
      <c r="L73" s="50"/>
      <c r="M73" s="50"/>
      <c r="N73" s="50"/>
      <c r="O73" s="83">
        <f>O42</f>
        <v>7800</v>
      </c>
    </row>
    <row r="74" spans="2:17" ht="14.25" customHeight="1" x14ac:dyDescent="0.2">
      <c r="B74" s="803"/>
      <c r="C74" s="822"/>
      <c r="D74" s="782" t="s">
        <v>190</v>
      </c>
      <c r="E74" s="783"/>
      <c r="F74" s="783"/>
      <c r="G74" s="84">
        <v>0</v>
      </c>
      <c r="H74" s="78">
        <f t="shared" si="9"/>
        <v>0</v>
      </c>
      <c r="I74" s="63"/>
      <c r="J74" s="64"/>
      <c r="K74" s="39"/>
      <c r="L74" s="39"/>
      <c r="M74" s="39"/>
      <c r="N74" s="39"/>
      <c r="O74" s="65"/>
    </row>
    <row r="75" spans="2:17" x14ac:dyDescent="0.2">
      <c r="B75" s="803"/>
      <c r="C75" s="822"/>
      <c r="D75" s="782" t="s">
        <v>191</v>
      </c>
      <c r="E75" s="783"/>
      <c r="F75" s="783"/>
      <c r="G75" s="81">
        <v>0</v>
      </c>
      <c r="H75" s="78">
        <f t="shared" si="9"/>
        <v>0</v>
      </c>
      <c r="I75" s="58"/>
      <c r="J75" s="85"/>
      <c r="K75" s="63"/>
      <c r="L75" s="63"/>
      <c r="M75" s="63"/>
      <c r="N75" s="63"/>
      <c r="O75" s="86"/>
    </row>
    <row r="76" spans="2:17" x14ac:dyDescent="0.2">
      <c r="B76" s="803"/>
      <c r="C76" s="88" t="s">
        <v>192</v>
      </c>
      <c r="D76" s="813" t="s">
        <v>193</v>
      </c>
      <c r="E76" s="814"/>
      <c r="F76" s="814"/>
      <c r="G76" s="80">
        <v>0</v>
      </c>
      <c r="H76" s="78">
        <f t="shared" si="9"/>
        <v>0</v>
      </c>
      <c r="I76" s="58"/>
      <c r="J76" s="60"/>
      <c r="K76" s="68"/>
      <c r="L76" s="68"/>
      <c r="M76" s="50"/>
      <c r="N76" s="50"/>
      <c r="O76" s="83"/>
    </row>
    <row r="77" spans="2:17" ht="13.5" customHeight="1" thickBot="1" x14ac:dyDescent="0.25">
      <c r="B77" s="803"/>
      <c r="C77" s="88" t="s">
        <v>194</v>
      </c>
      <c r="D77" s="815" t="s">
        <v>195</v>
      </c>
      <c r="E77" s="815"/>
      <c r="F77" s="815"/>
      <c r="G77" s="89">
        <v>0</v>
      </c>
      <c r="H77" s="90">
        <f t="shared" si="9"/>
        <v>0</v>
      </c>
      <c r="I77" s="63"/>
      <c r="J77" s="75"/>
      <c r="K77" s="68"/>
      <c r="L77" s="68"/>
      <c r="M77" s="91"/>
      <c r="N77" s="91"/>
      <c r="O77" s="92"/>
    </row>
    <row r="78" spans="2:17" ht="13.5" thickBot="1" x14ac:dyDescent="0.25">
      <c r="B78" s="803"/>
      <c r="C78" s="93"/>
      <c r="D78" s="94"/>
      <c r="E78" s="816" t="s">
        <v>117</v>
      </c>
      <c r="F78" s="817"/>
      <c r="G78" s="95">
        <f>SUM(G69:G77)</f>
        <v>330720</v>
      </c>
      <c r="H78" s="96">
        <f>IF(SUM(G69:G75)&lt;150000,SUM(G69:G75),150000)+IF(+G76&lt;20000,+G76,20000)</f>
        <v>150000</v>
      </c>
      <c r="I78" s="63"/>
      <c r="J78" s="97"/>
      <c r="K78" s="98"/>
      <c r="L78" s="98"/>
      <c r="M78" s="98"/>
      <c r="N78" s="98"/>
      <c r="O78" s="99"/>
    </row>
    <row r="79" spans="2:17" ht="12.75" customHeight="1" x14ac:dyDescent="0.2">
      <c r="B79" s="803"/>
      <c r="C79" s="100" t="s">
        <v>196</v>
      </c>
      <c r="D79" s="782" t="s">
        <v>187</v>
      </c>
      <c r="E79" s="783"/>
      <c r="F79" s="818"/>
      <c r="G79" s="73">
        <f>+O42</f>
        <v>7800</v>
      </c>
      <c r="H79" s="101">
        <f>+IF(+G79&lt;25000,+G79,25000)</f>
        <v>7800</v>
      </c>
      <c r="I79" s="87"/>
    </row>
    <row r="80" spans="2:17" x14ac:dyDescent="0.2">
      <c r="B80" s="803"/>
      <c r="C80" s="100" t="s">
        <v>197</v>
      </c>
      <c r="D80" s="784" t="s">
        <v>198</v>
      </c>
      <c r="E80" s="785"/>
      <c r="F80" s="786"/>
      <c r="G80" s="102"/>
      <c r="H80" s="103">
        <f>+IF(+G80&lt;40000,+G80,40000)</f>
        <v>0</v>
      </c>
      <c r="I80" s="63"/>
    </row>
    <row r="81" spans="2:12" x14ac:dyDescent="0.2">
      <c r="B81" s="803"/>
      <c r="C81" s="100" t="s">
        <v>199</v>
      </c>
      <c r="D81" s="784" t="s">
        <v>200</v>
      </c>
      <c r="E81" s="785"/>
      <c r="F81" s="786"/>
      <c r="G81" s="81"/>
      <c r="H81" s="104">
        <v>0</v>
      </c>
      <c r="I81" s="63"/>
      <c r="J81" s="106"/>
    </row>
    <row r="82" spans="2:12" x14ac:dyDescent="0.2">
      <c r="B82" s="803"/>
      <c r="C82" s="100" t="s">
        <v>201</v>
      </c>
      <c r="D82" s="784" t="s">
        <v>202</v>
      </c>
      <c r="E82" s="785"/>
      <c r="F82" s="786"/>
      <c r="G82" s="81"/>
      <c r="H82" s="104">
        <v>0</v>
      </c>
      <c r="I82" s="63"/>
    </row>
    <row r="83" spans="2:12" ht="13.5" thickBot="1" x14ac:dyDescent="0.25">
      <c r="B83" s="804"/>
      <c r="C83" s="100" t="s">
        <v>203</v>
      </c>
      <c r="D83" s="784" t="s">
        <v>204</v>
      </c>
      <c r="E83" s="785"/>
      <c r="F83" s="786"/>
      <c r="G83" s="102"/>
      <c r="H83" s="103">
        <f>+IF(+G83&lt;100000,+G83,10000)</f>
        <v>0</v>
      </c>
      <c r="I83" s="63"/>
    </row>
    <row r="84" spans="2:12" ht="13.5" thickBot="1" x14ac:dyDescent="0.25">
      <c r="B84" s="787" t="s">
        <v>205</v>
      </c>
      <c r="C84" s="788"/>
      <c r="D84" s="788"/>
      <c r="E84" s="788"/>
      <c r="F84" s="788"/>
      <c r="G84" s="107">
        <f>SUM(G79:G83)</f>
        <v>7800</v>
      </c>
      <c r="H84" s="108">
        <f>SUM(H78:H83)</f>
        <v>157800</v>
      </c>
    </row>
    <row r="85" spans="2:12" ht="13.5" thickBot="1" x14ac:dyDescent="0.25"/>
    <row r="86" spans="2:12" ht="13.5" thickBot="1" x14ac:dyDescent="0.25">
      <c r="B86" s="789" t="s">
        <v>206</v>
      </c>
      <c r="C86" s="790"/>
      <c r="D86" s="790"/>
      <c r="E86" s="790"/>
      <c r="F86" s="791"/>
      <c r="G86" s="792">
        <f>+G65-H84</f>
        <v>1095904</v>
      </c>
      <c r="H86" s="791"/>
      <c r="J86" s="105">
        <f>C37+D37+E37+F37</f>
        <v>419472</v>
      </c>
      <c r="K86" s="16" t="s">
        <v>235</v>
      </c>
    </row>
    <row r="87" spans="2:12" x14ac:dyDescent="0.2">
      <c r="B87" s="110"/>
      <c r="F87" s="105"/>
      <c r="J87" s="105">
        <f>G37+H37+I37</f>
        <v>321240</v>
      </c>
      <c r="K87" s="16" t="s">
        <v>236</v>
      </c>
      <c r="L87" s="16">
        <f>+J87/3</f>
        <v>107080</v>
      </c>
    </row>
    <row r="88" spans="2:12" x14ac:dyDescent="0.2">
      <c r="C88" s="793" t="s">
        <v>207</v>
      </c>
      <c r="D88" s="794"/>
      <c r="E88" s="111" t="s">
        <v>208</v>
      </c>
      <c r="F88" s="111" t="s">
        <v>209</v>
      </c>
      <c r="G88" s="111" t="s">
        <v>210</v>
      </c>
      <c r="H88" s="111" t="s">
        <v>211</v>
      </c>
      <c r="J88" s="213">
        <f>J37+K37+L37</f>
        <v>338036</v>
      </c>
      <c r="K88" s="47" t="s">
        <v>237</v>
      </c>
    </row>
    <row r="89" spans="2:12" x14ac:dyDescent="0.2">
      <c r="C89" s="795" t="str">
        <f>IF(I6="M","0          - 250000","0          -  250000")</f>
        <v>0          - 250000</v>
      </c>
      <c r="D89" s="796"/>
      <c r="E89" s="112">
        <v>0</v>
      </c>
      <c r="F89" s="113">
        <f>IF(I6="M",(IF(G86&lt;250000,G86,250000)),(IF(G86&lt;250000,G86,250000)))</f>
        <v>250000</v>
      </c>
      <c r="G89" s="113">
        <f>G86-F89</f>
        <v>845904</v>
      </c>
      <c r="H89" s="113">
        <f>E89*F89</f>
        <v>0</v>
      </c>
      <c r="J89" s="207">
        <f>M37+N37</f>
        <v>217456</v>
      </c>
      <c r="K89" s="1" t="s">
        <v>238</v>
      </c>
    </row>
    <row r="90" spans="2:12" x14ac:dyDescent="0.2">
      <c r="C90" s="795" t="str">
        <f>IF(I6="M","250001 - 500000","250001-500000")</f>
        <v>250001 - 500000</v>
      </c>
      <c r="D90" s="796"/>
      <c r="E90" s="112">
        <v>0.05</v>
      </c>
      <c r="F90" s="113">
        <f>IF(I6="M",(IF(G88&lt;250000,G88,250000)),(IF(G88&lt;250000,G88,250000)))</f>
        <v>250000</v>
      </c>
      <c r="G90" s="113">
        <f>G89-F90</f>
        <v>595904</v>
      </c>
      <c r="H90" s="114">
        <f>ROUND(E90*F90,0.1)</f>
        <v>12500</v>
      </c>
      <c r="J90" s="115">
        <f>SUM(J86:J89)</f>
        <v>1296204</v>
      </c>
    </row>
    <row r="91" spans="2:12" x14ac:dyDescent="0.2">
      <c r="C91" s="797" t="s">
        <v>212</v>
      </c>
      <c r="D91" s="798"/>
      <c r="E91" s="112">
        <v>0.2</v>
      </c>
      <c r="F91" s="113">
        <f>IF(G90&lt;500000,G90,500000)</f>
        <v>500000</v>
      </c>
      <c r="G91" s="113">
        <f>G90-F91</f>
        <v>95904</v>
      </c>
      <c r="H91" s="114">
        <f>ROUND(E91*F91,0.1)</f>
        <v>100000</v>
      </c>
      <c r="J91" s="16">
        <f>+G86</f>
        <v>1095904</v>
      </c>
    </row>
    <row r="92" spans="2:12" x14ac:dyDescent="0.2">
      <c r="C92" s="795" t="s">
        <v>213</v>
      </c>
      <c r="D92" s="796"/>
      <c r="E92" s="112">
        <v>0.3</v>
      </c>
      <c r="F92" s="113">
        <f>G91</f>
        <v>95904</v>
      </c>
      <c r="G92" s="113">
        <f>G91-F92</f>
        <v>0</v>
      </c>
      <c r="H92" s="114">
        <f>ROUND(E92*F92,0.1)</f>
        <v>28771</v>
      </c>
      <c r="J92" s="16">
        <f>+J90-J91</f>
        <v>200300</v>
      </c>
    </row>
    <row r="93" spans="2:12" ht="12.75" customHeight="1" thickBot="1" x14ac:dyDescent="0.25">
      <c r="B93" s="116"/>
      <c r="C93" s="117"/>
      <c r="D93" s="47"/>
      <c r="E93" s="47"/>
      <c r="F93" s="47"/>
      <c r="J93" s="87"/>
      <c r="K93" s="118"/>
    </row>
    <row r="94" spans="2:12" ht="13.5" thickBot="1" x14ac:dyDescent="0.25">
      <c r="B94" s="799" t="s">
        <v>239</v>
      </c>
      <c r="C94" s="800"/>
      <c r="D94" s="800"/>
      <c r="E94" s="800"/>
      <c r="F94" s="801"/>
      <c r="G94" s="771">
        <f>H89+H90+H91+H92</f>
        <v>141271</v>
      </c>
      <c r="H94" s="772"/>
    </row>
    <row r="95" spans="2:12" ht="13.5" thickBot="1" x14ac:dyDescent="0.25">
      <c r="B95" s="119" t="s">
        <v>215</v>
      </c>
      <c r="C95" s="120"/>
      <c r="D95" s="120"/>
      <c r="E95" s="120"/>
      <c r="F95" s="120"/>
      <c r="G95" s="884">
        <f>IF((G65&lt;500000),5000,0)</f>
        <v>0</v>
      </c>
      <c r="H95" s="885">
        <f>IF(H93&lt;200000,0,IF(H93&lt;220000,((H93-200000)*10%),IF(H93&lt;=500000,2000,IF(H93&gt;=500000,0))))</f>
        <v>0</v>
      </c>
      <c r="J95" s="1"/>
      <c r="K95" s="121"/>
      <c r="L95" s="121"/>
    </row>
    <row r="96" spans="2:12" ht="13.5" thickBot="1" x14ac:dyDescent="0.25">
      <c r="B96" s="122" t="s">
        <v>216</v>
      </c>
      <c r="C96" s="123"/>
      <c r="D96" s="123"/>
      <c r="E96" s="123"/>
      <c r="F96" s="123"/>
      <c r="G96" s="771">
        <f>IF((G94-G95)&lt;0,0,(G94-G95))</f>
        <v>141271</v>
      </c>
      <c r="H96" s="772"/>
      <c r="I96" s="37"/>
    </row>
    <row r="97" spans="2:9" ht="13.5" thickBot="1" x14ac:dyDescent="0.25">
      <c r="B97" s="773" t="s">
        <v>240</v>
      </c>
      <c r="C97" s="774"/>
      <c r="D97" s="774"/>
      <c r="E97" s="774"/>
      <c r="F97" s="775"/>
      <c r="G97" s="776">
        <f>ROUND((IF(G96&gt;0,(G96*4%),0)),0)</f>
        <v>5651</v>
      </c>
      <c r="H97" s="777"/>
      <c r="I97" s="37"/>
    </row>
    <row r="98" spans="2:9" ht="13.5" thickBot="1" x14ac:dyDescent="0.25">
      <c r="B98" s="778" t="s">
        <v>218</v>
      </c>
      <c r="C98" s="779"/>
      <c r="D98" s="779"/>
      <c r="E98" s="779"/>
      <c r="F98" s="779"/>
      <c r="G98" s="780">
        <f>G96+G97</f>
        <v>146922</v>
      </c>
      <c r="H98" s="781"/>
      <c r="I98" s="121"/>
    </row>
    <row r="99" spans="2:9" ht="13.5" thickBot="1" x14ac:dyDescent="0.25">
      <c r="B99" s="765" t="s">
        <v>219</v>
      </c>
      <c r="C99" s="766"/>
      <c r="D99" s="766"/>
      <c r="E99" s="766"/>
      <c r="F99" s="766"/>
      <c r="G99" s="767">
        <f>O38</f>
        <v>146931</v>
      </c>
      <c r="H99" s="768"/>
      <c r="I99" s="121"/>
    </row>
    <row r="100" spans="2:9" ht="13.5" thickBot="1" x14ac:dyDescent="0.25">
      <c r="B100" s="765" t="str">
        <f>IF(G100&gt;0,"TAX PAYABLE","TAX REFUND")</f>
        <v>TAX REFUND</v>
      </c>
      <c r="C100" s="766"/>
      <c r="D100" s="766"/>
      <c r="E100" s="766"/>
      <c r="F100" s="766"/>
      <c r="G100" s="767">
        <f>+G98-G99</f>
        <v>-9</v>
      </c>
      <c r="H100" s="768"/>
      <c r="I100" s="37"/>
    </row>
    <row r="101" spans="2:9" x14ac:dyDescent="0.2">
      <c r="C101" s="124"/>
      <c r="D101" s="45"/>
      <c r="E101" s="118"/>
      <c r="F101" s="118"/>
      <c r="G101" s="118"/>
      <c r="H101" s="118"/>
      <c r="I101" s="125"/>
    </row>
    <row r="102" spans="2:9" x14ac:dyDescent="0.2">
      <c r="C102" s="47"/>
      <c r="D102" s="50"/>
      <c r="E102" s="117"/>
      <c r="F102" s="47"/>
      <c r="G102" s="47"/>
      <c r="H102" s="47"/>
      <c r="I102" s="125"/>
    </row>
    <row r="103" spans="2:9" x14ac:dyDescent="0.2">
      <c r="C103" s="39"/>
      <c r="D103" s="126"/>
      <c r="E103" s="126"/>
      <c r="F103" s="126"/>
      <c r="G103" s="39"/>
      <c r="H103" s="39"/>
      <c r="I103" s="37"/>
    </row>
    <row r="104" spans="2:9" x14ac:dyDescent="0.2">
      <c r="C104" s="39"/>
      <c r="D104" s="126"/>
      <c r="E104" s="126"/>
      <c r="F104" s="39"/>
      <c r="G104" s="39"/>
      <c r="H104" s="39"/>
      <c r="I104" s="37"/>
    </row>
    <row r="105" spans="2:9" x14ac:dyDescent="0.2">
      <c r="C105" s="39"/>
      <c r="D105" s="126"/>
      <c r="E105" s="126"/>
      <c r="F105" s="39"/>
      <c r="G105" s="39"/>
      <c r="H105" s="39"/>
      <c r="I105" s="37"/>
    </row>
    <row r="106" spans="2:9" x14ac:dyDescent="0.2">
      <c r="C106" s="39"/>
      <c r="D106" s="39"/>
      <c r="E106" s="39"/>
      <c r="F106" s="39"/>
      <c r="G106" s="39"/>
      <c r="H106" s="39"/>
      <c r="I106" s="37"/>
    </row>
    <row r="107" spans="2:9" x14ac:dyDescent="0.2">
      <c r="C107" s="39"/>
      <c r="D107" s="39"/>
      <c r="E107" s="39"/>
      <c r="F107" s="39"/>
      <c r="G107" s="39"/>
      <c r="H107" s="39"/>
    </row>
    <row r="108" spans="2:9" x14ac:dyDescent="0.2">
      <c r="C108" s="39"/>
      <c r="D108" s="39"/>
      <c r="E108" s="39"/>
      <c r="F108" s="39"/>
      <c r="G108" s="39"/>
      <c r="H108"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9"/>
    <mergeCell ref="A50:B50"/>
    <mergeCell ref="A51:B51"/>
    <mergeCell ref="B54:F54"/>
    <mergeCell ref="G54:H54"/>
    <mergeCell ref="B60:F60"/>
    <mergeCell ref="G60:H60"/>
    <mergeCell ref="J60:O60"/>
    <mergeCell ref="B56:B58"/>
    <mergeCell ref="C56:C58"/>
    <mergeCell ref="D56:F56"/>
    <mergeCell ref="G56:H56"/>
    <mergeCell ref="D57:F57"/>
    <mergeCell ref="G57:H57"/>
    <mergeCell ref="J57:L57"/>
    <mergeCell ref="M57:O57"/>
    <mergeCell ref="D58:F58"/>
    <mergeCell ref="G58:H58"/>
    <mergeCell ref="J63:O63"/>
    <mergeCell ref="D81:F81"/>
    <mergeCell ref="J68:K68"/>
    <mergeCell ref="B65:F65"/>
    <mergeCell ref="G65:H65"/>
    <mergeCell ref="D76:F76"/>
    <mergeCell ref="D77:F77"/>
    <mergeCell ref="E78:F78"/>
    <mergeCell ref="D79:F79"/>
    <mergeCell ref="D80:F80"/>
    <mergeCell ref="D71:F71"/>
    <mergeCell ref="D72:F72"/>
    <mergeCell ref="C69:C75"/>
    <mergeCell ref="D69:F69"/>
    <mergeCell ref="D70:F70"/>
    <mergeCell ref="D74:F74"/>
    <mergeCell ref="G62:H62"/>
    <mergeCell ref="C63:F63"/>
    <mergeCell ref="G63:H63"/>
    <mergeCell ref="B62:F62"/>
    <mergeCell ref="D73:F73"/>
    <mergeCell ref="D75:F75"/>
    <mergeCell ref="G94:H94"/>
    <mergeCell ref="D82:F82"/>
    <mergeCell ref="D83:F83"/>
    <mergeCell ref="B84:F84"/>
    <mergeCell ref="B86:F86"/>
    <mergeCell ref="G86:H86"/>
    <mergeCell ref="C88:D88"/>
    <mergeCell ref="C89:D89"/>
    <mergeCell ref="C90:D90"/>
    <mergeCell ref="C91:D91"/>
    <mergeCell ref="C92:D92"/>
    <mergeCell ref="B94:F94"/>
    <mergeCell ref="B69:B83"/>
    <mergeCell ref="B100:F100"/>
    <mergeCell ref="G100:H100"/>
    <mergeCell ref="G95:H95"/>
    <mergeCell ref="G96:H96"/>
    <mergeCell ref="B97:F97"/>
    <mergeCell ref="G97:H97"/>
    <mergeCell ref="B98:F98"/>
    <mergeCell ref="G98:H98"/>
    <mergeCell ref="B99:F99"/>
    <mergeCell ref="G99:H99"/>
  </mergeCells>
  <conditionalFormatting sqref="B100:F100 B94:F98">
    <cfRule type="cellIs" dxfId="2067" priority="3" stopIfTrue="1" operator="equal">
      <formula>"TAX PAYABLE"</formula>
    </cfRule>
    <cfRule type="cellIs" dxfId="2066" priority="4" stopIfTrue="1" operator="equal">
      <formula>"TAX REFUND"</formula>
    </cfRule>
  </conditionalFormatting>
  <conditionalFormatting sqref="G100:H100">
    <cfRule type="cellIs" dxfId="2065" priority="1" stopIfTrue="1" operator="greaterThan">
      <formula>0</formula>
    </cfRule>
    <cfRule type="cellIs" dxfId="2064"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8"/>
  <sheetViews>
    <sheetView topLeftCell="A59" zoomScaleNormal="100" workbookViewId="0">
      <selection activeCell="G99" sqref="G99:H99"/>
    </sheetView>
  </sheetViews>
  <sheetFormatPr defaultRowHeight="12.75" x14ac:dyDescent="0.2"/>
  <cols>
    <col min="1" max="1" width="5" style="16" customWidth="1"/>
    <col min="2" max="2" width="18.85546875" style="37" customWidth="1"/>
    <col min="3" max="3" width="10.7109375" style="16" bestFit="1" customWidth="1"/>
    <col min="4" max="4" width="8" style="16" customWidth="1"/>
    <col min="5" max="5" width="7.28515625" style="16" customWidth="1"/>
    <col min="6" max="6" width="7.7109375" style="16" customWidth="1"/>
    <col min="7" max="7" width="8.7109375" style="16" customWidth="1"/>
    <col min="8" max="8" width="8.140625" style="16" customWidth="1"/>
    <col min="9" max="9" width="7.140625" style="16" customWidth="1"/>
    <col min="10" max="10" width="7.85546875" style="16" customWidth="1"/>
    <col min="11" max="12" width="7" style="16" customWidth="1"/>
    <col min="13" max="13" width="6.85546875" style="16" customWidth="1"/>
    <col min="14" max="14" width="7" style="16" customWidth="1"/>
    <col min="15" max="15" width="7.14062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8.85546875" style="16" customWidth="1"/>
    <col min="259" max="259" width="10.7109375" style="16" bestFit="1" customWidth="1"/>
    <col min="260" max="260" width="8" style="16" customWidth="1"/>
    <col min="261" max="261" width="7.28515625" style="16" customWidth="1"/>
    <col min="262" max="262" width="7.7109375" style="16" customWidth="1"/>
    <col min="263" max="263" width="8.7109375" style="16" customWidth="1"/>
    <col min="264" max="264" width="8.140625" style="16" customWidth="1"/>
    <col min="265" max="265" width="7.140625" style="16" customWidth="1"/>
    <col min="266" max="266" width="7.85546875" style="16" customWidth="1"/>
    <col min="267" max="268" width="7" style="16" customWidth="1"/>
    <col min="269" max="269" width="6.85546875" style="16" customWidth="1"/>
    <col min="270" max="270" width="7" style="16" customWidth="1"/>
    <col min="271" max="271" width="7.14062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8.85546875" style="16" customWidth="1"/>
    <col min="515" max="515" width="10.7109375" style="16" bestFit="1" customWidth="1"/>
    <col min="516" max="516" width="8" style="16" customWidth="1"/>
    <col min="517" max="517" width="7.28515625" style="16" customWidth="1"/>
    <col min="518" max="518" width="7.7109375" style="16" customWidth="1"/>
    <col min="519" max="519" width="8.7109375" style="16" customWidth="1"/>
    <col min="520" max="520" width="8.140625" style="16" customWidth="1"/>
    <col min="521" max="521" width="7.140625" style="16" customWidth="1"/>
    <col min="522" max="522" width="7.85546875" style="16" customWidth="1"/>
    <col min="523" max="524" width="7" style="16" customWidth="1"/>
    <col min="525" max="525" width="6.85546875" style="16" customWidth="1"/>
    <col min="526" max="526" width="7" style="16" customWidth="1"/>
    <col min="527" max="527" width="7.14062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8.85546875" style="16" customWidth="1"/>
    <col min="771" max="771" width="10.7109375" style="16" bestFit="1" customWidth="1"/>
    <col min="772" max="772" width="8" style="16" customWidth="1"/>
    <col min="773" max="773" width="7.28515625" style="16" customWidth="1"/>
    <col min="774" max="774" width="7.7109375" style="16" customWidth="1"/>
    <col min="775" max="775" width="8.7109375" style="16" customWidth="1"/>
    <col min="776" max="776" width="8.140625" style="16" customWidth="1"/>
    <col min="777" max="777" width="7.140625" style="16" customWidth="1"/>
    <col min="778" max="778" width="7.85546875" style="16" customWidth="1"/>
    <col min="779" max="780" width="7" style="16" customWidth="1"/>
    <col min="781" max="781" width="6.85546875" style="16" customWidth="1"/>
    <col min="782" max="782" width="7" style="16" customWidth="1"/>
    <col min="783" max="783" width="7.14062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8.85546875" style="16" customWidth="1"/>
    <col min="1027" max="1027" width="10.7109375" style="16" bestFit="1" customWidth="1"/>
    <col min="1028" max="1028" width="8" style="16" customWidth="1"/>
    <col min="1029" max="1029" width="7.28515625" style="16" customWidth="1"/>
    <col min="1030" max="1030" width="7.7109375" style="16" customWidth="1"/>
    <col min="1031" max="1031" width="8.7109375" style="16" customWidth="1"/>
    <col min="1032" max="1032" width="8.140625" style="16" customWidth="1"/>
    <col min="1033" max="1033" width="7.140625" style="16" customWidth="1"/>
    <col min="1034" max="1034" width="7.85546875" style="16" customWidth="1"/>
    <col min="1035" max="1036" width="7" style="16" customWidth="1"/>
    <col min="1037" max="1037" width="6.85546875" style="16" customWidth="1"/>
    <col min="1038" max="1038" width="7" style="16" customWidth="1"/>
    <col min="1039" max="1039" width="7.14062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8.85546875" style="16" customWidth="1"/>
    <col min="1283" max="1283" width="10.7109375" style="16" bestFit="1" customWidth="1"/>
    <col min="1284" max="1284" width="8" style="16" customWidth="1"/>
    <col min="1285" max="1285" width="7.28515625" style="16" customWidth="1"/>
    <col min="1286" max="1286" width="7.7109375" style="16" customWidth="1"/>
    <col min="1287" max="1287" width="8.7109375" style="16" customWidth="1"/>
    <col min="1288" max="1288" width="8.140625" style="16" customWidth="1"/>
    <col min="1289" max="1289" width="7.140625" style="16" customWidth="1"/>
    <col min="1290" max="1290" width="7.85546875" style="16" customWidth="1"/>
    <col min="1291" max="1292" width="7" style="16" customWidth="1"/>
    <col min="1293" max="1293" width="6.85546875" style="16" customWidth="1"/>
    <col min="1294" max="1294" width="7" style="16" customWidth="1"/>
    <col min="1295" max="1295" width="7.14062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8.85546875" style="16" customWidth="1"/>
    <col min="1539" max="1539" width="10.7109375" style="16" bestFit="1" customWidth="1"/>
    <col min="1540" max="1540" width="8" style="16" customWidth="1"/>
    <col min="1541" max="1541" width="7.28515625" style="16" customWidth="1"/>
    <col min="1542" max="1542" width="7.7109375" style="16" customWidth="1"/>
    <col min="1543" max="1543" width="8.7109375" style="16" customWidth="1"/>
    <col min="1544" max="1544" width="8.140625" style="16" customWidth="1"/>
    <col min="1545" max="1545" width="7.140625" style="16" customWidth="1"/>
    <col min="1546" max="1546" width="7.85546875" style="16" customWidth="1"/>
    <col min="1547" max="1548" width="7" style="16" customWidth="1"/>
    <col min="1549" max="1549" width="6.85546875" style="16" customWidth="1"/>
    <col min="1550" max="1550" width="7" style="16" customWidth="1"/>
    <col min="1551" max="1551" width="7.14062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8.85546875" style="16" customWidth="1"/>
    <col min="1795" max="1795" width="10.7109375" style="16" bestFit="1" customWidth="1"/>
    <col min="1796" max="1796" width="8" style="16" customWidth="1"/>
    <col min="1797" max="1797" width="7.28515625" style="16" customWidth="1"/>
    <col min="1798" max="1798" width="7.7109375" style="16" customWidth="1"/>
    <col min="1799" max="1799" width="8.7109375" style="16" customWidth="1"/>
    <col min="1800" max="1800" width="8.140625" style="16" customWidth="1"/>
    <col min="1801" max="1801" width="7.140625" style="16" customWidth="1"/>
    <col min="1802" max="1802" width="7.85546875" style="16" customWidth="1"/>
    <col min="1803" max="1804" width="7" style="16" customWidth="1"/>
    <col min="1805" max="1805" width="6.85546875" style="16" customWidth="1"/>
    <col min="1806" max="1806" width="7" style="16" customWidth="1"/>
    <col min="1807" max="1807" width="7.14062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8.85546875" style="16" customWidth="1"/>
    <col min="2051" max="2051" width="10.7109375" style="16" bestFit="1" customWidth="1"/>
    <col min="2052" max="2052" width="8" style="16" customWidth="1"/>
    <col min="2053" max="2053" width="7.28515625" style="16" customWidth="1"/>
    <col min="2054" max="2054" width="7.7109375" style="16" customWidth="1"/>
    <col min="2055" max="2055" width="8.7109375" style="16" customWidth="1"/>
    <col min="2056" max="2056" width="8.140625" style="16" customWidth="1"/>
    <col min="2057" max="2057" width="7.140625" style="16" customWidth="1"/>
    <col min="2058" max="2058" width="7.85546875" style="16" customWidth="1"/>
    <col min="2059" max="2060" width="7" style="16" customWidth="1"/>
    <col min="2061" max="2061" width="6.85546875" style="16" customWidth="1"/>
    <col min="2062" max="2062" width="7" style="16" customWidth="1"/>
    <col min="2063" max="2063" width="7.14062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8.85546875" style="16" customWidth="1"/>
    <col min="2307" max="2307" width="10.7109375" style="16" bestFit="1" customWidth="1"/>
    <col min="2308" max="2308" width="8" style="16" customWidth="1"/>
    <col min="2309" max="2309" width="7.28515625" style="16" customWidth="1"/>
    <col min="2310" max="2310" width="7.7109375" style="16" customWidth="1"/>
    <col min="2311" max="2311" width="8.7109375" style="16" customWidth="1"/>
    <col min="2312" max="2312" width="8.140625" style="16" customWidth="1"/>
    <col min="2313" max="2313" width="7.140625" style="16" customWidth="1"/>
    <col min="2314" max="2314" width="7.85546875" style="16" customWidth="1"/>
    <col min="2315" max="2316" width="7" style="16" customWidth="1"/>
    <col min="2317" max="2317" width="6.85546875" style="16" customWidth="1"/>
    <col min="2318" max="2318" width="7" style="16" customWidth="1"/>
    <col min="2319" max="2319" width="7.14062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8.85546875" style="16" customWidth="1"/>
    <col min="2563" max="2563" width="10.7109375" style="16" bestFit="1" customWidth="1"/>
    <col min="2564" max="2564" width="8" style="16" customWidth="1"/>
    <col min="2565" max="2565" width="7.28515625" style="16" customWidth="1"/>
    <col min="2566" max="2566" width="7.7109375" style="16" customWidth="1"/>
    <col min="2567" max="2567" width="8.7109375" style="16" customWidth="1"/>
    <col min="2568" max="2568" width="8.140625" style="16" customWidth="1"/>
    <col min="2569" max="2569" width="7.140625" style="16" customWidth="1"/>
    <col min="2570" max="2570" width="7.85546875" style="16" customWidth="1"/>
    <col min="2571" max="2572" width="7" style="16" customWidth="1"/>
    <col min="2573" max="2573" width="6.85546875" style="16" customWidth="1"/>
    <col min="2574" max="2574" width="7" style="16" customWidth="1"/>
    <col min="2575" max="2575" width="7.14062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8.85546875" style="16" customWidth="1"/>
    <col min="2819" max="2819" width="10.7109375" style="16" bestFit="1" customWidth="1"/>
    <col min="2820" max="2820" width="8" style="16" customWidth="1"/>
    <col min="2821" max="2821" width="7.28515625" style="16" customWidth="1"/>
    <col min="2822" max="2822" width="7.7109375" style="16" customWidth="1"/>
    <col min="2823" max="2823" width="8.7109375" style="16" customWidth="1"/>
    <col min="2824" max="2824" width="8.140625" style="16" customWidth="1"/>
    <col min="2825" max="2825" width="7.140625" style="16" customWidth="1"/>
    <col min="2826" max="2826" width="7.85546875" style="16" customWidth="1"/>
    <col min="2827" max="2828" width="7" style="16" customWidth="1"/>
    <col min="2829" max="2829" width="6.85546875" style="16" customWidth="1"/>
    <col min="2830" max="2830" width="7" style="16" customWidth="1"/>
    <col min="2831" max="2831" width="7.14062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8.85546875" style="16" customWidth="1"/>
    <col min="3075" max="3075" width="10.7109375" style="16" bestFit="1" customWidth="1"/>
    <col min="3076" max="3076" width="8" style="16" customWidth="1"/>
    <col min="3077" max="3077" width="7.28515625" style="16" customWidth="1"/>
    <col min="3078" max="3078" width="7.7109375" style="16" customWidth="1"/>
    <col min="3079" max="3079" width="8.7109375" style="16" customWidth="1"/>
    <col min="3080" max="3080" width="8.140625" style="16" customWidth="1"/>
    <col min="3081" max="3081" width="7.140625" style="16" customWidth="1"/>
    <col min="3082" max="3082" width="7.85546875" style="16" customWidth="1"/>
    <col min="3083" max="3084" width="7" style="16" customWidth="1"/>
    <col min="3085" max="3085" width="6.85546875" style="16" customWidth="1"/>
    <col min="3086" max="3086" width="7" style="16" customWidth="1"/>
    <col min="3087" max="3087" width="7.14062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8.85546875" style="16" customWidth="1"/>
    <col min="3331" max="3331" width="10.7109375" style="16" bestFit="1" customWidth="1"/>
    <col min="3332" max="3332" width="8" style="16" customWidth="1"/>
    <col min="3333" max="3333" width="7.28515625" style="16" customWidth="1"/>
    <col min="3334" max="3334" width="7.7109375" style="16" customWidth="1"/>
    <col min="3335" max="3335" width="8.7109375" style="16" customWidth="1"/>
    <col min="3336" max="3336" width="8.140625" style="16" customWidth="1"/>
    <col min="3337" max="3337" width="7.140625" style="16" customWidth="1"/>
    <col min="3338" max="3338" width="7.85546875" style="16" customWidth="1"/>
    <col min="3339" max="3340" width="7" style="16" customWidth="1"/>
    <col min="3341" max="3341" width="6.85546875" style="16" customWidth="1"/>
    <col min="3342" max="3342" width="7" style="16" customWidth="1"/>
    <col min="3343" max="3343" width="7.14062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8.85546875" style="16" customWidth="1"/>
    <col min="3587" max="3587" width="10.7109375" style="16" bestFit="1" customWidth="1"/>
    <col min="3588" max="3588" width="8" style="16" customWidth="1"/>
    <col min="3589" max="3589" width="7.28515625" style="16" customWidth="1"/>
    <col min="3590" max="3590" width="7.7109375" style="16" customWidth="1"/>
    <col min="3591" max="3591" width="8.7109375" style="16" customWidth="1"/>
    <col min="3592" max="3592" width="8.140625" style="16" customWidth="1"/>
    <col min="3593" max="3593" width="7.140625" style="16" customWidth="1"/>
    <col min="3594" max="3594" width="7.85546875" style="16" customWidth="1"/>
    <col min="3595" max="3596" width="7" style="16" customWidth="1"/>
    <col min="3597" max="3597" width="6.85546875" style="16" customWidth="1"/>
    <col min="3598" max="3598" width="7" style="16" customWidth="1"/>
    <col min="3599" max="3599" width="7.14062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8.85546875" style="16" customWidth="1"/>
    <col min="3843" max="3843" width="10.7109375" style="16" bestFit="1" customWidth="1"/>
    <col min="3844" max="3844" width="8" style="16" customWidth="1"/>
    <col min="3845" max="3845" width="7.28515625" style="16" customWidth="1"/>
    <col min="3846" max="3846" width="7.7109375" style="16" customWidth="1"/>
    <col min="3847" max="3847" width="8.7109375" style="16" customWidth="1"/>
    <col min="3848" max="3848" width="8.140625" style="16" customWidth="1"/>
    <col min="3849" max="3849" width="7.140625" style="16" customWidth="1"/>
    <col min="3850" max="3850" width="7.85546875" style="16" customWidth="1"/>
    <col min="3851" max="3852" width="7" style="16" customWidth="1"/>
    <col min="3853" max="3853" width="6.85546875" style="16" customWidth="1"/>
    <col min="3854" max="3854" width="7" style="16" customWidth="1"/>
    <col min="3855" max="3855" width="7.14062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8.85546875" style="16" customWidth="1"/>
    <col min="4099" max="4099" width="10.7109375" style="16" bestFit="1" customWidth="1"/>
    <col min="4100" max="4100" width="8" style="16" customWidth="1"/>
    <col min="4101" max="4101" width="7.28515625" style="16" customWidth="1"/>
    <col min="4102" max="4102" width="7.7109375" style="16" customWidth="1"/>
    <col min="4103" max="4103" width="8.7109375" style="16" customWidth="1"/>
    <col min="4104" max="4104" width="8.140625" style="16" customWidth="1"/>
    <col min="4105" max="4105" width="7.140625" style="16" customWidth="1"/>
    <col min="4106" max="4106" width="7.85546875" style="16" customWidth="1"/>
    <col min="4107" max="4108" width="7" style="16" customWidth="1"/>
    <col min="4109" max="4109" width="6.85546875" style="16" customWidth="1"/>
    <col min="4110" max="4110" width="7" style="16" customWidth="1"/>
    <col min="4111" max="4111" width="7.14062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8.85546875" style="16" customWidth="1"/>
    <col min="4355" max="4355" width="10.7109375" style="16" bestFit="1" customWidth="1"/>
    <col min="4356" max="4356" width="8" style="16" customWidth="1"/>
    <col min="4357" max="4357" width="7.28515625" style="16" customWidth="1"/>
    <col min="4358" max="4358" width="7.7109375" style="16" customWidth="1"/>
    <col min="4359" max="4359" width="8.7109375" style="16" customWidth="1"/>
    <col min="4360" max="4360" width="8.140625" style="16" customWidth="1"/>
    <col min="4361" max="4361" width="7.140625" style="16" customWidth="1"/>
    <col min="4362" max="4362" width="7.85546875" style="16" customWidth="1"/>
    <col min="4363" max="4364" width="7" style="16" customWidth="1"/>
    <col min="4365" max="4365" width="6.85546875" style="16" customWidth="1"/>
    <col min="4366" max="4366" width="7" style="16" customWidth="1"/>
    <col min="4367" max="4367" width="7.14062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8.85546875" style="16" customWidth="1"/>
    <col min="4611" max="4611" width="10.7109375" style="16" bestFit="1" customWidth="1"/>
    <col min="4612" max="4612" width="8" style="16" customWidth="1"/>
    <col min="4613" max="4613" width="7.28515625" style="16" customWidth="1"/>
    <col min="4614" max="4614" width="7.7109375" style="16" customWidth="1"/>
    <col min="4615" max="4615" width="8.7109375" style="16" customWidth="1"/>
    <col min="4616" max="4616" width="8.140625" style="16" customWidth="1"/>
    <col min="4617" max="4617" width="7.140625" style="16" customWidth="1"/>
    <col min="4618" max="4618" width="7.85546875" style="16" customWidth="1"/>
    <col min="4619" max="4620" width="7" style="16" customWidth="1"/>
    <col min="4621" max="4621" width="6.85546875" style="16" customWidth="1"/>
    <col min="4622" max="4622" width="7" style="16" customWidth="1"/>
    <col min="4623" max="4623" width="7.14062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8.85546875" style="16" customWidth="1"/>
    <col min="4867" max="4867" width="10.7109375" style="16" bestFit="1" customWidth="1"/>
    <col min="4868" max="4868" width="8" style="16" customWidth="1"/>
    <col min="4869" max="4869" width="7.28515625" style="16" customWidth="1"/>
    <col min="4870" max="4870" width="7.7109375" style="16" customWidth="1"/>
    <col min="4871" max="4871" width="8.7109375" style="16" customWidth="1"/>
    <col min="4872" max="4872" width="8.140625" style="16" customWidth="1"/>
    <col min="4873" max="4873" width="7.140625" style="16" customWidth="1"/>
    <col min="4874" max="4874" width="7.85546875" style="16" customWidth="1"/>
    <col min="4875" max="4876" width="7" style="16" customWidth="1"/>
    <col min="4877" max="4877" width="6.85546875" style="16" customWidth="1"/>
    <col min="4878" max="4878" width="7" style="16" customWidth="1"/>
    <col min="4879" max="4879" width="7.14062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8.85546875" style="16" customWidth="1"/>
    <col min="5123" max="5123" width="10.7109375" style="16" bestFit="1" customWidth="1"/>
    <col min="5124" max="5124" width="8" style="16" customWidth="1"/>
    <col min="5125" max="5125" width="7.28515625" style="16" customWidth="1"/>
    <col min="5126" max="5126" width="7.7109375" style="16" customWidth="1"/>
    <col min="5127" max="5127" width="8.7109375" style="16" customWidth="1"/>
    <col min="5128" max="5128" width="8.140625" style="16" customWidth="1"/>
    <col min="5129" max="5129" width="7.140625" style="16" customWidth="1"/>
    <col min="5130" max="5130" width="7.85546875" style="16" customWidth="1"/>
    <col min="5131" max="5132" width="7" style="16" customWidth="1"/>
    <col min="5133" max="5133" width="6.85546875" style="16" customWidth="1"/>
    <col min="5134" max="5134" width="7" style="16" customWidth="1"/>
    <col min="5135" max="5135" width="7.14062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8.85546875" style="16" customWidth="1"/>
    <col min="5379" max="5379" width="10.7109375" style="16" bestFit="1" customWidth="1"/>
    <col min="5380" max="5380" width="8" style="16" customWidth="1"/>
    <col min="5381" max="5381" width="7.28515625" style="16" customWidth="1"/>
    <col min="5382" max="5382" width="7.7109375" style="16" customWidth="1"/>
    <col min="5383" max="5383" width="8.7109375" style="16" customWidth="1"/>
    <col min="5384" max="5384" width="8.140625" style="16" customWidth="1"/>
    <col min="5385" max="5385" width="7.140625" style="16" customWidth="1"/>
    <col min="5386" max="5386" width="7.85546875" style="16" customWidth="1"/>
    <col min="5387" max="5388" width="7" style="16" customWidth="1"/>
    <col min="5389" max="5389" width="6.85546875" style="16" customWidth="1"/>
    <col min="5390" max="5390" width="7" style="16" customWidth="1"/>
    <col min="5391" max="5391" width="7.14062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8.85546875" style="16" customWidth="1"/>
    <col min="5635" max="5635" width="10.7109375" style="16" bestFit="1" customWidth="1"/>
    <col min="5636" max="5636" width="8" style="16" customWidth="1"/>
    <col min="5637" max="5637" width="7.28515625" style="16" customWidth="1"/>
    <col min="5638" max="5638" width="7.7109375" style="16" customWidth="1"/>
    <col min="5639" max="5639" width="8.7109375" style="16" customWidth="1"/>
    <col min="5640" max="5640" width="8.140625" style="16" customWidth="1"/>
    <col min="5641" max="5641" width="7.140625" style="16" customWidth="1"/>
    <col min="5642" max="5642" width="7.85546875" style="16" customWidth="1"/>
    <col min="5643" max="5644" width="7" style="16" customWidth="1"/>
    <col min="5645" max="5645" width="6.85546875" style="16" customWidth="1"/>
    <col min="5646" max="5646" width="7" style="16" customWidth="1"/>
    <col min="5647" max="5647" width="7.14062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8.85546875" style="16" customWidth="1"/>
    <col min="5891" max="5891" width="10.7109375" style="16" bestFit="1" customWidth="1"/>
    <col min="5892" max="5892" width="8" style="16" customWidth="1"/>
    <col min="5893" max="5893" width="7.28515625" style="16" customWidth="1"/>
    <col min="5894" max="5894" width="7.7109375" style="16" customWidth="1"/>
    <col min="5895" max="5895" width="8.7109375" style="16" customWidth="1"/>
    <col min="5896" max="5896" width="8.140625" style="16" customWidth="1"/>
    <col min="5897" max="5897" width="7.140625" style="16" customWidth="1"/>
    <col min="5898" max="5898" width="7.85546875" style="16" customWidth="1"/>
    <col min="5899" max="5900" width="7" style="16" customWidth="1"/>
    <col min="5901" max="5901" width="6.85546875" style="16" customWidth="1"/>
    <col min="5902" max="5902" width="7" style="16" customWidth="1"/>
    <col min="5903" max="5903" width="7.14062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8.85546875" style="16" customWidth="1"/>
    <col min="6147" max="6147" width="10.7109375" style="16" bestFit="1" customWidth="1"/>
    <col min="6148" max="6148" width="8" style="16" customWidth="1"/>
    <col min="6149" max="6149" width="7.28515625" style="16" customWidth="1"/>
    <col min="6150" max="6150" width="7.7109375" style="16" customWidth="1"/>
    <col min="6151" max="6151" width="8.7109375" style="16" customWidth="1"/>
    <col min="6152" max="6152" width="8.140625" style="16" customWidth="1"/>
    <col min="6153" max="6153" width="7.140625" style="16" customWidth="1"/>
    <col min="6154" max="6154" width="7.85546875" style="16" customWidth="1"/>
    <col min="6155" max="6156" width="7" style="16" customWidth="1"/>
    <col min="6157" max="6157" width="6.85546875" style="16" customWidth="1"/>
    <col min="6158" max="6158" width="7" style="16" customWidth="1"/>
    <col min="6159" max="6159" width="7.14062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8.85546875" style="16" customWidth="1"/>
    <col min="6403" max="6403" width="10.7109375" style="16" bestFit="1" customWidth="1"/>
    <col min="6404" max="6404" width="8" style="16" customWidth="1"/>
    <col min="6405" max="6405" width="7.28515625" style="16" customWidth="1"/>
    <col min="6406" max="6406" width="7.7109375" style="16" customWidth="1"/>
    <col min="6407" max="6407" width="8.7109375" style="16" customWidth="1"/>
    <col min="6408" max="6408" width="8.140625" style="16" customWidth="1"/>
    <col min="6409" max="6409" width="7.140625" style="16" customWidth="1"/>
    <col min="6410" max="6410" width="7.85546875" style="16" customWidth="1"/>
    <col min="6411" max="6412" width="7" style="16" customWidth="1"/>
    <col min="6413" max="6413" width="6.85546875" style="16" customWidth="1"/>
    <col min="6414" max="6414" width="7" style="16" customWidth="1"/>
    <col min="6415" max="6415" width="7.14062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8.85546875" style="16" customWidth="1"/>
    <col min="6659" max="6659" width="10.7109375" style="16" bestFit="1" customWidth="1"/>
    <col min="6660" max="6660" width="8" style="16" customWidth="1"/>
    <col min="6661" max="6661" width="7.28515625" style="16" customWidth="1"/>
    <col min="6662" max="6662" width="7.7109375" style="16" customWidth="1"/>
    <col min="6663" max="6663" width="8.7109375" style="16" customWidth="1"/>
    <col min="6664" max="6664" width="8.140625" style="16" customWidth="1"/>
    <col min="6665" max="6665" width="7.140625" style="16" customWidth="1"/>
    <col min="6666" max="6666" width="7.85546875" style="16" customWidth="1"/>
    <col min="6667" max="6668" width="7" style="16" customWidth="1"/>
    <col min="6669" max="6669" width="6.85546875" style="16" customWidth="1"/>
    <col min="6670" max="6670" width="7" style="16" customWidth="1"/>
    <col min="6671" max="6671" width="7.14062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8.85546875" style="16" customWidth="1"/>
    <col min="6915" max="6915" width="10.7109375" style="16" bestFit="1" customWidth="1"/>
    <col min="6916" max="6916" width="8" style="16" customWidth="1"/>
    <col min="6917" max="6917" width="7.28515625" style="16" customWidth="1"/>
    <col min="6918" max="6918" width="7.7109375" style="16" customWidth="1"/>
    <col min="6919" max="6919" width="8.7109375" style="16" customWidth="1"/>
    <col min="6920" max="6920" width="8.140625" style="16" customWidth="1"/>
    <col min="6921" max="6921" width="7.140625" style="16" customWidth="1"/>
    <col min="6922" max="6922" width="7.85546875" style="16" customWidth="1"/>
    <col min="6923" max="6924" width="7" style="16" customWidth="1"/>
    <col min="6925" max="6925" width="6.85546875" style="16" customWidth="1"/>
    <col min="6926" max="6926" width="7" style="16" customWidth="1"/>
    <col min="6927" max="6927" width="7.14062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8.85546875" style="16" customWidth="1"/>
    <col min="7171" max="7171" width="10.7109375" style="16" bestFit="1" customWidth="1"/>
    <col min="7172" max="7172" width="8" style="16" customWidth="1"/>
    <col min="7173" max="7173" width="7.28515625" style="16" customWidth="1"/>
    <col min="7174" max="7174" width="7.7109375" style="16" customWidth="1"/>
    <col min="7175" max="7175" width="8.7109375" style="16" customWidth="1"/>
    <col min="7176" max="7176" width="8.140625" style="16" customWidth="1"/>
    <col min="7177" max="7177" width="7.140625" style="16" customWidth="1"/>
    <col min="7178" max="7178" width="7.85546875" style="16" customWidth="1"/>
    <col min="7179" max="7180" width="7" style="16" customWidth="1"/>
    <col min="7181" max="7181" width="6.85546875" style="16" customWidth="1"/>
    <col min="7182" max="7182" width="7" style="16" customWidth="1"/>
    <col min="7183" max="7183" width="7.14062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8.85546875" style="16" customWidth="1"/>
    <col min="7427" max="7427" width="10.7109375" style="16" bestFit="1" customWidth="1"/>
    <col min="7428" max="7428" width="8" style="16" customWidth="1"/>
    <col min="7429" max="7429" width="7.28515625" style="16" customWidth="1"/>
    <col min="7430" max="7430" width="7.7109375" style="16" customWidth="1"/>
    <col min="7431" max="7431" width="8.7109375" style="16" customWidth="1"/>
    <col min="7432" max="7432" width="8.140625" style="16" customWidth="1"/>
    <col min="7433" max="7433" width="7.140625" style="16" customWidth="1"/>
    <col min="7434" max="7434" width="7.85546875" style="16" customWidth="1"/>
    <col min="7435" max="7436" width="7" style="16" customWidth="1"/>
    <col min="7437" max="7437" width="6.85546875" style="16" customWidth="1"/>
    <col min="7438" max="7438" width="7" style="16" customWidth="1"/>
    <col min="7439" max="7439" width="7.14062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8.85546875" style="16" customWidth="1"/>
    <col min="7683" max="7683" width="10.7109375" style="16" bestFit="1" customWidth="1"/>
    <col min="7684" max="7684" width="8" style="16" customWidth="1"/>
    <col min="7685" max="7685" width="7.28515625" style="16" customWidth="1"/>
    <col min="7686" max="7686" width="7.7109375" style="16" customWidth="1"/>
    <col min="7687" max="7687" width="8.7109375" style="16" customWidth="1"/>
    <col min="7688" max="7688" width="8.140625" style="16" customWidth="1"/>
    <col min="7689" max="7689" width="7.140625" style="16" customWidth="1"/>
    <col min="7690" max="7690" width="7.85546875" style="16" customWidth="1"/>
    <col min="7691" max="7692" width="7" style="16" customWidth="1"/>
    <col min="7693" max="7693" width="6.85546875" style="16" customWidth="1"/>
    <col min="7694" max="7694" width="7" style="16" customWidth="1"/>
    <col min="7695" max="7695" width="7.14062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8.85546875" style="16" customWidth="1"/>
    <col min="7939" max="7939" width="10.7109375" style="16" bestFit="1" customWidth="1"/>
    <col min="7940" max="7940" width="8" style="16" customWidth="1"/>
    <col min="7941" max="7941" width="7.28515625" style="16" customWidth="1"/>
    <col min="7942" max="7942" width="7.7109375" style="16" customWidth="1"/>
    <col min="7943" max="7943" width="8.7109375" style="16" customWidth="1"/>
    <col min="7944" max="7944" width="8.140625" style="16" customWidth="1"/>
    <col min="7945" max="7945" width="7.140625" style="16" customWidth="1"/>
    <col min="7946" max="7946" width="7.85546875" style="16" customWidth="1"/>
    <col min="7947" max="7948" width="7" style="16" customWidth="1"/>
    <col min="7949" max="7949" width="6.85546875" style="16" customWidth="1"/>
    <col min="7950" max="7950" width="7" style="16" customWidth="1"/>
    <col min="7951" max="7951" width="7.14062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8.85546875" style="16" customWidth="1"/>
    <col min="8195" max="8195" width="10.7109375" style="16" bestFit="1" customWidth="1"/>
    <col min="8196" max="8196" width="8" style="16" customWidth="1"/>
    <col min="8197" max="8197" width="7.28515625" style="16" customWidth="1"/>
    <col min="8198" max="8198" width="7.7109375" style="16" customWidth="1"/>
    <col min="8199" max="8199" width="8.7109375" style="16" customWidth="1"/>
    <col min="8200" max="8200" width="8.140625" style="16" customWidth="1"/>
    <col min="8201" max="8201" width="7.140625" style="16" customWidth="1"/>
    <col min="8202" max="8202" width="7.85546875" style="16" customWidth="1"/>
    <col min="8203" max="8204" width="7" style="16" customWidth="1"/>
    <col min="8205" max="8205" width="6.85546875" style="16" customWidth="1"/>
    <col min="8206" max="8206" width="7" style="16" customWidth="1"/>
    <col min="8207" max="8207" width="7.14062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8.85546875" style="16" customWidth="1"/>
    <col min="8451" max="8451" width="10.7109375" style="16" bestFit="1" customWidth="1"/>
    <col min="8452" max="8452" width="8" style="16" customWidth="1"/>
    <col min="8453" max="8453" width="7.28515625" style="16" customWidth="1"/>
    <col min="8454" max="8454" width="7.7109375" style="16" customWidth="1"/>
    <col min="8455" max="8455" width="8.7109375" style="16" customWidth="1"/>
    <col min="8456" max="8456" width="8.140625" style="16" customWidth="1"/>
    <col min="8457" max="8457" width="7.140625" style="16" customWidth="1"/>
    <col min="8458" max="8458" width="7.85546875" style="16" customWidth="1"/>
    <col min="8459" max="8460" width="7" style="16" customWidth="1"/>
    <col min="8461" max="8461" width="6.85546875" style="16" customWidth="1"/>
    <col min="8462" max="8462" width="7" style="16" customWidth="1"/>
    <col min="8463" max="8463" width="7.14062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8.85546875" style="16" customWidth="1"/>
    <col min="8707" max="8707" width="10.7109375" style="16" bestFit="1" customWidth="1"/>
    <col min="8708" max="8708" width="8" style="16" customWidth="1"/>
    <col min="8709" max="8709" width="7.28515625" style="16" customWidth="1"/>
    <col min="8710" max="8710" width="7.7109375" style="16" customWidth="1"/>
    <col min="8711" max="8711" width="8.7109375" style="16" customWidth="1"/>
    <col min="8712" max="8712" width="8.140625" style="16" customWidth="1"/>
    <col min="8713" max="8713" width="7.140625" style="16" customWidth="1"/>
    <col min="8714" max="8714" width="7.85546875" style="16" customWidth="1"/>
    <col min="8715" max="8716" width="7" style="16" customWidth="1"/>
    <col min="8717" max="8717" width="6.85546875" style="16" customWidth="1"/>
    <col min="8718" max="8718" width="7" style="16" customWidth="1"/>
    <col min="8719" max="8719" width="7.14062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8.85546875" style="16" customWidth="1"/>
    <col min="8963" max="8963" width="10.7109375" style="16" bestFit="1" customWidth="1"/>
    <col min="8964" max="8964" width="8" style="16" customWidth="1"/>
    <col min="8965" max="8965" width="7.28515625" style="16" customWidth="1"/>
    <col min="8966" max="8966" width="7.7109375" style="16" customWidth="1"/>
    <col min="8967" max="8967" width="8.7109375" style="16" customWidth="1"/>
    <col min="8968" max="8968" width="8.140625" style="16" customWidth="1"/>
    <col min="8969" max="8969" width="7.140625" style="16" customWidth="1"/>
    <col min="8970" max="8970" width="7.85546875" style="16" customWidth="1"/>
    <col min="8971" max="8972" width="7" style="16" customWidth="1"/>
    <col min="8973" max="8973" width="6.85546875" style="16" customWidth="1"/>
    <col min="8974" max="8974" width="7" style="16" customWidth="1"/>
    <col min="8975" max="8975" width="7.14062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8.85546875" style="16" customWidth="1"/>
    <col min="9219" max="9219" width="10.7109375" style="16" bestFit="1" customWidth="1"/>
    <col min="9220" max="9220" width="8" style="16" customWidth="1"/>
    <col min="9221" max="9221" width="7.28515625" style="16" customWidth="1"/>
    <col min="9222" max="9222" width="7.7109375" style="16" customWidth="1"/>
    <col min="9223" max="9223" width="8.7109375" style="16" customWidth="1"/>
    <col min="9224" max="9224" width="8.140625" style="16" customWidth="1"/>
    <col min="9225" max="9225" width="7.140625" style="16" customWidth="1"/>
    <col min="9226" max="9226" width="7.85546875" style="16" customWidth="1"/>
    <col min="9227" max="9228" width="7" style="16" customWidth="1"/>
    <col min="9229" max="9229" width="6.85546875" style="16" customWidth="1"/>
    <col min="9230" max="9230" width="7" style="16" customWidth="1"/>
    <col min="9231" max="9231" width="7.14062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8.85546875" style="16" customWidth="1"/>
    <col min="9475" max="9475" width="10.7109375" style="16" bestFit="1" customWidth="1"/>
    <col min="9476" max="9476" width="8" style="16" customWidth="1"/>
    <col min="9477" max="9477" width="7.28515625" style="16" customWidth="1"/>
    <col min="9478" max="9478" width="7.7109375" style="16" customWidth="1"/>
    <col min="9479" max="9479" width="8.7109375" style="16" customWidth="1"/>
    <col min="9480" max="9480" width="8.140625" style="16" customWidth="1"/>
    <col min="9481" max="9481" width="7.140625" style="16" customWidth="1"/>
    <col min="9482" max="9482" width="7.85546875" style="16" customWidth="1"/>
    <col min="9483" max="9484" width="7" style="16" customWidth="1"/>
    <col min="9485" max="9485" width="6.85546875" style="16" customWidth="1"/>
    <col min="9486" max="9486" width="7" style="16" customWidth="1"/>
    <col min="9487" max="9487" width="7.14062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8.85546875" style="16" customWidth="1"/>
    <col min="9731" max="9731" width="10.7109375" style="16" bestFit="1" customWidth="1"/>
    <col min="9732" max="9732" width="8" style="16" customWidth="1"/>
    <col min="9733" max="9733" width="7.28515625" style="16" customWidth="1"/>
    <col min="9734" max="9734" width="7.7109375" style="16" customWidth="1"/>
    <col min="9735" max="9735" width="8.7109375" style="16" customWidth="1"/>
    <col min="9736" max="9736" width="8.140625" style="16" customWidth="1"/>
    <col min="9737" max="9737" width="7.140625" style="16" customWidth="1"/>
    <col min="9738" max="9738" width="7.85546875" style="16" customWidth="1"/>
    <col min="9739" max="9740" width="7" style="16" customWidth="1"/>
    <col min="9741" max="9741" width="6.85546875" style="16" customWidth="1"/>
    <col min="9742" max="9742" width="7" style="16" customWidth="1"/>
    <col min="9743" max="9743" width="7.14062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8.85546875" style="16" customWidth="1"/>
    <col min="9987" max="9987" width="10.7109375" style="16" bestFit="1" customWidth="1"/>
    <col min="9988" max="9988" width="8" style="16" customWidth="1"/>
    <col min="9989" max="9989" width="7.28515625" style="16" customWidth="1"/>
    <col min="9990" max="9990" width="7.7109375" style="16" customWidth="1"/>
    <col min="9991" max="9991" width="8.7109375" style="16" customWidth="1"/>
    <col min="9992" max="9992" width="8.140625" style="16" customWidth="1"/>
    <col min="9993" max="9993" width="7.140625" style="16" customWidth="1"/>
    <col min="9994" max="9994" width="7.85546875" style="16" customWidth="1"/>
    <col min="9995" max="9996" width="7" style="16" customWidth="1"/>
    <col min="9997" max="9997" width="6.85546875" style="16" customWidth="1"/>
    <col min="9998" max="9998" width="7" style="16" customWidth="1"/>
    <col min="9999" max="9999" width="7.14062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8.85546875" style="16" customWidth="1"/>
    <col min="10243" max="10243" width="10.7109375" style="16" bestFit="1" customWidth="1"/>
    <col min="10244" max="10244" width="8" style="16" customWidth="1"/>
    <col min="10245" max="10245" width="7.28515625" style="16" customWidth="1"/>
    <col min="10246" max="10246" width="7.7109375" style="16" customWidth="1"/>
    <col min="10247" max="10247" width="8.7109375" style="16" customWidth="1"/>
    <col min="10248" max="10248" width="8.140625" style="16" customWidth="1"/>
    <col min="10249" max="10249" width="7.140625" style="16" customWidth="1"/>
    <col min="10250" max="10250" width="7.85546875" style="16" customWidth="1"/>
    <col min="10251" max="10252" width="7" style="16" customWidth="1"/>
    <col min="10253" max="10253" width="6.85546875" style="16" customWidth="1"/>
    <col min="10254" max="10254" width="7" style="16" customWidth="1"/>
    <col min="10255" max="10255" width="7.14062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8.85546875" style="16" customWidth="1"/>
    <col min="10499" max="10499" width="10.7109375" style="16" bestFit="1" customWidth="1"/>
    <col min="10500" max="10500" width="8" style="16" customWidth="1"/>
    <col min="10501" max="10501" width="7.28515625" style="16" customWidth="1"/>
    <col min="10502" max="10502" width="7.7109375" style="16" customWidth="1"/>
    <col min="10503" max="10503" width="8.7109375" style="16" customWidth="1"/>
    <col min="10504" max="10504" width="8.140625" style="16" customWidth="1"/>
    <col min="10505" max="10505" width="7.140625" style="16" customWidth="1"/>
    <col min="10506" max="10506" width="7.85546875" style="16" customWidth="1"/>
    <col min="10507" max="10508" width="7" style="16" customWidth="1"/>
    <col min="10509" max="10509" width="6.85546875" style="16" customWidth="1"/>
    <col min="10510" max="10510" width="7" style="16" customWidth="1"/>
    <col min="10511" max="10511" width="7.14062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8.85546875" style="16" customWidth="1"/>
    <col min="10755" max="10755" width="10.7109375" style="16" bestFit="1" customWidth="1"/>
    <col min="10756" max="10756" width="8" style="16" customWidth="1"/>
    <col min="10757" max="10757" width="7.28515625" style="16" customWidth="1"/>
    <col min="10758" max="10758" width="7.7109375" style="16" customWidth="1"/>
    <col min="10759" max="10759" width="8.7109375" style="16" customWidth="1"/>
    <col min="10760" max="10760" width="8.140625" style="16" customWidth="1"/>
    <col min="10761" max="10761" width="7.140625" style="16" customWidth="1"/>
    <col min="10762" max="10762" width="7.85546875" style="16" customWidth="1"/>
    <col min="10763" max="10764" width="7" style="16" customWidth="1"/>
    <col min="10765" max="10765" width="6.85546875" style="16" customWidth="1"/>
    <col min="10766" max="10766" width="7" style="16" customWidth="1"/>
    <col min="10767" max="10767" width="7.14062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8.85546875" style="16" customWidth="1"/>
    <col min="11011" max="11011" width="10.7109375" style="16" bestFit="1" customWidth="1"/>
    <col min="11012" max="11012" width="8" style="16" customWidth="1"/>
    <col min="11013" max="11013" width="7.28515625" style="16" customWidth="1"/>
    <col min="11014" max="11014" width="7.7109375" style="16" customWidth="1"/>
    <col min="11015" max="11015" width="8.7109375" style="16" customWidth="1"/>
    <col min="11016" max="11016" width="8.140625" style="16" customWidth="1"/>
    <col min="11017" max="11017" width="7.140625" style="16" customWidth="1"/>
    <col min="11018" max="11018" width="7.85546875" style="16" customWidth="1"/>
    <col min="11019" max="11020" width="7" style="16" customWidth="1"/>
    <col min="11021" max="11021" width="6.85546875" style="16" customWidth="1"/>
    <col min="11022" max="11022" width="7" style="16" customWidth="1"/>
    <col min="11023" max="11023" width="7.14062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8.85546875" style="16" customWidth="1"/>
    <col min="11267" max="11267" width="10.7109375" style="16" bestFit="1" customWidth="1"/>
    <col min="11268" max="11268" width="8" style="16" customWidth="1"/>
    <col min="11269" max="11269" width="7.28515625" style="16" customWidth="1"/>
    <col min="11270" max="11270" width="7.7109375" style="16" customWidth="1"/>
    <col min="11271" max="11271" width="8.7109375" style="16" customWidth="1"/>
    <col min="11272" max="11272" width="8.140625" style="16" customWidth="1"/>
    <col min="11273" max="11273" width="7.140625" style="16" customWidth="1"/>
    <col min="11274" max="11274" width="7.85546875" style="16" customWidth="1"/>
    <col min="11275" max="11276" width="7" style="16" customWidth="1"/>
    <col min="11277" max="11277" width="6.85546875" style="16" customWidth="1"/>
    <col min="11278" max="11278" width="7" style="16" customWidth="1"/>
    <col min="11279" max="11279" width="7.14062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8.85546875" style="16" customWidth="1"/>
    <col min="11523" max="11523" width="10.7109375" style="16" bestFit="1" customWidth="1"/>
    <col min="11524" max="11524" width="8" style="16" customWidth="1"/>
    <col min="11525" max="11525" width="7.28515625" style="16" customWidth="1"/>
    <col min="11526" max="11526" width="7.7109375" style="16" customWidth="1"/>
    <col min="11527" max="11527" width="8.7109375" style="16" customWidth="1"/>
    <col min="11528" max="11528" width="8.140625" style="16" customWidth="1"/>
    <col min="11529" max="11529" width="7.140625" style="16" customWidth="1"/>
    <col min="11530" max="11530" width="7.85546875" style="16" customWidth="1"/>
    <col min="11531" max="11532" width="7" style="16" customWidth="1"/>
    <col min="11533" max="11533" width="6.85546875" style="16" customWidth="1"/>
    <col min="11534" max="11534" width="7" style="16" customWidth="1"/>
    <col min="11535" max="11535" width="7.14062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8.85546875" style="16" customWidth="1"/>
    <col min="11779" max="11779" width="10.7109375" style="16" bestFit="1" customWidth="1"/>
    <col min="11780" max="11780" width="8" style="16" customWidth="1"/>
    <col min="11781" max="11781" width="7.28515625" style="16" customWidth="1"/>
    <col min="11782" max="11782" width="7.7109375" style="16" customWidth="1"/>
    <col min="11783" max="11783" width="8.7109375" style="16" customWidth="1"/>
    <col min="11784" max="11784" width="8.140625" style="16" customWidth="1"/>
    <col min="11785" max="11785" width="7.140625" style="16" customWidth="1"/>
    <col min="11786" max="11786" width="7.85546875" style="16" customWidth="1"/>
    <col min="11787" max="11788" width="7" style="16" customWidth="1"/>
    <col min="11789" max="11789" width="6.85546875" style="16" customWidth="1"/>
    <col min="11790" max="11790" width="7" style="16" customWidth="1"/>
    <col min="11791" max="11791" width="7.14062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8.85546875" style="16" customWidth="1"/>
    <col min="12035" max="12035" width="10.7109375" style="16" bestFit="1" customWidth="1"/>
    <col min="12036" max="12036" width="8" style="16" customWidth="1"/>
    <col min="12037" max="12037" width="7.28515625" style="16" customWidth="1"/>
    <col min="12038" max="12038" width="7.7109375" style="16" customWidth="1"/>
    <col min="12039" max="12039" width="8.7109375" style="16" customWidth="1"/>
    <col min="12040" max="12040" width="8.140625" style="16" customWidth="1"/>
    <col min="12041" max="12041" width="7.140625" style="16" customWidth="1"/>
    <col min="12042" max="12042" width="7.85546875" style="16" customWidth="1"/>
    <col min="12043" max="12044" width="7" style="16" customWidth="1"/>
    <col min="12045" max="12045" width="6.85546875" style="16" customWidth="1"/>
    <col min="12046" max="12046" width="7" style="16" customWidth="1"/>
    <col min="12047" max="12047" width="7.14062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8.85546875" style="16" customWidth="1"/>
    <col min="12291" max="12291" width="10.7109375" style="16" bestFit="1" customWidth="1"/>
    <col min="12292" max="12292" width="8" style="16" customWidth="1"/>
    <col min="12293" max="12293" width="7.28515625" style="16" customWidth="1"/>
    <col min="12294" max="12294" width="7.7109375" style="16" customWidth="1"/>
    <col min="12295" max="12295" width="8.7109375" style="16" customWidth="1"/>
    <col min="12296" max="12296" width="8.140625" style="16" customWidth="1"/>
    <col min="12297" max="12297" width="7.140625" style="16" customWidth="1"/>
    <col min="12298" max="12298" width="7.85546875" style="16" customWidth="1"/>
    <col min="12299" max="12300" width="7" style="16" customWidth="1"/>
    <col min="12301" max="12301" width="6.85546875" style="16" customWidth="1"/>
    <col min="12302" max="12302" width="7" style="16" customWidth="1"/>
    <col min="12303" max="12303" width="7.14062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8.85546875" style="16" customWidth="1"/>
    <col min="12547" max="12547" width="10.7109375" style="16" bestFit="1" customWidth="1"/>
    <col min="12548" max="12548" width="8" style="16" customWidth="1"/>
    <col min="12549" max="12549" width="7.28515625" style="16" customWidth="1"/>
    <col min="12550" max="12550" width="7.7109375" style="16" customWidth="1"/>
    <col min="12551" max="12551" width="8.7109375" style="16" customWidth="1"/>
    <col min="12552" max="12552" width="8.140625" style="16" customWidth="1"/>
    <col min="12553" max="12553" width="7.140625" style="16" customWidth="1"/>
    <col min="12554" max="12554" width="7.85546875" style="16" customWidth="1"/>
    <col min="12555" max="12556" width="7" style="16" customWidth="1"/>
    <col min="12557" max="12557" width="6.85546875" style="16" customWidth="1"/>
    <col min="12558" max="12558" width="7" style="16" customWidth="1"/>
    <col min="12559" max="12559" width="7.14062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8.85546875" style="16" customWidth="1"/>
    <col min="12803" max="12803" width="10.7109375" style="16" bestFit="1" customWidth="1"/>
    <col min="12804" max="12804" width="8" style="16" customWidth="1"/>
    <col min="12805" max="12805" width="7.28515625" style="16" customWidth="1"/>
    <col min="12806" max="12806" width="7.7109375" style="16" customWidth="1"/>
    <col min="12807" max="12807" width="8.7109375" style="16" customWidth="1"/>
    <col min="12808" max="12808" width="8.140625" style="16" customWidth="1"/>
    <col min="12809" max="12809" width="7.140625" style="16" customWidth="1"/>
    <col min="12810" max="12810" width="7.85546875" style="16" customWidth="1"/>
    <col min="12811" max="12812" width="7" style="16" customWidth="1"/>
    <col min="12813" max="12813" width="6.85546875" style="16" customWidth="1"/>
    <col min="12814" max="12814" width="7" style="16" customWidth="1"/>
    <col min="12815" max="12815" width="7.14062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8.85546875" style="16" customWidth="1"/>
    <col min="13059" max="13059" width="10.7109375" style="16" bestFit="1" customWidth="1"/>
    <col min="13060" max="13060" width="8" style="16" customWidth="1"/>
    <col min="13061" max="13061" width="7.28515625" style="16" customWidth="1"/>
    <col min="13062" max="13062" width="7.7109375" style="16" customWidth="1"/>
    <col min="13063" max="13063" width="8.7109375" style="16" customWidth="1"/>
    <col min="13064" max="13064" width="8.140625" style="16" customWidth="1"/>
    <col min="13065" max="13065" width="7.140625" style="16" customWidth="1"/>
    <col min="13066" max="13066" width="7.85546875" style="16" customWidth="1"/>
    <col min="13067" max="13068" width="7" style="16" customWidth="1"/>
    <col min="13069" max="13069" width="6.85546875" style="16" customWidth="1"/>
    <col min="13070" max="13070" width="7" style="16" customWidth="1"/>
    <col min="13071" max="13071" width="7.14062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8.85546875" style="16" customWidth="1"/>
    <col min="13315" max="13315" width="10.7109375" style="16" bestFit="1" customWidth="1"/>
    <col min="13316" max="13316" width="8" style="16" customWidth="1"/>
    <col min="13317" max="13317" width="7.28515625" style="16" customWidth="1"/>
    <col min="13318" max="13318" width="7.7109375" style="16" customWidth="1"/>
    <col min="13319" max="13319" width="8.7109375" style="16" customWidth="1"/>
    <col min="13320" max="13320" width="8.140625" style="16" customWidth="1"/>
    <col min="13321" max="13321" width="7.140625" style="16" customWidth="1"/>
    <col min="13322" max="13322" width="7.85546875" style="16" customWidth="1"/>
    <col min="13323" max="13324" width="7" style="16" customWidth="1"/>
    <col min="13325" max="13325" width="6.85546875" style="16" customWidth="1"/>
    <col min="13326" max="13326" width="7" style="16" customWidth="1"/>
    <col min="13327" max="13327" width="7.14062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8.85546875" style="16" customWidth="1"/>
    <col min="13571" max="13571" width="10.7109375" style="16" bestFit="1" customWidth="1"/>
    <col min="13572" max="13572" width="8" style="16" customWidth="1"/>
    <col min="13573" max="13573" width="7.28515625" style="16" customWidth="1"/>
    <col min="13574" max="13574" width="7.7109375" style="16" customWidth="1"/>
    <col min="13575" max="13575" width="8.7109375" style="16" customWidth="1"/>
    <col min="13576" max="13576" width="8.140625" style="16" customWidth="1"/>
    <col min="13577" max="13577" width="7.140625" style="16" customWidth="1"/>
    <col min="13578" max="13578" width="7.85546875" style="16" customWidth="1"/>
    <col min="13579" max="13580" width="7" style="16" customWidth="1"/>
    <col min="13581" max="13581" width="6.85546875" style="16" customWidth="1"/>
    <col min="13582" max="13582" width="7" style="16" customWidth="1"/>
    <col min="13583" max="13583" width="7.14062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8.85546875" style="16" customWidth="1"/>
    <col min="13827" max="13827" width="10.7109375" style="16" bestFit="1" customWidth="1"/>
    <col min="13828" max="13828" width="8" style="16" customWidth="1"/>
    <col min="13829" max="13829" width="7.28515625" style="16" customWidth="1"/>
    <col min="13830" max="13830" width="7.7109375" style="16" customWidth="1"/>
    <col min="13831" max="13831" width="8.7109375" style="16" customWidth="1"/>
    <col min="13832" max="13832" width="8.140625" style="16" customWidth="1"/>
    <col min="13833" max="13833" width="7.140625" style="16" customWidth="1"/>
    <col min="13834" max="13834" width="7.85546875" style="16" customWidth="1"/>
    <col min="13835" max="13836" width="7" style="16" customWidth="1"/>
    <col min="13837" max="13837" width="6.85546875" style="16" customWidth="1"/>
    <col min="13838" max="13838" width="7" style="16" customWidth="1"/>
    <col min="13839" max="13839" width="7.14062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8.85546875" style="16" customWidth="1"/>
    <col min="14083" max="14083" width="10.7109375" style="16" bestFit="1" customWidth="1"/>
    <col min="14084" max="14084" width="8" style="16" customWidth="1"/>
    <col min="14085" max="14085" width="7.28515625" style="16" customWidth="1"/>
    <col min="14086" max="14086" width="7.7109375" style="16" customWidth="1"/>
    <col min="14087" max="14087" width="8.7109375" style="16" customWidth="1"/>
    <col min="14088" max="14088" width="8.140625" style="16" customWidth="1"/>
    <col min="14089" max="14089" width="7.140625" style="16" customWidth="1"/>
    <col min="14090" max="14090" width="7.85546875" style="16" customWidth="1"/>
    <col min="14091" max="14092" width="7" style="16" customWidth="1"/>
    <col min="14093" max="14093" width="6.85546875" style="16" customWidth="1"/>
    <col min="14094" max="14094" width="7" style="16" customWidth="1"/>
    <col min="14095" max="14095" width="7.14062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8.85546875" style="16" customWidth="1"/>
    <col min="14339" max="14339" width="10.7109375" style="16" bestFit="1" customWidth="1"/>
    <col min="14340" max="14340" width="8" style="16" customWidth="1"/>
    <col min="14341" max="14341" width="7.28515625" style="16" customWidth="1"/>
    <col min="14342" max="14342" width="7.7109375" style="16" customWidth="1"/>
    <col min="14343" max="14343" width="8.7109375" style="16" customWidth="1"/>
    <col min="14344" max="14344" width="8.140625" style="16" customWidth="1"/>
    <col min="14345" max="14345" width="7.140625" style="16" customWidth="1"/>
    <col min="14346" max="14346" width="7.85546875" style="16" customWidth="1"/>
    <col min="14347" max="14348" width="7" style="16" customWidth="1"/>
    <col min="14349" max="14349" width="6.85546875" style="16" customWidth="1"/>
    <col min="14350" max="14350" width="7" style="16" customWidth="1"/>
    <col min="14351" max="14351" width="7.14062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8.85546875" style="16" customWidth="1"/>
    <col min="14595" max="14595" width="10.7109375" style="16" bestFit="1" customWidth="1"/>
    <col min="14596" max="14596" width="8" style="16" customWidth="1"/>
    <col min="14597" max="14597" width="7.28515625" style="16" customWidth="1"/>
    <col min="14598" max="14598" width="7.7109375" style="16" customWidth="1"/>
    <col min="14599" max="14599" width="8.7109375" style="16" customWidth="1"/>
    <col min="14600" max="14600" width="8.140625" style="16" customWidth="1"/>
    <col min="14601" max="14601" width="7.140625" style="16" customWidth="1"/>
    <col min="14602" max="14602" width="7.85546875" style="16" customWidth="1"/>
    <col min="14603" max="14604" width="7" style="16" customWidth="1"/>
    <col min="14605" max="14605" width="6.85546875" style="16" customWidth="1"/>
    <col min="14606" max="14606" width="7" style="16" customWidth="1"/>
    <col min="14607" max="14607" width="7.14062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8.85546875" style="16" customWidth="1"/>
    <col min="14851" max="14851" width="10.7109375" style="16" bestFit="1" customWidth="1"/>
    <col min="14852" max="14852" width="8" style="16" customWidth="1"/>
    <col min="14853" max="14853" width="7.28515625" style="16" customWidth="1"/>
    <col min="14854" max="14854" width="7.7109375" style="16" customWidth="1"/>
    <col min="14855" max="14855" width="8.7109375" style="16" customWidth="1"/>
    <col min="14856" max="14856" width="8.140625" style="16" customWidth="1"/>
    <col min="14857" max="14857" width="7.140625" style="16" customWidth="1"/>
    <col min="14858" max="14858" width="7.85546875" style="16" customWidth="1"/>
    <col min="14859" max="14860" width="7" style="16" customWidth="1"/>
    <col min="14861" max="14861" width="6.85546875" style="16" customWidth="1"/>
    <col min="14862" max="14862" width="7" style="16" customWidth="1"/>
    <col min="14863" max="14863" width="7.14062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8.85546875" style="16" customWidth="1"/>
    <col min="15107" max="15107" width="10.7109375" style="16" bestFit="1" customWidth="1"/>
    <col min="15108" max="15108" width="8" style="16" customWidth="1"/>
    <col min="15109" max="15109" width="7.28515625" style="16" customWidth="1"/>
    <col min="15110" max="15110" width="7.7109375" style="16" customWidth="1"/>
    <col min="15111" max="15111" width="8.7109375" style="16" customWidth="1"/>
    <col min="15112" max="15112" width="8.140625" style="16" customWidth="1"/>
    <col min="15113" max="15113" width="7.140625" style="16" customWidth="1"/>
    <col min="15114" max="15114" width="7.85546875" style="16" customWidth="1"/>
    <col min="15115" max="15116" width="7" style="16" customWidth="1"/>
    <col min="15117" max="15117" width="6.85546875" style="16" customWidth="1"/>
    <col min="15118" max="15118" width="7" style="16" customWidth="1"/>
    <col min="15119" max="15119" width="7.14062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8.85546875" style="16" customWidth="1"/>
    <col min="15363" max="15363" width="10.7109375" style="16" bestFit="1" customWidth="1"/>
    <col min="15364" max="15364" width="8" style="16" customWidth="1"/>
    <col min="15365" max="15365" width="7.28515625" style="16" customWidth="1"/>
    <col min="15366" max="15366" width="7.7109375" style="16" customWidth="1"/>
    <col min="15367" max="15367" width="8.7109375" style="16" customWidth="1"/>
    <col min="15368" max="15368" width="8.140625" style="16" customWidth="1"/>
    <col min="15369" max="15369" width="7.140625" style="16" customWidth="1"/>
    <col min="15370" max="15370" width="7.85546875" style="16" customWidth="1"/>
    <col min="15371" max="15372" width="7" style="16" customWidth="1"/>
    <col min="15373" max="15373" width="6.85546875" style="16" customWidth="1"/>
    <col min="15374" max="15374" width="7" style="16" customWidth="1"/>
    <col min="15375" max="15375" width="7.14062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8.85546875" style="16" customWidth="1"/>
    <col min="15619" max="15619" width="10.7109375" style="16" bestFit="1" customWidth="1"/>
    <col min="15620" max="15620" width="8" style="16" customWidth="1"/>
    <col min="15621" max="15621" width="7.28515625" style="16" customWidth="1"/>
    <col min="15622" max="15622" width="7.7109375" style="16" customWidth="1"/>
    <col min="15623" max="15623" width="8.7109375" style="16" customWidth="1"/>
    <col min="15624" max="15624" width="8.140625" style="16" customWidth="1"/>
    <col min="15625" max="15625" width="7.140625" style="16" customWidth="1"/>
    <col min="15626" max="15626" width="7.85546875" style="16" customWidth="1"/>
    <col min="15627" max="15628" width="7" style="16" customWidth="1"/>
    <col min="15629" max="15629" width="6.85546875" style="16" customWidth="1"/>
    <col min="15630" max="15630" width="7" style="16" customWidth="1"/>
    <col min="15631" max="15631" width="7.14062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8.85546875" style="16" customWidth="1"/>
    <col min="15875" max="15875" width="10.7109375" style="16" bestFit="1" customWidth="1"/>
    <col min="15876" max="15876" width="8" style="16" customWidth="1"/>
    <col min="15877" max="15877" width="7.28515625" style="16" customWidth="1"/>
    <col min="15878" max="15878" width="7.7109375" style="16" customWidth="1"/>
    <col min="15879" max="15879" width="8.7109375" style="16" customWidth="1"/>
    <col min="15880" max="15880" width="8.140625" style="16" customWidth="1"/>
    <col min="15881" max="15881" width="7.140625" style="16" customWidth="1"/>
    <col min="15882" max="15882" width="7.85546875" style="16" customWidth="1"/>
    <col min="15883" max="15884" width="7" style="16" customWidth="1"/>
    <col min="15885" max="15885" width="6.85546875" style="16" customWidth="1"/>
    <col min="15886" max="15886" width="7" style="16" customWidth="1"/>
    <col min="15887" max="15887" width="7.14062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8.85546875" style="16" customWidth="1"/>
    <col min="16131" max="16131" width="10.7109375" style="16" bestFit="1" customWidth="1"/>
    <col min="16132" max="16132" width="8" style="16" customWidth="1"/>
    <col min="16133" max="16133" width="7.28515625" style="16" customWidth="1"/>
    <col min="16134" max="16134" width="7.7109375" style="16" customWidth="1"/>
    <col min="16135" max="16135" width="8.7109375" style="16" customWidth="1"/>
    <col min="16136" max="16136" width="8.140625" style="16" customWidth="1"/>
    <col min="16137" max="16137" width="7.140625" style="16" customWidth="1"/>
    <col min="16138" max="16138" width="7.85546875" style="16" customWidth="1"/>
    <col min="16139" max="16140" width="7" style="16" customWidth="1"/>
    <col min="16141" max="16141" width="6.85546875" style="16" customWidth="1"/>
    <col min="16142" max="16142" width="7" style="16" customWidth="1"/>
    <col min="16143" max="16143" width="7.14062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67" t="s">
        <v>100</v>
      </c>
      <c r="B1" s="868"/>
      <c r="C1" s="868"/>
      <c r="D1" s="911">
        <v>107</v>
      </c>
      <c r="E1" s="868"/>
      <c r="F1" s="868"/>
      <c r="G1" s="867" t="s">
        <v>102</v>
      </c>
      <c r="H1" s="869"/>
      <c r="I1" s="869" t="s">
        <v>53</v>
      </c>
      <c r="J1" s="868"/>
      <c r="K1" s="868"/>
      <c r="L1" s="870"/>
      <c r="M1" s="870"/>
      <c r="N1" s="870"/>
      <c r="O1" s="870"/>
    </row>
    <row r="2" spans="1:15" s="1" customFormat="1" x14ac:dyDescent="0.2">
      <c r="A2" s="867" t="s">
        <v>103</v>
      </c>
      <c r="B2" s="868"/>
      <c r="C2" s="868"/>
      <c r="D2" s="869"/>
      <c r="E2" s="868"/>
      <c r="F2" s="868"/>
      <c r="G2" s="867" t="s">
        <v>104</v>
      </c>
      <c r="H2" s="869"/>
      <c r="I2" s="869" t="s">
        <v>105</v>
      </c>
      <c r="J2" s="868"/>
      <c r="K2" s="868"/>
      <c r="L2" s="870"/>
      <c r="M2" s="870"/>
      <c r="N2" s="870"/>
      <c r="O2" s="870"/>
    </row>
    <row r="3" spans="1:15" s="1" customFormat="1" x14ac:dyDescent="0.2">
      <c r="A3" s="867" t="s">
        <v>106</v>
      </c>
      <c r="B3" s="868"/>
      <c r="C3" s="868"/>
      <c r="D3" s="883" t="s">
        <v>391</v>
      </c>
      <c r="E3" s="868"/>
      <c r="F3" s="868"/>
      <c r="G3" s="867" t="s">
        <v>107</v>
      </c>
      <c r="H3" s="869"/>
      <c r="I3" s="869" t="s">
        <v>108</v>
      </c>
      <c r="J3" s="868"/>
      <c r="K3" s="868"/>
      <c r="L3" s="870"/>
      <c r="M3" s="870"/>
      <c r="N3" s="870"/>
      <c r="O3" s="870"/>
    </row>
    <row r="4" spans="1:15" s="1" customFormat="1" x14ac:dyDescent="0.2">
      <c r="A4" s="867" t="s">
        <v>109</v>
      </c>
      <c r="B4" s="868"/>
      <c r="C4" s="868"/>
      <c r="D4" s="869"/>
      <c r="E4" s="868"/>
      <c r="F4" s="868"/>
      <c r="G4" s="867" t="s">
        <v>110</v>
      </c>
      <c r="H4" s="869"/>
      <c r="I4" s="869" t="s">
        <v>392</v>
      </c>
      <c r="J4" s="868"/>
      <c r="K4" s="868"/>
      <c r="L4" s="870"/>
      <c r="M4" s="870"/>
      <c r="N4" s="870"/>
      <c r="O4" s="870"/>
    </row>
    <row r="5" spans="1:15" s="1" customFormat="1" x14ac:dyDescent="0.2">
      <c r="A5" s="867" t="s">
        <v>278</v>
      </c>
      <c r="B5" s="868"/>
      <c r="C5" s="868"/>
      <c r="D5" s="869" t="s">
        <v>393</v>
      </c>
      <c r="E5" s="868"/>
      <c r="F5" s="868"/>
      <c r="G5" s="867"/>
      <c r="H5" s="868"/>
      <c r="I5" s="869" t="s">
        <v>113</v>
      </c>
      <c r="J5" s="868"/>
      <c r="K5" s="868"/>
      <c r="L5" s="870"/>
      <c r="M5" s="870"/>
      <c r="N5" s="870"/>
      <c r="O5" s="870"/>
    </row>
    <row r="6" spans="1:15" s="1" customFormat="1" x14ac:dyDescent="0.2">
      <c r="A6" s="871" t="s">
        <v>114</v>
      </c>
      <c r="B6" s="872"/>
      <c r="C6" s="872"/>
      <c r="D6" s="868" t="s">
        <v>394</v>
      </c>
      <c r="E6" s="868"/>
      <c r="F6" s="868"/>
      <c r="G6" s="871" t="s">
        <v>115</v>
      </c>
      <c r="H6" s="871"/>
      <c r="I6" s="2" t="s">
        <v>116</v>
      </c>
      <c r="J6" s="888"/>
      <c r="K6" s="888"/>
      <c r="L6" s="888"/>
      <c r="M6" s="888"/>
      <c r="N6" s="888"/>
      <c r="O6" s="889"/>
    </row>
    <row r="7" spans="1:15" s="1" customFormat="1" ht="13.5" thickBot="1" x14ac:dyDescent="0.25">
      <c r="A7" s="3"/>
      <c r="B7" s="4"/>
      <c r="C7" s="5"/>
      <c r="D7" s="6"/>
      <c r="E7" s="6"/>
      <c r="F7" s="6"/>
      <c r="G7" s="6"/>
      <c r="H7" s="6"/>
      <c r="I7" s="6"/>
      <c r="J7" s="7"/>
      <c r="K7" s="8"/>
      <c r="L7" s="875" t="s">
        <v>223</v>
      </c>
      <c r="M7" s="875"/>
      <c r="N7" s="875"/>
      <c r="O7" s="875"/>
    </row>
    <row r="8" spans="1:15" s="11" customFormat="1" x14ac:dyDescent="0.2">
      <c r="A8" s="876" t="str">
        <f>I1</f>
        <v>Mr. S.A. Acharekar</v>
      </c>
      <c r="B8" s="877"/>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70000</v>
      </c>
      <c r="D9" s="14">
        <v>70000</v>
      </c>
      <c r="E9" s="14">
        <v>70000</v>
      </c>
      <c r="F9" s="14">
        <v>70000</v>
      </c>
      <c r="G9" s="14">
        <v>72100</v>
      </c>
      <c r="H9" s="14">
        <v>72100</v>
      </c>
      <c r="I9" s="14">
        <v>72100</v>
      </c>
      <c r="J9" s="14">
        <v>72100</v>
      </c>
      <c r="K9" s="14">
        <v>72100</v>
      </c>
      <c r="L9" s="14">
        <v>72100</v>
      </c>
      <c r="M9" s="14">
        <v>72100</v>
      </c>
      <c r="N9" s="14">
        <v>72100</v>
      </c>
      <c r="O9" s="15">
        <f>SUM(C9:N9)</f>
        <v>856800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3500</v>
      </c>
      <c r="D11" s="17">
        <v>4900</v>
      </c>
      <c r="E11" s="17">
        <v>4900</v>
      </c>
      <c r="F11" s="17">
        <v>4900</v>
      </c>
      <c r="G11" s="17">
        <v>5047</v>
      </c>
      <c r="H11" s="17">
        <v>5047</v>
      </c>
      <c r="I11" s="17">
        <v>5047</v>
      </c>
      <c r="J11" s="17">
        <v>6489</v>
      </c>
      <c r="K11" s="17">
        <v>6489</v>
      </c>
      <c r="L11" s="17">
        <v>6489</v>
      </c>
      <c r="M11" s="17">
        <v>6489</v>
      </c>
      <c r="N11" s="17">
        <v>6489</v>
      </c>
      <c r="O11" s="18">
        <f>SUM(C11:N11)</f>
        <v>65786</v>
      </c>
    </row>
    <row r="12" spans="1:15"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x14ac:dyDescent="0.2">
      <c r="A14" s="12"/>
      <c r="B14" s="13" t="s">
        <v>123</v>
      </c>
      <c r="C14" s="17">
        <v>3780</v>
      </c>
      <c r="D14" s="17">
        <v>3752</v>
      </c>
      <c r="E14" s="17">
        <v>3752</v>
      </c>
      <c r="F14" s="17">
        <v>3752</v>
      </c>
      <c r="G14" s="17">
        <v>3752</v>
      </c>
      <c r="H14" s="17">
        <v>3752</v>
      </c>
      <c r="I14" s="17">
        <v>3752</v>
      </c>
      <c r="J14" s="17">
        <v>3924</v>
      </c>
      <c r="K14" s="17">
        <v>3924</v>
      </c>
      <c r="L14" s="17">
        <v>3924</v>
      </c>
      <c r="M14" s="17">
        <v>3924</v>
      </c>
      <c r="N14" s="17">
        <v>3924</v>
      </c>
      <c r="O14" s="18">
        <f t="shared" si="0"/>
        <v>45912</v>
      </c>
    </row>
    <row r="15" spans="1:15" ht="15"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hidden="1"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127</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16800</v>
      </c>
      <c r="D19" s="17">
        <v>16800</v>
      </c>
      <c r="E19" s="17">
        <v>16800</v>
      </c>
      <c r="F19" s="17">
        <v>16800</v>
      </c>
      <c r="G19" s="17">
        <v>17304</v>
      </c>
      <c r="H19" s="17">
        <v>17304</v>
      </c>
      <c r="I19" s="17">
        <v>17304</v>
      </c>
      <c r="J19" s="17">
        <v>17304</v>
      </c>
      <c r="K19" s="17">
        <v>17304</v>
      </c>
      <c r="L19" s="17">
        <v>17304</v>
      </c>
      <c r="M19" s="17">
        <v>17304</v>
      </c>
      <c r="N19" s="17">
        <v>17304</v>
      </c>
      <c r="O19" s="18">
        <f t="shared" si="0"/>
        <v>205632</v>
      </c>
    </row>
    <row r="20" spans="1:15" ht="15" customHeight="1" x14ac:dyDescent="0.2">
      <c r="A20" s="12"/>
      <c r="B20" s="13" t="s">
        <v>129</v>
      </c>
      <c r="C20" s="17">
        <v>0</v>
      </c>
      <c r="D20" s="17">
        <v>0</v>
      </c>
      <c r="E20" s="17">
        <v>0</v>
      </c>
      <c r="F20" s="17">
        <v>0</v>
      </c>
      <c r="G20" s="17">
        <v>52500</v>
      </c>
      <c r="H20" s="17">
        <v>0</v>
      </c>
      <c r="I20" s="17">
        <v>0</v>
      </c>
      <c r="J20" s="17">
        <v>0</v>
      </c>
      <c r="K20" s="17">
        <v>0</v>
      </c>
      <c r="L20" s="17">
        <v>0</v>
      </c>
      <c r="M20" s="17">
        <v>0</v>
      </c>
      <c r="N20" s="17">
        <v>0</v>
      </c>
      <c r="O20" s="18">
        <f t="shared" si="0"/>
        <v>52500</v>
      </c>
    </row>
    <row r="21" spans="1:15" ht="15" hidden="1" customHeight="1" x14ac:dyDescent="0.2">
      <c r="A21" s="878"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79"/>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5" ht="15" hidden="1" customHeight="1" x14ac:dyDescent="0.2">
      <c r="A23" s="879"/>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79"/>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79"/>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79"/>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79"/>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79"/>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79"/>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79"/>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79"/>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79"/>
      <c r="B32" s="21" t="s">
        <v>142</v>
      </c>
      <c r="C32" s="17">
        <v>0</v>
      </c>
      <c r="D32" s="17">
        <v>0</v>
      </c>
      <c r="E32" s="17">
        <v>51246</v>
      </c>
      <c r="F32" s="17">
        <v>0</v>
      </c>
      <c r="G32" s="17">
        <v>0</v>
      </c>
      <c r="H32" s="17">
        <v>0</v>
      </c>
      <c r="I32" s="17">
        <v>0</v>
      </c>
      <c r="J32" s="17">
        <v>0</v>
      </c>
      <c r="K32" s="17">
        <v>0</v>
      </c>
      <c r="L32" s="17">
        <v>0</v>
      </c>
      <c r="M32" s="17">
        <v>0</v>
      </c>
      <c r="N32" s="17">
        <v>0</v>
      </c>
      <c r="O32" s="18">
        <f t="shared" si="0"/>
        <v>51246</v>
      </c>
    </row>
    <row r="33" spans="1:16" ht="15" hidden="1" customHeight="1" x14ac:dyDescent="0.2">
      <c r="A33" s="880"/>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865" t="s">
        <v>143</v>
      </c>
      <c r="B34" s="866"/>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865" t="s">
        <v>145</v>
      </c>
      <c r="B35" s="866"/>
      <c r="C35" s="17">
        <v>216</v>
      </c>
      <c r="D35" s="17">
        <v>0</v>
      </c>
      <c r="E35" s="17">
        <v>0</v>
      </c>
      <c r="F35" s="17">
        <v>0</v>
      </c>
      <c r="G35" s="17">
        <v>0</v>
      </c>
      <c r="H35" s="17">
        <v>0</v>
      </c>
      <c r="I35" s="17">
        <v>0</v>
      </c>
      <c r="J35" s="17">
        <v>216</v>
      </c>
      <c r="K35" s="17">
        <v>0</v>
      </c>
      <c r="L35" s="17">
        <v>0</v>
      </c>
      <c r="M35" s="17">
        <v>0</v>
      </c>
      <c r="N35" s="17">
        <v>0</v>
      </c>
      <c r="O35" s="18">
        <f t="shared" si="0"/>
        <v>432</v>
      </c>
    </row>
    <row r="36" spans="1:16" ht="15" customHeight="1" x14ac:dyDescent="0.2">
      <c r="A36" s="865" t="s">
        <v>146</v>
      </c>
      <c r="B36" s="866"/>
      <c r="C36" s="17">
        <v>4200</v>
      </c>
      <c r="D36" s="17">
        <v>0</v>
      </c>
      <c r="E36" s="17">
        <v>0</v>
      </c>
      <c r="F36" s="17">
        <v>0</v>
      </c>
      <c r="G36" s="17">
        <v>0</v>
      </c>
      <c r="H36" s="17">
        <v>0</v>
      </c>
      <c r="I36" s="17">
        <v>0</v>
      </c>
      <c r="J36" s="17">
        <v>4326</v>
      </c>
      <c r="K36" s="17">
        <v>0</v>
      </c>
      <c r="L36" s="17">
        <v>0</v>
      </c>
      <c r="M36" s="17">
        <v>0</v>
      </c>
      <c r="N36" s="17">
        <v>0</v>
      </c>
      <c r="O36" s="18">
        <f t="shared" si="0"/>
        <v>8526</v>
      </c>
    </row>
    <row r="37" spans="1:16" ht="15" customHeight="1" x14ac:dyDescent="0.2">
      <c r="A37" s="22"/>
      <c r="B37" s="23" t="s">
        <v>147</v>
      </c>
      <c r="C37" s="24">
        <f t="shared" ref="C37:N37" si="1">SUM(C9:C36)</f>
        <v>98496</v>
      </c>
      <c r="D37" s="24">
        <f t="shared" si="1"/>
        <v>95452</v>
      </c>
      <c r="E37" s="24">
        <f t="shared" si="1"/>
        <v>146698</v>
      </c>
      <c r="F37" s="24">
        <f t="shared" si="1"/>
        <v>95452</v>
      </c>
      <c r="G37" s="24">
        <f t="shared" si="1"/>
        <v>150703</v>
      </c>
      <c r="H37" s="24">
        <f t="shared" si="1"/>
        <v>98203</v>
      </c>
      <c r="I37" s="24">
        <f t="shared" si="1"/>
        <v>98203</v>
      </c>
      <c r="J37" s="24">
        <f t="shared" si="1"/>
        <v>111267</v>
      </c>
      <c r="K37" s="24">
        <f t="shared" si="1"/>
        <v>99817</v>
      </c>
      <c r="L37" s="24">
        <f t="shared" si="1"/>
        <v>99817</v>
      </c>
      <c r="M37" s="24">
        <f t="shared" si="1"/>
        <v>99817</v>
      </c>
      <c r="N37" s="24">
        <f t="shared" si="1"/>
        <v>99817</v>
      </c>
      <c r="O37" s="25">
        <f>SUM(C37:N37)</f>
        <v>1293742</v>
      </c>
    </row>
    <row r="38" spans="1:16" ht="15" customHeight="1" x14ac:dyDescent="0.2">
      <c r="A38" s="853" t="s">
        <v>148</v>
      </c>
      <c r="B38" s="27" t="s">
        <v>149</v>
      </c>
      <c r="C38" s="28">
        <v>7600</v>
      </c>
      <c r="D38" s="28">
        <v>7000</v>
      </c>
      <c r="E38" s="28">
        <v>12124</v>
      </c>
      <c r="F38" s="28">
        <v>7000</v>
      </c>
      <c r="G38" s="28">
        <v>7000</v>
      </c>
      <c r="H38" s="28">
        <v>7000</v>
      </c>
      <c r="I38" s="28">
        <v>7000</v>
      </c>
      <c r="J38" s="28">
        <v>7000</v>
      </c>
      <c r="K38" s="28">
        <v>20000</v>
      </c>
      <c r="L38" s="28">
        <v>11165</v>
      </c>
      <c r="M38" s="28">
        <v>11165</v>
      </c>
      <c r="N38" s="28">
        <v>12273</v>
      </c>
      <c r="O38" s="18">
        <f>SUM(C38:N38)</f>
        <v>116327</v>
      </c>
      <c r="P38" s="29"/>
    </row>
    <row r="39" spans="1:16" ht="15" x14ac:dyDescent="0.2">
      <c r="A39" s="854"/>
      <c r="B39" s="27" t="s">
        <v>150</v>
      </c>
      <c r="C39" s="28">
        <v>0</v>
      </c>
      <c r="D39" s="28">
        <v>0</v>
      </c>
      <c r="E39" s="28">
        <v>0</v>
      </c>
      <c r="F39" s="28">
        <v>0</v>
      </c>
      <c r="G39" s="28">
        <v>0</v>
      </c>
      <c r="H39" s="28">
        <v>0</v>
      </c>
      <c r="I39" s="28">
        <v>0</v>
      </c>
      <c r="J39" s="28">
        <v>0</v>
      </c>
      <c r="K39" s="28">
        <v>0</v>
      </c>
      <c r="L39" s="28">
        <v>0</v>
      </c>
      <c r="M39" s="28">
        <v>0</v>
      </c>
      <c r="N39" s="28">
        <v>0</v>
      </c>
      <c r="O39" s="18">
        <f>SUM(C39:N39)</f>
        <v>0</v>
      </c>
    </row>
    <row r="40" spans="1:16" ht="15" x14ac:dyDescent="0.2">
      <c r="A40" s="854"/>
      <c r="B40" s="27" t="s">
        <v>151</v>
      </c>
      <c r="C40" s="28">
        <v>60</v>
      </c>
      <c r="D40" s="28">
        <v>60</v>
      </c>
      <c r="E40" s="28">
        <v>60</v>
      </c>
      <c r="F40" s="28">
        <v>60</v>
      </c>
      <c r="G40" s="28">
        <v>60</v>
      </c>
      <c r="H40" s="28">
        <v>60</v>
      </c>
      <c r="I40" s="28">
        <v>60</v>
      </c>
      <c r="J40" s="28">
        <v>60</v>
      </c>
      <c r="K40" s="28">
        <v>0</v>
      </c>
      <c r="L40" s="28">
        <v>0</v>
      </c>
      <c r="M40" s="28">
        <v>0</v>
      </c>
      <c r="N40" s="28">
        <v>0</v>
      </c>
      <c r="O40" s="18">
        <f t="shared" ref="O40:O50" si="2">SUM(C40:N40)</f>
        <v>480</v>
      </c>
    </row>
    <row r="41" spans="1:16" ht="15" x14ac:dyDescent="0.2">
      <c r="A41" s="854"/>
      <c r="B41" s="27" t="s">
        <v>152</v>
      </c>
      <c r="C41" s="28">
        <v>0</v>
      </c>
      <c r="D41" s="28">
        <v>0</v>
      </c>
      <c r="E41" s="28">
        <v>0</v>
      </c>
      <c r="F41" s="28">
        <v>0</v>
      </c>
      <c r="G41" s="28">
        <v>0</v>
      </c>
      <c r="H41" s="28">
        <v>0</v>
      </c>
      <c r="I41" s="28">
        <v>0</v>
      </c>
      <c r="J41" s="28">
        <v>0</v>
      </c>
      <c r="K41" s="28">
        <v>0</v>
      </c>
      <c r="L41" s="28">
        <v>0</v>
      </c>
      <c r="M41" s="28">
        <v>0</v>
      </c>
      <c r="N41" s="28">
        <v>0</v>
      </c>
      <c r="O41" s="18">
        <f t="shared" si="2"/>
        <v>0</v>
      </c>
    </row>
    <row r="42" spans="1:16" ht="15" x14ac:dyDescent="0.2">
      <c r="A42" s="854"/>
      <c r="B42" s="27" t="s">
        <v>153</v>
      </c>
      <c r="C42" s="28">
        <v>650</v>
      </c>
      <c r="D42" s="28">
        <v>650</v>
      </c>
      <c r="E42" s="28">
        <v>650</v>
      </c>
      <c r="F42" s="28">
        <v>650</v>
      </c>
      <c r="G42" s="28">
        <v>650</v>
      </c>
      <c r="H42" s="28">
        <v>650</v>
      </c>
      <c r="I42" s="28">
        <v>650</v>
      </c>
      <c r="J42" s="28">
        <v>650</v>
      </c>
      <c r="K42" s="28">
        <v>650</v>
      </c>
      <c r="L42" s="28">
        <v>650</v>
      </c>
      <c r="M42" s="28">
        <v>650</v>
      </c>
      <c r="N42" s="28">
        <v>650</v>
      </c>
      <c r="O42" s="18">
        <f t="shared" si="2"/>
        <v>7800</v>
      </c>
    </row>
    <row r="43" spans="1:16" ht="15" x14ac:dyDescent="0.2">
      <c r="A43" s="854"/>
      <c r="B43" s="27" t="s">
        <v>154</v>
      </c>
      <c r="C43" s="28">
        <v>30000</v>
      </c>
      <c r="D43" s="28">
        <v>40000</v>
      </c>
      <c r="E43" s="28">
        <v>40000</v>
      </c>
      <c r="F43" s="28">
        <v>40000</v>
      </c>
      <c r="G43" s="28">
        <v>40000</v>
      </c>
      <c r="H43" s="28">
        <v>40000</v>
      </c>
      <c r="I43" s="28">
        <v>40000</v>
      </c>
      <c r="J43" s="28">
        <v>40000</v>
      </c>
      <c r="K43" s="28">
        <v>0</v>
      </c>
      <c r="L43" s="28">
        <v>0</v>
      </c>
      <c r="M43" s="28">
        <v>0</v>
      </c>
      <c r="N43" s="28">
        <v>0</v>
      </c>
      <c r="O43" s="18">
        <f t="shared" si="2"/>
        <v>310000</v>
      </c>
    </row>
    <row r="44" spans="1:16" ht="15" x14ac:dyDescent="0.2">
      <c r="A44" s="854"/>
      <c r="B44" s="27" t="s">
        <v>155</v>
      </c>
      <c r="C44" s="28">
        <v>200</v>
      </c>
      <c r="D44" s="28">
        <v>200</v>
      </c>
      <c r="E44" s="28">
        <v>200</v>
      </c>
      <c r="F44" s="28">
        <v>200</v>
      </c>
      <c r="G44" s="28">
        <v>200</v>
      </c>
      <c r="H44" s="28">
        <v>200</v>
      </c>
      <c r="I44" s="28">
        <v>200</v>
      </c>
      <c r="J44" s="28">
        <v>200</v>
      </c>
      <c r="K44" s="28">
        <v>0</v>
      </c>
      <c r="L44" s="28">
        <v>0</v>
      </c>
      <c r="M44" s="28">
        <v>0</v>
      </c>
      <c r="N44" s="28">
        <v>0</v>
      </c>
      <c r="O44" s="18">
        <f t="shared" si="2"/>
        <v>1600</v>
      </c>
    </row>
    <row r="45" spans="1:16" ht="30" x14ac:dyDescent="0.2">
      <c r="A45" s="854"/>
      <c r="B45" s="27" t="s">
        <v>371</v>
      </c>
      <c r="C45" s="28">
        <v>0</v>
      </c>
      <c r="D45" s="28">
        <v>0</v>
      </c>
      <c r="E45" s="28">
        <v>0</v>
      </c>
      <c r="F45" s="28">
        <v>0</v>
      </c>
      <c r="G45" s="28">
        <v>0</v>
      </c>
      <c r="H45" s="28">
        <v>0</v>
      </c>
      <c r="I45" s="28">
        <v>0</v>
      </c>
      <c r="J45" s="28">
        <v>0</v>
      </c>
      <c r="K45" s="28">
        <v>0</v>
      </c>
      <c r="L45" s="28">
        <v>0</v>
      </c>
      <c r="M45" s="28">
        <v>0</v>
      </c>
      <c r="N45" s="28">
        <v>0</v>
      </c>
      <c r="O45" s="18">
        <f t="shared" si="2"/>
        <v>0</v>
      </c>
    </row>
    <row r="46" spans="1:16" ht="15" x14ac:dyDescent="0.2">
      <c r="A46" s="854"/>
      <c r="B46" s="27" t="s">
        <v>157</v>
      </c>
      <c r="C46" s="28">
        <v>0</v>
      </c>
      <c r="D46" s="28">
        <v>0</v>
      </c>
      <c r="E46" s="28">
        <v>0</v>
      </c>
      <c r="F46" s="28">
        <v>0</v>
      </c>
      <c r="G46" s="28">
        <v>0</v>
      </c>
      <c r="H46" s="28">
        <v>0</v>
      </c>
      <c r="I46" s="28">
        <v>0</v>
      </c>
      <c r="J46" s="28">
        <v>0</v>
      </c>
      <c r="K46" s="28">
        <v>0</v>
      </c>
      <c r="L46" s="28">
        <v>0</v>
      </c>
      <c r="M46" s="28">
        <v>0</v>
      </c>
      <c r="N46" s="28">
        <v>0</v>
      </c>
      <c r="O46" s="18">
        <f t="shared" si="2"/>
        <v>0</v>
      </c>
    </row>
    <row r="47" spans="1:16" ht="28.5" customHeight="1" x14ac:dyDescent="0.2">
      <c r="A47" s="855"/>
      <c r="B47" s="30" t="s">
        <v>158</v>
      </c>
      <c r="C47" s="28">
        <v>0</v>
      </c>
      <c r="D47" s="28">
        <v>0</v>
      </c>
      <c r="E47" s="28">
        <v>0</v>
      </c>
      <c r="F47" s="28">
        <v>0</v>
      </c>
      <c r="G47" s="28">
        <v>0</v>
      </c>
      <c r="H47" s="28">
        <v>0</v>
      </c>
      <c r="I47" s="28">
        <v>0</v>
      </c>
      <c r="J47" s="28">
        <v>0</v>
      </c>
      <c r="K47" s="28">
        <v>0</v>
      </c>
      <c r="L47" s="28">
        <v>0</v>
      </c>
      <c r="M47" s="28">
        <v>0</v>
      </c>
      <c r="N47" s="28">
        <v>0</v>
      </c>
      <c r="O47" s="31">
        <f t="shared" si="2"/>
        <v>0</v>
      </c>
    </row>
    <row r="48" spans="1:16" ht="15" x14ac:dyDescent="0.2">
      <c r="A48" s="856"/>
      <c r="B48" s="127" t="s">
        <v>395</v>
      </c>
      <c r="C48" s="28">
        <v>0</v>
      </c>
      <c r="D48" s="28">
        <v>0</v>
      </c>
      <c r="E48" s="28">
        <v>0</v>
      </c>
      <c r="F48" s="28">
        <v>0</v>
      </c>
      <c r="G48" s="28">
        <v>0</v>
      </c>
      <c r="H48" s="28">
        <v>0</v>
      </c>
      <c r="I48" s="28">
        <v>0</v>
      </c>
      <c r="J48" s="28">
        <v>0</v>
      </c>
      <c r="K48" s="28">
        <v>0</v>
      </c>
      <c r="L48" s="28">
        <v>0</v>
      </c>
      <c r="M48" s="28">
        <v>0</v>
      </c>
      <c r="N48" s="28">
        <v>0</v>
      </c>
      <c r="O48" s="31">
        <f t="shared" si="2"/>
        <v>0</v>
      </c>
    </row>
    <row r="49" spans="1:18" ht="15" x14ac:dyDescent="0.2">
      <c r="A49" s="857" t="s">
        <v>160</v>
      </c>
      <c r="B49" s="858"/>
      <c r="C49" s="33">
        <f t="shared" ref="C49:N49" si="3">SUM(C38:C48)</f>
        <v>38510</v>
      </c>
      <c r="D49" s="33">
        <f t="shared" si="3"/>
        <v>47910</v>
      </c>
      <c r="E49" s="33">
        <f t="shared" si="3"/>
        <v>53034</v>
      </c>
      <c r="F49" s="33">
        <f t="shared" si="3"/>
        <v>47910</v>
      </c>
      <c r="G49" s="33">
        <f t="shared" si="3"/>
        <v>47910</v>
      </c>
      <c r="H49" s="33">
        <f t="shared" si="3"/>
        <v>47910</v>
      </c>
      <c r="I49" s="33">
        <f t="shared" si="3"/>
        <v>47910</v>
      </c>
      <c r="J49" s="33">
        <f t="shared" si="3"/>
        <v>47910</v>
      </c>
      <c r="K49" s="33">
        <f t="shared" si="3"/>
        <v>20650</v>
      </c>
      <c r="L49" s="33">
        <f t="shared" si="3"/>
        <v>11815</v>
      </c>
      <c r="M49" s="33">
        <f t="shared" si="3"/>
        <v>11815</v>
      </c>
      <c r="N49" s="33">
        <f t="shared" si="3"/>
        <v>12923</v>
      </c>
      <c r="O49" s="34">
        <f t="shared" si="2"/>
        <v>436207</v>
      </c>
    </row>
    <row r="50" spans="1:18" ht="15.75" thickBot="1" x14ac:dyDescent="0.25">
      <c r="A50" s="859" t="s">
        <v>161</v>
      </c>
      <c r="B50" s="860"/>
      <c r="C50" s="35">
        <f t="shared" ref="C50:N50" si="4">C37-C49</f>
        <v>59986</v>
      </c>
      <c r="D50" s="35">
        <f t="shared" si="4"/>
        <v>47542</v>
      </c>
      <c r="E50" s="35">
        <f t="shared" si="4"/>
        <v>93664</v>
      </c>
      <c r="F50" s="35">
        <f t="shared" si="4"/>
        <v>47542</v>
      </c>
      <c r="G50" s="35">
        <f t="shared" si="4"/>
        <v>102793</v>
      </c>
      <c r="H50" s="35">
        <f t="shared" si="4"/>
        <v>50293</v>
      </c>
      <c r="I50" s="35">
        <f t="shared" si="4"/>
        <v>50293</v>
      </c>
      <c r="J50" s="35">
        <f t="shared" si="4"/>
        <v>63357</v>
      </c>
      <c r="K50" s="35">
        <f t="shared" si="4"/>
        <v>79167</v>
      </c>
      <c r="L50" s="35">
        <f t="shared" si="4"/>
        <v>88002</v>
      </c>
      <c r="M50" s="35">
        <f t="shared" si="4"/>
        <v>88002</v>
      </c>
      <c r="N50" s="35">
        <f t="shared" si="4"/>
        <v>86894</v>
      </c>
      <c r="O50" s="36">
        <f t="shared" si="2"/>
        <v>857535</v>
      </c>
    </row>
    <row r="51" spans="1:18" x14ac:dyDescent="0.2">
      <c r="J51" s="128">
        <f>+J37-SUM(J22:J36)</f>
        <v>99817</v>
      </c>
      <c r="Q51" s="38"/>
    </row>
    <row r="52" spans="1:18" ht="13.5" thickBot="1" x14ac:dyDescent="0.25">
      <c r="J52" s="38">
        <f>+J51-J49</f>
        <v>51907</v>
      </c>
    </row>
    <row r="53" spans="1:18" ht="13.5" thickBot="1" x14ac:dyDescent="0.25">
      <c r="B53" s="789" t="s">
        <v>162</v>
      </c>
      <c r="C53" s="861"/>
      <c r="D53" s="861"/>
      <c r="E53" s="861"/>
      <c r="F53" s="862"/>
      <c r="G53" s="863">
        <f>O37</f>
        <v>1293742</v>
      </c>
      <c r="H53" s="864"/>
    </row>
    <row r="54" spans="1:18" ht="13.5" thickBot="1" x14ac:dyDescent="0.25"/>
    <row r="55" spans="1:18" x14ac:dyDescent="0.2">
      <c r="B55" s="830" t="s">
        <v>163</v>
      </c>
      <c r="C55" s="833" t="s">
        <v>164</v>
      </c>
      <c r="D55" s="836" t="s">
        <v>229</v>
      </c>
      <c r="E55" s="837"/>
      <c r="F55" s="838"/>
      <c r="G55" s="839">
        <v>40000</v>
      </c>
      <c r="H55" s="840"/>
    </row>
    <row r="56" spans="1:18" x14ac:dyDescent="0.2">
      <c r="B56" s="831"/>
      <c r="C56" s="834"/>
      <c r="D56" s="841" t="s">
        <v>166</v>
      </c>
      <c r="E56" s="842"/>
      <c r="F56" s="843"/>
      <c r="G56" s="844">
        <f>+O44</f>
        <v>1600</v>
      </c>
      <c r="H56" s="845"/>
      <c r="I56" s="39"/>
      <c r="J56" s="846"/>
      <c r="K56" s="846"/>
      <c r="L56" s="846"/>
      <c r="M56" s="847"/>
      <c r="N56" s="847"/>
      <c r="O56" s="847"/>
    </row>
    <row r="57" spans="1:18" x14ac:dyDescent="0.2">
      <c r="B57" s="886"/>
      <c r="C57" s="887"/>
      <c r="D57" s="153" t="s">
        <v>129</v>
      </c>
      <c r="E57" s="41"/>
      <c r="F57" s="42"/>
      <c r="G57" s="43"/>
      <c r="H57" s="44">
        <v>0</v>
      </c>
      <c r="I57" s="39"/>
      <c r="J57" s="45"/>
      <c r="K57" s="45"/>
      <c r="L57" s="45"/>
      <c r="M57" s="46"/>
      <c r="N57" s="46"/>
      <c r="O57" s="46"/>
    </row>
    <row r="58" spans="1:18" ht="13.5" thickBot="1" x14ac:dyDescent="0.25">
      <c r="B58" s="832"/>
      <c r="C58" s="835"/>
      <c r="D58" s="921" t="s">
        <v>167</v>
      </c>
      <c r="E58" s="849"/>
      <c r="F58" s="850"/>
      <c r="G58" s="851">
        <f>IF(O18&gt;15000,15000,+O18)</f>
        <v>0</v>
      </c>
      <c r="H58" s="852"/>
      <c r="J58" s="47"/>
      <c r="K58" s="47"/>
      <c r="L58" s="47"/>
      <c r="M58" s="47"/>
      <c r="N58" s="47"/>
      <c r="O58" s="47"/>
    </row>
    <row r="59" spans="1:18" ht="13.5" thickBot="1" x14ac:dyDescent="0.25">
      <c r="B59" s="48"/>
      <c r="J59" s="47"/>
      <c r="K59" s="47"/>
      <c r="L59" s="47"/>
      <c r="M59" s="47"/>
      <c r="N59" s="47"/>
      <c r="O59" s="47"/>
    </row>
    <row r="60" spans="1:18" ht="13.5" thickBot="1" x14ac:dyDescent="0.25">
      <c r="B60" s="789" t="s">
        <v>168</v>
      </c>
      <c r="C60" s="790"/>
      <c r="D60" s="790"/>
      <c r="E60" s="790"/>
      <c r="F60" s="791"/>
      <c r="G60" s="825">
        <f>+G53-SUM(G55:H58)</f>
        <v>1252142</v>
      </c>
      <c r="H60" s="826"/>
      <c r="J60" s="827" t="s">
        <v>169</v>
      </c>
      <c r="K60" s="828"/>
      <c r="L60" s="828"/>
      <c r="M60" s="828"/>
      <c r="N60" s="828"/>
      <c r="O60" s="829"/>
    </row>
    <row r="61" spans="1:18" ht="13.5" thickBot="1" x14ac:dyDescent="0.25">
      <c r="B61" s="49"/>
      <c r="C61" s="50"/>
      <c r="D61" s="50"/>
      <c r="E61" s="50"/>
      <c r="F61" s="50"/>
      <c r="G61" s="45"/>
      <c r="H61" s="50"/>
      <c r="J61" s="129"/>
      <c r="K61" s="130"/>
      <c r="L61" s="130"/>
      <c r="M61" s="130"/>
      <c r="N61" s="130"/>
      <c r="O61" s="131"/>
    </row>
    <row r="62" spans="1:18" ht="13.5" thickBot="1" x14ac:dyDescent="0.25">
      <c r="B62" s="789" t="s">
        <v>170</v>
      </c>
      <c r="C62" s="790"/>
      <c r="D62" s="790"/>
      <c r="E62" s="790"/>
      <c r="F62" s="791"/>
      <c r="G62" s="805"/>
      <c r="H62" s="791"/>
      <c r="J62" s="129"/>
      <c r="K62" s="130"/>
      <c r="L62" s="130"/>
      <c r="M62" s="130"/>
      <c r="N62" s="130"/>
      <c r="O62" s="131"/>
    </row>
    <row r="63" spans="1:18" ht="12.75" customHeight="1" x14ac:dyDescent="0.2">
      <c r="B63" s="57" t="s">
        <v>171</v>
      </c>
      <c r="C63" s="806" t="s">
        <v>172</v>
      </c>
      <c r="D63" s="807"/>
      <c r="E63" s="807"/>
      <c r="F63" s="808"/>
      <c r="G63" s="809">
        <v>87357</v>
      </c>
      <c r="H63" s="809"/>
      <c r="I63" s="58"/>
      <c r="J63" s="810" t="s">
        <v>173</v>
      </c>
      <c r="K63" s="811"/>
      <c r="L63" s="811"/>
      <c r="M63" s="811"/>
      <c r="N63" s="811"/>
      <c r="O63" s="812"/>
      <c r="Q63" s="59"/>
      <c r="R63" s="59"/>
    </row>
    <row r="64" spans="1:18" ht="13.5" thickBot="1" x14ac:dyDescent="0.25">
      <c r="D64" s="37"/>
      <c r="I64" s="58"/>
      <c r="J64" s="60"/>
      <c r="K64" s="61"/>
      <c r="L64" s="61"/>
      <c r="M64" s="61"/>
      <c r="N64" s="61"/>
      <c r="O64" s="62"/>
      <c r="P64" s="16" t="s">
        <v>396</v>
      </c>
      <c r="Q64" s="59"/>
      <c r="R64" s="59"/>
    </row>
    <row r="65" spans="2:18" ht="13.5" thickBot="1" x14ac:dyDescent="0.25">
      <c r="B65" s="789" t="s">
        <v>175</v>
      </c>
      <c r="C65" s="790"/>
      <c r="D65" s="790"/>
      <c r="E65" s="790"/>
      <c r="F65" s="791"/>
      <c r="G65" s="805">
        <f>+G60-G63</f>
        <v>1164785</v>
      </c>
      <c r="H65" s="791"/>
      <c r="I65" s="63"/>
      <c r="J65" s="75"/>
      <c r="K65" s="39"/>
      <c r="L65" s="39"/>
      <c r="M65" s="39"/>
      <c r="N65" s="39"/>
      <c r="O65" s="65"/>
      <c r="P65" s="16" t="s">
        <v>388</v>
      </c>
      <c r="Q65" s="59"/>
      <c r="R65" s="59"/>
    </row>
    <row r="66" spans="2:18" ht="12.75" customHeight="1" x14ac:dyDescent="0.2">
      <c r="B66" s="48"/>
      <c r="C66" s="48"/>
      <c r="I66" s="63"/>
      <c r="J66" s="64"/>
      <c r="K66" s="39"/>
      <c r="L66" s="39"/>
      <c r="M66" s="39"/>
      <c r="N66" s="39"/>
      <c r="O66" s="65"/>
      <c r="Q66" s="59"/>
      <c r="R66" s="59"/>
    </row>
    <row r="67" spans="2:18" x14ac:dyDescent="0.2">
      <c r="B67" s="66" t="s">
        <v>176</v>
      </c>
      <c r="C67" s="48"/>
      <c r="I67" s="63"/>
      <c r="J67" s="67"/>
      <c r="K67" s="68"/>
      <c r="L67" s="68"/>
      <c r="M67" s="68"/>
      <c r="N67" s="68"/>
      <c r="O67" s="69"/>
      <c r="Q67" s="59"/>
      <c r="R67" s="59"/>
    </row>
    <row r="68" spans="2:18" ht="26.25" customHeight="1" thickBot="1" x14ac:dyDescent="0.25">
      <c r="B68" s="66"/>
      <c r="C68" s="48"/>
      <c r="G68" s="70" t="s">
        <v>177</v>
      </c>
      <c r="H68" s="70" t="s">
        <v>178</v>
      </c>
      <c r="I68" s="63"/>
      <c r="J68" s="810" t="s">
        <v>179</v>
      </c>
      <c r="K68" s="811"/>
      <c r="L68" s="71"/>
      <c r="M68" s="71"/>
      <c r="N68" s="71"/>
      <c r="O68" s="72"/>
      <c r="Q68" s="59"/>
      <c r="R68" s="59"/>
    </row>
    <row r="69" spans="2:18" ht="12.75" customHeight="1" x14ac:dyDescent="0.2">
      <c r="B69" s="802" t="s">
        <v>180</v>
      </c>
      <c r="C69" s="821" t="s">
        <v>181</v>
      </c>
      <c r="D69" s="823" t="s">
        <v>182</v>
      </c>
      <c r="E69" s="824"/>
      <c r="F69" s="824"/>
      <c r="G69" s="73">
        <f>+O43</f>
        <v>310000</v>
      </c>
      <c r="H69" s="74">
        <f t="shared" ref="H69:H77" si="5">+G69</f>
        <v>310000</v>
      </c>
      <c r="I69" s="63"/>
      <c r="J69" s="75" t="s">
        <v>183</v>
      </c>
      <c r="K69" s="58"/>
      <c r="L69" s="58"/>
      <c r="M69" s="58"/>
      <c r="N69" s="58"/>
      <c r="O69" s="76"/>
      <c r="Q69" s="59"/>
      <c r="R69" s="59"/>
    </row>
    <row r="70" spans="2:18" ht="12.75" customHeight="1" x14ac:dyDescent="0.2">
      <c r="B70" s="803"/>
      <c r="C70" s="822"/>
      <c r="D70" s="782" t="s">
        <v>184</v>
      </c>
      <c r="E70" s="783"/>
      <c r="F70" s="783"/>
      <c r="G70" s="77">
        <f>+O47</f>
        <v>0</v>
      </c>
      <c r="H70" s="78">
        <f t="shared" si="5"/>
        <v>0</v>
      </c>
      <c r="I70" s="63"/>
      <c r="J70" s="79"/>
      <c r="K70" s="68"/>
      <c r="L70" s="68"/>
      <c r="M70" s="68"/>
      <c r="N70" s="68"/>
      <c r="O70" s="69"/>
      <c r="Q70" s="59"/>
      <c r="R70" s="59"/>
    </row>
    <row r="71" spans="2:18" ht="12.75" customHeight="1" x14ac:dyDescent="0.2">
      <c r="B71" s="803"/>
      <c r="C71" s="822"/>
      <c r="D71" s="819" t="s">
        <v>185</v>
      </c>
      <c r="E71" s="820"/>
      <c r="F71" s="820"/>
      <c r="G71" s="80">
        <f>O40</f>
        <v>480</v>
      </c>
      <c r="H71" s="78">
        <f t="shared" si="5"/>
        <v>480</v>
      </c>
      <c r="I71" s="63"/>
      <c r="J71" s="67"/>
      <c r="K71" s="68"/>
      <c r="L71" s="68"/>
      <c r="M71" s="68"/>
      <c r="N71" s="68"/>
      <c r="O71" s="69"/>
    </row>
    <row r="72" spans="2:18" x14ac:dyDescent="0.2">
      <c r="B72" s="803"/>
      <c r="C72" s="822"/>
      <c r="D72" s="782" t="s">
        <v>186</v>
      </c>
      <c r="E72" s="783"/>
      <c r="F72" s="783"/>
      <c r="G72" s="81">
        <v>0</v>
      </c>
      <c r="H72" s="78">
        <f t="shared" si="5"/>
        <v>0</v>
      </c>
      <c r="I72" s="63"/>
      <c r="J72" s="82" t="s">
        <v>187</v>
      </c>
      <c r="K72" s="71"/>
      <c r="L72" s="71"/>
      <c r="M72" s="71"/>
      <c r="N72" s="71"/>
      <c r="O72" s="72"/>
    </row>
    <row r="73" spans="2:18" ht="12.75" customHeight="1" x14ac:dyDescent="0.2">
      <c r="B73" s="803"/>
      <c r="C73" s="822"/>
      <c r="D73" s="784" t="s">
        <v>188</v>
      </c>
      <c r="E73" s="783"/>
      <c r="F73" s="783"/>
      <c r="G73" s="80">
        <v>0</v>
      </c>
      <c r="H73" s="78">
        <f t="shared" si="5"/>
        <v>0</v>
      </c>
      <c r="I73" s="63"/>
      <c r="J73" s="75" t="s">
        <v>189</v>
      </c>
      <c r="K73" s="50"/>
      <c r="L73" s="50"/>
      <c r="M73" s="50"/>
      <c r="N73" s="50"/>
      <c r="O73" s="83">
        <f>+O42</f>
        <v>7800</v>
      </c>
    </row>
    <row r="74" spans="2:18" ht="14.25" customHeight="1" x14ac:dyDescent="0.2">
      <c r="B74" s="803"/>
      <c r="C74" s="822"/>
      <c r="D74" s="782" t="s">
        <v>190</v>
      </c>
      <c r="E74" s="783"/>
      <c r="F74" s="783"/>
      <c r="G74" s="84">
        <v>0</v>
      </c>
      <c r="H74" s="78">
        <f t="shared" si="5"/>
        <v>0</v>
      </c>
      <c r="I74" s="63"/>
      <c r="J74" s="75"/>
      <c r="K74" s="39"/>
      <c r="L74" s="39"/>
      <c r="M74" s="39"/>
      <c r="N74" s="39"/>
      <c r="O74" s="65"/>
    </row>
    <row r="75" spans="2:18" x14ac:dyDescent="0.2">
      <c r="B75" s="803"/>
      <c r="C75" s="822"/>
      <c r="D75" s="782" t="s">
        <v>191</v>
      </c>
      <c r="E75" s="783"/>
      <c r="F75" s="783"/>
      <c r="G75" s="81">
        <v>0</v>
      </c>
      <c r="H75" s="78">
        <f t="shared" si="5"/>
        <v>0</v>
      </c>
      <c r="I75" s="58"/>
      <c r="J75" s="137"/>
      <c r="K75" s="50"/>
      <c r="L75" s="50"/>
      <c r="M75" s="50"/>
      <c r="N75" s="50"/>
      <c r="O75" s="83"/>
    </row>
    <row r="76" spans="2:18" x14ac:dyDescent="0.2">
      <c r="B76" s="803"/>
      <c r="C76" s="88" t="s">
        <v>192</v>
      </c>
      <c r="D76" s="813" t="s">
        <v>193</v>
      </c>
      <c r="E76" s="814"/>
      <c r="F76" s="814"/>
      <c r="G76" s="80">
        <v>0</v>
      </c>
      <c r="H76" s="78">
        <f t="shared" si="5"/>
        <v>0</v>
      </c>
      <c r="I76" s="58"/>
      <c r="J76" s="79"/>
      <c r="K76" s="39"/>
      <c r="L76" s="39"/>
      <c r="M76" s="39"/>
      <c r="N76" s="39"/>
      <c r="O76" s="65"/>
    </row>
    <row r="77" spans="2:18" ht="13.5" customHeight="1" thickBot="1" x14ac:dyDescent="0.25">
      <c r="B77" s="803"/>
      <c r="C77" s="88" t="s">
        <v>194</v>
      </c>
      <c r="D77" s="815" t="s">
        <v>195</v>
      </c>
      <c r="E77" s="815"/>
      <c r="F77" s="815"/>
      <c r="G77" s="89">
        <v>0</v>
      </c>
      <c r="H77" s="90">
        <f t="shared" si="5"/>
        <v>0</v>
      </c>
      <c r="I77" s="63"/>
      <c r="J77" s="931"/>
      <c r="K77" s="932"/>
      <c r="L77" s="932"/>
      <c r="M77" s="91"/>
      <c r="N77" s="91"/>
      <c r="O77" s="92"/>
    </row>
    <row r="78" spans="2:18" ht="13.5" thickBot="1" x14ac:dyDescent="0.25">
      <c r="B78" s="803"/>
      <c r="C78" s="93"/>
      <c r="D78" s="94"/>
      <c r="E78" s="816" t="s">
        <v>117</v>
      </c>
      <c r="F78" s="817"/>
      <c r="G78" s="95">
        <f>SUM(G69:G77)</f>
        <v>310480</v>
      </c>
      <c r="H78" s="96">
        <f>IF(SUM(G69:G75)&lt;150000,SUM(G69:G75),150000)+IF(+G76&lt;20000,+G76,20000)</f>
        <v>150000</v>
      </c>
      <c r="I78" s="63"/>
      <c r="J78" s="140"/>
      <c r="K78" s="141"/>
      <c r="L78" s="141"/>
      <c r="M78" s="142"/>
      <c r="N78" s="142"/>
      <c r="O78" s="143"/>
    </row>
    <row r="79" spans="2:18" ht="12.75" customHeight="1" x14ac:dyDescent="0.2">
      <c r="B79" s="803"/>
      <c r="C79" s="100" t="s">
        <v>196</v>
      </c>
      <c r="D79" s="782" t="s">
        <v>187</v>
      </c>
      <c r="E79" s="783"/>
      <c r="F79" s="818"/>
      <c r="G79" s="73">
        <v>18051</v>
      </c>
      <c r="H79" s="101">
        <f>+IF(+G79&lt;25000,+G79,25000)</f>
        <v>18051</v>
      </c>
      <c r="I79" s="87"/>
    </row>
    <row r="80" spans="2:18" x14ac:dyDescent="0.2">
      <c r="B80" s="803"/>
      <c r="C80" s="100" t="s">
        <v>197</v>
      </c>
      <c r="D80" s="784" t="s">
        <v>198</v>
      </c>
      <c r="E80" s="785"/>
      <c r="F80" s="786"/>
      <c r="G80" s="102"/>
      <c r="H80" s="103">
        <f>+IF(+G80&lt;40000,+G80,40000)</f>
        <v>0</v>
      </c>
      <c r="I80" s="63"/>
    </row>
    <row r="81" spans="2:12" x14ac:dyDescent="0.2">
      <c r="B81" s="803"/>
      <c r="C81" s="100" t="s">
        <v>199</v>
      </c>
      <c r="D81" s="784" t="s">
        <v>200</v>
      </c>
      <c r="E81" s="785"/>
      <c r="F81" s="786"/>
      <c r="G81" s="81"/>
      <c r="H81" s="104">
        <v>0</v>
      </c>
      <c r="I81" s="63"/>
      <c r="J81" s="106"/>
    </row>
    <row r="82" spans="2:12" x14ac:dyDescent="0.2">
      <c r="B82" s="803"/>
      <c r="C82" s="100" t="s">
        <v>201</v>
      </c>
      <c r="D82" s="784" t="s">
        <v>202</v>
      </c>
      <c r="E82" s="785"/>
      <c r="F82" s="786"/>
      <c r="G82" s="81"/>
      <c r="H82" s="104">
        <v>0</v>
      </c>
      <c r="I82" s="63"/>
    </row>
    <row r="83" spans="2:12" ht="13.5" thickBot="1" x14ac:dyDescent="0.25">
      <c r="B83" s="804"/>
      <c r="C83" s="100" t="s">
        <v>203</v>
      </c>
      <c r="D83" s="784" t="s">
        <v>204</v>
      </c>
      <c r="E83" s="785"/>
      <c r="F83" s="786"/>
      <c r="G83" s="102"/>
      <c r="H83" s="103">
        <f>+IF(+G83&lt;100000,+G83,10000)</f>
        <v>0</v>
      </c>
      <c r="I83" s="63"/>
    </row>
    <row r="84" spans="2:12" ht="13.5" thickBot="1" x14ac:dyDescent="0.25">
      <c r="B84" s="787" t="s">
        <v>205</v>
      </c>
      <c r="C84" s="788"/>
      <c r="D84" s="788"/>
      <c r="E84" s="788"/>
      <c r="F84" s="788"/>
      <c r="G84" s="107">
        <f>SUM(G79:G83)</f>
        <v>18051</v>
      </c>
      <c r="H84" s="108">
        <f>SUM(H78:H83)</f>
        <v>168051</v>
      </c>
    </row>
    <row r="85" spans="2:12" ht="13.5" thickBot="1" x14ac:dyDescent="0.25"/>
    <row r="86" spans="2:12" ht="13.5" thickBot="1" x14ac:dyDescent="0.25">
      <c r="B86" s="789" t="s">
        <v>206</v>
      </c>
      <c r="C86" s="790"/>
      <c r="D86" s="790"/>
      <c r="E86" s="790"/>
      <c r="F86" s="791"/>
      <c r="G86" s="792">
        <f>+G65-H84</f>
        <v>996734</v>
      </c>
      <c r="H86" s="791"/>
      <c r="J86" s="109">
        <f>C37+D37+E37+F37</f>
        <v>436098</v>
      </c>
      <c r="K86" s="16" t="s">
        <v>235</v>
      </c>
    </row>
    <row r="87" spans="2:12" x14ac:dyDescent="0.2">
      <c r="B87" s="110"/>
      <c r="F87" s="105"/>
      <c r="J87" s="109">
        <f>G37+H37+I37</f>
        <v>347109</v>
      </c>
      <c r="K87" s="16" t="s">
        <v>236</v>
      </c>
    </row>
    <row r="88" spans="2:12" x14ac:dyDescent="0.2">
      <c r="C88" s="793" t="s">
        <v>207</v>
      </c>
      <c r="D88" s="794"/>
      <c r="E88" s="111" t="s">
        <v>208</v>
      </c>
      <c r="F88" s="111" t="s">
        <v>209</v>
      </c>
      <c r="G88" s="111" t="s">
        <v>210</v>
      </c>
      <c r="H88" s="111" t="s">
        <v>211</v>
      </c>
      <c r="J88" s="109">
        <f>J37+K37+L37</f>
        <v>310901</v>
      </c>
      <c r="K88" s="47" t="s">
        <v>237</v>
      </c>
      <c r="L88" s="16">
        <f>+J88/3</f>
        <v>103633.66666666667</v>
      </c>
    </row>
    <row r="89" spans="2:12" x14ac:dyDescent="0.2">
      <c r="C89" s="795" t="str">
        <f>IF(I6="M","0          - 250000","0          -  250000")</f>
        <v>0          - 250000</v>
      </c>
      <c r="D89" s="796"/>
      <c r="E89" s="112">
        <v>0</v>
      </c>
      <c r="F89" s="113">
        <f>IF(I6="M",(IF(G86&lt;250000,G86,250000)),(IF(G86&lt;250000,G86,250000)))</f>
        <v>250000</v>
      </c>
      <c r="G89" s="113">
        <f>G86-F89</f>
        <v>746734</v>
      </c>
      <c r="H89" s="113">
        <f>E89*F89</f>
        <v>0</v>
      </c>
      <c r="J89" s="16">
        <f>M37+N37</f>
        <v>199634</v>
      </c>
      <c r="K89" s="1" t="s">
        <v>238</v>
      </c>
      <c r="L89" s="16">
        <f>+J89/2</f>
        <v>99817</v>
      </c>
    </row>
    <row r="90" spans="2:12" x14ac:dyDescent="0.2">
      <c r="C90" s="795" t="str">
        <f>IF(I6="M","250001 - 500000","250001-500000")</f>
        <v>250001 - 500000</v>
      </c>
      <c r="D90" s="796"/>
      <c r="E90" s="112">
        <v>0.05</v>
      </c>
      <c r="F90" s="113">
        <f>IF(I6="M",(IF(G89&lt;250000,G89,250000)),(IF(G89&lt;250000,G89,250000)))</f>
        <v>250000</v>
      </c>
      <c r="G90" s="113">
        <f>G89-F90</f>
        <v>496734</v>
      </c>
      <c r="H90" s="114">
        <f>ROUND(E90*F90,0.1)</f>
        <v>12500</v>
      </c>
      <c r="J90" s="115">
        <f>SUM(J86:J89)</f>
        <v>1293742</v>
      </c>
    </row>
    <row r="91" spans="2:12" x14ac:dyDescent="0.2">
      <c r="C91" s="797" t="s">
        <v>212</v>
      </c>
      <c r="D91" s="798"/>
      <c r="E91" s="112">
        <v>0.2</v>
      </c>
      <c r="F91" s="113">
        <f>IF(G90&lt;500000,G90,500000)</f>
        <v>496734</v>
      </c>
      <c r="G91" s="113">
        <f>G90-F91</f>
        <v>0</v>
      </c>
      <c r="H91" s="114">
        <f>ROUND(E91*F91,0.1)</f>
        <v>99347</v>
      </c>
      <c r="J91" s="16">
        <f>+G86</f>
        <v>996734</v>
      </c>
    </row>
    <row r="92" spans="2:12" x14ac:dyDescent="0.2">
      <c r="C92" s="795" t="s">
        <v>213</v>
      </c>
      <c r="D92" s="796"/>
      <c r="E92" s="112">
        <v>0.3</v>
      </c>
      <c r="F92" s="113">
        <f>G91</f>
        <v>0</v>
      </c>
      <c r="G92" s="113">
        <f>G91-F92</f>
        <v>0</v>
      </c>
      <c r="H92" s="114">
        <f>ROUND(E92*F92,0.1)</f>
        <v>0</v>
      </c>
      <c r="J92" s="16">
        <f>+J90-J91</f>
        <v>297008</v>
      </c>
    </row>
    <row r="93" spans="2:12" ht="12.75" customHeight="1" thickBot="1" x14ac:dyDescent="0.25">
      <c r="B93" s="116"/>
      <c r="C93" s="117"/>
      <c r="D93" s="47"/>
      <c r="E93" s="47"/>
      <c r="F93" s="47"/>
      <c r="J93" s="87"/>
      <c r="K93" s="118"/>
    </row>
    <row r="94" spans="2:12" ht="13.5" thickBot="1" x14ac:dyDescent="0.25">
      <c r="B94" s="799" t="s">
        <v>239</v>
      </c>
      <c r="C94" s="800"/>
      <c r="D94" s="800"/>
      <c r="E94" s="800"/>
      <c r="F94" s="801"/>
      <c r="G94" s="771">
        <f>H89+H90+H91+H92</f>
        <v>111847</v>
      </c>
      <c r="H94" s="772"/>
    </row>
    <row r="95" spans="2:12" ht="13.5" thickBot="1" x14ac:dyDescent="0.25">
      <c r="B95" s="119" t="s">
        <v>215</v>
      </c>
      <c r="C95" s="120"/>
      <c r="D95" s="120"/>
      <c r="E95" s="120"/>
      <c r="F95" s="120"/>
      <c r="G95" s="884">
        <f>IF((G65&lt;500000),5000,0)</f>
        <v>0</v>
      </c>
      <c r="H95" s="885">
        <f>IF(H93&lt;200000,0,IF(H93&lt;220000,((H93-200000)*10%),IF(H93&lt;=500000,2000,IF(H93&gt;=500000,0))))</f>
        <v>0</v>
      </c>
      <c r="J95" s="1"/>
      <c r="K95" s="121"/>
      <c r="L95" s="121"/>
    </row>
    <row r="96" spans="2:12" ht="13.5" thickBot="1" x14ac:dyDescent="0.25">
      <c r="B96" s="122" t="s">
        <v>216</v>
      </c>
      <c r="C96" s="123"/>
      <c r="D96" s="123"/>
      <c r="E96" s="123"/>
      <c r="F96" s="123"/>
      <c r="G96" s="771">
        <f>IF((G94-G95)&lt;0,0,(G94-G95))</f>
        <v>111847</v>
      </c>
      <c r="H96" s="772"/>
      <c r="I96" s="37"/>
    </row>
    <row r="97" spans="2:9" ht="13.5" thickBot="1" x14ac:dyDescent="0.25">
      <c r="B97" s="773" t="s">
        <v>240</v>
      </c>
      <c r="C97" s="774"/>
      <c r="D97" s="774"/>
      <c r="E97" s="774"/>
      <c r="F97" s="775"/>
      <c r="G97" s="776">
        <f>ROUND((IF(G96&gt;0,(G96*4%),0)),0)</f>
        <v>4474</v>
      </c>
      <c r="H97" s="777"/>
      <c r="I97" s="37"/>
    </row>
    <row r="98" spans="2:9" ht="13.5" thickBot="1" x14ac:dyDescent="0.25">
      <c r="B98" s="778" t="s">
        <v>218</v>
      </c>
      <c r="C98" s="779"/>
      <c r="D98" s="779"/>
      <c r="E98" s="779"/>
      <c r="F98" s="779"/>
      <c r="G98" s="780">
        <f>G96+G97</f>
        <v>116321</v>
      </c>
      <c r="H98" s="781"/>
      <c r="I98" s="121"/>
    </row>
    <row r="99" spans="2:9" ht="13.5" thickBot="1" x14ac:dyDescent="0.25">
      <c r="B99" s="765" t="s">
        <v>219</v>
      </c>
      <c r="C99" s="766"/>
      <c r="D99" s="766"/>
      <c r="E99" s="766"/>
      <c r="F99" s="766"/>
      <c r="G99" s="767">
        <f>O38</f>
        <v>116327</v>
      </c>
      <c r="H99" s="768"/>
      <c r="I99" s="121"/>
    </row>
    <row r="100" spans="2:9" ht="13.5" thickBot="1" x14ac:dyDescent="0.25">
      <c r="B100" s="765" t="str">
        <f>IF(G100&gt;0,"TAX PAYABLE","TAX REFUND")</f>
        <v>TAX REFUND</v>
      </c>
      <c r="C100" s="766"/>
      <c r="D100" s="766"/>
      <c r="E100" s="766"/>
      <c r="F100" s="766"/>
      <c r="G100" s="767">
        <f>+G98-G99</f>
        <v>-6</v>
      </c>
      <c r="H100" s="768"/>
      <c r="I100" s="37"/>
    </row>
    <row r="101" spans="2:9" x14ac:dyDescent="0.2">
      <c r="C101" s="124"/>
      <c r="D101" s="45"/>
      <c r="E101" s="118"/>
      <c r="F101" s="118"/>
      <c r="G101" s="118"/>
      <c r="H101" s="118"/>
      <c r="I101" s="125"/>
    </row>
    <row r="102" spans="2:9" x14ac:dyDescent="0.2">
      <c r="C102" s="47"/>
      <c r="D102" s="50"/>
      <c r="E102" s="117"/>
      <c r="F102" s="47"/>
      <c r="G102" s="47"/>
      <c r="H102" s="47"/>
      <c r="I102" s="125"/>
    </row>
    <row r="103" spans="2:9" x14ac:dyDescent="0.2">
      <c r="C103" s="39"/>
      <c r="D103" s="126"/>
      <c r="E103" s="126"/>
      <c r="F103" s="126"/>
      <c r="G103" s="39"/>
      <c r="H103" s="39"/>
      <c r="I103" s="37"/>
    </row>
    <row r="104" spans="2:9" x14ac:dyDescent="0.2">
      <c r="C104" s="39"/>
      <c r="D104" s="126"/>
      <c r="E104" s="126"/>
      <c r="F104" s="39"/>
      <c r="G104" s="39"/>
      <c r="H104" s="39"/>
      <c r="I104" s="37"/>
    </row>
    <row r="105" spans="2:9" x14ac:dyDescent="0.2">
      <c r="C105" s="39"/>
      <c r="D105" s="126"/>
      <c r="E105" s="126"/>
      <c r="F105" s="39"/>
      <c r="G105" s="39"/>
      <c r="H105" s="39"/>
      <c r="I105" s="37"/>
    </row>
    <row r="106" spans="2:9" x14ac:dyDescent="0.2">
      <c r="C106" s="39"/>
      <c r="D106" s="39"/>
      <c r="E106" s="39"/>
      <c r="F106" s="39"/>
      <c r="G106" s="39"/>
      <c r="H106" s="39"/>
      <c r="I106" s="37"/>
    </row>
    <row r="107" spans="2:9" x14ac:dyDescent="0.2">
      <c r="C107" s="39"/>
      <c r="D107" s="39"/>
      <c r="E107" s="39"/>
      <c r="F107" s="39"/>
      <c r="G107" s="39"/>
      <c r="H107" s="39"/>
    </row>
    <row r="108" spans="2:9" x14ac:dyDescent="0.2">
      <c r="C108" s="39"/>
      <c r="D108" s="39"/>
      <c r="E108" s="39"/>
      <c r="F108" s="39"/>
      <c r="G108" s="39"/>
      <c r="H108" s="39"/>
    </row>
  </sheetData>
  <mergeCells count="94">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60:F60"/>
    <mergeCell ref="G60:H60"/>
    <mergeCell ref="J60:O60"/>
    <mergeCell ref="B55:B58"/>
    <mergeCell ref="C55:C58"/>
    <mergeCell ref="D55:F55"/>
    <mergeCell ref="G55:H55"/>
    <mergeCell ref="D56:F56"/>
    <mergeCell ref="G56:H56"/>
    <mergeCell ref="J56:L56"/>
    <mergeCell ref="M56:O56"/>
    <mergeCell ref="D58:F58"/>
    <mergeCell ref="G58:H58"/>
    <mergeCell ref="G62:H62"/>
    <mergeCell ref="C63:F63"/>
    <mergeCell ref="G63:H63"/>
    <mergeCell ref="J63:O63"/>
    <mergeCell ref="J68:K68"/>
    <mergeCell ref="B65:F65"/>
    <mergeCell ref="G65:H65"/>
    <mergeCell ref="B62:F62"/>
    <mergeCell ref="D71:F71"/>
    <mergeCell ref="D72:F72"/>
    <mergeCell ref="D73:F73"/>
    <mergeCell ref="D74:F74"/>
    <mergeCell ref="D75:F75"/>
    <mergeCell ref="G86:H86"/>
    <mergeCell ref="D76:F76"/>
    <mergeCell ref="D77:F77"/>
    <mergeCell ref="J77:L77"/>
    <mergeCell ref="E78:F78"/>
    <mergeCell ref="D79:F79"/>
    <mergeCell ref="D80:F80"/>
    <mergeCell ref="D81:F81"/>
    <mergeCell ref="D82:F82"/>
    <mergeCell ref="D83:F83"/>
    <mergeCell ref="B84:F84"/>
    <mergeCell ref="B86:F86"/>
    <mergeCell ref="B69:B83"/>
    <mergeCell ref="C69:C75"/>
    <mergeCell ref="D69:F69"/>
    <mergeCell ref="D70:F70"/>
    <mergeCell ref="C88:D88"/>
    <mergeCell ref="C89:D89"/>
    <mergeCell ref="C90:D90"/>
    <mergeCell ref="C91:D91"/>
    <mergeCell ref="C92:D92"/>
    <mergeCell ref="B99:F99"/>
    <mergeCell ref="G99:H99"/>
    <mergeCell ref="B100:F100"/>
    <mergeCell ref="G100:H100"/>
    <mergeCell ref="G94:H94"/>
    <mergeCell ref="G95:H95"/>
    <mergeCell ref="G96:H96"/>
    <mergeCell ref="B97:F97"/>
    <mergeCell ref="G97:H97"/>
    <mergeCell ref="B98:F98"/>
    <mergeCell ref="G98:H98"/>
    <mergeCell ref="B94:F94"/>
  </mergeCells>
  <conditionalFormatting sqref="B91:F91 B100:F100 B94:F98">
    <cfRule type="cellIs" dxfId="2063" priority="3" stopIfTrue="1" operator="equal">
      <formula>"TAX PAYABLE"</formula>
    </cfRule>
    <cfRule type="cellIs" dxfId="2062" priority="4" stopIfTrue="1" operator="equal">
      <formula>"TAX REFUND"</formula>
    </cfRule>
  </conditionalFormatting>
  <conditionalFormatting sqref="G91:H91">
    <cfRule type="cellIs" dxfId="2061" priority="5" stopIfTrue="1" operator="lessThan">
      <formula>0</formula>
    </cfRule>
    <cfRule type="cellIs" dxfId="2060" priority="6" stopIfTrue="1" operator="greaterThan">
      <formula>0</formula>
    </cfRule>
  </conditionalFormatting>
  <conditionalFormatting sqref="G100:H100">
    <cfRule type="cellIs" dxfId="2059" priority="1" stopIfTrue="1" operator="greaterThan">
      <formula>0</formula>
    </cfRule>
    <cfRule type="cellIs" dxfId="2058"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9" orientation="landscape" horizontalDpi="300" verticalDpi="300" r:id="rId1"/>
  <headerFooter alignWithMargins="0"/>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09"/>
  <sheetViews>
    <sheetView topLeftCell="A67" workbookViewId="0">
      <selection activeCell="G69" sqref="G69"/>
    </sheetView>
  </sheetViews>
  <sheetFormatPr defaultRowHeight="12.75" x14ac:dyDescent="0.2"/>
  <cols>
    <col min="1" max="1" width="5" style="16" customWidth="1"/>
    <col min="2" max="2" width="19" style="37" customWidth="1"/>
    <col min="3" max="3" width="10.7109375" style="16" bestFit="1" customWidth="1"/>
    <col min="4" max="4" width="6.7109375" style="16" bestFit="1" customWidth="1"/>
    <col min="5" max="5" width="8.5703125" style="16" bestFit="1" customWidth="1"/>
    <col min="6" max="6" width="9.28515625" style="16" bestFit="1" customWidth="1"/>
    <col min="7" max="7" width="10.42578125" style="16" bestFit="1" customWidth="1"/>
    <col min="8" max="8" width="10.28515625" style="16" bestFit="1" customWidth="1"/>
    <col min="9" max="9" width="7.140625" style="16" bestFit="1" customWidth="1"/>
    <col min="10" max="10" width="7.5703125" style="16" customWidth="1"/>
    <col min="11" max="12" width="7" style="16" bestFit="1" customWidth="1"/>
    <col min="13" max="13" width="6.85546875" style="16" bestFit="1" customWidth="1"/>
    <col min="14" max="14" width="7" style="16" bestFit="1" customWidth="1"/>
    <col min="15" max="15" width="7.140625" style="16" bestFit="1"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9" style="16" customWidth="1"/>
    <col min="259" max="259" width="10.7109375" style="16" bestFit="1" customWidth="1"/>
    <col min="260" max="260" width="6.7109375" style="16" bestFit="1" customWidth="1"/>
    <col min="261" max="261" width="8.5703125" style="16" bestFit="1" customWidth="1"/>
    <col min="262" max="262" width="9.28515625" style="16" bestFit="1" customWidth="1"/>
    <col min="263" max="263" width="10.42578125" style="16" bestFit="1" customWidth="1"/>
    <col min="264" max="264" width="10.28515625" style="16" bestFit="1" customWidth="1"/>
    <col min="265" max="265" width="7.140625" style="16" bestFit="1" customWidth="1"/>
    <col min="266" max="266" width="7.5703125" style="16" customWidth="1"/>
    <col min="267" max="268" width="7" style="16" bestFit="1" customWidth="1"/>
    <col min="269" max="269" width="6.85546875" style="16" bestFit="1" customWidth="1"/>
    <col min="270" max="270" width="7" style="16" bestFit="1" customWidth="1"/>
    <col min="271" max="271" width="7.140625" style="16" bestFit="1"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9" style="16" customWidth="1"/>
    <col min="515" max="515" width="10.7109375" style="16" bestFit="1" customWidth="1"/>
    <col min="516" max="516" width="6.7109375" style="16" bestFit="1" customWidth="1"/>
    <col min="517" max="517" width="8.5703125" style="16" bestFit="1" customWidth="1"/>
    <col min="518" max="518" width="9.28515625" style="16" bestFit="1" customWidth="1"/>
    <col min="519" max="519" width="10.42578125" style="16" bestFit="1" customWidth="1"/>
    <col min="520" max="520" width="10.28515625" style="16" bestFit="1" customWidth="1"/>
    <col min="521" max="521" width="7.140625" style="16" bestFit="1" customWidth="1"/>
    <col min="522" max="522" width="7.5703125" style="16" customWidth="1"/>
    <col min="523" max="524" width="7" style="16" bestFit="1" customWidth="1"/>
    <col min="525" max="525" width="6.85546875" style="16" bestFit="1" customWidth="1"/>
    <col min="526" max="526" width="7" style="16" bestFit="1" customWidth="1"/>
    <col min="527" max="527" width="7.140625" style="16" bestFit="1"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9" style="16" customWidth="1"/>
    <col min="771" max="771" width="10.7109375" style="16" bestFit="1" customWidth="1"/>
    <col min="772" max="772" width="6.7109375" style="16" bestFit="1" customWidth="1"/>
    <col min="773" max="773" width="8.5703125" style="16" bestFit="1" customWidth="1"/>
    <col min="774" max="774" width="9.28515625" style="16" bestFit="1" customWidth="1"/>
    <col min="775" max="775" width="10.42578125" style="16" bestFit="1" customWidth="1"/>
    <col min="776" max="776" width="10.28515625" style="16" bestFit="1" customWidth="1"/>
    <col min="777" max="777" width="7.140625" style="16" bestFit="1" customWidth="1"/>
    <col min="778" max="778" width="7.5703125" style="16" customWidth="1"/>
    <col min="779" max="780" width="7" style="16" bestFit="1" customWidth="1"/>
    <col min="781" max="781" width="6.85546875" style="16" bestFit="1" customWidth="1"/>
    <col min="782" max="782" width="7" style="16" bestFit="1" customWidth="1"/>
    <col min="783" max="783" width="7.140625" style="16" bestFit="1"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9" style="16" customWidth="1"/>
    <col min="1027" max="1027" width="10.7109375" style="16" bestFit="1" customWidth="1"/>
    <col min="1028" max="1028" width="6.7109375" style="16" bestFit="1" customWidth="1"/>
    <col min="1029" max="1029" width="8.5703125" style="16" bestFit="1" customWidth="1"/>
    <col min="1030" max="1030" width="9.28515625" style="16" bestFit="1" customWidth="1"/>
    <col min="1031" max="1031" width="10.42578125" style="16" bestFit="1" customWidth="1"/>
    <col min="1032" max="1032" width="10.28515625" style="16" bestFit="1" customWidth="1"/>
    <col min="1033" max="1033" width="7.140625" style="16" bestFit="1" customWidth="1"/>
    <col min="1034" max="1034" width="7.5703125" style="16" customWidth="1"/>
    <col min="1035" max="1036" width="7" style="16" bestFit="1" customWidth="1"/>
    <col min="1037" max="1037" width="6.85546875" style="16" bestFit="1" customWidth="1"/>
    <col min="1038" max="1038" width="7" style="16" bestFit="1" customWidth="1"/>
    <col min="1039" max="1039" width="7.140625" style="16" bestFit="1"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9" style="16" customWidth="1"/>
    <col min="1283" max="1283" width="10.7109375" style="16" bestFit="1" customWidth="1"/>
    <col min="1284" max="1284" width="6.7109375" style="16" bestFit="1" customWidth="1"/>
    <col min="1285" max="1285" width="8.5703125" style="16" bestFit="1" customWidth="1"/>
    <col min="1286" max="1286" width="9.28515625" style="16" bestFit="1" customWidth="1"/>
    <col min="1287" max="1287" width="10.42578125" style="16" bestFit="1" customWidth="1"/>
    <col min="1288" max="1288" width="10.28515625" style="16" bestFit="1" customWidth="1"/>
    <col min="1289" max="1289" width="7.140625" style="16" bestFit="1" customWidth="1"/>
    <col min="1290" max="1290" width="7.5703125" style="16" customWidth="1"/>
    <col min="1291" max="1292" width="7" style="16" bestFit="1" customWidth="1"/>
    <col min="1293" max="1293" width="6.85546875" style="16" bestFit="1" customWidth="1"/>
    <col min="1294" max="1294" width="7" style="16" bestFit="1" customWidth="1"/>
    <col min="1295" max="1295" width="7.140625" style="16" bestFit="1"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9" style="16" customWidth="1"/>
    <col min="1539" max="1539" width="10.7109375" style="16" bestFit="1" customWidth="1"/>
    <col min="1540" max="1540" width="6.7109375" style="16" bestFit="1" customWidth="1"/>
    <col min="1541" max="1541" width="8.5703125" style="16" bestFit="1" customWidth="1"/>
    <col min="1542" max="1542" width="9.28515625" style="16" bestFit="1" customWidth="1"/>
    <col min="1543" max="1543" width="10.42578125" style="16" bestFit="1" customWidth="1"/>
    <col min="1544" max="1544" width="10.28515625" style="16" bestFit="1" customWidth="1"/>
    <col min="1545" max="1545" width="7.140625" style="16" bestFit="1" customWidth="1"/>
    <col min="1546" max="1546" width="7.5703125" style="16" customWidth="1"/>
    <col min="1547" max="1548" width="7" style="16" bestFit="1" customWidth="1"/>
    <col min="1549" max="1549" width="6.85546875" style="16" bestFit="1" customWidth="1"/>
    <col min="1550" max="1550" width="7" style="16" bestFit="1" customWidth="1"/>
    <col min="1551" max="1551" width="7.140625" style="16" bestFit="1"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9" style="16" customWidth="1"/>
    <col min="1795" max="1795" width="10.7109375" style="16" bestFit="1" customWidth="1"/>
    <col min="1796" max="1796" width="6.7109375" style="16" bestFit="1" customWidth="1"/>
    <col min="1797" max="1797" width="8.5703125" style="16" bestFit="1" customWidth="1"/>
    <col min="1798" max="1798" width="9.28515625" style="16" bestFit="1" customWidth="1"/>
    <col min="1799" max="1799" width="10.42578125" style="16" bestFit="1" customWidth="1"/>
    <col min="1800" max="1800" width="10.28515625" style="16" bestFit="1" customWidth="1"/>
    <col min="1801" max="1801" width="7.140625" style="16" bestFit="1" customWidth="1"/>
    <col min="1802" max="1802" width="7.5703125" style="16" customWidth="1"/>
    <col min="1803" max="1804" width="7" style="16" bestFit="1" customWidth="1"/>
    <col min="1805" max="1805" width="6.85546875" style="16" bestFit="1" customWidth="1"/>
    <col min="1806" max="1806" width="7" style="16" bestFit="1" customWidth="1"/>
    <col min="1807" max="1807" width="7.140625" style="16" bestFit="1"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9" style="16" customWidth="1"/>
    <col min="2051" max="2051" width="10.7109375" style="16" bestFit="1" customWidth="1"/>
    <col min="2052" max="2052" width="6.7109375" style="16" bestFit="1" customWidth="1"/>
    <col min="2053" max="2053" width="8.5703125" style="16" bestFit="1" customWidth="1"/>
    <col min="2054" max="2054" width="9.28515625" style="16" bestFit="1" customWidth="1"/>
    <col min="2055" max="2055" width="10.42578125" style="16" bestFit="1" customWidth="1"/>
    <col min="2056" max="2056" width="10.28515625" style="16" bestFit="1" customWidth="1"/>
    <col min="2057" max="2057" width="7.140625" style="16" bestFit="1" customWidth="1"/>
    <col min="2058" max="2058" width="7.5703125" style="16" customWidth="1"/>
    <col min="2059" max="2060" width="7" style="16" bestFit="1" customWidth="1"/>
    <col min="2061" max="2061" width="6.85546875" style="16" bestFit="1" customWidth="1"/>
    <col min="2062" max="2062" width="7" style="16" bestFit="1" customWidth="1"/>
    <col min="2063" max="2063" width="7.140625" style="16" bestFit="1"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9" style="16" customWidth="1"/>
    <col min="2307" max="2307" width="10.7109375" style="16" bestFit="1" customWidth="1"/>
    <col min="2308" max="2308" width="6.7109375" style="16" bestFit="1" customWidth="1"/>
    <col min="2309" max="2309" width="8.5703125" style="16" bestFit="1" customWidth="1"/>
    <col min="2310" max="2310" width="9.28515625" style="16" bestFit="1" customWidth="1"/>
    <col min="2311" max="2311" width="10.42578125" style="16" bestFit="1" customWidth="1"/>
    <col min="2312" max="2312" width="10.28515625" style="16" bestFit="1" customWidth="1"/>
    <col min="2313" max="2313" width="7.140625" style="16" bestFit="1" customWidth="1"/>
    <col min="2314" max="2314" width="7.5703125" style="16" customWidth="1"/>
    <col min="2315" max="2316" width="7" style="16" bestFit="1" customWidth="1"/>
    <col min="2317" max="2317" width="6.85546875" style="16" bestFit="1" customWidth="1"/>
    <col min="2318" max="2318" width="7" style="16" bestFit="1" customWidth="1"/>
    <col min="2319" max="2319" width="7.140625" style="16" bestFit="1"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9" style="16" customWidth="1"/>
    <col min="2563" max="2563" width="10.7109375" style="16" bestFit="1" customWidth="1"/>
    <col min="2564" max="2564" width="6.7109375" style="16" bestFit="1" customWidth="1"/>
    <col min="2565" max="2565" width="8.5703125" style="16" bestFit="1" customWidth="1"/>
    <col min="2566" max="2566" width="9.28515625" style="16" bestFit="1" customWidth="1"/>
    <col min="2567" max="2567" width="10.42578125" style="16" bestFit="1" customWidth="1"/>
    <col min="2568" max="2568" width="10.28515625" style="16" bestFit="1" customWidth="1"/>
    <col min="2569" max="2569" width="7.140625" style="16" bestFit="1" customWidth="1"/>
    <col min="2570" max="2570" width="7.5703125" style="16" customWidth="1"/>
    <col min="2571" max="2572" width="7" style="16" bestFit="1" customWidth="1"/>
    <col min="2573" max="2573" width="6.85546875" style="16" bestFit="1" customWidth="1"/>
    <col min="2574" max="2574" width="7" style="16" bestFit="1" customWidth="1"/>
    <col min="2575" max="2575" width="7.140625" style="16" bestFit="1"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9" style="16" customWidth="1"/>
    <col min="2819" max="2819" width="10.7109375" style="16" bestFit="1" customWidth="1"/>
    <col min="2820" max="2820" width="6.7109375" style="16" bestFit="1" customWidth="1"/>
    <col min="2821" max="2821" width="8.5703125" style="16" bestFit="1" customWidth="1"/>
    <col min="2822" max="2822" width="9.28515625" style="16" bestFit="1" customWidth="1"/>
    <col min="2823" max="2823" width="10.42578125" style="16" bestFit="1" customWidth="1"/>
    <col min="2824" max="2824" width="10.28515625" style="16" bestFit="1" customWidth="1"/>
    <col min="2825" max="2825" width="7.140625" style="16" bestFit="1" customWidth="1"/>
    <col min="2826" max="2826" width="7.5703125" style="16" customWidth="1"/>
    <col min="2827" max="2828" width="7" style="16" bestFit="1" customWidth="1"/>
    <col min="2829" max="2829" width="6.85546875" style="16" bestFit="1" customWidth="1"/>
    <col min="2830" max="2830" width="7" style="16" bestFit="1" customWidth="1"/>
    <col min="2831" max="2831" width="7.140625" style="16" bestFit="1"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9" style="16" customWidth="1"/>
    <col min="3075" max="3075" width="10.7109375" style="16" bestFit="1" customWidth="1"/>
    <col min="3076" max="3076" width="6.7109375" style="16" bestFit="1" customWidth="1"/>
    <col min="3077" max="3077" width="8.5703125" style="16" bestFit="1" customWidth="1"/>
    <col min="3078" max="3078" width="9.28515625" style="16" bestFit="1" customWidth="1"/>
    <col min="3079" max="3079" width="10.42578125" style="16" bestFit="1" customWidth="1"/>
    <col min="3080" max="3080" width="10.28515625" style="16" bestFit="1" customWidth="1"/>
    <col min="3081" max="3081" width="7.140625" style="16" bestFit="1" customWidth="1"/>
    <col min="3082" max="3082" width="7.5703125" style="16" customWidth="1"/>
    <col min="3083" max="3084" width="7" style="16" bestFit="1" customWidth="1"/>
    <col min="3085" max="3085" width="6.85546875" style="16" bestFit="1" customWidth="1"/>
    <col min="3086" max="3086" width="7" style="16" bestFit="1" customWidth="1"/>
    <col min="3087" max="3087" width="7.140625" style="16" bestFit="1"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9" style="16" customWidth="1"/>
    <col min="3331" max="3331" width="10.7109375" style="16" bestFit="1" customWidth="1"/>
    <col min="3332" max="3332" width="6.7109375" style="16" bestFit="1" customWidth="1"/>
    <col min="3333" max="3333" width="8.5703125" style="16" bestFit="1" customWidth="1"/>
    <col min="3334" max="3334" width="9.28515625" style="16" bestFit="1" customWidth="1"/>
    <col min="3335" max="3335" width="10.42578125" style="16" bestFit="1" customWidth="1"/>
    <col min="3336" max="3336" width="10.28515625" style="16" bestFit="1" customWidth="1"/>
    <col min="3337" max="3337" width="7.140625" style="16" bestFit="1" customWidth="1"/>
    <col min="3338" max="3338" width="7.5703125" style="16" customWidth="1"/>
    <col min="3339" max="3340" width="7" style="16" bestFit="1" customWidth="1"/>
    <col min="3341" max="3341" width="6.85546875" style="16" bestFit="1" customWidth="1"/>
    <col min="3342" max="3342" width="7" style="16" bestFit="1" customWidth="1"/>
    <col min="3343" max="3343" width="7.140625" style="16" bestFit="1"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9" style="16" customWidth="1"/>
    <col min="3587" max="3587" width="10.7109375" style="16" bestFit="1" customWidth="1"/>
    <col min="3588" max="3588" width="6.7109375" style="16" bestFit="1" customWidth="1"/>
    <col min="3589" max="3589" width="8.5703125" style="16" bestFit="1" customWidth="1"/>
    <col min="3590" max="3590" width="9.28515625" style="16" bestFit="1" customWidth="1"/>
    <col min="3591" max="3591" width="10.42578125" style="16" bestFit="1" customWidth="1"/>
    <col min="3592" max="3592" width="10.28515625" style="16" bestFit="1" customWidth="1"/>
    <col min="3593" max="3593" width="7.140625" style="16" bestFit="1" customWidth="1"/>
    <col min="3594" max="3594" width="7.5703125" style="16" customWidth="1"/>
    <col min="3595" max="3596" width="7" style="16" bestFit="1" customWidth="1"/>
    <col min="3597" max="3597" width="6.85546875" style="16" bestFit="1" customWidth="1"/>
    <col min="3598" max="3598" width="7" style="16" bestFit="1" customWidth="1"/>
    <col min="3599" max="3599" width="7.140625" style="16" bestFit="1"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9" style="16" customWidth="1"/>
    <col min="3843" max="3843" width="10.7109375" style="16" bestFit="1" customWidth="1"/>
    <col min="3844" max="3844" width="6.7109375" style="16" bestFit="1" customWidth="1"/>
    <col min="3845" max="3845" width="8.5703125" style="16" bestFit="1" customWidth="1"/>
    <col min="3846" max="3846" width="9.28515625" style="16" bestFit="1" customWidth="1"/>
    <col min="3847" max="3847" width="10.42578125" style="16" bestFit="1" customWidth="1"/>
    <col min="3848" max="3848" width="10.28515625" style="16" bestFit="1" customWidth="1"/>
    <col min="3849" max="3849" width="7.140625" style="16" bestFit="1" customWidth="1"/>
    <col min="3850" max="3850" width="7.5703125" style="16" customWidth="1"/>
    <col min="3851" max="3852" width="7" style="16" bestFit="1" customWidth="1"/>
    <col min="3853" max="3853" width="6.85546875" style="16" bestFit="1" customWidth="1"/>
    <col min="3854" max="3854" width="7" style="16" bestFit="1" customWidth="1"/>
    <col min="3855" max="3855" width="7.140625" style="16" bestFit="1"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9" style="16" customWidth="1"/>
    <col min="4099" max="4099" width="10.7109375" style="16" bestFit="1" customWidth="1"/>
    <col min="4100" max="4100" width="6.7109375" style="16" bestFit="1" customWidth="1"/>
    <col min="4101" max="4101" width="8.5703125" style="16" bestFit="1" customWidth="1"/>
    <col min="4102" max="4102" width="9.28515625" style="16" bestFit="1" customWidth="1"/>
    <col min="4103" max="4103" width="10.42578125" style="16" bestFit="1" customWidth="1"/>
    <col min="4104" max="4104" width="10.28515625" style="16" bestFit="1" customWidth="1"/>
    <col min="4105" max="4105" width="7.140625" style="16" bestFit="1" customWidth="1"/>
    <col min="4106" max="4106" width="7.5703125" style="16" customWidth="1"/>
    <col min="4107" max="4108" width="7" style="16" bestFit="1" customWidth="1"/>
    <col min="4109" max="4109" width="6.85546875" style="16" bestFit="1" customWidth="1"/>
    <col min="4110" max="4110" width="7" style="16" bestFit="1" customWidth="1"/>
    <col min="4111" max="4111" width="7.140625" style="16" bestFit="1"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9" style="16" customWidth="1"/>
    <col min="4355" max="4355" width="10.7109375" style="16" bestFit="1" customWidth="1"/>
    <col min="4356" max="4356" width="6.7109375" style="16" bestFit="1" customWidth="1"/>
    <col min="4357" max="4357" width="8.5703125" style="16" bestFit="1" customWidth="1"/>
    <col min="4358" max="4358" width="9.28515625" style="16" bestFit="1" customWidth="1"/>
    <col min="4359" max="4359" width="10.42578125" style="16" bestFit="1" customWidth="1"/>
    <col min="4360" max="4360" width="10.28515625" style="16" bestFit="1" customWidth="1"/>
    <col min="4361" max="4361" width="7.140625" style="16" bestFit="1" customWidth="1"/>
    <col min="4362" max="4362" width="7.5703125" style="16" customWidth="1"/>
    <col min="4363" max="4364" width="7" style="16" bestFit="1" customWidth="1"/>
    <col min="4365" max="4365" width="6.85546875" style="16" bestFit="1" customWidth="1"/>
    <col min="4366" max="4366" width="7" style="16" bestFit="1" customWidth="1"/>
    <col min="4367" max="4367" width="7.140625" style="16" bestFit="1"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9" style="16" customWidth="1"/>
    <col min="4611" max="4611" width="10.7109375" style="16" bestFit="1" customWidth="1"/>
    <col min="4612" max="4612" width="6.7109375" style="16" bestFit="1" customWidth="1"/>
    <col min="4613" max="4613" width="8.5703125" style="16" bestFit="1" customWidth="1"/>
    <col min="4614" max="4614" width="9.28515625" style="16" bestFit="1" customWidth="1"/>
    <col min="4615" max="4615" width="10.42578125" style="16" bestFit="1" customWidth="1"/>
    <col min="4616" max="4616" width="10.28515625" style="16" bestFit="1" customWidth="1"/>
    <col min="4617" max="4617" width="7.140625" style="16" bestFit="1" customWidth="1"/>
    <col min="4618" max="4618" width="7.5703125" style="16" customWidth="1"/>
    <col min="4619" max="4620" width="7" style="16" bestFit="1" customWidth="1"/>
    <col min="4621" max="4621" width="6.85546875" style="16" bestFit="1" customWidth="1"/>
    <col min="4622" max="4622" width="7" style="16" bestFit="1" customWidth="1"/>
    <col min="4623" max="4623" width="7.140625" style="16" bestFit="1"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9" style="16" customWidth="1"/>
    <col min="4867" max="4867" width="10.7109375" style="16" bestFit="1" customWidth="1"/>
    <col min="4868" max="4868" width="6.7109375" style="16" bestFit="1" customWidth="1"/>
    <col min="4869" max="4869" width="8.5703125" style="16" bestFit="1" customWidth="1"/>
    <col min="4870" max="4870" width="9.28515625" style="16" bestFit="1" customWidth="1"/>
    <col min="4871" max="4871" width="10.42578125" style="16" bestFit="1" customWidth="1"/>
    <col min="4872" max="4872" width="10.28515625" style="16" bestFit="1" customWidth="1"/>
    <col min="4873" max="4873" width="7.140625" style="16" bestFit="1" customWidth="1"/>
    <col min="4874" max="4874" width="7.5703125" style="16" customWidth="1"/>
    <col min="4875" max="4876" width="7" style="16" bestFit="1" customWidth="1"/>
    <col min="4877" max="4877" width="6.85546875" style="16" bestFit="1" customWidth="1"/>
    <col min="4878" max="4878" width="7" style="16" bestFit="1" customWidth="1"/>
    <col min="4879" max="4879" width="7.140625" style="16" bestFit="1"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9" style="16" customWidth="1"/>
    <col min="5123" max="5123" width="10.7109375" style="16" bestFit="1" customWidth="1"/>
    <col min="5124" max="5124" width="6.7109375" style="16" bestFit="1" customWidth="1"/>
    <col min="5125" max="5125" width="8.5703125" style="16" bestFit="1" customWidth="1"/>
    <col min="5126" max="5126" width="9.28515625" style="16" bestFit="1" customWidth="1"/>
    <col min="5127" max="5127" width="10.42578125" style="16" bestFit="1" customWidth="1"/>
    <col min="5128" max="5128" width="10.28515625" style="16" bestFit="1" customWidth="1"/>
    <col min="5129" max="5129" width="7.140625" style="16" bestFit="1" customWidth="1"/>
    <col min="5130" max="5130" width="7.5703125" style="16" customWidth="1"/>
    <col min="5131" max="5132" width="7" style="16" bestFit="1" customWidth="1"/>
    <col min="5133" max="5133" width="6.85546875" style="16" bestFit="1" customWidth="1"/>
    <col min="5134" max="5134" width="7" style="16" bestFit="1" customWidth="1"/>
    <col min="5135" max="5135" width="7.140625" style="16" bestFit="1"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9" style="16" customWidth="1"/>
    <col min="5379" max="5379" width="10.7109375" style="16" bestFit="1" customWidth="1"/>
    <col min="5380" max="5380" width="6.7109375" style="16" bestFit="1" customWidth="1"/>
    <col min="5381" max="5381" width="8.5703125" style="16" bestFit="1" customWidth="1"/>
    <col min="5382" max="5382" width="9.28515625" style="16" bestFit="1" customWidth="1"/>
    <col min="5383" max="5383" width="10.42578125" style="16" bestFit="1" customWidth="1"/>
    <col min="5384" max="5384" width="10.28515625" style="16" bestFit="1" customWidth="1"/>
    <col min="5385" max="5385" width="7.140625" style="16" bestFit="1" customWidth="1"/>
    <col min="5386" max="5386" width="7.5703125" style="16" customWidth="1"/>
    <col min="5387" max="5388" width="7" style="16" bestFit="1" customWidth="1"/>
    <col min="5389" max="5389" width="6.85546875" style="16" bestFit="1" customWidth="1"/>
    <col min="5390" max="5390" width="7" style="16" bestFit="1" customWidth="1"/>
    <col min="5391" max="5391" width="7.140625" style="16" bestFit="1"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9" style="16" customWidth="1"/>
    <col min="5635" max="5635" width="10.7109375" style="16" bestFit="1" customWidth="1"/>
    <col min="5636" max="5636" width="6.7109375" style="16" bestFit="1" customWidth="1"/>
    <col min="5637" max="5637" width="8.5703125" style="16" bestFit="1" customWidth="1"/>
    <col min="5638" max="5638" width="9.28515625" style="16" bestFit="1" customWidth="1"/>
    <col min="5639" max="5639" width="10.42578125" style="16" bestFit="1" customWidth="1"/>
    <col min="5640" max="5640" width="10.28515625" style="16" bestFit="1" customWidth="1"/>
    <col min="5641" max="5641" width="7.140625" style="16" bestFit="1" customWidth="1"/>
    <col min="5642" max="5642" width="7.5703125" style="16" customWidth="1"/>
    <col min="5643" max="5644" width="7" style="16" bestFit="1" customWidth="1"/>
    <col min="5645" max="5645" width="6.85546875" style="16" bestFit="1" customWidth="1"/>
    <col min="5646" max="5646" width="7" style="16" bestFit="1" customWidth="1"/>
    <col min="5647" max="5647" width="7.140625" style="16" bestFit="1"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9" style="16" customWidth="1"/>
    <col min="5891" max="5891" width="10.7109375" style="16" bestFit="1" customWidth="1"/>
    <col min="5892" max="5892" width="6.7109375" style="16" bestFit="1" customWidth="1"/>
    <col min="5893" max="5893" width="8.5703125" style="16" bestFit="1" customWidth="1"/>
    <col min="5894" max="5894" width="9.28515625" style="16" bestFit="1" customWidth="1"/>
    <col min="5895" max="5895" width="10.42578125" style="16" bestFit="1" customWidth="1"/>
    <col min="5896" max="5896" width="10.28515625" style="16" bestFit="1" customWidth="1"/>
    <col min="5897" max="5897" width="7.140625" style="16" bestFit="1" customWidth="1"/>
    <col min="5898" max="5898" width="7.5703125" style="16" customWidth="1"/>
    <col min="5899" max="5900" width="7" style="16" bestFit="1" customWidth="1"/>
    <col min="5901" max="5901" width="6.85546875" style="16" bestFit="1" customWidth="1"/>
    <col min="5902" max="5902" width="7" style="16" bestFit="1" customWidth="1"/>
    <col min="5903" max="5903" width="7.140625" style="16" bestFit="1"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9" style="16" customWidth="1"/>
    <col min="6147" max="6147" width="10.7109375" style="16" bestFit="1" customWidth="1"/>
    <col min="6148" max="6148" width="6.7109375" style="16" bestFit="1" customWidth="1"/>
    <col min="6149" max="6149" width="8.5703125" style="16" bestFit="1" customWidth="1"/>
    <col min="6150" max="6150" width="9.28515625" style="16" bestFit="1" customWidth="1"/>
    <col min="6151" max="6151" width="10.42578125" style="16" bestFit="1" customWidth="1"/>
    <col min="6152" max="6152" width="10.28515625" style="16" bestFit="1" customWidth="1"/>
    <col min="6153" max="6153" width="7.140625" style="16" bestFit="1" customWidth="1"/>
    <col min="6154" max="6154" width="7.5703125" style="16" customWidth="1"/>
    <col min="6155" max="6156" width="7" style="16" bestFit="1" customWidth="1"/>
    <col min="6157" max="6157" width="6.85546875" style="16" bestFit="1" customWidth="1"/>
    <col min="6158" max="6158" width="7" style="16" bestFit="1" customWidth="1"/>
    <col min="6159" max="6159" width="7.140625" style="16" bestFit="1"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9" style="16" customWidth="1"/>
    <col min="6403" max="6403" width="10.7109375" style="16" bestFit="1" customWidth="1"/>
    <col min="6404" max="6404" width="6.7109375" style="16" bestFit="1" customWidth="1"/>
    <col min="6405" max="6405" width="8.5703125" style="16" bestFit="1" customWidth="1"/>
    <col min="6406" max="6406" width="9.28515625" style="16" bestFit="1" customWidth="1"/>
    <col min="6407" max="6407" width="10.42578125" style="16" bestFit="1" customWidth="1"/>
    <col min="6408" max="6408" width="10.28515625" style="16" bestFit="1" customWidth="1"/>
    <col min="6409" max="6409" width="7.140625" style="16" bestFit="1" customWidth="1"/>
    <col min="6410" max="6410" width="7.5703125" style="16" customWidth="1"/>
    <col min="6411" max="6412" width="7" style="16" bestFit="1" customWidth="1"/>
    <col min="6413" max="6413" width="6.85546875" style="16" bestFit="1" customWidth="1"/>
    <col min="6414" max="6414" width="7" style="16" bestFit="1" customWidth="1"/>
    <col min="6415" max="6415" width="7.140625" style="16" bestFit="1"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9" style="16" customWidth="1"/>
    <col min="6659" max="6659" width="10.7109375" style="16" bestFit="1" customWidth="1"/>
    <col min="6660" max="6660" width="6.7109375" style="16" bestFit="1" customWidth="1"/>
    <col min="6661" max="6661" width="8.5703125" style="16" bestFit="1" customWidth="1"/>
    <col min="6662" max="6662" width="9.28515625" style="16" bestFit="1" customWidth="1"/>
    <col min="6663" max="6663" width="10.42578125" style="16" bestFit="1" customWidth="1"/>
    <col min="6664" max="6664" width="10.28515625" style="16" bestFit="1" customWidth="1"/>
    <col min="6665" max="6665" width="7.140625" style="16" bestFit="1" customWidth="1"/>
    <col min="6666" max="6666" width="7.5703125" style="16" customWidth="1"/>
    <col min="6667" max="6668" width="7" style="16" bestFit="1" customWidth="1"/>
    <col min="6669" max="6669" width="6.85546875" style="16" bestFit="1" customWidth="1"/>
    <col min="6670" max="6670" width="7" style="16" bestFit="1" customWidth="1"/>
    <col min="6671" max="6671" width="7.140625" style="16" bestFit="1"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9" style="16" customWidth="1"/>
    <col min="6915" max="6915" width="10.7109375" style="16" bestFit="1" customWidth="1"/>
    <col min="6916" max="6916" width="6.7109375" style="16" bestFit="1" customWidth="1"/>
    <col min="6917" max="6917" width="8.5703125" style="16" bestFit="1" customWidth="1"/>
    <col min="6918" max="6918" width="9.28515625" style="16" bestFit="1" customWidth="1"/>
    <col min="6919" max="6919" width="10.42578125" style="16" bestFit="1" customWidth="1"/>
    <col min="6920" max="6920" width="10.28515625" style="16" bestFit="1" customWidth="1"/>
    <col min="6921" max="6921" width="7.140625" style="16" bestFit="1" customWidth="1"/>
    <col min="6922" max="6922" width="7.5703125" style="16" customWidth="1"/>
    <col min="6923" max="6924" width="7" style="16" bestFit="1" customWidth="1"/>
    <col min="6925" max="6925" width="6.85546875" style="16" bestFit="1" customWidth="1"/>
    <col min="6926" max="6926" width="7" style="16" bestFit="1" customWidth="1"/>
    <col min="6927" max="6927" width="7.140625" style="16" bestFit="1"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9" style="16" customWidth="1"/>
    <col min="7171" max="7171" width="10.7109375" style="16" bestFit="1" customWidth="1"/>
    <col min="7172" max="7172" width="6.7109375" style="16" bestFit="1" customWidth="1"/>
    <col min="7173" max="7173" width="8.5703125" style="16" bestFit="1" customWidth="1"/>
    <col min="7174" max="7174" width="9.28515625" style="16" bestFit="1" customWidth="1"/>
    <col min="7175" max="7175" width="10.42578125" style="16" bestFit="1" customWidth="1"/>
    <col min="7176" max="7176" width="10.28515625" style="16" bestFit="1" customWidth="1"/>
    <col min="7177" max="7177" width="7.140625" style="16" bestFit="1" customWidth="1"/>
    <col min="7178" max="7178" width="7.5703125" style="16" customWidth="1"/>
    <col min="7179" max="7180" width="7" style="16" bestFit="1" customWidth="1"/>
    <col min="7181" max="7181" width="6.85546875" style="16" bestFit="1" customWidth="1"/>
    <col min="7182" max="7182" width="7" style="16" bestFit="1" customWidth="1"/>
    <col min="7183" max="7183" width="7.140625" style="16" bestFit="1"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9" style="16" customWidth="1"/>
    <col min="7427" max="7427" width="10.7109375" style="16" bestFit="1" customWidth="1"/>
    <col min="7428" max="7428" width="6.7109375" style="16" bestFit="1" customWidth="1"/>
    <col min="7429" max="7429" width="8.5703125" style="16" bestFit="1" customWidth="1"/>
    <col min="7430" max="7430" width="9.28515625" style="16" bestFit="1" customWidth="1"/>
    <col min="7431" max="7431" width="10.42578125" style="16" bestFit="1" customWidth="1"/>
    <col min="7432" max="7432" width="10.28515625" style="16" bestFit="1" customWidth="1"/>
    <col min="7433" max="7433" width="7.140625" style="16" bestFit="1" customWidth="1"/>
    <col min="7434" max="7434" width="7.5703125" style="16" customWidth="1"/>
    <col min="7435" max="7436" width="7" style="16" bestFit="1" customWidth="1"/>
    <col min="7437" max="7437" width="6.85546875" style="16" bestFit="1" customWidth="1"/>
    <col min="7438" max="7438" width="7" style="16" bestFit="1" customWidth="1"/>
    <col min="7439" max="7439" width="7.140625" style="16" bestFit="1"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9" style="16" customWidth="1"/>
    <col min="7683" max="7683" width="10.7109375" style="16" bestFit="1" customWidth="1"/>
    <col min="7684" max="7684" width="6.7109375" style="16" bestFit="1" customWidth="1"/>
    <col min="7685" max="7685" width="8.5703125" style="16" bestFit="1" customWidth="1"/>
    <col min="7686" max="7686" width="9.28515625" style="16" bestFit="1" customWidth="1"/>
    <col min="7687" max="7687" width="10.42578125" style="16" bestFit="1" customWidth="1"/>
    <col min="7688" max="7688" width="10.28515625" style="16" bestFit="1" customWidth="1"/>
    <col min="7689" max="7689" width="7.140625" style="16" bestFit="1" customWidth="1"/>
    <col min="7690" max="7690" width="7.5703125" style="16" customWidth="1"/>
    <col min="7691" max="7692" width="7" style="16" bestFit="1" customWidth="1"/>
    <col min="7693" max="7693" width="6.85546875" style="16" bestFit="1" customWidth="1"/>
    <col min="7694" max="7694" width="7" style="16" bestFit="1" customWidth="1"/>
    <col min="7695" max="7695" width="7.140625" style="16" bestFit="1"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9" style="16" customWidth="1"/>
    <col min="7939" max="7939" width="10.7109375" style="16" bestFit="1" customWidth="1"/>
    <col min="7940" max="7940" width="6.7109375" style="16" bestFit="1" customWidth="1"/>
    <col min="7941" max="7941" width="8.5703125" style="16" bestFit="1" customWidth="1"/>
    <col min="7942" max="7942" width="9.28515625" style="16" bestFit="1" customWidth="1"/>
    <col min="7943" max="7943" width="10.42578125" style="16" bestFit="1" customWidth="1"/>
    <col min="7944" max="7944" width="10.28515625" style="16" bestFit="1" customWidth="1"/>
    <col min="7945" max="7945" width="7.140625" style="16" bestFit="1" customWidth="1"/>
    <col min="7946" max="7946" width="7.5703125" style="16" customWidth="1"/>
    <col min="7947" max="7948" width="7" style="16" bestFit="1" customWidth="1"/>
    <col min="7949" max="7949" width="6.85546875" style="16" bestFit="1" customWidth="1"/>
    <col min="7950" max="7950" width="7" style="16" bestFit="1" customWidth="1"/>
    <col min="7951" max="7951" width="7.140625" style="16" bestFit="1"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9" style="16" customWidth="1"/>
    <col min="8195" max="8195" width="10.7109375" style="16" bestFit="1" customWidth="1"/>
    <col min="8196" max="8196" width="6.7109375" style="16" bestFit="1" customWidth="1"/>
    <col min="8197" max="8197" width="8.5703125" style="16" bestFit="1" customWidth="1"/>
    <col min="8198" max="8198" width="9.28515625" style="16" bestFit="1" customWidth="1"/>
    <col min="8199" max="8199" width="10.42578125" style="16" bestFit="1" customWidth="1"/>
    <col min="8200" max="8200" width="10.28515625" style="16" bestFit="1" customWidth="1"/>
    <col min="8201" max="8201" width="7.140625" style="16" bestFit="1" customWidth="1"/>
    <col min="8202" max="8202" width="7.5703125" style="16" customWidth="1"/>
    <col min="8203" max="8204" width="7" style="16" bestFit="1" customWidth="1"/>
    <col min="8205" max="8205" width="6.85546875" style="16" bestFit="1" customWidth="1"/>
    <col min="8206" max="8206" width="7" style="16" bestFit="1" customWidth="1"/>
    <col min="8207" max="8207" width="7.140625" style="16" bestFit="1"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9" style="16" customWidth="1"/>
    <col min="8451" max="8451" width="10.7109375" style="16" bestFit="1" customWidth="1"/>
    <col min="8452" max="8452" width="6.7109375" style="16" bestFit="1" customWidth="1"/>
    <col min="8453" max="8453" width="8.5703125" style="16" bestFit="1" customWidth="1"/>
    <col min="8454" max="8454" width="9.28515625" style="16" bestFit="1" customWidth="1"/>
    <col min="8455" max="8455" width="10.42578125" style="16" bestFit="1" customWidth="1"/>
    <col min="8456" max="8456" width="10.28515625" style="16" bestFit="1" customWidth="1"/>
    <col min="8457" max="8457" width="7.140625" style="16" bestFit="1" customWidth="1"/>
    <col min="8458" max="8458" width="7.5703125" style="16" customWidth="1"/>
    <col min="8459" max="8460" width="7" style="16" bestFit="1" customWidth="1"/>
    <col min="8461" max="8461" width="6.85546875" style="16" bestFit="1" customWidth="1"/>
    <col min="8462" max="8462" width="7" style="16" bestFit="1" customWidth="1"/>
    <col min="8463" max="8463" width="7.140625" style="16" bestFit="1"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9" style="16" customWidth="1"/>
    <col min="8707" max="8707" width="10.7109375" style="16" bestFit="1" customWidth="1"/>
    <col min="8708" max="8708" width="6.7109375" style="16" bestFit="1" customWidth="1"/>
    <col min="8709" max="8709" width="8.5703125" style="16" bestFit="1" customWidth="1"/>
    <col min="8710" max="8710" width="9.28515625" style="16" bestFit="1" customWidth="1"/>
    <col min="8711" max="8711" width="10.42578125" style="16" bestFit="1" customWidth="1"/>
    <col min="8712" max="8712" width="10.28515625" style="16" bestFit="1" customWidth="1"/>
    <col min="8713" max="8713" width="7.140625" style="16" bestFit="1" customWidth="1"/>
    <col min="8714" max="8714" width="7.5703125" style="16" customWidth="1"/>
    <col min="8715" max="8716" width="7" style="16" bestFit="1" customWidth="1"/>
    <col min="8717" max="8717" width="6.85546875" style="16" bestFit="1" customWidth="1"/>
    <col min="8718" max="8718" width="7" style="16" bestFit="1" customWidth="1"/>
    <col min="8719" max="8719" width="7.140625" style="16" bestFit="1"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9" style="16" customWidth="1"/>
    <col min="8963" max="8963" width="10.7109375" style="16" bestFit="1" customWidth="1"/>
    <col min="8964" max="8964" width="6.7109375" style="16" bestFit="1" customWidth="1"/>
    <col min="8965" max="8965" width="8.5703125" style="16" bestFit="1" customWidth="1"/>
    <col min="8966" max="8966" width="9.28515625" style="16" bestFit="1" customWidth="1"/>
    <col min="8967" max="8967" width="10.42578125" style="16" bestFit="1" customWidth="1"/>
    <col min="8968" max="8968" width="10.28515625" style="16" bestFit="1" customWidth="1"/>
    <col min="8969" max="8969" width="7.140625" style="16" bestFit="1" customWidth="1"/>
    <col min="8970" max="8970" width="7.5703125" style="16" customWidth="1"/>
    <col min="8971" max="8972" width="7" style="16" bestFit="1" customWidth="1"/>
    <col min="8973" max="8973" width="6.85546875" style="16" bestFit="1" customWidth="1"/>
    <col min="8974" max="8974" width="7" style="16" bestFit="1" customWidth="1"/>
    <col min="8975" max="8975" width="7.140625" style="16" bestFit="1"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9" style="16" customWidth="1"/>
    <col min="9219" max="9219" width="10.7109375" style="16" bestFit="1" customWidth="1"/>
    <col min="9220" max="9220" width="6.7109375" style="16" bestFit="1" customWidth="1"/>
    <col min="9221" max="9221" width="8.5703125" style="16" bestFit="1" customWidth="1"/>
    <col min="9222" max="9222" width="9.28515625" style="16" bestFit="1" customWidth="1"/>
    <col min="9223" max="9223" width="10.42578125" style="16" bestFit="1" customWidth="1"/>
    <col min="9224" max="9224" width="10.28515625" style="16" bestFit="1" customWidth="1"/>
    <col min="9225" max="9225" width="7.140625" style="16" bestFit="1" customWidth="1"/>
    <col min="9226" max="9226" width="7.5703125" style="16" customWidth="1"/>
    <col min="9227" max="9228" width="7" style="16" bestFit="1" customWidth="1"/>
    <col min="9229" max="9229" width="6.85546875" style="16" bestFit="1" customWidth="1"/>
    <col min="9230" max="9230" width="7" style="16" bestFit="1" customWidth="1"/>
    <col min="9231" max="9231" width="7.140625" style="16" bestFit="1"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9" style="16" customWidth="1"/>
    <col min="9475" max="9475" width="10.7109375" style="16" bestFit="1" customWidth="1"/>
    <col min="9476" max="9476" width="6.7109375" style="16" bestFit="1" customWidth="1"/>
    <col min="9477" max="9477" width="8.5703125" style="16" bestFit="1" customWidth="1"/>
    <col min="9478" max="9478" width="9.28515625" style="16" bestFit="1" customWidth="1"/>
    <col min="9479" max="9479" width="10.42578125" style="16" bestFit="1" customWidth="1"/>
    <col min="9480" max="9480" width="10.28515625" style="16" bestFit="1" customWidth="1"/>
    <col min="9481" max="9481" width="7.140625" style="16" bestFit="1" customWidth="1"/>
    <col min="9482" max="9482" width="7.5703125" style="16" customWidth="1"/>
    <col min="9483" max="9484" width="7" style="16" bestFit="1" customWidth="1"/>
    <col min="9485" max="9485" width="6.85546875" style="16" bestFit="1" customWidth="1"/>
    <col min="9486" max="9486" width="7" style="16" bestFit="1" customWidth="1"/>
    <col min="9487" max="9487" width="7.140625" style="16" bestFit="1"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9" style="16" customWidth="1"/>
    <col min="9731" max="9731" width="10.7109375" style="16" bestFit="1" customWidth="1"/>
    <col min="9732" max="9732" width="6.7109375" style="16" bestFit="1" customWidth="1"/>
    <col min="9733" max="9733" width="8.5703125" style="16" bestFit="1" customWidth="1"/>
    <col min="9734" max="9734" width="9.28515625" style="16" bestFit="1" customWidth="1"/>
    <col min="9735" max="9735" width="10.42578125" style="16" bestFit="1" customWidth="1"/>
    <col min="9736" max="9736" width="10.28515625" style="16" bestFit="1" customWidth="1"/>
    <col min="9737" max="9737" width="7.140625" style="16" bestFit="1" customWidth="1"/>
    <col min="9738" max="9738" width="7.5703125" style="16" customWidth="1"/>
    <col min="9739" max="9740" width="7" style="16" bestFit="1" customWidth="1"/>
    <col min="9741" max="9741" width="6.85546875" style="16" bestFit="1" customWidth="1"/>
    <col min="9742" max="9742" width="7" style="16" bestFit="1" customWidth="1"/>
    <col min="9743" max="9743" width="7.140625" style="16" bestFit="1"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9" style="16" customWidth="1"/>
    <col min="9987" max="9987" width="10.7109375" style="16" bestFit="1" customWidth="1"/>
    <col min="9988" max="9988" width="6.7109375" style="16" bestFit="1" customWidth="1"/>
    <col min="9989" max="9989" width="8.5703125" style="16" bestFit="1" customWidth="1"/>
    <col min="9990" max="9990" width="9.28515625" style="16" bestFit="1" customWidth="1"/>
    <col min="9991" max="9991" width="10.42578125" style="16" bestFit="1" customWidth="1"/>
    <col min="9992" max="9992" width="10.28515625" style="16" bestFit="1" customWidth="1"/>
    <col min="9993" max="9993" width="7.140625" style="16" bestFit="1" customWidth="1"/>
    <col min="9994" max="9994" width="7.5703125" style="16" customWidth="1"/>
    <col min="9995" max="9996" width="7" style="16" bestFit="1" customWidth="1"/>
    <col min="9997" max="9997" width="6.85546875" style="16" bestFit="1" customWidth="1"/>
    <col min="9998" max="9998" width="7" style="16" bestFit="1" customWidth="1"/>
    <col min="9999" max="9999" width="7.140625" style="16" bestFit="1"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9" style="16" customWidth="1"/>
    <col min="10243" max="10243" width="10.7109375" style="16" bestFit="1" customWidth="1"/>
    <col min="10244" max="10244" width="6.7109375" style="16" bestFit="1" customWidth="1"/>
    <col min="10245" max="10245" width="8.5703125" style="16" bestFit="1" customWidth="1"/>
    <col min="10246" max="10246" width="9.28515625" style="16" bestFit="1" customWidth="1"/>
    <col min="10247" max="10247" width="10.42578125" style="16" bestFit="1" customWidth="1"/>
    <col min="10248" max="10248" width="10.28515625" style="16" bestFit="1" customWidth="1"/>
    <col min="10249" max="10249" width="7.140625" style="16" bestFit="1" customWidth="1"/>
    <col min="10250" max="10250" width="7.5703125" style="16" customWidth="1"/>
    <col min="10251" max="10252" width="7" style="16" bestFit="1" customWidth="1"/>
    <col min="10253" max="10253" width="6.85546875" style="16" bestFit="1" customWidth="1"/>
    <col min="10254" max="10254" width="7" style="16" bestFit="1" customWidth="1"/>
    <col min="10255" max="10255" width="7.140625" style="16" bestFit="1"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9" style="16" customWidth="1"/>
    <col min="10499" max="10499" width="10.7109375" style="16" bestFit="1" customWidth="1"/>
    <col min="10500" max="10500" width="6.7109375" style="16" bestFit="1" customWidth="1"/>
    <col min="10501" max="10501" width="8.5703125" style="16" bestFit="1" customWidth="1"/>
    <col min="10502" max="10502" width="9.28515625" style="16" bestFit="1" customWidth="1"/>
    <col min="10503" max="10503" width="10.42578125" style="16" bestFit="1" customWidth="1"/>
    <col min="10504" max="10504" width="10.28515625" style="16" bestFit="1" customWidth="1"/>
    <col min="10505" max="10505" width="7.140625" style="16" bestFit="1" customWidth="1"/>
    <col min="10506" max="10506" width="7.5703125" style="16" customWidth="1"/>
    <col min="10507" max="10508" width="7" style="16" bestFit="1" customWidth="1"/>
    <col min="10509" max="10509" width="6.85546875" style="16" bestFit="1" customWidth="1"/>
    <col min="10510" max="10510" width="7" style="16" bestFit="1" customWidth="1"/>
    <col min="10511" max="10511" width="7.140625" style="16" bestFit="1"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9" style="16" customWidth="1"/>
    <col min="10755" max="10755" width="10.7109375" style="16" bestFit="1" customWidth="1"/>
    <col min="10756" max="10756" width="6.7109375" style="16" bestFit="1" customWidth="1"/>
    <col min="10757" max="10757" width="8.5703125" style="16" bestFit="1" customWidth="1"/>
    <col min="10758" max="10758" width="9.28515625" style="16" bestFit="1" customWidth="1"/>
    <col min="10759" max="10759" width="10.42578125" style="16" bestFit="1" customWidth="1"/>
    <col min="10760" max="10760" width="10.28515625" style="16" bestFit="1" customWidth="1"/>
    <col min="10761" max="10761" width="7.140625" style="16" bestFit="1" customWidth="1"/>
    <col min="10762" max="10762" width="7.5703125" style="16" customWidth="1"/>
    <col min="10763" max="10764" width="7" style="16" bestFit="1" customWidth="1"/>
    <col min="10765" max="10765" width="6.85546875" style="16" bestFit="1" customWidth="1"/>
    <col min="10766" max="10766" width="7" style="16" bestFit="1" customWidth="1"/>
    <col min="10767" max="10767" width="7.140625" style="16" bestFit="1"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9" style="16" customWidth="1"/>
    <col min="11011" max="11011" width="10.7109375" style="16" bestFit="1" customWidth="1"/>
    <col min="11012" max="11012" width="6.7109375" style="16" bestFit="1" customWidth="1"/>
    <col min="11013" max="11013" width="8.5703125" style="16" bestFit="1" customWidth="1"/>
    <col min="11014" max="11014" width="9.28515625" style="16" bestFit="1" customWidth="1"/>
    <col min="11015" max="11015" width="10.42578125" style="16" bestFit="1" customWidth="1"/>
    <col min="11016" max="11016" width="10.28515625" style="16" bestFit="1" customWidth="1"/>
    <col min="11017" max="11017" width="7.140625" style="16" bestFit="1" customWidth="1"/>
    <col min="11018" max="11018" width="7.5703125" style="16" customWidth="1"/>
    <col min="11019" max="11020" width="7" style="16" bestFit="1" customWidth="1"/>
    <col min="11021" max="11021" width="6.85546875" style="16" bestFit="1" customWidth="1"/>
    <col min="11022" max="11022" width="7" style="16" bestFit="1" customWidth="1"/>
    <col min="11023" max="11023" width="7.140625" style="16" bestFit="1"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9" style="16" customWidth="1"/>
    <col min="11267" max="11267" width="10.7109375" style="16" bestFit="1" customWidth="1"/>
    <col min="11268" max="11268" width="6.7109375" style="16" bestFit="1" customWidth="1"/>
    <col min="11269" max="11269" width="8.5703125" style="16" bestFit="1" customWidth="1"/>
    <col min="11270" max="11270" width="9.28515625" style="16" bestFit="1" customWidth="1"/>
    <col min="11271" max="11271" width="10.42578125" style="16" bestFit="1" customWidth="1"/>
    <col min="11272" max="11272" width="10.28515625" style="16" bestFit="1" customWidth="1"/>
    <col min="11273" max="11273" width="7.140625" style="16" bestFit="1" customWidth="1"/>
    <col min="11274" max="11274" width="7.5703125" style="16" customWidth="1"/>
    <col min="11275" max="11276" width="7" style="16" bestFit="1" customWidth="1"/>
    <col min="11277" max="11277" width="6.85546875" style="16" bestFit="1" customWidth="1"/>
    <col min="11278" max="11278" width="7" style="16" bestFit="1" customWidth="1"/>
    <col min="11279" max="11279" width="7.140625" style="16" bestFit="1"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9" style="16" customWidth="1"/>
    <col min="11523" max="11523" width="10.7109375" style="16" bestFit="1" customWidth="1"/>
    <col min="11524" max="11524" width="6.7109375" style="16" bestFit="1" customWidth="1"/>
    <col min="11525" max="11525" width="8.5703125" style="16" bestFit="1" customWidth="1"/>
    <col min="11526" max="11526" width="9.28515625" style="16" bestFit="1" customWidth="1"/>
    <col min="11527" max="11527" width="10.42578125" style="16" bestFit="1" customWidth="1"/>
    <col min="11528" max="11528" width="10.28515625" style="16" bestFit="1" customWidth="1"/>
    <col min="11529" max="11529" width="7.140625" style="16" bestFit="1" customWidth="1"/>
    <col min="11530" max="11530" width="7.5703125" style="16" customWidth="1"/>
    <col min="11531" max="11532" width="7" style="16" bestFit="1" customWidth="1"/>
    <col min="11533" max="11533" width="6.85546875" style="16" bestFit="1" customWidth="1"/>
    <col min="11534" max="11534" width="7" style="16" bestFit="1" customWidth="1"/>
    <col min="11535" max="11535" width="7.140625" style="16" bestFit="1"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9" style="16" customWidth="1"/>
    <col min="11779" max="11779" width="10.7109375" style="16" bestFit="1" customWidth="1"/>
    <col min="11780" max="11780" width="6.7109375" style="16" bestFit="1" customWidth="1"/>
    <col min="11781" max="11781" width="8.5703125" style="16" bestFit="1" customWidth="1"/>
    <col min="11782" max="11782" width="9.28515625" style="16" bestFit="1" customWidth="1"/>
    <col min="11783" max="11783" width="10.42578125" style="16" bestFit="1" customWidth="1"/>
    <col min="11784" max="11784" width="10.28515625" style="16" bestFit="1" customWidth="1"/>
    <col min="11785" max="11785" width="7.140625" style="16" bestFit="1" customWidth="1"/>
    <col min="11786" max="11786" width="7.5703125" style="16" customWidth="1"/>
    <col min="11787" max="11788" width="7" style="16" bestFit="1" customWidth="1"/>
    <col min="11789" max="11789" width="6.85546875" style="16" bestFit="1" customWidth="1"/>
    <col min="11790" max="11790" width="7" style="16" bestFit="1" customWidth="1"/>
    <col min="11791" max="11791" width="7.140625" style="16" bestFit="1"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9" style="16" customWidth="1"/>
    <col min="12035" max="12035" width="10.7109375" style="16" bestFit="1" customWidth="1"/>
    <col min="12036" max="12036" width="6.7109375" style="16" bestFit="1" customWidth="1"/>
    <col min="12037" max="12037" width="8.5703125" style="16" bestFit="1" customWidth="1"/>
    <col min="12038" max="12038" width="9.28515625" style="16" bestFit="1" customWidth="1"/>
    <col min="12039" max="12039" width="10.42578125" style="16" bestFit="1" customWidth="1"/>
    <col min="12040" max="12040" width="10.28515625" style="16" bestFit="1" customWidth="1"/>
    <col min="12041" max="12041" width="7.140625" style="16" bestFit="1" customWidth="1"/>
    <col min="12042" max="12042" width="7.5703125" style="16" customWidth="1"/>
    <col min="12043" max="12044" width="7" style="16" bestFit="1" customWidth="1"/>
    <col min="12045" max="12045" width="6.85546875" style="16" bestFit="1" customWidth="1"/>
    <col min="12046" max="12046" width="7" style="16" bestFit="1" customWidth="1"/>
    <col min="12047" max="12047" width="7.140625" style="16" bestFit="1"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9" style="16" customWidth="1"/>
    <col min="12291" max="12291" width="10.7109375" style="16" bestFit="1" customWidth="1"/>
    <col min="12292" max="12292" width="6.7109375" style="16" bestFit="1" customWidth="1"/>
    <col min="12293" max="12293" width="8.5703125" style="16" bestFit="1" customWidth="1"/>
    <col min="12294" max="12294" width="9.28515625" style="16" bestFit="1" customWidth="1"/>
    <col min="12295" max="12295" width="10.42578125" style="16" bestFit="1" customWidth="1"/>
    <col min="12296" max="12296" width="10.28515625" style="16" bestFit="1" customWidth="1"/>
    <col min="12297" max="12297" width="7.140625" style="16" bestFit="1" customWidth="1"/>
    <col min="12298" max="12298" width="7.5703125" style="16" customWidth="1"/>
    <col min="12299" max="12300" width="7" style="16" bestFit="1" customWidth="1"/>
    <col min="12301" max="12301" width="6.85546875" style="16" bestFit="1" customWidth="1"/>
    <col min="12302" max="12302" width="7" style="16" bestFit="1" customWidth="1"/>
    <col min="12303" max="12303" width="7.140625" style="16" bestFit="1"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9" style="16" customWidth="1"/>
    <col min="12547" max="12547" width="10.7109375" style="16" bestFit="1" customWidth="1"/>
    <col min="12548" max="12548" width="6.7109375" style="16" bestFit="1" customWidth="1"/>
    <col min="12549" max="12549" width="8.5703125" style="16" bestFit="1" customWidth="1"/>
    <col min="12550" max="12550" width="9.28515625" style="16" bestFit="1" customWidth="1"/>
    <col min="12551" max="12551" width="10.42578125" style="16" bestFit="1" customWidth="1"/>
    <col min="12552" max="12552" width="10.28515625" style="16" bestFit="1" customWidth="1"/>
    <col min="12553" max="12553" width="7.140625" style="16" bestFit="1" customWidth="1"/>
    <col min="12554" max="12554" width="7.5703125" style="16" customWidth="1"/>
    <col min="12555" max="12556" width="7" style="16" bestFit="1" customWidth="1"/>
    <col min="12557" max="12557" width="6.85546875" style="16" bestFit="1" customWidth="1"/>
    <col min="12558" max="12558" width="7" style="16" bestFit="1" customWidth="1"/>
    <col min="12559" max="12559" width="7.140625" style="16" bestFit="1"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9" style="16" customWidth="1"/>
    <col min="12803" max="12803" width="10.7109375" style="16" bestFit="1" customWidth="1"/>
    <col min="12804" max="12804" width="6.7109375" style="16" bestFit="1" customWidth="1"/>
    <col min="12805" max="12805" width="8.5703125" style="16" bestFit="1" customWidth="1"/>
    <col min="12806" max="12806" width="9.28515625" style="16" bestFit="1" customWidth="1"/>
    <col min="12807" max="12807" width="10.42578125" style="16" bestFit="1" customWidth="1"/>
    <col min="12808" max="12808" width="10.28515625" style="16" bestFit="1" customWidth="1"/>
    <col min="12809" max="12809" width="7.140625" style="16" bestFit="1" customWidth="1"/>
    <col min="12810" max="12810" width="7.5703125" style="16" customWidth="1"/>
    <col min="12811" max="12812" width="7" style="16" bestFit="1" customWidth="1"/>
    <col min="12813" max="12813" width="6.85546875" style="16" bestFit="1" customWidth="1"/>
    <col min="12814" max="12814" width="7" style="16" bestFit="1" customWidth="1"/>
    <col min="12815" max="12815" width="7.140625" style="16" bestFit="1"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9" style="16" customWidth="1"/>
    <col min="13059" max="13059" width="10.7109375" style="16" bestFit="1" customWidth="1"/>
    <col min="13060" max="13060" width="6.7109375" style="16" bestFit="1" customWidth="1"/>
    <col min="13061" max="13061" width="8.5703125" style="16" bestFit="1" customWidth="1"/>
    <col min="13062" max="13062" width="9.28515625" style="16" bestFit="1" customWidth="1"/>
    <col min="13063" max="13063" width="10.42578125" style="16" bestFit="1" customWidth="1"/>
    <col min="13064" max="13064" width="10.28515625" style="16" bestFit="1" customWidth="1"/>
    <col min="13065" max="13065" width="7.140625" style="16" bestFit="1" customWidth="1"/>
    <col min="13066" max="13066" width="7.5703125" style="16" customWidth="1"/>
    <col min="13067" max="13068" width="7" style="16" bestFit="1" customWidth="1"/>
    <col min="13069" max="13069" width="6.85546875" style="16" bestFit="1" customWidth="1"/>
    <col min="13070" max="13070" width="7" style="16" bestFit="1" customWidth="1"/>
    <col min="13071" max="13071" width="7.140625" style="16" bestFit="1"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9" style="16" customWidth="1"/>
    <col min="13315" max="13315" width="10.7109375" style="16" bestFit="1" customWidth="1"/>
    <col min="13316" max="13316" width="6.7109375" style="16" bestFit="1" customWidth="1"/>
    <col min="13317" max="13317" width="8.5703125" style="16" bestFit="1" customWidth="1"/>
    <col min="13318" max="13318" width="9.28515625" style="16" bestFit="1" customWidth="1"/>
    <col min="13319" max="13319" width="10.42578125" style="16" bestFit="1" customWidth="1"/>
    <col min="13320" max="13320" width="10.28515625" style="16" bestFit="1" customWidth="1"/>
    <col min="13321" max="13321" width="7.140625" style="16" bestFit="1" customWidth="1"/>
    <col min="13322" max="13322" width="7.5703125" style="16" customWidth="1"/>
    <col min="13323" max="13324" width="7" style="16" bestFit="1" customWidth="1"/>
    <col min="13325" max="13325" width="6.85546875" style="16" bestFit="1" customWidth="1"/>
    <col min="13326" max="13326" width="7" style="16" bestFit="1" customWidth="1"/>
    <col min="13327" max="13327" width="7.140625" style="16" bestFit="1"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9" style="16" customWidth="1"/>
    <col min="13571" max="13571" width="10.7109375" style="16" bestFit="1" customWidth="1"/>
    <col min="13572" max="13572" width="6.7109375" style="16" bestFit="1" customWidth="1"/>
    <col min="13573" max="13573" width="8.5703125" style="16" bestFit="1" customWidth="1"/>
    <col min="13574" max="13574" width="9.28515625" style="16" bestFit="1" customWidth="1"/>
    <col min="13575" max="13575" width="10.42578125" style="16" bestFit="1" customWidth="1"/>
    <col min="13576" max="13576" width="10.28515625" style="16" bestFit="1" customWidth="1"/>
    <col min="13577" max="13577" width="7.140625" style="16" bestFit="1" customWidth="1"/>
    <col min="13578" max="13578" width="7.5703125" style="16" customWidth="1"/>
    <col min="13579" max="13580" width="7" style="16" bestFit="1" customWidth="1"/>
    <col min="13581" max="13581" width="6.85546875" style="16" bestFit="1" customWidth="1"/>
    <col min="13582" max="13582" width="7" style="16" bestFit="1" customWidth="1"/>
    <col min="13583" max="13583" width="7.140625" style="16" bestFit="1"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9" style="16" customWidth="1"/>
    <col min="13827" max="13827" width="10.7109375" style="16" bestFit="1" customWidth="1"/>
    <col min="13828" max="13828" width="6.7109375" style="16" bestFit="1" customWidth="1"/>
    <col min="13829" max="13829" width="8.5703125" style="16" bestFit="1" customWidth="1"/>
    <col min="13830" max="13830" width="9.28515625" style="16" bestFit="1" customWidth="1"/>
    <col min="13831" max="13831" width="10.42578125" style="16" bestFit="1" customWidth="1"/>
    <col min="13832" max="13832" width="10.28515625" style="16" bestFit="1" customWidth="1"/>
    <col min="13833" max="13833" width="7.140625" style="16" bestFit="1" customWidth="1"/>
    <col min="13834" max="13834" width="7.5703125" style="16" customWidth="1"/>
    <col min="13835" max="13836" width="7" style="16" bestFit="1" customWidth="1"/>
    <col min="13837" max="13837" width="6.85546875" style="16" bestFit="1" customWidth="1"/>
    <col min="13838" max="13838" width="7" style="16" bestFit="1" customWidth="1"/>
    <col min="13839" max="13839" width="7.140625" style="16" bestFit="1"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9" style="16" customWidth="1"/>
    <col min="14083" max="14083" width="10.7109375" style="16" bestFit="1" customWidth="1"/>
    <col min="14084" max="14084" width="6.7109375" style="16" bestFit="1" customWidth="1"/>
    <col min="14085" max="14085" width="8.5703125" style="16" bestFit="1" customWidth="1"/>
    <col min="14086" max="14086" width="9.28515625" style="16" bestFit="1" customWidth="1"/>
    <col min="14087" max="14087" width="10.42578125" style="16" bestFit="1" customWidth="1"/>
    <col min="14088" max="14088" width="10.28515625" style="16" bestFit="1" customWidth="1"/>
    <col min="14089" max="14089" width="7.140625" style="16" bestFit="1" customWidth="1"/>
    <col min="14090" max="14090" width="7.5703125" style="16" customWidth="1"/>
    <col min="14091" max="14092" width="7" style="16" bestFit="1" customWidth="1"/>
    <col min="14093" max="14093" width="6.85546875" style="16" bestFit="1" customWidth="1"/>
    <col min="14094" max="14094" width="7" style="16" bestFit="1" customWidth="1"/>
    <col min="14095" max="14095" width="7.140625" style="16" bestFit="1"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9" style="16" customWidth="1"/>
    <col min="14339" max="14339" width="10.7109375" style="16" bestFit="1" customWidth="1"/>
    <col min="14340" max="14340" width="6.7109375" style="16" bestFit="1" customWidth="1"/>
    <col min="14341" max="14341" width="8.5703125" style="16" bestFit="1" customWidth="1"/>
    <col min="14342" max="14342" width="9.28515625" style="16" bestFit="1" customWidth="1"/>
    <col min="14343" max="14343" width="10.42578125" style="16" bestFit="1" customWidth="1"/>
    <col min="14344" max="14344" width="10.28515625" style="16" bestFit="1" customWidth="1"/>
    <col min="14345" max="14345" width="7.140625" style="16" bestFit="1" customWidth="1"/>
    <col min="14346" max="14346" width="7.5703125" style="16" customWidth="1"/>
    <col min="14347" max="14348" width="7" style="16" bestFit="1" customWidth="1"/>
    <col min="14349" max="14349" width="6.85546875" style="16" bestFit="1" customWidth="1"/>
    <col min="14350" max="14350" width="7" style="16" bestFit="1" customWidth="1"/>
    <col min="14351" max="14351" width="7.140625" style="16" bestFit="1"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9" style="16" customWidth="1"/>
    <col min="14595" max="14595" width="10.7109375" style="16" bestFit="1" customWidth="1"/>
    <col min="14596" max="14596" width="6.7109375" style="16" bestFit="1" customWidth="1"/>
    <col min="14597" max="14597" width="8.5703125" style="16" bestFit="1" customWidth="1"/>
    <col min="14598" max="14598" width="9.28515625" style="16" bestFit="1" customWidth="1"/>
    <col min="14599" max="14599" width="10.42578125" style="16" bestFit="1" customWidth="1"/>
    <col min="14600" max="14600" width="10.28515625" style="16" bestFit="1" customWidth="1"/>
    <col min="14601" max="14601" width="7.140625" style="16" bestFit="1" customWidth="1"/>
    <col min="14602" max="14602" width="7.5703125" style="16" customWidth="1"/>
    <col min="14603" max="14604" width="7" style="16" bestFit="1" customWidth="1"/>
    <col min="14605" max="14605" width="6.85546875" style="16" bestFit="1" customWidth="1"/>
    <col min="14606" max="14606" width="7" style="16" bestFit="1" customWidth="1"/>
    <col min="14607" max="14607" width="7.140625" style="16" bestFit="1"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9" style="16" customWidth="1"/>
    <col min="14851" max="14851" width="10.7109375" style="16" bestFit="1" customWidth="1"/>
    <col min="14852" max="14852" width="6.7109375" style="16" bestFit="1" customWidth="1"/>
    <col min="14853" max="14853" width="8.5703125" style="16" bestFit="1" customWidth="1"/>
    <col min="14854" max="14854" width="9.28515625" style="16" bestFit="1" customWidth="1"/>
    <col min="14855" max="14855" width="10.42578125" style="16" bestFit="1" customWidth="1"/>
    <col min="14856" max="14856" width="10.28515625" style="16" bestFit="1" customWidth="1"/>
    <col min="14857" max="14857" width="7.140625" style="16" bestFit="1" customWidth="1"/>
    <col min="14858" max="14858" width="7.5703125" style="16" customWidth="1"/>
    <col min="14859" max="14860" width="7" style="16" bestFit="1" customWidth="1"/>
    <col min="14861" max="14861" width="6.85546875" style="16" bestFit="1" customWidth="1"/>
    <col min="14862" max="14862" width="7" style="16" bestFit="1" customWidth="1"/>
    <col min="14863" max="14863" width="7.140625" style="16" bestFit="1"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9" style="16" customWidth="1"/>
    <col min="15107" max="15107" width="10.7109375" style="16" bestFit="1" customWidth="1"/>
    <col min="15108" max="15108" width="6.7109375" style="16" bestFit="1" customWidth="1"/>
    <col min="15109" max="15109" width="8.5703125" style="16" bestFit="1" customWidth="1"/>
    <col min="15110" max="15110" width="9.28515625" style="16" bestFit="1" customWidth="1"/>
    <col min="15111" max="15111" width="10.42578125" style="16" bestFit="1" customWidth="1"/>
    <col min="15112" max="15112" width="10.28515625" style="16" bestFit="1" customWidth="1"/>
    <col min="15113" max="15113" width="7.140625" style="16" bestFit="1" customWidth="1"/>
    <col min="15114" max="15114" width="7.5703125" style="16" customWidth="1"/>
    <col min="15115" max="15116" width="7" style="16" bestFit="1" customWidth="1"/>
    <col min="15117" max="15117" width="6.85546875" style="16" bestFit="1" customWidth="1"/>
    <col min="15118" max="15118" width="7" style="16" bestFit="1" customWidth="1"/>
    <col min="15119" max="15119" width="7.140625" style="16" bestFit="1"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9" style="16" customWidth="1"/>
    <col min="15363" max="15363" width="10.7109375" style="16" bestFit="1" customWidth="1"/>
    <col min="15364" max="15364" width="6.7109375" style="16" bestFit="1" customWidth="1"/>
    <col min="15365" max="15365" width="8.5703125" style="16" bestFit="1" customWidth="1"/>
    <col min="15366" max="15366" width="9.28515625" style="16" bestFit="1" customWidth="1"/>
    <col min="15367" max="15367" width="10.42578125" style="16" bestFit="1" customWidth="1"/>
    <col min="15368" max="15368" width="10.28515625" style="16" bestFit="1" customWidth="1"/>
    <col min="15369" max="15369" width="7.140625" style="16" bestFit="1" customWidth="1"/>
    <col min="15370" max="15370" width="7.5703125" style="16" customWidth="1"/>
    <col min="15371" max="15372" width="7" style="16" bestFit="1" customWidth="1"/>
    <col min="15373" max="15373" width="6.85546875" style="16" bestFit="1" customWidth="1"/>
    <col min="15374" max="15374" width="7" style="16" bestFit="1" customWidth="1"/>
    <col min="15375" max="15375" width="7.140625" style="16" bestFit="1"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9" style="16" customWidth="1"/>
    <col min="15619" max="15619" width="10.7109375" style="16" bestFit="1" customWidth="1"/>
    <col min="15620" max="15620" width="6.7109375" style="16" bestFit="1" customWidth="1"/>
    <col min="15621" max="15621" width="8.5703125" style="16" bestFit="1" customWidth="1"/>
    <col min="15622" max="15622" width="9.28515625" style="16" bestFit="1" customWidth="1"/>
    <col min="15623" max="15623" width="10.42578125" style="16" bestFit="1" customWidth="1"/>
    <col min="15624" max="15624" width="10.28515625" style="16" bestFit="1" customWidth="1"/>
    <col min="15625" max="15625" width="7.140625" style="16" bestFit="1" customWidth="1"/>
    <col min="15626" max="15626" width="7.5703125" style="16" customWidth="1"/>
    <col min="15627" max="15628" width="7" style="16" bestFit="1" customWidth="1"/>
    <col min="15629" max="15629" width="6.85546875" style="16" bestFit="1" customWidth="1"/>
    <col min="15630" max="15630" width="7" style="16" bestFit="1" customWidth="1"/>
    <col min="15631" max="15631" width="7.140625" style="16" bestFit="1"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9" style="16" customWidth="1"/>
    <col min="15875" max="15875" width="10.7109375" style="16" bestFit="1" customWidth="1"/>
    <col min="15876" max="15876" width="6.7109375" style="16" bestFit="1" customWidth="1"/>
    <col min="15877" max="15877" width="8.5703125" style="16" bestFit="1" customWidth="1"/>
    <col min="15878" max="15878" width="9.28515625" style="16" bestFit="1" customWidth="1"/>
    <col min="15879" max="15879" width="10.42578125" style="16" bestFit="1" customWidth="1"/>
    <col min="15880" max="15880" width="10.28515625" style="16" bestFit="1" customWidth="1"/>
    <col min="15881" max="15881" width="7.140625" style="16" bestFit="1" customWidth="1"/>
    <col min="15882" max="15882" width="7.5703125" style="16" customWidth="1"/>
    <col min="15883" max="15884" width="7" style="16" bestFit="1" customWidth="1"/>
    <col min="15885" max="15885" width="6.85546875" style="16" bestFit="1" customWidth="1"/>
    <col min="15886" max="15886" width="7" style="16" bestFit="1" customWidth="1"/>
    <col min="15887" max="15887" width="7.140625" style="16" bestFit="1"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9" style="16" customWidth="1"/>
    <col min="16131" max="16131" width="10.7109375" style="16" bestFit="1" customWidth="1"/>
    <col min="16132" max="16132" width="6.7109375" style="16" bestFit="1" customWidth="1"/>
    <col min="16133" max="16133" width="8.5703125" style="16" bestFit="1" customWidth="1"/>
    <col min="16134" max="16134" width="9.28515625" style="16" bestFit="1" customWidth="1"/>
    <col min="16135" max="16135" width="10.42578125" style="16" bestFit="1" customWidth="1"/>
    <col min="16136" max="16136" width="10.28515625" style="16" bestFit="1" customWidth="1"/>
    <col min="16137" max="16137" width="7.140625" style="16" bestFit="1" customWidth="1"/>
    <col min="16138" max="16138" width="7.5703125" style="16" customWidth="1"/>
    <col min="16139" max="16140" width="7" style="16" bestFit="1" customWidth="1"/>
    <col min="16141" max="16141" width="6.85546875" style="16" bestFit="1" customWidth="1"/>
    <col min="16142" max="16142" width="7" style="16" bestFit="1" customWidth="1"/>
    <col min="16143" max="16143" width="7.140625" style="16" bestFit="1"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67" t="s">
        <v>100</v>
      </c>
      <c r="B1" s="868"/>
      <c r="C1" s="868"/>
      <c r="D1" s="911" t="s">
        <v>378</v>
      </c>
      <c r="E1" s="868"/>
      <c r="F1" s="868"/>
      <c r="G1" s="867" t="s">
        <v>102</v>
      </c>
      <c r="H1" s="869"/>
      <c r="I1" s="869" t="s">
        <v>1705</v>
      </c>
      <c r="J1" s="868"/>
      <c r="K1" s="868"/>
      <c r="L1" s="870"/>
      <c r="M1" s="870"/>
      <c r="N1" s="870"/>
      <c r="O1" s="870"/>
    </row>
    <row r="2" spans="1:15" s="1" customFormat="1" x14ac:dyDescent="0.2">
      <c r="A2" s="867" t="s">
        <v>103</v>
      </c>
      <c r="B2" s="868"/>
      <c r="C2" s="868"/>
      <c r="D2" s="869"/>
      <c r="E2" s="868"/>
      <c r="F2" s="868"/>
      <c r="G2" s="867" t="s">
        <v>104</v>
      </c>
      <c r="H2" s="869"/>
      <c r="I2" s="869" t="s">
        <v>105</v>
      </c>
      <c r="J2" s="868"/>
      <c r="K2" s="868"/>
      <c r="L2" s="870"/>
      <c r="M2" s="870"/>
      <c r="N2" s="870"/>
      <c r="O2" s="870"/>
    </row>
    <row r="3" spans="1:15" s="1" customFormat="1" x14ac:dyDescent="0.2">
      <c r="A3" s="867" t="s">
        <v>106</v>
      </c>
      <c r="B3" s="868"/>
      <c r="C3" s="868"/>
      <c r="D3" s="883" t="s">
        <v>379</v>
      </c>
      <c r="E3" s="868"/>
      <c r="F3" s="868"/>
      <c r="G3" s="867" t="s">
        <v>107</v>
      </c>
      <c r="H3" s="869"/>
      <c r="I3" s="869" t="s">
        <v>108</v>
      </c>
      <c r="J3" s="868"/>
      <c r="K3" s="868"/>
      <c r="L3" s="870"/>
      <c r="M3" s="870"/>
      <c r="N3" s="870"/>
      <c r="O3" s="870"/>
    </row>
    <row r="4" spans="1:15" s="1" customFormat="1" x14ac:dyDescent="0.2">
      <c r="A4" s="867" t="s">
        <v>109</v>
      </c>
      <c r="B4" s="868"/>
      <c r="C4" s="868"/>
      <c r="D4" s="869"/>
      <c r="E4" s="868"/>
      <c r="F4" s="868"/>
      <c r="G4" s="867" t="s">
        <v>110</v>
      </c>
      <c r="H4" s="869"/>
      <c r="I4" s="869" t="s">
        <v>380</v>
      </c>
      <c r="J4" s="868"/>
      <c r="K4" s="868"/>
      <c r="L4" s="870"/>
      <c r="M4" s="870"/>
      <c r="N4" s="870"/>
      <c r="O4" s="870"/>
    </row>
    <row r="5" spans="1:15" s="1" customFormat="1" x14ac:dyDescent="0.2">
      <c r="A5" s="867" t="s">
        <v>278</v>
      </c>
      <c r="B5" s="868"/>
      <c r="C5" s="868"/>
      <c r="D5" s="869" t="s">
        <v>381</v>
      </c>
      <c r="E5" s="868"/>
      <c r="F5" s="868"/>
      <c r="G5" s="867"/>
      <c r="H5" s="868"/>
      <c r="I5" s="869" t="s">
        <v>113</v>
      </c>
      <c r="J5" s="868"/>
      <c r="K5" s="868"/>
      <c r="L5" s="870"/>
      <c r="M5" s="870"/>
      <c r="N5" s="870"/>
      <c r="O5" s="870"/>
    </row>
    <row r="6" spans="1:15" s="1" customFormat="1" x14ac:dyDescent="0.2">
      <c r="A6" s="871" t="s">
        <v>114</v>
      </c>
      <c r="B6" s="872"/>
      <c r="C6" s="872"/>
      <c r="D6" s="868" t="s">
        <v>56</v>
      </c>
      <c r="E6" s="868"/>
      <c r="F6" s="868"/>
      <c r="G6" s="871" t="s">
        <v>115</v>
      </c>
      <c r="H6" s="871"/>
      <c r="I6" s="2" t="s">
        <v>116</v>
      </c>
      <c r="J6" s="888"/>
      <c r="K6" s="888"/>
      <c r="L6" s="888"/>
      <c r="M6" s="888"/>
      <c r="N6" s="888"/>
      <c r="O6" s="889"/>
    </row>
    <row r="7" spans="1:15" s="1" customFormat="1" ht="13.5" thickBot="1" x14ac:dyDescent="0.25">
      <c r="A7" s="3"/>
      <c r="B7" s="4"/>
      <c r="C7" s="5"/>
      <c r="D7" s="6"/>
      <c r="E7" s="6"/>
      <c r="F7" s="6"/>
      <c r="G7" s="6"/>
      <c r="H7" s="6"/>
      <c r="I7" s="6"/>
      <c r="J7" s="7"/>
      <c r="K7" s="8"/>
      <c r="L7" s="875" t="s">
        <v>223</v>
      </c>
      <c r="M7" s="875"/>
      <c r="N7" s="875"/>
      <c r="O7" s="875"/>
    </row>
    <row r="8" spans="1:15" s="11" customFormat="1" x14ac:dyDescent="0.2">
      <c r="A8" s="876" t="str">
        <f>I1</f>
        <v>Mr. Ajay Y. Kore</v>
      </c>
      <c r="B8" s="877"/>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55200</v>
      </c>
      <c r="D9" s="14">
        <f>+C9</f>
        <v>55200</v>
      </c>
      <c r="E9" s="14">
        <f>+D9</f>
        <v>55200</v>
      </c>
      <c r="F9" s="14">
        <f>+E9</f>
        <v>55200</v>
      </c>
      <c r="G9" s="14">
        <v>56900</v>
      </c>
      <c r="H9" s="14">
        <v>56900</v>
      </c>
      <c r="I9" s="14">
        <v>56900</v>
      </c>
      <c r="J9" s="14">
        <v>56900</v>
      </c>
      <c r="K9" s="14">
        <v>56900</v>
      </c>
      <c r="L9" s="14">
        <v>56900</v>
      </c>
      <c r="M9" s="14">
        <v>56900</v>
      </c>
      <c r="N9" s="14">
        <v>56900</v>
      </c>
      <c r="O9" s="15">
        <f>SUM(C9:N9)</f>
        <v>676000</v>
      </c>
    </row>
    <row r="10" spans="1:15" ht="15" x14ac:dyDescent="0.2">
      <c r="A10" s="12"/>
      <c r="B10" s="13" t="s">
        <v>119</v>
      </c>
      <c r="C10" s="17">
        <v>0</v>
      </c>
      <c r="D10" s="17">
        <f t="shared" ref="D10:N35" si="0">+C10</f>
        <v>0</v>
      </c>
      <c r="E10" s="17">
        <f t="shared" si="0"/>
        <v>0</v>
      </c>
      <c r="F10" s="17">
        <f t="shared" si="0"/>
        <v>0</v>
      </c>
      <c r="G10" s="17">
        <f t="shared" si="0"/>
        <v>0</v>
      </c>
      <c r="H10" s="17">
        <v>0</v>
      </c>
      <c r="I10" s="17">
        <f t="shared" si="0"/>
        <v>0</v>
      </c>
      <c r="J10" s="17">
        <f t="shared" si="0"/>
        <v>0</v>
      </c>
      <c r="K10" s="17">
        <f t="shared" si="0"/>
        <v>0</v>
      </c>
      <c r="L10" s="17">
        <f t="shared" si="0"/>
        <v>0</v>
      </c>
      <c r="M10" s="17">
        <f t="shared" si="0"/>
        <v>0</v>
      </c>
      <c r="N10" s="17">
        <v>0</v>
      </c>
      <c r="O10" s="18">
        <f>SUM(C10:N10)</f>
        <v>0</v>
      </c>
    </row>
    <row r="11" spans="1:15" ht="15" x14ac:dyDescent="0.2">
      <c r="A11" s="12"/>
      <c r="B11" s="13" t="s">
        <v>120</v>
      </c>
      <c r="C11" s="17">
        <v>2760</v>
      </c>
      <c r="D11" s="17">
        <v>3864</v>
      </c>
      <c r="E11" s="17">
        <f t="shared" si="0"/>
        <v>3864</v>
      </c>
      <c r="F11" s="17">
        <f t="shared" si="0"/>
        <v>3864</v>
      </c>
      <c r="G11" s="17">
        <v>3983</v>
      </c>
      <c r="H11" s="17">
        <v>3983</v>
      </c>
      <c r="I11" s="17">
        <v>3983</v>
      </c>
      <c r="J11" s="17">
        <v>5121</v>
      </c>
      <c r="K11" s="17">
        <f t="shared" si="0"/>
        <v>5121</v>
      </c>
      <c r="L11" s="17">
        <f t="shared" si="0"/>
        <v>5121</v>
      </c>
      <c r="M11" s="17">
        <f t="shared" si="0"/>
        <v>5121</v>
      </c>
      <c r="N11" s="17">
        <f t="shared" si="0"/>
        <v>5121</v>
      </c>
      <c r="O11" s="18">
        <f>SUM(C11:N11)</f>
        <v>51906</v>
      </c>
    </row>
    <row r="12" spans="1:15" ht="15" hidden="1" x14ac:dyDescent="0.2">
      <c r="A12" s="12"/>
      <c r="B12" s="13" t="s">
        <v>121</v>
      </c>
      <c r="C12" s="17">
        <v>0</v>
      </c>
      <c r="D12" s="17">
        <f t="shared" si="0"/>
        <v>0</v>
      </c>
      <c r="E12" s="17">
        <f t="shared" si="0"/>
        <v>0</v>
      </c>
      <c r="F12" s="17">
        <f t="shared" si="0"/>
        <v>0</v>
      </c>
      <c r="G12" s="17">
        <f t="shared" si="0"/>
        <v>0</v>
      </c>
      <c r="H12" s="17">
        <v>0</v>
      </c>
      <c r="I12" s="17">
        <f t="shared" si="0"/>
        <v>0</v>
      </c>
      <c r="J12" s="17">
        <f t="shared" si="0"/>
        <v>0</v>
      </c>
      <c r="K12" s="17">
        <f t="shared" si="0"/>
        <v>0</v>
      </c>
      <c r="L12" s="17">
        <f t="shared" si="0"/>
        <v>0</v>
      </c>
      <c r="M12" s="17">
        <f t="shared" si="0"/>
        <v>0</v>
      </c>
      <c r="N12" s="17">
        <v>0</v>
      </c>
      <c r="O12" s="18">
        <f>SUM(C12:N12)</f>
        <v>0</v>
      </c>
    </row>
    <row r="13" spans="1:15" ht="15" hidden="1" x14ac:dyDescent="0.2">
      <c r="A13" s="12"/>
      <c r="B13" s="13" t="s">
        <v>122</v>
      </c>
      <c r="C13" s="17">
        <v>0</v>
      </c>
      <c r="D13" s="17">
        <f t="shared" si="0"/>
        <v>0</v>
      </c>
      <c r="E13" s="17">
        <f t="shared" si="0"/>
        <v>0</v>
      </c>
      <c r="F13" s="17">
        <f t="shared" si="0"/>
        <v>0</v>
      </c>
      <c r="G13" s="17">
        <f t="shared" si="0"/>
        <v>0</v>
      </c>
      <c r="H13" s="17">
        <v>0</v>
      </c>
      <c r="I13" s="17">
        <f t="shared" si="0"/>
        <v>0</v>
      </c>
      <c r="J13" s="17">
        <f t="shared" si="0"/>
        <v>0</v>
      </c>
      <c r="K13" s="17">
        <f t="shared" si="0"/>
        <v>0</v>
      </c>
      <c r="L13" s="17">
        <f t="shared" si="0"/>
        <v>0</v>
      </c>
      <c r="M13" s="17">
        <f t="shared" si="0"/>
        <v>0</v>
      </c>
      <c r="N13" s="17">
        <v>0</v>
      </c>
      <c r="O13" s="18">
        <f t="shared" ref="O13:O37" si="1">SUM(C13:N13)</f>
        <v>0</v>
      </c>
    </row>
    <row r="14" spans="1:15" ht="15" x14ac:dyDescent="0.2">
      <c r="A14" s="12"/>
      <c r="B14" s="13" t="s">
        <v>123</v>
      </c>
      <c r="C14" s="17">
        <v>3780</v>
      </c>
      <c r="D14" s="17">
        <v>3852</v>
      </c>
      <c r="E14" s="17">
        <f t="shared" si="0"/>
        <v>3852</v>
      </c>
      <c r="F14" s="17">
        <f t="shared" si="0"/>
        <v>3852</v>
      </c>
      <c r="G14" s="17">
        <f t="shared" si="0"/>
        <v>3852</v>
      </c>
      <c r="H14" s="17">
        <f t="shared" si="0"/>
        <v>3852</v>
      </c>
      <c r="I14" s="17">
        <f t="shared" si="0"/>
        <v>3852</v>
      </c>
      <c r="J14" s="17">
        <v>3924</v>
      </c>
      <c r="K14" s="17">
        <f t="shared" si="0"/>
        <v>3924</v>
      </c>
      <c r="L14" s="17">
        <f t="shared" si="0"/>
        <v>3924</v>
      </c>
      <c r="M14" s="17">
        <f t="shared" si="0"/>
        <v>3924</v>
      </c>
      <c r="N14" s="17">
        <f t="shared" si="0"/>
        <v>3924</v>
      </c>
      <c r="O14" s="18">
        <f t="shared" si="1"/>
        <v>46512</v>
      </c>
    </row>
    <row r="15" spans="1:15" ht="15" hidden="1" x14ac:dyDescent="0.2">
      <c r="A15" s="12"/>
      <c r="B15" s="13" t="s">
        <v>124</v>
      </c>
      <c r="C15" s="17">
        <v>0</v>
      </c>
      <c r="D15" s="17">
        <f t="shared" si="0"/>
        <v>0</v>
      </c>
      <c r="E15" s="17">
        <f t="shared" si="0"/>
        <v>0</v>
      </c>
      <c r="F15" s="17">
        <f t="shared" si="0"/>
        <v>0</v>
      </c>
      <c r="G15" s="17">
        <f t="shared" si="0"/>
        <v>0</v>
      </c>
      <c r="H15" s="17">
        <v>0</v>
      </c>
      <c r="I15" s="17">
        <f t="shared" si="0"/>
        <v>0</v>
      </c>
      <c r="J15" s="17">
        <f t="shared" si="0"/>
        <v>0</v>
      </c>
      <c r="K15" s="17">
        <f t="shared" si="0"/>
        <v>0</v>
      </c>
      <c r="L15" s="17">
        <f t="shared" si="0"/>
        <v>0</v>
      </c>
      <c r="M15" s="17">
        <f t="shared" si="0"/>
        <v>0</v>
      </c>
      <c r="N15" s="17">
        <v>0</v>
      </c>
      <c r="O15" s="18">
        <f t="shared" si="1"/>
        <v>0</v>
      </c>
    </row>
    <row r="16" spans="1:15" ht="15" hidden="1" x14ac:dyDescent="0.2">
      <c r="A16" s="12"/>
      <c r="B16" s="13" t="s">
        <v>125</v>
      </c>
      <c r="C16" s="17">
        <v>0</v>
      </c>
      <c r="D16" s="17">
        <f t="shared" si="0"/>
        <v>0</v>
      </c>
      <c r="E16" s="17">
        <f t="shared" si="0"/>
        <v>0</v>
      </c>
      <c r="F16" s="17">
        <f t="shared" si="0"/>
        <v>0</v>
      </c>
      <c r="G16" s="17">
        <f t="shared" si="0"/>
        <v>0</v>
      </c>
      <c r="H16" s="17">
        <v>0</v>
      </c>
      <c r="I16" s="17">
        <f t="shared" si="0"/>
        <v>0</v>
      </c>
      <c r="J16" s="17">
        <f t="shared" si="0"/>
        <v>0</v>
      </c>
      <c r="K16" s="17">
        <f t="shared" si="0"/>
        <v>0</v>
      </c>
      <c r="L16" s="17">
        <f t="shared" si="0"/>
        <v>0</v>
      </c>
      <c r="M16" s="17">
        <f t="shared" si="0"/>
        <v>0</v>
      </c>
      <c r="N16" s="17">
        <v>0</v>
      </c>
      <c r="O16" s="18">
        <f t="shared" si="1"/>
        <v>0</v>
      </c>
    </row>
    <row r="17" spans="1:15" ht="15" hidden="1" x14ac:dyDescent="0.2">
      <c r="A17" s="12"/>
      <c r="B17" s="13" t="s">
        <v>126</v>
      </c>
      <c r="C17" s="17">
        <v>0</v>
      </c>
      <c r="D17" s="17">
        <f t="shared" si="0"/>
        <v>0</v>
      </c>
      <c r="E17" s="17">
        <f t="shared" si="0"/>
        <v>0</v>
      </c>
      <c r="F17" s="17">
        <f t="shared" si="0"/>
        <v>0</v>
      </c>
      <c r="G17" s="17">
        <f t="shared" si="0"/>
        <v>0</v>
      </c>
      <c r="H17" s="17">
        <v>0</v>
      </c>
      <c r="I17" s="17">
        <f t="shared" si="0"/>
        <v>0</v>
      </c>
      <c r="J17" s="17">
        <f t="shared" si="0"/>
        <v>0</v>
      </c>
      <c r="K17" s="17">
        <f t="shared" si="0"/>
        <v>0</v>
      </c>
      <c r="L17" s="17">
        <f t="shared" si="0"/>
        <v>0</v>
      </c>
      <c r="M17" s="17">
        <f t="shared" si="0"/>
        <v>0</v>
      </c>
      <c r="N17" s="17">
        <v>0</v>
      </c>
      <c r="O17" s="18">
        <f t="shared" si="1"/>
        <v>0</v>
      </c>
    </row>
    <row r="18" spans="1:15" ht="15" x14ac:dyDescent="0.2">
      <c r="A18" s="12"/>
      <c r="B18" s="13" t="s">
        <v>127</v>
      </c>
      <c r="C18" s="17">
        <v>0</v>
      </c>
      <c r="D18" s="17">
        <f t="shared" si="0"/>
        <v>0</v>
      </c>
      <c r="E18" s="17">
        <f t="shared" si="0"/>
        <v>0</v>
      </c>
      <c r="F18" s="17">
        <f t="shared" si="0"/>
        <v>0</v>
      </c>
      <c r="G18" s="17">
        <f t="shared" si="0"/>
        <v>0</v>
      </c>
      <c r="H18" s="17">
        <v>0</v>
      </c>
      <c r="I18" s="17">
        <f t="shared" si="0"/>
        <v>0</v>
      </c>
      <c r="J18" s="17">
        <f t="shared" si="0"/>
        <v>0</v>
      </c>
      <c r="K18" s="17">
        <f t="shared" si="0"/>
        <v>0</v>
      </c>
      <c r="L18" s="17">
        <f t="shared" si="0"/>
        <v>0</v>
      </c>
      <c r="M18" s="17">
        <f t="shared" si="0"/>
        <v>0</v>
      </c>
      <c r="N18" s="17">
        <v>0</v>
      </c>
      <c r="O18" s="18">
        <f t="shared" si="1"/>
        <v>0</v>
      </c>
    </row>
    <row r="19" spans="1:15" ht="15" x14ac:dyDescent="0.2">
      <c r="A19" s="12"/>
      <c r="B19" s="13" t="s">
        <v>128</v>
      </c>
      <c r="C19" s="17">
        <v>13248</v>
      </c>
      <c r="D19" s="17">
        <f t="shared" si="0"/>
        <v>13248</v>
      </c>
      <c r="E19" s="17">
        <f t="shared" si="0"/>
        <v>13248</v>
      </c>
      <c r="F19" s="17">
        <f t="shared" si="0"/>
        <v>13248</v>
      </c>
      <c r="G19" s="17">
        <v>13656</v>
      </c>
      <c r="H19" s="17">
        <v>13656</v>
      </c>
      <c r="I19" s="17">
        <v>13656</v>
      </c>
      <c r="J19" s="17">
        <v>13656</v>
      </c>
      <c r="K19" s="17">
        <v>13656</v>
      </c>
      <c r="L19" s="17">
        <v>13656</v>
      </c>
      <c r="M19" s="17">
        <v>13656</v>
      </c>
      <c r="N19" s="17">
        <v>13656</v>
      </c>
      <c r="O19" s="18">
        <f t="shared" si="1"/>
        <v>162240</v>
      </c>
    </row>
    <row r="20" spans="1:15" ht="15" customHeight="1" x14ac:dyDescent="0.2">
      <c r="A20" s="12"/>
      <c r="B20" s="13" t="s">
        <v>129</v>
      </c>
      <c r="C20" s="17">
        <v>0</v>
      </c>
      <c r="D20" s="17">
        <f t="shared" si="0"/>
        <v>0</v>
      </c>
      <c r="E20" s="17">
        <f t="shared" si="0"/>
        <v>0</v>
      </c>
      <c r="F20" s="17">
        <f t="shared" si="0"/>
        <v>0</v>
      </c>
      <c r="G20" s="17">
        <f t="shared" si="0"/>
        <v>0</v>
      </c>
      <c r="H20" s="17">
        <v>0</v>
      </c>
      <c r="I20" s="17">
        <f t="shared" si="0"/>
        <v>0</v>
      </c>
      <c r="J20" s="17">
        <f t="shared" si="0"/>
        <v>0</v>
      </c>
      <c r="K20" s="17">
        <f t="shared" si="0"/>
        <v>0</v>
      </c>
      <c r="L20" s="17">
        <f t="shared" si="0"/>
        <v>0</v>
      </c>
      <c r="M20" s="17">
        <f t="shared" si="0"/>
        <v>0</v>
      </c>
      <c r="N20" s="17">
        <v>0</v>
      </c>
      <c r="O20" s="18">
        <f t="shared" si="1"/>
        <v>0</v>
      </c>
    </row>
    <row r="21" spans="1:15" ht="15" hidden="1" customHeight="1" x14ac:dyDescent="0.2">
      <c r="A21" s="878" t="s">
        <v>130</v>
      </c>
      <c r="B21" s="19" t="s">
        <v>131</v>
      </c>
      <c r="C21" s="17">
        <v>0</v>
      </c>
      <c r="D21" s="17">
        <f t="shared" si="0"/>
        <v>0</v>
      </c>
      <c r="E21" s="17">
        <f t="shared" si="0"/>
        <v>0</v>
      </c>
      <c r="F21" s="17">
        <f t="shared" si="0"/>
        <v>0</v>
      </c>
      <c r="G21" s="17">
        <f t="shared" si="0"/>
        <v>0</v>
      </c>
      <c r="H21" s="17">
        <v>0</v>
      </c>
      <c r="I21" s="17">
        <f t="shared" si="0"/>
        <v>0</v>
      </c>
      <c r="J21" s="17">
        <f t="shared" si="0"/>
        <v>0</v>
      </c>
      <c r="K21" s="17">
        <f t="shared" si="0"/>
        <v>0</v>
      </c>
      <c r="L21" s="17">
        <f t="shared" si="0"/>
        <v>0</v>
      </c>
      <c r="M21" s="17">
        <f t="shared" si="0"/>
        <v>0</v>
      </c>
      <c r="N21" s="17">
        <v>0</v>
      </c>
      <c r="O21" s="18">
        <f t="shared" si="1"/>
        <v>0</v>
      </c>
    </row>
    <row r="22" spans="1:15" ht="15" customHeight="1" x14ac:dyDescent="0.2">
      <c r="A22" s="879"/>
      <c r="B22" s="19" t="s">
        <v>132</v>
      </c>
      <c r="C22" s="17">
        <v>0</v>
      </c>
      <c r="D22" s="17">
        <f t="shared" si="0"/>
        <v>0</v>
      </c>
      <c r="E22" s="17">
        <f t="shared" si="0"/>
        <v>0</v>
      </c>
      <c r="F22" s="17">
        <f t="shared" si="0"/>
        <v>0</v>
      </c>
      <c r="G22" s="17">
        <f t="shared" si="0"/>
        <v>0</v>
      </c>
      <c r="H22" s="17">
        <v>0</v>
      </c>
      <c r="I22" s="17">
        <f t="shared" si="0"/>
        <v>0</v>
      </c>
      <c r="J22" s="17">
        <v>6908</v>
      </c>
      <c r="K22" s="17">
        <v>0</v>
      </c>
      <c r="L22" s="17">
        <f t="shared" si="0"/>
        <v>0</v>
      </c>
      <c r="M22" s="17">
        <f t="shared" si="0"/>
        <v>0</v>
      </c>
      <c r="N22" s="17">
        <v>0</v>
      </c>
      <c r="O22" s="18">
        <f t="shared" si="1"/>
        <v>6908</v>
      </c>
    </row>
    <row r="23" spans="1:15" ht="15" hidden="1" customHeight="1" x14ac:dyDescent="0.2">
      <c r="A23" s="879"/>
      <c r="B23" s="19" t="s">
        <v>133</v>
      </c>
      <c r="C23" s="17">
        <v>0</v>
      </c>
      <c r="D23" s="17">
        <f t="shared" si="0"/>
        <v>0</v>
      </c>
      <c r="E23" s="17">
        <f t="shared" si="0"/>
        <v>0</v>
      </c>
      <c r="F23" s="17">
        <f t="shared" si="0"/>
        <v>0</v>
      </c>
      <c r="G23" s="17">
        <f t="shared" si="0"/>
        <v>0</v>
      </c>
      <c r="H23" s="17">
        <v>0</v>
      </c>
      <c r="I23" s="17">
        <f t="shared" si="0"/>
        <v>0</v>
      </c>
      <c r="J23" s="17">
        <f t="shared" si="0"/>
        <v>0</v>
      </c>
      <c r="K23" s="17">
        <f t="shared" si="0"/>
        <v>0</v>
      </c>
      <c r="L23" s="17">
        <f t="shared" si="0"/>
        <v>0</v>
      </c>
      <c r="M23" s="17">
        <f t="shared" si="0"/>
        <v>0</v>
      </c>
      <c r="N23" s="17">
        <v>0</v>
      </c>
      <c r="O23" s="18">
        <f t="shared" si="1"/>
        <v>0</v>
      </c>
    </row>
    <row r="24" spans="1:15" ht="15" hidden="1" customHeight="1" x14ac:dyDescent="0.2">
      <c r="A24" s="879"/>
      <c r="B24" s="19" t="s">
        <v>134</v>
      </c>
      <c r="C24" s="17">
        <v>0</v>
      </c>
      <c r="D24" s="17">
        <f t="shared" si="0"/>
        <v>0</v>
      </c>
      <c r="E24" s="17">
        <f t="shared" si="0"/>
        <v>0</v>
      </c>
      <c r="F24" s="17">
        <f t="shared" si="0"/>
        <v>0</v>
      </c>
      <c r="G24" s="17">
        <f t="shared" si="0"/>
        <v>0</v>
      </c>
      <c r="H24" s="17">
        <v>0</v>
      </c>
      <c r="I24" s="17">
        <f t="shared" si="0"/>
        <v>0</v>
      </c>
      <c r="J24" s="17">
        <f t="shared" si="0"/>
        <v>0</v>
      </c>
      <c r="K24" s="17">
        <f t="shared" si="0"/>
        <v>0</v>
      </c>
      <c r="L24" s="17">
        <f t="shared" si="0"/>
        <v>0</v>
      </c>
      <c r="M24" s="17">
        <f t="shared" si="0"/>
        <v>0</v>
      </c>
      <c r="N24" s="17">
        <v>0</v>
      </c>
      <c r="O24" s="18">
        <f t="shared" si="1"/>
        <v>0</v>
      </c>
    </row>
    <row r="25" spans="1:15" ht="15" hidden="1" customHeight="1" x14ac:dyDescent="0.2">
      <c r="A25" s="879"/>
      <c r="B25" s="19" t="s">
        <v>135</v>
      </c>
      <c r="C25" s="17">
        <v>0</v>
      </c>
      <c r="D25" s="17">
        <f t="shared" si="0"/>
        <v>0</v>
      </c>
      <c r="E25" s="17">
        <f t="shared" si="0"/>
        <v>0</v>
      </c>
      <c r="F25" s="17">
        <f t="shared" si="0"/>
        <v>0</v>
      </c>
      <c r="G25" s="17">
        <f t="shared" si="0"/>
        <v>0</v>
      </c>
      <c r="H25" s="17">
        <v>0</v>
      </c>
      <c r="I25" s="17">
        <f t="shared" si="0"/>
        <v>0</v>
      </c>
      <c r="J25" s="17">
        <f t="shared" si="0"/>
        <v>0</v>
      </c>
      <c r="K25" s="17">
        <f t="shared" si="0"/>
        <v>0</v>
      </c>
      <c r="L25" s="17">
        <f t="shared" si="0"/>
        <v>0</v>
      </c>
      <c r="M25" s="17">
        <f t="shared" si="0"/>
        <v>0</v>
      </c>
      <c r="N25" s="17">
        <v>0</v>
      </c>
      <c r="O25" s="18">
        <f t="shared" si="1"/>
        <v>0</v>
      </c>
    </row>
    <row r="26" spans="1:15" ht="15" hidden="1" customHeight="1" x14ac:dyDescent="0.2">
      <c r="A26" s="879"/>
      <c r="B26" s="19" t="s">
        <v>136</v>
      </c>
      <c r="C26" s="17">
        <v>0</v>
      </c>
      <c r="D26" s="17">
        <f t="shared" si="0"/>
        <v>0</v>
      </c>
      <c r="E26" s="17">
        <f t="shared" si="0"/>
        <v>0</v>
      </c>
      <c r="F26" s="17">
        <f t="shared" si="0"/>
        <v>0</v>
      </c>
      <c r="G26" s="17">
        <f t="shared" si="0"/>
        <v>0</v>
      </c>
      <c r="H26" s="17">
        <v>0</v>
      </c>
      <c r="I26" s="17">
        <f t="shared" si="0"/>
        <v>0</v>
      </c>
      <c r="J26" s="17">
        <f t="shared" si="0"/>
        <v>0</v>
      </c>
      <c r="K26" s="17">
        <f t="shared" si="0"/>
        <v>0</v>
      </c>
      <c r="L26" s="17">
        <f t="shared" si="0"/>
        <v>0</v>
      </c>
      <c r="M26" s="17">
        <f t="shared" si="0"/>
        <v>0</v>
      </c>
      <c r="N26" s="17">
        <v>0</v>
      </c>
      <c r="O26" s="18">
        <f t="shared" si="1"/>
        <v>0</v>
      </c>
    </row>
    <row r="27" spans="1:15" ht="15" hidden="1" customHeight="1" x14ac:dyDescent="0.2">
      <c r="A27" s="879"/>
      <c r="B27" s="19" t="s">
        <v>137</v>
      </c>
      <c r="C27" s="17">
        <v>0</v>
      </c>
      <c r="D27" s="17">
        <f t="shared" si="0"/>
        <v>0</v>
      </c>
      <c r="E27" s="17">
        <f t="shared" si="0"/>
        <v>0</v>
      </c>
      <c r="F27" s="17">
        <f t="shared" si="0"/>
        <v>0</v>
      </c>
      <c r="G27" s="17">
        <f t="shared" si="0"/>
        <v>0</v>
      </c>
      <c r="H27" s="17">
        <v>0</v>
      </c>
      <c r="I27" s="17">
        <f t="shared" si="0"/>
        <v>0</v>
      </c>
      <c r="J27" s="17">
        <f t="shared" si="0"/>
        <v>0</v>
      </c>
      <c r="K27" s="17">
        <f t="shared" si="0"/>
        <v>0</v>
      </c>
      <c r="L27" s="17">
        <f t="shared" si="0"/>
        <v>0</v>
      </c>
      <c r="M27" s="17">
        <f t="shared" si="0"/>
        <v>0</v>
      </c>
      <c r="N27" s="17">
        <v>0</v>
      </c>
      <c r="O27" s="18">
        <f t="shared" si="1"/>
        <v>0</v>
      </c>
    </row>
    <row r="28" spans="1:15" ht="15" hidden="1" customHeight="1" x14ac:dyDescent="0.2">
      <c r="A28" s="879"/>
      <c r="B28" s="19" t="s">
        <v>138</v>
      </c>
      <c r="C28" s="17">
        <v>0</v>
      </c>
      <c r="D28" s="17">
        <f t="shared" si="0"/>
        <v>0</v>
      </c>
      <c r="E28" s="17">
        <f t="shared" si="0"/>
        <v>0</v>
      </c>
      <c r="F28" s="17">
        <f t="shared" si="0"/>
        <v>0</v>
      </c>
      <c r="G28" s="17">
        <f t="shared" si="0"/>
        <v>0</v>
      </c>
      <c r="H28" s="17">
        <v>0</v>
      </c>
      <c r="I28" s="17">
        <f t="shared" si="0"/>
        <v>0</v>
      </c>
      <c r="J28" s="17">
        <f t="shared" si="0"/>
        <v>0</v>
      </c>
      <c r="K28" s="17">
        <f t="shared" si="0"/>
        <v>0</v>
      </c>
      <c r="L28" s="17">
        <f t="shared" si="0"/>
        <v>0</v>
      </c>
      <c r="M28" s="17">
        <f t="shared" si="0"/>
        <v>0</v>
      </c>
      <c r="N28" s="17">
        <v>0</v>
      </c>
      <c r="O28" s="18">
        <f t="shared" si="1"/>
        <v>0</v>
      </c>
    </row>
    <row r="29" spans="1:15" ht="15" hidden="1" customHeight="1" x14ac:dyDescent="0.2">
      <c r="A29" s="879"/>
      <c r="B29" s="19" t="s">
        <v>139</v>
      </c>
      <c r="C29" s="17">
        <v>0</v>
      </c>
      <c r="D29" s="17">
        <f t="shared" si="0"/>
        <v>0</v>
      </c>
      <c r="E29" s="17">
        <f t="shared" si="0"/>
        <v>0</v>
      </c>
      <c r="F29" s="17">
        <f t="shared" si="0"/>
        <v>0</v>
      </c>
      <c r="G29" s="17">
        <f t="shared" si="0"/>
        <v>0</v>
      </c>
      <c r="H29" s="17">
        <v>0</v>
      </c>
      <c r="I29" s="17">
        <f t="shared" si="0"/>
        <v>0</v>
      </c>
      <c r="J29" s="17">
        <f t="shared" si="0"/>
        <v>0</v>
      </c>
      <c r="K29" s="17">
        <f t="shared" si="0"/>
        <v>0</v>
      </c>
      <c r="L29" s="17">
        <f t="shared" si="0"/>
        <v>0</v>
      </c>
      <c r="M29" s="17">
        <f t="shared" si="0"/>
        <v>0</v>
      </c>
      <c r="N29" s="17">
        <v>0</v>
      </c>
      <c r="O29" s="18">
        <f t="shared" si="1"/>
        <v>0</v>
      </c>
    </row>
    <row r="30" spans="1:15" ht="15" hidden="1" customHeight="1" x14ac:dyDescent="0.2">
      <c r="A30" s="879"/>
      <c r="B30" s="19" t="s">
        <v>140</v>
      </c>
      <c r="C30" s="17">
        <v>0</v>
      </c>
      <c r="D30" s="17">
        <f t="shared" si="0"/>
        <v>0</v>
      </c>
      <c r="E30" s="17">
        <f t="shared" si="0"/>
        <v>0</v>
      </c>
      <c r="F30" s="17">
        <f t="shared" si="0"/>
        <v>0</v>
      </c>
      <c r="G30" s="17">
        <f t="shared" si="0"/>
        <v>0</v>
      </c>
      <c r="H30" s="17">
        <v>0</v>
      </c>
      <c r="I30" s="17">
        <f t="shared" si="0"/>
        <v>0</v>
      </c>
      <c r="J30" s="17">
        <f t="shared" si="0"/>
        <v>0</v>
      </c>
      <c r="K30" s="17">
        <f t="shared" si="0"/>
        <v>0</v>
      </c>
      <c r="L30" s="17">
        <f t="shared" si="0"/>
        <v>0</v>
      </c>
      <c r="M30" s="17">
        <f t="shared" si="0"/>
        <v>0</v>
      </c>
      <c r="N30" s="17">
        <v>0</v>
      </c>
      <c r="O30" s="18">
        <f t="shared" si="1"/>
        <v>0</v>
      </c>
    </row>
    <row r="31" spans="1:15" ht="15" customHeight="1" x14ac:dyDescent="0.2">
      <c r="A31" s="879"/>
      <c r="B31" s="167" t="s">
        <v>246</v>
      </c>
      <c r="C31" s="17">
        <v>0</v>
      </c>
      <c r="D31" s="17">
        <f t="shared" si="0"/>
        <v>0</v>
      </c>
      <c r="E31" s="17">
        <f t="shared" si="0"/>
        <v>0</v>
      </c>
      <c r="F31" s="17">
        <f t="shared" si="0"/>
        <v>0</v>
      </c>
      <c r="G31" s="17">
        <f t="shared" si="0"/>
        <v>0</v>
      </c>
      <c r="H31" s="17">
        <v>0</v>
      </c>
      <c r="I31" s="17">
        <f t="shared" si="0"/>
        <v>0</v>
      </c>
      <c r="J31" s="17">
        <f t="shared" si="0"/>
        <v>0</v>
      </c>
      <c r="K31" s="17">
        <f t="shared" si="0"/>
        <v>0</v>
      </c>
      <c r="L31" s="17">
        <f t="shared" si="0"/>
        <v>0</v>
      </c>
      <c r="M31" s="17">
        <f t="shared" si="0"/>
        <v>0</v>
      </c>
      <c r="N31" s="17">
        <v>0</v>
      </c>
      <c r="O31" s="18">
        <f t="shared" si="1"/>
        <v>0</v>
      </c>
    </row>
    <row r="32" spans="1:15" ht="15" customHeight="1" x14ac:dyDescent="0.2">
      <c r="A32" s="879"/>
      <c r="B32" s="21" t="s">
        <v>142</v>
      </c>
      <c r="C32" s="17">
        <v>0</v>
      </c>
      <c r="D32" s="17">
        <f t="shared" si="0"/>
        <v>0</v>
      </c>
      <c r="E32" s="17">
        <f t="shared" si="0"/>
        <v>0</v>
      </c>
      <c r="F32" s="17">
        <f t="shared" si="0"/>
        <v>0</v>
      </c>
      <c r="G32" s="17">
        <f t="shared" si="0"/>
        <v>0</v>
      </c>
      <c r="H32" s="17">
        <v>0</v>
      </c>
      <c r="I32" s="17">
        <f t="shared" si="0"/>
        <v>0</v>
      </c>
      <c r="J32" s="17">
        <f t="shared" si="0"/>
        <v>0</v>
      </c>
      <c r="K32" s="17">
        <f t="shared" si="0"/>
        <v>0</v>
      </c>
      <c r="L32" s="17">
        <f t="shared" si="0"/>
        <v>0</v>
      </c>
      <c r="M32" s="17">
        <f t="shared" si="0"/>
        <v>0</v>
      </c>
      <c r="N32" s="17">
        <v>0</v>
      </c>
      <c r="O32" s="18">
        <f t="shared" si="1"/>
        <v>0</v>
      </c>
    </row>
    <row r="33" spans="1:16" ht="15" hidden="1" customHeight="1" x14ac:dyDescent="0.2">
      <c r="A33" s="880"/>
      <c r="B33" s="19" t="s">
        <v>226</v>
      </c>
      <c r="C33" s="17">
        <v>0</v>
      </c>
      <c r="D33" s="17">
        <f t="shared" si="0"/>
        <v>0</v>
      </c>
      <c r="E33" s="17">
        <f t="shared" si="0"/>
        <v>0</v>
      </c>
      <c r="F33" s="17">
        <f t="shared" si="0"/>
        <v>0</v>
      </c>
      <c r="G33" s="17">
        <f t="shared" si="0"/>
        <v>0</v>
      </c>
      <c r="H33" s="17">
        <v>0</v>
      </c>
      <c r="I33" s="17">
        <f t="shared" si="0"/>
        <v>0</v>
      </c>
      <c r="J33" s="17">
        <f t="shared" si="0"/>
        <v>0</v>
      </c>
      <c r="K33" s="17">
        <f t="shared" si="0"/>
        <v>0</v>
      </c>
      <c r="L33" s="17">
        <f t="shared" si="0"/>
        <v>0</v>
      </c>
      <c r="M33" s="17">
        <f t="shared" si="0"/>
        <v>0</v>
      </c>
      <c r="N33" s="17">
        <v>0</v>
      </c>
      <c r="O33" s="18">
        <f t="shared" si="1"/>
        <v>0</v>
      </c>
    </row>
    <row r="34" spans="1:16" ht="15" customHeight="1" x14ac:dyDescent="0.2">
      <c r="A34" s="865" t="s">
        <v>144</v>
      </c>
      <c r="B34" s="866"/>
      <c r="C34" s="17">
        <v>0</v>
      </c>
      <c r="D34" s="17">
        <f t="shared" si="0"/>
        <v>0</v>
      </c>
      <c r="E34" s="17">
        <f t="shared" si="0"/>
        <v>0</v>
      </c>
      <c r="F34" s="17">
        <f t="shared" si="0"/>
        <v>0</v>
      </c>
      <c r="G34" s="17">
        <f t="shared" si="0"/>
        <v>0</v>
      </c>
      <c r="H34" s="17">
        <v>0</v>
      </c>
      <c r="I34" s="17">
        <f t="shared" si="0"/>
        <v>0</v>
      </c>
      <c r="J34" s="17">
        <f t="shared" si="0"/>
        <v>0</v>
      </c>
      <c r="K34" s="17">
        <f t="shared" si="0"/>
        <v>0</v>
      </c>
      <c r="L34" s="17">
        <f t="shared" si="0"/>
        <v>0</v>
      </c>
      <c r="M34" s="17">
        <f t="shared" si="0"/>
        <v>0</v>
      </c>
      <c r="N34" s="17">
        <v>0</v>
      </c>
      <c r="O34" s="18">
        <f t="shared" si="1"/>
        <v>0</v>
      </c>
    </row>
    <row r="35" spans="1:16" ht="15" customHeight="1" x14ac:dyDescent="0.2">
      <c r="A35" s="215"/>
      <c r="B35" s="216" t="s">
        <v>382</v>
      </c>
      <c r="C35" s="17">
        <v>0</v>
      </c>
      <c r="D35" s="17">
        <f t="shared" si="0"/>
        <v>0</v>
      </c>
      <c r="E35" s="17">
        <f t="shared" si="0"/>
        <v>0</v>
      </c>
      <c r="F35" s="17">
        <f t="shared" si="0"/>
        <v>0</v>
      </c>
      <c r="G35" s="17">
        <f t="shared" si="0"/>
        <v>0</v>
      </c>
      <c r="H35" s="17">
        <v>0</v>
      </c>
      <c r="I35" s="17">
        <f t="shared" si="0"/>
        <v>0</v>
      </c>
      <c r="J35" s="17">
        <f t="shared" si="0"/>
        <v>0</v>
      </c>
      <c r="K35" s="17">
        <f t="shared" si="0"/>
        <v>0</v>
      </c>
      <c r="L35" s="17">
        <f t="shared" si="0"/>
        <v>0</v>
      </c>
      <c r="M35" s="17">
        <f t="shared" si="0"/>
        <v>0</v>
      </c>
      <c r="N35" s="17">
        <v>0</v>
      </c>
      <c r="O35" s="18">
        <f t="shared" si="1"/>
        <v>0</v>
      </c>
    </row>
    <row r="36" spans="1:16" ht="15" customHeight="1" x14ac:dyDescent="0.2">
      <c r="A36" s="865" t="s">
        <v>145</v>
      </c>
      <c r="B36" s="866"/>
      <c r="C36" s="17">
        <v>0</v>
      </c>
      <c r="D36" s="17">
        <v>216</v>
      </c>
      <c r="E36" s="17">
        <v>0</v>
      </c>
      <c r="F36" s="17">
        <f>+E36</f>
        <v>0</v>
      </c>
      <c r="G36" s="17">
        <f>+F36</f>
        <v>0</v>
      </c>
      <c r="H36" s="17">
        <v>0</v>
      </c>
      <c r="I36" s="17">
        <f t="shared" ref="I36:M37" si="2">+H36</f>
        <v>0</v>
      </c>
      <c r="J36" s="17">
        <v>216</v>
      </c>
      <c r="K36" s="17">
        <v>0</v>
      </c>
      <c r="L36" s="17">
        <f t="shared" si="2"/>
        <v>0</v>
      </c>
      <c r="M36" s="17">
        <f t="shared" si="2"/>
        <v>0</v>
      </c>
      <c r="N36" s="17">
        <v>0</v>
      </c>
      <c r="O36" s="18">
        <f t="shared" si="1"/>
        <v>432</v>
      </c>
    </row>
    <row r="37" spans="1:16" ht="15" customHeight="1" x14ac:dyDescent="0.2">
      <c r="A37" s="865" t="s">
        <v>146</v>
      </c>
      <c r="B37" s="866"/>
      <c r="C37" s="17">
        <v>0</v>
      </c>
      <c r="D37" s="17">
        <v>3312</v>
      </c>
      <c r="E37" s="17">
        <v>0</v>
      </c>
      <c r="F37" s="17">
        <f>+E37</f>
        <v>0</v>
      </c>
      <c r="G37" s="17">
        <f>+F37</f>
        <v>0</v>
      </c>
      <c r="H37" s="17">
        <v>0</v>
      </c>
      <c r="I37" s="17">
        <f t="shared" si="2"/>
        <v>0</v>
      </c>
      <c r="J37" s="17">
        <v>3414</v>
      </c>
      <c r="K37" s="17">
        <v>0</v>
      </c>
      <c r="L37" s="17">
        <f t="shared" si="2"/>
        <v>0</v>
      </c>
      <c r="M37" s="17">
        <f t="shared" si="2"/>
        <v>0</v>
      </c>
      <c r="N37" s="17">
        <v>0</v>
      </c>
      <c r="O37" s="18">
        <f t="shared" si="1"/>
        <v>6726</v>
      </c>
    </row>
    <row r="38" spans="1:16" ht="15" customHeight="1" x14ac:dyDescent="0.2">
      <c r="A38" s="22"/>
      <c r="B38" s="23" t="s">
        <v>147</v>
      </c>
      <c r="C38" s="24">
        <f t="shared" ref="C38:N38" si="3">SUM(C9:C37)</f>
        <v>74988</v>
      </c>
      <c r="D38" s="24">
        <f t="shared" si="3"/>
        <v>79692</v>
      </c>
      <c r="E38" s="24">
        <f t="shared" si="3"/>
        <v>76164</v>
      </c>
      <c r="F38" s="24">
        <f t="shared" si="3"/>
        <v>76164</v>
      </c>
      <c r="G38" s="24">
        <f t="shared" si="3"/>
        <v>78391</v>
      </c>
      <c r="H38" s="24">
        <f t="shared" si="3"/>
        <v>78391</v>
      </c>
      <c r="I38" s="24">
        <f t="shared" si="3"/>
        <v>78391</v>
      </c>
      <c r="J38" s="24">
        <f t="shared" si="3"/>
        <v>90139</v>
      </c>
      <c r="K38" s="24">
        <f t="shared" si="3"/>
        <v>79601</v>
      </c>
      <c r="L38" s="24">
        <f t="shared" si="3"/>
        <v>79601</v>
      </c>
      <c r="M38" s="24">
        <f t="shared" si="3"/>
        <v>79601</v>
      </c>
      <c r="N38" s="24">
        <f t="shared" si="3"/>
        <v>79601</v>
      </c>
      <c r="O38" s="25">
        <f>SUM(C38:N38)</f>
        <v>950724</v>
      </c>
    </row>
    <row r="39" spans="1:16" ht="15" customHeight="1" x14ac:dyDescent="0.2">
      <c r="A39" s="853" t="s">
        <v>148</v>
      </c>
      <c r="B39" s="27" t="s">
        <v>149</v>
      </c>
      <c r="C39" s="28">
        <v>1800</v>
      </c>
      <c r="D39" s="28">
        <v>1500</v>
      </c>
      <c r="E39" s="28">
        <v>1500</v>
      </c>
      <c r="F39" s="28">
        <v>1500</v>
      </c>
      <c r="G39" s="28">
        <v>1500</v>
      </c>
      <c r="H39" s="28">
        <v>1500</v>
      </c>
      <c r="I39" s="28">
        <v>1500</v>
      </c>
      <c r="J39" s="28">
        <v>1500</v>
      </c>
      <c r="K39" s="28">
        <v>3000</v>
      </c>
      <c r="L39" s="28">
        <v>5565</v>
      </c>
      <c r="M39" s="28">
        <v>5565</v>
      </c>
      <c r="N39" s="28">
        <v>5875</v>
      </c>
      <c r="O39" s="18">
        <f>SUM(C39:N39)</f>
        <v>32305</v>
      </c>
      <c r="P39" s="29"/>
    </row>
    <row r="40" spans="1:16" ht="15" x14ac:dyDescent="0.2">
      <c r="A40" s="854"/>
      <c r="B40" s="27" t="s">
        <v>150</v>
      </c>
      <c r="C40" s="28">
        <v>0</v>
      </c>
      <c r="D40" s="28">
        <v>0</v>
      </c>
      <c r="E40" s="28">
        <v>0</v>
      </c>
      <c r="F40" s="28">
        <v>0</v>
      </c>
      <c r="G40" s="28">
        <v>0</v>
      </c>
      <c r="H40" s="28">
        <v>0</v>
      </c>
      <c r="I40" s="28">
        <v>0</v>
      </c>
      <c r="J40" s="28">
        <v>0</v>
      </c>
      <c r="K40" s="28">
        <v>0</v>
      </c>
      <c r="L40" s="28">
        <v>0</v>
      </c>
      <c r="M40" s="28">
        <v>0</v>
      </c>
      <c r="N40" s="28">
        <v>0</v>
      </c>
      <c r="O40" s="18">
        <f>SUM(C40:N40)</f>
        <v>0</v>
      </c>
    </row>
    <row r="41" spans="1:16" ht="15" x14ac:dyDescent="0.2">
      <c r="A41" s="854"/>
      <c r="B41" s="27" t="s">
        <v>151</v>
      </c>
      <c r="C41" s="28">
        <v>60</v>
      </c>
      <c r="D41" s="28">
        <v>60</v>
      </c>
      <c r="E41" s="28">
        <v>60</v>
      </c>
      <c r="F41" s="28">
        <v>60</v>
      </c>
      <c r="G41" s="28">
        <v>60</v>
      </c>
      <c r="H41" s="28">
        <v>60</v>
      </c>
      <c r="I41" s="28">
        <v>60</v>
      </c>
      <c r="J41" s="28">
        <v>60</v>
      </c>
      <c r="K41" s="28">
        <v>60</v>
      </c>
      <c r="L41" s="28">
        <v>60</v>
      </c>
      <c r="M41" s="28">
        <v>60</v>
      </c>
      <c r="N41" s="28">
        <v>60</v>
      </c>
      <c r="O41" s="18">
        <f t="shared" ref="O41:O51" si="4">SUM(C41:N41)</f>
        <v>720</v>
      </c>
    </row>
    <row r="42" spans="1:16" ht="15" x14ac:dyDescent="0.2">
      <c r="A42" s="854"/>
      <c r="B42" s="27" t="s">
        <v>152</v>
      </c>
      <c r="C42" s="28">
        <v>0</v>
      </c>
      <c r="D42" s="28">
        <v>0</v>
      </c>
      <c r="E42" s="28">
        <v>0</v>
      </c>
      <c r="F42" s="28">
        <v>0</v>
      </c>
      <c r="G42" s="28">
        <v>0</v>
      </c>
      <c r="H42" s="28">
        <v>0</v>
      </c>
      <c r="I42" s="28">
        <v>0</v>
      </c>
      <c r="J42" s="28">
        <v>0</v>
      </c>
      <c r="K42" s="28">
        <v>0</v>
      </c>
      <c r="L42" s="28">
        <v>0</v>
      </c>
      <c r="M42" s="28">
        <v>0</v>
      </c>
      <c r="N42" s="28">
        <v>0</v>
      </c>
      <c r="O42" s="18">
        <f t="shared" si="4"/>
        <v>0</v>
      </c>
    </row>
    <row r="43" spans="1:16" ht="15" x14ac:dyDescent="0.2">
      <c r="A43" s="854"/>
      <c r="B43" s="27" t="s">
        <v>153</v>
      </c>
      <c r="C43" s="28">
        <v>0</v>
      </c>
      <c r="D43" s="28">
        <v>0</v>
      </c>
      <c r="E43" s="28">
        <v>0</v>
      </c>
      <c r="F43" s="28">
        <v>0</v>
      </c>
      <c r="G43" s="28">
        <v>0</v>
      </c>
      <c r="H43" s="28">
        <v>0</v>
      </c>
      <c r="I43" s="28">
        <v>0</v>
      </c>
      <c r="J43" s="28">
        <v>0</v>
      </c>
      <c r="K43" s="28">
        <v>0</v>
      </c>
      <c r="L43" s="28">
        <v>0</v>
      </c>
      <c r="M43" s="28">
        <v>0</v>
      </c>
      <c r="N43" s="28">
        <v>0</v>
      </c>
      <c r="O43" s="18">
        <f t="shared" si="4"/>
        <v>0</v>
      </c>
    </row>
    <row r="44" spans="1:16" ht="15" x14ac:dyDescent="0.2">
      <c r="A44" s="854"/>
      <c r="B44" s="27" t="s">
        <v>154</v>
      </c>
      <c r="C44" s="28">
        <v>12000</v>
      </c>
      <c r="D44" s="28">
        <v>12000</v>
      </c>
      <c r="E44" s="28">
        <v>15000</v>
      </c>
      <c r="F44" s="28">
        <v>15000</v>
      </c>
      <c r="G44" s="28">
        <v>15000</v>
      </c>
      <c r="H44" s="28">
        <v>15000</v>
      </c>
      <c r="I44" s="28">
        <v>15000</v>
      </c>
      <c r="J44" s="28">
        <v>15000</v>
      </c>
      <c r="K44" s="28">
        <v>15000</v>
      </c>
      <c r="L44" s="28">
        <v>15000</v>
      </c>
      <c r="M44" s="28">
        <v>15000</v>
      </c>
      <c r="N44" s="28">
        <v>15000</v>
      </c>
      <c r="O44" s="18">
        <f t="shared" si="4"/>
        <v>174000</v>
      </c>
    </row>
    <row r="45" spans="1:16" ht="15" x14ac:dyDescent="0.2">
      <c r="A45" s="854"/>
      <c r="B45" s="27" t="s">
        <v>155</v>
      </c>
      <c r="C45" s="28">
        <v>200</v>
      </c>
      <c r="D45" s="28">
        <v>200</v>
      </c>
      <c r="E45" s="28">
        <v>200</v>
      </c>
      <c r="F45" s="28">
        <v>200</v>
      </c>
      <c r="G45" s="28">
        <v>200</v>
      </c>
      <c r="H45" s="28">
        <v>200</v>
      </c>
      <c r="I45" s="28">
        <v>200</v>
      </c>
      <c r="J45" s="28">
        <v>200</v>
      </c>
      <c r="K45" s="28">
        <v>200</v>
      </c>
      <c r="L45" s="28">
        <v>200</v>
      </c>
      <c r="M45" s="28">
        <v>200</v>
      </c>
      <c r="N45" s="28">
        <v>300</v>
      </c>
      <c r="O45" s="18">
        <f t="shared" si="4"/>
        <v>2500</v>
      </c>
    </row>
    <row r="46" spans="1:16" ht="15" x14ac:dyDescent="0.2">
      <c r="A46" s="854"/>
      <c r="B46" s="27" t="s">
        <v>156</v>
      </c>
      <c r="C46" s="28">
        <v>0</v>
      </c>
      <c r="D46" s="28">
        <v>0</v>
      </c>
      <c r="E46" s="28">
        <v>0</v>
      </c>
      <c r="F46" s="28">
        <v>0</v>
      </c>
      <c r="G46" s="28">
        <v>0</v>
      </c>
      <c r="H46" s="28">
        <v>0</v>
      </c>
      <c r="I46" s="28">
        <v>0</v>
      </c>
      <c r="J46" s="28">
        <v>0</v>
      </c>
      <c r="K46" s="28">
        <v>0</v>
      </c>
      <c r="L46" s="28">
        <v>0</v>
      </c>
      <c r="M46" s="28">
        <v>0</v>
      </c>
      <c r="N46" s="28">
        <v>0</v>
      </c>
      <c r="O46" s="18">
        <f t="shared" si="4"/>
        <v>0</v>
      </c>
    </row>
    <row r="47" spans="1:16" ht="15" x14ac:dyDescent="0.2">
      <c r="A47" s="854"/>
      <c r="B47" s="27" t="s">
        <v>157</v>
      </c>
      <c r="C47" s="28">
        <v>3000</v>
      </c>
      <c r="D47" s="28">
        <v>3000</v>
      </c>
      <c r="E47" s="28">
        <v>0</v>
      </c>
      <c r="F47" s="28">
        <v>0</v>
      </c>
      <c r="G47" s="28">
        <v>0</v>
      </c>
      <c r="H47" s="28">
        <v>0</v>
      </c>
      <c r="I47" s="28">
        <v>0</v>
      </c>
      <c r="J47" s="28">
        <v>0</v>
      </c>
      <c r="K47" s="28">
        <v>0</v>
      </c>
      <c r="L47" s="28">
        <v>0</v>
      </c>
      <c r="M47" s="28">
        <v>0</v>
      </c>
      <c r="N47" s="28">
        <v>0</v>
      </c>
      <c r="O47" s="18">
        <f t="shared" si="4"/>
        <v>6000</v>
      </c>
    </row>
    <row r="48" spans="1:16" ht="28.5" customHeight="1" x14ac:dyDescent="0.2">
      <c r="A48" s="855"/>
      <c r="B48" s="30" t="s">
        <v>158</v>
      </c>
      <c r="C48" s="28">
        <v>0</v>
      </c>
      <c r="D48" s="28">
        <v>0</v>
      </c>
      <c r="E48" s="28">
        <v>0</v>
      </c>
      <c r="F48" s="28">
        <v>0</v>
      </c>
      <c r="G48" s="28">
        <v>0</v>
      </c>
      <c r="H48" s="28">
        <v>0</v>
      </c>
      <c r="I48" s="28">
        <v>0</v>
      </c>
      <c r="J48" s="28">
        <v>0</v>
      </c>
      <c r="K48" s="28">
        <v>0</v>
      </c>
      <c r="L48" s="28">
        <v>0</v>
      </c>
      <c r="M48" s="28">
        <v>0</v>
      </c>
      <c r="N48" s="28">
        <v>0</v>
      </c>
      <c r="O48" s="31">
        <f t="shared" si="4"/>
        <v>0</v>
      </c>
    </row>
    <row r="49" spans="1:18" ht="25.5" x14ac:dyDescent="0.2">
      <c r="A49" s="856"/>
      <c r="B49" s="169" t="s">
        <v>383</v>
      </c>
      <c r="C49" s="28">
        <v>0</v>
      </c>
      <c r="D49" s="28">
        <v>0</v>
      </c>
      <c r="E49" s="28">
        <v>0</v>
      </c>
      <c r="F49" s="28">
        <v>0</v>
      </c>
      <c r="G49" s="28">
        <v>0</v>
      </c>
      <c r="H49" s="28">
        <v>0</v>
      </c>
      <c r="I49" s="28">
        <v>0</v>
      </c>
      <c r="J49" s="28">
        <v>0</v>
      </c>
      <c r="K49" s="28">
        <v>0</v>
      </c>
      <c r="L49" s="28">
        <v>0</v>
      </c>
      <c r="M49" s="28">
        <v>0</v>
      </c>
      <c r="N49" s="28">
        <v>0</v>
      </c>
      <c r="O49" s="31">
        <f t="shared" si="4"/>
        <v>0</v>
      </c>
    </row>
    <row r="50" spans="1:18" ht="15" x14ac:dyDescent="0.2">
      <c r="A50" s="857" t="s">
        <v>160</v>
      </c>
      <c r="B50" s="858"/>
      <c r="C50" s="33">
        <f t="shared" ref="C50:N50" si="5">SUM(C39:C49)</f>
        <v>17060</v>
      </c>
      <c r="D50" s="33">
        <f t="shared" si="5"/>
        <v>16760</v>
      </c>
      <c r="E50" s="33">
        <f t="shared" si="5"/>
        <v>16760</v>
      </c>
      <c r="F50" s="33">
        <f t="shared" si="5"/>
        <v>16760</v>
      </c>
      <c r="G50" s="33">
        <f t="shared" si="5"/>
        <v>16760</v>
      </c>
      <c r="H50" s="33">
        <f t="shared" si="5"/>
        <v>16760</v>
      </c>
      <c r="I50" s="33">
        <f t="shared" si="5"/>
        <v>16760</v>
      </c>
      <c r="J50" s="33">
        <f t="shared" si="5"/>
        <v>16760</v>
      </c>
      <c r="K50" s="33">
        <f t="shared" si="5"/>
        <v>18260</v>
      </c>
      <c r="L50" s="33">
        <f t="shared" si="5"/>
        <v>20825</v>
      </c>
      <c r="M50" s="33">
        <f t="shared" si="5"/>
        <v>20825</v>
      </c>
      <c r="N50" s="33">
        <f t="shared" si="5"/>
        <v>21235</v>
      </c>
      <c r="O50" s="34">
        <f t="shared" si="4"/>
        <v>215525</v>
      </c>
    </row>
    <row r="51" spans="1:18" ht="15.75" thickBot="1" x14ac:dyDescent="0.25">
      <c r="A51" s="859" t="s">
        <v>161</v>
      </c>
      <c r="B51" s="860"/>
      <c r="C51" s="35">
        <f t="shared" ref="C51:N51" si="6">C38-C50</f>
        <v>57928</v>
      </c>
      <c r="D51" s="35">
        <f t="shared" si="6"/>
        <v>62932</v>
      </c>
      <c r="E51" s="35">
        <f t="shared" si="6"/>
        <v>59404</v>
      </c>
      <c r="F51" s="35">
        <f t="shared" si="6"/>
        <v>59404</v>
      </c>
      <c r="G51" s="35">
        <f t="shared" si="6"/>
        <v>61631</v>
      </c>
      <c r="H51" s="35">
        <f t="shared" si="6"/>
        <v>61631</v>
      </c>
      <c r="I51" s="35">
        <f t="shared" si="6"/>
        <v>61631</v>
      </c>
      <c r="J51" s="35">
        <f t="shared" si="6"/>
        <v>73379</v>
      </c>
      <c r="K51" s="35">
        <f t="shared" si="6"/>
        <v>61341</v>
      </c>
      <c r="L51" s="35">
        <f t="shared" si="6"/>
        <v>58776</v>
      </c>
      <c r="M51" s="35">
        <f t="shared" si="6"/>
        <v>58776</v>
      </c>
      <c r="N51" s="35">
        <f t="shared" si="6"/>
        <v>58366</v>
      </c>
      <c r="O51" s="36">
        <f t="shared" si="4"/>
        <v>735199</v>
      </c>
    </row>
    <row r="52" spans="1:18" x14ac:dyDescent="0.2">
      <c r="J52" s="128">
        <f>+J38-SUM(J22:J37)</f>
        <v>79601</v>
      </c>
      <c r="M52" s="38">
        <f>+M51-13458</f>
        <v>45318</v>
      </c>
      <c r="Q52" s="38"/>
    </row>
    <row r="53" spans="1:18" ht="13.5" thickBot="1" x14ac:dyDescent="0.25">
      <c r="J53" s="38">
        <f>+J52-J50</f>
        <v>62841</v>
      </c>
    </row>
    <row r="54" spans="1:18" ht="13.5" thickBot="1" x14ac:dyDescent="0.25">
      <c r="B54" s="789" t="s">
        <v>162</v>
      </c>
      <c r="C54" s="861"/>
      <c r="D54" s="861"/>
      <c r="E54" s="861"/>
      <c r="F54" s="862"/>
      <c r="G54" s="863">
        <f>O38</f>
        <v>950724</v>
      </c>
      <c r="H54" s="864"/>
    </row>
    <row r="55" spans="1:18" ht="13.5" thickBot="1" x14ac:dyDescent="0.25"/>
    <row r="56" spans="1:18" x14ac:dyDescent="0.2">
      <c r="B56" s="830" t="s">
        <v>163</v>
      </c>
      <c r="C56" s="833" t="s">
        <v>164</v>
      </c>
      <c r="D56" s="836" t="s">
        <v>229</v>
      </c>
      <c r="E56" s="837"/>
      <c r="F56" s="838"/>
      <c r="G56" s="839">
        <v>40000</v>
      </c>
      <c r="H56" s="840"/>
    </row>
    <row r="57" spans="1:18" x14ac:dyDescent="0.2">
      <c r="B57" s="831"/>
      <c r="C57" s="834"/>
      <c r="D57" s="841" t="s">
        <v>166</v>
      </c>
      <c r="E57" s="842"/>
      <c r="F57" s="843"/>
      <c r="G57" s="844">
        <f>+O45</f>
        <v>2500</v>
      </c>
      <c r="H57" s="845"/>
      <c r="I57" s="39"/>
      <c r="J57" s="846"/>
      <c r="K57" s="846"/>
      <c r="L57" s="846"/>
      <c r="M57" s="847"/>
      <c r="N57" s="847"/>
      <c r="O57" s="847"/>
    </row>
    <row r="58" spans="1:18" ht="13.5" thickBot="1" x14ac:dyDescent="0.25">
      <c r="B58" s="832"/>
      <c r="C58" s="835"/>
      <c r="D58" s="848" t="s">
        <v>266</v>
      </c>
      <c r="E58" s="849"/>
      <c r="F58" s="850"/>
      <c r="G58" s="851">
        <v>0</v>
      </c>
      <c r="H58" s="852"/>
      <c r="J58" s="47"/>
      <c r="K58" s="47"/>
      <c r="L58" s="47"/>
      <c r="M58" s="47"/>
      <c r="N58" s="47"/>
      <c r="O58" s="47"/>
    </row>
    <row r="59" spans="1:18" ht="13.5" thickBot="1" x14ac:dyDescent="0.25">
      <c r="B59" s="48"/>
      <c r="J59" s="47"/>
      <c r="K59" s="47"/>
      <c r="L59" s="47"/>
      <c r="M59" s="47"/>
      <c r="N59" s="47"/>
      <c r="O59" s="47"/>
    </row>
    <row r="60" spans="1:18" ht="13.5" thickBot="1" x14ac:dyDescent="0.25">
      <c r="B60" s="789" t="s">
        <v>168</v>
      </c>
      <c r="C60" s="790"/>
      <c r="D60" s="790"/>
      <c r="E60" s="790"/>
      <c r="F60" s="791"/>
      <c r="G60" s="825">
        <f>+G54-SUM(G56:H58)</f>
        <v>908224</v>
      </c>
      <c r="H60" s="826"/>
      <c r="J60" s="827" t="s">
        <v>169</v>
      </c>
      <c r="K60" s="828"/>
      <c r="L60" s="828"/>
      <c r="M60" s="828"/>
      <c r="N60" s="828"/>
      <c r="O60" s="829"/>
    </row>
    <row r="61" spans="1:18" ht="13.5" thickBot="1" x14ac:dyDescent="0.25">
      <c r="B61" s="49"/>
      <c r="C61" s="50"/>
      <c r="D61" s="50"/>
      <c r="E61" s="50"/>
      <c r="F61" s="50"/>
      <c r="G61" s="45"/>
      <c r="H61" s="50"/>
      <c r="J61" s="51"/>
      <c r="K61" s="52"/>
      <c r="L61" s="52"/>
      <c r="M61" s="52"/>
      <c r="N61" s="52"/>
      <c r="O61" s="53"/>
    </row>
    <row r="62" spans="1:18" ht="13.5" thickBot="1" x14ac:dyDescent="0.25">
      <c r="B62" s="789" t="s">
        <v>170</v>
      </c>
      <c r="C62" s="790"/>
      <c r="D62" s="790"/>
      <c r="E62" s="790"/>
      <c r="F62" s="791"/>
      <c r="G62" s="805">
        <v>135100</v>
      </c>
      <c r="H62" s="791"/>
      <c r="J62" s="54"/>
      <c r="K62" s="55"/>
      <c r="L62" s="55"/>
      <c r="M62" s="55"/>
      <c r="N62" s="55"/>
      <c r="O62" s="56"/>
    </row>
    <row r="63" spans="1:18" ht="12.75" customHeight="1" x14ac:dyDescent="0.2">
      <c r="B63" s="57" t="s">
        <v>171</v>
      </c>
      <c r="C63" s="806" t="s">
        <v>172</v>
      </c>
      <c r="D63" s="807"/>
      <c r="E63" s="807"/>
      <c r="F63" s="808"/>
      <c r="G63" s="809">
        <v>153999</v>
      </c>
      <c r="H63" s="809"/>
      <c r="I63" s="58"/>
      <c r="J63" s="810" t="s">
        <v>173</v>
      </c>
      <c r="K63" s="811"/>
      <c r="L63" s="811"/>
      <c r="M63" s="811"/>
      <c r="N63" s="811"/>
      <c r="O63" s="812"/>
      <c r="Q63" s="59"/>
      <c r="R63" s="59"/>
    </row>
    <row r="64" spans="1:18" ht="13.5" thickBot="1" x14ac:dyDescent="0.25">
      <c r="D64" s="37"/>
      <c r="I64" s="58"/>
      <c r="J64" s="60" t="s">
        <v>384</v>
      </c>
      <c r="K64" s="132"/>
      <c r="L64" s="132"/>
      <c r="M64" s="133"/>
      <c r="N64" s="133"/>
      <c r="O64" s="134"/>
      <c r="Q64" s="59"/>
      <c r="R64" s="59"/>
    </row>
    <row r="65" spans="2:18" ht="13.5" thickBot="1" x14ac:dyDescent="0.25">
      <c r="B65" s="789" t="s">
        <v>175</v>
      </c>
      <c r="C65" s="790"/>
      <c r="D65" s="790"/>
      <c r="E65" s="790"/>
      <c r="F65" s="791"/>
      <c r="G65" s="805">
        <f>+G60-G63</f>
        <v>754225</v>
      </c>
      <c r="H65" s="791"/>
      <c r="I65" s="63"/>
      <c r="J65" s="75" t="s">
        <v>385</v>
      </c>
      <c r="K65" s="39"/>
      <c r="L65" s="39"/>
      <c r="M65" s="39"/>
      <c r="N65" s="39" t="s">
        <v>386</v>
      </c>
      <c r="O65" s="65"/>
      <c r="Q65" s="59"/>
      <c r="R65" s="59"/>
    </row>
    <row r="66" spans="2:18" ht="12.75" customHeight="1" x14ac:dyDescent="0.2">
      <c r="B66" s="48"/>
      <c r="C66" s="48"/>
      <c r="I66" s="63"/>
      <c r="J66" s="64" t="s">
        <v>387</v>
      </c>
      <c r="K66" s="39"/>
      <c r="L66" s="39"/>
      <c r="M66" s="39"/>
      <c r="N66" s="39" t="s">
        <v>388</v>
      </c>
      <c r="O66" s="65"/>
      <c r="Q66" s="59"/>
      <c r="R66" s="59"/>
    </row>
    <row r="67" spans="2:18" x14ac:dyDescent="0.2">
      <c r="B67" s="66" t="s">
        <v>176</v>
      </c>
      <c r="C67" s="48"/>
      <c r="I67" s="63"/>
      <c r="J67" s="67"/>
      <c r="K67" s="68"/>
      <c r="L67" s="68"/>
      <c r="M67" s="68"/>
      <c r="N67" s="68"/>
      <c r="O67" s="69"/>
      <c r="Q67" s="59"/>
      <c r="R67" s="59"/>
    </row>
    <row r="68" spans="2:18" ht="26.25" customHeight="1" thickBot="1" x14ac:dyDescent="0.25">
      <c r="B68" s="66"/>
      <c r="C68" s="48"/>
      <c r="G68" s="70" t="s">
        <v>177</v>
      </c>
      <c r="H68" s="70" t="s">
        <v>178</v>
      </c>
      <c r="I68" s="63"/>
      <c r="J68" s="810" t="s">
        <v>179</v>
      </c>
      <c r="K68" s="811"/>
      <c r="L68" s="71"/>
      <c r="M68" s="71"/>
      <c r="N68" s="71"/>
      <c r="O68" s="72"/>
      <c r="Q68" s="59"/>
      <c r="R68" s="59"/>
    </row>
    <row r="69" spans="2:18" ht="12.75" customHeight="1" x14ac:dyDescent="0.2">
      <c r="B69" s="802" t="s">
        <v>180</v>
      </c>
      <c r="C69" s="821" t="s">
        <v>181</v>
      </c>
      <c r="D69" s="823" t="s">
        <v>182</v>
      </c>
      <c r="E69" s="824"/>
      <c r="F69" s="824"/>
      <c r="G69" s="73">
        <f>+O44</f>
        <v>174000</v>
      </c>
      <c r="H69" s="74">
        <f t="shared" ref="H69:H77" si="7">+G69</f>
        <v>174000</v>
      </c>
      <c r="I69" s="63"/>
      <c r="J69" s="75" t="s">
        <v>389</v>
      </c>
      <c r="K69" s="58"/>
      <c r="L69" s="58"/>
      <c r="M69" s="58"/>
      <c r="N69" s="58"/>
      <c r="O69" s="76"/>
      <c r="Q69" s="59"/>
      <c r="R69" s="59"/>
    </row>
    <row r="70" spans="2:18" ht="12.75" customHeight="1" x14ac:dyDescent="0.2">
      <c r="B70" s="803"/>
      <c r="C70" s="822"/>
      <c r="D70" s="782" t="s">
        <v>184</v>
      </c>
      <c r="E70" s="783"/>
      <c r="F70" s="783"/>
      <c r="G70" s="77">
        <v>0</v>
      </c>
      <c r="H70" s="78">
        <f t="shared" si="7"/>
        <v>0</v>
      </c>
      <c r="I70" s="63"/>
      <c r="J70" s="79"/>
      <c r="K70" s="68"/>
      <c r="L70" s="68"/>
      <c r="M70" s="68"/>
      <c r="N70" s="68"/>
      <c r="O70" s="69"/>
      <c r="Q70" s="59"/>
      <c r="R70" s="59"/>
    </row>
    <row r="71" spans="2:18" ht="12.75" customHeight="1" x14ac:dyDescent="0.2">
      <c r="B71" s="803"/>
      <c r="C71" s="822"/>
      <c r="D71" s="819" t="s">
        <v>185</v>
      </c>
      <c r="E71" s="820"/>
      <c r="F71" s="820"/>
      <c r="G71" s="80">
        <f>O41</f>
        <v>720</v>
      </c>
      <c r="H71" s="78">
        <f t="shared" si="7"/>
        <v>720</v>
      </c>
      <c r="I71" s="63"/>
      <c r="J71" s="67"/>
      <c r="K71" s="68"/>
      <c r="L71" s="68"/>
      <c r="M71" s="68"/>
      <c r="N71" s="68"/>
      <c r="O71" s="69"/>
    </row>
    <row r="72" spans="2:18" x14ac:dyDescent="0.2">
      <c r="B72" s="803"/>
      <c r="C72" s="822"/>
      <c r="D72" s="782" t="s">
        <v>186</v>
      </c>
      <c r="E72" s="783"/>
      <c r="F72" s="783"/>
      <c r="G72" s="81">
        <v>0</v>
      </c>
      <c r="H72" s="78">
        <f t="shared" si="7"/>
        <v>0</v>
      </c>
      <c r="I72" s="63"/>
      <c r="J72" s="82" t="s">
        <v>187</v>
      </c>
      <c r="K72" s="71"/>
      <c r="L72" s="71"/>
      <c r="M72" s="71"/>
      <c r="N72" s="71"/>
      <c r="O72" s="72"/>
    </row>
    <row r="73" spans="2:18" ht="12.75" customHeight="1" x14ac:dyDescent="0.2">
      <c r="B73" s="803"/>
      <c r="C73" s="822"/>
      <c r="D73" s="784" t="s">
        <v>188</v>
      </c>
      <c r="E73" s="783"/>
      <c r="F73" s="783"/>
      <c r="G73" s="80">
        <v>0</v>
      </c>
      <c r="H73" s="78">
        <f t="shared" si="7"/>
        <v>0</v>
      </c>
      <c r="I73" s="63"/>
      <c r="J73" s="75" t="s">
        <v>189</v>
      </c>
      <c r="K73" s="50"/>
      <c r="L73" s="50"/>
      <c r="M73" s="50"/>
      <c r="N73" s="50"/>
      <c r="O73" s="83">
        <v>0</v>
      </c>
    </row>
    <row r="74" spans="2:18" ht="14.25" customHeight="1" x14ac:dyDescent="0.2">
      <c r="B74" s="803"/>
      <c r="C74" s="822"/>
      <c r="D74" s="782" t="s">
        <v>190</v>
      </c>
      <c r="E74" s="783"/>
      <c r="F74" s="783"/>
      <c r="G74" s="84">
        <v>0</v>
      </c>
      <c r="H74" s="78">
        <f t="shared" si="7"/>
        <v>0</v>
      </c>
      <c r="I74" s="63"/>
      <c r="J74" s="75" t="s">
        <v>390</v>
      </c>
      <c r="K74" s="39"/>
      <c r="L74" s="39"/>
      <c r="M74" s="39"/>
      <c r="N74" s="39"/>
      <c r="O74" s="65"/>
    </row>
    <row r="75" spans="2:18" x14ac:dyDescent="0.2">
      <c r="B75" s="803"/>
      <c r="C75" s="822"/>
      <c r="D75" s="782" t="s">
        <v>191</v>
      </c>
      <c r="E75" s="783"/>
      <c r="F75" s="783"/>
      <c r="G75" s="81">
        <v>116336</v>
      </c>
      <c r="H75" s="78">
        <f t="shared" si="7"/>
        <v>116336</v>
      </c>
      <c r="I75" s="58"/>
      <c r="J75" s="150"/>
      <c r="K75" s="50"/>
      <c r="L75" s="50"/>
      <c r="M75" s="50"/>
      <c r="N75" s="50"/>
      <c r="O75" s="83"/>
    </row>
    <row r="76" spans="2:18" x14ac:dyDescent="0.2">
      <c r="B76" s="803"/>
      <c r="C76" s="88" t="s">
        <v>192</v>
      </c>
      <c r="D76" s="813" t="s">
        <v>193</v>
      </c>
      <c r="E76" s="814"/>
      <c r="F76" s="814"/>
      <c r="G76" s="80">
        <v>0</v>
      </c>
      <c r="H76" s="78">
        <f t="shared" si="7"/>
        <v>0</v>
      </c>
      <c r="I76" s="58"/>
      <c r="J76" s="79"/>
      <c r="K76" s="39"/>
      <c r="L76" s="39"/>
      <c r="M76" s="39"/>
      <c r="N76" s="39"/>
      <c r="O76" s="65"/>
    </row>
    <row r="77" spans="2:18" ht="13.5" customHeight="1" thickBot="1" x14ac:dyDescent="0.25">
      <c r="B77" s="803"/>
      <c r="C77" s="88" t="s">
        <v>194</v>
      </c>
      <c r="D77" s="815" t="s">
        <v>195</v>
      </c>
      <c r="E77" s="815"/>
      <c r="F77" s="815"/>
      <c r="G77" s="89">
        <v>0</v>
      </c>
      <c r="H77" s="90">
        <f t="shared" si="7"/>
        <v>0</v>
      </c>
      <c r="I77" s="63"/>
      <c r="J77" s="82" t="s">
        <v>202</v>
      </c>
      <c r="K77" s="71"/>
      <c r="L77" s="71"/>
      <c r="M77" s="71"/>
      <c r="N77" s="71"/>
      <c r="O77" s="72"/>
    </row>
    <row r="78" spans="2:18" ht="13.5" thickBot="1" x14ac:dyDescent="0.25">
      <c r="B78" s="803"/>
      <c r="C78" s="93"/>
      <c r="D78" s="94"/>
      <c r="E78" s="816" t="s">
        <v>117</v>
      </c>
      <c r="F78" s="817"/>
      <c r="G78" s="95">
        <f>SUM(G69:G77)</f>
        <v>291056</v>
      </c>
      <c r="H78" s="96">
        <f>IF(SUM(G69:G75)&lt;150000,SUM(G69:G75),150000)+IF(+G76&lt;20000,+G76,20000)</f>
        <v>150000</v>
      </c>
      <c r="I78" s="63"/>
      <c r="J78" s="75"/>
      <c r="K78" s="68"/>
      <c r="L78" s="68"/>
      <c r="M78" s="91"/>
      <c r="N78" s="91"/>
      <c r="O78" s="92">
        <f>300*12</f>
        <v>3600</v>
      </c>
    </row>
    <row r="79" spans="2:18" ht="12.75" customHeight="1" x14ac:dyDescent="0.2">
      <c r="B79" s="803"/>
      <c r="C79" s="100" t="s">
        <v>196</v>
      </c>
      <c r="D79" s="782" t="s">
        <v>187</v>
      </c>
      <c r="E79" s="783"/>
      <c r="F79" s="818"/>
      <c r="G79" s="73">
        <v>11439</v>
      </c>
      <c r="H79" s="101">
        <f>+IF(+G79&lt;25000,+G79,25000)</f>
        <v>11439</v>
      </c>
      <c r="I79" s="87"/>
      <c r="J79" s="60"/>
      <c r="K79" s="39"/>
      <c r="L79" s="39"/>
      <c r="M79" s="39"/>
      <c r="N79" s="39"/>
      <c r="O79" s="65"/>
    </row>
    <row r="80" spans="2:18" x14ac:dyDescent="0.2">
      <c r="B80" s="803"/>
      <c r="C80" s="100" t="s">
        <v>197</v>
      </c>
      <c r="D80" s="784" t="s">
        <v>198</v>
      </c>
      <c r="E80" s="785"/>
      <c r="F80" s="786"/>
      <c r="G80" s="102"/>
      <c r="H80" s="103">
        <f>+IF(+G80&lt;40000,+G80,40000)</f>
        <v>0</v>
      </c>
      <c r="I80" s="63"/>
      <c r="J80" s="60"/>
      <c r="K80" s="39"/>
      <c r="L80" s="39"/>
      <c r="M80" s="39"/>
      <c r="N80" s="39"/>
      <c r="O80" s="65"/>
    </row>
    <row r="81" spans="2:15" ht="13.5" thickBot="1" x14ac:dyDescent="0.25">
      <c r="B81" s="803"/>
      <c r="C81" s="100" t="s">
        <v>199</v>
      </c>
      <c r="D81" s="784" t="s">
        <v>200</v>
      </c>
      <c r="E81" s="785"/>
      <c r="F81" s="786"/>
      <c r="G81" s="81"/>
      <c r="H81" s="104">
        <v>0</v>
      </c>
      <c r="I81" s="63"/>
      <c r="J81" s="212"/>
      <c r="K81" s="98"/>
      <c r="L81" s="98"/>
      <c r="M81" s="98"/>
      <c r="N81" s="98"/>
      <c r="O81" s="99"/>
    </row>
    <row r="82" spans="2:15" x14ac:dyDescent="0.2">
      <c r="B82" s="803"/>
      <c r="C82" s="100" t="s">
        <v>201</v>
      </c>
      <c r="D82" s="784" t="s">
        <v>202</v>
      </c>
      <c r="E82" s="785"/>
      <c r="F82" s="786"/>
      <c r="G82" s="81">
        <v>0</v>
      </c>
      <c r="H82" s="104">
        <f>+G82*50%</f>
        <v>0</v>
      </c>
      <c r="I82" s="63"/>
    </row>
    <row r="83" spans="2:15" ht="13.5" thickBot="1" x14ac:dyDescent="0.25">
      <c r="B83" s="804"/>
      <c r="C83" s="100" t="s">
        <v>203</v>
      </c>
      <c r="D83" s="784" t="s">
        <v>204</v>
      </c>
      <c r="E83" s="785"/>
      <c r="F83" s="786"/>
      <c r="G83" s="102"/>
      <c r="H83" s="103">
        <f>+IF(+G83&lt;100000,+G83,10000)</f>
        <v>0</v>
      </c>
      <c r="I83" s="63"/>
    </row>
    <row r="84" spans="2:15" ht="13.5" thickBot="1" x14ac:dyDescent="0.25">
      <c r="B84" s="787" t="s">
        <v>205</v>
      </c>
      <c r="C84" s="788"/>
      <c r="D84" s="788"/>
      <c r="E84" s="788"/>
      <c r="F84" s="788"/>
      <c r="G84" s="107">
        <f>SUM(G79:G83)</f>
        <v>11439</v>
      </c>
      <c r="H84" s="108">
        <f>SUM(H78:H83)</f>
        <v>161439</v>
      </c>
      <c r="J84" s="106"/>
    </row>
    <row r="85" spans="2:15" ht="13.5" thickBot="1" x14ac:dyDescent="0.25"/>
    <row r="86" spans="2:15" ht="13.5" thickBot="1" x14ac:dyDescent="0.25">
      <c r="B86" s="789" t="s">
        <v>206</v>
      </c>
      <c r="C86" s="790"/>
      <c r="D86" s="790"/>
      <c r="E86" s="790"/>
      <c r="F86" s="791"/>
      <c r="G86" s="792">
        <f>+G65-H84</f>
        <v>592786</v>
      </c>
      <c r="H86" s="791"/>
      <c r="J86" s="109">
        <f>C38+D38+E38+F38</f>
        <v>307008</v>
      </c>
      <c r="K86" s="16" t="s">
        <v>235</v>
      </c>
    </row>
    <row r="87" spans="2:15" x14ac:dyDescent="0.2">
      <c r="B87" s="110"/>
      <c r="F87" s="105"/>
      <c r="J87" s="109">
        <f>G38+H38+I38</f>
        <v>235173</v>
      </c>
      <c r="K87" s="16" t="s">
        <v>236</v>
      </c>
    </row>
    <row r="88" spans="2:15" x14ac:dyDescent="0.2">
      <c r="C88" s="793" t="s">
        <v>207</v>
      </c>
      <c r="D88" s="794"/>
      <c r="E88" s="111" t="s">
        <v>208</v>
      </c>
      <c r="F88" s="111" t="s">
        <v>209</v>
      </c>
      <c r="G88" s="111" t="s">
        <v>210</v>
      </c>
      <c r="H88" s="111" t="s">
        <v>211</v>
      </c>
      <c r="J88" s="109">
        <f>J38+K38+L38</f>
        <v>249341</v>
      </c>
      <c r="K88" s="47" t="s">
        <v>237</v>
      </c>
    </row>
    <row r="89" spans="2:15" x14ac:dyDescent="0.2">
      <c r="C89" s="795" t="str">
        <f>IF(I6="M","0          - 250000","0          -  200000")</f>
        <v>0          - 250000</v>
      </c>
      <c r="D89" s="796"/>
      <c r="E89" s="112">
        <v>0</v>
      </c>
      <c r="F89" s="113">
        <f>IF(I6="M",(IF(G86&lt;250000,G86,250000)),(IF(G86&lt;250000,G86,250000)))</f>
        <v>250000</v>
      </c>
      <c r="G89" s="113">
        <f>G86-F89</f>
        <v>342786</v>
      </c>
      <c r="H89" s="113">
        <f>E89*F89</f>
        <v>0</v>
      </c>
      <c r="J89" s="16">
        <f>M38+N38</f>
        <v>159202</v>
      </c>
      <c r="K89" s="1" t="s">
        <v>238</v>
      </c>
    </row>
    <row r="90" spans="2:15" x14ac:dyDescent="0.2">
      <c r="C90" s="795" t="str">
        <f>IF(I6="M","250001 - 500000","250001-500000")</f>
        <v>250001 - 500000</v>
      </c>
      <c r="D90" s="796"/>
      <c r="E90" s="112">
        <v>0.05</v>
      </c>
      <c r="F90" s="113">
        <f>IF(I6="M",(IF(G89&lt;250000,G89,250000)),(IF(G89&lt;250000,G89,250000)))</f>
        <v>250000</v>
      </c>
      <c r="G90" s="113">
        <f>G89-F90</f>
        <v>92786</v>
      </c>
      <c r="H90" s="114">
        <f>ROUND(E90*F90,0.1)</f>
        <v>12500</v>
      </c>
      <c r="J90" s="115">
        <f>SUM(J86:J89)</f>
        <v>950724</v>
      </c>
    </row>
    <row r="91" spans="2:15" x14ac:dyDescent="0.2">
      <c r="C91" s="797" t="s">
        <v>212</v>
      </c>
      <c r="D91" s="798"/>
      <c r="E91" s="112">
        <v>0.2</v>
      </c>
      <c r="F91" s="113">
        <f>IF(G90&lt;500000,G90,500000)</f>
        <v>92786</v>
      </c>
      <c r="G91" s="113">
        <f>G90-F91</f>
        <v>0</v>
      </c>
      <c r="H91" s="114">
        <f>ROUND(E91*F91,0.1)</f>
        <v>18557</v>
      </c>
      <c r="J91" s="16">
        <f>+G86</f>
        <v>592786</v>
      </c>
    </row>
    <row r="92" spans="2:15" x14ac:dyDescent="0.2">
      <c r="C92" s="795" t="s">
        <v>213</v>
      </c>
      <c r="D92" s="796"/>
      <c r="E92" s="112">
        <v>0.3</v>
      </c>
      <c r="F92" s="113">
        <f>G91</f>
        <v>0</v>
      </c>
      <c r="G92" s="113">
        <f>G91-F92</f>
        <v>0</v>
      </c>
      <c r="H92" s="114">
        <f>ROUND(E92*F92,0.1)</f>
        <v>0</v>
      </c>
      <c r="J92" s="16">
        <f>+J90-J91</f>
        <v>357938</v>
      </c>
    </row>
    <row r="93" spans="2:15" ht="12.75" customHeight="1" thickBot="1" x14ac:dyDescent="0.25">
      <c r="B93" s="116"/>
      <c r="C93" s="117"/>
      <c r="D93" s="47"/>
      <c r="E93" s="47"/>
      <c r="F93" s="47"/>
      <c r="J93" s="87"/>
      <c r="K93" s="118"/>
    </row>
    <row r="94" spans="2:15" ht="13.5" thickBot="1" x14ac:dyDescent="0.25">
      <c r="B94" s="799" t="s">
        <v>239</v>
      </c>
      <c r="C94" s="800"/>
      <c r="D94" s="800"/>
      <c r="E94" s="800"/>
      <c r="F94" s="801"/>
      <c r="G94" s="771">
        <f>H89+H90+H91+H92</f>
        <v>31057</v>
      </c>
      <c r="H94" s="772"/>
    </row>
    <row r="95" spans="2:15" ht="13.5" thickBot="1" x14ac:dyDescent="0.25">
      <c r="B95" s="119" t="s">
        <v>215</v>
      </c>
      <c r="C95" s="120"/>
      <c r="D95" s="120"/>
      <c r="E95" s="120"/>
      <c r="F95" s="120"/>
      <c r="G95" s="884">
        <f>IF((G65&lt;500000),5000,0)</f>
        <v>0</v>
      </c>
      <c r="H95" s="885">
        <f>IF(H93&lt;200000,0,IF(H93&lt;220000,((H93-200000)*10%),IF(H93&lt;=500000,2000,IF(H93&gt;=500000,0))))</f>
        <v>0</v>
      </c>
      <c r="J95" s="1"/>
      <c r="K95" s="121"/>
      <c r="L95" s="121"/>
    </row>
    <row r="96" spans="2:15" ht="13.5" thickBot="1" x14ac:dyDescent="0.25">
      <c r="B96" s="122" t="s">
        <v>216</v>
      </c>
      <c r="C96" s="123"/>
      <c r="D96" s="123"/>
      <c r="E96" s="123"/>
      <c r="F96" s="123"/>
      <c r="G96" s="771">
        <f>IF((G94-G95)&lt;0,0,(G94-G95))</f>
        <v>31057</v>
      </c>
      <c r="H96" s="772"/>
      <c r="I96" s="37"/>
    </row>
    <row r="97" spans="2:9" ht="13.5" thickBot="1" x14ac:dyDescent="0.25">
      <c r="B97" s="773" t="s">
        <v>240</v>
      </c>
      <c r="C97" s="774"/>
      <c r="D97" s="774"/>
      <c r="E97" s="774"/>
      <c r="F97" s="775"/>
      <c r="G97" s="776">
        <f>ROUND((IF(G96&gt;0,(G96*4%),0)),0)</f>
        <v>1242</v>
      </c>
      <c r="H97" s="777"/>
      <c r="I97" s="37"/>
    </row>
    <row r="98" spans="2:9" ht="13.5" thickBot="1" x14ac:dyDescent="0.25">
      <c r="B98" s="778" t="s">
        <v>218</v>
      </c>
      <c r="C98" s="779"/>
      <c r="D98" s="779"/>
      <c r="E98" s="779"/>
      <c r="F98" s="779"/>
      <c r="G98" s="780">
        <f>G96+G97</f>
        <v>32299</v>
      </c>
      <c r="H98" s="781"/>
      <c r="I98" s="121"/>
    </row>
    <row r="99" spans="2:9" ht="13.5" thickBot="1" x14ac:dyDescent="0.25">
      <c r="B99" s="765" t="s">
        <v>219</v>
      </c>
      <c r="C99" s="766"/>
      <c r="D99" s="766"/>
      <c r="E99" s="766"/>
      <c r="F99" s="766"/>
      <c r="G99" s="767">
        <f>O39</f>
        <v>32305</v>
      </c>
      <c r="H99" s="768"/>
      <c r="I99" s="121"/>
    </row>
    <row r="100" spans="2:9" ht="13.5" thickBot="1" x14ac:dyDescent="0.25">
      <c r="B100" s="765" t="str">
        <f>IF(G100&gt;0,"TAX PAYABLE","TAX REFUND")</f>
        <v>TAX REFUND</v>
      </c>
      <c r="C100" s="766"/>
      <c r="D100" s="766"/>
      <c r="E100" s="766"/>
      <c r="F100" s="766"/>
      <c r="G100" s="767">
        <f>+G98-G99</f>
        <v>-6</v>
      </c>
      <c r="H100" s="768"/>
      <c r="I100" s="37"/>
    </row>
    <row r="101" spans="2:9" x14ac:dyDescent="0.2">
      <c r="C101" s="124"/>
      <c r="D101" s="45"/>
      <c r="E101" s="118"/>
      <c r="F101" s="118"/>
      <c r="G101" s="118"/>
      <c r="H101" s="118"/>
      <c r="I101" s="125"/>
    </row>
    <row r="102" spans="2:9" x14ac:dyDescent="0.2">
      <c r="C102" s="47"/>
      <c r="D102" s="50"/>
      <c r="E102" s="117"/>
      <c r="F102" s="47"/>
      <c r="G102" s="47"/>
      <c r="H102" s="47"/>
      <c r="I102" s="125"/>
    </row>
    <row r="103" spans="2:9" x14ac:dyDescent="0.2">
      <c r="C103" s="39"/>
      <c r="D103" s="126"/>
      <c r="E103" s="126"/>
      <c r="F103" s="126"/>
      <c r="G103" s="39"/>
      <c r="H103" s="39"/>
      <c r="I103" s="37"/>
    </row>
    <row r="104" spans="2:9" x14ac:dyDescent="0.2">
      <c r="C104" s="39"/>
      <c r="D104" s="126"/>
      <c r="E104" s="126"/>
      <c r="F104" s="39"/>
      <c r="G104" s="39"/>
      <c r="H104" s="39"/>
      <c r="I104" s="37"/>
    </row>
    <row r="105" spans="2:9" x14ac:dyDescent="0.2">
      <c r="C105" s="39"/>
      <c r="D105" s="126"/>
      <c r="E105" s="126"/>
      <c r="F105" s="39"/>
      <c r="G105" s="39"/>
      <c r="H105" s="39"/>
      <c r="I105" s="37"/>
    </row>
    <row r="106" spans="2:9" x14ac:dyDescent="0.2">
      <c r="C106" s="39"/>
      <c r="D106" s="39"/>
      <c r="E106" s="39"/>
      <c r="F106" s="39"/>
      <c r="G106" s="39"/>
      <c r="H106" s="39"/>
      <c r="I106" s="37"/>
    </row>
    <row r="107" spans="2:9" x14ac:dyDescent="0.2">
      <c r="C107" s="39"/>
      <c r="D107" s="39"/>
      <c r="E107" s="39"/>
      <c r="F107" s="39"/>
      <c r="G107" s="39"/>
      <c r="H107" s="39"/>
    </row>
    <row r="108" spans="2:9" x14ac:dyDescent="0.2">
      <c r="C108" s="39"/>
      <c r="D108" s="39"/>
      <c r="E108" s="39"/>
      <c r="F108" s="39"/>
      <c r="G108" s="39"/>
      <c r="H108" s="39"/>
    </row>
    <row r="109" spans="2:9" ht="10.5" customHeight="1" x14ac:dyDescent="0.2"/>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7:B37"/>
    <mergeCell ref="A5:C5"/>
    <mergeCell ref="D5:F5"/>
    <mergeCell ref="G5:H5"/>
    <mergeCell ref="I5:O5"/>
    <mergeCell ref="A6:C6"/>
    <mergeCell ref="D6:F6"/>
    <mergeCell ref="G6:H6"/>
    <mergeCell ref="J6:O6"/>
    <mergeCell ref="L7:O7"/>
    <mergeCell ref="A8:B8"/>
    <mergeCell ref="A21:A33"/>
    <mergeCell ref="A34:B34"/>
    <mergeCell ref="A36:B36"/>
    <mergeCell ref="A39:A49"/>
    <mergeCell ref="A50:B50"/>
    <mergeCell ref="A51:B51"/>
    <mergeCell ref="B54:F54"/>
    <mergeCell ref="G54:H54"/>
    <mergeCell ref="B60:F60"/>
    <mergeCell ref="G60:H60"/>
    <mergeCell ref="J60:O60"/>
    <mergeCell ref="B56:B58"/>
    <mergeCell ref="C56:C58"/>
    <mergeCell ref="D56:F56"/>
    <mergeCell ref="G56:H56"/>
    <mergeCell ref="D57:F57"/>
    <mergeCell ref="G57:H57"/>
    <mergeCell ref="J57:L57"/>
    <mergeCell ref="M57:O57"/>
    <mergeCell ref="D58:F58"/>
    <mergeCell ref="G58:H58"/>
    <mergeCell ref="J63:O63"/>
    <mergeCell ref="D81:F81"/>
    <mergeCell ref="J68:K68"/>
    <mergeCell ref="B65:F65"/>
    <mergeCell ref="G65:H65"/>
    <mergeCell ref="D76:F76"/>
    <mergeCell ref="D77:F77"/>
    <mergeCell ref="E78:F78"/>
    <mergeCell ref="D79:F79"/>
    <mergeCell ref="D80:F80"/>
    <mergeCell ref="D71:F71"/>
    <mergeCell ref="D72:F72"/>
    <mergeCell ref="C69:C75"/>
    <mergeCell ref="D69:F69"/>
    <mergeCell ref="D70:F70"/>
    <mergeCell ref="D74:F74"/>
    <mergeCell ref="G62:H62"/>
    <mergeCell ref="C63:F63"/>
    <mergeCell ref="G63:H63"/>
    <mergeCell ref="B62:F62"/>
    <mergeCell ref="D73:F73"/>
    <mergeCell ref="D75:F75"/>
    <mergeCell ref="G94:H94"/>
    <mergeCell ref="D82:F82"/>
    <mergeCell ref="D83:F83"/>
    <mergeCell ref="B84:F84"/>
    <mergeCell ref="B86:F86"/>
    <mergeCell ref="G86:H86"/>
    <mergeCell ref="C88:D88"/>
    <mergeCell ref="C89:D89"/>
    <mergeCell ref="C90:D90"/>
    <mergeCell ref="C91:D91"/>
    <mergeCell ref="C92:D92"/>
    <mergeCell ref="B94:F94"/>
    <mergeCell ref="B69:B83"/>
    <mergeCell ref="B100:F100"/>
    <mergeCell ref="G100:H100"/>
    <mergeCell ref="G95:H95"/>
    <mergeCell ref="G96:H96"/>
    <mergeCell ref="B97:F97"/>
    <mergeCell ref="G97:H97"/>
    <mergeCell ref="B98:F98"/>
    <mergeCell ref="G98:H98"/>
    <mergeCell ref="B99:F99"/>
    <mergeCell ref="G99:H99"/>
  </mergeCells>
  <conditionalFormatting sqref="B91:F91 B100:F100 B94:F98">
    <cfRule type="cellIs" dxfId="2057" priority="3" stopIfTrue="1" operator="equal">
      <formula>"TAX PAYABLE"</formula>
    </cfRule>
    <cfRule type="cellIs" dxfId="2056" priority="4" stopIfTrue="1" operator="equal">
      <formula>"TAX REFUND"</formula>
    </cfRule>
  </conditionalFormatting>
  <conditionalFormatting sqref="G91:H91">
    <cfRule type="cellIs" dxfId="2055" priority="5" stopIfTrue="1" operator="lessThan">
      <formula>0</formula>
    </cfRule>
    <cfRule type="cellIs" dxfId="2054" priority="6" stopIfTrue="1" operator="greaterThan">
      <formula>0</formula>
    </cfRule>
  </conditionalFormatting>
  <conditionalFormatting sqref="G100:H100">
    <cfRule type="cellIs" dxfId="2053" priority="1" stopIfTrue="1" operator="greaterThan">
      <formula>0</formula>
    </cfRule>
    <cfRule type="cellIs" dxfId="2052"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108"/>
  <sheetViews>
    <sheetView workbookViewId="0">
      <selection activeCell="G62" sqref="G62:H62"/>
    </sheetView>
  </sheetViews>
  <sheetFormatPr defaultRowHeight="12.75" x14ac:dyDescent="0.2"/>
  <cols>
    <col min="1" max="1" width="5" style="504" customWidth="1"/>
    <col min="2" max="2" width="18.7109375" style="527" customWidth="1"/>
    <col min="3" max="6" width="7.85546875" style="504" customWidth="1"/>
    <col min="7" max="7" width="8.42578125" style="504" customWidth="1"/>
    <col min="8" max="8" width="8.85546875" style="504" customWidth="1"/>
    <col min="9" max="15" width="7.85546875" style="504" customWidth="1"/>
    <col min="16" max="19" width="9.140625" style="504"/>
    <col min="20" max="20" width="12.42578125" style="504" customWidth="1"/>
    <col min="21" max="21" width="9.140625" style="504"/>
    <col min="22" max="22" width="12" style="504" customWidth="1"/>
    <col min="23" max="256" width="9.140625" style="504"/>
    <col min="257" max="257" width="5" style="504" customWidth="1"/>
    <col min="258" max="258" width="18.7109375" style="504" customWidth="1"/>
    <col min="259" max="262" width="7.85546875" style="504" customWidth="1"/>
    <col min="263" max="263" width="8.42578125" style="504" customWidth="1"/>
    <col min="264" max="264" width="8.85546875" style="504" customWidth="1"/>
    <col min="265" max="271" width="7.85546875" style="504" customWidth="1"/>
    <col min="272" max="275" width="9.140625" style="504"/>
    <col min="276" max="276" width="12.42578125" style="504" customWidth="1"/>
    <col min="277" max="277" width="9.140625" style="504"/>
    <col min="278" max="278" width="12" style="504" customWidth="1"/>
    <col min="279" max="512" width="9.140625" style="504"/>
    <col min="513" max="513" width="5" style="504" customWidth="1"/>
    <col min="514" max="514" width="18.7109375" style="504" customWidth="1"/>
    <col min="515" max="518" width="7.85546875" style="504" customWidth="1"/>
    <col min="519" max="519" width="8.42578125" style="504" customWidth="1"/>
    <col min="520" max="520" width="8.85546875" style="504" customWidth="1"/>
    <col min="521" max="527" width="7.85546875" style="504" customWidth="1"/>
    <col min="528" max="531" width="9.140625" style="504"/>
    <col min="532" max="532" width="12.42578125" style="504" customWidth="1"/>
    <col min="533" max="533" width="9.140625" style="504"/>
    <col min="534" max="534" width="12" style="504" customWidth="1"/>
    <col min="535" max="768" width="9.140625" style="504"/>
    <col min="769" max="769" width="5" style="504" customWidth="1"/>
    <col min="770" max="770" width="18.7109375" style="504" customWidth="1"/>
    <col min="771" max="774" width="7.85546875" style="504" customWidth="1"/>
    <col min="775" max="775" width="8.42578125" style="504" customWidth="1"/>
    <col min="776" max="776" width="8.85546875" style="504" customWidth="1"/>
    <col min="777" max="783" width="7.85546875" style="504" customWidth="1"/>
    <col min="784" max="787" width="9.140625" style="504"/>
    <col min="788" max="788" width="12.42578125" style="504" customWidth="1"/>
    <col min="789" max="789" width="9.140625" style="504"/>
    <col min="790" max="790" width="12" style="504" customWidth="1"/>
    <col min="791" max="1024" width="9.140625" style="504"/>
    <col min="1025" max="1025" width="5" style="504" customWidth="1"/>
    <col min="1026" max="1026" width="18.7109375" style="504" customWidth="1"/>
    <col min="1027" max="1030" width="7.85546875" style="504" customWidth="1"/>
    <col min="1031" max="1031" width="8.42578125" style="504" customWidth="1"/>
    <col min="1032" max="1032" width="8.85546875" style="504" customWidth="1"/>
    <col min="1033" max="1039" width="7.85546875" style="504" customWidth="1"/>
    <col min="1040" max="1043" width="9.140625" style="504"/>
    <col min="1044" max="1044" width="12.42578125" style="504" customWidth="1"/>
    <col min="1045" max="1045" width="9.140625" style="504"/>
    <col min="1046" max="1046" width="12" style="504" customWidth="1"/>
    <col min="1047" max="1280" width="9.140625" style="504"/>
    <col min="1281" max="1281" width="5" style="504" customWidth="1"/>
    <col min="1282" max="1282" width="18.7109375" style="504" customWidth="1"/>
    <col min="1283" max="1286" width="7.85546875" style="504" customWidth="1"/>
    <col min="1287" max="1287" width="8.42578125" style="504" customWidth="1"/>
    <col min="1288" max="1288" width="8.85546875" style="504" customWidth="1"/>
    <col min="1289" max="1295" width="7.85546875" style="504" customWidth="1"/>
    <col min="1296" max="1299" width="9.140625" style="504"/>
    <col min="1300" max="1300" width="12.42578125" style="504" customWidth="1"/>
    <col min="1301" max="1301" width="9.140625" style="504"/>
    <col min="1302" max="1302" width="12" style="504" customWidth="1"/>
    <col min="1303" max="1536" width="9.140625" style="504"/>
    <col min="1537" max="1537" width="5" style="504" customWidth="1"/>
    <col min="1538" max="1538" width="18.7109375" style="504" customWidth="1"/>
    <col min="1539" max="1542" width="7.85546875" style="504" customWidth="1"/>
    <col min="1543" max="1543" width="8.42578125" style="504" customWidth="1"/>
    <col min="1544" max="1544" width="8.85546875" style="504" customWidth="1"/>
    <col min="1545" max="1551" width="7.85546875" style="504" customWidth="1"/>
    <col min="1552" max="1555" width="9.140625" style="504"/>
    <col min="1556" max="1556" width="12.42578125" style="504" customWidth="1"/>
    <col min="1557" max="1557" width="9.140625" style="504"/>
    <col min="1558" max="1558" width="12" style="504" customWidth="1"/>
    <col min="1559" max="1792" width="9.140625" style="504"/>
    <col min="1793" max="1793" width="5" style="504" customWidth="1"/>
    <col min="1794" max="1794" width="18.7109375" style="504" customWidth="1"/>
    <col min="1795" max="1798" width="7.85546875" style="504" customWidth="1"/>
    <col min="1799" max="1799" width="8.42578125" style="504" customWidth="1"/>
    <col min="1800" max="1800" width="8.85546875" style="504" customWidth="1"/>
    <col min="1801" max="1807" width="7.85546875" style="504" customWidth="1"/>
    <col min="1808" max="1811" width="9.140625" style="504"/>
    <col min="1812" max="1812" width="12.42578125" style="504" customWidth="1"/>
    <col min="1813" max="1813" width="9.140625" style="504"/>
    <col min="1814" max="1814" width="12" style="504" customWidth="1"/>
    <col min="1815" max="2048" width="9.140625" style="504"/>
    <col min="2049" max="2049" width="5" style="504" customWidth="1"/>
    <col min="2050" max="2050" width="18.7109375" style="504" customWidth="1"/>
    <col min="2051" max="2054" width="7.85546875" style="504" customWidth="1"/>
    <col min="2055" max="2055" width="8.42578125" style="504" customWidth="1"/>
    <col min="2056" max="2056" width="8.85546875" style="504" customWidth="1"/>
    <col min="2057" max="2063" width="7.85546875" style="504" customWidth="1"/>
    <col min="2064" max="2067" width="9.140625" style="504"/>
    <col min="2068" max="2068" width="12.42578125" style="504" customWidth="1"/>
    <col min="2069" max="2069" width="9.140625" style="504"/>
    <col min="2070" max="2070" width="12" style="504" customWidth="1"/>
    <col min="2071" max="2304" width="9.140625" style="504"/>
    <col min="2305" max="2305" width="5" style="504" customWidth="1"/>
    <col min="2306" max="2306" width="18.7109375" style="504" customWidth="1"/>
    <col min="2307" max="2310" width="7.85546875" style="504" customWidth="1"/>
    <col min="2311" max="2311" width="8.42578125" style="504" customWidth="1"/>
    <col min="2312" max="2312" width="8.85546875" style="504" customWidth="1"/>
    <col min="2313" max="2319" width="7.85546875" style="504" customWidth="1"/>
    <col min="2320" max="2323" width="9.140625" style="504"/>
    <col min="2324" max="2324" width="12.42578125" style="504" customWidth="1"/>
    <col min="2325" max="2325" width="9.140625" style="504"/>
    <col min="2326" max="2326" width="12" style="504" customWidth="1"/>
    <col min="2327" max="2560" width="9.140625" style="504"/>
    <col min="2561" max="2561" width="5" style="504" customWidth="1"/>
    <col min="2562" max="2562" width="18.7109375" style="504" customWidth="1"/>
    <col min="2563" max="2566" width="7.85546875" style="504" customWidth="1"/>
    <col min="2567" max="2567" width="8.42578125" style="504" customWidth="1"/>
    <col min="2568" max="2568" width="8.85546875" style="504" customWidth="1"/>
    <col min="2569" max="2575" width="7.85546875" style="504" customWidth="1"/>
    <col min="2576" max="2579" width="9.140625" style="504"/>
    <col min="2580" max="2580" width="12.42578125" style="504" customWidth="1"/>
    <col min="2581" max="2581" width="9.140625" style="504"/>
    <col min="2582" max="2582" width="12" style="504" customWidth="1"/>
    <col min="2583" max="2816" width="9.140625" style="504"/>
    <col min="2817" max="2817" width="5" style="504" customWidth="1"/>
    <col min="2818" max="2818" width="18.7109375" style="504" customWidth="1"/>
    <col min="2819" max="2822" width="7.85546875" style="504" customWidth="1"/>
    <col min="2823" max="2823" width="8.42578125" style="504" customWidth="1"/>
    <col min="2824" max="2824" width="8.85546875" style="504" customWidth="1"/>
    <col min="2825" max="2831" width="7.85546875" style="504" customWidth="1"/>
    <col min="2832" max="2835" width="9.140625" style="504"/>
    <col min="2836" max="2836" width="12.42578125" style="504" customWidth="1"/>
    <col min="2837" max="2837" width="9.140625" style="504"/>
    <col min="2838" max="2838" width="12" style="504" customWidth="1"/>
    <col min="2839" max="3072" width="9.140625" style="504"/>
    <col min="3073" max="3073" width="5" style="504" customWidth="1"/>
    <col min="3074" max="3074" width="18.7109375" style="504" customWidth="1"/>
    <col min="3075" max="3078" width="7.85546875" style="504" customWidth="1"/>
    <col min="3079" max="3079" width="8.42578125" style="504" customWidth="1"/>
    <col min="3080" max="3080" width="8.85546875" style="504" customWidth="1"/>
    <col min="3081" max="3087" width="7.85546875" style="504" customWidth="1"/>
    <col min="3088" max="3091" width="9.140625" style="504"/>
    <col min="3092" max="3092" width="12.42578125" style="504" customWidth="1"/>
    <col min="3093" max="3093" width="9.140625" style="504"/>
    <col min="3094" max="3094" width="12" style="504" customWidth="1"/>
    <col min="3095" max="3328" width="9.140625" style="504"/>
    <col min="3329" max="3329" width="5" style="504" customWidth="1"/>
    <col min="3330" max="3330" width="18.7109375" style="504" customWidth="1"/>
    <col min="3331" max="3334" width="7.85546875" style="504" customWidth="1"/>
    <col min="3335" max="3335" width="8.42578125" style="504" customWidth="1"/>
    <col min="3336" max="3336" width="8.85546875" style="504" customWidth="1"/>
    <col min="3337" max="3343" width="7.85546875" style="504" customWidth="1"/>
    <col min="3344" max="3347" width="9.140625" style="504"/>
    <col min="3348" max="3348" width="12.42578125" style="504" customWidth="1"/>
    <col min="3349" max="3349" width="9.140625" style="504"/>
    <col min="3350" max="3350" width="12" style="504" customWidth="1"/>
    <col min="3351" max="3584" width="9.140625" style="504"/>
    <col min="3585" max="3585" width="5" style="504" customWidth="1"/>
    <col min="3586" max="3586" width="18.7109375" style="504" customWidth="1"/>
    <col min="3587" max="3590" width="7.85546875" style="504" customWidth="1"/>
    <col min="3591" max="3591" width="8.42578125" style="504" customWidth="1"/>
    <col min="3592" max="3592" width="8.85546875" style="504" customWidth="1"/>
    <col min="3593" max="3599" width="7.85546875" style="504" customWidth="1"/>
    <col min="3600" max="3603" width="9.140625" style="504"/>
    <col min="3604" max="3604" width="12.42578125" style="504" customWidth="1"/>
    <col min="3605" max="3605" width="9.140625" style="504"/>
    <col min="3606" max="3606" width="12" style="504" customWidth="1"/>
    <col min="3607" max="3840" width="9.140625" style="504"/>
    <col min="3841" max="3841" width="5" style="504" customWidth="1"/>
    <col min="3842" max="3842" width="18.7109375" style="504" customWidth="1"/>
    <col min="3843" max="3846" width="7.85546875" style="504" customWidth="1"/>
    <col min="3847" max="3847" width="8.42578125" style="504" customWidth="1"/>
    <col min="3848" max="3848" width="8.85546875" style="504" customWidth="1"/>
    <col min="3849" max="3855" width="7.85546875" style="504" customWidth="1"/>
    <col min="3856" max="3859" width="9.140625" style="504"/>
    <col min="3860" max="3860" width="12.42578125" style="504" customWidth="1"/>
    <col min="3861" max="3861" width="9.140625" style="504"/>
    <col min="3862" max="3862" width="12" style="504" customWidth="1"/>
    <col min="3863" max="4096" width="9.140625" style="504"/>
    <col min="4097" max="4097" width="5" style="504" customWidth="1"/>
    <col min="4098" max="4098" width="18.7109375" style="504" customWidth="1"/>
    <col min="4099" max="4102" width="7.85546875" style="504" customWidth="1"/>
    <col min="4103" max="4103" width="8.42578125" style="504" customWidth="1"/>
    <col min="4104" max="4104" width="8.85546875" style="504" customWidth="1"/>
    <col min="4105" max="4111" width="7.85546875" style="504" customWidth="1"/>
    <col min="4112" max="4115" width="9.140625" style="504"/>
    <col min="4116" max="4116" width="12.42578125" style="504" customWidth="1"/>
    <col min="4117" max="4117" width="9.140625" style="504"/>
    <col min="4118" max="4118" width="12" style="504" customWidth="1"/>
    <col min="4119" max="4352" width="9.140625" style="504"/>
    <col min="4353" max="4353" width="5" style="504" customWidth="1"/>
    <col min="4354" max="4354" width="18.7109375" style="504" customWidth="1"/>
    <col min="4355" max="4358" width="7.85546875" style="504" customWidth="1"/>
    <col min="4359" max="4359" width="8.42578125" style="504" customWidth="1"/>
    <col min="4360" max="4360" width="8.85546875" style="504" customWidth="1"/>
    <col min="4361" max="4367" width="7.85546875" style="504" customWidth="1"/>
    <col min="4368" max="4371" width="9.140625" style="504"/>
    <col min="4372" max="4372" width="12.42578125" style="504" customWidth="1"/>
    <col min="4373" max="4373" width="9.140625" style="504"/>
    <col min="4374" max="4374" width="12" style="504" customWidth="1"/>
    <col min="4375" max="4608" width="9.140625" style="504"/>
    <col min="4609" max="4609" width="5" style="504" customWidth="1"/>
    <col min="4610" max="4610" width="18.7109375" style="504" customWidth="1"/>
    <col min="4611" max="4614" width="7.85546875" style="504" customWidth="1"/>
    <col min="4615" max="4615" width="8.42578125" style="504" customWidth="1"/>
    <col min="4616" max="4616" width="8.85546875" style="504" customWidth="1"/>
    <col min="4617" max="4623" width="7.85546875" style="504" customWidth="1"/>
    <col min="4624" max="4627" width="9.140625" style="504"/>
    <col min="4628" max="4628" width="12.42578125" style="504" customWidth="1"/>
    <col min="4629" max="4629" width="9.140625" style="504"/>
    <col min="4630" max="4630" width="12" style="504" customWidth="1"/>
    <col min="4631" max="4864" width="9.140625" style="504"/>
    <col min="4865" max="4865" width="5" style="504" customWidth="1"/>
    <col min="4866" max="4866" width="18.7109375" style="504" customWidth="1"/>
    <col min="4867" max="4870" width="7.85546875" style="504" customWidth="1"/>
    <col min="4871" max="4871" width="8.42578125" style="504" customWidth="1"/>
    <col min="4872" max="4872" width="8.85546875" style="504" customWidth="1"/>
    <col min="4873" max="4879" width="7.85546875" style="504" customWidth="1"/>
    <col min="4880" max="4883" width="9.140625" style="504"/>
    <col min="4884" max="4884" width="12.42578125" style="504" customWidth="1"/>
    <col min="4885" max="4885" width="9.140625" style="504"/>
    <col min="4886" max="4886" width="12" style="504" customWidth="1"/>
    <col min="4887" max="5120" width="9.140625" style="504"/>
    <col min="5121" max="5121" width="5" style="504" customWidth="1"/>
    <col min="5122" max="5122" width="18.7109375" style="504" customWidth="1"/>
    <col min="5123" max="5126" width="7.85546875" style="504" customWidth="1"/>
    <col min="5127" max="5127" width="8.42578125" style="504" customWidth="1"/>
    <col min="5128" max="5128" width="8.85546875" style="504" customWidth="1"/>
    <col min="5129" max="5135" width="7.85546875" style="504" customWidth="1"/>
    <col min="5136" max="5139" width="9.140625" style="504"/>
    <col min="5140" max="5140" width="12.42578125" style="504" customWidth="1"/>
    <col min="5141" max="5141" width="9.140625" style="504"/>
    <col min="5142" max="5142" width="12" style="504" customWidth="1"/>
    <col min="5143" max="5376" width="9.140625" style="504"/>
    <col min="5377" max="5377" width="5" style="504" customWidth="1"/>
    <col min="5378" max="5378" width="18.7109375" style="504" customWidth="1"/>
    <col min="5379" max="5382" width="7.85546875" style="504" customWidth="1"/>
    <col min="5383" max="5383" width="8.42578125" style="504" customWidth="1"/>
    <col min="5384" max="5384" width="8.85546875" style="504" customWidth="1"/>
    <col min="5385" max="5391" width="7.85546875" style="504" customWidth="1"/>
    <col min="5392" max="5395" width="9.140625" style="504"/>
    <col min="5396" max="5396" width="12.42578125" style="504" customWidth="1"/>
    <col min="5397" max="5397" width="9.140625" style="504"/>
    <col min="5398" max="5398" width="12" style="504" customWidth="1"/>
    <col min="5399" max="5632" width="9.140625" style="504"/>
    <col min="5633" max="5633" width="5" style="504" customWidth="1"/>
    <col min="5634" max="5634" width="18.7109375" style="504" customWidth="1"/>
    <col min="5635" max="5638" width="7.85546875" style="504" customWidth="1"/>
    <col min="5639" max="5639" width="8.42578125" style="504" customWidth="1"/>
    <col min="5640" max="5640" width="8.85546875" style="504" customWidth="1"/>
    <col min="5641" max="5647" width="7.85546875" style="504" customWidth="1"/>
    <col min="5648" max="5651" width="9.140625" style="504"/>
    <col min="5652" max="5652" width="12.42578125" style="504" customWidth="1"/>
    <col min="5653" max="5653" width="9.140625" style="504"/>
    <col min="5654" max="5654" width="12" style="504" customWidth="1"/>
    <col min="5655" max="5888" width="9.140625" style="504"/>
    <col min="5889" max="5889" width="5" style="504" customWidth="1"/>
    <col min="5890" max="5890" width="18.7109375" style="504" customWidth="1"/>
    <col min="5891" max="5894" width="7.85546875" style="504" customWidth="1"/>
    <col min="5895" max="5895" width="8.42578125" style="504" customWidth="1"/>
    <col min="5896" max="5896" width="8.85546875" style="504" customWidth="1"/>
    <col min="5897" max="5903" width="7.85546875" style="504" customWidth="1"/>
    <col min="5904" max="5907" width="9.140625" style="504"/>
    <col min="5908" max="5908" width="12.42578125" style="504" customWidth="1"/>
    <col min="5909" max="5909" width="9.140625" style="504"/>
    <col min="5910" max="5910" width="12" style="504" customWidth="1"/>
    <col min="5911" max="6144" width="9.140625" style="504"/>
    <col min="6145" max="6145" width="5" style="504" customWidth="1"/>
    <col min="6146" max="6146" width="18.7109375" style="504" customWidth="1"/>
    <col min="6147" max="6150" width="7.85546875" style="504" customWidth="1"/>
    <col min="6151" max="6151" width="8.42578125" style="504" customWidth="1"/>
    <col min="6152" max="6152" width="8.85546875" style="504" customWidth="1"/>
    <col min="6153" max="6159" width="7.85546875" style="504" customWidth="1"/>
    <col min="6160" max="6163" width="9.140625" style="504"/>
    <col min="6164" max="6164" width="12.42578125" style="504" customWidth="1"/>
    <col min="6165" max="6165" width="9.140625" style="504"/>
    <col min="6166" max="6166" width="12" style="504" customWidth="1"/>
    <col min="6167" max="6400" width="9.140625" style="504"/>
    <col min="6401" max="6401" width="5" style="504" customWidth="1"/>
    <col min="6402" max="6402" width="18.7109375" style="504" customWidth="1"/>
    <col min="6403" max="6406" width="7.85546875" style="504" customWidth="1"/>
    <col min="6407" max="6407" width="8.42578125" style="504" customWidth="1"/>
    <col min="6408" max="6408" width="8.85546875" style="504" customWidth="1"/>
    <col min="6409" max="6415" width="7.85546875" style="504" customWidth="1"/>
    <col min="6416" max="6419" width="9.140625" style="504"/>
    <col min="6420" max="6420" width="12.42578125" style="504" customWidth="1"/>
    <col min="6421" max="6421" width="9.140625" style="504"/>
    <col min="6422" max="6422" width="12" style="504" customWidth="1"/>
    <col min="6423" max="6656" width="9.140625" style="504"/>
    <col min="6657" max="6657" width="5" style="504" customWidth="1"/>
    <col min="6658" max="6658" width="18.7109375" style="504" customWidth="1"/>
    <col min="6659" max="6662" width="7.85546875" style="504" customWidth="1"/>
    <col min="6663" max="6663" width="8.42578125" style="504" customWidth="1"/>
    <col min="6664" max="6664" width="8.85546875" style="504" customWidth="1"/>
    <col min="6665" max="6671" width="7.85546875" style="504" customWidth="1"/>
    <col min="6672" max="6675" width="9.140625" style="504"/>
    <col min="6676" max="6676" width="12.42578125" style="504" customWidth="1"/>
    <col min="6677" max="6677" width="9.140625" style="504"/>
    <col min="6678" max="6678" width="12" style="504" customWidth="1"/>
    <col min="6679" max="6912" width="9.140625" style="504"/>
    <col min="6913" max="6913" width="5" style="504" customWidth="1"/>
    <col min="6914" max="6914" width="18.7109375" style="504" customWidth="1"/>
    <col min="6915" max="6918" width="7.85546875" style="504" customWidth="1"/>
    <col min="6919" max="6919" width="8.42578125" style="504" customWidth="1"/>
    <col min="6920" max="6920" width="8.85546875" style="504" customWidth="1"/>
    <col min="6921" max="6927" width="7.85546875" style="504" customWidth="1"/>
    <col min="6928" max="6931" width="9.140625" style="504"/>
    <col min="6932" max="6932" width="12.42578125" style="504" customWidth="1"/>
    <col min="6933" max="6933" width="9.140625" style="504"/>
    <col min="6934" max="6934" width="12" style="504" customWidth="1"/>
    <col min="6935" max="7168" width="9.140625" style="504"/>
    <col min="7169" max="7169" width="5" style="504" customWidth="1"/>
    <col min="7170" max="7170" width="18.7109375" style="504" customWidth="1"/>
    <col min="7171" max="7174" width="7.85546875" style="504" customWidth="1"/>
    <col min="7175" max="7175" width="8.42578125" style="504" customWidth="1"/>
    <col min="7176" max="7176" width="8.85546875" style="504" customWidth="1"/>
    <col min="7177" max="7183" width="7.85546875" style="504" customWidth="1"/>
    <col min="7184" max="7187" width="9.140625" style="504"/>
    <col min="7188" max="7188" width="12.42578125" style="504" customWidth="1"/>
    <col min="7189" max="7189" width="9.140625" style="504"/>
    <col min="7190" max="7190" width="12" style="504" customWidth="1"/>
    <col min="7191" max="7424" width="9.140625" style="504"/>
    <col min="7425" max="7425" width="5" style="504" customWidth="1"/>
    <col min="7426" max="7426" width="18.7109375" style="504" customWidth="1"/>
    <col min="7427" max="7430" width="7.85546875" style="504" customWidth="1"/>
    <col min="7431" max="7431" width="8.42578125" style="504" customWidth="1"/>
    <col min="7432" max="7432" width="8.85546875" style="504" customWidth="1"/>
    <col min="7433" max="7439" width="7.85546875" style="504" customWidth="1"/>
    <col min="7440" max="7443" width="9.140625" style="504"/>
    <col min="7444" max="7444" width="12.42578125" style="504" customWidth="1"/>
    <col min="7445" max="7445" width="9.140625" style="504"/>
    <col min="7446" max="7446" width="12" style="504" customWidth="1"/>
    <col min="7447" max="7680" width="9.140625" style="504"/>
    <col min="7681" max="7681" width="5" style="504" customWidth="1"/>
    <col min="7682" max="7682" width="18.7109375" style="504" customWidth="1"/>
    <col min="7683" max="7686" width="7.85546875" style="504" customWidth="1"/>
    <col min="7687" max="7687" width="8.42578125" style="504" customWidth="1"/>
    <col min="7688" max="7688" width="8.85546875" style="504" customWidth="1"/>
    <col min="7689" max="7695" width="7.85546875" style="504" customWidth="1"/>
    <col min="7696" max="7699" width="9.140625" style="504"/>
    <col min="7700" max="7700" width="12.42578125" style="504" customWidth="1"/>
    <col min="7701" max="7701" width="9.140625" style="504"/>
    <col min="7702" max="7702" width="12" style="504" customWidth="1"/>
    <col min="7703" max="7936" width="9.140625" style="504"/>
    <col min="7937" max="7937" width="5" style="504" customWidth="1"/>
    <col min="7938" max="7938" width="18.7109375" style="504" customWidth="1"/>
    <col min="7939" max="7942" width="7.85546875" style="504" customWidth="1"/>
    <col min="7943" max="7943" width="8.42578125" style="504" customWidth="1"/>
    <col min="7944" max="7944" width="8.85546875" style="504" customWidth="1"/>
    <col min="7945" max="7951" width="7.85546875" style="504" customWidth="1"/>
    <col min="7952" max="7955" width="9.140625" style="504"/>
    <col min="7956" max="7956" width="12.42578125" style="504" customWidth="1"/>
    <col min="7957" max="7957" width="9.140625" style="504"/>
    <col min="7958" max="7958" width="12" style="504" customWidth="1"/>
    <col min="7959" max="8192" width="9.140625" style="504"/>
    <col min="8193" max="8193" width="5" style="504" customWidth="1"/>
    <col min="8194" max="8194" width="18.7109375" style="504" customWidth="1"/>
    <col min="8195" max="8198" width="7.85546875" style="504" customWidth="1"/>
    <col min="8199" max="8199" width="8.42578125" style="504" customWidth="1"/>
    <col min="8200" max="8200" width="8.85546875" style="504" customWidth="1"/>
    <col min="8201" max="8207" width="7.85546875" style="504" customWidth="1"/>
    <col min="8208" max="8211" width="9.140625" style="504"/>
    <col min="8212" max="8212" width="12.42578125" style="504" customWidth="1"/>
    <col min="8213" max="8213" width="9.140625" style="504"/>
    <col min="8214" max="8214" width="12" style="504" customWidth="1"/>
    <col min="8215" max="8448" width="9.140625" style="504"/>
    <col min="8449" max="8449" width="5" style="504" customWidth="1"/>
    <col min="8450" max="8450" width="18.7109375" style="504" customWidth="1"/>
    <col min="8451" max="8454" width="7.85546875" style="504" customWidth="1"/>
    <col min="8455" max="8455" width="8.42578125" style="504" customWidth="1"/>
    <col min="8456" max="8456" width="8.85546875" style="504" customWidth="1"/>
    <col min="8457" max="8463" width="7.85546875" style="504" customWidth="1"/>
    <col min="8464" max="8467" width="9.140625" style="504"/>
    <col min="8468" max="8468" width="12.42578125" style="504" customWidth="1"/>
    <col min="8469" max="8469" width="9.140625" style="504"/>
    <col min="8470" max="8470" width="12" style="504" customWidth="1"/>
    <col min="8471" max="8704" width="9.140625" style="504"/>
    <col min="8705" max="8705" width="5" style="504" customWidth="1"/>
    <col min="8706" max="8706" width="18.7109375" style="504" customWidth="1"/>
    <col min="8707" max="8710" width="7.85546875" style="504" customWidth="1"/>
    <col min="8711" max="8711" width="8.42578125" style="504" customWidth="1"/>
    <col min="8712" max="8712" width="8.85546875" style="504" customWidth="1"/>
    <col min="8713" max="8719" width="7.85546875" style="504" customWidth="1"/>
    <col min="8720" max="8723" width="9.140625" style="504"/>
    <col min="8724" max="8724" width="12.42578125" style="504" customWidth="1"/>
    <col min="8725" max="8725" width="9.140625" style="504"/>
    <col min="8726" max="8726" width="12" style="504" customWidth="1"/>
    <col min="8727" max="8960" width="9.140625" style="504"/>
    <col min="8961" max="8961" width="5" style="504" customWidth="1"/>
    <col min="8962" max="8962" width="18.7109375" style="504" customWidth="1"/>
    <col min="8963" max="8966" width="7.85546875" style="504" customWidth="1"/>
    <col min="8967" max="8967" width="8.42578125" style="504" customWidth="1"/>
    <col min="8968" max="8968" width="8.85546875" style="504" customWidth="1"/>
    <col min="8969" max="8975" width="7.85546875" style="504" customWidth="1"/>
    <col min="8976" max="8979" width="9.140625" style="504"/>
    <col min="8980" max="8980" width="12.42578125" style="504" customWidth="1"/>
    <col min="8981" max="8981" width="9.140625" style="504"/>
    <col min="8982" max="8982" width="12" style="504" customWidth="1"/>
    <col min="8983" max="9216" width="9.140625" style="504"/>
    <col min="9217" max="9217" width="5" style="504" customWidth="1"/>
    <col min="9218" max="9218" width="18.7109375" style="504" customWidth="1"/>
    <col min="9219" max="9222" width="7.85546875" style="504" customWidth="1"/>
    <col min="9223" max="9223" width="8.42578125" style="504" customWidth="1"/>
    <col min="9224" max="9224" width="8.85546875" style="504" customWidth="1"/>
    <col min="9225" max="9231" width="7.85546875" style="504" customWidth="1"/>
    <col min="9232" max="9235" width="9.140625" style="504"/>
    <col min="9236" max="9236" width="12.42578125" style="504" customWidth="1"/>
    <col min="9237" max="9237" width="9.140625" style="504"/>
    <col min="9238" max="9238" width="12" style="504" customWidth="1"/>
    <col min="9239" max="9472" width="9.140625" style="504"/>
    <col min="9473" max="9473" width="5" style="504" customWidth="1"/>
    <col min="9474" max="9474" width="18.7109375" style="504" customWidth="1"/>
    <col min="9475" max="9478" width="7.85546875" style="504" customWidth="1"/>
    <col min="9479" max="9479" width="8.42578125" style="504" customWidth="1"/>
    <col min="9480" max="9480" width="8.85546875" style="504" customWidth="1"/>
    <col min="9481" max="9487" width="7.85546875" style="504" customWidth="1"/>
    <col min="9488" max="9491" width="9.140625" style="504"/>
    <col min="9492" max="9492" width="12.42578125" style="504" customWidth="1"/>
    <col min="9493" max="9493" width="9.140625" style="504"/>
    <col min="9494" max="9494" width="12" style="504" customWidth="1"/>
    <col min="9495" max="9728" width="9.140625" style="504"/>
    <col min="9729" max="9729" width="5" style="504" customWidth="1"/>
    <col min="9730" max="9730" width="18.7109375" style="504" customWidth="1"/>
    <col min="9731" max="9734" width="7.85546875" style="504" customWidth="1"/>
    <col min="9735" max="9735" width="8.42578125" style="504" customWidth="1"/>
    <col min="9736" max="9736" width="8.85546875" style="504" customWidth="1"/>
    <col min="9737" max="9743" width="7.85546875" style="504" customWidth="1"/>
    <col min="9744" max="9747" width="9.140625" style="504"/>
    <col min="9748" max="9748" width="12.42578125" style="504" customWidth="1"/>
    <col min="9749" max="9749" width="9.140625" style="504"/>
    <col min="9750" max="9750" width="12" style="504" customWidth="1"/>
    <col min="9751" max="9984" width="9.140625" style="504"/>
    <col min="9985" max="9985" width="5" style="504" customWidth="1"/>
    <col min="9986" max="9986" width="18.7109375" style="504" customWidth="1"/>
    <col min="9987" max="9990" width="7.85546875" style="504" customWidth="1"/>
    <col min="9991" max="9991" width="8.42578125" style="504" customWidth="1"/>
    <col min="9992" max="9992" width="8.85546875" style="504" customWidth="1"/>
    <col min="9993" max="9999" width="7.85546875" style="504" customWidth="1"/>
    <col min="10000" max="10003" width="9.140625" style="504"/>
    <col min="10004" max="10004" width="12.42578125" style="504" customWidth="1"/>
    <col min="10005" max="10005" width="9.140625" style="504"/>
    <col min="10006" max="10006" width="12" style="504" customWidth="1"/>
    <col min="10007" max="10240" width="9.140625" style="504"/>
    <col min="10241" max="10241" width="5" style="504" customWidth="1"/>
    <col min="10242" max="10242" width="18.7109375" style="504" customWidth="1"/>
    <col min="10243" max="10246" width="7.85546875" style="504" customWidth="1"/>
    <col min="10247" max="10247" width="8.42578125" style="504" customWidth="1"/>
    <col min="10248" max="10248" width="8.85546875" style="504" customWidth="1"/>
    <col min="10249" max="10255" width="7.85546875" style="504" customWidth="1"/>
    <col min="10256" max="10259" width="9.140625" style="504"/>
    <col min="10260" max="10260" width="12.42578125" style="504" customWidth="1"/>
    <col min="10261" max="10261" width="9.140625" style="504"/>
    <col min="10262" max="10262" width="12" style="504" customWidth="1"/>
    <col min="10263" max="10496" width="9.140625" style="504"/>
    <col min="10497" max="10497" width="5" style="504" customWidth="1"/>
    <col min="10498" max="10498" width="18.7109375" style="504" customWidth="1"/>
    <col min="10499" max="10502" width="7.85546875" style="504" customWidth="1"/>
    <col min="10503" max="10503" width="8.42578125" style="504" customWidth="1"/>
    <col min="10504" max="10504" width="8.85546875" style="504" customWidth="1"/>
    <col min="10505" max="10511" width="7.85546875" style="504" customWidth="1"/>
    <col min="10512" max="10515" width="9.140625" style="504"/>
    <col min="10516" max="10516" width="12.42578125" style="504" customWidth="1"/>
    <col min="10517" max="10517" width="9.140625" style="504"/>
    <col min="10518" max="10518" width="12" style="504" customWidth="1"/>
    <col min="10519" max="10752" width="9.140625" style="504"/>
    <col min="10753" max="10753" width="5" style="504" customWidth="1"/>
    <col min="10754" max="10754" width="18.7109375" style="504" customWidth="1"/>
    <col min="10755" max="10758" width="7.85546875" style="504" customWidth="1"/>
    <col min="10759" max="10759" width="8.42578125" style="504" customWidth="1"/>
    <col min="10760" max="10760" width="8.85546875" style="504" customWidth="1"/>
    <col min="10761" max="10767" width="7.85546875" style="504" customWidth="1"/>
    <col min="10768" max="10771" width="9.140625" style="504"/>
    <col min="10772" max="10772" width="12.42578125" style="504" customWidth="1"/>
    <col min="10773" max="10773" width="9.140625" style="504"/>
    <col min="10774" max="10774" width="12" style="504" customWidth="1"/>
    <col min="10775" max="11008" width="9.140625" style="504"/>
    <col min="11009" max="11009" width="5" style="504" customWidth="1"/>
    <col min="11010" max="11010" width="18.7109375" style="504" customWidth="1"/>
    <col min="11011" max="11014" width="7.85546875" style="504" customWidth="1"/>
    <col min="11015" max="11015" width="8.42578125" style="504" customWidth="1"/>
    <col min="11016" max="11016" width="8.85546875" style="504" customWidth="1"/>
    <col min="11017" max="11023" width="7.85546875" style="504" customWidth="1"/>
    <col min="11024" max="11027" width="9.140625" style="504"/>
    <col min="11028" max="11028" width="12.42578125" style="504" customWidth="1"/>
    <col min="11029" max="11029" width="9.140625" style="504"/>
    <col min="11030" max="11030" width="12" style="504" customWidth="1"/>
    <col min="11031" max="11264" width="9.140625" style="504"/>
    <col min="11265" max="11265" width="5" style="504" customWidth="1"/>
    <col min="11266" max="11266" width="18.7109375" style="504" customWidth="1"/>
    <col min="11267" max="11270" width="7.85546875" style="504" customWidth="1"/>
    <col min="11271" max="11271" width="8.42578125" style="504" customWidth="1"/>
    <col min="11272" max="11272" width="8.85546875" style="504" customWidth="1"/>
    <col min="11273" max="11279" width="7.85546875" style="504" customWidth="1"/>
    <col min="11280" max="11283" width="9.140625" style="504"/>
    <col min="11284" max="11284" width="12.42578125" style="504" customWidth="1"/>
    <col min="11285" max="11285" width="9.140625" style="504"/>
    <col min="11286" max="11286" width="12" style="504" customWidth="1"/>
    <col min="11287" max="11520" width="9.140625" style="504"/>
    <col min="11521" max="11521" width="5" style="504" customWidth="1"/>
    <col min="11522" max="11522" width="18.7109375" style="504" customWidth="1"/>
    <col min="11523" max="11526" width="7.85546875" style="504" customWidth="1"/>
    <col min="11527" max="11527" width="8.42578125" style="504" customWidth="1"/>
    <col min="11528" max="11528" width="8.85546875" style="504" customWidth="1"/>
    <col min="11529" max="11535" width="7.85546875" style="504" customWidth="1"/>
    <col min="11536" max="11539" width="9.140625" style="504"/>
    <col min="11540" max="11540" width="12.42578125" style="504" customWidth="1"/>
    <col min="11541" max="11541" width="9.140625" style="504"/>
    <col min="11542" max="11542" width="12" style="504" customWidth="1"/>
    <col min="11543" max="11776" width="9.140625" style="504"/>
    <col min="11777" max="11777" width="5" style="504" customWidth="1"/>
    <col min="11778" max="11778" width="18.7109375" style="504" customWidth="1"/>
    <col min="11779" max="11782" width="7.85546875" style="504" customWidth="1"/>
    <col min="11783" max="11783" width="8.42578125" style="504" customWidth="1"/>
    <col min="11784" max="11784" width="8.85546875" style="504" customWidth="1"/>
    <col min="11785" max="11791" width="7.85546875" style="504" customWidth="1"/>
    <col min="11792" max="11795" width="9.140625" style="504"/>
    <col min="11796" max="11796" width="12.42578125" style="504" customWidth="1"/>
    <col min="11797" max="11797" width="9.140625" style="504"/>
    <col min="11798" max="11798" width="12" style="504" customWidth="1"/>
    <col min="11799" max="12032" width="9.140625" style="504"/>
    <col min="12033" max="12033" width="5" style="504" customWidth="1"/>
    <col min="12034" max="12034" width="18.7109375" style="504" customWidth="1"/>
    <col min="12035" max="12038" width="7.85546875" style="504" customWidth="1"/>
    <col min="12039" max="12039" width="8.42578125" style="504" customWidth="1"/>
    <col min="12040" max="12040" width="8.85546875" style="504" customWidth="1"/>
    <col min="12041" max="12047" width="7.85546875" style="504" customWidth="1"/>
    <col min="12048" max="12051" width="9.140625" style="504"/>
    <col min="12052" max="12052" width="12.42578125" style="504" customWidth="1"/>
    <col min="12053" max="12053" width="9.140625" style="504"/>
    <col min="12054" max="12054" width="12" style="504" customWidth="1"/>
    <col min="12055" max="12288" width="9.140625" style="504"/>
    <col min="12289" max="12289" width="5" style="504" customWidth="1"/>
    <col min="12290" max="12290" width="18.7109375" style="504" customWidth="1"/>
    <col min="12291" max="12294" width="7.85546875" style="504" customWidth="1"/>
    <col min="12295" max="12295" width="8.42578125" style="504" customWidth="1"/>
    <col min="12296" max="12296" width="8.85546875" style="504" customWidth="1"/>
    <col min="12297" max="12303" width="7.85546875" style="504" customWidth="1"/>
    <col min="12304" max="12307" width="9.140625" style="504"/>
    <col min="12308" max="12308" width="12.42578125" style="504" customWidth="1"/>
    <col min="12309" max="12309" width="9.140625" style="504"/>
    <col min="12310" max="12310" width="12" style="504" customWidth="1"/>
    <col min="12311" max="12544" width="9.140625" style="504"/>
    <col min="12545" max="12545" width="5" style="504" customWidth="1"/>
    <col min="12546" max="12546" width="18.7109375" style="504" customWidth="1"/>
    <col min="12547" max="12550" width="7.85546875" style="504" customWidth="1"/>
    <col min="12551" max="12551" width="8.42578125" style="504" customWidth="1"/>
    <col min="12552" max="12552" width="8.85546875" style="504" customWidth="1"/>
    <col min="12553" max="12559" width="7.85546875" style="504" customWidth="1"/>
    <col min="12560" max="12563" width="9.140625" style="504"/>
    <col min="12564" max="12564" width="12.42578125" style="504" customWidth="1"/>
    <col min="12565" max="12565" width="9.140625" style="504"/>
    <col min="12566" max="12566" width="12" style="504" customWidth="1"/>
    <col min="12567" max="12800" width="9.140625" style="504"/>
    <col min="12801" max="12801" width="5" style="504" customWidth="1"/>
    <col min="12802" max="12802" width="18.7109375" style="504" customWidth="1"/>
    <col min="12803" max="12806" width="7.85546875" style="504" customWidth="1"/>
    <col min="12807" max="12807" width="8.42578125" style="504" customWidth="1"/>
    <col min="12808" max="12808" width="8.85546875" style="504" customWidth="1"/>
    <col min="12809" max="12815" width="7.85546875" style="504" customWidth="1"/>
    <col min="12816" max="12819" width="9.140625" style="504"/>
    <col min="12820" max="12820" width="12.42578125" style="504" customWidth="1"/>
    <col min="12821" max="12821" width="9.140625" style="504"/>
    <col min="12822" max="12822" width="12" style="504" customWidth="1"/>
    <col min="12823" max="13056" width="9.140625" style="504"/>
    <col min="13057" max="13057" width="5" style="504" customWidth="1"/>
    <col min="13058" max="13058" width="18.7109375" style="504" customWidth="1"/>
    <col min="13059" max="13062" width="7.85546875" style="504" customWidth="1"/>
    <col min="13063" max="13063" width="8.42578125" style="504" customWidth="1"/>
    <col min="13064" max="13064" width="8.85546875" style="504" customWidth="1"/>
    <col min="13065" max="13071" width="7.85546875" style="504" customWidth="1"/>
    <col min="13072" max="13075" width="9.140625" style="504"/>
    <col min="13076" max="13076" width="12.42578125" style="504" customWidth="1"/>
    <col min="13077" max="13077" width="9.140625" style="504"/>
    <col min="13078" max="13078" width="12" style="504" customWidth="1"/>
    <col min="13079" max="13312" width="9.140625" style="504"/>
    <col min="13313" max="13313" width="5" style="504" customWidth="1"/>
    <col min="13314" max="13314" width="18.7109375" style="504" customWidth="1"/>
    <col min="13315" max="13318" width="7.85546875" style="504" customWidth="1"/>
    <col min="13319" max="13319" width="8.42578125" style="504" customWidth="1"/>
    <col min="13320" max="13320" width="8.85546875" style="504" customWidth="1"/>
    <col min="13321" max="13327" width="7.85546875" style="504" customWidth="1"/>
    <col min="13328" max="13331" width="9.140625" style="504"/>
    <col min="13332" max="13332" width="12.42578125" style="504" customWidth="1"/>
    <col min="13333" max="13333" width="9.140625" style="504"/>
    <col min="13334" max="13334" width="12" style="504" customWidth="1"/>
    <col min="13335" max="13568" width="9.140625" style="504"/>
    <col min="13569" max="13569" width="5" style="504" customWidth="1"/>
    <col min="13570" max="13570" width="18.7109375" style="504" customWidth="1"/>
    <col min="13571" max="13574" width="7.85546875" style="504" customWidth="1"/>
    <col min="13575" max="13575" width="8.42578125" style="504" customWidth="1"/>
    <col min="13576" max="13576" width="8.85546875" style="504" customWidth="1"/>
    <col min="13577" max="13583" width="7.85546875" style="504" customWidth="1"/>
    <col min="13584" max="13587" width="9.140625" style="504"/>
    <col min="13588" max="13588" width="12.42578125" style="504" customWidth="1"/>
    <col min="13589" max="13589" width="9.140625" style="504"/>
    <col min="13590" max="13590" width="12" style="504" customWidth="1"/>
    <col min="13591" max="13824" width="9.140625" style="504"/>
    <col min="13825" max="13825" width="5" style="504" customWidth="1"/>
    <col min="13826" max="13826" width="18.7109375" style="504" customWidth="1"/>
    <col min="13827" max="13830" width="7.85546875" style="504" customWidth="1"/>
    <col min="13831" max="13831" width="8.42578125" style="504" customWidth="1"/>
    <col min="13832" max="13832" width="8.85546875" style="504" customWidth="1"/>
    <col min="13833" max="13839" width="7.85546875" style="504" customWidth="1"/>
    <col min="13840" max="13843" width="9.140625" style="504"/>
    <col min="13844" max="13844" width="12.42578125" style="504" customWidth="1"/>
    <col min="13845" max="13845" width="9.140625" style="504"/>
    <col min="13846" max="13846" width="12" style="504" customWidth="1"/>
    <col min="13847" max="14080" width="9.140625" style="504"/>
    <col min="14081" max="14081" width="5" style="504" customWidth="1"/>
    <col min="14082" max="14082" width="18.7109375" style="504" customWidth="1"/>
    <col min="14083" max="14086" width="7.85546875" style="504" customWidth="1"/>
    <col min="14087" max="14087" width="8.42578125" style="504" customWidth="1"/>
    <col min="14088" max="14088" width="8.85546875" style="504" customWidth="1"/>
    <col min="14089" max="14095" width="7.85546875" style="504" customWidth="1"/>
    <col min="14096" max="14099" width="9.140625" style="504"/>
    <col min="14100" max="14100" width="12.42578125" style="504" customWidth="1"/>
    <col min="14101" max="14101" width="9.140625" style="504"/>
    <col min="14102" max="14102" width="12" style="504" customWidth="1"/>
    <col min="14103" max="14336" width="9.140625" style="504"/>
    <col min="14337" max="14337" width="5" style="504" customWidth="1"/>
    <col min="14338" max="14338" width="18.7109375" style="504" customWidth="1"/>
    <col min="14339" max="14342" width="7.85546875" style="504" customWidth="1"/>
    <col min="14343" max="14343" width="8.42578125" style="504" customWidth="1"/>
    <col min="14344" max="14344" width="8.85546875" style="504" customWidth="1"/>
    <col min="14345" max="14351" width="7.85546875" style="504" customWidth="1"/>
    <col min="14352" max="14355" width="9.140625" style="504"/>
    <col min="14356" max="14356" width="12.42578125" style="504" customWidth="1"/>
    <col min="14357" max="14357" width="9.140625" style="504"/>
    <col min="14358" max="14358" width="12" style="504" customWidth="1"/>
    <col min="14359" max="14592" width="9.140625" style="504"/>
    <col min="14593" max="14593" width="5" style="504" customWidth="1"/>
    <col min="14594" max="14594" width="18.7109375" style="504" customWidth="1"/>
    <col min="14595" max="14598" width="7.85546875" style="504" customWidth="1"/>
    <col min="14599" max="14599" width="8.42578125" style="504" customWidth="1"/>
    <col min="14600" max="14600" width="8.85546875" style="504" customWidth="1"/>
    <col min="14601" max="14607" width="7.85546875" style="504" customWidth="1"/>
    <col min="14608" max="14611" width="9.140625" style="504"/>
    <col min="14612" max="14612" width="12.42578125" style="504" customWidth="1"/>
    <col min="14613" max="14613" width="9.140625" style="504"/>
    <col min="14614" max="14614" width="12" style="504" customWidth="1"/>
    <col min="14615" max="14848" width="9.140625" style="504"/>
    <col min="14849" max="14849" width="5" style="504" customWidth="1"/>
    <col min="14850" max="14850" width="18.7109375" style="504" customWidth="1"/>
    <col min="14851" max="14854" width="7.85546875" style="504" customWidth="1"/>
    <col min="14855" max="14855" width="8.42578125" style="504" customWidth="1"/>
    <col min="14856" max="14856" width="8.85546875" style="504" customWidth="1"/>
    <col min="14857" max="14863" width="7.85546875" style="504" customWidth="1"/>
    <col min="14864" max="14867" width="9.140625" style="504"/>
    <col min="14868" max="14868" width="12.42578125" style="504" customWidth="1"/>
    <col min="14869" max="14869" width="9.140625" style="504"/>
    <col min="14870" max="14870" width="12" style="504" customWidth="1"/>
    <col min="14871" max="15104" width="9.140625" style="504"/>
    <col min="15105" max="15105" width="5" style="504" customWidth="1"/>
    <col min="15106" max="15106" width="18.7109375" style="504" customWidth="1"/>
    <col min="15107" max="15110" width="7.85546875" style="504" customWidth="1"/>
    <col min="15111" max="15111" width="8.42578125" style="504" customWidth="1"/>
    <col min="15112" max="15112" width="8.85546875" style="504" customWidth="1"/>
    <col min="15113" max="15119" width="7.85546875" style="504" customWidth="1"/>
    <col min="15120" max="15123" width="9.140625" style="504"/>
    <col min="15124" max="15124" width="12.42578125" style="504" customWidth="1"/>
    <col min="15125" max="15125" width="9.140625" style="504"/>
    <col min="15126" max="15126" width="12" style="504" customWidth="1"/>
    <col min="15127" max="15360" width="9.140625" style="504"/>
    <col min="15361" max="15361" width="5" style="504" customWidth="1"/>
    <col min="15362" max="15362" width="18.7109375" style="504" customWidth="1"/>
    <col min="15363" max="15366" width="7.85546875" style="504" customWidth="1"/>
    <col min="15367" max="15367" width="8.42578125" style="504" customWidth="1"/>
    <col min="15368" max="15368" width="8.85546875" style="504" customWidth="1"/>
    <col min="15369" max="15375" width="7.85546875" style="504" customWidth="1"/>
    <col min="15376" max="15379" width="9.140625" style="504"/>
    <col min="15380" max="15380" width="12.42578125" style="504" customWidth="1"/>
    <col min="15381" max="15381" width="9.140625" style="504"/>
    <col min="15382" max="15382" width="12" style="504" customWidth="1"/>
    <col min="15383" max="15616" width="9.140625" style="504"/>
    <col min="15617" max="15617" width="5" style="504" customWidth="1"/>
    <col min="15618" max="15618" width="18.7109375" style="504" customWidth="1"/>
    <col min="15619" max="15622" width="7.85546875" style="504" customWidth="1"/>
    <col min="15623" max="15623" width="8.42578125" style="504" customWidth="1"/>
    <col min="15624" max="15624" width="8.85546875" style="504" customWidth="1"/>
    <col min="15625" max="15631" width="7.85546875" style="504" customWidth="1"/>
    <col min="15632" max="15635" width="9.140625" style="504"/>
    <col min="15636" max="15636" width="12.42578125" style="504" customWidth="1"/>
    <col min="15637" max="15637" width="9.140625" style="504"/>
    <col min="15638" max="15638" width="12" style="504" customWidth="1"/>
    <col min="15639" max="15872" width="9.140625" style="504"/>
    <col min="15873" max="15873" width="5" style="504" customWidth="1"/>
    <col min="15874" max="15874" width="18.7109375" style="504" customWidth="1"/>
    <col min="15875" max="15878" width="7.85546875" style="504" customWidth="1"/>
    <col min="15879" max="15879" width="8.42578125" style="504" customWidth="1"/>
    <col min="15880" max="15880" width="8.85546875" style="504" customWidth="1"/>
    <col min="15881" max="15887" width="7.85546875" style="504" customWidth="1"/>
    <col min="15888" max="15891" width="9.140625" style="504"/>
    <col min="15892" max="15892" width="12.42578125" style="504" customWidth="1"/>
    <col min="15893" max="15893" width="9.140625" style="504"/>
    <col min="15894" max="15894" width="12" style="504" customWidth="1"/>
    <col min="15895" max="16128" width="9.140625" style="504"/>
    <col min="16129" max="16129" width="5" style="504" customWidth="1"/>
    <col min="16130" max="16130" width="18.7109375" style="504" customWidth="1"/>
    <col min="16131" max="16134" width="7.85546875" style="504" customWidth="1"/>
    <col min="16135" max="16135" width="8.42578125" style="504" customWidth="1"/>
    <col min="16136" max="16136" width="8.85546875" style="504" customWidth="1"/>
    <col min="16137" max="16143" width="7.85546875" style="504" customWidth="1"/>
    <col min="16144" max="16147" width="9.140625" style="504"/>
    <col min="16148" max="16148" width="12.42578125" style="504" customWidth="1"/>
    <col min="16149" max="16149" width="9.140625" style="504"/>
    <col min="16150" max="16150" width="12" style="504" customWidth="1"/>
    <col min="16151" max="16384" width="9.140625" style="504"/>
  </cols>
  <sheetData>
    <row r="1" spans="1:15" s="490" customFormat="1" x14ac:dyDescent="0.2">
      <c r="A1" s="1045" t="s">
        <v>100</v>
      </c>
      <c r="B1" s="1039"/>
      <c r="C1" s="1039"/>
      <c r="D1" s="1038"/>
      <c r="E1" s="1039"/>
      <c r="F1" s="1039"/>
      <c r="G1" s="1045" t="s">
        <v>102</v>
      </c>
      <c r="H1" s="1038"/>
      <c r="I1" s="1038" t="s">
        <v>57</v>
      </c>
      <c r="J1" s="1039"/>
      <c r="K1" s="1039"/>
      <c r="L1" s="1040"/>
      <c r="M1" s="1040"/>
      <c r="N1" s="1040"/>
      <c r="O1" s="1040"/>
    </row>
    <row r="2" spans="1:15" s="490" customFormat="1" x14ac:dyDescent="0.2">
      <c r="A2" s="1045" t="s">
        <v>103</v>
      </c>
      <c r="B2" s="1039"/>
      <c r="C2" s="1039"/>
      <c r="D2" s="1038"/>
      <c r="E2" s="1039"/>
      <c r="F2" s="1039"/>
      <c r="G2" s="1045" t="s">
        <v>104</v>
      </c>
      <c r="H2" s="1038"/>
      <c r="I2" s="1038" t="s">
        <v>105</v>
      </c>
      <c r="J2" s="1039"/>
      <c r="K2" s="1039"/>
      <c r="L2" s="1040"/>
      <c r="M2" s="1040"/>
      <c r="N2" s="1040"/>
      <c r="O2" s="1040"/>
    </row>
    <row r="3" spans="1:15" s="490" customFormat="1" x14ac:dyDescent="0.2">
      <c r="A3" s="1045" t="s">
        <v>106</v>
      </c>
      <c r="B3" s="1039"/>
      <c r="C3" s="1039"/>
      <c r="D3" s="1046" t="s">
        <v>1168</v>
      </c>
      <c r="E3" s="1039"/>
      <c r="F3" s="1039"/>
      <c r="G3" s="1045" t="s">
        <v>107</v>
      </c>
      <c r="H3" s="1038"/>
      <c r="I3" s="1038" t="s">
        <v>108</v>
      </c>
      <c r="J3" s="1039"/>
      <c r="K3" s="1039"/>
      <c r="L3" s="1040"/>
      <c r="M3" s="1040"/>
      <c r="N3" s="1040"/>
      <c r="O3" s="1040"/>
    </row>
    <row r="4" spans="1:15" s="490" customFormat="1" x14ac:dyDescent="0.2">
      <c r="A4" s="1045" t="s">
        <v>109</v>
      </c>
      <c r="B4" s="1039"/>
      <c r="C4" s="1039"/>
      <c r="D4" s="1038"/>
      <c r="E4" s="1039"/>
      <c r="F4" s="1039"/>
      <c r="G4" s="1045" t="s">
        <v>110</v>
      </c>
      <c r="H4" s="1038"/>
      <c r="I4" s="1038" t="s">
        <v>645</v>
      </c>
      <c r="J4" s="1039"/>
      <c r="K4" s="1039"/>
      <c r="L4" s="1040"/>
      <c r="M4" s="1040"/>
      <c r="N4" s="1040"/>
      <c r="O4" s="1040"/>
    </row>
    <row r="5" spans="1:15" s="490" customFormat="1" x14ac:dyDescent="0.2">
      <c r="A5" s="1045" t="s">
        <v>278</v>
      </c>
      <c r="B5" s="1039"/>
      <c r="C5" s="1039"/>
      <c r="D5" s="1038" t="s">
        <v>1169</v>
      </c>
      <c r="E5" s="1039"/>
      <c r="F5" s="1039"/>
      <c r="G5" s="1045"/>
      <c r="H5" s="1039"/>
      <c r="I5" s="1038" t="s">
        <v>113</v>
      </c>
      <c r="J5" s="1039"/>
      <c r="K5" s="1039"/>
      <c r="L5" s="1040"/>
      <c r="M5" s="1040"/>
      <c r="N5" s="1040"/>
      <c r="O5" s="1040"/>
    </row>
    <row r="6" spans="1:15" s="490" customFormat="1" x14ac:dyDescent="0.2">
      <c r="A6" s="1041" t="s">
        <v>114</v>
      </c>
      <c r="B6" s="1042"/>
      <c r="C6" s="1042"/>
      <c r="D6" s="1039" t="s">
        <v>58</v>
      </c>
      <c r="E6" s="1039"/>
      <c r="F6" s="1039"/>
      <c r="G6" s="1041" t="s">
        <v>115</v>
      </c>
      <c r="H6" s="1041"/>
      <c r="I6" s="491" t="s">
        <v>116</v>
      </c>
      <c r="J6" s="1043"/>
      <c r="K6" s="1043"/>
      <c r="L6" s="1043"/>
      <c r="M6" s="1043"/>
      <c r="N6" s="1043"/>
      <c r="O6" s="1044"/>
    </row>
    <row r="7" spans="1:15" s="490" customFormat="1" ht="13.5" thickBot="1" x14ac:dyDescent="0.25">
      <c r="A7" s="492"/>
      <c r="B7" s="493"/>
      <c r="C7" s="494"/>
      <c r="D7" s="495"/>
      <c r="E7" s="495"/>
      <c r="F7" s="495"/>
      <c r="G7" s="495"/>
      <c r="H7" s="495"/>
      <c r="I7" s="495"/>
      <c r="J7" s="496"/>
      <c r="K7" s="661"/>
      <c r="L7" s="1030" t="s">
        <v>223</v>
      </c>
      <c r="M7" s="1030"/>
      <c r="N7" s="1030"/>
      <c r="O7" s="1030"/>
    </row>
    <row r="8" spans="1:15" s="499" customFormat="1" x14ac:dyDescent="0.2">
      <c r="A8" s="1031" t="str">
        <f>I1</f>
        <v>Mr. K. P. Kafle</v>
      </c>
      <c r="B8" s="1032"/>
      <c r="C8" s="334">
        <v>43160</v>
      </c>
      <c r="D8" s="334">
        <v>43191</v>
      </c>
      <c r="E8" s="334">
        <v>43221</v>
      </c>
      <c r="F8" s="334">
        <v>43252</v>
      </c>
      <c r="G8" s="334">
        <v>43282</v>
      </c>
      <c r="H8" s="334">
        <v>43313</v>
      </c>
      <c r="I8" s="334">
        <v>43344</v>
      </c>
      <c r="J8" s="334">
        <v>43374</v>
      </c>
      <c r="K8" s="334">
        <v>43405</v>
      </c>
      <c r="L8" s="334">
        <v>43435</v>
      </c>
      <c r="M8" s="334">
        <v>43466</v>
      </c>
      <c r="N8" s="334">
        <v>43497</v>
      </c>
      <c r="O8" s="498" t="s">
        <v>117</v>
      </c>
    </row>
    <row r="9" spans="1:15" ht="15" x14ac:dyDescent="0.2">
      <c r="A9" s="500"/>
      <c r="B9" s="501" t="s">
        <v>118</v>
      </c>
      <c r="C9" s="502">
        <v>50500</v>
      </c>
      <c r="D9" s="502">
        <f t="shared" ref="D9:N22" si="0">+C9</f>
        <v>50500</v>
      </c>
      <c r="E9" s="502">
        <f t="shared" si="0"/>
        <v>50500</v>
      </c>
      <c r="F9" s="502">
        <f t="shared" si="0"/>
        <v>50500</v>
      </c>
      <c r="G9" s="502">
        <v>52000</v>
      </c>
      <c r="H9" s="502">
        <f t="shared" si="0"/>
        <v>52000</v>
      </c>
      <c r="I9" s="502">
        <f t="shared" si="0"/>
        <v>52000</v>
      </c>
      <c r="J9" s="502">
        <f t="shared" si="0"/>
        <v>52000</v>
      </c>
      <c r="K9" s="502">
        <f t="shared" si="0"/>
        <v>52000</v>
      </c>
      <c r="L9" s="502">
        <f t="shared" si="0"/>
        <v>52000</v>
      </c>
      <c r="M9" s="502">
        <f t="shared" si="0"/>
        <v>52000</v>
      </c>
      <c r="N9" s="502">
        <f t="shared" si="0"/>
        <v>52000</v>
      </c>
      <c r="O9" s="503">
        <f>SUM(C9:N9)</f>
        <v>618000</v>
      </c>
    </row>
    <row r="10" spans="1:15" ht="15" x14ac:dyDescent="0.2">
      <c r="A10" s="500"/>
      <c r="B10" s="501" t="s">
        <v>119</v>
      </c>
      <c r="C10" s="505">
        <v>0</v>
      </c>
      <c r="D10" s="505">
        <f t="shared" si="0"/>
        <v>0</v>
      </c>
      <c r="E10" s="505">
        <f t="shared" si="0"/>
        <v>0</v>
      </c>
      <c r="F10" s="505">
        <f t="shared" si="0"/>
        <v>0</v>
      </c>
      <c r="G10" s="505">
        <f t="shared" si="0"/>
        <v>0</v>
      </c>
      <c r="H10" s="505">
        <v>0</v>
      </c>
      <c r="I10" s="505">
        <f t="shared" si="0"/>
        <v>0</v>
      </c>
      <c r="J10" s="505">
        <f t="shared" si="0"/>
        <v>0</v>
      </c>
      <c r="K10" s="505">
        <f t="shared" si="0"/>
        <v>0</v>
      </c>
      <c r="L10" s="505">
        <f t="shared" si="0"/>
        <v>0</v>
      </c>
      <c r="M10" s="505">
        <f t="shared" si="0"/>
        <v>0</v>
      </c>
      <c r="N10" s="505">
        <f t="shared" si="0"/>
        <v>0</v>
      </c>
      <c r="O10" s="506">
        <f>SUM(C10:N10)</f>
        <v>0</v>
      </c>
    </row>
    <row r="11" spans="1:15" ht="15" x14ac:dyDescent="0.2">
      <c r="A11" s="500"/>
      <c r="B11" s="501" t="s">
        <v>120</v>
      </c>
      <c r="C11" s="505">
        <v>2525</v>
      </c>
      <c r="D11" s="505">
        <v>3535</v>
      </c>
      <c r="E11" s="505">
        <f>+D11</f>
        <v>3535</v>
      </c>
      <c r="F11" s="505">
        <f>+E11</f>
        <v>3535</v>
      </c>
      <c r="G11" s="505">
        <v>3640</v>
      </c>
      <c r="H11" s="505">
        <v>3640</v>
      </c>
      <c r="I11" s="505">
        <v>3640</v>
      </c>
      <c r="J11" s="505">
        <v>3640</v>
      </c>
      <c r="K11" s="505">
        <v>3640</v>
      </c>
      <c r="L11" s="505">
        <v>3640</v>
      </c>
      <c r="M11" s="505">
        <v>3640</v>
      </c>
      <c r="N11" s="505">
        <v>3640</v>
      </c>
      <c r="O11" s="506">
        <f t="shared" ref="O11:O36" si="1">SUM(C11:N11)</f>
        <v>42250</v>
      </c>
    </row>
    <row r="12" spans="1:15" ht="15" hidden="1" x14ac:dyDescent="0.2">
      <c r="A12" s="500"/>
      <c r="B12" s="501" t="s">
        <v>121</v>
      </c>
      <c r="C12" s="505">
        <v>0</v>
      </c>
      <c r="D12" s="505">
        <f t="shared" si="0"/>
        <v>0</v>
      </c>
      <c r="E12" s="505">
        <f t="shared" si="0"/>
        <v>0</v>
      </c>
      <c r="F12" s="505">
        <f t="shared" si="0"/>
        <v>0</v>
      </c>
      <c r="G12" s="505">
        <f t="shared" si="0"/>
        <v>0</v>
      </c>
      <c r="H12" s="505">
        <v>0</v>
      </c>
      <c r="I12" s="505">
        <f t="shared" si="0"/>
        <v>0</v>
      </c>
      <c r="J12" s="505">
        <f t="shared" si="0"/>
        <v>0</v>
      </c>
      <c r="K12" s="505">
        <f t="shared" si="0"/>
        <v>0</v>
      </c>
      <c r="L12" s="505">
        <f t="shared" si="0"/>
        <v>0</v>
      </c>
      <c r="M12" s="505">
        <f t="shared" si="0"/>
        <v>0</v>
      </c>
      <c r="N12" s="505">
        <f t="shared" si="0"/>
        <v>0</v>
      </c>
      <c r="O12" s="506">
        <f t="shared" si="1"/>
        <v>0</v>
      </c>
    </row>
    <row r="13" spans="1:15" ht="15" hidden="1" x14ac:dyDescent="0.2">
      <c r="A13" s="500"/>
      <c r="B13" s="501" t="s">
        <v>122</v>
      </c>
      <c r="C13" s="505">
        <v>0</v>
      </c>
      <c r="D13" s="505">
        <f t="shared" si="0"/>
        <v>0</v>
      </c>
      <c r="E13" s="505">
        <f t="shared" si="0"/>
        <v>0</v>
      </c>
      <c r="F13" s="505">
        <f t="shared" si="0"/>
        <v>0</v>
      </c>
      <c r="G13" s="505">
        <f t="shared" si="0"/>
        <v>0</v>
      </c>
      <c r="H13" s="505">
        <v>0</v>
      </c>
      <c r="I13" s="505">
        <f t="shared" si="0"/>
        <v>0</v>
      </c>
      <c r="J13" s="505">
        <f t="shared" si="0"/>
        <v>0</v>
      </c>
      <c r="K13" s="505">
        <f t="shared" si="0"/>
        <v>0</v>
      </c>
      <c r="L13" s="505">
        <f t="shared" si="0"/>
        <v>0</v>
      </c>
      <c r="M13" s="505">
        <f t="shared" si="0"/>
        <v>0</v>
      </c>
      <c r="N13" s="505">
        <f t="shared" si="0"/>
        <v>0</v>
      </c>
      <c r="O13" s="506">
        <f t="shared" si="1"/>
        <v>0</v>
      </c>
    </row>
    <row r="14" spans="1:15" ht="15" x14ac:dyDescent="0.2">
      <c r="A14" s="500"/>
      <c r="B14" s="501" t="s">
        <v>123</v>
      </c>
      <c r="C14" s="505">
        <v>3780</v>
      </c>
      <c r="D14" s="505">
        <v>3852</v>
      </c>
      <c r="E14" s="505">
        <f t="shared" si="0"/>
        <v>3852</v>
      </c>
      <c r="F14" s="505">
        <f t="shared" si="0"/>
        <v>3852</v>
      </c>
      <c r="G14" s="505">
        <f t="shared" si="0"/>
        <v>3852</v>
      </c>
      <c r="H14" s="505">
        <f t="shared" si="0"/>
        <v>3852</v>
      </c>
      <c r="I14" s="505">
        <f t="shared" si="0"/>
        <v>3852</v>
      </c>
      <c r="J14" s="505">
        <v>3924</v>
      </c>
      <c r="K14" s="505">
        <f t="shared" si="0"/>
        <v>3924</v>
      </c>
      <c r="L14" s="505">
        <f t="shared" si="0"/>
        <v>3924</v>
      </c>
      <c r="M14" s="505">
        <f t="shared" si="0"/>
        <v>3924</v>
      </c>
      <c r="N14" s="505">
        <f t="shared" si="0"/>
        <v>3924</v>
      </c>
      <c r="O14" s="506">
        <f t="shared" si="1"/>
        <v>46512</v>
      </c>
    </row>
    <row r="15" spans="1:15" ht="15" hidden="1" x14ac:dyDescent="0.2">
      <c r="A15" s="500"/>
      <c r="B15" s="501" t="s">
        <v>124</v>
      </c>
      <c r="C15" s="505">
        <v>0</v>
      </c>
      <c r="D15" s="505">
        <f t="shared" si="0"/>
        <v>0</v>
      </c>
      <c r="E15" s="505">
        <f t="shared" si="0"/>
        <v>0</v>
      </c>
      <c r="F15" s="505">
        <f t="shared" si="0"/>
        <v>0</v>
      </c>
      <c r="G15" s="505">
        <f t="shared" si="0"/>
        <v>0</v>
      </c>
      <c r="H15" s="505">
        <v>0</v>
      </c>
      <c r="I15" s="505">
        <f t="shared" si="0"/>
        <v>0</v>
      </c>
      <c r="J15" s="505">
        <f t="shared" si="0"/>
        <v>0</v>
      </c>
      <c r="K15" s="505">
        <f t="shared" si="0"/>
        <v>0</v>
      </c>
      <c r="L15" s="505">
        <f t="shared" si="0"/>
        <v>0</v>
      </c>
      <c r="M15" s="505">
        <f t="shared" si="0"/>
        <v>0</v>
      </c>
      <c r="N15" s="505">
        <f t="shared" si="0"/>
        <v>0</v>
      </c>
      <c r="O15" s="506">
        <f t="shared" si="1"/>
        <v>0</v>
      </c>
    </row>
    <row r="16" spans="1:15" ht="15" hidden="1" x14ac:dyDescent="0.2">
      <c r="A16" s="500"/>
      <c r="B16" s="501" t="s">
        <v>125</v>
      </c>
      <c r="C16" s="505">
        <v>0</v>
      </c>
      <c r="D16" s="505">
        <f t="shared" si="0"/>
        <v>0</v>
      </c>
      <c r="E16" s="505">
        <f t="shared" si="0"/>
        <v>0</v>
      </c>
      <c r="F16" s="505">
        <f t="shared" si="0"/>
        <v>0</v>
      </c>
      <c r="G16" s="505">
        <f t="shared" si="0"/>
        <v>0</v>
      </c>
      <c r="H16" s="505">
        <v>0</v>
      </c>
      <c r="I16" s="505">
        <f t="shared" si="0"/>
        <v>0</v>
      </c>
      <c r="J16" s="505">
        <f t="shared" si="0"/>
        <v>0</v>
      </c>
      <c r="K16" s="505">
        <f t="shared" si="0"/>
        <v>0</v>
      </c>
      <c r="L16" s="505">
        <f t="shared" si="0"/>
        <v>0</v>
      </c>
      <c r="M16" s="505">
        <f t="shared" si="0"/>
        <v>0</v>
      </c>
      <c r="N16" s="505">
        <f t="shared" si="0"/>
        <v>0</v>
      </c>
      <c r="O16" s="506">
        <f t="shared" si="1"/>
        <v>0</v>
      </c>
    </row>
    <row r="17" spans="1:16" ht="15" hidden="1" x14ac:dyDescent="0.2">
      <c r="A17" s="500"/>
      <c r="B17" s="501" t="s">
        <v>126</v>
      </c>
      <c r="C17" s="505">
        <v>0</v>
      </c>
      <c r="D17" s="505">
        <f t="shared" si="0"/>
        <v>0</v>
      </c>
      <c r="E17" s="505">
        <f t="shared" si="0"/>
        <v>0</v>
      </c>
      <c r="F17" s="505">
        <f t="shared" si="0"/>
        <v>0</v>
      </c>
      <c r="G17" s="505">
        <f t="shared" si="0"/>
        <v>0</v>
      </c>
      <c r="H17" s="505">
        <v>0</v>
      </c>
      <c r="I17" s="505">
        <f t="shared" si="0"/>
        <v>0</v>
      </c>
      <c r="J17" s="505">
        <f t="shared" si="0"/>
        <v>0</v>
      </c>
      <c r="K17" s="505">
        <f t="shared" si="0"/>
        <v>0</v>
      </c>
      <c r="L17" s="505">
        <f t="shared" si="0"/>
        <v>0</v>
      </c>
      <c r="M17" s="505">
        <f t="shared" si="0"/>
        <v>0</v>
      </c>
      <c r="N17" s="505">
        <f t="shared" si="0"/>
        <v>0</v>
      </c>
      <c r="O17" s="506">
        <f t="shared" si="1"/>
        <v>0</v>
      </c>
    </row>
    <row r="18" spans="1:16" ht="15" x14ac:dyDescent="0.2">
      <c r="A18" s="500"/>
      <c r="B18" s="501" t="s">
        <v>127</v>
      </c>
      <c r="C18" s="505">
        <v>0</v>
      </c>
      <c r="D18" s="505">
        <f t="shared" si="0"/>
        <v>0</v>
      </c>
      <c r="E18" s="505">
        <f t="shared" si="0"/>
        <v>0</v>
      </c>
      <c r="F18" s="505">
        <f t="shared" si="0"/>
        <v>0</v>
      </c>
      <c r="G18" s="505">
        <f t="shared" si="0"/>
        <v>0</v>
      </c>
      <c r="H18" s="505">
        <v>0</v>
      </c>
      <c r="I18" s="505">
        <f t="shared" si="0"/>
        <v>0</v>
      </c>
      <c r="J18" s="505">
        <f t="shared" si="0"/>
        <v>0</v>
      </c>
      <c r="K18" s="505">
        <f t="shared" si="0"/>
        <v>0</v>
      </c>
      <c r="L18" s="505">
        <f t="shared" si="0"/>
        <v>0</v>
      </c>
      <c r="M18" s="505">
        <f t="shared" si="0"/>
        <v>0</v>
      </c>
      <c r="N18" s="505">
        <f t="shared" si="0"/>
        <v>0</v>
      </c>
      <c r="O18" s="506">
        <f t="shared" si="1"/>
        <v>0</v>
      </c>
    </row>
    <row r="19" spans="1:16" ht="15" x14ac:dyDescent="0.2">
      <c r="A19" s="500"/>
      <c r="B19" s="501" t="s">
        <v>128</v>
      </c>
      <c r="C19" s="505">
        <v>12120</v>
      </c>
      <c r="D19" s="505">
        <f t="shared" si="0"/>
        <v>12120</v>
      </c>
      <c r="E19" s="505">
        <f t="shared" si="0"/>
        <v>12120</v>
      </c>
      <c r="F19" s="505">
        <f t="shared" si="0"/>
        <v>12120</v>
      </c>
      <c r="G19" s="505">
        <v>12480</v>
      </c>
      <c r="H19" s="505">
        <v>12480</v>
      </c>
      <c r="I19" s="505">
        <v>12480</v>
      </c>
      <c r="J19" s="505">
        <v>12480</v>
      </c>
      <c r="K19" s="505">
        <v>12480</v>
      </c>
      <c r="L19" s="505">
        <v>12480</v>
      </c>
      <c r="M19" s="505">
        <v>12480</v>
      </c>
      <c r="N19" s="505">
        <v>12480</v>
      </c>
      <c r="O19" s="506">
        <f t="shared" si="1"/>
        <v>148320</v>
      </c>
    </row>
    <row r="20" spans="1:16" ht="15" customHeight="1" x14ac:dyDescent="0.2">
      <c r="A20" s="500"/>
      <c r="B20" s="501" t="s">
        <v>129</v>
      </c>
      <c r="C20" s="505">
        <v>0</v>
      </c>
      <c r="D20" s="505">
        <f t="shared" si="0"/>
        <v>0</v>
      </c>
      <c r="E20" s="505">
        <f t="shared" si="0"/>
        <v>0</v>
      </c>
      <c r="F20" s="505">
        <f t="shared" si="0"/>
        <v>0</v>
      </c>
      <c r="G20" s="505">
        <f t="shared" si="0"/>
        <v>0</v>
      </c>
      <c r="H20" s="505">
        <v>0</v>
      </c>
      <c r="I20" s="505">
        <f t="shared" si="0"/>
        <v>0</v>
      </c>
      <c r="J20" s="505">
        <f t="shared" si="0"/>
        <v>0</v>
      </c>
      <c r="K20" s="505">
        <f t="shared" si="0"/>
        <v>0</v>
      </c>
      <c r="L20" s="505">
        <f t="shared" si="0"/>
        <v>0</v>
      </c>
      <c r="M20" s="505">
        <f t="shared" si="0"/>
        <v>0</v>
      </c>
      <c r="N20" s="505">
        <f t="shared" si="0"/>
        <v>0</v>
      </c>
      <c r="O20" s="506">
        <f t="shared" si="1"/>
        <v>0</v>
      </c>
    </row>
    <row r="21" spans="1:16" ht="15" hidden="1" customHeight="1" x14ac:dyDescent="0.2">
      <c r="A21" s="1033" t="s">
        <v>130</v>
      </c>
      <c r="B21" s="507" t="s">
        <v>131</v>
      </c>
      <c r="C21" s="505">
        <v>0</v>
      </c>
      <c r="D21" s="505">
        <f t="shared" si="0"/>
        <v>0</v>
      </c>
      <c r="E21" s="505">
        <f t="shared" si="0"/>
        <v>0</v>
      </c>
      <c r="F21" s="505">
        <f t="shared" si="0"/>
        <v>0</v>
      </c>
      <c r="G21" s="505">
        <f t="shared" si="0"/>
        <v>0</v>
      </c>
      <c r="H21" s="505">
        <v>0</v>
      </c>
      <c r="I21" s="505">
        <f t="shared" si="0"/>
        <v>0</v>
      </c>
      <c r="J21" s="505">
        <f t="shared" si="0"/>
        <v>0</v>
      </c>
      <c r="K21" s="505">
        <f t="shared" si="0"/>
        <v>0</v>
      </c>
      <c r="L21" s="505">
        <f t="shared" si="0"/>
        <v>0</v>
      </c>
      <c r="M21" s="505">
        <f t="shared" si="0"/>
        <v>0</v>
      </c>
      <c r="N21" s="505">
        <f t="shared" si="0"/>
        <v>0</v>
      </c>
      <c r="O21" s="506">
        <f t="shared" si="1"/>
        <v>0</v>
      </c>
    </row>
    <row r="22" spans="1:16" ht="15" customHeight="1" x14ac:dyDescent="0.2">
      <c r="A22" s="1034"/>
      <c r="B22" s="507" t="s">
        <v>132</v>
      </c>
      <c r="C22" s="505">
        <v>0</v>
      </c>
      <c r="D22" s="505">
        <f t="shared" si="0"/>
        <v>0</v>
      </c>
      <c r="E22" s="505">
        <f t="shared" si="0"/>
        <v>0</v>
      </c>
      <c r="F22" s="505">
        <f t="shared" si="0"/>
        <v>0</v>
      </c>
      <c r="G22" s="505">
        <f t="shared" si="0"/>
        <v>0</v>
      </c>
      <c r="H22" s="505">
        <v>0</v>
      </c>
      <c r="I22" s="505">
        <f t="shared" si="0"/>
        <v>0</v>
      </c>
      <c r="J22" s="505">
        <v>6908</v>
      </c>
      <c r="K22" s="505">
        <v>0</v>
      </c>
      <c r="L22" s="505">
        <f t="shared" si="0"/>
        <v>0</v>
      </c>
      <c r="M22" s="505">
        <f t="shared" si="0"/>
        <v>0</v>
      </c>
      <c r="N22" s="505">
        <f t="shared" si="0"/>
        <v>0</v>
      </c>
      <c r="O22" s="506">
        <f t="shared" si="1"/>
        <v>6908</v>
      </c>
    </row>
    <row r="23" spans="1:16" ht="15" hidden="1" customHeight="1" x14ac:dyDescent="0.2">
      <c r="A23" s="1034"/>
      <c r="B23" s="507" t="s">
        <v>133</v>
      </c>
      <c r="C23" s="508">
        <v>0</v>
      </c>
      <c r="D23" s="508">
        <v>0</v>
      </c>
      <c r="E23" s="508">
        <v>0</v>
      </c>
      <c r="F23" s="508">
        <v>0</v>
      </c>
      <c r="G23" s="508">
        <v>0</v>
      </c>
      <c r="H23" s="508">
        <v>0</v>
      </c>
      <c r="I23" s="508">
        <v>0</v>
      </c>
      <c r="J23" s="508">
        <v>0</v>
      </c>
      <c r="K23" s="508">
        <v>0</v>
      </c>
      <c r="L23" s="508">
        <v>0</v>
      </c>
      <c r="M23" s="508">
        <v>0</v>
      </c>
      <c r="N23" s="508">
        <v>0</v>
      </c>
      <c r="O23" s="506">
        <f t="shared" si="1"/>
        <v>0</v>
      </c>
    </row>
    <row r="24" spans="1:16" ht="15" hidden="1" customHeight="1" x14ac:dyDescent="0.2">
      <c r="A24" s="1034"/>
      <c r="B24" s="507" t="s">
        <v>134</v>
      </c>
      <c r="C24" s="508">
        <v>0</v>
      </c>
      <c r="D24" s="508">
        <v>0</v>
      </c>
      <c r="E24" s="508">
        <v>0</v>
      </c>
      <c r="F24" s="508">
        <v>0</v>
      </c>
      <c r="G24" s="508">
        <v>0</v>
      </c>
      <c r="H24" s="508">
        <v>0</v>
      </c>
      <c r="I24" s="508">
        <v>0</v>
      </c>
      <c r="J24" s="508">
        <v>0</v>
      </c>
      <c r="K24" s="508">
        <v>0</v>
      </c>
      <c r="L24" s="508">
        <v>0</v>
      </c>
      <c r="M24" s="508">
        <v>0</v>
      </c>
      <c r="N24" s="508">
        <v>0</v>
      </c>
      <c r="O24" s="506">
        <f t="shared" si="1"/>
        <v>0</v>
      </c>
    </row>
    <row r="25" spans="1:16" ht="15" hidden="1" customHeight="1" x14ac:dyDescent="0.2">
      <c r="A25" s="1034"/>
      <c r="B25" s="507" t="s">
        <v>135</v>
      </c>
      <c r="C25" s="508">
        <v>0</v>
      </c>
      <c r="D25" s="508">
        <v>0</v>
      </c>
      <c r="E25" s="508">
        <v>0</v>
      </c>
      <c r="F25" s="508">
        <v>0</v>
      </c>
      <c r="G25" s="508">
        <v>0</v>
      </c>
      <c r="H25" s="508">
        <v>0</v>
      </c>
      <c r="I25" s="508">
        <v>0</v>
      </c>
      <c r="J25" s="508">
        <v>0</v>
      </c>
      <c r="K25" s="508">
        <v>0</v>
      </c>
      <c r="L25" s="508">
        <v>0</v>
      </c>
      <c r="M25" s="508">
        <v>0</v>
      </c>
      <c r="N25" s="508">
        <v>0</v>
      </c>
      <c r="O25" s="506">
        <f t="shared" si="1"/>
        <v>0</v>
      </c>
    </row>
    <row r="26" spans="1:16" ht="15" hidden="1" customHeight="1" x14ac:dyDescent="0.2">
      <c r="A26" s="1034"/>
      <c r="B26" s="507" t="s">
        <v>136</v>
      </c>
      <c r="C26" s="508">
        <v>0</v>
      </c>
      <c r="D26" s="508">
        <v>0</v>
      </c>
      <c r="E26" s="508">
        <v>0</v>
      </c>
      <c r="F26" s="508">
        <v>0</v>
      </c>
      <c r="G26" s="508">
        <v>0</v>
      </c>
      <c r="H26" s="508">
        <v>0</v>
      </c>
      <c r="I26" s="508">
        <v>0</v>
      </c>
      <c r="J26" s="508">
        <v>0</v>
      </c>
      <c r="K26" s="508">
        <v>0</v>
      </c>
      <c r="L26" s="508">
        <v>0</v>
      </c>
      <c r="M26" s="508">
        <v>0</v>
      </c>
      <c r="N26" s="508">
        <v>0</v>
      </c>
      <c r="O26" s="506">
        <f t="shared" si="1"/>
        <v>0</v>
      </c>
    </row>
    <row r="27" spans="1:16" ht="15" hidden="1" customHeight="1" x14ac:dyDescent="0.2">
      <c r="A27" s="1034"/>
      <c r="B27" s="507" t="s">
        <v>137</v>
      </c>
      <c r="C27" s="508">
        <v>0</v>
      </c>
      <c r="D27" s="508">
        <v>0</v>
      </c>
      <c r="E27" s="508">
        <v>0</v>
      </c>
      <c r="F27" s="508">
        <v>0</v>
      </c>
      <c r="G27" s="508">
        <v>0</v>
      </c>
      <c r="H27" s="508">
        <v>0</v>
      </c>
      <c r="I27" s="508">
        <v>0</v>
      </c>
      <c r="J27" s="508">
        <v>0</v>
      </c>
      <c r="K27" s="508">
        <v>0</v>
      </c>
      <c r="L27" s="508">
        <v>0</v>
      </c>
      <c r="M27" s="508">
        <v>0</v>
      </c>
      <c r="N27" s="508">
        <v>0</v>
      </c>
      <c r="O27" s="506">
        <f t="shared" si="1"/>
        <v>0</v>
      </c>
    </row>
    <row r="28" spans="1:16" ht="15" hidden="1" customHeight="1" x14ac:dyDescent="0.2">
      <c r="A28" s="1034"/>
      <c r="B28" s="507" t="s">
        <v>138</v>
      </c>
      <c r="C28" s="508">
        <v>0</v>
      </c>
      <c r="D28" s="508">
        <v>0</v>
      </c>
      <c r="E28" s="508">
        <v>0</v>
      </c>
      <c r="F28" s="508">
        <v>0</v>
      </c>
      <c r="G28" s="508">
        <v>0</v>
      </c>
      <c r="H28" s="508">
        <v>0</v>
      </c>
      <c r="I28" s="508">
        <v>0</v>
      </c>
      <c r="J28" s="508">
        <v>0</v>
      </c>
      <c r="K28" s="508">
        <v>0</v>
      </c>
      <c r="L28" s="508">
        <v>0</v>
      </c>
      <c r="M28" s="508">
        <v>0</v>
      </c>
      <c r="N28" s="508">
        <v>0</v>
      </c>
      <c r="O28" s="506">
        <f t="shared" si="1"/>
        <v>0</v>
      </c>
    </row>
    <row r="29" spans="1:16" ht="15" hidden="1" customHeight="1" x14ac:dyDescent="0.2">
      <c r="A29" s="1034"/>
      <c r="B29" s="507" t="s">
        <v>139</v>
      </c>
      <c r="C29" s="508">
        <v>0</v>
      </c>
      <c r="D29" s="508">
        <v>0</v>
      </c>
      <c r="E29" s="508">
        <v>0</v>
      </c>
      <c r="F29" s="508">
        <v>0</v>
      </c>
      <c r="G29" s="508">
        <v>0</v>
      </c>
      <c r="H29" s="508">
        <v>0</v>
      </c>
      <c r="I29" s="508">
        <v>0</v>
      </c>
      <c r="J29" s="508">
        <v>0</v>
      </c>
      <c r="K29" s="508">
        <v>0</v>
      </c>
      <c r="L29" s="508">
        <v>0</v>
      </c>
      <c r="M29" s="508">
        <v>0</v>
      </c>
      <c r="N29" s="508">
        <v>0</v>
      </c>
      <c r="O29" s="506">
        <f t="shared" si="1"/>
        <v>0</v>
      </c>
    </row>
    <row r="30" spans="1:16" ht="15" hidden="1" customHeight="1" x14ac:dyDescent="0.2">
      <c r="A30" s="1034"/>
      <c r="B30" s="507" t="s">
        <v>140</v>
      </c>
      <c r="C30" s="508">
        <v>0</v>
      </c>
      <c r="D30" s="508">
        <v>0</v>
      </c>
      <c r="E30" s="508">
        <v>0</v>
      </c>
      <c r="F30" s="508">
        <v>0</v>
      </c>
      <c r="G30" s="508">
        <v>0</v>
      </c>
      <c r="H30" s="508">
        <v>0</v>
      </c>
      <c r="I30" s="508">
        <v>0</v>
      </c>
      <c r="J30" s="508">
        <v>0</v>
      </c>
      <c r="K30" s="508">
        <v>0</v>
      </c>
      <c r="L30" s="508">
        <v>0</v>
      </c>
      <c r="M30" s="508">
        <v>0</v>
      </c>
      <c r="N30" s="508">
        <v>0</v>
      </c>
      <c r="O30" s="506">
        <f t="shared" si="1"/>
        <v>0</v>
      </c>
    </row>
    <row r="31" spans="1:16" ht="15" customHeight="1" x14ac:dyDescent="0.2">
      <c r="A31" s="1034"/>
      <c r="B31" s="507" t="s">
        <v>1170</v>
      </c>
      <c r="C31" s="509">
        <v>0</v>
      </c>
      <c r="D31" s="509">
        <v>0</v>
      </c>
      <c r="E31" s="509">
        <v>0</v>
      </c>
      <c r="F31" s="509">
        <v>0</v>
      </c>
      <c r="G31" s="509">
        <v>0</v>
      </c>
      <c r="H31" s="509">
        <v>0</v>
      </c>
      <c r="I31" s="509">
        <v>0</v>
      </c>
      <c r="J31" s="509">
        <v>0</v>
      </c>
      <c r="K31" s="509">
        <v>0</v>
      </c>
      <c r="L31" s="509">
        <v>0</v>
      </c>
      <c r="M31" s="509">
        <v>0</v>
      </c>
      <c r="N31" s="509">
        <v>0</v>
      </c>
      <c r="O31" s="510">
        <f t="shared" si="1"/>
        <v>0</v>
      </c>
      <c r="P31" s="490"/>
    </row>
    <row r="32" spans="1:16" ht="15" customHeight="1" x14ac:dyDescent="0.2">
      <c r="A32" s="1034"/>
      <c r="B32" s="511" t="s">
        <v>142</v>
      </c>
      <c r="C32" s="512">
        <v>0</v>
      </c>
      <c r="D32" s="512">
        <v>688026</v>
      </c>
      <c r="E32" s="512">
        <v>0</v>
      </c>
      <c r="F32" s="512">
        <v>0</v>
      </c>
      <c r="G32" s="512">
        <v>0</v>
      </c>
      <c r="H32" s="512">
        <v>0</v>
      </c>
      <c r="I32" s="512">
        <v>0</v>
      </c>
      <c r="J32" s="512">
        <v>0</v>
      </c>
      <c r="K32" s="512">
        <v>0</v>
      </c>
      <c r="L32" s="512">
        <v>0</v>
      </c>
      <c r="M32" s="512">
        <v>0</v>
      </c>
      <c r="N32" s="512">
        <v>0</v>
      </c>
      <c r="O32" s="506">
        <f t="shared" si="1"/>
        <v>688026</v>
      </c>
    </row>
    <row r="33" spans="1:17" ht="15" hidden="1" customHeight="1" x14ac:dyDescent="0.2">
      <c r="A33" s="1035"/>
      <c r="B33" s="507" t="s">
        <v>226</v>
      </c>
      <c r="C33" s="512">
        <v>0</v>
      </c>
      <c r="D33" s="512">
        <v>0</v>
      </c>
      <c r="E33" s="512">
        <v>0</v>
      </c>
      <c r="F33" s="512">
        <v>0</v>
      </c>
      <c r="G33" s="512">
        <v>0</v>
      </c>
      <c r="H33" s="512">
        <v>0</v>
      </c>
      <c r="I33" s="512">
        <v>0</v>
      </c>
      <c r="J33" s="512">
        <v>0</v>
      </c>
      <c r="K33" s="512">
        <v>0</v>
      </c>
      <c r="L33" s="512">
        <v>0</v>
      </c>
      <c r="M33" s="512">
        <v>0</v>
      </c>
      <c r="N33" s="512">
        <v>0</v>
      </c>
      <c r="O33" s="506">
        <f t="shared" si="1"/>
        <v>0</v>
      </c>
    </row>
    <row r="34" spans="1:17" ht="15" customHeight="1" x14ac:dyDescent="0.2">
      <c r="A34" s="1036" t="s">
        <v>143</v>
      </c>
      <c r="B34" s="1037"/>
      <c r="C34" s="512">
        <v>0</v>
      </c>
      <c r="D34" s="512">
        <v>0</v>
      </c>
      <c r="E34" s="512">
        <v>0</v>
      </c>
      <c r="F34" s="512">
        <v>0</v>
      </c>
      <c r="G34" s="512">
        <v>0</v>
      </c>
      <c r="H34" s="512">
        <v>0</v>
      </c>
      <c r="I34" s="512">
        <v>0</v>
      </c>
      <c r="J34" s="512">
        <v>0</v>
      </c>
      <c r="K34" s="512">
        <v>0</v>
      </c>
      <c r="L34" s="512">
        <v>0</v>
      </c>
      <c r="M34" s="512">
        <v>0</v>
      </c>
      <c r="N34" s="512">
        <v>0</v>
      </c>
      <c r="O34" s="506">
        <f t="shared" si="1"/>
        <v>0</v>
      </c>
    </row>
    <row r="35" spans="1:17" ht="15" customHeight="1" x14ac:dyDescent="0.2">
      <c r="A35" s="1036" t="s">
        <v>145</v>
      </c>
      <c r="B35" s="1037"/>
      <c r="C35" s="512">
        <v>0</v>
      </c>
      <c r="D35" s="512">
        <v>216</v>
      </c>
      <c r="E35" s="512">
        <v>0</v>
      </c>
      <c r="F35" s="512">
        <v>0</v>
      </c>
      <c r="G35" s="512">
        <v>0</v>
      </c>
      <c r="H35" s="512">
        <v>0</v>
      </c>
      <c r="I35" s="512">
        <v>0</v>
      </c>
      <c r="J35" s="512">
        <v>216</v>
      </c>
      <c r="K35" s="512">
        <v>0</v>
      </c>
      <c r="L35" s="512">
        <v>0</v>
      </c>
      <c r="M35" s="512">
        <v>0</v>
      </c>
      <c r="N35" s="512">
        <v>0</v>
      </c>
      <c r="O35" s="506">
        <f t="shared" si="1"/>
        <v>432</v>
      </c>
    </row>
    <row r="36" spans="1:17" ht="15" customHeight="1" x14ac:dyDescent="0.2">
      <c r="A36" s="1036" t="s">
        <v>146</v>
      </c>
      <c r="B36" s="1037"/>
      <c r="C36" s="512">
        <v>0</v>
      </c>
      <c r="D36" s="512">
        <v>3030</v>
      </c>
      <c r="E36" s="512">
        <v>0</v>
      </c>
      <c r="F36" s="512">
        <v>0</v>
      </c>
      <c r="G36" s="512">
        <v>0</v>
      </c>
      <c r="H36" s="512">
        <v>0</v>
      </c>
      <c r="I36" s="512">
        <v>0</v>
      </c>
      <c r="J36" s="512">
        <v>3120</v>
      </c>
      <c r="K36" s="512">
        <v>0</v>
      </c>
      <c r="L36" s="512">
        <v>0</v>
      </c>
      <c r="M36" s="512">
        <v>0</v>
      </c>
      <c r="N36" s="512">
        <v>0</v>
      </c>
      <c r="O36" s="506">
        <f t="shared" si="1"/>
        <v>6150</v>
      </c>
    </row>
    <row r="37" spans="1:17" ht="15" customHeight="1" x14ac:dyDescent="0.2">
      <c r="A37" s="513"/>
      <c r="B37" s="514" t="s">
        <v>147</v>
      </c>
      <c r="C37" s="515">
        <f t="shared" ref="C37:N37" si="2">SUM(C9:C36)</f>
        <v>68925</v>
      </c>
      <c r="D37" s="515">
        <f>SUM(D9:D36)</f>
        <v>761279</v>
      </c>
      <c r="E37" s="515">
        <f t="shared" si="2"/>
        <v>70007</v>
      </c>
      <c r="F37" s="515">
        <f t="shared" si="2"/>
        <v>70007</v>
      </c>
      <c r="G37" s="515">
        <f t="shared" si="2"/>
        <v>71972</v>
      </c>
      <c r="H37" s="515">
        <f t="shared" si="2"/>
        <v>71972</v>
      </c>
      <c r="I37" s="515">
        <f t="shared" si="2"/>
        <v>71972</v>
      </c>
      <c r="J37" s="515">
        <f t="shared" si="2"/>
        <v>82288</v>
      </c>
      <c r="K37" s="515">
        <f t="shared" si="2"/>
        <v>72044</v>
      </c>
      <c r="L37" s="515">
        <f t="shared" si="2"/>
        <v>72044</v>
      </c>
      <c r="M37" s="515">
        <f t="shared" si="2"/>
        <v>72044</v>
      </c>
      <c r="N37" s="515">
        <f t="shared" si="2"/>
        <v>72044</v>
      </c>
      <c r="O37" s="516">
        <f>SUM(C37:N37)</f>
        <v>1556598</v>
      </c>
    </row>
    <row r="38" spans="1:17" ht="15" customHeight="1" x14ac:dyDescent="0.2">
      <c r="A38" s="995" t="s">
        <v>148</v>
      </c>
      <c r="B38" s="517" t="s">
        <v>149</v>
      </c>
      <c r="C38" s="512">
        <v>8500</v>
      </c>
      <c r="D38" s="512">
        <v>77803</v>
      </c>
      <c r="E38" s="512">
        <v>8000</v>
      </c>
      <c r="F38" s="512">
        <v>8000</v>
      </c>
      <c r="G38" s="512">
        <v>8000</v>
      </c>
      <c r="H38" s="512">
        <v>8000</v>
      </c>
      <c r="I38" s="512">
        <v>8000</v>
      </c>
      <c r="J38" s="512">
        <v>8000</v>
      </c>
      <c r="K38" s="512">
        <v>15000</v>
      </c>
      <c r="L38" s="512">
        <v>15328</v>
      </c>
      <c r="M38" s="512">
        <v>51730</v>
      </c>
      <c r="N38" s="512">
        <v>0</v>
      </c>
      <c r="O38" s="506">
        <f>SUM(C38:N38)</f>
        <v>216361</v>
      </c>
      <c r="P38" s="518"/>
    </row>
    <row r="39" spans="1:17" ht="15" x14ac:dyDescent="0.2">
      <c r="A39" s="996"/>
      <c r="B39" s="517" t="s">
        <v>150</v>
      </c>
      <c r="C39" s="512">
        <v>0</v>
      </c>
      <c r="D39" s="512">
        <v>0</v>
      </c>
      <c r="E39" s="512">
        <v>0</v>
      </c>
      <c r="F39" s="512">
        <v>0</v>
      </c>
      <c r="G39" s="512">
        <v>0</v>
      </c>
      <c r="H39" s="512">
        <v>0</v>
      </c>
      <c r="I39" s="512">
        <v>0</v>
      </c>
      <c r="J39" s="512">
        <v>0</v>
      </c>
      <c r="K39" s="512">
        <v>0</v>
      </c>
      <c r="L39" s="512">
        <v>0</v>
      </c>
      <c r="M39" s="512">
        <v>0</v>
      </c>
      <c r="N39" s="512">
        <v>0</v>
      </c>
      <c r="O39" s="506">
        <f>SUM(C39:N39)</f>
        <v>0</v>
      </c>
      <c r="Q39" s="504">
        <f>+Q37+Q38</f>
        <v>0</v>
      </c>
    </row>
    <row r="40" spans="1:17" ht="15" x14ac:dyDescent="0.2">
      <c r="A40" s="996"/>
      <c r="B40" s="517" t="s">
        <v>151</v>
      </c>
      <c r="C40" s="512">
        <v>30</v>
      </c>
      <c r="D40" s="512">
        <v>30</v>
      </c>
      <c r="E40" s="512">
        <v>30</v>
      </c>
      <c r="F40" s="512">
        <v>30</v>
      </c>
      <c r="G40" s="512">
        <v>30</v>
      </c>
      <c r="H40" s="512">
        <v>30</v>
      </c>
      <c r="I40" s="512">
        <v>30</v>
      </c>
      <c r="J40" s="512">
        <v>30</v>
      </c>
      <c r="K40" s="512">
        <v>30</v>
      </c>
      <c r="L40" s="512">
        <v>30</v>
      </c>
      <c r="M40" s="512">
        <v>30</v>
      </c>
      <c r="N40" s="512">
        <v>30</v>
      </c>
      <c r="O40" s="506">
        <f t="shared" ref="O40:O50" si="3">SUM(C40:N40)</f>
        <v>360</v>
      </c>
    </row>
    <row r="41" spans="1:17" ht="15" x14ac:dyDescent="0.2">
      <c r="A41" s="996"/>
      <c r="B41" s="517" t="s">
        <v>152</v>
      </c>
      <c r="C41" s="512">
        <v>0</v>
      </c>
      <c r="D41" s="512">
        <v>0</v>
      </c>
      <c r="E41" s="512">
        <v>0</v>
      </c>
      <c r="F41" s="512">
        <v>0</v>
      </c>
      <c r="G41" s="512">
        <v>0</v>
      </c>
      <c r="H41" s="512">
        <v>0</v>
      </c>
      <c r="I41" s="512">
        <v>0</v>
      </c>
      <c r="J41" s="512">
        <v>0</v>
      </c>
      <c r="K41" s="512">
        <v>0</v>
      </c>
      <c r="L41" s="512">
        <v>0</v>
      </c>
      <c r="M41" s="512">
        <v>0</v>
      </c>
      <c r="N41" s="512">
        <v>0</v>
      </c>
      <c r="O41" s="506">
        <f t="shared" si="3"/>
        <v>0</v>
      </c>
    </row>
    <row r="42" spans="1:17" ht="15" x14ac:dyDescent="0.2">
      <c r="A42" s="996"/>
      <c r="B42" s="517" t="s">
        <v>153</v>
      </c>
      <c r="C42" s="512">
        <v>250</v>
      </c>
      <c r="D42" s="512">
        <v>250</v>
      </c>
      <c r="E42" s="512">
        <v>250</v>
      </c>
      <c r="F42" s="512">
        <v>250</v>
      </c>
      <c r="G42" s="512">
        <v>450</v>
      </c>
      <c r="H42" s="512">
        <v>450</v>
      </c>
      <c r="I42" s="512">
        <v>450</v>
      </c>
      <c r="J42" s="512">
        <v>450</v>
      </c>
      <c r="K42" s="512">
        <v>450</v>
      </c>
      <c r="L42" s="512">
        <v>450</v>
      </c>
      <c r="M42" s="512">
        <v>450</v>
      </c>
      <c r="N42" s="512">
        <v>450</v>
      </c>
      <c r="O42" s="506">
        <f t="shared" si="3"/>
        <v>4600</v>
      </c>
    </row>
    <row r="43" spans="1:17" ht="15" x14ac:dyDescent="0.2">
      <c r="A43" s="996"/>
      <c r="B43" s="517" t="s">
        <v>154</v>
      </c>
      <c r="C43" s="512">
        <v>10000</v>
      </c>
      <c r="D43" s="512">
        <v>10000</v>
      </c>
      <c r="E43" s="512">
        <v>10000</v>
      </c>
      <c r="F43" s="512">
        <v>10000</v>
      </c>
      <c r="G43" s="512">
        <v>10000</v>
      </c>
      <c r="H43" s="512">
        <v>10000</v>
      </c>
      <c r="I43" s="512">
        <v>10000</v>
      </c>
      <c r="J43" s="512">
        <v>10000</v>
      </c>
      <c r="K43" s="512">
        <v>10000</v>
      </c>
      <c r="L43" s="512">
        <v>10000</v>
      </c>
      <c r="M43" s="512">
        <v>10000</v>
      </c>
      <c r="N43" s="512">
        <v>10000</v>
      </c>
      <c r="O43" s="506">
        <f>SUM(C43:N43)</f>
        <v>120000</v>
      </c>
      <c r="P43" s="519"/>
    </row>
    <row r="44" spans="1:17" ht="15" x14ac:dyDescent="0.2">
      <c r="A44" s="996"/>
      <c r="B44" s="517" t="s">
        <v>155</v>
      </c>
      <c r="C44" s="512">
        <v>200</v>
      </c>
      <c r="D44" s="512">
        <v>200</v>
      </c>
      <c r="E44" s="512">
        <v>200</v>
      </c>
      <c r="F44" s="512">
        <v>200</v>
      </c>
      <c r="G44" s="512">
        <v>200</v>
      </c>
      <c r="H44" s="512">
        <v>200</v>
      </c>
      <c r="I44" s="512">
        <v>200</v>
      </c>
      <c r="J44" s="512">
        <v>200</v>
      </c>
      <c r="K44" s="512">
        <v>200</v>
      </c>
      <c r="L44" s="512">
        <v>200</v>
      </c>
      <c r="M44" s="512">
        <v>200</v>
      </c>
      <c r="N44" s="512">
        <v>300</v>
      </c>
      <c r="O44" s="506">
        <f t="shared" si="3"/>
        <v>2500</v>
      </c>
    </row>
    <row r="45" spans="1:17" ht="15" x14ac:dyDescent="0.2">
      <c r="A45" s="996"/>
      <c r="B45" s="517" t="s">
        <v>156</v>
      </c>
      <c r="C45" s="512">
        <v>0</v>
      </c>
      <c r="D45" s="512">
        <v>0</v>
      </c>
      <c r="E45" s="512">
        <v>0</v>
      </c>
      <c r="F45" s="512">
        <v>0</v>
      </c>
      <c r="G45" s="512">
        <v>0</v>
      </c>
      <c r="H45" s="512">
        <v>0</v>
      </c>
      <c r="I45" s="512">
        <v>0</v>
      </c>
      <c r="J45" s="512">
        <v>0</v>
      </c>
      <c r="K45" s="512">
        <v>0</v>
      </c>
      <c r="L45" s="512">
        <v>0</v>
      </c>
      <c r="M45" s="512">
        <v>0</v>
      </c>
      <c r="N45" s="512">
        <v>0</v>
      </c>
      <c r="O45" s="506">
        <f t="shared" si="3"/>
        <v>0</v>
      </c>
    </row>
    <row r="46" spans="1:17" ht="15" x14ac:dyDescent="0.2">
      <c r="A46" s="996"/>
      <c r="B46" s="517" t="s">
        <v>157</v>
      </c>
      <c r="C46" s="512">
        <v>0</v>
      </c>
      <c r="D46" s="512">
        <v>0</v>
      </c>
      <c r="E46" s="512">
        <v>0</v>
      </c>
      <c r="F46" s="512">
        <v>0</v>
      </c>
      <c r="G46" s="512">
        <v>0</v>
      </c>
      <c r="H46" s="512">
        <v>0</v>
      </c>
      <c r="I46" s="512">
        <v>0</v>
      </c>
      <c r="J46" s="512">
        <v>0</v>
      </c>
      <c r="K46" s="512">
        <v>0</v>
      </c>
      <c r="L46" s="512">
        <v>0</v>
      </c>
      <c r="M46" s="512">
        <v>0</v>
      </c>
      <c r="N46" s="512">
        <v>0</v>
      </c>
      <c r="O46" s="506">
        <f t="shared" si="3"/>
        <v>0</v>
      </c>
    </row>
    <row r="47" spans="1:17" ht="28.5" customHeight="1" x14ac:dyDescent="0.2">
      <c r="A47" s="997"/>
      <c r="B47" s="520" t="s">
        <v>158</v>
      </c>
      <c r="C47" s="512">
        <v>0</v>
      </c>
      <c r="D47" s="512">
        <v>0</v>
      </c>
      <c r="E47" s="512">
        <v>0</v>
      </c>
      <c r="F47" s="512">
        <v>0</v>
      </c>
      <c r="G47" s="512">
        <v>0</v>
      </c>
      <c r="H47" s="512">
        <v>0</v>
      </c>
      <c r="I47" s="512">
        <v>0</v>
      </c>
      <c r="J47" s="512">
        <v>0</v>
      </c>
      <c r="K47" s="512">
        <v>0</v>
      </c>
      <c r="L47" s="512">
        <v>0</v>
      </c>
      <c r="M47" s="512">
        <v>0</v>
      </c>
      <c r="N47" s="512">
        <v>0</v>
      </c>
      <c r="O47" s="521">
        <f t="shared" si="3"/>
        <v>0</v>
      </c>
    </row>
    <row r="48" spans="1:17" ht="15" x14ac:dyDescent="0.2">
      <c r="A48" s="998"/>
      <c r="B48" s="522" t="s">
        <v>434</v>
      </c>
      <c r="C48" s="512">
        <v>0</v>
      </c>
      <c r="D48" s="512">
        <v>0</v>
      </c>
      <c r="E48" s="512">
        <v>0</v>
      </c>
      <c r="F48" s="512">
        <v>0</v>
      </c>
      <c r="G48" s="512">
        <v>0</v>
      </c>
      <c r="H48" s="512">
        <v>0</v>
      </c>
      <c r="I48" s="512">
        <v>0</v>
      </c>
      <c r="J48" s="512">
        <v>0</v>
      </c>
      <c r="K48" s="512">
        <v>0</v>
      </c>
      <c r="L48" s="512">
        <v>0</v>
      </c>
      <c r="M48" s="512">
        <v>0</v>
      </c>
      <c r="N48" s="512">
        <v>0</v>
      </c>
      <c r="O48" s="521">
        <f t="shared" si="3"/>
        <v>0</v>
      </c>
    </row>
    <row r="49" spans="1:18" ht="15" x14ac:dyDescent="0.2">
      <c r="A49" s="999" t="s">
        <v>160</v>
      </c>
      <c r="B49" s="1000"/>
      <c r="C49" s="523">
        <f t="shared" ref="C49:N49" si="4">SUM(C38:C48)</f>
        <v>18980</v>
      </c>
      <c r="D49" s="523">
        <f t="shared" si="4"/>
        <v>88283</v>
      </c>
      <c r="E49" s="523">
        <f>SUM(E38:E48)</f>
        <v>18480</v>
      </c>
      <c r="F49" s="523">
        <f t="shared" si="4"/>
        <v>18480</v>
      </c>
      <c r="G49" s="523">
        <f t="shared" si="4"/>
        <v>18680</v>
      </c>
      <c r="H49" s="523">
        <f t="shared" si="4"/>
        <v>18680</v>
      </c>
      <c r="I49" s="523">
        <f t="shared" si="4"/>
        <v>18680</v>
      </c>
      <c r="J49" s="523">
        <f t="shared" si="4"/>
        <v>18680</v>
      </c>
      <c r="K49" s="523">
        <f t="shared" si="4"/>
        <v>25680</v>
      </c>
      <c r="L49" s="523">
        <f t="shared" si="4"/>
        <v>26008</v>
      </c>
      <c r="M49" s="523">
        <f t="shared" si="4"/>
        <v>62410</v>
      </c>
      <c r="N49" s="523">
        <f t="shared" si="4"/>
        <v>10780</v>
      </c>
      <c r="O49" s="524">
        <f t="shared" si="3"/>
        <v>343821</v>
      </c>
    </row>
    <row r="50" spans="1:18" ht="15.75" thickBot="1" x14ac:dyDescent="0.25">
      <c r="A50" s="1001" t="s">
        <v>161</v>
      </c>
      <c r="B50" s="1002"/>
      <c r="C50" s="525">
        <f t="shared" ref="C50:N50" si="5">C37-C49</f>
        <v>49945</v>
      </c>
      <c r="D50" s="525">
        <f>D37-D49</f>
        <v>672996</v>
      </c>
      <c r="E50" s="525">
        <f>E37-E49</f>
        <v>51527</v>
      </c>
      <c r="F50" s="525">
        <f t="shared" si="5"/>
        <v>51527</v>
      </c>
      <c r="G50" s="525">
        <f t="shared" si="5"/>
        <v>53292</v>
      </c>
      <c r="H50" s="525">
        <f t="shared" si="5"/>
        <v>53292</v>
      </c>
      <c r="I50" s="525">
        <f t="shared" si="5"/>
        <v>53292</v>
      </c>
      <c r="J50" s="525">
        <f t="shared" si="5"/>
        <v>63608</v>
      </c>
      <c r="K50" s="525">
        <f t="shared" si="5"/>
        <v>46364</v>
      </c>
      <c r="L50" s="525">
        <f t="shared" si="5"/>
        <v>46036</v>
      </c>
      <c r="M50" s="525">
        <f t="shared" si="5"/>
        <v>9634</v>
      </c>
      <c r="N50" s="525">
        <f t="shared" si="5"/>
        <v>61264</v>
      </c>
      <c r="O50" s="526">
        <f t="shared" si="3"/>
        <v>1212777</v>
      </c>
    </row>
    <row r="51" spans="1:18" x14ac:dyDescent="0.2">
      <c r="C51" s="528"/>
      <c r="D51" s="528"/>
      <c r="E51" s="528"/>
      <c r="F51" s="528"/>
      <c r="G51" s="528"/>
      <c r="H51" s="528"/>
      <c r="I51" s="528"/>
      <c r="J51" s="128">
        <f>+J37-SUM(J22:J36)</f>
        <v>72044</v>
      </c>
      <c r="K51" s="528"/>
      <c r="L51" s="528"/>
      <c r="M51" s="528"/>
      <c r="N51" s="528"/>
    </row>
    <row r="52" spans="1:18" ht="13.5" thickBot="1" x14ac:dyDescent="0.25">
      <c r="J52" s="528">
        <f>+J51-J49</f>
        <v>53364</v>
      </c>
      <c r="M52" s="528"/>
      <c r="Q52" s="504">
        <f>+Q50+Q51</f>
        <v>0</v>
      </c>
    </row>
    <row r="53" spans="1:18" ht="13.5" thickBot="1" x14ac:dyDescent="0.25">
      <c r="B53" s="955" t="s">
        <v>162</v>
      </c>
      <c r="C53" s="1003"/>
      <c r="D53" s="1003"/>
      <c r="E53" s="1003"/>
      <c r="F53" s="1004"/>
      <c r="G53" s="1005">
        <f>O37</f>
        <v>1556598</v>
      </c>
      <c r="H53" s="1006"/>
      <c r="M53" s="528"/>
      <c r="Q53" s="528"/>
    </row>
    <row r="54" spans="1:18" ht="13.5" thickBot="1" x14ac:dyDescent="0.25"/>
    <row r="55" spans="1:18" x14ac:dyDescent="0.2">
      <c r="B55" s="1007" t="s">
        <v>163</v>
      </c>
      <c r="C55" s="1010" t="s">
        <v>164</v>
      </c>
      <c r="D55" s="1013" t="s">
        <v>229</v>
      </c>
      <c r="E55" s="1014"/>
      <c r="F55" s="1015"/>
      <c r="G55" s="1016">
        <v>40000</v>
      </c>
      <c r="H55" s="1017"/>
    </row>
    <row r="56" spans="1:18" x14ac:dyDescent="0.2">
      <c r="B56" s="1008"/>
      <c r="C56" s="1011"/>
      <c r="D56" s="1018" t="s">
        <v>166</v>
      </c>
      <c r="E56" s="1019"/>
      <c r="F56" s="1020"/>
      <c r="G56" s="1021">
        <f>+O44</f>
        <v>2500</v>
      </c>
      <c r="H56" s="1022"/>
      <c r="I56" s="529"/>
      <c r="J56" s="656"/>
      <c r="K56" s="656"/>
      <c r="L56" s="656"/>
      <c r="M56" s="656"/>
      <c r="N56" s="656"/>
      <c r="O56" s="656"/>
    </row>
    <row r="57" spans="1:18" ht="13.5" thickBot="1" x14ac:dyDescent="0.25">
      <c r="B57" s="1009"/>
      <c r="C57" s="1012"/>
      <c r="D57" s="1023" t="s">
        <v>266</v>
      </c>
      <c r="E57" s="1024"/>
      <c r="F57" s="1025"/>
      <c r="G57" s="1026">
        <v>0</v>
      </c>
      <c r="H57" s="1027"/>
      <c r="J57" s="531"/>
      <c r="K57" s="531"/>
      <c r="L57" s="531"/>
      <c r="M57" s="531"/>
      <c r="N57" s="531"/>
      <c r="O57" s="531"/>
    </row>
    <row r="58" spans="1:18" ht="13.5" thickBot="1" x14ac:dyDescent="0.25">
      <c r="B58" s="532"/>
      <c r="J58" s="531"/>
      <c r="K58" s="531"/>
      <c r="L58" s="531"/>
      <c r="M58" s="531"/>
      <c r="N58" s="531"/>
      <c r="O58" s="531"/>
    </row>
    <row r="59" spans="1:18" ht="13.5" thickBot="1" x14ac:dyDescent="0.25">
      <c r="B59" s="955" t="s">
        <v>168</v>
      </c>
      <c r="C59" s="956"/>
      <c r="D59" s="956"/>
      <c r="E59" s="956"/>
      <c r="F59" s="957"/>
      <c r="G59" s="1028">
        <f>+G53-SUM(G55:H57)</f>
        <v>1514098</v>
      </c>
      <c r="H59" s="1029"/>
      <c r="J59" s="992" t="s">
        <v>169</v>
      </c>
      <c r="K59" s="993"/>
      <c r="L59" s="993"/>
      <c r="M59" s="993"/>
      <c r="N59" s="993"/>
      <c r="O59" s="994"/>
    </row>
    <row r="60" spans="1:18" ht="13.5" thickBot="1" x14ac:dyDescent="0.25">
      <c r="B60" s="533"/>
      <c r="C60" s="534"/>
      <c r="D60" s="534"/>
      <c r="E60" s="534"/>
      <c r="F60" s="534"/>
      <c r="G60" s="656"/>
      <c r="H60" s="534"/>
      <c r="J60" s="658"/>
      <c r="K60" s="659"/>
      <c r="L60" s="659"/>
      <c r="M60" s="659"/>
      <c r="N60" s="659"/>
      <c r="O60" s="660"/>
    </row>
    <row r="61" spans="1:18" ht="13.5" thickBot="1" x14ac:dyDescent="0.25">
      <c r="B61" s="955" t="s">
        <v>170</v>
      </c>
      <c r="C61" s="956"/>
      <c r="D61" s="956"/>
      <c r="E61" s="956"/>
      <c r="F61" s="957"/>
      <c r="G61" s="1047"/>
      <c r="H61" s="957"/>
      <c r="J61" s="658"/>
      <c r="K61" s="659"/>
      <c r="L61" s="659"/>
      <c r="M61" s="659"/>
      <c r="N61" s="659"/>
      <c r="O61" s="660"/>
    </row>
    <row r="62" spans="1:18" ht="12.75" customHeight="1" x14ac:dyDescent="0.2">
      <c r="B62" s="538" t="s">
        <v>171</v>
      </c>
      <c r="C62" s="977" t="s">
        <v>172</v>
      </c>
      <c r="D62" s="978"/>
      <c r="E62" s="978"/>
      <c r="F62" s="979"/>
      <c r="G62" s="980">
        <v>102521</v>
      </c>
      <c r="H62" s="980"/>
      <c r="I62" s="539"/>
      <c r="J62" s="981" t="s">
        <v>173</v>
      </c>
      <c r="K62" s="982"/>
      <c r="L62" s="982"/>
      <c r="M62" s="982"/>
      <c r="N62" s="982"/>
      <c r="O62" s="983"/>
      <c r="Q62" s="540"/>
      <c r="R62" s="540"/>
    </row>
    <row r="63" spans="1:18" ht="13.5" thickBot="1" x14ac:dyDescent="0.25">
      <c r="D63" s="527"/>
      <c r="G63" s="504" t="s">
        <v>1123</v>
      </c>
      <c r="I63" s="539"/>
      <c r="J63" s="541" t="s">
        <v>1171</v>
      </c>
      <c r="K63" s="542"/>
      <c r="L63" s="542"/>
      <c r="M63" s="542"/>
      <c r="N63" s="542"/>
      <c r="O63" s="543"/>
      <c r="Q63" s="540"/>
      <c r="R63" s="540"/>
    </row>
    <row r="64" spans="1:18" ht="13.5" thickBot="1" x14ac:dyDescent="0.25">
      <c r="B64" s="955" t="s">
        <v>175</v>
      </c>
      <c r="C64" s="956"/>
      <c r="D64" s="956"/>
      <c r="E64" s="956"/>
      <c r="F64" s="957"/>
      <c r="G64" s="1047">
        <f>+G59-G62</f>
        <v>1411577</v>
      </c>
      <c r="H64" s="957"/>
      <c r="I64" s="544"/>
      <c r="J64" s="545" t="s">
        <v>1172</v>
      </c>
      <c r="K64" s="529"/>
      <c r="L64" s="529"/>
      <c r="M64" s="529"/>
      <c r="N64" s="529"/>
      <c r="O64" s="546"/>
      <c r="Q64" s="540"/>
      <c r="R64" s="540"/>
    </row>
    <row r="65" spans="2:18" ht="12.75" customHeight="1" x14ac:dyDescent="0.2">
      <c r="B65" s="532"/>
      <c r="C65" s="532"/>
      <c r="I65" s="544"/>
      <c r="J65" s="547"/>
      <c r="K65" s="529"/>
      <c r="L65" s="529"/>
      <c r="M65" s="529"/>
      <c r="N65" s="529"/>
      <c r="O65" s="546"/>
      <c r="Q65" s="540"/>
      <c r="R65" s="540"/>
    </row>
    <row r="66" spans="2:18" x14ac:dyDescent="0.2">
      <c r="B66" s="548" t="s">
        <v>176</v>
      </c>
      <c r="C66" s="532"/>
      <c r="I66" s="544"/>
      <c r="J66" s="549"/>
      <c r="K66" s="550"/>
      <c r="L66" s="550"/>
      <c r="M66" s="550"/>
      <c r="N66" s="550"/>
      <c r="O66" s="551"/>
      <c r="Q66" s="540"/>
      <c r="R66" s="540"/>
    </row>
    <row r="67" spans="2:18" ht="26.25" customHeight="1" thickBot="1" x14ac:dyDescent="0.25">
      <c r="B67" s="548"/>
      <c r="C67" s="532"/>
      <c r="G67" s="552" t="s">
        <v>177</v>
      </c>
      <c r="H67" s="552" t="s">
        <v>178</v>
      </c>
      <c r="I67" s="544"/>
      <c r="J67" s="981" t="s">
        <v>179</v>
      </c>
      <c r="K67" s="982"/>
      <c r="L67" s="553"/>
      <c r="M67" s="553"/>
      <c r="N67" s="553"/>
      <c r="O67" s="554"/>
      <c r="Q67" s="540"/>
      <c r="R67" s="540"/>
    </row>
    <row r="68" spans="2:18" ht="12.75" customHeight="1" x14ac:dyDescent="0.2">
      <c r="B68" s="968" t="s">
        <v>180</v>
      </c>
      <c r="C68" s="971" t="s">
        <v>181</v>
      </c>
      <c r="D68" s="973" t="s">
        <v>182</v>
      </c>
      <c r="E68" s="974"/>
      <c r="F68" s="974"/>
      <c r="G68" s="555">
        <f>+O43</f>
        <v>120000</v>
      </c>
      <c r="H68" s="556">
        <f t="shared" ref="H68:H76" si="6">+G68</f>
        <v>120000</v>
      </c>
      <c r="I68" s="544"/>
      <c r="J68" s="545" t="s">
        <v>183</v>
      </c>
      <c r="K68" s="539"/>
      <c r="L68" s="539"/>
      <c r="M68" s="557"/>
      <c r="N68" s="557"/>
      <c r="O68" s="558"/>
      <c r="Q68" s="540"/>
      <c r="R68" s="540"/>
    </row>
    <row r="69" spans="2:18" ht="12.75" customHeight="1" x14ac:dyDescent="0.2">
      <c r="B69" s="969"/>
      <c r="C69" s="972"/>
      <c r="D69" s="975" t="s">
        <v>184</v>
      </c>
      <c r="E69" s="976"/>
      <c r="F69" s="976"/>
      <c r="G69" s="559">
        <f>+O47</f>
        <v>0</v>
      </c>
      <c r="H69" s="560">
        <f t="shared" si="6"/>
        <v>0</v>
      </c>
      <c r="I69" s="544"/>
      <c r="J69" s="561"/>
      <c r="K69" s="557"/>
      <c r="L69" s="557"/>
      <c r="M69" s="557"/>
      <c r="N69" s="557"/>
      <c r="O69" s="562"/>
      <c r="Q69" s="540"/>
      <c r="R69" s="540"/>
    </row>
    <row r="70" spans="2:18" ht="12.75" customHeight="1" x14ac:dyDescent="0.2">
      <c r="B70" s="969"/>
      <c r="C70" s="972"/>
      <c r="D70" s="990" t="s">
        <v>185</v>
      </c>
      <c r="E70" s="991"/>
      <c r="F70" s="991"/>
      <c r="G70" s="654">
        <f>O40</f>
        <v>360</v>
      </c>
      <c r="H70" s="560">
        <f t="shared" si="6"/>
        <v>360</v>
      </c>
      <c r="I70" s="544"/>
      <c r="J70" s="561"/>
      <c r="K70" s="564"/>
      <c r="L70" s="557"/>
      <c r="M70" s="557"/>
      <c r="N70" s="557"/>
      <c r="O70" s="562"/>
    </row>
    <row r="71" spans="2:18" x14ac:dyDescent="0.2">
      <c r="B71" s="969"/>
      <c r="C71" s="972"/>
      <c r="D71" s="975" t="s">
        <v>186</v>
      </c>
      <c r="E71" s="976"/>
      <c r="F71" s="976"/>
      <c r="G71" s="565">
        <v>0</v>
      </c>
      <c r="H71" s="560">
        <f t="shared" si="6"/>
        <v>0</v>
      </c>
      <c r="I71" s="544"/>
      <c r="J71" s="561"/>
      <c r="K71" s="566"/>
      <c r="L71" s="566"/>
      <c r="M71" s="557"/>
      <c r="N71" s="557"/>
      <c r="O71" s="567"/>
    </row>
    <row r="72" spans="2:18" ht="12.75" customHeight="1" x14ac:dyDescent="0.2">
      <c r="B72" s="969"/>
      <c r="C72" s="972"/>
      <c r="D72" s="950" t="s">
        <v>188</v>
      </c>
      <c r="E72" s="976"/>
      <c r="F72" s="976"/>
      <c r="G72" s="654">
        <v>0</v>
      </c>
      <c r="H72" s="560">
        <f t="shared" si="6"/>
        <v>0</v>
      </c>
      <c r="I72" s="544"/>
      <c r="J72" s="561"/>
      <c r="K72" s="566"/>
      <c r="L72" s="566"/>
      <c r="M72" s="557"/>
      <c r="N72" s="557"/>
      <c r="O72" s="567"/>
    </row>
    <row r="73" spans="2:18" ht="14.25" customHeight="1" x14ac:dyDescent="0.2">
      <c r="B73" s="969"/>
      <c r="C73" s="972"/>
      <c r="D73" s="975" t="s">
        <v>190</v>
      </c>
      <c r="E73" s="976"/>
      <c r="F73" s="976"/>
      <c r="G73" s="568">
        <v>0</v>
      </c>
      <c r="H73" s="560">
        <f t="shared" si="6"/>
        <v>0</v>
      </c>
      <c r="I73" s="544"/>
      <c r="J73" s="561"/>
      <c r="K73" s="566"/>
      <c r="L73" s="566"/>
      <c r="M73" s="566"/>
      <c r="N73" s="566"/>
      <c r="O73" s="567"/>
    </row>
    <row r="74" spans="2:18" x14ac:dyDescent="0.2">
      <c r="B74" s="969"/>
      <c r="C74" s="972"/>
      <c r="D74" s="975" t="s">
        <v>191</v>
      </c>
      <c r="E74" s="976"/>
      <c r="F74" s="976"/>
      <c r="G74" s="565">
        <v>63321</v>
      </c>
      <c r="H74" s="560">
        <f t="shared" si="6"/>
        <v>63321</v>
      </c>
      <c r="I74" s="539"/>
      <c r="J74" s="569"/>
      <c r="K74" s="534"/>
      <c r="L74" s="534"/>
      <c r="M74" s="534"/>
      <c r="N74" s="534"/>
      <c r="O74" s="570"/>
    </row>
    <row r="75" spans="2:18" x14ac:dyDescent="0.2">
      <c r="B75" s="969"/>
      <c r="C75" s="571" t="s">
        <v>192</v>
      </c>
      <c r="D75" s="984" t="s">
        <v>193</v>
      </c>
      <c r="E75" s="985"/>
      <c r="F75" s="985"/>
      <c r="G75" s="654">
        <v>0</v>
      </c>
      <c r="H75" s="560">
        <f t="shared" si="6"/>
        <v>0</v>
      </c>
      <c r="I75" s="539"/>
      <c r="J75" s="572" t="s">
        <v>187</v>
      </c>
      <c r="K75" s="553"/>
      <c r="L75" s="553"/>
      <c r="M75" s="553"/>
      <c r="N75" s="553"/>
      <c r="O75" s="554"/>
    </row>
    <row r="76" spans="2:18" ht="13.5" customHeight="1" thickBot="1" x14ac:dyDescent="0.25">
      <c r="B76" s="969"/>
      <c r="C76" s="571" t="s">
        <v>194</v>
      </c>
      <c r="D76" s="986" t="s">
        <v>195</v>
      </c>
      <c r="E76" s="986"/>
      <c r="F76" s="986"/>
      <c r="G76" s="573">
        <v>0</v>
      </c>
      <c r="H76" s="574">
        <f t="shared" si="6"/>
        <v>0</v>
      </c>
      <c r="I76" s="544"/>
      <c r="J76" s="545" t="s">
        <v>189</v>
      </c>
      <c r="K76" s="534"/>
      <c r="L76" s="534"/>
      <c r="M76" s="534"/>
      <c r="N76" s="534"/>
      <c r="O76" s="570">
        <f>O42</f>
        <v>4600</v>
      </c>
    </row>
    <row r="77" spans="2:18" ht="13.5" thickBot="1" x14ac:dyDescent="0.25">
      <c r="B77" s="969"/>
      <c r="C77" s="575"/>
      <c r="D77" s="576"/>
      <c r="E77" s="987" t="s">
        <v>117</v>
      </c>
      <c r="F77" s="988"/>
      <c r="G77" s="577">
        <f>SUM(G68:G76)</f>
        <v>183681</v>
      </c>
      <c r="H77" s="578">
        <f>IF(SUM(G68:G74)&lt;150000,SUM(G68:G74),150000)+IF(+G75&lt;20000,+G75,20000)</f>
        <v>150000</v>
      </c>
      <c r="I77" s="544"/>
      <c r="J77" s="579"/>
      <c r="K77" s="580"/>
      <c r="L77" s="580"/>
      <c r="M77" s="581"/>
      <c r="N77" s="581"/>
      <c r="O77" s="582"/>
    </row>
    <row r="78" spans="2:18" ht="12.75" customHeight="1" x14ac:dyDescent="0.2">
      <c r="B78" s="969"/>
      <c r="C78" s="583" t="s">
        <v>196</v>
      </c>
      <c r="D78" s="975" t="s">
        <v>187</v>
      </c>
      <c r="E78" s="976"/>
      <c r="F78" s="989"/>
      <c r="G78" s="555">
        <f>+O42</f>
        <v>4600</v>
      </c>
      <c r="H78" s="584">
        <f>+IF(+G78&lt;25000,+G78,25000)</f>
        <v>4600</v>
      </c>
      <c r="I78" s="585"/>
    </row>
    <row r="79" spans="2:18" ht="15" customHeight="1" x14ac:dyDescent="0.2">
      <c r="B79" s="969"/>
      <c r="C79" s="583" t="s">
        <v>197</v>
      </c>
      <c r="D79" s="950" t="s">
        <v>198</v>
      </c>
      <c r="E79" s="951"/>
      <c r="F79" s="952"/>
      <c r="G79" s="586"/>
      <c r="H79" s="587">
        <f>+IF(+G79&lt;40000,+G79,40000)</f>
        <v>0</v>
      </c>
      <c r="I79" s="544"/>
    </row>
    <row r="80" spans="2:18" ht="15" x14ac:dyDescent="0.25">
      <c r="B80" s="969"/>
      <c r="C80" s="583" t="s">
        <v>199</v>
      </c>
      <c r="D80" s="950" t="s">
        <v>200</v>
      </c>
      <c r="E80" s="951"/>
      <c r="F80" s="952"/>
      <c r="G80" s="565"/>
      <c r="H80" s="588">
        <v>0</v>
      </c>
      <c r="I80" s="544"/>
      <c r="J80" s="589"/>
      <c r="K80" s="589"/>
      <c r="L80" s="589"/>
    </row>
    <row r="81" spans="2:20" x14ac:dyDescent="0.2">
      <c r="B81" s="969"/>
      <c r="C81" s="583" t="s">
        <v>201</v>
      </c>
      <c r="D81" s="950" t="s">
        <v>202</v>
      </c>
      <c r="E81" s="951"/>
      <c r="F81" s="952"/>
      <c r="G81" s="565"/>
      <c r="H81" s="588">
        <v>0</v>
      </c>
      <c r="I81" s="544"/>
    </row>
    <row r="82" spans="2:20" ht="13.5" thickBot="1" x14ac:dyDescent="0.25">
      <c r="B82" s="970"/>
      <c r="C82" s="583" t="s">
        <v>203</v>
      </c>
      <c r="D82" s="950" t="s">
        <v>204</v>
      </c>
      <c r="E82" s="951"/>
      <c r="F82" s="952"/>
      <c r="G82" s="586"/>
      <c r="H82" s="587">
        <f>+IF(+G82&lt;100000,+G82,10000)</f>
        <v>0</v>
      </c>
      <c r="I82" s="544"/>
      <c r="J82" s="590"/>
    </row>
    <row r="83" spans="2:20" ht="13.5" thickBot="1" x14ac:dyDescent="0.25">
      <c r="B83" s="953" t="s">
        <v>205</v>
      </c>
      <c r="C83" s="954"/>
      <c r="D83" s="954"/>
      <c r="E83" s="954"/>
      <c r="F83" s="954"/>
      <c r="G83" s="591">
        <f>SUM(G78:G82)</f>
        <v>4600</v>
      </c>
      <c r="H83" s="592">
        <f>SUM(H77:H82)</f>
        <v>154600</v>
      </c>
    </row>
    <row r="84" spans="2:20" ht="13.5" thickBot="1" x14ac:dyDescent="0.25"/>
    <row r="85" spans="2:20" ht="13.5" thickBot="1" x14ac:dyDescent="0.25">
      <c r="B85" s="955" t="s">
        <v>206</v>
      </c>
      <c r="C85" s="956"/>
      <c r="D85" s="956"/>
      <c r="E85" s="956"/>
      <c r="F85" s="957"/>
      <c r="G85" s="958">
        <f>+G64-H83</f>
        <v>1256977</v>
      </c>
      <c r="H85" s="957"/>
      <c r="J85" s="593">
        <f>C37+D37+E37+F37</f>
        <v>970218</v>
      </c>
      <c r="K85" s="504" t="s">
        <v>235</v>
      </c>
      <c r="L85" s="585"/>
    </row>
    <row r="86" spans="2:20" x14ac:dyDescent="0.2">
      <c r="B86" s="594"/>
      <c r="F86" s="593"/>
      <c r="J86" s="593">
        <f>G37+H37+I37</f>
        <v>215916</v>
      </c>
      <c r="K86" s="504" t="s">
        <v>236</v>
      </c>
      <c r="L86" s="585"/>
    </row>
    <row r="87" spans="2:20" x14ac:dyDescent="0.2">
      <c r="C87" s="959" t="s">
        <v>207</v>
      </c>
      <c r="D87" s="960"/>
      <c r="E87" s="595" t="s">
        <v>208</v>
      </c>
      <c r="F87" s="595" t="s">
        <v>209</v>
      </c>
      <c r="G87" s="595" t="s">
        <v>210</v>
      </c>
      <c r="H87" s="595" t="s">
        <v>211</v>
      </c>
      <c r="J87" s="596">
        <f>J37+K37+L37</f>
        <v>226376</v>
      </c>
      <c r="K87" s="531" t="s">
        <v>237</v>
      </c>
      <c r="L87" s="585"/>
    </row>
    <row r="88" spans="2:20" x14ac:dyDescent="0.2">
      <c r="C88" s="961" t="str">
        <f>IF(I6="M","0          - 250000","0          -  250000")</f>
        <v>0          - 250000</v>
      </c>
      <c r="D88" s="962"/>
      <c r="E88" s="597">
        <v>0</v>
      </c>
      <c r="F88" s="598">
        <f>IF(I6="M",(IF(G85&lt;250000,G85,250000)),(IF(G85&lt;250000,G85,250000)))</f>
        <v>250000</v>
      </c>
      <c r="G88" s="598">
        <f>G85-F88</f>
        <v>1006977</v>
      </c>
      <c r="H88" s="598">
        <f>E88*F88</f>
        <v>0</v>
      </c>
      <c r="J88" s="599">
        <f>M37+N37</f>
        <v>144088</v>
      </c>
      <c r="K88" s="490" t="s">
        <v>238</v>
      </c>
      <c r="L88" s="585"/>
    </row>
    <row r="89" spans="2:20" x14ac:dyDescent="0.2">
      <c r="C89" s="961" t="str">
        <f>IF(I6="M","250001 - 500000","250001-500000")</f>
        <v>250001 - 500000</v>
      </c>
      <c r="D89" s="962"/>
      <c r="E89" s="597">
        <v>0.05</v>
      </c>
      <c r="F89" s="598">
        <f>IF(I6="M",(IF(G88&lt;250000,G88,250000)),(IF(G88&lt;250000,G88,250000)))</f>
        <v>250000</v>
      </c>
      <c r="G89" s="598">
        <f>G88-F89</f>
        <v>756977</v>
      </c>
      <c r="H89" s="600">
        <f>ROUND(E89*F89,0.1)</f>
        <v>12500</v>
      </c>
      <c r="J89" s="601">
        <f>SUM(J85:J88)</f>
        <v>1556598</v>
      </c>
      <c r="L89" s="585"/>
    </row>
    <row r="90" spans="2:20" x14ac:dyDescent="0.2">
      <c r="C90" s="963" t="s">
        <v>212</v>
      </c>
      <c r="D90" s="964"/>
      <c r="E90" s="597">
        <v>0.2</v>
      </c>
      <c r="F90" s="598">
        <f>IF(G89&lt;500000,G89,500000)</f>
        <v>500000</v>
      </c>
      <c r="G90" s="598">
        <f>G89-F90</f>
        <v>256977</v>
      </c>
      <c r="H90" s="600">
        <f>ROUND(E90*F90,0.1)</f>
        <v>100000</v>
      </c>
      <c r="J90" s="504">
        <f>+G85</f>
        <v>1256977</v>
      </c>
      <c r="L90" s="585"/>
    </row>
    <row r="91" spans="2:20" x14ac:dyDescent="0.2">
      <c r="C91" s="961" t="s">
        <v>213</v>
      </c>
      <c r="D91" s="962"/>
      <c r="E91" s="597">
        <v>0.3</v>
      </c>
      <c r="F91" s="598">
        <f>G90</f>
        <v>256977</v>
      </c>
      <c r="G91" s="598">
        <f>G90-F91</f>
        <v>0</v>
      </c>
      <c r="H91" s="600">
        <f>ROUND(E91*F91,0.1)</f>
        <v>77093</v>
      </c>
      <c r="J91" s="504">
        <f>+J89-J90</f>
        <v>299621</v>
      </c>
      <c r="L91" s="585"/>
    </row>
    <row r="92" spans="2:20" ht="12.75" customHeight="1" thickBot="1" x14ac:dyDescent="0.25">
      <c r="B92" s="602"/>
      <c r="C92" s="603"/>
      <c r="D92" s="531"/>
      <c r="E92" s="531"/>
      <c r="F92" s="531"/>
      <c r="J92" s="585"/>
      <c r="K92" s="604"/>
      <c r="L92" s="585"/>
      <c r="N92" s="605" t="s">
        <v>1173</v>
      </c>
      <c r="O92" s="605"/>
      <c r="P92" s="605"/>
      <c r="Q92" s="605"/>
      <c r="R92" s="605"/>
      <c r="S92" s="605"/>
      <c r="T92" s="605"/>
    </row>
    <row r="93" spans="2:20" ht="13.5" thickBot="1" x14ac:dyDescent="0.25">
      <c r="B93" s="965" t="s">
        <v>239</v>
      </c>
      <c r="C93" s="966"/>
      <c r="D93" s="966"/>
      <c r="E93" s="966"/>
      <c r="F93" s="967"/>
      <c r="G93" s="943">
        <f>H88+H89+H90+H91</f>
        <v>189593</v>
      </c>
      <c r="H93" s="944"/>
    </row>
    <row r="94" spans="2:20" ht="13.5" thickBot="1" x14ac:dyDescent="0.25">
      <c r="B94" s="606" t="s">
        <v>1354</v>
      </c>
      <c r="C94" s="607"/>
      <c r="D94" s="607"/>
      <c r="E94" s="607"/>
      <c r="F94" s="607"/>
      <c r="G94" s="652"/>
      <c r="H94" s="653"/>
      <c r="I94" s="490" t="s">
        <v>1355</v>
      </c>
    </row>
    <row r="95" spans="2:20" ht="13.5" thickBot="1" x14ac:dyDescent="0.25">
      <c r="B95" s="606" t="s">
        <v>215</v>
      </c>
      <c r="C95" s="607"/>
      <c r="D95" s="607"/>
      <c r="E95" s="607"/>
      <c r="F95" s="607"/>
      <c r="G95" s="941">
        <f>IF((G64&lt;500000),5000,0)</f>
        <v>0</v>
      </c>
      <c r="H95" s="942">
        <f>IF(H92&lt;200000,0,IF(H92&lt;220000,((H92-200000)*10%),IF(H92&lt;=500000,2000,IF(H92&gt;=500000,0))))</f>
        <v>0</v>
      </c>
      <c r="J95" s="490"/>
      <c r="K95" s="610"/>
      <c r="L95" s="610"/>
    </row>
    <row r="96" spans="2:20" ht="13.5" thickBot="1" x14ac:dyDescent="0.25">
      <c r="B96" s="611" t="s">
        <v>216</v>
      </c>
      <c r="C96" s="612"/>
      <c r="D96" s="612"/>
      <c r="E96" s="612"/>
      <c r="F96" s="612"/>
      <c r="G96" s="943">
        <f>IF((G93-H94-G95)&lt;0,0,(G93-H94-G95))</f>
        <v>189593</v>
      </c>
      <c r="H96" s="944"/>
      <c r="I96" s="527"/>
    </row>
    <row r="97" spans="2:9" ht="13.5" thickBot="1" x14ac:dyDescent="0.25">
      <c r="B97" s="945" t="s">
        <v>473</v>
      </c>
      <c r="C97" s="946"/>
      <c r="D97" s="946"/>
      <c r="E97" s="946"/>
      <c r="F97" s="947"/>
      <c r="G97" s="948">
        <f>ROUND((IF(G96&gt;0,(G96*4%),0)),0)</f>
        <v>7584</v>
      </c>
      <c r="H97" s="949"/>
      <c r="I97" s="527"/>
    </row>
    <row r="98" spans="2:9" ht="13.5" thickBot="1" x14ac:dyDescent="0.25">
      <c r="B98" s="933" t="s">
        <v>218</v>
      </c>
      <c r="C98" s="934"/>
      <c r="D98" s="934"/>
      <c r="E98" s="934"/>
      <c r="F98" s="934"/>
      <c r="G98" s="935">
        <f>G96+G97</f>
        <v>197177</v>
      </c>
      <c r="H98" s="936"/>
      <c r="I98" s="610"/>
    </row>
    <row r="99" spans="2:9" ht="13.5" thickBot="1" x14ac:dyDescent="0.25">
      <c r="B99" s="937" t="s">
        <v>219</v>
      </c>
      <c r="C99" s="938"/>
      <c r="D99" s="938"/>
      <c r="E99" s="938"/>
      <c r="F99" s="938"/>
      <c r="G99" s="939">
        <f>O38</f>
        <v>216361</v>
      </c>
      <c r="H99" s="940"/>
      <c r="I99" s="610"/>
    </row>
    <row r="100" spans="2:9" ht="13.5" thickBot="1" x14ac:dyDescent="0.25">
      <c r="B100" s="937" t="str">
        <f>IF(G100&gt;0,"TAX PAYABLE","TAX REFUND")</f>
        <v>TAX REFUND</v>
      </c>
      <c r="C100" s="938"/>
      <c r="D100" s="938"/>
      <c r="E100" s="938"/>
      <c r="F100" s="938"/>
      <c r="G100" s="939">
        <f>+G98-G99</f>
        <v>-19184</v>
      </c>
      <c r="H100" s="940"/>
      <c r="I100" s="527"/>
    </row>
    <row r="101" spans="2:9" x14ac:dyDescent="0.2">
      <c r="C101" s="613"/>
      <c r="D101" s="656"/>
      <c r="E101" s="604"/>
      <c r="F101" s="604"/>
      <c r="G101" s="604"/>
      <c r="H101" s="604"/>
      <c r="I101" s="614"/>
    </row>
    <row r="102" spans="2:9" x14ac:dyDescent="0.2">
      <c r="C102" s="531"/>
      <c r="D102" s="534"/>
      <c r="E102" s="603"/>
      <c r="F102" s="531"/>
      <c r="G102" s="531"/>
      <c r="H102" s="531"/>
      <c r="I102" s="614"/>
    </row>
    <row r="103" spans="2:9" x14ac:dyDescent="0.2">
      <c r="C103" s="529"/>
      <c r="D103" s="615"/>
      <c r="E103" s="615"/>
      <c r="F103" s="615"/>
      <c r="G103" s="529"/>
      <c r="H103" s="529"/>
      <c r="I103" s="527"/>
    </row>
    <row r="104" spans="2:9" x14ac:dyDescent="0.2">
      <c r="C104" s="529"/>
      <c r="D104" s="615"/>
      <c r="E104" s="615"/>
      <c r="F104" s="529"/>
      <c r="G104" s="529"/>
      <c r="H104" s="529"/>
      <c r="I104" s="527"/>
    </row>
    <row r="105" spans="2:9" x14ac:dyDescent="0.2">
      <c r="C105" s="529"/>
      <c r="D105" s="615"/>
      <c r="E105" s="615"/>
      <c r="F105" s="529"/>
      <c r="G105" s="529"/>
      <c r="H105" s="529"/>
      <c r="I105" s="527"/>
    </row>
    <row r="106" spans="2:9" x14ac:dyDescent="0.2">
      <c r="C106" s="529"/>
      <c r="D106" s="529"/>
      <c r="E106" s="529"/>
      <c r="F106" s="529"/>
      <c r="G106" s="529"/>
      <c r="H106" s="529"/>
      <c r="I106" s="527"/>
    </row>
    <row r="107" spans="2:9" x14ac:dyDescent="0.2">
      <c r="C107" s="529"/>
      <c r="D107" s="529"/>
      <c r="E107" s="529"/>
      <c r="F107" s="529"/>
      <c r="G107" s="529"/>
      <c r="H107" s="529"/>
    </row>
    <row r="108" spans="2:9" x14ac:dyDescent="0.2">
      <c r="C108" s="529"/>
      <c r="D108" s="529"/>
      <c r="E108" s="529"/>
      <c r="F108" s="529"/>
      <c r="G108" s="529"/>
      <c r="H108" s="529"/>
    </row>
  </sheetData>
  <mergeCells count="91">
    <mergeCell ref="B100:F100"/>
    <mergeCell ref="G100:H100"/>
    <mergeCell ref="A1:C1"/>
    <mergeCell ref="D1:F1"/>
    <mergeCell ref="G1:H1"/>
    <mergeCell ref="A3:C3"/>
    <mergeCell ref="D3:F3"/>
    <mergeCell ref="G3:H3"/>
    <mergeCell ref="A36:B36"/>
    <mergeCell ref="A5:C5"/>
    <mergeCell ref="D5:F5"/>
    <mergeCell ref="G5:H5"/>
    <mergeCell ref="B64:F64"/>
    <mergeCell ref="G64:H64"/>
    <mergeCell ref="B61:F61"/>
    <mergeCell ref="G61:H61"/>
    <mergeCell ref="I1:O1"/>
    <mergeCell ref="A2:C2"/>
    <mergeCell ref="D2:F2"/>
    <mergeCell ref="G2:H2"/>
    <mergeCell ref="I2:O2"/>
    <mergeCell ref="I3:O3"/>
    <mergeCell ref="A4:C4"/>
    <mergeCell ref="D4:F4"/>
    <mergeCell ref="G4:H4"/>
    <mergeCell ref="I4:O4"/>
    <mergeCell ref="I5:O5"/>
    <mergeCell ref="A6:C6"/>
    <mergeCell ref="D6:F6"/>
    <mergeCell ref="G6:H6"/>
    <mergeCell ref="J6:O6"/>
    <mergeCell ref="L7:O7"/>
    <mergeCell ref="A8:B8"/>
    <mergeCell ref="A21:A33"/>
    <mergeCell ref="A34:B34"/>
    <mergeCell ref="A35:B35"/>
    <mergeCell ref="J59:O59"/>
    <mergeCell ref="A38:A48"/>
    <mergeCell ref="A49:B49"/>
    <mergeCell ref="A50:B50"/>
    <mergeCell ref="B53:F53"/>
    <mergeCell ref="G53:H53"/>
    <mergeCell ref="B55:B57"/>
    <mergeCell ref="C55:C57"/>
    <mergeCell ref="D55:F55"/>
    <mergeCell ref="G55:H55"/>
    <mergeCell ref="D56:F56"/>
    <mergeCell ref="G56:H56"/>
    <mergeCell ref="D57:F57"/>
    <mergeCell ref="G57:H57"/>
    <mergeCell ref="B59:F59"/>
    <mergeCell ref="G59:H59"/>
    <mergeCell ref="C62:F62"/>
    <mergeCell ref="G62:H62"/>
    <mergeCell ref="J62:O62"/>
    <mergeCell ref="D80:F80"/>
    <mergeCell ref="J67:K67"/>
    <mergeCell ref="D75:F75"/>
    <mergeCell ref="D76:F76"/>
    <mergeCell ref="E77:F77"/>
    <mergeCell ref="D78:F78"/>
    <mergeCell ref="D79:F79"/>
    <mergeCell ref="D70:F70"/>
    <mergeCell ref="D71:F71"/>
    <mergeCell ref="D72:F72"/>
    <mergeCell ref="D73:F73"/>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C68:C74"/>
    <mergeCell ref="D68:F68"/>
    <mergeCell ref="D69:F69"/>
    <mergeCell ref="B98:F98"/>
    <mergeCell ref="G98:H98"/>
    <mergeCell ref="B99:F99"/>
    <mergeCell ref="G99:H99"/>
    <mergeCell ref="G95:H95"/>
    <mergeCell ref="G96:H96"/>
    <mergeCell ref="B97:F97"/>
    <mergeCell ref="G97:H97"/>
  </mergeCells>
  <conditionalFormatting sqref="B90:F90">
    <cfRule type="cellIs" dxfId="2051" priority="5" stopIfTrue="1" operator="equal">
      <formula>"TAX PAYABLE"</formula>
    </cfRule>
    <cfRule type="cellIs" dxfId="2050" priority="6" stopIfTrue="1" operator="equal">
      <formula>"TAX REFUND"</formula>
    </cfRule>
  </conditionalFormatting>
  <conditionalFormatting sqref="G90:H90">
    <cfRule type="cellIs" dxfId="2049" priority="7" stopIfTrue="1" operator="lessThan">
      <formula>0</formula>
    </cfRule>
    <cfRule type="cellIs" dxfId="2048" priority="8" stopIfTrue="1" operator="greaterThan">
      <formula>0</formula>
    </cfRule>
  </conditionalFormatting>
  <conditionalFormatting sqref="B100:F100 B93:F98">
    <cfRule type="cellIs" dxfId="2047" priority="3" stopIfTrue="1" operator="equal">
      <formula>"TAX PAYABLE"</formula>
    </cfRule>
    <cfRule type="cellIs" dxfId="2046" priority="4" stopIfTrue="1" operator="equal">
      <formula>"TAX REFUND"</formula>
    </cfRule>
  </conditionalFormatting>
  <conditionalFormatting sqref="G100:H100">
    <cfRule type="cellIs" dxfId="2045" priority="1" stopIfTrue="1" operator="greaterThan">
      <formula>0</formula>
    </cfRule>
    <cfRule type="cellIs" dxfId="2044"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hyperlinks>
    <hyperlink ref="G95" r:id="rId1" display="=@round(IF(G85&lt;200000,0,IF(G85&lt;220000,((G85-200000)*10%),IF(G85&lt;=500000,2000,IF(G85&gt;=500000,0)))),.1)"/>
  </hyperlinks>
  <pageMargins left="0.75" right="0.75" top="1" bottom="1" header="0.5" footer="0.5"/>
  <headerFooter alignWithMargins="0"/>
  <legacy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8"/>
  <sheetViews>
    <sheetView topLeftCell="A59" workbookViewId="0">
      <selection activeCell="J76" sqref="J76"/>
    </sheetView>
  </sheetViews>
  <sheetFormatPr defaultRowHeight="12.75" x14ac:dyDescent="0.2"/>
  <cols>
    <col min="1" max="1" width="5" style="16" customWidth="1"/>
    <col min="2" max="2" width="18.42578125" style="37" customWidth="1"/>
    <col min="3" max="3" width="10.7109375" style="16" bestFit="1" customWidth="1"/>
    <col min="4" max="4" width="6.7109375" style="16" bestFit="1" customWidth="1"/>
    <col min="5" max="5" width="8.5703125" style="16" bestFit="1" customWidth="1"/>
    <col min="6" max="6" width="9.28515625" style="16" bestFit="1" customWidth="1"/>
    <col min="7" max="7" width="10.42578125" style="16" bestFit="1" customWidth="1"/>
    <col min="8" max="8" width="10.28515625" style="16" bestFit="1" customWidth="1"/>
    <col min="9" max="9" width="7.140625" style="16" bestFit="1" customWidth="1"/>
    <col min="10" max="10" width="7.28515625" style="16" customWidth="1"/>
    <col min="11" max="12" width="7" style="16" bestFit="1" customWidth="1"/>
    <col min="13" max="13" width="6.85546875" style="16" bestFit="1" customWidth="1"/>
    <col min="14" max="14" width="7" style="16" bestFit="1" customWidth="1"/>
    <col min="15" max="15" width="7.140625" style="16" bestFit="1"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8.42578125" style="16" customWidth="1"/>
    <col min="259" max="259" width="10.7109375" style="16" bestFit="1" customWidth="1"/>
    <col min="260" max="260" width="6.7109375" style="16" bestFit="1" customWidth="1"/>
    <col min="261" max="261" width="8.5703125" style="16" bestFit="1" customWidth="1"/>
    <col min="262" max="262" width="9.28515625" style="16" bestFit="1" customWidth="1"/>
    <col min="263" max="263" width="10.42578125" style="16" bestFit="1" customWidth="1"/>
    <col min="264" max="264" width="10.28515625" style="16" bestFit="1" customWidth="1"/>
    <col min="265" max="265" width="7.140625" style="16" bestFit="1" customWidth="1"/>
    <col min="266" max="266" width="7.28515625" style="16" customWidth="1"/>
    <col min="267" max="268" width="7" style="16" bestFit="1" customWidth="1"/>
    <col min="269" max="269" width="6.85546875" style="16" bestFit="1" customWidth="1"/>
    <col min="270" max="270" width="7" style="16" bestFit="1" customWidth="1"/>
    <col min="271" max="271" width="7.140625" style="16" bestFit="1"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8.42578125" style="16" customWidth="1"/>
    <col min="515" max="515" width="10.7109375" style="16" bestFit="1" customWidth="1"/>
    <col min="516" max="516" width="6.7109375" style="16" bestFit="1" customWidth="1"/>
    <col min="517" max="517" width="8.5703125" style="16" bestFit="1" customWidth="1"/>
    <col min="518" max="518" width="9.28515625" style="16" bestFit="1" customWidth="1"/>
    <col min="519" max="519" width="10.42578125" style="16" bestFit="1" customWidth="1"/>
    <col min="520" max="520" width="10.28515625" style="16" bestFit="1" customWidth="1"/>
    <col min="521" max="521" width="7.140625" style="16" bestFit="1" customWidth="1"/>
    <col min="522" max="522" width="7.28515625" style="16" customWidth="1"/>
    <col min="523" max="524" width="7" style="16" bestFit="1" customWidth="1"/>
    <col min="525" max="525" width="6.85546875" style="16" bestFit="1" customWidth="1"/>
    <col min="526" max="526" width="7" style="16" bestFit="1" customWidth="1"/>
    <col min="527" max="527" width="7.140625" style="16" bestFit="1"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8.42578125" style="16" customWidth="1"/>
    <col min="771" max="771" width="10.7109375" style="16" bestFit="1" customWidth="1"/>
    <col min="772" max="772" width="6.7109375" style="16" bestFit="1" customWidth="1"/>
    <col min="773" max="773" width="8.5703125" style="16" bestFit="1" customWidth="1"/>
    <col min="774" max="774" width="9.28515625" style="16" bestFit="1" customWidth="1"/>
    <col min="775" max="775" width="10.42578125" style="16" bestFit="1" customWidth="1"/>
    <col min="776" max="776" width="10.28515625" style="16" bestFit="1" customWidth="1"/>
    <col min="777" max="777" width="7.140625" style="16" bestFit="1" customWidth="1"/>
    <col min="778" max="778" width="7.28515625" style="16" customWidth="1"/>
    <col min="779" max="780" width="7" style="16" bestFit="1" customWidth="1"/>
    <col min="781" max="781" width="6.85546875" style="16" bestFit="1" customWidth="1"/>
    <col min="782" max="782" width="7" style="16" bestFit="1" customWidth="1"/>
    <col min="783" max="783" width="7.140625" style="16" bestFit="1"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8.42578125" style="16" customWidth="1"/>
    <col min="1027" max="1027" width="10.7109375" style="16" bestFit="1" customWidth="1"/>
    <col min="1028" max="1028" width="6.7109375" style="16" bestFit="1" customWidth="1"/>
    <col min="1029" max="1029" width="8.5703125" style="16" bestFit="1" customWidth="1"/>
    <col min="1030" max="1030" width="9.28515625" style="16" bestFit="1" customWidth="1"/>
    <col min="1031" max="1031" width="10.42578125" style="16" bestFit="1" customWidth="1"/>
    <col min="1032" max="1032" width="10.28515625" style="16" bestFit="1" customWidth="1"/>
    <col min="1033" max="1033" width="7.140625" style="16" bestFit="1" customWidth="1"/>
    <col min="1034" max="1034" width="7.28515625" style="16" customWidth="1"/>
    <col min="1035" max="1036" width="7" style="16" bestFit="1" customWidth="1"/>
    <col min="1037" max="1037" width="6.85546875" style="16" bestFit="1" customWidth="1"/>
    <col min="1038" max="1038" width="7" style="16" bestFit="1" customWidth="1"/>
    <col min="1039" max="1039" width="7.140625" style="16" bestFit="1"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8.42578125" style="16" customWidth="1"/>
    <col min="1283" max="1283" width="10.7109375" style="16" bestFit="1" customWidth="1"/>
    <col min="1284" max="1284" width="6.7109375" style="16" bestFit="1" customWidth="1"/>
    <col min="1285" max="1285" width="8.5703125" style="16" bestFit="1" customWidth="1"/>
    <col min="1286" max="1286" width="9.28515625" style="16" bestFit="1" customWidth="1"/>
    <col min="1287" max="1287" width="10.42578125" style="16" bestFit="1" customWidth="1"/>
    <col min="1288" max="1288" width="10.28515625" style="16" bestFit="1" customWidth="1"/>
    <col min="1289" max="1289" width="7.140625" style="16" bestFit="1" customWidth="1"/>
    <col min="1290" max="1290" width="7.28515625" style="16" customWidth="1"/>
    <col min="1291" max="1292" width="7" style="16" bestFit="1" customWidth="1"/>
    <col min="1293" max="1293" width="6.85546875" style="16" bestFit="1" customWidth="1"/>
    <col min="1294" max="1294" width="7" style="16" bestFit="1" customWidth="1"/>
    <col min="1295" max="1295" width="7.140625" style="16" bestFit="1"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8.42578125" style="16" customWidth="1"/>
    <col min="1539" max="1539" width="10.7109375" style="16" bestFit="1" customWidth="1"/>
    <col min="1540" max="1540" width="6.7109375" style="16" bestFit="1" customWidth="1"/>
    <col min="1541" max="1541" width="8.5703125" style="16" bestFit="1" customWidth="1"/>
    <col min="1542" max="1542" width="9.28515625" style="16" bestFit="1" customWidth="1"/>
    <col min="1543" max="1543" width="10.42578125" style="16" bestFit="1" customWidth="1"/>
    <col min="1544" max="1544" width="10.28515625" style="16" bestFit="1" customWidth="1"/>
    <col min="1545" max="1545" width="7.140625" style="16" bestFit="1" customWidth="1"/>
    <col min="1546" max="1546" width="7.28515625" style="16" customWidth="1"/>
    <col min="1547" max="1548" width="7" style="16" bestFit="1" customWidth="1"/>
    <col min="1549" max="1549" width="6.85546875" style="16" bestFit="1" customWidth="1"/>
    <col min="1550" max="1550" width="7" style="16" bestFit="1" customWidth="1"/>
    <col min="1551" max="1551" width="7.140625" style="16" bestFit="1"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8.42578125" style="16" customWidth="1"/>
    <col min="1795" max="1795" width="10.7109375" style="16" bestFit="1" customWidth="1"/>
    <col min="1796" max="1796" width="6.7109375" style="16" bestFit="1" customWidth="1"/>
    <col min="1797" max="1797" width="8.5703125" style="16" bestFit="1" customWidth="1"/>
    <col min="1798" max="1798" width="9.28515625" style="16" bestFit="1" customWidth="1"/>
    <col min="1799" max="1799" width="10.42578125" style="16" bestFit="1" customWidth="1"/>
    <col min="1800" max="1800" width="10.28515625" style="16" bestFit="1" customWidth="1"/>
    <col min="1801" max="1801" width="7.140625" style="16" bestFit="1" customWidth="1"/>
    <col min="1802" max="1802" width="7.28515625" style="16" customWidth="1"/>
    <col min="1803" max="1804" width="7" style="16" bestFit="1" customWidth="1"/>
    <col min="1805" max="1805" width="6.85546875" style="16" bestFit="1" customWidth="1"/>
    <col min="1806" max="1806" width="7" style="16" bestFit="1" customWidth="1"/>
    <col min="1807" max="1807" width="7.140625" style="16" bestFit="1"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8.42578125" style="16" customWidth="1"/>
    <col min="2051" max="2051" width="10.7109375" style="16" bestFit="1" customWidth="1"/>
    <col min="2052" max="2052" width="6.7109375" style="16" bestFit="1" customWidth="1"/>
    <col min="2053" max="2053" width="8.5703125" style="16" bestFit="1" customWidth="1"/>
    <col min="2054" max="2054" width="9.28515625" style="16" bestFit="1" customWidth="1"/>
    <col min="2055" max="2055" width="10.42578125" style="16" bestFit="1" customWidth="1"/>
    <col min="2056" max="2056" width="10.28515625" style="16" bestFit="1" customWidth="1"/>
    <col min="2057" max="2057" width="7.140625" style="16" bestFit="1" customWidth="1"/>
    <col min="2058" max="2058" width="7.28515625" style="16" customWidth="1"/>
    <col min="2059" max="2060" width="7" style="16" bestFit="1" customWidth="1"/>
    <col min="2061" max="2061" width="6.85546875" style="16" bestFit="1" customWidth="1"/>
    <col min="2062" max="2062" width="7" style="16" bestFit="1" customWidth="1"/>
    <col min="2063" max="2063" width="7.140625" style="16" bestFit="1"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8.42578125" style="16" customWidth="1"/>
    <col min="2307" max="2307" width="10.7109375" style="16" bestFit="1" customWidth="1"/>
    <col min="2308" max="2308" width="6.7109375" style="16" bestFit="1" customWidth="1"/>
    <col min="2309" max="2309" width="8.5703125" style="16" bestFit="1" customWidth="1"/>
    <col min="2310" max="2310" width="9.28515625" style="16" bestFit="1" customWidth="1"/>
    <col min="2311" max="2311" width="10.42578125" style="16" bestFit="1" customWidth="1"/>
    <col min="2312" max="2312" width="10.28515625" style="16" bestFit="1" customWidth="1"/>
    <col min="2313" max="2313" width="7.140625" style="16" bestFit="1" customWidth="1"/>
    <col min="2314" max="2314" width="7.28515625" style="16" customWidth="1"/>
    <col min="2315" max="2316" width="7" style="16" bestFit="1" customWidth="1"/>
    <col min="2317" max="2317" width="6.85546875" style="16" bestFit="1" customWidth="1"/>
    <col min="2318" max="2318" width="7" style="16" bestFit="1" customWidth="1"/>
    <col min="2319" max="2319" width="7.140625" style="16" bestFit="1"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8.42578125" style="16" customWidth="1"/>
    <col min="2563" max="2563" width="10.7109375" style="16" bestFit="1" customWidth="1"/>
    <col min="2564" max="2564" width="6.7109375" style="16" bestFit="1" customWidth="1"/>
    <col min="2565" max="2565" width="8.5703125" style="16" bestFit="1" customWidth="1"/>
    <col min="2566" max="2566" width="9.28515625" style="16" bestFit="1" customWidth="1"/>
    <col min="2567" max="2567" width="10.42578125" style="16" bestFit="1" customWidth="1"/>
    <col min="2568" max="2568" width="10.28515625" style="16" bestFit="1" customWidth="1"/>
    <col min="2569" max="2569" width="7.140625" style="16" bestFit="1" customWidth="1"/>
    <col min="2570" max="2570" width="7.28515625" style="16" customWidth="1"/>
    <col min="2571" max="2572" width="7" style="16" bestFit="1" customWidth="1"/>
    <col min="2573" max="2573" width="6.85546875" style="16" bestFit="1" customWidth="1"/>
    <col min="2574" max="2574" width="7" style="16" bestFit="1" customWidth="1"/>
    <col min="2575" max="2575" width="7.140625" style="16" bestFit="1"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8.42578125" style="16" customWidth="1"/>
    <col min="2819" max="2819" width="10.7109375" style="16" bestFit="1" customWidth="1"/>
    <col min="2820" max="2820" width="6.7109375" style="16" bestFit="1" customWidth="1"/>
    <col min="2821" max="2821" width="8.5703125" style="16" bestFit="1" customWidth="1"/>
    <col min="2822" max="2822" width="9.28515625" style="16" bestFit="1" customWidth="1"/>
    <col min="2823" max="2823" width="10.42578125" style="16" bestFit="1" customWidth="1"/>
    <col min="2824" max="2824" width="10.28515625" style="16" bestFit="1" customWidth="1"/>
    <col min="2825" max="2825" width="7.140625" style="16" bestFit="1" customWidth="1"/>
    <col min="2826" max="2826" width="7.28515625" style="16" customWidth="1"/>
    <col min="2827" max="2828" width="7" style="16" bestFit="1" customWidth="1"/>
    <col min="2829" max="2829" width="6.85546875" style="16" bestFit="1" customWidth="1"/>
    <col min="2830" max="2830" width="7" style="16" bestFit="1" customWidth="1"/>
    <col min="2831" max="2831" width="7.140625" style="16" bestFit="1"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8.42578125" style="16" customWidth="1"/>
    <col min="3075" max="3075" width="10.7109375" style="16" bestFit="1" customWidth="1"/>
    <col min="3076" max="3076" width="6.7109375" style="16" bestFit="1" customWidth="1"/>
    <col min="3077" max="3077" width="8.5703125" style="16" bestFit="1" customWidth="1"/>
    <col min="3078" max="3078" width="9.28515625" style="16" bestFit="1" customWidth="1"/>
    <col min="3079" max="3079" width="10.42578125" style="16" bestFit="1" customWidth="1"/>
    <col min="3080" max="3080" width="10.28515625" style="16" bestFit="1" customWidth="1"/>
    <col min="3081" max="3081" width="7.140625" style="16" bestFit="1" customWidth="1"/>
    <col min="3082" max="3082" width="7.28515625" style="16" customWidth="1"/>
    <col min="3083" max="3084" width="7" style="16" bestFit="1" customWidth="1"/>
    <col min="3085" max="3085" width="6.85546875" style="16" bestFit="1" customWidth="1"/>
    <col min="3086" max="3086" width="7" style="16" bestFit="1" customWidth="1"/>
    <col min="3087" max="3087" width="7.140625" style="16" bestFit="1"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8.42578125" style="16" customWidth="1"/>
    <col min="3331" max="3331" width="10.7109375" style="16" bestFit="1" customWidth="1"/>
    <col min="3332" max="3332" width="6.7109375" style="16" bestFit="1" customWidth="1"/>
    <col min="3333" max="3333" width="8.5703125" style="16" bestFit="1" customWidth="1"/>
    <col min="3334" max="3334" width="9.28515625" style="16" bestFit="1" customWidth="1"/>
    <col min="3335" max="3335" width="10.42578125" style="16" bestFit="1" customWidth="1"/>
    <col min="3336" max="3336" width="10.28515625" style="16" bestFit="1" customWidth="1"/>
    <col min="3337" max="3337" width="7.140625" style="16" bestFit="1" customWidth="1"/>
    <col min="3338" max="3338" width="7.28515625" style="16" customWidth="1"/>
    <col min="3339" max="3340" width="7" style="16" bestFit="1" customWidth="1"/>
    <col min="3341" max="3341" width="6.85546875" style="16" bestFit="1" customWidth="1"/>
    <col min="3342" max="3342" width="7" style="16" bestFit="1" customWidth="1"/>
    <col min="3343" max="3343" width="7.140625" style="16" bestFit="1"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8.42578125" style="16" customWidth="1"/>
    <col min="3587" max="3587" width="10.7109375" style="16" bestFit="1" customWidth="1"/>
    <col min="3588" max="3588" width="6.7109375" style="16" bestFit="1" customWidth="1"/>
    <col min="3589" max="3589" width="8.5703125" style="16" bestFit="1" customWidth="1"/>
    <col min="3590" max="3590" width="9.28515625" style="16" bestFit="1" customWidth="1"/>
    <col min="3591" max="3591" width="10.42578125" style="16" bestFit="1" customWidth="1"/>
    <col min="3592" max="3592" width="10.28515625" style="16" bestFit="1" customWidth="1"/>
    <col min="3593" max="3593" width="7.140625" style="16" bestFit="1" customWidth="1"/>
    <col min="3594" max="3594" width="7.28515625" style="16" customWidth="1"/>
    <col min="3595" max="3596" width="7" style="16" bestFit="1" customWidth="1"/>
    <col min="3597" max="3597" width="6.85546875" style="16" bestFit="1" customWidth="1"/>
    <col min="3598" max="3598" width="7" style="16" bestFit="1" customWidth="1"/>
    <col min="3599" max="3599" width="7.140625" style="16" bestFit="1"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8.42578125" style="16" customWidth="1"/>
    <col min="3843" max="3843" width="10.7109375" style="16" bestFit="1" customWidth="1"/>
    <col min="3844" max="3844" width="6.7109375" style="16" bestFit="1" customWidth="1"/>
    <col min="3845" max="3845" width="8.5703125" style="16" bestFit="1" customWidth="1"/>
    <col min="3846" max="3846" width="9.28515625" style="16" bestFit="1" customWidth="1"/>
    <col min="3847" max="3847" width="10.42578125" style="16" bestFit="1" customWidth="1"/>
    <col min="3848" max="3848" width="10.28515625" style="16" bestFit="1" customWidth="1"/>
    <col min="3849" max="3849" width="7.140625" style="16" bestFit="1" customWidth="1"/>
    <col min="3850" max="3850" width="7.28515625" style="16" customWidth="1"/>
    <col min="3851" max="3852" width="7" style="16" bestFit="1" customWidth="1"/>
    <col min="3853" max="3853" width="6.85546875" style="16" bestFit="1" customWidth="1"/>
    <col min="3854" max="3854" width="7" style="16" bestFit="1" customWidth="1"/>
    <col min="3855" max="3855" width="7.140625" style="16" bestFit="1"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8.42578125" style="16" customWidth="1"/>
    <col min="4099" max="4099" width="10.7109375" style="16" bestFit="1" customWidth="1"/>
    <col min="4100" max="4100" width="6.7109375" style="16" bestFit="1" customWidth="1"/>
    <col min="4101" max="4101" width="8.5703125" style="16" bestFit="1" customWidth="1"/>
    <col min="4102" max="4102" width="9.28515625" style="16" bestFit="1" customWidth="1"/>
    <col min="4103" max="4103" width="10.42578125" style="16" bestFit="1" customWidth="1"/>
    <col min="4104" max="4104" width="10.28515625" style="16" bestFit="1" customWidth="1"/>
    <col min="4105" max="4105" width="7.140625" style="16" bestFit="1" customWidth="1"/>
    <col min="4106" max="4106" width="7.28515625" style="16" customWidth="1"/>
    <col min="4107" max="4108" width="7" style="16" bestFit="1" customWidth="1"/>
    <col min="4109" max="4109" width="6.85546875" style="16" bestFit="1" customWidth="1"/>
    <col min="4110" max="4110" width="7" style="16" bestFit="1" customWidth="1"/>
    <col min="4111" max="4111" width="7.140625" style="16" bestFit="1"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8.42578125" style="16" customWidth="1"/>
    <col min="4355" max="4355" width="10.7109375" style="16" bestFit="1" customWidth="1"/>
    <col min="4356" max="4356" width="6.7109375" style="16" bestFit="1" customWidth="1"/>
    <col min="4357" max="4357" width="8.5703125" style="16" bestFit="1" customWidth="1"/>
    <col min="4358" max="4358" width="9.28515625" style="16" bestFit="1" customWidth="1"/>
    <col min="4359" max="4359" width="10.42578125" style="16" bestFit="1" customWidth="1"/>
    <col min="4360" max="4360" width="10.28515625" style="16" bestFit="1" customWidth="1"/>
    <col min="4361" max="4361" width="7.140625" style="16" bestFit="1" customWidth="1"/>
    <col min="4362" max="4362" width="7.28515625" style="16" customWidth="1"/>
    <col min="4363" max="4364" width="7" style="16" bestFit="1" customWidth="1"/>
    <col min="4365" max="4365" width="6.85546875" style="16" bestFit="1" customWidth="1"/>
    <col min="4366" max="4366" width="7" style="16" bestFit="1" customWidth="1"/>
    <col min="4367" max="4367" width="7.140625" style="16" bestFit="1"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8.42578125" style="16" customWidth="1"/>
    <col min="4611" max="4611" width="10.7109375" style="16" bestFit="1" customWidth="1"/>
    <col min="4612" max="4612" width="6.7109375" style="16" bestFit="1" customWidth="1"/>
    <col min="4613" max="4613" width="8.5703125" style="16" bestFit="1" customWidth="1"/>
    <col min="4614" max="4614" width="9.28515625" style="16" bestFit="1" customWidth="1"/>
    <col min="4615" max="4615" width="10.42578125" style="16" bestFit="1" customWidth="1"/>
    <col min="4616" max="4616" width="10.28515625" style="16" bestFit="1" customWidth="1"/>
    <col min="4617" max="4617" width="7.140625" style="16" bestFit="1" customWidth="1"/>
    <col min="4618" max="4618" width="7.28515625" style="16" customWidth="1"/>
    <col min="4619" max="4620" width="7" style="16" bestFit="1" customWidth="1"/>
    <col min="4621" max="4621" width="6.85546875" style="16" bestFit="1" customWidth="1"/>
    <col min="4622" max="4622" width="7" style="16" bestFit="1" customWidth="1"/>
    <col min="4623" max="4623" width="7.140625" style="16" bestFit="1"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8.42578125" style="16" customWidth="1"/>
    <col min="4867" max="4867" width="10.7109375" style="16" bestFit="1" customWidth="1"/>
    <col min="4868" max="4868" width="6.7109375" style="16" bestFit="1" customWidth="1"/>
    <col min="4869" max="4869" width="8.5703125" style="16" bestFit="1" customWidth="1"/>
    <col min="4870" max="4870" width="9.28515625" style="16" bestFit="1" customWidth="1"/>
    <col min="4871" max="4871" width="10.42578125" style="16" bestFit="1" customWidth="1"/>
    <col min="4872" max="4872" width="10.28515625" style="16" bestFit="1" customWidth="1"/>
    <col min="4873" max="4873" width="7.140625" style="16" bestFit="1" customWidth="1"/>
    <col min="4874" max="4874" width="7.28515625" style="16" customWidth="1"/>
    <col min="4875" max="4876" width="7" style="16" bestFit="1" customWidth="1"/>
    <col min="4877" max="4877" width="6.85546875" style="16" bestFit="1" customWidth="1"/>
    <col min="4878" max="4878" width="7" style="16" bestFit="1" customWidth="1"/>
    <col min="4879" max="4879" width="7.140625" style="16" bestFit="1"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8.42578125" style="16" customWidth="1"/>
    <col min="5123" max="5123" width="10.7109375" style="16" bestFit="1" customWidth="1"/>
    <col min="5124" max="5124" width="6.7109375" style="16" bestFit="1" customWidth="1"/>
    <col min="5125" max="5125" width="8.5703125" style="16" bestFit="1" customWidth="1"/>
    <col min="5126" max="5126" width="9.28515625" style="16" bestFit="1" customWidth="1"/>
    <col min="5127" max="5127" width="10.42578125" style="16" bestFit="1" customWidth="1"/>
    <col min="5128" max="5128" width="10.28515625" style="16" bestFit="1" customWidth="1"/>
    <col min="5129" max="5129" width="7.140625" style="16" bestFit="1" customWidth="1"/>
    <col min="5130" max="5130" width="7.28515625" style="16" customWidth="1"/>
    <col min="5131" max="5132" width="7" style="16" bestFit="1" customWidth="1"/>
    <col min="5133" max="5133" width="6.85546875" style="16" bestFit="1" customWidth="1"/>
    <col min="5134" max="5134" width="7" style="16" bestFit="1" customWidth="1"/>
    <col min="5135" max="5135" width="7.140625" style="16" bestFit="1"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8.42578125" style="16" customWidth="1"/>
    <col min="5379" max="5379" width="10.7109375" style="16" bestFit="1" customWidth="1"/>
    <col min="5380" max="5380" width="6.7109375" style="16" bestFit="1" customWidth="1"/>
    <col min="5381" max="5381" width="8.5703125" style="16" bestFit="1" customWidth="1"/>
    <col min="5382" max="5382" width="9.28515625" style="16" bestFit="1" customWidth="1"/>
    <col min="5383" max="5383" width="10.42578125" style="16" bestFit="1" customWidth="1"/>
    <col min="5384" max="5384" width="10.28515625" style="16" bestFit="1" customWidth="1"/>
    <col min="5385" max="5385" width="7.140625" style="16" bestFit="1" customWidth="1"/>
    <col min="5386" max="5386" width="7.28515625" style="16" customWidth="1"/>
    <col min="5387" max="5388" width="7" style="16" bestFit="1" customWidth="1"/>
    <col min="5389" max="5389" width="6.85546875" style="16" bestFit="1" customWidth="1"/>
    <col min="5390" max="5390" width="7" style="16" bestFit="1" customWidth="1"/>
    <col min="5391" max="5391" width="7.140625" style="16" bestFit="1"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8.42578125" style="16" customWidth="1"/>
    <col min="5635" max="5635" width="10.7109375" style="16" bestFit="1" customWidth="1"/>
    <col min="5636" max="5636" width="6.7109375" style="16" bestFit="1" customWidth="1"/>
    <col min="5637" max="5637" width="8.5703125" style="16" bestFit="1" customWidth="1"/>
    <col min="5638" max="5638" width="9.28515625" style="16" bestFit="1" customWidth="1"/>
    <col min="5639" max="5639" width="10.42578125" style="16" bestFit="1" customWidth="1"/>
    <col min="5640" max="5640" width="10.28515625" style="16" bestFit="1" customWidth="1"/>
    <col min="5641" max="5641" width="7.140625" style="16" bestFit="1" customWidth="1"/>
    <col min="5642" max="5642" width="7.28515625" style="16" customWidth="1"/>
    <col min="5643" max="5644" width="7" style="16" bestFit="1" customWidth="1"/>
    <col min="5645" max="5645" width="6.85546875" style="16" bestFit="1" customWidth="1"/>
    <col min="5646" max="5646" width="7" style="16" bestFit="1" customWidth="1"/>
    <col min="5647" max="5647" width="7.140625" style="16" bestFit="1"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8.42578125" style="16" customWidth="1"/>
    <col min="5891" max="5891" width="10.7109375" style="16" bestFit="1" customWidth="1"/>
    <col min="5892" max="5892" width="6.7109375" style="16" bestFit="1" customWidth="1"/>
    <col min="5893" max="5893" width="8.5703125" style="16" bestFit="1" customWidth="1"/>
    <col min="5894" max="5894" width="9.28515625" style="16" bestFit="1" customWidth="1"/>
    <col min="5895" max="5895" width="10.42578125" style="16" bestFit="1" customWidth="1"/>
    <col min="5896" max="5896" width="10.28515625" style="16" bestFit="1" customWidth="1"/>
    <col min="5897" max="5897" width="7.140625" style="16" bestFit="1" customWidth="1"/>
    <col min="5898" max="5898" width="7.28515625" style="16" customWidth="1"/>
    <col min="5899" max="5900" width="7" style="16" bestFit="1" customWidth="1"/>
    <col min="5901" max="5901" width="6.85546875" style="16" bestFit="1" customWidth="1"/>
    <col min="5902" max="5902" width="7" style="16" bestFit="1" customWidth="1"/>
    <col min="5903" max="5903" width="7.140625" style="16" bestFit="1"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8.42578125" style="16" customWidth="1"/>
    <col min="6147" max="6147" width="10.7109375" style="16" bestFit="1" customWidth="1"/>
    <col min="6148" max="6148" width="6.7109375" style="16" bestFit="1" customWidth="1"/>
    <col min="6149" max="6149" width="8.5703125" style="16" bestFit="1" customWidth="1"/>
    <col min="6150" max="6150" width="9.28515625" style="16" bestFit="1" customWidth="1"/>
    <col min="6151" max="6151" width="10.42578125" style="16" bestFit="1" customWidth="1"/>
    <col min="6152" max="6152" width="10.28515625" style="16" bestFit="1" customWidth="1"/>
    <col min="6153" max="6153" width="7.140625" style="16" bestFit="1" customWidth="1"/>
    <col min="6154" max="6154" width="7.28515625" style="16" customWidth="1"/>
    <col min="6155" max="6156" width="7" style="16" bestFit="1" customWidth="1"/>
    <col min="6157" max="6157" width="6.85546875" style="16" bestFit="1" customWidth="1"/>
    <col min="6158" max="6158" width="7" style="16" bestFit="1" customWidth="1"/>
    <col min="6159" max="6159" width="7.140625" style="16" bestFit="1"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8.42578125" style="16" customWidth="1"/>
    <col min="6403" max="6403" width="10.7109375" style="16" bestFit="1" customWidth="1"/>
    <col min="6404" max="6404" width="6.7109375" style="16" bestFit="1" customWidth="1"/>
    <col min="6405" max="6405" width="8.5703125" style="16" bestFit="1" customWidth="1"/>
    <col min="6406" max="6406" width="9.28515625" style="16" bestFit="1" customWidth="1"/>
    <col min="6407" max="6407" width="10.42578125" style="16" bestFit="1" customWidth="1"/>
    <col min="6408" max="6408" width="10.28515625" style="16" bestFit="1" customWidth="1"/>
    <col min="6409" max="6409" width="7.140625" style="16" bestFit="1" customWidth="1"/>
    <col min="6410" max="6410" width="7.28515625" style="16" customWidth="1"/>
    <col min="6411" max="6412" width="7" style="16" bestFit="1" customWidth="1"/>
    <col min="6413" max="6413" width="6.85546875" style="16" bestFit="1" customWidth="1"/>
    <col min="6414" max="6414" width="7" style="16" bestFit="1" customWidth="1"/>
    <col min="6415" max="6415" width="7.140625" style="16" bestFit="1"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8.42578125" style="16" customWidth="1"/>
    <col min="6659" max="6659" width="10.7109375" style="16" bestFit="1" customWidth="1"/>
    <col min="6660" max="6660" width="6.7109375" style="16" bestFit="1" customWidth="1"/>
    <col min="6661" max="6661" width="8.5703125" style="16" bestFit="1" customWidth="1"/>
    <col min="6662" max="6662" width="9.28515625" style="16" bestFit="1" customWidth="1"/>
    <col min="6663" max="6663" width="10.42578125" style="16" bestFit="1" customWidth="1"/>
    <col min="6664" max="6664" width="10.28515625" style="16" bestFit="1" customWidth="1"/>
    <col min="6665" max="6665" width="7.140625" style="16" bestFit="1" customWidth="1"/>
    <col min="6666" max="6666" width="7.28515625" style="16" customWidth="1"/>
    <col min="6667" max="6668" width="7" style="16" bestFit="1" customWidth="1"/>
    <col min="6669" max="6669" width="6.85546875" style="16" bestFit="1" customWidth="1"/>
    <col min="6670" max="6670" width="7" style="16" bestFit="1" customWidth="1"/>
    <col min="6671" max="6671" width="7.140625" style="16" bestFit="1"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8.42578125" style="16" customWidth="1"/>
    <col min="6915" max="6915" width="10.7109375" style="16" bestFit="1" customWidth="1"/>
    <col min="6916" max="6916" width="6.7109375" style="16" bestFit="1" customWidth="1"/>
    <col min="6917" max="6917" width="8.5703125" style="16" bestFit="1" customWidth="1"/>
    <col min="6918" max="6918" width="9.28515625" style="16" bestFit="1" customWidth="1"/>
    <col min="6919" max="6919" width="10.42578125" style="16" bestFit="1" customWidth="1"/>
    <col min="6920" max="6920" width="10.28515625" style="16" bestFit="1" customWidth="1"/>
    <col min="6921" max="6921" width="7.140625" style="16" bestFit="1" customWidth="1"/>
    <col min="6922" max="6922" width="7.28515625" style="16" customWidth="1"/>
    <col min="6923" max="6924" width="7" style="16" bestFit="1" customWidth="1"/>
    <col min="6925" max="6925" width="6.85546875" style="16" bestFit="1" customWidth="1"/>
    <col min="6926" max="6926" width="7" style="16" bestFit="1" customWidth="1"/>
    <col min="6927" max="6927" width="7.140625" style="16" bestFit="1"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8.42578125" style="16" customWidth="1"/>
    <col min="7171" max="7171" width="10.7109375" style="16" bestFit="1" customWidth="1"/>
    <col min="7172" max="7172" width="6.7109375" style="16" bestFit="1" customWidth="1"/>
    <col min="7173" max="7173" width="8.5703125" style="16" bestFit="1" customWidth="1"/>
    <col min="7174" max="7174" width="9.28515625" style="16" bestFit="1" customWidth="1"/>
    <col min="7175" max="7175" width="10.42578125" style="16" bestFit="1" customWidth="1"/>
    <col min="7176" max="7176" width="10.28515625" style="16" bestFit="1" customWidth="1"/>
    <col min="7177" max="7177" width="7.140625" style="16" bestFit="1" customWidth="1"/>
    <col min="7178" max="7178" width="7.28515625" style="16" customWidth="1"/>
    <col min="7179" max="7180" width="7" style="16" bestFit="1" customWidth="1"/>
    <col min="7181" max="7181" width="6.85546875" style="16" bestFit="1" customWidth="1"/>
    <col min="7182" max="7182" width="7" style="16" bestFit="1" customWidth="1"/>
    <col min="7183" max="7183" width="7.140625" style="16" bestFit="1"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8.42578125" style="16" customWidth="1"/>
    <col min="7427" max="7427" width="10.7109375" style="16" bestFit="1" customWidth="1"/>
    <col min="7428" max="7428" width="6.7109375" style="16" bestFit="1" customWidth="1"/>
    <col min="7429" max="7429" width="8.5703125" style="16" bestFit="1" customWidth="1"/>
    <col min="7430" max="7430" width="9.28515625" style="16" bestFit="1" customWidth="1"/>
    <col min="7431" max="7431" width="10.42578125" style="16" bestFit="1" customWidth="1"/>
    <col min="7432" max="7432" width="10.28515625" style="16" bestFit="1" customWidth="1"/>
    <col min="7433" max="7433" width="7.140625" style="16" bestFit="1" customWidth="1"/>
    <col min="7434" max="7434" width="7.28515625" style="16" customWidth="1"/>
    <col min="7435" max="7436" width="7" style="16" bestFit="1" customWidth="1"/>
    <col min="7437" max="7437" width="6.85546875" style="16" bestFit="1" customWidth="1"/>
    <col min="7438" max="7438" width="7" style="16" bestFit="1" customWidth="1"/>
    <col min="7439" max="7439" width="7.140625" style="16" bestFit="1"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8.42578125" style="16" customWidth="1"/>
    <col min="7683" max="7683" width="10.7109375" style="16" bestFit="1" customWidth="1"/>
    <col min="7684" max="7684" width="6.7109375" style="16" bestFit="1" customWidth="1"/>
    <col min="7685" max="7685" width="8.5703125" style="16" bestFit="1" customWidth="1"/>
    <col min="7686" max="7686" width="9.28515625" style="16" bestFit="1" customWidth="1"/>
    <col min="7687" max="7687" width="10.42578125" style="16" bestFit="1" customWidth="1"/>
    <col min="7688" max="7688" width="10.28515625" style="16" bestFit="1" customWidth="1"/>
    <col min="7689" max="7689" width="7.140625" style="16" bestFit="1" customWidth="1"/>
    <col min="7690" max="7690" width="7.28515625" style="16" customWidth="1"/>
    <col min="7691" max="7692" width="7" style="16" bestFit="1" customWidth="1"/>
    <col min="7693" max="7693" width="6.85546875" style="16" bestFit="1" customWidth="1"/>
    <col min="7694" max="7694" width="7" style="16" bestFit="1" customWidth="1"/>
    <col min="7695" max="7695" width="7.140625" style="16" bestFit="1"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8.42578125" style="16" customWidth="1"/>
    <col min="7939" max="7939" width="10.7109375" style="16" bestFit="1" customWidth="1"/>
    <col min="7940" max="7940" width="6.7109375" style="16" bestFit="1" customWidth="1"/>
    <col min="7941" max="7941" width="8.5703125" style="16" bestFit="1" customWidth="1"/>
    <col min="7942" max="7942" width="9.28515625" style="16" bestFit="1" customWidth="1"/>
    <col min="7943" max="7943" width="10.42578125" style="16" bestFit="1" customWidth="1"/>
    <col min="7944" max="7944" width="10.28515625" style="16" bestFit="1" customWidth="1"/>
    <col min="7945" max="7945" width="7.140625" style="16" bestFit="1" customWidth="1"/>
    <col min="7946" max="7946" width="7.28515625" style="16" customWidth="1"/>
    <col min="7947" max="7948" width="7" style="16" bestFit="1" customWidth="1"/>
    <col min="7949" max="7949" width="6.85546875" style="16" bestFit="1" customWidth="1"/>
    <col min="7950" max="7950" width="7" style="16" bestFit="1" customWidth="1"/>
    <col min="7951" max="7951" width="7.140625" style="16" bestFit="1"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8.42578125" style="16" customWidth="1"/>
    <col min="8195" max="8195" width="10.7109375" style="16" bestFit="1" customWidth="1"/>
    <col min="8196" max="8196" width="6.7109375" style="16" bestFit="1" customWidth="1"/>
    <col min="8197" max="8197" width="8.5703125" style="16" bestFit="1" customWidth="1"/>
    <col min="8198" max="8198" width="9.28515625" style="16" bestFit="1" customWidth="1"/>
    <col min="8199" max="8199" width="10.42578125" style="16" bestFit="1" customWidth="1"/>
    <col min="8200" max="8200" width="10.28515625" style="16" bestFit="1" customWidth="1"/>
    <col min="8201" max="8201" width="7.140625" style="16" bestFit="1" customWidth="1"/>
    <col min="8202" max="8202" width="7.28515625" style="16" customWidth="1"/>
    <col min="8203" max="8204" width="7" style="16" bestFit="1" customWidth="1"/>
    <col min="8205" max="8205" width="6.85546875" style="16" bestFit="1" customWidth="1"/>
    <col min="8206" max="8206" width="7" style="16" bestFit="1" customWidth="1"/>
    <col min="8207" max="8207" width="7.140625" style="16" bestFit="1"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8.42578125" style="16" customWidth="1"/>
    <col min="8451" max="8451" width="10.7109375" style="16" bestFit="1" customWidth="1"/>
    <col min="8452" max="8452" width="6.7109375" style="16" bestFit="1" customWidth="1"/>
    <col min="8453" max="8453" width="8.5703125" style="16" bestFit="1" customWidth="1"/>
    <col min="8454" max="8454" width="9.28515625" style="16" bestFit="1" customWidth="1"/>
    <col min="8455" max="8455" width="10.42578125" style="16" bestFit="1" customWidth="1"/>
    <col min="8456" max="8456" width="10.28515625" style="16" bestFit="1" customWidth="1"/>
    <col min="8457" max="8457" width="7.140625" style="16" bestFit="1" customWidth="1"/>
    <col min="8458" max="8458" width="7.28515625" style="16" customWidth="1"/>
    <col min="8459" max="8460" width="7" style="16" bestFit="1" customWidth="1"/>
    <col min="8461" max="8461" width="6.85546875" style="16" bestFit="1" customWidth="1"/>
    <col min="8462" max="8462" width="7" style="16" bestFit="1" customWidth="1"/>
    <col min="8463" max="8463" width="7.140625" style="16" bestFit="1"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8.42578125" style="16" customWidth="1"/>
    <col min="8707" max="8707" width="10.7109375" style="16" bestFit="1" customWidth="1"/>
    <col min="8708" max="8708" width="6.7109375" style="16" bestFit="1" customWidth="1"/>
    <col min="8709" max="8709" width="8.5703125" style="16" bestFit="1" customWidth="1"/>
    <col min="8710" max="8710" width="9.28515625" style="16" bestFit="1" customWidth="1"/>
    <col min="8711" max="8711" width="10.42578125" style="16" bestFit="1" customWidth="1"/>
    <col min="8712" max="8712" width="10.28515625" style="16" bestFit="1" customWidth="1"/>
    <col min="8713" max="8713" width="7.140625" style="16" bestFit="1" customWidth="1"/>
    <col min="8714" max="8714" width="7.28515625" style="16" customWidth="1"/>
    <col min="8715" max="8716" width="7" style="16" bestFit="1" customWidth="1"/>
    <col min="8717" max="8717" width="6.85546875" style="16" bestFit="1" customWidth="1"/>
    <col min="8718" max="8718" width="7" style="16" bestFit="1" customWidth="1"/>
    <col min="8719" max="8719" width="7.140625" style="16" bestFit="1"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8.42578125" style="16" customWidth="1"/>
    <col min="8963" max="8963" width="10.7109375" style="16" bestFit="1" customWidth="1"/>
    <col min="8964" max="8964" width="6.7109375" style="16" bestFit="1" customWidth="1"/>
    <col min="8965" max="8965" width="8.5703125" style="16" bestFit="1" customWidth="1"/>
    <col min="8966" max="8966" width="9.28515625" style="16" bestFit="1" customWidth="1"/>
    <col min="8967" max="8967" width="10.42578125" style="16" bestFit="1" customWidth="1"/>
    <col min="8968" max="8968" width="10.28515625" style="16" bestFit="1" customWidth="1"/>
    <col min="8969" max="8969" width="7.140625" style="16" bestFit="1" customWidth="1"/>
    <col min="8970" max="8970" width="7.28515625" style="16" customWidth="1"/>
    <col min="8971" max="8972" width="7" style="16" bestFit="1" customWidth="1"/>
    <col min="8973" max="8973" width="6.85546875" style="16" bestFit="1" customWidth="1"/>
    <col min="8974" max="8974" width="7" style="16" bestFit="1" customWidth="1"/>
    <col min="8975" max="8975" width="7.140625" style="16" bestFit="1"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8.42578125" style="16" customWidth="1"/>
    <col min="9219" max="9219" width="10.7109375" style="16" bestFit="1" customWidth="1"/>
    <col min="9220" max="9220" width="6.7109375" style="16" bestFit="1" customWidth="1"/>
    <col min="9221" max="9221" width="8.5703125" style="16" bestFit="1" customWidth="1"/>
    <col min="9222" max="9222" width="9.28515625" style="16" bestFit="1" customWidth="1"/>
    <col min="9223" max="9223" width="10.42578125" style="16" bestFit="1" customWidth="1"/>
    <col min="9224" max="9224" width="10.28515625" style="16" bestFit="1" customWidth="1"/>
    <col min="9225" max="9225" width="7.140625" style="16" bestFit="1" customWidth="1"/>
    <col min="9226" max="9226" width="7.28515625" style="16" customWidth="1"/>
    <col min="9227" max="9228" width="7" style="16" bestFit="1" customWidth="1"/>
    <col min="9229" max="9229" width="6.85546875" style="16" bestFit="1" customWidth="1"/>
    <col min="9230" max="9230" width="7" style="16" bestFit="1" customWidth="1"/>
    <col min="9231" max="9231" width="7.140625" style="16" bestFit="1"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8.42578125" style="16" customWidth="1"/>
    <col min="9475" max="9475" width="10.7109375" style="16" bestFit="1" customWidth="1"/>
    <col min="9476" max="9476" width="6.7109375" style="16" bestFit="1" customWidth="1"/>
    <col min="9477" max="9477" width="8.5703125" style="16" bestFit="1" customWidth="1"/>
    <col min="9478" max="9478" width="9.28515625" style="16" bestFit="1" customWidth="1"/>
    <col min="9479" max="9479" width="10.42578125" style="16" bestFit="1" customWidth="1"/>
    <col min="9480" max="9480" width="10.28515625" style="16" bestFit="1" customWidth="1"/>
    <col min="9481" max="9481" width="7.140625" style="16" bestFit="1" customWidth="1"/>
    <col min="9482" max="9482" width="7.28515625" style="16" customWidth="1"/>
    <col min="9483" max="9484" width="7" style="16" bestFit="1" customWidth="1"/>
    <col min="9485" max="9485" width="6.85546875" style="16" bestFit="1" customWidth="1"/>
    <col min="9486" max="9486" width="7" style="16" bestFit="1" customWidth="1"/>
    <col min="9487" max="9487" width="7.140625" style="16" bestFit="1"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8.42578125" style="16" customWidth="1"/>
    <col min="9731" max="9731" width="10.7109375" style="16" bestFit="1" customWidth="1"/>
    <col min="9732" max="9732" width="6.7109375" style="16" bestFit="1" customWidth="1"/>
    <col min="9733" max="9733" width="8.5703125" style="16" bestFit="1" customWidth="1"/>
    <col min="9734" max="9734" width="9.28515625" style="16" bestFit="1" customWidth="1"/>
    <col min="9735" max="9735" width="10.42578125" style="16" bestFit="1" customWidth="1"/>
    <col min="9736" max="9736" width="10.28515625" style="16" bestFit="1" customWidth="1"/>
    <col min="9737" max="9737" width="7.140625" style="16" bestFit="1" customWidth="1"/>
    <col min="9738" max="9738" width="7.28515625" style="16" customWidth="1"/>
    <col min="9739" max="9740" width="7" style="16" bestFit="1" customWidth="1"/>
    <col min="9741" max="9741" width="6.85546875" style="16" bestFit="1" customWidth="1"/>
    <col min="9742" max="9742" width="7" style="16" bestFit="1" customWidth="1"/>
    <col min="9743" max="9743" width="7.140625" style="16" bestFit="1"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8.42578125" style="16" customWidth="1"/>
    <col min="9987" max="9987" width="10.7109375" style="16" bestFit="1" customWidth="1"/>
    <col min="9988" max="9988" width="6.7109375" style="16" bestFit="1" customWidth="1"/>
    <col min="9989" max="9989" width="8.5703125" style="16" bestFit="1" customWidth="1"/>
    <col min="9990" max="9990" width="9.28515625" style="16" bestFit="1" customWidth="1"/>
    <col min="9991" max="9991" width="10.42578125" style="16" bestFit="1" customWidth="1"/>
    <col min="9992" max="9992" width="10.28515625" style="16" bestFit="1" customWidth="1"/>
    <col min="9993" max="9993" width="7.140625" style="16" bestFit="1" customWidth="1"/>
    <col min="9994" max="9994" width="7.28515625" style="16" customWidth="1"/>
    <col min="9995" max="9996" width="7" style="16" bestFit="1" customWidth="1"/>
    <col min="9997" max="9997" width="6.85546875" style="16" bestFit="1" customWidth="1"/>
    <col min="9998" max="9998" width="7" style="16" bestFit="1" customWidth="1"/>
    <col min="9999" max="9999" width="7.140625" style="16" bestFit="1"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8.42578125" style="16" customWidth="1"/>
    <col min="10243" max="10243" width="10.7109375" style="16" bestFit="1" customWidth="1"/>
    <col min="10244" max="10244" width="6.7109375" style="16" bestFit="1" customWidth="1"/>
    <col min="10245" max="10245" width="8.5703125" style="16" bestFit="1" customWidth="1"/>
    <col min="10246" max="10246" width="9.28515625" style="16" bestFit="1" customWidth="1"/>
    <col min="10247" max="10247" width="10.42578125" style="16" bestFit="1" customWidth="1"/>
    <col min="10248" max="10248" width="10.28515625" style="16" bestFit="1" customWidth="1"/>
    <col min="10249" max="10249" width="7.140625" style="16" bestFit="1" customWidth="1"/>
    <col min="10250" max="10250" width="7.28515625" style="16" customWidth="1"/>
    <col min="10251" max="10252" width="7" style="16" bestFit="1" customWidth="1"/>
    <col min="10253" max="10253" width="6.85546875" style="16" bestFit="1" customWidth="1"/>
    <col min="10254" max="10254" width="7" style="16" bestFit="1" customWidth="1"/>
    <col min="10255" max="10255" width="7.140625" style="16" bestFit="1"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8.42578125" style="16" customWidth="1"/>
    <col min="10499" max="10499" width="10.7109375" style="16" bestFit="1" customWidth="1"/>
    <col min="10500" max="10500" width="6.7109375" style="16" bestFit="1" customWidth="1"/>
    <col min="10501" max="10501" width="8.5703125" style="16" bestFit="1" customWidth="1"/>
    <col min="10502" max="10502" width="9.28515625" style="16" bestFit="1" customWidth="1"/>
    <col min="10503" max="10503" width="10.42578125" style="16" bestFit="1" customWidth="1"/>
    <col min="10504" max="10504" width="10.28515625" style="16" bestFit="1" customWidth="1"/>
    <col min="10505" max="10505" width="7.140625" style="16" bestFit="1" customWidth="1"/>
    <col min="10506" max="10506" width="7.28515625" style="16" customWidth="1"/>
    <col min="10507" max="10508" width="7" style="16" bestFit="1" customWidth="1"/>
    <col min="10509" max="10509" width="6.85546875" style="16" bestFit="1" customWidth="1"/>
    <col min="10510" max="10510" width="7" style="16" bestFit="1" customWidth="1"/>
    <col min="10511" max="10511" width="7.140625" style="16" bestFit="1"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8.42578125" style="16" customWidth="1"/>
    <col min="10755" max="10755" width="10.7109375" style="16" bestFit="1" customWidth="1"/>
    <col min="10756" max="10756" width="6.7109375" style="16" bestFit="1" customWidth="1"/>
    <col min="10757" max="10757" width="8.5703125" style="16" bestFit="1" customWidth="1"/>
    <col min="10758" max="10758" width="9.28515625" style="16" bestFit="1" customWidth="1"/>
    <col min="10759" max="10759" width="10.42578125" style="16" bestFit="1" customWidth="1"/>
    <col min="10760" max="10760" width="10.28515625" style="16" bestFit="1" customWidth="1"/>
    <col min="10761" max="10761" width="7.140625" style="16" bestFit="1" customWidth="1"/>
    <col min="10762" max="10762" width="7.28515625" style="16" customWidth="1"/>
    <col min="10763" max="10764" width="7" style="16" bestFit="1" customWidth="1"/>
    <col min="10765" max="10765" width="6.85546875" style="16" bestFit="1" customWidth="1"/>
    <col min="10766" max="10766" width="7" style="16" bestFit="1" customWidth="1"/>
    <col min="10767" max="10767" width="7.140625" style="16" bestFit="1"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8.42578125" style="16" customWidth="1"/>
    <col min="11011" max="11011" width="10.7109375" style="16" bestFit="1" customWidth="1"/>
    <col min="11012" max="11012" width="6.7109375" style="16" bestFit="1" customWidth="1"/>
    <col min="11013" max="11013" width="8.5703125" style="16" bestFit="1" customWidth="1"/>
    <col min="11014" max="11014" width="9.28515625" style="16" bestFit="1" customWidth="1"/>
    <col min="11015" max="11015" width="10.42578125" style="16" bestFit="1" customWidth="1"/>
    <col min="11016" max="11016" width="10.28515625" style="16" bestFit="1" customWidth="1"/>
    <col min="11017" max="11017" width="7.140625" style="16" bestFit="1" customWidth="1"/>
    <col min="11018" max="11018" width="7.28515625" style="16" customWidth="1"/>
    <col min="11019" max="11020" width="7" style="16" bestFit="1" customWidth="1"/>
    <col min="11021" max="11021" width="6.85546875" style="16" bestFit="1" customWidth="1"/>
    <col min="11022" max="11022" width="7" style="16" bestFit="1" customWidth="1"/>
    <col min="11023" max="11023" width="7.140625" style="16" bestFit="1"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8.42578125" style="16" customWidth="1"/>
    <col min="11267" max="11267" width="10.7109375" style="16" bestFit="1" customWidth="1"/>
    <col min="11268" max="11268" width="6.7109375" style="16" bestFit="1" customWidth="1"/>
    <col min="11269" max="11269" width="8.5703125" style="16" bestFit="1" customWidth="1"/>
    <col min="11270" max="11270" width="9.28515625" style="16" bestFit="1" customWidth="1"/>
    <col min="11271" max="11271" width="10.42578125" style="16" bestFit="1" customWidth="1"/>
    <col min="11272" max="11272" width="10.28515625" style="16" bestFit="1" customWidth="1"/>
    <col min="11273" max="11273" width="7.140625" style="16" bestFit="1" customWidth="1"/>
    <col min="11274" max="11274" width="7.28515625" style="16" customWidth="1"/>
    <col min="11275" max="11276" width="7" style="16" bestFit="1" customWidth="1"/>
    <col min="11277" max="11277" width="6.85546875" style="16" bestFit="1" customWidth="1"/>
    <col min="11278" max="11278" width="7" style="16" bestFit="1" customWidth="1"/>
    <col min="11279" max="11279" width="7.140625" style="16" bestFit="1"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8.42578125" style="16" customWidth="1"/>
    <col min="11523" max="11523" width="10.7109375" style="16" bestFit="1" customWidth="1"/>
    <col min="11524" max="11524" width="6.7109375" style="16" bestFit="1" customWidth="1"/>
    <col min="11525" max="11525" width="8.5703125" style="16" bestFit="1" customWidth="1"/>
    <col min="11526" max="11526" width="9.28515625" style="16" bestFit="1" customWidth="1"/>
    <col min="11527" max="11527" width="10.42578125" style="16" bestFit="1" customWidth="1"/>
    <col min="11528" max="11528" width="10.28515625" style="16" bestFit="1" customWidth="1"/>
    <col min="11529" max="11529" width="7.140625" style="16" bestFit="1" customWidth="1"/>
    <col min="11530" max="11530" width="7.28515625" style="16" customWidth="1"/>
    <col min="11531" max="11532" width="7" style="16" bestFit="1" customWidth="1"/>
    <col min="11533" max="11533" width="6.85546875" style="16" bestFit="1" customWidth="1"/>
    <col min="11534" max="11534" width="7" style="16" bestFit="1" customWidth="1"/>
    <col min="11535" max="11535" width="7.140625" style="16" bestFit="1"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8.42578125" style="16" customWidth="1"/>
    <col min="11779" max="11779" width="10.7109375" style="16" bestFit="1" customWidth="1"/>
    <col min="11780" max="11780" width="6.7109375" style="16" bestFit="1" customWidth="1"/>
    <col min="11781" max="11781" width="8.5703125" style="16" bestFit="1" customWidth="1"/>
    <col min="11782" max="11782" width="9.28515625" style="16" bestFit="1" customWidth="1"/>
    <col min="11783" max="11783" width="10.42578125" style="16" bestFit="1" customWidth="1"/>
    <col min="11784" max="11784" width="10.28515625" style="16" bestFit="1" customWidth="1"/>
    <col min="11785" max="11785" width="7.140625" style="16" bestFit="1" customWidth="1"/>
    <col min="11786" max="11786" width="7.28515625" style="16" customWidth="1"/>
    <col min="11787" max="11788" width="7" style="16" bestFit="1" customWidth="1"/>
    <col min="11789" max="11789" width="6.85546875" style="16" bestFit="1" customWidth="1"/>
    <col min="11790" max="11790" width="7" style="16" bestFit="1" customWidth="1"/>
    <col min="11791" max="11791" width="7.140625" style="16" bestFit="1"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8.42578125" style="16" customWidth="1"/>
    <col min="12035" max="12035" width="10.7109375" style="16" bestFit="1" customWidth="1"/>
    <col min="12036" max="12036" width="6.7109375" style="16" bestFit="1" customWidth="1"/>
    <col min="12037" max="12037" width="8.5703125" style="16" bestFit="1" customWidth="1"/>
    <col min="12038" max="12038" width="9.28515625" style="16" bestFit="1" customWidth="1"/>
    <col min="12039" max="12039" width="10.42578125" style="16" bestFit="1" customWidth="1"/>
    <col min="12040" max="12040" width="10.28515625" style="16" bestFit="1" customWidth="1"/>
    <col min="12041" max="12041" width="7.140625" style="16" bestFit="1" customWidth="1"/>
    <col min="12042" max="12042" width="7.28515625" style="16" customWidth="1"/>
    <col min="12043" max="12044" width="7" style="16" bestFit="1" customWidth="1"/>
    <col min="12045" max="12045" width="6.85546875" style="16" bestFit="1" customWidth="1"/>
    <col min="12046" max="12046" width="7" style="16" bestFit="1" customWidth="1"/>
    <col min="12047" max="12047" width="7.140625" style="16" bestFit="1"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8.42578125" style="16" customWidth="1"/>
    <col min="12291" max="12291" width="10.7109375" style="16" bestFit="1" customWidth="1"/>
    <col min="12292" max="12292" width="6.7109375" style="16" bestFit="1" customWidth="1"/>
    <col min="12293" max="12293" width="8.5703125" style="16" bestFit="1" customWidth="1"/>
    <col min="12294" max="12294" width="9.28515625" style="16" bestFit="1" customWidth="1"/>
    <col min="12295" max="12295" width="10.42578125" style="16" bestFit="1" customWidth="1"/>
    <col min="12296" max="12296" width="10.28515625" style="16" bestFit="1" customWidth="1"/>
    <col min="12297" max="12297" width="7.140625" style="16" bestFit="1" customWidth="1"/>
    <col min="12298" max="12298" width="7.28515625" style="16" customWidth="1"/>
    <col min="12299" max="12300" width="7" style="16" bestFit="1" customWidth="1"/>
    <col min="12301" max="12301" width="6.85546875" style="16" bestFit="1" customWidth="1"/>
    <col min="12302" max="12302" width="7" style="16" bestFit="1" customWidth="1"/>
    <col min="12303" max="12303" width="7.140625" style="16" bestFit="1"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8.42578125" style="16" customWidth="1"/>
    <col min="12547" max="12547" width="10.7109375" style="16" bestFit="1" customWidth="1"/>
    <col min="12548" max="12548" width="6.7109375" style="16" bestFit="1" customWidth="1"/>
    <col min="12549" max="12549" width="8.5703125" style="16" bestFit="1" customWidth="1"/>
    <col min="12550" max="12550" width="9.28515625" style="16" bestFit="1" customWidth="1"/>
    <col min="12551" max="12551" width="10.42578125" style="16" bestFit="1" customWidth="1"/>
    <col min="12552" max="12552" width="10.28515625" style="16" bestFit="1" customWidth="1"/>
    <col min="12553" max="12553" width="7.140625" style="16" bestFit="1" customWidth="1"/>
    <col min="12554" max="12554" width="7.28515625" style="16" customWidth="1"/>
    <col min="12555" max="12556" width="7" style="16" bestFit="1" customWidth="1"/>
    <col min="12557" max="12557" width="6.85546875" style="16" bestFit="1" customWidth="1"/>
    <col min="12558" max="12558" width="7" style="16" bestFit="1" customWidth="1"/>
    <col min="12559" max="12559" width="7.140625" style="16" bestFit="1"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8.42578125" style="16" customWidth="1"/>
    <col min="12803" max="12803" width="10.7109375" style="16" bestFit="1" customWidth="1"/>
    <col min="12804" max="12804" width="6.7109375" style="16" bestFit="1" customWidth="1"/>
    <col min="12805" max="12805" width="8.5703125" style="16" bestFit="1" customWidth="1"/>
    <col min="12806" max="12806" width="9.28515625" style="16" bestFit="1" customWidth="1"/>
    <col min="12807" max="12807" width="10.42578125" style="16" bestFit="1" customWidth="1"/>
    <col min="12808" max="12808" width="10.28515625" style="16" bestFit="1" customWidth="1"/>
    <col min="12809" max="12809" width="7.140625" style="16" bestFit="1" customWidth="1"/>
    <col min="12810" max="12810" width="7.28515625" style="16" customWidth="1"/>
    <col min="12811" max="12812" width="7" style="16" bestFit="1" customWidth="1"/>
    <col min="12813" max="12813" width="6.85546875" style="16" bestFit="1" customWidth="1"/>
    <col min="12814" max="12814" width="7" style="16" bestFit="1" customWidth="1"/>
    <col min="12815" max="12815" width="7.140625" style="16" bestFit="1"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8.42578125" style="16" customWidth="1"/>
    <col min="13059" max="13059" width="10.7109375" style="16" bestFit="1" customWidth="1"/>
    <col min="13060" max="13060" width="6.7109375" style="16" bestFit="1" customWidth="1"/>
    <col min="13061" max="13061" width="8.5703125" style="16" bestFit="1" customWidth="1"/>
    <col min="13062" max="13062" width="9.28515625" style="16" bestFit="1" customWidth="1"/>
    <col min="13063" max="13063" width="10.42578125" style="16" bestFit="1" customWidth="1"/>
    <col min="13064" max="13064" width="10.28515625" style="16" bestFit="1" customWidth="1"/>
    <col min="13065" max="13065" width="7.140625" style="16" bestFit="1" customWidth="1"/>
    <col min="13066" max="13066" width="7.28515625" style="16" customWidth="1"/>
    <col min="13067" max="13068" width="7" style="16" bestFit="1" customWidth="1"/>
    <col min="13069" max="13069" width="6.85546875" style="16" bestFit="1" customWidth="1"/>
    <col min="13070" max="13070" width="7" style="16" bestFit="1" customWidth="1"/>
    <col min="13071" max="13071" width="7.140625" style="16" bestFit="1"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8.42578125" style="16" customWidth="1"/>
    <col min="13315" max="13315" width="10.7109375" style="16" bestFit="1" customWidth="1"/>
    <col min="13316" max="13316" width="6.7109375" style="16" bestFit="1" customWidth="1"/>
    <col min="13317" max="13317" width="8.5703125" style="16" bestFit="1" customWidth="1"/>
    <col min="13318" max="13318" width="9.28515625" style="16" bestFit="1" customWidth="1"/>
    <col min="13319" max="13319" width="10.42578125" style="16" bestFit="1" customWidth="1"/>
    <col min="13320" max="13320" width="10.28515625" style="16" bestFit="1" customWidth="1"/>
    <col min="13321" max="13321" width="7.140625" style="16" bestFit="1" customWidth="1"/>
    <col min="13322" max="13322" width="7.28515625" style="16" customWidth="1"/>
    <col min="13323" max="13324" width="7" style="16" bestFit="1" customWidth="1"/>
    <col min="13325" max="13325" width="6.85546875" style="16" bestFit="1" customWidth="1"/>
    <col min="13326" max="13326" width="7" style="16" bestFit="1" customWidth="1"/>
    <col min="13327" max="13327" width="7.140625" style="16" bestFit="1"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8.42578125" style="16" customWidth="1"/>
    <col min="13571" max="13571" width="10.7109375" style="16" bestFit="1" customWidth="1"/>
    <col min="13572" max="13572" width="6.7109375" style="16" bestFit="1" customWidth="1"/>
    <col min="13573" max="13573" width="8.5703125" style="16" bestFit="1" customWidth="1"/>
    <col min="13574" max="13574" width="9.28515625" style="16" bestFit="1" customWidth="1"/>
    <col min="13575" max="13575" width="10.42578125" style="16" bestFit="1" customWidth="1"/>
    <col min="13576" max="13576" width="10.28515625" style="16" bestFit="1" customWidth="1"/>
    <col min="13577" max="13577" width="7.140625" style="16" bestFit="1" customWidth="1"/>
    <col min="13578" max="13578" width="7.28515625" style="16" customWidth="1"/>
    <col min="13579" max="13580" width="7" style="16" bestFit="1" customWidth="1"/>
    <col min="13581" max="13581" width="6.85546875" style="16" bestFit="1" customWidth="1"/>
    <col min="13582" max="13582" width="7" style="16" bestFit="1" customWidth="1"/>
    <col min="13583" max="13583" width="7.140625" style="16" bestFit="1"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8.42578125" style="16" customWidth="1"/>
    <col min="13827" max="13827" width="10.7109375" style="16" bestFit="1" customWidth="1"/>
    <col min="13828" max="13828" width="6.7109375" style="16" bestFit="1" customWidth="1"/>
    <col min="13829" max="13829" width="8.5703125" style="16" bestFit="1" customWidth="1"/>
    <col min="13830" max="13830" width="9.28515625" style="16" bestFit="1" customWidth="1"/>
    <col min="13831" max="13831" width="10.42578125" style="16" bestFit="1" customWidth="1"/>
    <col min="13832" max="13832" width="10.28515625" style="16" bestFit="1" customWidth="1"/>
    <col min="13833" max="13833" width="7.140625" style="16" bestFit="1" customWidth="1"/>
    <col min="13834" max="13834" width="7.28515625" style="16" customWidth="1"/>
    <col min="13835" max="13836" width="7" style="16" bestFit="1" customWidth="1"/>
    <col min="13837" max="13837" width="6.85546875" style="16" bestFit="1" customWidth="1"/>
    <col min="13838" max="13838" width="7" style="16" bestFit="1" customWidth="1"/>
    <col min="13839" max="13839" width="7.140625" style="16" bestFit="1"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8.42578125" style="16" customWidth="1"/>
    <col min="14083" max="14083" width="10.7109375" style="16" bestFit="1" customWidth="1"/>
    <col min="14084" max="14084" width="6.7109375" style="16" bestFit="1" customWidth="1"/>
    <col min="14085" max="14085" width="8.5703125" style="16" bestFit="1" customWidth="1"/>
    <col min="14086" max="14086" width="9.28515625" style="16" bestFit="1" customWidth="1"/>
    <col min="14087" max="14087" width="10.42578125" style="16" bestFit="1" customWidth="1"/>
    <col min="14088" max="14088" width="10.28515625" style="16" bestFit="1" customWidth="1"/>
    <col min="14089" max="14089" width="7.140625" style="16" bestFit="1" customWidth="1"/>
    <col min="14090" max="14090" width="7.28515625" style="16" customWidth="1"/>
    <col min="14091" max="14092" width="7" style="16" bestFit="1" customWidth="1"/>
    <col min="14093" max="14093" width="6.85546875" style="16" bestFit="1" customWidth="1"/>
    <col min="14094" max="14094" width="7" style="16" bestFit="1" customWidth="1"/>
    <col min="14095" max="14095" width="7.140625" style="16" bestFit="1"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8.42578125" style="16" customWidth="1"/>
    <col min="14339" max="14339" width="10.7109375" style="16" bestFit="1" customWidth="1"/>
    <col min="14340" max="14340" width="6.7109375" style="16" bestFit="1" customWidth="1"/>
    <col min="14341" max="14341" width="8.5703125" style="16" bestFit="1" customWidth="1"/>
    <col min="14342" max="14342" width="9.28515625" style="16" bestFit="1" customWidth="1"/>
    <col min="14343" max="14343" width="10.42578125" style="16" bestFit="1" customWidth="1"/>
    <col min="14344" max="14344" width="10.28515625" style="16" bestFit="1" customWidth="1"/>
    <col min="14345" max="14345" width="7.140625" style="16" bestFit="1" customWidth="1"/>
    <col min="14346" max="14346" width="7.28515625" style="16" customWidth="1"/>
    <col min="14347" max="14348" width="7" style="16" bestFit="1" customWidth="1"/>
    <col min="14349" max="14349" width="6.85546875" style="16" bestFit="1" customWidth="1"/>
    <col min="14350" max="14350" width="7" style="16" bestFit="1" customWidth="1"/>
    <col min="14351" max="14351" width="7.140625" style="16" bestFit="1"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8.42578125" style="16" customWidth="1"/>
    <col min="14595" max="14595" width="10.7109375" style="16" bestFit="1" customWidth="1"/>
    <col min="14596" max="14596" width="6.7109375" style="16" bestFit="1" customWidth="1"/>
    <col min="14597" max="14597" width="8.5703125" style="16" bestFit="1" customWidth="1"/>
    <col min="14598" max="14598" width="9.28515625" style="16" bestFit="1" customWidth="1"/>
    <col min="14599" max="14599" width="10.42578125" style="16" bestFit="1" customWidth="1"/>
    <col min="14600" max="14600" width="10.28515625" style="16" bestFit="1" customWidth="1"/>
    <col min="14601" max="14601" width="7.140625" style="16" bestFit="1" customWidth="1"/>
    <col min="14602" max="14602" width="7.28515625" style="16" customWidth="1"/>
    <col min="14603" max="14604" width="7" style="16" bestFit="1" customWidth="1"/>
    <col min="14605" max="14605" width="6.85546875" style="16" bestFit="1" customWidth="1"/>
    <col min="14606" max="14606" width="7" style="16" bestFit="1" customWidth="1"/>
    <col min="14607" max="14607" width="7.140625" style="16" bestFit="1"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8.42578125" style="16" customWidth="1"/>
    <col min="14851" max="14851" width="10.7109375" style="16" bestFit="1" customWidth="1"/>
    <col min="14852" max="14852" width="6.7109375" style="16" bestFit="1" customWidth="1"/>
    <col min="14853" max="14853" width="8.5703125" style="16" bestFit="1" customWidth="1"/>
    <col min="14854" max="14854" width="9.28515625" style="16" bestFit="1" customWidth="1"/>
    <col min="14855" max="14855" width="10.42578125" style="16" bestFit="1" customWidth="1"/>
    <col min="14856" max="14856" width="10.28515625" style="16" bestFit="1" customWidth="1"/>
    <col min="14857" max="14857" width="7.140625" style="16" bestFit="1" customWidth="1"/>
    <col min="14858" max="14858" width="7.28515625" style="16" customWidth="1"/>
    <col min="14859" max="14860" width="7" style="16" bestFit="1" customWidth="1"/>
    <col min="14861" max="14861" width="6.85546875" style="16" bestFit="1" customWidth="1"/>
    <col min="14862" max="14862" width="7" style="16" bestFit="1" customWidth="1"/>
    <col min="14863" max="14863" width="7.140625" style="16" bestFit="1"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8.42578125" style="16" customWidth="1"/>
    <col min="15107" max="15107" width="10.7109375" style="16" bestFit="1" customWidth="1"/>
    <col min="15108" max="15108" width="6.7109375" style="16" bestFit="1" customWidth="1"/>
    <col min="15109" max="15109" width="8.5703125" style="16" bestFit="1" customWidth="1"/>
    <col min="15110" max="15110" width="9.28515625" style="16" bestFit="1" customWidth="1"/>
    <col min="15111" max="15111" width="10.42578125" style="16" bestFit="1" customWidth="1"/>
    <col min="15112" max="15112" width="10.28515625" style="16" bestFit="1" customWidth="1"/>
    <col min="15113" max="15113" width="7.140625" style="16" bestFit="1" customWidth="1"/>
    <col min="15114" max="15114" width="7.28515625" style="16" customWidth="1"/>
    <col min="15115" max="15116" width="7" style="16" bestFit="1" customWidth="1"/>
    <col min="15117" max="15117" width="6.85546875" style="16" bestFit="1" customWidth="1"/>
    <col min="15118" max="15118" width="7" style="16" bestFit="1" customWidth="1"/>
    <col min="15119" max="15119" width="7.140625" style="16" bestFit="1"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8.42578125" style="16" customWidth="1"/>
    <col min="15363" max="15363" width="10.7109375" style="16" bestFit="1" customWidth="1"/>
    <col min="15364" max="15364" width="6.7109375" style="16" bestFit="1" customWidth="1"/>
    <col min="15365" max="15365" width="8.5703125" style="16" bestFit="1" customWidth="1"/>
    <col min="15366" max="15366" width="9.28515625" style="16" bestFit="1" customWidth="1"/>
    <col min="15367" max="15367" width="10.42578125" style="16" bestFit="1" customWidth="1"/>
    <col min="15368" max="15368" width="10.28515625" style="16" bestFit="1" customWidth="1"/>
    <col min="15369" max="15369" width="7.140625" style="16" bestFit="1" customWidth="1"/>
    <col min="15370" max="15370" width="7.28515625" style="16" customWidth="1"/>
    <col min="15371" max="15372" width="7" style="16" bestFit="1" customWidth="1"/>
    <col min="15373" max="15373" width="6.85546875" style="16" bestFit="1" customWidth="1"/>
    <col min="15374" max="15374" width="7" style="16" bestFit="1" customWidth="1"/>
    <col min="15375" max="15375" width="7.140625" style="16" bestFit="1"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8.42578125" style="16" customWidth="1"/>
    <col min="15619" max="15619" width="10.7109375" style="16" bestFit="1" customWidth="1"/>
    <col min="15620" max="15620" width="6.7109375" style="16" bestFit="1" customWidth="1"/>
    <col min="15621" max="15621" width="8.5703125" style="16" bestFit="1" customWidth="1"/>
    <col min="15622" max="15622" width="9.28515625" style="16" bestFit="1" customWidth="1"/>
    <col min="15623" max="15623" width="10.42578125" style="16" bestFit="1" customWidth="1"/>
    <col min="15624" max="15624" width="10.28515625" style="16" bestFit="1" customWidth="1"/>
    <col min="15625" max="15625" width="7.140625" style="16" bestFit="1" customWidth="1"/>
    <col min="15626" max="15626" width="7.28515625" style="16" customWidth="1"/>
    <col min="15627" max="15628" width="7" style="16" bestFit="1" customWidth="1"/>
    <col min="15629" max="15629" width="6.85546875" style="16" bestFit="1" customWidth="1"/>
    <col min="15630" max="15630" width="7" style="16" bestFit="1" customWidth="1"/>
    <col min="15631" max="15631" width="7.140625" style="16" bestFit="1"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8.42578125" style="16" customWidth="1"/>
    <col min="15875" max="15875" width="10.7109375" style="16" bestFit="1" customWidth="1"/>
    <col min="15876" max="15876" width="6.7109375" style="16" bestFit="1" customWidth="1"/>
    <col min="15877" max="15877" width="8.5703125" style="16" bestFit="1" customWidth="1"/>
    <col min="15878" max="15878" width="9.28515625" style="16" bestFit="1" customWidth="1"/>
    <col min="15879" max="15879" width="10.42578125" style="16" bestFit="1" customWidth="1"/>
    <col min="15880" max="15880" width="10.28515625" style="16" bestFit="1" customWidth="1"/>
    <col min="15881" max="15881" width="7.140625" style="16" bestFit="1" customWidth="1"/>
    <col min="15882" max="15882" width="7.28515625" style="16" customWidth="1"/>
    <col min="15883" max="15884" width="7" style="16" bestFit="1" customWidth="1"/>
    <col min="15885" max="15885" width="6.85546875" style="16" bestFit="1" customWidth="1"/>
    <col min="15886" max="15886" width="7" style="16" bestFit="1" customWidth="1"/>
    <col min="15887" max="15887" width="7.140625" style="16" bestFit="1"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8.42578125" style="16" customWidth="1"/>
    <col min="16131" max="16131" width="10.7109375" style="16" bestFit="1" customWidth="1"/>
    <col min="16132" max="16132" width="6.7109375" style="16" bestFit="1" customWidth="1"/>
    <col min="16133" max="16133" width="8.5703125" style="16" bestFit="1" customWidth="1"/>
    <col min="16134" max="16134" width="9.28515625" style="16" bestFit="1" customWidth="1"/>
    <col min="16135" max="16135" width="10.42578125" style="16" bestFit="1" customWidth="1"/>
    <col min="16136" max="16136" width="10.28515625" style="16" bestFit="1" customWidth="1"/>
    <col min="16137" max="16137" width="7.140625" style="16" bestFit="1" customWidth="1"/>
    <col min="16138" max="16138" width="7.28515625" style="16" customWidth="1"/>
    <col min="16139" max="16140" width="7" style="16" bestFit="1" customWidth="1"/>
    <col min="16141" max="16141" width="6.85546875" style="16" bestFit="1" customWidth="1"/>
    <col min="16142" max="16142" width="7" style="16" bestFit="1" customWidth="1"/>
    <col min="16143" max="16143" width="7.140625" style="16" bestFit="1"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67" t="s">
        <v>100</v>
      </c>
      <c r="B1" s="868"/>
      <c r="C1" s="868"/>
      <c r="D1" s="911" t="s">
        <v>366</v>
      </c>
      <c r="E1" s="868"/>
      <c r="F1" s="868"/>
      <c r="G1" s="867" t="s">
        <v>102</v>
      </c>
      <c r="H1" s="869"/>
      <c r="I1" s="869" t="s">
        <v>59</v>
      </c>
      <c r="J1" s="868"/>
      <c r="K1" s="868"/>
      <c r="L1" s="870"/>
      <c r="M1" s="870"/>
      <c r="N1" s="870"/>
      <c r="O1" s="870"/>
    </row>
    <row r="2" spans="1:15" s="1" customFormat="1" x14ac:dyDescent="0.2">
      <c r="A2" s="867" t="s">
        <v>103</v>
      </c>
      <c r="B2" s="868"/>
      <c r="C2" s="868"/>
      <c r="D2" s="869"/>
      <c r="E2" s="868"/>
      <c r="F2" s="868"/>
      <c r="G2" s="867" t="s">
        <v>104</v>
      </c>
      <c r="H2" s="869"/>
      <c r="I2" s="869" t="s">
        <v>105</v>
      </c>
      <c r="J2" s="868"/>
      <c r="K2" s="868"/>
      <c r="L2" s="870"/>
      <c r="M2" s="870"/>
      <c r="N2" s="870"/>
      <c r="O2" s="870"/>
    </row>
    <row r="3" spans="1:15" s="1" customFormat="1" x14ac:dyDescent="0.2">
      <c r="A3" s="867" t="s">
        <v>106</v>
      </c>
      <c r="B3" s="868"/>
      <c r="C3" s="868"/>
      <c r="D3" s="883" t="s">
        <v>367</v>
      </c>
      <c r="E3" s="868"/>
      <c r="F3" s="868"/>
      <c r="G3" s="867" t="s">
        <v>107</v>
      </c>
      <c r="H3" s="869"/>
      <c r="I3" s="869" t="s">
        <v>108</v>
      </c>
      <c r="J3" s="868"/>
      <c r="K3" s="868"/>
      <c r="L3" s="870"/>
      <c r="M3" s="870"/>
      <c r="N3" s="870"/>
      <c r="O3" s="870"/>
    </row>
    <row r="4" spans="1:15" s="1" customFormat="1" x14ac:dyDescent="0.2">
      <c r="A4" s="867" t="s">
        <v>109</v>
      </c>
      <c r="B4" s="868"/>
      <c r="C4" s="868"/>
      <c r="D4" s="869"/>
      <c r="E4" s="868"/>
      <c r="F4" s="868"/>
      <c r="G4" s="867" t="s">
        <v>110</v>
      </c>
      <c r="H4" s="869"/>
      <c r="I4" s="869" t="s">
        <v>368</v>
      </c>
      <c r="J4" s="868"/>
      <c r="K4" s="868"/>
      <c r="L4" s="870"/>
      <c r="M4" s="870"/>
      <c r="N4" s="870"/>
      <c r="O4" s="870"/>
    </row>
    <row r="5" spans="1:15" s="1" customFormat="1" x14ac:dyDescent="0.2">
      <c r="A5" s="867" t="s">
        <v>278</v>
      </c>
      <c r="B5" s="868"/>
      <c r="C5" s="868"/>
      <c r="D5" s="869" t="s">
        <v>369</v>
      </c>
      <c r="E5" s="868"/>
      <c r="F5" s="868"/>
      <c r="G5" s="867"/>
      <c r="H5" s="868"/>
      <c r="I5" s="869" t="s">
        <v>113</v>
      </c>
      <c r="J5" s="868"/>
      <c r="K5" s="868"/>
      <c r="L5" s="870"/>
      <c r="M5" s="870"/>
      <c r="N5" s="870"/>
      <c r="O5" s="870"/>
    </row>
    <row r="6" spans="1:15" s="1" customFormat="1" x14ac:dyDescent="0.2">
      <c r="A6" s="871" t="s">
        <v>114</v>
      </c>
      <c r="B6" s="872"/>
      <c r="C6" s="872"/>
      <c r="D6" s="868" t="s">
        <v>60</v>
      </c>
      <c r="E6" s="868"/>
      <c r="F6" s="868"/>
      <c r="G6" s="871" t="s">
        <v>115</v>
      </c>
      <c r="H6" s="871"/>
      <c r="I6" s="2" t="s">
        <v>116</v>
      </c>
      <c r="J6" s="888"/>
      <c r="K6" s="888"/>
      <c r="L6" s="888"/>
      <c r="M6" s="888"/>
      <c r="N6" s="888"/>
      <c r="O6" s="889"/>
    </row>
    <row r="7" spans="1:15" s="1" customFormat="1" ht="13.5" thickBot="1" x14ac:dyDescent="0.25">
      <c r="A7" s="3"/>
      <c r="B7" s="4"/>
      <c r="C7" s="5"/>
      <c r="D7" s="6"/>
      <c r="E7" s="6"/>
      <c r="F7" s="6"/>
      <c r="G7" s="6"/>
      <c r="H7" s="6"/>
      <c r="I7" s="6"/>
      <c r="J7" s="7"/>
      <c r="K7" s="8"/>
      <c r="L7" s="875" t="s">
        <v>223</v>
      </c>
      <c r="M7" s="875"/>
      <c r="N7" s="875"/>
      <c r="O7" s="875"/>
    </row>
    <row r="8" spans="1:15" s="11" customFormat="1" x14ac:dyDescent="0.2">
      <c r="A8" s="876" t="str">
        <f>I1</f>
        <v>Mr. M.K. Panchal</v>
      </c>
      <c r="B8" s="877"/>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56900</v>
      </c>
      <c r="D9" s="14">
        <v>56900</v>
      </c>
      <c r="E9" s="14">
        <v>56900</v>
      </c>
      <c r="F9" s="14">
        <v>56900</v>
      </c>
      <c r="G9" s="14">
        <v>58600</v>
      </c>
      <c r="H9" s="14">
        <v>58600</v>
      </c>
      <c r="I9" s="14">
        <v>58600</v>
      </c>
      <c r="J9" s="14">
        <v>58600</v>
      </c>
      <c r="K9" s="14">
        <v>58600</v>
      </c>
      <c r="L9" s="14">
        <v>58600</v>
      </c>
      <c r="M9" s="14">
        <v>58600</v>
      </c>
      <c r="N9" s="14">
        <v>58600</v>
      </c>
      <c r="O9" s="15">
        <f>SUM(C9:N9)</f>
        <v>696400</v>
      </c>
    </row>
    <row r="10" spans="1:15" ht="15" x14ac:dyDescent="0.2">
      <c r="A10" s="12"/>
      <c r="B10" s="13" t="s">
        <v>119</v>
      </c>
      <c r="C10" s="17">
        <v>0</v>
      </c>
      <c r="D10" s="17">
        <f t="shared" ref="D10:N34" si="0">+C10</f>
        <v>0</v>
      </c>
      <c r="E10" s="17">
        <f t="shared" si="0"/>
        <v>0</v>
      </c>
      <c r="F10" s="17">
        <f t="shared" si="0"/>
        <v>0</v>
      </c>
      <c r="G10" s="17">
        <f t="shared" si="0"/>
        <v>0</v>
      </c>
      <c r="H10" s="17">
        <v>0</v>
      </c>
      <c r="I10" s="17">
        <f t="shared" si="0"/>
        <v>0</v>
      </c>
      <c r="J10" s="17">
        <f t="shared" si="0"/>
        <v>0</v>
      </c>
      <c r="K10" s="17">
        <f t="shared" si="0"/>
        <v>0</v>
      </c>
      <c r="L10" s="17">
        <f t="shared" si="0"/>
        <v>0</v>
      </c>
      <c r="M10" s="17">
        <f t="shared" si="0"/>
        <v>0</v>
      </c>
      <c r="N10" s="17">
        <f t="shared" si="0"/>
        <v>0</v>
      </c>
      <c r="O10" s="18">
        <f>SUM(C10:N10)</f>
        <v>0</v>
      </c>
    </row>
    <row r="11" spans="1:15" ht="15" x14ac:dyDescent="0.2">
      <c r="A11" s="12"/>
      <c r="B11" s="13" t="s">
        <v>120</v>
      </c>
      <c r="C11" s="17">
        <v>2845</v>
      </c>
      <c r="D11" s="17">
        <v>3983</v>
      </c>
      <c r="E11" s="17">
        <f t="shared" si="0"/>
        <v>3983</v>
      </c>
      <c r="F11" s="17">
        <f t="shared" si="0"/>
        <v>3983</v>
      </c>
      <c r="G11" s="17">
        <v>4102</v>
      </c>
      <c r="H11" s="17">
        <v>4102</v>
      </c>
      <c r="I11" s="17">
        <v>4102</v>
      </c>
      <c r="J11" s="17">
        <v>5274</v>
      </c>
      <c r="K11" s="17">
        <f>+J11</f>
        <v>5274</v>
      </c>
      <c r="L11" s="17">
        <f>+K11</f>
        <v>5274</v>
      </c>
      <c r="M11" s="17">
        <f>+L11</f>
        <v>5274</v>
      </c>
      <c r="N11" s="17">
        <f>+M11</f>
        <v>5274</v>
      </c>
      <c r="O11" s="18">
        <f>SUM(C11:N11)</f>
        <v>53470</v>
      </c>
    </row>
    <row r="12" spans="1:15" ht="15" hidden="1" x14ac:dyDescent="0.2">
      <c r="A12" s="12"/>
      <c r="B12" s="13" t="s">
        <v>121</v>
      </c>
      <c r="C12" s="17">
        <v>0</v>
      </c>
      <c r="D12" s="17">
        <f t="shared" si="0"/>
        <v>0</v>
      </c>
      <c r="E12" s="17">
        <f t="shared" si="0"/>
        <v>0</v>
      </c>
      <c r="F12" s="17">
        <f t="shared" si="0"/>
        <v>0</v>
      </c>
      <c r="G12" s="17">
        <f t="shared" si="0"/>
        <v>0</v>
      </c>
      <c r="H12" s="17">
        <v>0</v>
      </c>
      <c r="I12" s="17">
        <f t="shared" ref="I12:N13" si="1">+H12</f>
        <v>0</v>
      </c>
      <c r="J12" s="17">
        <f t="shared" si="1"/>
        <v>0</v>
      </c>
      <c r="K12" s="17">
        <f t="shared" si="1"/>
        <v>0</v>
      </c>
      <c r="L12" s="17">
        <f t="shared" si="1"/>
        <v>0</v>
      </c>
      <c r="M12" s="17">
        <f t="shared" si="1"/>
        <v>0</v>
      </c>
      <c r="N12" s="17">
        <f t="shared" si="1"/>
        <v>0</v>
      </c>
      <c r="O12" s="18">
        <f>SUM(C12:N12)</f>
        <v>0</v>
      </c>
    </row>
    <row r="13" spans="1:15" ht="15" hidden="1" x14ac:dyDescent="0.2">
      <c r="A13" s="12"/>
      <c r="B13" s="13" t="s">
        <v>122</v>
      </c>
      <c r="C13" s="17">
        <v>0</v>
      </c>
      <c r="D13" s="17">
        <f t="shared" si="0"/>
        <v>0</v>
      </c>
      <c r="E13" s="17">
        <f t="shared" si="0"/>
        <v>0</v>
      </c>
      <c r="F13" s="17">
        <f t="shared" si="0"/>
        <v>0</v>
      </c>
      <c r="G13" s="17">
        <f t="shared" si="0"/>
        <v>0</v>
      </c>
      <c r="H13" s="17">
        <v>0</v>
      </c>
      <c r="I13" s="17">
        <f t="shared" si="1"/>
        <v>0</v>
      </c>
      <c r="J13" s="17">
        <f t="shared" si="1"/>
        <v>0</v>
      </c>
      <c r="K13" s="17">
        <f t="shared" si="1"/>
        <v>0</v>
      </c>
      <c r="L13" s="17">
        <f t="shared" si="1"/>
        <v>0</v>
      </c>
      <c r="M13" s="17">
        <f t="shared" si="1"/>
        <v>0</v>
      </c>
      <c r="N13" s="17">
        <f t="shared" si="1"/>
        <v>0</v>
      </c>
      <c r="O13" s="18">
        <f t="shared" ref="O13:O36" si="2">SUM(C13:N13)</f>
        <v>0</v>
      </c>
    </row>
    <row r="14" spans="1:15" ht="15" x14ac:dyDescent="0.2">
      <c r="A14" s="12"/>
      <c r="B14" s="13" t="s">
        <v>123</v>
      </c>
      <c r="C14" s="17">
        <v>3780</v>
      </c>
      <c r="D14" s="17">
        <v>3852</v>
      </c>
      <c r="E14" s="17">
        <f t="shared" si="0"/>
        <v>3852</v>
      </c>
      <c r="F14" s="17">
        <f t="shared" si="0"/>
        <v>3852</v>
      </c>
      <c r="G14" s="17">
        <f t="shared" si="0"/>
        <v>3852</v>
      </c>
      <c r="H14" s="17">
        <f t="shared" si="0"/>
        <v>3852</v>
      </c>
      <c r="I14" s="17">
        <f t="shared" si="0"/>
        <v>3852</v>
      </c>
      <c r="J14" s="17">
        <v>3924</v>
      </c>
      <c r="K14" s="17">
        <f>+J14</f>
        <v>3924</v>
      </c>
      <c r="L14" s="17">
        <f>+K14</f>
        <v>3924</v>
      </c>
      <c r="M14" s="17">
        <f>+L14</f>
        <v>3924</v>
      </c>
      <c r="N14" s="17">
        <f>+M14</f>
        <v>3924</v>
      </c>
      <c r="O14" s="18">
        <f t="shared" si="2"/>
        <v>46512</v>
      </c>
    </row>
    <row r="15" spans="1:15" ht="15" hidden="1" x14ac:dyDescent="0.2">
      <c r="A15" s="12"/>
      <c r="B15" s="13" t="s">
        <v>370</v>
      </c>
      <c r="C15" s="17">
        <v>0</v>
      </c>
      <c r="D15" s="17">
        <f t="shared" si="0"/>
        <v>0</v>
      </c>
      <c r="E15" s="17">
        <f t="shared" si="0"/>
        <v>0</v>
      </c>
      <c r="F15" s="17">
        <f t="shared" si="0"/>
        <v>0</v>
      </c>
      <c r="G15" s="17">
        <f t="shared" si="0"/>
        <v>0</v>
      </c>
      <c r="H15" s="17">
        <v>0</v>
      </c>
      <c r="I15" s="17">
        <f t="shared" si="0"/>
        <v>0</v>
      </c>
      <c r="J15" s="17">
        <f t="shared" si="0"/>
        <v>0</v>
      </c>
      <c r="K15" s="17">
        <f t="shared" si="0"/>
        <v>0</v>
      </c>
      <c r="L15" s="17">
        <f t="shared" si="0"/>
        <v>0</v>
      </c>
      <c r="M15" s="17">
        <f t="shared" si="0"/>
        <v>0</v>
      </c>
      <c r="N15" s="17">
        <f t="shared" si="0"/>
        <v>0</v>
      </c>
      <c r="O15" s="18">
        <f t="shared" si="2"/>
        <v>0</v>
      </c>
    </row>
    <row r="16" spans="1:15" ht="15" hidden="1" x14ac:dyDescent="0.2">
      <c r="A16" s="12"/>
      <c r="B16" s="13" t="s">
        <v>125</v>
      </c>
      <c r="C16" s="17">
        <v>0</v>
      </c>
      <c r="D16" s="17">
        <f t="shared" si="0"/>
        <v>0</v>
      </c>
      <c r="E16" s="17">
        <f t="shared" si="0"/>
        <v>0</v>
      </c>
      <c r="F16" s="17">
        <f t="shared" si="0"/>
        <v>0</v>
      </c>
      <c r="G16" s="17">
        <f t="shared" si="0"/>
        <v>0</v>
      </c>
      <c r="H16" s="17">
        <v>0</v>
      </c>
      <c r="I16" s="17">
        <f t="shared" si="0"/>
        <v>0</v>
      </c>
      <c r="J16" s="17">
        <f t="shared" si="0"/>
        <v>0</v>
      </c>
      <c r="K16" s="17">
        <f t="shared" si="0"/>
        <v>0</v>
      </c>
      <c r="L16" s="17">
        <f t="shared" si="0"/>
        <v>0</v>
      </c>
      <c r="M16" s="17">
        <f t="shared" si="0"/>
        <v>0</v>
      </c>
      <c r="N16" s="17">
        <f t="shared" si="0"/>
        <v>0</v>
      </c>
      <c r="O16" s="18">
        <f t="shared" si="2"/>
        <v>0</v>
      </c>
    </row>
    <row r="17" spans="1:16" ht="15" hidden="1" x14ac:dyDescent="0.2">
      <c r="A17" s="12"/>
      <c r="B17" s="13" t="s">
        <v>126</v>
      </c>
      <c r="C17" s="17">
        <v>0</v>
      </c>
      <c r="D17" s="17">
        <f t="shared" si="0"/>
        <v>0</v>
      </c>
      <c r="E17" s="17">
        <f t="shared" si="0"/>
        <v>0</v>
      </c>
      <c r="F17" s="17">
        <f t="shared" si="0"/>
        <v>0</v>
      </c>
      <c r="G17" s="17">
        <f t="shared" si="0"/>
        <v>0</v>
      </c>
      <c r="H17" s="17">
        <v>0</v>
      </c>
      <c r="I17" s="17">
        <f t="shared" si="0"/>
        <v>0</v>
      </c>
      <c r="J17" s="17">
        <f t="shared" si="0"/>
        <v>0</v>
      </c>
      <c r="K17" s="17">
        <f t="shared" si="0"/>
        <v>0</v>
      </c>
      <c r="L17" s="17">
        <f t="shared" si="0"/>
        <v>0</v>
      </c>
      <c r="M17" s="17">
        <f t="shared" si="0"/>
        <v>0</v>
      </c>
      <c r="N17" s="17">
        <f t="shared" si="0"/>
        <v>0</v>
      </c>
      <c r="O17" s="18">
        <f t="shared" si="2"/>
        <v>0</v>
      </c>
    </row>
    <row r="18" spans="1:16" ht="15" x14ac:dyDescent="0.2">
      <c r="A18" s="12"/>
      <c r="B18" s="13" t="s">
        <v>224</v>
      </c>
      <c r="C18" s="17">
        <v>0</v>
      </c>
      <c r="D18" s="17">
        <f t="shared" si="0"/>
        <v>0</v>
      </c>
      <c r="E18" s="17">
        <f t="shared" si="0"/>
        <v>0</v>
      </c>
      <c r="F18" s="17">
        <f t="shared" si="0"/>
        <v>0</v>
      </c>
      <c r="G18" s="17">
        <f t="shared" si="0"/>
        <v>0</v>
      </c>
      <c r="H18" s="17">
        <v>0</v>
      </c>
      <c r="I18" s="17">
        <f t="shared" si="0"/>
        <v>0</v>
      </c>
      <c r="J18" s="17">
        <f t="shared" si="0"/>
        <v>0</v>
      </c>
      <c r="K18" s="17">
        <f t="shared" si="0"/>
        <v>0</v>
      </c>
      <c r="L18" s="17">
        <f t="shared" si="0"/>
        <v>0</v>
      </c>
      <c r="M18" s="17">
        <f t="shared" si="0"/>
        <v>0</v>
      </c>
      <c r="N18" s="17">
        <f t="shared" si="0"/>
        <v>0</v>
      </c>
      <c r="O18" s="18">
        <f>SUM(C18:N18)</f>
        <v>0</v>
      </c>
      <c r="P18" s="170"/>
    </row>
    <row r="19" spans="1:16" ht="15" x14ac:dyDescent="0.2">
      <c r="A19" s="12"/>
      <c r="B19" s="13" t="s">
        <v>128</v>
      </c>
      <c r="C19" s="17">
        <v>13656</v>
      </c>
      <c r="D19" s="17">
        <f t="shared" si="0"/>
        <v>13656</v>
      </c>
      <c r="E19" s="17">
        <f t="shared" si="0"/>
        <v>13656</v>
      </c>
      <c r="F19" s="17">
        <f t="shared" si="0"/>
        <v>13656</v>
      </c>
      <c r="G19" s="17">
        <v>14064</v>
      </c>
      <c r="H19" s="17">
        <v>14064</v>
      </c>
      <c r="I19" s="17">
        <v>14064</v>
      </c>
      <c r="J19" s="17">
        <v>14064</v>
      </c>
      <c r="K19" s="17">
        <v>14064</v>
      </c>
      <c r="L19" s="17">
        <v>14064</v>
      </c>
      <c r="M19" s="17">
        <v>14064</v>
      </c>
      <c r="N19" s="17">
        <v>14064</v>
      </c>
      <c r="O19" s="18">
        <f t="shared" si="2"/>
        <v>167136</v>
      </c>
    </row>
    <row r="20" spans="1:16" ht="15" customHeight="1" x14ac:dyDescent="0.2">
      <c r="A20" s="12"/>
      <c r="B20" s="13" t="s">
        <v>129</v>
      </c>
      <c r="C20" s="17">
        <v>0</v>
      </c>
      <c r="D20" s="17">
        <f t="shared" si="0"/>
        <v>0</v>
      </c>
      <c r="E20" s="17">
        <f t="shared" si="0"/>
        <v>0</v>
      </c>
      <c r="F20" s="17">
        <f t="shared" si="0"/>
        <v>0</v>
      </c>
      <c r="G20" s="17">
        <f t="shared" si="0"/>
        <v>0</v>
      </c>
      <c r="H20" s="17">
        <v>0</v>
      </c>
      <c r="I20" s="17">
        <f t="shared" ref="I20:N35" si="3">+H20</f>
        <v>0</v>
      </c>
      <c r="J20" s="17">
        <f t="shared" si="3"/>
        <v>0</v>
      </c>
      <c r="K20" s="17">
        <f t="shared" si="3"/>
        <v>0</v>
      </c>
      <c r="L20" s="17">
        <f t="shared" si="3"/>
        <v>0</v>
      </c>
      <c r="M20" s="17">
        <f t="shared" si="3"/>
        <v>0</v>
      </c>
      <c r="N20" s="17">
        <f t="shared" si="3"/>
        <v>0</v>
      </c>
      <c r="O20" s="18">
        <f t="shared" si="2"/>
        <v>0</v>
      </c>
    </row>
    <row r="21" spans="1:16" ht="15" hidden="1" customHeight="1" x14ac:dyDescent="0.2">
      <c r="A21" s="878" t="s">
        <v>130</v>
      </c>
      <c r="B21" s="19" t="s">
        <v>131</v>
      </c>
      <c r="C21" s="17">
        <v>0</v>
      </c>
      <c r="D21" s="17">
        <f t="shared" si="0"/>
        <v>0</v>
      </c>
      <c r="E21" s="17">
        <f t="shared" si="0"/>
        <v>0</v>
      </c>
      <c r="F21" s="17">
        <f t="shared" si="0"/>
        <v>0</v>
      </c>
      <c r="G21" s="17">
        <f t="shared" si="0"/>
        <v>0</v>
      </c>
      <c r="H21" s="17">
        <v>0</v>
      </c>
      <c r="I21" s="17">
        <f t="shared" si="3"/>
        <v>0</v>
      </c>
      <c r="J21" s="17">
        <f t="shared" si="3"/>
        <v>0</v>
      </c>
      <c r="K21" s="17">
        <f t="shared" si="3"/>
        <v>0</v>
      </c>
      <c r="L21" s="17">
        <f t="shared" si="3"/>
        <v>0</v>
      </c>
      <c r="M21" s="17">
        <f t="shared" si="3"/>
        <v>0</v>
      </c>
      <c r="N21" s="17">
        <f t="shared" si="3"/>
        <v>0</v>
      </c>
      <c r="O21" s="18">
        <f t="shared" si="2"/>
        <v>0</v>
      </c>
    </row>
    <row r="22" spans="1:16" ht="15" customHeight="1" x14ac:dyDescent="0.2">
      <c r="A22" s="879"/>
      <c r="B22" s="19" t="s">
        <v>132</v>
      </c>
      <c r="C22" s="17">
        <v>0</v>
      </c>
      <c r="D22" s="17">
        <f t="shared" si="0"/>
        <v>0</v>
      </c>
      <c r="E22" s="17">
        <f t="shared" si="0"/>
        <v>0</v>
      </c>
      <c r="F22" s="17">
        <f t="shared" si="0"/>
        <v>0</v>
      </c>
      <c r="G22" s="17">
        <f t="shared" si="0"/>
        <v>0</v>
      </c>
      <c r="H22" s="17">
        <v>0</v>
      </c>
      <c r="I22" s="17">
        <f t="shared" si="3"/>
        <v>0</v>
      </c>
      <c r="J22" s="17">
        <v>6908</v>
      </c>
      <c r="K22" s="17">
        <v>0</v>
      </c>
      <c r="L22" s="17">
        <v>0</v>
      </c>
      <c r="M22" s="17">
        <f t="shared" si="3"/>
        <v>0</v>
      </c>
      <c r="N22" s="17">
        <f t="shared" si="3"/>
        <v>0</v>
      </c>
      <c r="O22" s="18">
        <f t="shared" si="2"/>
        <v>6908</v>
      </c>
    </row>
    <row r="23" spans="1:16" ht="15" hidden="1" customHeight="1" x14ac:dyDescent="0.2">
      <c r="A23" s="879"/>
      <c r="B23" s="19" t="s">
        <v>133</v>
      </c>
      <c r="C23" s="17">
        <v>0</v>
      </c>
      <c r="D23" s="17">
        <f t="shared" si="0"/>
        <v>0</v>
      </c>
      <c r="E23" s="17">
        <f t="shared" si="0"/>
        <v>0</v>
      </c>
      <c r="F23" s="17">
        <f t="shared" si="0"/>
        <v>0</v>
      </c>
      <c r="G23" s="17">
        <f t="shared" si="0"/>
        <v>0</v>
      </c>
      <c r="H23" s="17">
        <v>0</v>
      </c>
      <c r="I23" s="17">
        <f t="shared" si="3"/>
        <v>0</v>
      </c>
      <c r="J23" s="17">
        <f t="shared" si="3"/>
        <v>0</v>
      </c>
      <c r="K23" s="17">
        <f t="shared" si="3"/>
        <v>0</v>
      </c>
      <c r="L23" s="17">
        <f t="shared" si="3"/>
        <v>0</v>
      </c>
      <c r="M23" s="17">
        <f t="shared" si="3"/>
        <v>0</v>
      </c>
      <c r="N23" s="17">
        <f t="shared" si="3"/>
        <v>0</v>
      </c>
      <c r="O23" s="18">
        <f t="shared" si="2"/>
        <v>0</v>
      </c>
    </row>
    <row r="24" spans="1:16" ht="15" hidden="1" customHeight="1" x14ac:dyDescent="0.2">
      <c r="A24" s="879"/>
      <c r="B24" s="19" t="s">
        <v>134</v>
      </c>
      <c r="C24" s="17">
        <v>0</v>
      </c>
      <c r="D24" s="17">
        <f t="shared" si="0"/>
        <v>0</v>
      </c>
      <c r="E24" s="17">
        <f t="shared" si="0"/>
        <v>0</v>
      </c>
      <c r="F24" s="17">
        <f t="shared" si="0"/>
        <v>0</v>
      </c>
      <c r="G24" s="17">
        <f t="shared" si="0"/>
        <v>0</v>
      </c>
      <c r="H24" s="17">
        <v>0</v>
      </c>
      <c r="I24" s="17">
        <f t="shared" si="3"/>
        <v>0</v>
      </c>
      <c r="J24" s="17">
        <f t="shared" si="3"/>
        <v>0</v>
      </c>
      <c r="K24" s="17">
        <f t="shared" si="3"/>
        <v>0</v>
      </c>
      <c r="L24" s="17">
        <f t="shared" si="3"/>
        <v>0</v>
      </c>
      <c r="M24" s="17">
        <f t="shared" si="3"/>
        <v>0</v>
      </c>
      <c r="N24" s="17">
        <f t="shared" si="3"/>
        <v>0</v>
      </c>
      <c r="O24" s="18">
        <f t="shared" si="2"/>
        <v>0</v>
      </c>
    </row>
    <row r="25" spans="1:16" ht="15" hidden="1" customHeight="1" x14ac:dyDescent="0.2">
      <c r="A25" s="879"/>
      <c r="B25" s="19" t="s">
        <v>135</v>
      </c>
      <c r="C25" s="17">
        <v>0</v>
      </c>
      <c r="D25" s="17">
        <f t="shared" si="0"/>
        <v>0</v>
      </c>
      <c r="E25" s="17">
        <f t="shared" si="0"/>
        <v>0</v>
      </c>
      <c r="F25" s="17">
        <f t="shared" si="0"/>
        <v>0</v>
      </c>
      <c r="G25" s="17">
        <f t="shared" si="0"/>
        <v>0</v>
      </c>
      <c r="H25" s="17">
        <v>0</v>
      </c>
      <c r="I25" s="17">
        <f t="shared" si="3"/>
        <v>0</v>
      </c>
      <c r="J25" s="17">
        <f t="shared" si="3"/>
        <v>0</v>
      </c>
      <c r="K25" s="17">
        <f t="shared" si="3"/>
        <v>0</v>
      </c>
      <c r="L25" s="17">
        <f t="shared" si="3"/>
        <v>0</v>
      </c>
      <c r="M25" s="17">
        <f t="shared" si="3"/>
        <v>0</v>
      </c>
      <c r="N25" s="17">
        <f t="shared" si="3"/>
        <v>0</v>
      </c>
      <c r="O25" s="18">
        <f t="shared" si="2"/>
        <v>0</v>
      </c>
    </row>
    <row r="26" spans="1:16" ht="15" hidden="1" customHeight="1" x14ac:dyDescent="0.2">
      <c r="A26" s="879"/>
      <c r="B26" s="19" t="s">
        <v>136</v>
      </c>
      <c r="C26" s="17">
        <v>0</v>
      </c>
      <c r="D26" s="17">
        <f t="shared" si="0"/>
        <v>0</v>
      </c>
      <c r="E26" s="17">
        <f t="shared" si="0"/>
        <v>0</v>
      </c>
      <c r="F26" s="17">
        <f t="shared" si="0"/>
        <v>0</v>
      </c>
      <c r="G26" s="17">
        <f t="shared" si="0"/>
        <v>0</v>
      </c>
      <c r="H26" s="17">
        <v>0</v>
      </c>
      <c r="I26" s="17">
        <f t="shared" si="3"/>
        <v>0</v>
      </c>
      <c r="J26" s="17">
        <f t="shared" si="3"/>
        <v>0</v>
      </c>
      <c r="K26" s="17">
        <f t="shared" si="3"/>
        <v>0</v>
      </c>
      <c r="L26" s="17">
        <f t="shared" si="3"/>
        <v>0</v>
      </c>
      <c r="M26" s="17">
        <f t="shared" si="3"/>
        <v>0</v>
      </c>
      <c r="N26" s="17">
        <f t="shared" si="3"/>
        <v>0</v>
      </c>
      <c r="O26" s="18">
        <f t="shared" si="2"/>
        <v>0</v>
      </c>
    </row>
    <row r="27" spans="1:16" ht="15" hidden="1" customHeight="1" x14ac:dyDescent="0.2">
      <c r="A27" s="879"/>
      <c r="B27" s="19" t="s">
        <v>137</v>
      </c>
      <c r="C27" s="17">
        <v>0</v>
      </c>
      <c r="D27" s="17">
        <f t="shared" si="0"/>
        <v>0</v>
      </c>
      <c r="E27" s="17">
        <f t="shared" si="0"/>
        <v>0</v>
      </c>
      <c r="F27" s="17">
        <f t="shared" si="0"/>
        <v>0</v>
      </c>
      <c r="G27" s="17">
        <f t="shared" si="0"/>
        <v>0</v>
      </c>
      <c r="H27" s="17">
        <v>0</v>
      </c>
      <c r="I27" s="17">
        <f t="shared" si="3"/>
        <v>0</v>
      </c>
      <c r="J27" s="17">
        <f t="shared" si="3"/>
        <v>0</v>
      </c>
      <c r="K27" s="17">
        <f t="shared" si="3"/>
        <v>0</v>
      </c>
      <c r="L27" s="17">
        <f t="shared" si="3"/>
        <v>0</v>
      </c>
      <c r="M27" s="17">
        <f t="shared" si="3"/>
        <v>0</v>
      </c>
      <c r="N27" s="17">
        <f t="shared" si="3"/>
        <v>0</v>
      </c>
      <c r="O27" s="18">
        <f t="shared" si="2"/>
        <v>0</v>
      </c>
    </row>
    <row r="28" spans="1:16" ht="15" hidden="1" customHeight="1" x14ac:dyDescent="0.2">
      <c r="A28" s="879"/>
      <c r="B28" s="19" t="s">
        <v>138</v>
      </c>
      <c r="C28" s="17">
        <v>0</v>
      </c>
      <c r="D28" s="17">
        <f t="shared" si="0"/>
        <v>0</v>
      </c>
      <c r="E28" s="17">
        <f t="shared" si="0"/>
        <v>0</v>
      </c>
      <c r="F28" s="17">
        <f t="shared" si="0"/>
        <v>0</v>
      </c>
      <c r="G28" s="17">
        <f t="shared" si="0"/>
        <v>0</v>
      </c>
      <c r="H28" s="17">
        <v>0</v>
      </c>
      <c r="I28" s="17">
        <f t="shared" si="3"/>
        <v>0</v>
      </c>
      <c r="J28" s="17">
        <f t="shared" si="3"/>
        <v>0</v>
      </c>
      <c r="K28" s="17">
        <f t="shared" si="3"/>
        <v>0</v>
      </c>
      <c r="L28" s="17">
        <f t="shared" si="3"/>
        <v>0</v>
      </c>
      <c r="M28" s="17">
        <f t="shared" si="3"/>
        <v>0</v>
      </c>
      <c r="N28" s="17">
        <f t="shared" si="3"/>
        <v>0</v>
      </c>
      <c r="O28" s="18">
        <f t="shared" si="2"/>
        <v>0</v>
      </c>
    </row>
    <row r="29" spans="1:16" ht="15" hidden="1" customHeight="1" x14ac:dyDescent="0.2">
      <c r="A29" s="879"/>
      <c r="B29" s="19" t="s">
        <v>139</v>
      </c>
      <c r="C29" s="17">
        <v>0</v>
      </c>
      <c r="D29" s="17">
        <f t="shared" si="0"/>
        <v>0</v>
      </c>
      <c r="E29" s="17">
        <f t="shared" si="0"/>
        <v>0</v>
      </c>
      <c r="F29" s="17">
        <f t="shared" si="0"/>
        <v>0</v>
      </c>
      <c r="G29" s="17">
        <f t="shared" si="0"/>
        <v>0</v>
      </c>
      <c r="H29" s="17">
        <v>0</v>
      </c>
      <c r="I29" s="17">
        <f t="shared" si="3"/>
        <v>0</v>
      </c>
      <c r="J29" s="17">
        <f t="shared" si="3"/>
        <v>0</v>
      </c>
      <c r="K29" s="17">
        <f t="shared" si="3"/>
        <v>0</v>
      </c>
      <c r="L29" s="17">
        <f t="shared" si="3"/>
        <v>0</v>
      </c>
      <c r="M29" s="17">
        <f t="shared" si="3"/>
        <v>0</v>
      </c>
      <c r="N29" s="17">
        <f t="shared" si="3"/>
        <v>0</v>
      </c>
      <c r="O29" s="18">
        <f t="shared" si="2"/>
        <v>0</v>
      </c>
    </row>
    <row r="30" spans="1:16" ht="15" hidden="1" customHeight="1" x14ac:dyDescent="0.2">
      <c r="A30" s="879"/>
      <c r="B30" s="19" t="s">
        <v>140</v>
      </c>
      <c r="C30" s="17">
        <v>0</v>
      </c>
      <c r="D30" s="17">
        <f t="shared" si="0"/>
        <v>0</v>
      </c>
      <c r="E30" s="17">
        <f t="shared" si="0"/>
        <v>0</v>
      </c>
      <c r="F30" s="17">
        <f t="shared" si="0"/>
        <v>0</v>
      </c>
      <c r="G30" s="17">
        <f t="shared" si="0"/>
        <v>0</v>
      </c>
      <c r="H30" s="17">
        <v>0</v>
      </c>
      <c r="I30" s="17">
        <f t="shared" si="3"/>
        <v>0</v>
      </c>
      <c r="J30" s="17">
        <f t="shared" si="3"/>
        <v>0</v>
      </c>
      <c r="K30" s="17">
        <f t="shared" si="3"/>
        <v>0</v>
      </c>
      <c r="L30" s="17">
        <f t="shared" si="3"/>
        <v>0</v>
      </c>
      <c r="M30" s="17">
        <f t="shared" si="3"/>
        <v>0</v>
      </c>
      <c r="N30" s="17">
        <f t="shared" si="3"/>
        <v>0</v>
      </c>
      <c r="O30" s="18">
        <f t="shared" si="2"/>
        <v>0</v>
      </c>
    </row>
    <row r="31" spans="1:16" ht="15" hidden="1" customHeight="1" x14ac:dyDescent="0.2">
      <c r="A31" s="879"/>
      <c r="B31" s="19" t="s">
        <v>225</v>
      </c>
      <c r="C31" s="17">
        <v>0</v>
      </c>
      <c r="D31" s="17">
        <f t="shared" si="0"/>
        <v>0</v>
      </c>
      <c r="E31" s="17">
        <f t="shared" si="0"/>
        <v>0</v>
      </c>
      <c r="F31" s="17">
        <f t="shared" si="0"/>
        <v>0</v>
      </c>
      <c r="G31" s="17">
        <f t="shared" si="0"/>
        <v>0</v>
      </c>
      <c r="H31" s="17">
        <v>0</v>
      </c>
      <c r="I31" s="17">
        <f t="shared" si="3"/>
        <v>0</v>
      </c>
      <c r="J31" s="17">
        <f t="shared" si="3"/>
        <v>0</v>
      </c>
      <c r="K31" s="17">
        <f t="shared" si="3"/>
        <v>0</v>
      </c>
      <c r="L31" s="17">
        <f t="shared" si="3"/>
        <v>0</v>
      </c>
      <c r="M31" s="17">
        <f t="shared" si="3"/>
        <v>0</v>
      </c>
      <c r="N31" s="17">
        <f t="shared" si="3"/>
        <v>0</v>
      </c>
      <c r="O31" s="18">
        <f t="shared" si="2"/>
        <v>0</v>
      </c>
    </row>
    <row r="32" spans="1:16" ht="15" customHeight="1" x14ac:dyDescent="0.2">
      <c r="A32" s="879"/>
      <c r="B32" s="21" t="s">
        <v>142</v>
      </c>
      <c r="C32" s="17">
        <v>0</v>
      </c>
      <c r="D32" s="17">
        <f t="shared" si="0"/>
        <v>0</v>
      </c>
      <c r="E32" s="17">
        <f t="shared" si="0"/>
        <v>0</v>
      </c>
      <c r="F32" s="17">
        <f t="shared" si="0"/>
        <v>0</v>
      </c>
      <c r="G32" s="17">
        <f t="shared" si="0"/>
        <v>0</v>
      </c>
      <c r="H32" s="17">
        <v>0</v>
      </c>
      <c r="I32" s="17">
        <f t="shared" si="3"/>
        <v>0</v>
      </c>
      <c r="J32" s="17">
        <f t="shared" si="3"/>
        <v>0</v>
      </c>
      <c r="K32" s="17">
        <f t="shared" si="3"/>
        <v>0</v>
      </c>
      <c r="L32" s="17">
        <f t="shared" si="3"/>
        <v>0</v>
      </c>
      <c r="M32" s="17">
        <f t="shared" si="3"/>
        <v>0</v>
      </c>
      <c r="N32" s="17">
        <f t="shared" si="3"/>
        <v>0</v>
      </c>
      <c r="O32" s="18">
        <f t="shared" si="2"/>
        <v>0</v>
      </c>
    </row>
    <row r="33" spans="1:17" ht="15" hidden="1" customHeight="1" x14ac:dyDescent="0.2">
      <c r="A33" s="880"/>
      <c r="B33" s="19" t="s">
        <v>226</v>
      </c>
      <c r="C33" s="17">
        <v>0</v>
      </c>
      <c r="D33" s="17">
        <f t="shared" si="0"/>
        <v>0</v>
      </c>
      <c r="E33" s="17">
        <f t="shared" si="0"/>
        <v>0</v>
      </c>
      <c r="F33" s="17">
        <f t="shared" si="0"/>
        <v>0</v>
      </c>
      <c r="G33" s="17">
        <f t="shared" si="0"/>
        <v>0</v>
      </c>
      <c r="H33" s="17">
        <v>0</v>
      </c>
      <c r="I33" s="17">
        <f t="shared" si="3"/>
        <v>0</v>
      </c>
      <c r="J33" s="17">
        <f t="shared" si="3"/>
        <v>0</v>
      </c>
      <c r="K33" s="17">
        <f t="shared" si="3"/>
        <v>0</v>
      </c>
      <c r="L33" s="17">
        <f t="shared" si="3"/>
        <v>0</v>
      </c>
      <c r="M33" s="17">
        <f t="shared" si="3"/>
        <v>0</v>
      </c>
      <c r="N33" s="17">
        <f t="shared" si="3"/>
        <v>0</v>
      </c>
      <c r="O33" s="18">
        <f t="shared" si="2"/>
        <v>0</v>
      </c>
    </row>
    <row r="34" spans="1:17" ht="15" customHeight="1" x14ac:dyDescent="0.2">
      <c r="A34" s="865" t="s">
        <v>143</v>
      </c>
      <c r="B34" s="866"/>
      <c r="C34" s="17">
        <v>0</v>
      </c>
      <c r="D34" s="17">
        <f t="shared" si="0"/>
        <v>0</v>
      </c>
      <c r="E34" s="17">
        <f t="shared" si="0"/>
        <v>0</v>
      </c>
      <c r="F34" s="17">
        <f t="shared" si="0"/>
        <v>0</v>
      </c>
      <c r="G34" s="17">
        <f t="shared" si="0"/>
        <v>0</v>
      </c>
      <c r="H34" s="17">
        <v>0</v>
      </c>
      <c r="I34" s="17">
        <f t="shared" si="3"/>
        <v>0</v>
      </c>
      <c r="J34" s="17">
        <f t="shared" si="3"/>
        <v>0</v>
      </c>
      <c r="K34" s="17">
        <f t="shared" si="3"/>
        <v>0</v>
      </c>
      <c r="L34" s="17">
        <f t="shared" si="3"/>
        <v>0</v>
      </c>
      <c r="M34" s="17">
        <f t="shared" si="3"/>
        <v>0</v>
      </c>
      <c r="N34" s="17">
        <f t="shared" si="3"/>
        <v>0</v>
      </c>
      <c r="O34" s="18">
        <f t="shared" si="2"/>
        <v>0</v>
      </c>
    </row>
    <row r="35" spans="1:17" ht="15" customHeight="1" x14ac:dyDescent="0.2">
      <c r="A35" s="865" t="s">
        <v>145</v>
      </c>
      <c r="B35" s="866"/>
      <c r="C35" s="17">
        <v>0</v>
      </c>
      <c r="D35" s="17">
        <v>216</v>
      </c>
      <c r="E35" s="17">
        <v>0</v>
      </c>
      <c r="F35" s="17">
        <f>+E35</f>
        <v>0</v>
      </c>
      <c r="G35" s="17">
        <f>+F35</f>
        <v>0</v>
      </c>
      <c r="H35" s="17">
        <v>0</v>
      </c>
      <c r="I35" s="17">
        <f t="shared" si="3"/>
        <v>0</v>
      </c>
      <c r="J35" s="17">
        <v>216</v>
      </c>
      <c r="K35" s="17">
        <v>0</v>
      </c>
      <c r="L35" s="17">
        <f t="shared" si="3"/>
        <v>0</v>
      </c>
      <c r="M35" s="17">
        <f t="shared" si="3"/>
        <v>0</v>
      </c>
      <c r="N35" s="17">
        <f t="shared" si="3"/>
        <v>0</v>
      </c>
      <c r="O35" s="18">
        <f t="shared" si="2"/>
        <v>432</v>
      </c>
    </row>
    <row r="36" spans="1:17" ht="15" customHeight="1" x14ac:dyDescent="0.2">
      <c r="A36" s="865" t="s">
        <v>146</v>
      </c>
      <c r="B36" s="866"/>
      <c r="C36" s="17">
        <v>0</v>
      </c>
      <c r="D36" s="17">
        <v>3414</v>
      </c>
      <c r="E36" s="17">
        <v>0</v>
      </c>
      <c r="F36" s="17">
        <v>0</v>
      </c>
      <c r="G36" s="17">
        <f>+F36</f>
        <v>0</v>
      </c>
      <c r="H36" s="17">
        <v>0</v>
      </c>
      <c r="I36" s="17">
        <f t="shared" ref="I36:N36" si="4">+H36</f>
        <v>0</v>
      </c>
      <c r="J36" s="17">
        <v>3516</v>
      </c>
      <c r="K36" s="17">
        <v>0</v>
      </c>
      <c r="L36" s="17">
        <f t="shared" si="4"/>
        <v>0</v>
      </c>
      <c r="M36" s="17">
        <f t="shared" si="4"/>
        <v>0</v>
      </c>
      <c r="N36" s="17">
        <f t="shared" si="4"/>
        <v>0</v>
      </c>
      <c r="O36" s="18">
        <f t="shared" si="2"/>
        <v>6930</v>
      </c>
    </row>
    <row r="37" spans="1:17" ht="15" customHeight="1" x14ac:dyDescent="0.2">
      <c r="A37" s="22"/>
      <c r="B37" s="23" t="s">
        <v>147</v>
      </c>
      <c r="C37" s="24">
        <f t="shared" ref="C37:N37" si="5">SUM(C9:C36)</f>
        <v>77181</v>
      </c>
      <c r="D37" s="24">
        <f t="shared" si="5"/>
        <v>82021</v>
      </c>
      <c r="E37" s="24">
        <f t="shared" si="5"/>
        <v>78391</v>
      </c>
      <c r="F37" s="24">
        <f t="shared" si="5"/>
        <v>78391</v>
      </c>
      <c r="G37" s="24">
        <f t="shared" si="5"/>
        <v>80618</v>
      </c>
      <c r="H37" s="24">
        <f t="shared" si="5"/>
        <v>80618</v>
      </c>
      <c r="I37" s="24">
        <f t="shared" si="5"/>
        <v>80618</v>
      </c>
      <c r="J37" s="24">
        <f t="shared" si="5"/>
        <v>92502</v>
      </c>
      <c r="K37" s="24">
        <f t="shared" si="5"/>
        <v>81862</v>
      </c>
      <c r="L37" s="24">
        <f t="shared" si="5"/>
        <v>81862</v>
      </c>
      <c r="M37" s="24">
        <f t="shared" si="5"/>
        <v>81862</v>
      </c>
      <c r="N37" s="24">
        <f t="shared" si="5"/>
        <v>81862</v>
      </c>
      <c r="O37" s="25">
        <f>SUM(C37:N37)</f>
        <v>977788</v>
      </c>
    </row>
    <row r="38" spans="1:17" ht="15" customHeight="1" x14ac:dyDescent="0.2">
      <c r="A38" s="853" t="s">
        <v>148</v>
      </c>
      <c r="B38" s="27" t="s">
        <v>149</v>
      </c>
      <c r="C38" s="28">
        <v>4900</v>
      </c>
      <c r="D38" s="28">
        <v>5000</v>
      </c>
      <c r="E38" s="28">
        <v>5000</v>
      </c>
      <c r="F38" s="28">
        <v>5000</v>
      </c>
      <c r="G38" s="28">
        <v>5000</v>
      </c>
      <c r="H38" s="28">
        <v>5000</v>
      </c>
      <c r="I38" s="28">
        <v>5000</v>
      </c>
      <c r="J38" s="28">
        <v>5000</v>
      </c>
      <c r="K38" s="28">
        <v>8000</v>
      </c>
      <c r="L38" s="28">
        <v>7920</v>
      </c>
      <c r="M38" s="28">
        <v>7920</v>
      </c>
      <c r="N38" s="28">
        <v>8605</v>
      </c>
      <c r="O38" s="18">
        <f>SUM(C38:N38)</f>
        <v>72345</v>
      </c>
      <c r="P38" s="29"/>
    </row>
    <row r="39" spans="1:17" ht="15" x14ac:dyDescent="0.2">
      <c r="A39" s="854"/>
      <c r="B39" s="27" t="s">
        <v>150</v>
      </c>
      <c r="C39" s="28">
        <v>0</v>
      </c>
      <c r="D39" s="28">
        <v>0</v>
      </c>
      <c r="E39" s="28">
        <v>0</v>
      </c>
      <c r="F39" s="28">
        <v>0</v>
      </c>
      <c r="G39" s="28">
        <v>0</v>
      </c>
      <c r="H39" s="28">
        <v>0</v>
      </c>
      <c r="I39" s="28">
        <v>0</v>
      </c>
      <c r="J39" s="28">
        <v>0</v>
      </c>
      <c r="K39" s="28">
        <v>0</v>
      </c>
      <c r="L39" s="28">
        <v>0</v>
      </c>
      <c r="M39" s="28">
        <v>0</v>
      </c>
      <c r="N39" s="28">
        <v>0</v>
      </c>
      <c r="O39" s="18">
        <f>SUM(C39:N39)</f>
        <v>0</v>
      </c>
      <c r="Q39" s="16">
        <f>+Q37+Q38</f>
        <v>0</v>
      </c>
    </row>
    <row r="40" spans="1:17" ht="15" x14ac:dyDescent="0.2">
      <c r="A40" s="854"/>
      <c r="B40" s="27" t="s">
        <v>151</v>
      </c>
      <c r="C40" s="28">
        <v>60</v>
      </c>
      <c r="D40" s="28">
        <v>60</v>
      </c>
      <c r="E40" s="28">
        <v>60</v>
      </c>
      <c r="F40" s="28">
        <v>60</v>
      </c>
      <c r="G40" s="28">
        <v>60</v>
      </c>
      <c r="H40" s="28">
        <v>60</v>
      </c>
      <c r="I40" s="28">
        <v>60</v>
      </c>
      <c r="J40" s="28">
        <v>60</v>
      </c>
      <c r="K40" s="28">
        <v>60</v>
      </c>
      <c r="L40" s="28">
        <v>60</v>
      </c>
      <c r="M40" s="28">
        <v>60</v>
      </c>
      <c r="N40" s="28">
        <v>60</v>
      </c>
      <c r="O40" s="18">
        <f t="shared" ref="O40:O50" si="6">SUM(C40:N40)</f>
        <v>720</v>
      </c>
    </row>
    <row r="41" spans="1:17" ht="15" x14ac:dyDescent="0.2">
      <c r="A41" s="854"/>
      <c r="B41" s="27" t="s">
        <v>152</v>
      </c>
      <c r="C41" s="28">
        <v>0</v>
      </c>
      <c r="D41" s="28">
        <v>0</v>
      </c>
      <c r="E41" s="28">
        <v>0</v>
      </c>
      <c r="F41" s="28">
        <v>0</v>
      </c>
      <c r="G41" s="28">
        <v>0</v>
      </c>
      <c r="H41" s="28">
        <v>0</v>
      </c>
      <c r="I41" s="28">
        <v>0</v>
      </c>
      <c r="J41" s="28">
        <v>0</v>
      </c>
      <c r="K41" s="28">
        <v>0</v>
      </c>
      <c r="L41" s="28">
        <v>0</v>
      </c>
      <c r="M41" s="28">
        <v>0</v>
      </c>
      <c r="N41" s="28">
        <v>0</v>
      </c>
      <c r="O41" s="18">
        <f t="shared" si="6"/>
        <v>0</v>
      </c>
    </row>
    <row r="42" spans="1:17" ht="15" x14ac:dyDescent="0.2">
      <c r="A42" s="854"/>
      <c r="B42" s="27" t="s">
        <v>153</v>
      </c>
      <c r="C42" s="28">
        <v>0</v>
      </c>
      <c r="D42" s="28">
        <v>0</v>
      </c>
      <c r="E42" s="28">
        <v>0</v>
      </c>
      <c r="F42" s="28">
        <v>0</v>
      </c>
      <c r="G42" s="28">
        <v>0</v>
      </c>
      <c r="H42" s="28">
        <v>0</v>
      </c>
      <c r="I42" s="28">
        <v>0</v>
      </c>
      <c r="J42" s="28">
        <v>0</v>
      </c>
      <c r="K42" s="28">
        <v>0</v>
      </c>
      <c r="L42" s="28">
        <v>0</v>
      </c>
      <c r="M42" s="28">
        <v>0</v>
      </c>
      <c r="N42" s="28">
        <v>0</v>
      </c>
      <c r="O42" s="18">
        <f t="shared" si="6"/>
        <v>0</v>
      </c>
    </row>
    <row r="43" spans="1:17" ht="15" x14ac:dyDescent="0.2">
      <c r="A43" s="854"/>
      <c r="B43" s="27" t="s">
        <v>154</v>
      </c>
      <c r="C43" s="28">
        <v>20000</v>
      </c>
      <c r="D43" s="28">
        <v>20000</v>
      </c>
      <c r="E43" s="28">
        <v>22000</v>
      </c>
      <c r="F43" s="28">
        <v>22000</v>
      </c>
      <c r="G43" s="28">
        <v>22000</v>
      </c>
      <c r="H43" s="28">
        <v>22000</v>
      </c>
      <c r="I43" s="28">
        <v>22000</v>
      </c>
      <c r="J43" s="28">
        <v>22000</v>
      </c>
      <c r="K43" s="28">
        <v>22000</v>
      </c>
      <c r="L43" s="28">
        <v>22000</v>
      </c>
      <c r="M43" s="28">
        <v>22000</v>
      </c>
      <c r="N43" s="28">
        <v>22000</v>
      </c>
      <c r="O43" s="18">
        <f t="shared" si="6"/>
        <v>260000</v>
      </c>
    </row>
    <row r="44" spans="1:17" ht="15" x14ac:dyDescent="0.2">
      <c r="A44" s="854"/>
      <c r="B44" s="27" t="s">
        <v>155</v>
      </c>
      <c r="C44" s="28">
        <v>200</v>
      </c>
      <c r="D44" s="28">
        <v>200</v>
      </c>
      <c r="E44" s="28">
        <v>200</v>
      </c>
      <c r="F44" s="28">
        <v>200</v>
      </c>
      <c r="G44" s="28">
        <v>200</v>
      </c>
      <c r="H44" s="28">
        <v>200</v>
      </c>
      <c r="I44" s="28">
        <v>200</v>
      </c>
      <c r="J44" s="28">
        <v>200</v>
      </c>
      <c r="K44" s="28">
        <v>200</v>
      </c>
      <c r="L44" s="28">
        <v>200</v>
      </c>
      <c r="M44" s="28">
        <v>200</v>
      </c>
      <c r="N44" s="28">
        <v>300</v>
      </c>
      <c r="O44" s="18">
        <f t="shared" si="6"/>
        <v>2500</v>
      </c>
    </row>
    <row r="45" spans="1:17" ht="30" x14ac:dyDescent="0.2">
      <c r="A45" s="854"/>
      <c r="B45" s="27" t="s">
        <v>371</v>
      </c>
      <c r="C45" s="28">
        <v>0</v>
      </c>
      <c r="D45" s="28">
        <v>0</v>
      </c>
      <c r="E45" s="28">
        <v>0</v>
      </c>
      <c r="F45" s="28">
        <v>0</v>
      </c>
      <c r="G45" s="28">
        <v>0</v>
      </c>
      <c r="H45" s="28">
        <v>0</v>
      </c>
      <c r="I45" s="28">
        <v>0</v>
      </c>
      <c r="J45" s="28">
        <v>0</v>
      </c>
      <c r="K45" s="28">
        <v>0</v>
      </c>
      <c r="L45" s="28">
        <v>0</v>
      </c>
      <c r="M45" s="28">
        <v>0</v>
      </c>
      <c r="N45" s="28">
        <v>0</v>
      </c>
      <c r="O45" s="18">
        <f t="shared" si="6"/>
        <v>0</v>
      </c>
    </row>
    <row r="46" spans="1:17" ht="15" x14ac:dyDescent="0.2">
      <c r="A46" s="854"/>
      <c r="B46" s="27" t="s">
        <v>157</v>
      </c>
      <c r="C46" s="28">
        <v>0</v>
      </c>
      <c r="D46" s="28">
        <v>0</v>
      </c>
      <c r="E46" s="28">
        <v>0</v>
      </c>
      <c r="F46" s="28">
        <v>0</v>
      </c>
      <c r="G46" s="28">
        <v>0</v>
      </c>
      <c r="H46" s="28">
        <v>0</v>
      </c>
      <c r="I46" s="28">
        <v>0</v>
      </c>
      <c r="J46" s="28">
        <v>0</v>
      </c>
      <c r="K46" s="28">
        <v>0</v>
      </c>
      <c r="L46" s="28">
        <v>0</v>
      </c>
      <c r="M46" s="28">
        <v>0</v>
      </c>
      <c r="N46" s="28">
        <v>0</v>
      </c>
      <c r="O46" s="18">
        <f t="shared" si="6"/>
        <v>0</v>
      </c>
    </row>
    <row r="47" spans="1:17" ht="28.5" customHeight="1" x14ac:dyDescent="0.2">
      <c r="A47" s="855"/>
      <c r="B47" s="30" t="s">
        <v>158</v>
      </c>
      <c r="C47" s="28">
        <v>0</v>
      </c>
      <c r="D47" s="28">
        <v>0</v>
      </c>
      <c r="E47" s="28">
        <v>0</v>
      </c>
      <c r="F47" s="28">
        <v>0</v>
      </c>
      <c r="G47" s="28">
        <v>0</v>
      </c>
      <c r="H47" s="28">
        <v>0</v>
      </c>
      <c r="I47" s="28">
        <v>0</v>
      </c>
      <c r="J47" s="28">
        <v>0</v>
      </c>
      <c r="K47" s="28">
        <v>0</v>
      </c>
      <c r="L47" s="28">
        <v>0</v>
      </c>
      <c r="M47" s="28">
        <v>0</v>
      </c>
      <c r="N47" s="28">
        <v>0</v>
      </c>
      <c r="O47" s="31">
        <f t="shared" si="6"/>
        <v>0</v>
      </c>
    </row>
    <row r="48" spans="1:17" ht="30" x14ac:dyDescent="0.2">
      <c r="A48" s="856"/>
      <c r="B48" s="209" t="s">
        <v>323</v>
      </c>
      <c r="C48" s="28">
        <v>0</v>
      </c>
      <c r="D48" s="28">
        <v>0</v>
      </c>
      <c r="E48" s="28">
        <v>0</v>
      </c>
      <c r="F48" s="28">
        <v>0</v>
      </c>
      <c r="G48" s="28">
        <v>0</v>
      </c>
      <c r="H48" s="28">
        <v>0</v>
      </c>
      <c r="I48" s="28">
        <v>0</v>
      </c>
      <c r="J48" s="28">
        <v>0</v>
      </c>
      <c r="K48" s="28">
        <v>0</v>
      </c>
      <c r="L48" s="28">
        <v>0</v>
      </c>
      <c r="M48" s="28">
        <v>0</v>
      </c>
      <c r="N48" s="28">
        <v>0</v>
      </c>
      <c r="O48" s="31">
        <f t="shared" si="6"/>
        <v>0</v>
      </c>
    </row>
    <row r="49" spans="1:18" ht="15" x14ac:dyDescent="0.2">
      <c r="A49" s="857" t="s">
        <v>160</v>
      </c>
      <c r="B49" s="858"/>
      <c r="C49" s="33">
        <f t="shared" ref="C49:N49" si="7">SUM(C38:C48)</f>
        <v>25160</v>
      </c>
      <c r="D49" s="33">
        <f t="shared" si="7"/>
        <v>25260</v>
      </c>
      <c r="E49" s="33">
        <f t="shared" si="7"/>
        <v>27260</v>
      </c>
      <c r="F49" s="33">
        <f t="shared" si="7"/>
        <v>27260</v>
      </c>
      <c r="G49" s="33">
        <f>SUM(G38:G48)</f>
        <v>27260</v>
      </c>
      <c r="H49" s="33">
        <f t="shared" si="7"/>
        <v>27260</v>
      </c>
      <c r="I49" s="33">
        <f t="shared" si="7"/>
        <v>27260</v>
      </c>
      <c r="J49" s="33">
        <f t="shared" si="7"/>
        <v>27260</v>
      </c>
      <c r="K49" s="33">
        <f t="shared" si="7"/>
        <v>30260</v>
      </c>
      <c r="L49" s="33">
        <f t="shared" si="7"/>
        <v>30180</v>
      </c>
      <c r="M49" s="33">
        <f t="shared" si="7"/>
        <v>30180</v>
      </c>
      <c r="N49" s="33">
        <f t="shared" si="7"/>
        <v>30965</v>
      </c>
      <c r="O49" s="34">
        <f t="shared" si="6"/>
        <v>335565</v>
      </c>
    </row>
    <row r="50" spans="1:18" ht="15.75" thickBot="1" x14ac:dyDescent="0.25">
      <c r="A50" s="859" t="s">
        <v>161</v>
      </c>
      <c r="B50" s="860"/>
      <c r="C50" s="35">
        <f t="shared" ref="C50:N50" si="8">C37-C49</f>
        <v>52021</v>
      </c>
      <c r="D50" s="35">
        <f t="shared" si="8"/>
        <v>56761</v>
      </c>
      <c r="E50" s="35">
        <f t="shared" si="8"/>
        <v>51131</v>
      </c>
      <c r="F50" s="35">
        <f t="shared" si="8"/>
        <v>51131</v>
      </c>
      <c r="G50" s="35">
        <f t="shared" si="8"/>
        <v>53358</v>
      </c>
      <c r="H50" s="35">
        <f t="shared" si="8"/>
        <v>53358</v>
      </c>
      <c r="I50" s="35">
        <f t="shared" si="8"/>
        <v>53358</v>
      </c>
      <c r="J50" s="35">
        <f t="shared" si="8"/>
        <v>65242</v>
      </c>
      <c r="K50" s="35">
        <f t="shared" si="8"/>
        <v>51602</v>
      </c>
      <c r="L50" s="35">
        <f t="shared" si="8"/>
        <v>51682</v>
      </c>
      <c r="M50" s="35">
        <f t="shared" si="8"/>
        <v>51682</v>
      </c>
      <c r="N50" s="35">
        <f t="shared" si="8"/>
        <v>50897</v>
      </c>
      <c r="O50" s="36">
        <f t="shared" si="6"/>
        <v>642223</v>
      </c>
    </row>
    <row r="51" spans="1:18" x14ac:dyDescent="0.2">
      <c r="E51" s="16">
        <f>6500+27859+3379</f>
        <v>37738</v>
      </c>
      <c r="G51" s="16">
        <f>29176+6815</f>
        <v>35991</v>
      </c>
      <c r="H51" s="16">
        <f>29076+6141</f>
        <v>35217</v>
      </c>
      <c r="I51" s="16">
        <f>29076+6633</f>
        <v>35709</v>
      </c>
      <c r="J51" s="128">
        <f>6264+3454+31239+3380</f>
        <v>44337</v>
      </c>
      <c r="K51" s="16">
        <f>31239+3380</f>
        <v>34619</v>
      </c>
      <c r="L51" s="38">
        <f>+L50-L18</f>
        <v>51682</v>
      </c>
      <c r="M51" s="38">
        <f>+M50-M15</f>
        <v>51682</v>
      </c>
      <c r="N51" s="38">
        <f>+N50-N15</f>
        <v>50897</v>
      </c>
    </row>
    <row r="52" spans="1:18" ht="13.5" thickBot="1" x14ac:dyDescent="0.25">
      <c r="J52" s="38"/>
      <c r="Q52" s="16">
        <f>+Q50+Q51</f>
        <v>0</v>
      </c>
    </row>
    <row r="53" spans="1:18" ht="13.5" thickBot="1" x14ac:dyDescent="0.25">
      <c r="B53" s="789" t="s">
        <v>162</v>
      </c>
      <c r="C53" s="861"/>
      <c r="D53" s="861"/>
      <c r="E53" s="861"/>
      <c r="F53" s="862"/>
      <c r="G53" s="863">
        <f>O37</f>
        <v>977788</v>
      </c>
      <c r="H53" s="864"/>
      <c r="Q53" s="38"/>
    </row>
    <row r="54" spans="1:18" ht="13.5" thickBot="1" x14ac:dyDescent="0.25">
      <c r="Q54" s="38"/>
    </row>
    <row r="55" spans="1:18" x14ac:dyDescent="0.2">
      <c r="B55" s="830" t="s">
        <v>163</v>
      </c>
      <c r="C55" s="833" t="s">
        <v>164</v>
      </c>
      <c r="D55" s="836" t="s">
        <v>229</v>
      </c>
      <c r="E55" s="837"/>
      <c r="F55" s="838"/>
      <c r="G55" s="839">
        <v>40000</v>
      </c>
      <c r="H55" s="840"/>
    </row>
    <row r="56" spans="1:18" x14ac:dyDescent="0.2">
      <c r="B56" s="831"/>
      <c r="C56" s="834"/>
      <c r="D56" s="841" t="s">
        <v>166</v>
      </c>
      <c r="E56" s="842"/>
      <c r="F56" s="843"/>
      <c r="G56" s="844">
        <f>+O44</f>
        <v>2500</v>
      </c>
      <c r="H56" s="845"/>
      <c r="I56" s="39"/>
      <c r="J56" s="846"/>
      <c r="K56" s="846"/>
      <c r="L56" s="846"/>
      <c r="M56" s="847"/>
      <c r="N56" s="847"/>
      <c r="O56" s="847"/>
    </row>
    <row r="57" spans="1:18" ht="13.5" thickBot="1" x14ac:dyDescent="0.25">
      <c r="B57" s="832"/>
      <c r="C57" s="835"/>
      <c r="D57" s="921" t="s">
        <v>167</v>
      </c>
      <c r="E57" s="849"/>
      <c r="F57" s="850"/>
      <c r="G57" s="851">
        <v>0</v>
      </c>
      <c r="H57" s="852"/>
      <c r="J57" s="47"/>
      <c r="K57" s="47"/>
      <c r="L57" s="47"/>
      <c r="M57" s="47"/>
      <c r="N57" s="47"/>
      <c r="O57" s="47"/>
    </row>
    <row r="58" spans="1:18" ht="13.5" thickBot="1" x14ac:dyDescent="0.25">
      <c r="B58" s="48"/>
      <c r="J58" s="47"/>
      <c r="K58" s="47"/>
      <c r="L58" s="47"/>
      <c r="M58" s="47"/>
      <c r="N58" s="47"/>
      <c r="O58" s="47"/>
    </row>
    <row r="59" spans="1:18" ht="13.5" thickBot="1" x14ac:dyDescent="0.25">
      <c r="B59" s="789" t="s">
        <v>168</v>
      </c>
      <c r="C59" s="790"/>
      <c r="D59" s="790"/>
      <c r="E59" s="790"/>
      <c r="F59" s="791"/>
      <c r="G59" s="825">
        <f>+G53-SUM(G55:H57)</f>
        <v>935288</v>
      </c>
      <c r="H59" s="826"/>
      <c r="J59" s="827" t="s">
        <v>169</v>
      </c>
      <c r="K59" s="828"/>
      <c r="L59" s="828"/>
      <c r="M59" s="828"/>
      <c r="N59" s="828"/>
      <c r="O59" s="829"/>
    </row>
    <row r="60" spans="1:18" ht="13.5" thickBot="1" x14ac:dyDescent="0.25">
      <c r="B60" s="49"/>
      <c r="C60" s="50"/>
      <c r="D60" s="50"/>
      <c r="E60" s="50"/>
      <c r="F60" s="50"/>
      <c r="G60" s="45"/>
      <c r="H60" s="50"/>
      <c r="J60" s="129"/>
      <c r="K60" s="130"/>
      <c r="L60" s="130"/>
      <c r="M60" s="130"/>
      <c r="N60" s="130"/>
      <c r="O60" s="131"/>
    </row>
    <row r="61" spans="1:18" ht="13.5" thickBot="1" x14ac:dyDescent="0.25">
      <c r="B61" s="789" t="s">
        <v>170</v>
      </c>
      <c r="C61" s="790"/>
      <c r="D61" s="790"/>
      <c r="E61" s="790"/>
      <c r="F61" s="791"/>
      <c r="G61" s="805"/>
      <c r="H61" s="791"/>
      <c r="J61" s="129"/>
      <c r="K61" s="130"/>
      <c r="L61" s="130"/>
      <c r="M61" s="130"/>
      <c r="N61" s="130"/>
      <c r="O61" s="131"/>
    </row>
    <row r="62" spans="1:18" ht="12.75" customHeight="1" x14ac:dyDescent="0.2">
      <c r="B62" s="57" t="s">
        <v>171</v>
      </c>
      <c r="C62" s="806" t="s">
        <v>172</v>
      </c>
      <c r="D62" s="807"/>
      <c r="E62" s="807"/>
      <c r="F62" s="808"/>
      <c r="G62" s="809">
        <v>0</v>
      </c>
      <c r="H62" s="809"/>
      <c r="I62" s="58"/>
      <c r="J62" s="810" t="s">
        <v>173</v>
      </c>
      <c r="K62" s="811"/>
      <c r="L62" s="811"/>
      <c r="M62" s="811"/>
      <c r="N62" s="811"/>
      <c r="O62" s="812"/>
      <c r="Q62" s="59"/>
      <c r="R62" s="59"/>
    </row>
    <row r="63" spans="1:18" ht="13.5" thickBot="1" x14ac:dyDescent="0.25">
      <c r="D63" s="37"/>
      <c r="I63" s="58"/>
      <c r="J63" s="60" t="s">
        <v>254</v>
      </c>
      <c r="K63" s="132"/>
      <c r="L63" s="132"/>
      <c r="M63" s="133"/>
      <c r="N63" s="133"/>
      <c r="O63" s="134"/>
      <c r="Q63" s="59"/>
      <c r="R63" s="59"/>
    </row>
    <row r="64" spans="1:18" ht="13.5" thickBot="1" x14ac:dyDescent="0.25">
      <c r="B64" s="789" t="s">
        <v>175</v>
      </c>
      <c r="C64" s="790"/>
      <c r="D64" s="790"/>
      <c r="E64" s="790"/>
      <c r="F64" s="791"/>
      <c r="G64" s="805">
        <f>+G59-G62</f>
        <v>935288</v>
      </c>
      <c r="H64" s="791"/>
      <c r="I64" s="63"/>
      <c r="J64" s="75"/>
      <c r="K64" s="39"/>
      <c r="L64" s="39"/>
      <c r="M64" s="39"/>
      <c r="N64" s="39"/>
      <c r="O64" s="65"/>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6.25" customHeight="1" thickBot="1" x14ac:dyDescent="0.25">
      <c r="B67" s="66"/>
      <c r="C67" s="48"/>
      <c r="G67" s="70" t="s">
        <v>177</v>
      </c>
      <c r="H67" s="70" t="s">
        <v>178</v>
      </c>
      <c r="I67" s="63"/>
      <c r="J67" s="810" t="s">
        <v>179</v>
      </c>
      <c r="K67" s="811"/>
      <c r="L67" s="71"/>
      <c r="M67" s="71"/>
      <c r="N67" s="71"/>
      <c r="O67" s="72"/>
      <c r="Q67" s="59"/>
      <c r="R67" s="59"/>
    </row>
    <row r="68" spans="2:18" ht="12.75" customHeight="1" x14ac:dyDescent="0.2">
      <c r="B68" s="802" t="s">
        <v>180</v>
      </c>
      <c r="C68" s="821" t="s">
        <v>181</v>
      </c>
      <c r="D68" s="823" t="s">
        <v>182</v>
      </c>
      <c r="E68" s="824"/>
      <c r="F68" s="824"/>
      <c r="G68" s="73">
        <f>+O43</f>
        <v>260000</v>
      </c>
      <c r="H68" s="74">
        <f t="shared" ref="H68:H76" si="9">+G68</f>
        <v>260000</v>
      </c>
      <c r="I68" s="63"/>
      <c r="J68" s="75" t="s">
        <v>231</v>
      </c>
      <c r="K68" s="58"/>
      <c r="L68" s="58"/>
      <c r="M68" s="58" t="s">
        <v>232</v>
      </c>
      <c r="N68" s="58" t="s">
        <v>233</v>
      </c>
      <c r="O68" s="76">
        <v>0</v>
      </c>
      <c r="Q68" s="59"/>
      <c r="R68" s="59"/>
    </row>
    <row r="69" spans="2:18" ht="12.75" customHeight="1" x14ac:dyDescent="0.2">
      <c r="B69" s="803"/>
      <c r="C69" s="822"/>
      <c r="D69" s="782" t="s">
        <v>184</v>
      </c>
      <c r="E69" s="783"/>
      <c r="F69" s="783"/>
      <c r="G69" s="77">
        <f>+O47</f>
        <v>0</v>
      </c>
      <c r="H69" s="78">
        <f t="shared" si="9"/>
        <v>0</v>
      </c>
      <c r="I69" s="63"/>
      <c r="J69" s="79"/>
      <c r="K69" s="68"/>
      <c r="L69" s="68"/>
      <c r="M69" s="68"/>
      <c r="N69" s="68"/>
      <c r="O69" s="69"/>
      <c r="Q69" s="59"/>
      <c r="R69" s="59"/>
    </row>
    <row r="70" spans="2:18" ht="12.75" customHeight="1" x14ac:dyDescent="0.2">
      <c r="B70" s="803"/>
      <c r="C70" s="822"/>
      <c r="D70" s="819" t="s">
        <v>185</v>
      </c>
      <c r="E70" s="820"/>
      <c r="F70" s="820"/>
      <c r="G70" s="80">
        <f>O40</f>
        <v>720</v>
      </c>
      <c r="H70" s="78">
        <f t="shared" si="9"/>
        <v>720</v>
      </c>
      <c r="I70" s="63"/>
      <c r="J70" s="82" t="s">
        <v>187</v>
      </c>
      <c r="K70" s="71"/>
      <c r="L70" s="71"/>
      <c r="M70" s="71"/>
      <c r="N70" s="71"/>
      <c r="O70" s="72"/>
    </row>
    <row r="71" spans="2:18" x14ac:dyDescent="0.2">
      <c r="B71" s="803"/>
      <c r="C71" s="822"/>
      <c r="D71" s="782" t="s">
        <v>186</v>
      </c>
      <c r="E71" s="783"/>
      <c r="F71" s="783"/>
      <c r="G71" s="81">
        <v>0</v>
      </c>
      <c r="H71" s="78">
        <f t="shared" si="9"/>
        <v>0</v>
      </c>
      <c r="I71" s="63"/>
      <c r="J71" s="75" t="s">
        <v>189</v>
      </c>
      <c r="K71" s="50"/>
      <c r="L71" s="50"/>
      <c r="M71" s="50"/>
      <c r="N71" s="50"/>
      <c r="O71" s="83">
        <v>0</v>
      </c>
    </row>
    <row r="72" spans="2:18" ht="12.75" customHeight="1" x14ac:dyDescent="0.2">
      <c r="B72" s="803"/>
      <c r="C72" s="822"/>
      <c r="D72" s="784" t="s">
        <v>188</v>
      </c>
      <c r="E72" s="783"/>
      <c r="F72" s="783"/>
      <c r="G72" s="80">
        <v>0</v>
      </c>
      <c r="H72" s="78">
        <f t="shared" si="9"/>
        <v>0</v>
      </c>
      <c r="I72" s="63"/>
      <c r="J72" s="75" t="s">
        <v>372</v>
      </c>
      <c r="K72" s="39"/>
      <c r="L72" s="39"/>
      <c r="M72" s="39"/>
      <c r="N72" s="39"/>
      <c r="O72" s="65">
        <v>0</v>
      </c>
    </row>
    <row r="73" spans="2:18" ht="14.25" customHeight="1" x14ac:dyDescent="0.2">
      <c r="B73" s="803"/>
      <c r="C73" s="822"/>
      <c r="D73" s="782" t="s">
        <v>190</v>
      </c>
      <c r="E73" s="783"/>
      <c r="F73" s="783"/>
      <c r="G73" s="84">
        <v>0</v>
      </c>
      <c r="H73" s="78">
        <f t="shared" si="9"/>
        <v>0</v>
      </c>
      <c r="I73" s="63"/>
      <c r="J73" s="137" t="s">
        <v>373</v>
      </c>
      <c r="K73" s="50"/>
      <c r="L73" s="50"/>
      <c r="M73" s="50"/>
      <c r="N73" s="50"/>
      <c r="O73" s="83"/>
    </row>
    <row r="74" spans="2:18" x14ac:dyDescent="0.2">
      <c r="B74" s="803"/>
      <c r="C74" s="822"/>
      <c r="D74" s="782" t="s">
        <v>191</v>
      </c>
      <c r="E74" s="783"/>
      <c r="F74" s="783"/>
      <c r="G74" s="81">
        <v>0</v>
      </c>
      <c r="H74" s="78">
        <f t="shared" si="9"/>
        <v>0</v>
      </c>
      <c r="I74" s="58"/>
      <c r="J74" s="82" t="s">
        <v>374</v>
      </c>
      <c r="K74" s="210"/>
      <c r="L74" s="210"/>
      <c r="M74" s="210"/>
      <c r="N74" s="210"/>
      <c r="O74" s="211"/>
    </row>
    <row r="75" spans="2:18" x14ac:dyDescent="0.2">
      <c r="B75" s="803"/>
      <c r="C75" s="88" t="s">
        <v>192</v>
      </c>
      <c r="D75" s="813" t="s">
        <v>193</v>
      </c>
      <c r="E75" s="814"/>
      <c r="F75" s="814"/>
      <c r="G75" s="80">
        <v>0</v>
      </c>
      <c r="H75" s="78">
        <f t="shared" si="9"/>
        <v>0</v>
      </c>
      <c r="I75" s="58"/>
      <c r="J75" s="75" t="s">
        <v>375</v>
      </c>
      <c r="K75" s="68"/>
      <c r="L75" s="68"/>
      <c r="M75" s="91"/>
      <c r="N75" s="91"/>
      <c r="O75" s="92"/>
    </row>
    <row r="76" spans="2:18" ht="13.5" customHeight="1" thickBot="1" x14ac:dyDescent="0.25">
      <c r="B76" s="803"/>
      <c r="C76" s="88" t="s">
        <v>194</v>
      </c>
      <c r="D76" s="815" t="s">
        <v>195</v>
      </c>
      <c r="E76" s="815"/>
      <c r="F76" s="815"/>
      <c r="G76" s="89">
        <v>0</v>
      </c>
      <c r="H76" s="90">
        <f t="shared" si="9"/>
        <v>0</v>
      </c>
      <c r="I76" s="63"/>
      <c r="J76" s="75" t="s">
        <v>376</v>
      </c>
      <c r="K76" s="68"/>
      <c r="L76" s="68"/>
      <c r="M76" s="91"/>
      <c r="N76" s="91"/>
      <c r="O76" s="92"/>
    </row>
    <row r="77" spans="2:18" ht="13.5" thickBot="1" x14ac:dyDescent="0.25">
      <c r="B77" s="803"/>
      <c r="C77" s="93"/>
      <c r="D77" s="94"/>
      <c r="E77" s="816" t="s">
        <v>117</v>
      </c>
      <c r="F77" s="817"/>
      <c r="G77" s="95">
        <f>SUM(G68:G76)</f>
        <v>260720</v>
      </c>
      <c r="H77" s="96">
        <f>IF(SUM(G68:G74)&lt;150000,SUM(G68:G74),150000)+IF(+G75&lt;20000,+G75,20000)</f>
        <v>150000</v>
      </c>
      <c r="I77" s="63"/>
      <c r="J77" s="212"/>
      <c r="K77" s="98"/>
      <c r="L77" s="98"/>
      <c r="M77" s="98"/>
      <c r="N77" s="98"/>
      <c r="O77" s="99"/>
    </row>
    <row r="78" spans="2:18" ht="12.75" customHeight="1" x14ac:dyDescent="0.2">
      <c r="B78" s="803"/>
      <c r="C78" s="100" t="s">
        <v>196</v>
      </c>
      <c r="D78" s="782" t="s">
        <v>187</v>
      </c>
      <c r="E78" s="783"/>
      <c r="F78" s="818"/>
      <c r="G78" s="73">
        <v>0</v>
      </c>
      <c r="H78" s="101">
        <f>+IF(+G78&lt;25000,+G78,25000)</f>
        <v>0</v>
      </c>
      <c r="I78" s="87"/>
    </row>
    <row r="79" spans="2:18" x14ac:dyDescent="0.2">
      <c r="B79" s="803"/>
      <c r="C79" s="100" t="s">
        <v>197</v>
      </c>
      <c r="D79" s="784" t="s">
        <v>198</v>
      </c>
      <c r="E79" s="785"/>
      <c r="F79" s="786"/>
      <c r="G79" s="102">
        <v>0</v>
      </c>
      <c r="H79" s="103">
        <f>+IF(+G79&lt;40000,+G79,40000)</f>
        <v>0</v>
      </c>
      <c r="I79" s="63"/>
    </row>
    <row r="80" spans="2:18" x14ac:dyDescent="0.2">
      <c r="B80" s="803"/>
      <c r="C80" s="100" t="s">
        <v>199</v>
      </c>
      <c r="D80" s="784" t="s">
        <v>200</v>
      </c>
      <c r="E80" s="785"/>
      <c r="F80" s="786"/>
      <c r="G80" s="81"/>
      <c r="H80" s="104">
        <v>0</v>
      </c>
      <c r="I80" s="63"/>
      <c r="K80" s="172"/>
      <c r="L80" s="172"/>
      <c r="M80" s="172"/>
    </row>
    <row r="81" spans="2:12" x14ac:dyDescent="0.2">
      <c r="B81" s="803"/>
      <c r="C81" s="100" t="s">
        <v>201</v>
      </c>
      <c r="D81" s="784" t="s">
        <v>202</v>
      </c>
      <c r="E81" s="785"/>
      <c r="F81" s="786"/>
      <c r="G81" s="81"/>
      <c r="H81" s="104">
        <v>0</v>
      </c>
      <c r="I81" s="63"/>
    </row>
    <row r="82" spans="2:12" ht="13.5" thickBot="1" x14ac:dyDescent="0.25">
      <c r="B82" s="804"/>
      <c r="C82" s="100" t="s">
        <v>203</v>
      </c>
      <c r="D82" s="784" t="s">
        <v>204</v>
      </c>
      <c r="E82" s="785"/>
      <c r="F82" s="786"/>
      <c r="G82" s="102"/>
      <c r="H82" s="103">
        <f>+IF(+G82&lt;100000,+G82,10000)</f>
        <v>0</v>
      </c>
      <c r="I82" s="63"/>
      <c r="J82" s="106"/>
    </row>
    <row r="83" spans="2:12" ht="13.5" thickBot="1" x14ac:dyDescent="0.25">
      <c r="B83" s="787" t="s">
        <v>205</v>
      </c>
      <c r="C83" s="788"/>
      <c r="D83" s="788"/>
      <c r="E83" s="788"/>
      <c r="F83" s="788"/>
      <c r="G83" s="107">
        <f>SUM(G78:G82)</f>
        <v>0</v>
      </c>
      <c r="H83" s="108">
        <f>SUM(H77:H82)</f>
        <v>150000</v>
      </c>
    </row>
    <row r="84" spans="2:12" ht="13.5" thickBot="1" x14ac:dyDescent="0.25"/>
    <row r="85" spans="2:12" ht="13.5" thickBot="1" x14ac:dyDescent="0.25">
      <c r="B85" s="789" t="s">
        <v>206</v>
      </c>
      <c r="C85" s="790"/>
      <c r="D85" s="790"/>
      <c r="E85" s="790"/>
      <c r="F85" s="791"/>
      <c r="G85" s="792">
        <f>+G64-H83</f>
        <v>785288</v>
      </c>
      <c r="H85" s="791"/>
      <c r="J85" s="105">
        <f>C37+D37+E37+F37</f>
        <v>315984</v>
      </c>
      <c r="K85" s="16" t="s">
        <v>235</v>
      </c>
    </row>
    <row r="86" spans="2:12" x14ac:dyDescent="0.2">
      <c r="B86" s="110"/>
      <c r="F86" s="105"/>
      <c r="J86" s="105">
        <f>G37+H37+I37</f>
        <v>241854</v>
      </c>
      <c r="K86" s="16" t="s">
        <v>236</v>
      </c>
      <c r="L86" s="16">
        <f>+J86/3</f>
        <v>80618</v>
      </c>
    </row>
    <row r="87" spans="2:12" x14ac:dyDescent="0.2">
      <c r="C87" s="793" t="s">
        <v>207</v>
      </c>
      <c r="D87" s="794"/>
      <c r="E87" s="111" t="s">
        <v>208</v>
      </c>
      <c r="F87" s="111" t="s">
        <v>209</v>
      </c>
      <c r="G87" s="111" t="s">
        <v>210</v>
      </c>
      <c r="H87" s="111" t="s">
        <v>211</v>
      </c>
      <c r="J87" s="213">
        <f>J37+K37+L37</f>
        <v>256226</v>
      </c>
      <c r="K87" s="47" t="s">
        <v>237</v>
      </c>
      <c r="L87" s="16">
        <f>+J87/3</f>
        <v>85408.666666666672</v>
      </c>
    </row>
    <row r="88" spans="2:12" x14ac:dyDescent="0.2">
      <c r="C88" s="795" t="str">
        <f>IF(I6="M","0          - 250000","0          -  250000")</f>
        <v>0          - 250000</v>
      </c>
      <c r="D88" s="796"/>
      <c r="E88" s="112">
        <v>0</v>
      </c>
      <c r="F88" s="113">
        <f>IF(I6="M",(IF(G85&lt;250000,G85,250000)),(IF(G85&lt;250000,G85,250000)))</f>
        <v>250000</v>
      </c>
      <c r="G88" s="113">
        <f>G85-F88</f>
        <v>535288</v>
      </c>
      <c r="H88" s="113">
        <f>E88*F88</f>
        <v>0</v>
      </c>
      <c r="J88" s="207">
        <f>M37+N37</f>
        <v>163724</v>
      </c>
      <c r="K88" s="1" t="s">
        <v>238</v>
      </c>
      <c r="L88" s="16">
        <f>+J88/2</f>
        <v>81862</v>
      </c>
    </row>
    <row r="89" spans="2:12" x14ac:dyDescent="0.2">
      <c r="C89" s="795" t="str">
        <f>IF(I6="M","250001 - 500000","250001-500000")</f>
        <v>250001 - 500000</v>
      </c>
      <c r="D89" s="796"/>
      <c r="E89" s="112">
        <v>0.05</v>
      </c>
      <c r="F89" s="113">
        <f>IF(I6="M",(IF(G88&lt;250000,G88,250000)),(IF(G88&lt;250000,G88,250000)))</f>
        <v>250000</v>
      </c>
      <c r="G89" s="113">
        <f>G88-F89</f>
        <v>285288</v>
      </c>
      <c r="H89" s="114">
        <f>ROUND(E89*F89,0.1)</f>
        <v>12500</v>
      </c>
      <c r="J89" s="115">
        <f>SUM(J85:J88)</f>
        <v>977788</v>
      </c>
    </row>
    <row r="90" spans="2:12" x14ac:dyDescent="0.2">
      <c r="C90" s="797" t="s">
        <v>212</v>
      </c>
      <c r="D90" s="798"/>
      <c r="E90" s="112">
        <v>0.2</v>
      </c>
      <c r="F90" s="113">
        <f>IF(G89&lt;500000,G89,500000)</f>
        <v>285288</v>
      </c>
      <c r="G90" s="113">
        <f>G89-F90</f>
        <v>0</v>
      </c>
      <c r="H90" s="114">
        <f>ROUND(E90*F90,0.1)</f>
        <v>57058</v>
      </c>
      <c r="J90" s="16">
        <f>+G85</f>
        <v>785288</v>
      </c>
    </row>
    <row r="91" spans="2:12" x14ac:dyDescent="0.2">
      <c r="C91" s="795" t="s">
        <v>213</v>
      </c>
      <c r="D91" s="796"/>
      <c r="E91" s="112">
        <v>0.3</v>
      </c>
      <c r="F91" s="113">
        <f>G90</f>
        <v>0</v>
      </c>
      <c r="G91" s="113">
        <f>G90-F91</f>
        <v>0</v>
      </c>
      <c r="H91" s="114">
        <f>ROUND(E91*F91,0.1)</f>
        <v>0</v>
      </c>
      <c r="J91" s="16">
        <f>+J89-J90</f>
        <v>192500</v>
      </c>
    </row>
    <row r="92" spans="2:12" ht="12.75" customHeight="1" thickBot="1" x14ac:dyDescent="0.25">
      <c r="B92" s="116"/>
      <c r="C92" s="117"/>
      <c r="D92" s="47"/>
      <c r="E92" s="47"/>
      <c r="F92" s="47"/>
      <c r="J92" s="87"/>
      <c r="K92" s="118"/>
    </row>
    <row r="93" spans="2:12" ht="13.5" thickBot="1" x14ac:dyDescent="0.25">
      <c r="B93" s="799" t="s">
        <v>239</v>
      </c>
      <c r="C93" s="800"/>
      <c r="D93" s="800"/>
      <c r="E93" s="800"/>
      <c r="F93" s="801"/>
      <c r="G93" s="771">
        <f>H88+H89+H90+H91</f>
        <v>69558</v>
      </c>
      <c r="H93" s="772"/>
    </row>
    <row r="94" spans="2:12" ht="13.5" thickBot="1" x14ac:dyDescent="0.25">
      <c r="B94" s="119" t="s">
        <v>215</v>
      </c>
      <c r="C94" s="120"/>
      <c r="D94" s="120"/>
      <c r="E94" s="120"/>
      <c r="F94" s="120"/>
      <c r="G94" s="884">
        <f>IF((G64&lt;500000),5000,0)</f>
        <v>0</v>
      </c>
      <c r="H94" s="885">
        <f>IF(H92&lt;200000,0,IF(H92&lt;220000,((H92-200000)*10%),IF(H92&lt;=500000,2000,IF(H92&gt;=500000,0))))</f>
        <v>0</v>
      </c>
      <c r="J94" s="1"/>
      <c r="K94" s="121"/>
      <c r="L94" s="121"/>
    </row>
    <row r="95" spans="2:12" ht="13.5" thickBot="1" x14ac:dyDescent="0.25">
      <c r="B95" s="122" t="s">
        <v>216</v>
      </c>
      <c r="C95" s="123"/>
      <c r="D95" s="123"/>
      <c r="E95" s="123"/>
      <c r="F95" s="123"/>
      <c r="G95" s="771">
        <f>IF((G93-G94)&lt;0,0,(G93-G94))</f>
        <v>69558</v>
      </c>
      <c r="H95" s="772"/>
      <c r="I95" s="37"/>
    </row>
    <row r="96" spans="2:12" ht="13.5" thickBot="1" x14ac:dyDescent="0.25">
      <c r="B96" s="773" t="s">
        <v>240</v>
      </c>
      <c r="C96" s="774"/>
      <c r="D96" s="774"/>
      <c r="E96" s="774"/>
      <c r="F96" s="775"/>
      <c r="G96" s="776">
        <f>ROUND((IF(G95&gt;0,(G95*4%),0)),0)</f>
        <v>2782</v>
      </c>
      <c r="H96" s="777"/>
      <c r="I96" s="37"/>
    </row>
    <row r="97" spans="2:9" ht="13.5" thickBot="1" x14ac:dyDescent="0.25">
      <c r="B97" s="778" t="s">
        <v>218</v>
      </c>
      <c r="C97" s="779"/>
      <c r="D97" s="779"/>
      <c r="E97" s="779"/>
      <c r="F97" s="779"/>
      <c r="G97" s="780">
        <f>G95+G96</f>
        <v>72340</v>
      </c>
      <c r="H97" s="781"/>
      <c r="I97" s="121"/>
    </row>
    <row r="98" spans="2:9" ht="13.5" thickBot="1" x14ac:dyDescent="0.25">
      <c r="B98" s="765" t="s">
        <v>219</v>
      </c>
      <c r="C98" s="766"/>
      <c r="D98" s="766"/>
      <c r="E98" s="766"/>
      <c r="F98" s="766"/>
      <c r="G98" s="767">
        <f>O38</f>
        <v>72345</v>
      </c>
      <c r="H98" s="768"/>
      <c r="I98" s="121"/>
    </row>
    <row r="99" spans="2:9" ht="13.5" thickBot="1" x14ac:dyDescent="0.25">
      <c r="B99" s="765" t="str">
        <f>IF(G99&gt;0,"TAX PAYABLE","TAX REFUND")</f>
        <v>TAX REFUND</v>
      </c>
      <c r="C99" s="766"/>
      <c r="D99" s="766"/>
      <c r="E99" s="766"/>
      <c r="F99" s="766"/>
      <c r="G99" s="767">
        <f>+G97-G98</f>
        <v>-5</v>
      </c>
      <c r="H99" s="768"/>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B102" s="214" t="s">
        <v>377</v>
      </c>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row r="108" spans="2:9" x14ac:dyDescent="0.2">
      <c r="C108" s="39"/>
      <c r="D108" s="39"/>
      <c r="E108" s="39"/>
      <c r="F108" s="39"/>
      <c r="G108" s="39"/>
      <c r="H108"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0:F91 B99:F99 B93:F97">
    <cfRule type="cellIs" dxfId="2043" priority="3" stopIfTrue="1" operator="equal">
      <formula>"TAX PAYABLE"</formula>
    </cfRule>
    <cfRule type="cellIs" dxfId="2042" priority="4" stopIfTrue="1" operator="equal">
      <formula>"TAX REFUND"</formula>
    </cfRule>
  </conditionalFormatting>
  <conditionalFormatting sqref="G90:H91">
    <cfRule type="cellIs" dxfId="2041" priority="5" stopIfTrue="1" operator="lessThan">
      <formula>0</formula>
    </cfRule>
    <cfRule type="cellIs" dxfId="2040" priority="6" stopIfTrue="1" operator="greaterThan">
      <formula>0</formula>
    </cfRule>
  </conditionalFormatting>
  <conditionalFormatting sqref="G99:H99">
    <cfRule type="cellIs" dxfId="2039" priority="1" stopIfTrue="1" operator="greaterThan">
      <formula>0</formula>
    </cfRule>
    <cfRule type="cellIs" dxfId="2038"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hyperlinks>
    <hyperlink ref="B102" location="'0'!A1" display="index"/>
  </hyperlinks>
  <pageMargins left="0.7" right="0.7" top="0.75" bottom="0.75" header="0.3" footer="0.3"/>
  <pageSetup paperSize="5" orientation="landscape" horizontalDpi="300" verticalDpi="300"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7"/>
  <sheetViews>
    <sheetView topLeftCell="A65" workbookViewId="0">
      <selection activeCell="I1" sqref="I1:O1"/>
    </sheetView>
  </sheetViews>
  <sheetFormatPr defaultRowHeight="12.75" x14ac:dyDescent="0.2"/>
  <cols>
    <col min="1" max="1" width="5" style="16" customWidth="1"/>
    <col min="2" max="2" width="19" style="37" customWidth="1"/>
    <col min="3" max="3" width="9.28515625" style="16" customWidth="1"/>
    <col min="4" max="4" width="6.7109375" style="16" bestFit="1" customWidth="1"/>
    <col min="5" max="5" width="8.5703125" style="16" bestFit="1" customWidth="1"/>
    <col min="6" max="6" width="8.85546875" style="16" customWidth="1"/>
    <col min="7" max="7" width="8.7109375" style="16" customWidth="1"/>
    <col min="8" max="8" width="8" style="16" customWidth="1"/>
    <col min="9" max="14" width="8.28515625" style="16" customWidth="1"/>
    <col min="15" max="15" width="12.14062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9" style="16" customWidth="1"/>
    <col min="259" max="259" width="9.28515625" style="16" customWidth="1"/>
    <col min="260" max="260" width="6.7109375" style="16" bestFit="1" customWidth="1"/>
    <col min="261" max="261" width="8.5703125" style="16" bestFit="1" customWidth="1"/>
    <col min="262" max="262" width="8.85546875" style="16" customWidth="1"/>
    <col min="263" max="263" width="8.7109375" style="16" customWidth="1"/>
    <col min="264" max="264" width="8" style="16" customWidth="1"/>
    <col min="265" max="270" width="8.28515625" style="16" customWidth="1"/>
    <col min="271" max="271" width="12.14062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9" style="16" customWidth="1"/>
    <col min="515" max="515" width="9.28515625" style="16" customWidth="1"/>
    <col min="516" max="516" width="6.7109375" style="16" bestFit="1" customWidth="1"/>
    <col min="517" max="517" width="8.5703125" style="16" bestFit="1" customWidth="1"/>
    <col min="518" max="518" width="8.85546875" style="16" customWidth="1"/>
    <col min="519" max="519" width="8.7109375" style="16" customWidth="1"/>
    <col min="520" max="520" width="8" style="16" customWidth="1"/>
    <col min="521" max="526" width="8.28515625" style="16" customWidth="1"/>
    <col min="527" max="527" width="12.14062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9" style="16" customWidth="1"/>
    <col min="771" max="771" width="9.28515625" style="16" customWidth="1"/>
    <col min="772" max="772" width="6.7109375" style="16" bestFit="1" customWidth="1"/>
    <col min="773" max="773" width="8.5703125" style="16" bestFit="1" customWidth="1"/>
    <col min="774" max="774" width="8.85546875" style="16" customWidth="1"/>
    <col min="775" max="775" width="8.7109375" style="16" customWidth="1"/>
    <col min="776" max="776" width="8" style="16" customWidth="1"/>
    <col min="777" max="782" width="8.28515625" style="16" customWidth="1"/>
    <col min="783" max="783" width="12.14062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9" style="16" customWidth="1"/>
    <col min="1027" max="1027" width="9.28515625" style="16" customWidth="1"/>
    <col min="1028" max="1028" width="6.7109375" style="16" bestFit="1" customWidth="1"/>
    <col min="1029" max="1029" width="8.5703125" style="16" bestFit="1" customWidth="1"/>
    <col min="1030" max="1030" width="8.85546875" style="16" customWidth="1"/>
    <col min="1031" max="1031" width="8.7109375" style="16" customWidth="1"/>
    <col min="1032" max="1032" width="8" style="16" customWidth="1"/>
    <col min="1033" max="1038" width="8.28515625" style="16" customWidth="1"/>
    <col min="1039" max="1039" width="12.14062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9" style="16" customWidth="1"/>
    <col min="1283" max="1283" width="9.28515625" style="16" customWidth="1"/>
    <col min="1284" max="1284" width="6.7109375" style="16" bestFit="1" customWidth="1"/>
    <col min="1285" max="1285" width="8.5703125" style="16" bestFit="1" customWidth="1"/>
    <col min="1286" max="1286" width="8.85546875" style="16" customWidth="1"/>
    <col min="1287" max="1287" width="8.7109375" style="16" customWidth="1"/>
    <col min="1288" max="1288" width="8" style="16" customWidth="1"/>
    <col min="1289" max="1294" width="8.28515625" style="16" customWidth="1"/>
    <col min="1295" max="1295" width="12.14062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9" style="16" customWidth="1"/>
    <col min="1539" max="1539" width="9.28515625" style="16" customWidth="1"/>
    <col min="1540" max="1540" width="6.7109375" style="16" bestFit="1" customWidth="1"/>
    <col min="1541" max="1541" width="8.5703125" style="16" bestFit="1" customWidth="1"/>
    <col min="1542" max="1542" width="8.85546875" style="16" customWidth="1"/>
    <col min="1543" max="1543" width="8.7109375" style="16" customWidth="1"/>
    <col min="1544" max="1544" width="8" style="16" customWidth="1"/>
    <col min="1545" max="1550" width="8.28515625" style="16" customWidth="1"/>
    <col min="1551" max="1551" width="12.14062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9" style="16" customWidth="1"/>
    <col min="1795" max="1795" width="9.28515625" style="16" customWidth="1"/>
    <col min="1796" max="1796" width="6.7109375" style="16" bestFit="1" customWidth="1"/>
    <col min="1797" max="1797" width="8.5703125" style="16" bestFit="1" customWidth="1"/>
    <col min="1798" max="1798" width="8.85546875" style="16" customWidth="1"/>
    <col min="1799" max="1799" width="8.7109375" style="16" customWidth="1"/>
    <col min="1800" max="1800" width="8" style="16" customWidth="1"/>
    <col min="1801" max="1806" width="8.28515625" style="16" customWidth="1"/>
    <col min="1807" max="1807" width="12.14062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9" style="16" customWidth="1"/>
    <col min="2051" max="2051" width="9.28515625" style="16" customWidth="1"/>
    <col min="2052" max="2052" width="6.7109375" style="16" bestFit="1" customWidth="1"/>
    <col min="2053" max="2053" width="8.5703125" style="16" bestFit="1" customWidth="1"/>
    <col min="2054" max="2054" width="8.85546875" style="16" customWidth="1"/>
    <col min="2055" max="2055" width="8.7109375" style="16" customWidth="1"/>
    <col min="2056" max="2056" width="8" style="16" customWidth="1"/>
    <col min="2057" max="2062" width="8.28515625" style="16" customWidth="1"/>
    <col min="2063" max="2063" width="12.14062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9" style="16" customWidth="1"/>
    <col min="2307" max="2307" width="9.28515625" style="16" customWidth="1"/>
    <col min="2308" max="2308" width="6.7109375" style="16" bestFit="1" customWidth="1"/>
    <col min="2309" max="2309" width="8.5703125" style="16" bestFit="1" customWidth="1"/>
    <col min="2310" max="2310" width="8.85546875" style="16" customWidth="1"/>
    <col min="2311" max="2311" width="8.7109375" style="16" customWidth="1"/>
    <col min="2312" max="2312" width="8" style="16" customWidth="1"/>
    <col min="2313" max="2318" width="8.28515625" style="16" customWidth="1"/>
    <col min="2319" max="2319" width="12.14062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9" style="16" customWidth="1"/>
    <col min="2563" max="2563" width="9.28515625" style="16" customWidth="1"/>
    <col min="2564" max="2564" width="6.7109375" style="16" bestFit="1" customWidth="1"/>
    <col min="2565" max="2565" width="8.5703125" style="16" bestFit="1" customWidth="1"/>
    <col min="2566" max="2566" width="8.85546875" style="16" customWidth="1"/>
    <col min="2567" max="2567" width="8.7109375" style="16" customWidth="1"/>
    <col min="2568" max="2568" width="8" style="16" customWidth="1"/>
    <col min="2569" max="2574" width="8.28515625" style="16" customWidth="1"/>
    <col min="2575" max="2575" width="12.14062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9" style="16" customWidth="1"/>
    <col min="2819" max="2819" width="9.28515625" style="16" customWidth="1"/>
    <col min="2820" max="2820" width="6.7109375" style="16" bestFit="1" customWidth="1"/>
    <col min="2821" max="2821" width="8.5703125" style="16" bestFit="1" customWidth="1"/>
    <col min="2822" max="2822" width="8.85546875" style="16" customWidth="1"/>
    <col min="2823" max="2823" width="8.7109375" style="16" customWidth="1"/>
    <col min="2824" max="2824" width="8" style="16" customWidth="1"/>
    <col min="2825" max="2830" width="8.28515625" style="16" customWidth="1"/>
    <col min="2831" max="2831" width="12.14062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9" style="16" customWidth="1"/>
    <col min="3075" max="3075" width="9.28515625" style="16" customWidth="1"/>
    <col min="3076" max="3076" width="6.7109375" style="16" bestFit="1" customWidth="1"/>
    <col min="3077" max="3077" width="8.5703125" style="16" bestFit="1" customWidth="1"/>
    <col min="3078" max="3078" width="8.85546875" style="16" customWidth="1"/>
    <col min="3079" max="3079" width="8.7109375" style="16" customWidth="1"/>
    <col min="3080" max="3080" width="8" style="16" customWidth="1"/>
    <col min="3081" max="3086" width="8.28515625" style="16" customWidth="1"/>
    <col min="3087" max="3087" width="12.14062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9" style="16" customWidth="1"/>
    <col min="3331" max="3331" width="9.28515625" style="16" customWidth="1"/>
    <col min="3332" max="3332" width="6.7109375" style="16" bestFit="1" customWidth="1"/>
    <col min="3333" max="3333" width="8.5703125" style="16" bestFit="1" customWidth="1"/>
    <col min="3334" max="3334" width="8.85546875" style="16" customWidth="1"/>
    <col min="3335" max="3335" width="8.7109375" style="16" customWidth="1"/>
    <col min="3336" max="3336" width="8" style="16" customWidth="1"/>
    <col min="3337" max="3342" width="8.28515625" style="16" customWidth="1"/>
    <col min="3343" max="3343" width="12.14062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9" style="16" customWidth="1"/>
    <col min="3587" max="3587" width="9.28515625" style="16" customWidth="1"/>
    <col min="3588" max="3588" width="6.7109375" style="16" bestFit="1" customWidth="1"/>
    <col min="3589" max="3589" width="8.5703125" style="16" bestFit="1" customWidth="1"/>
    <col min="3590" max="3590" width="8.85546875" style="16" customWidth="1"/>
    <col min="3591" max="3591" width="8.7109375" style="16" customWidth="1"/>
    <col min="3592" max="3592" width="8" style="16" customWidth="1"/>
    <col min="3593" max="3598" width="8.28515625" style="16" customWidth="1"/>
    <col min="3599" max="3599" width="12.14062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9" style="16" customWidth="1"/>
    <col min="3843" max="3843" width="9.28515625" style="16" customWidth="1"/>
    <col min="3844" max="3844" width="6.7109375" style="16" bestFit="1" customWidth="1"/>
    <col min="3845" max="3845" width="8.5703125" style="16" bestFit="1" customWidth="1"/>
    <col min="3846" max="3846" width="8.85546875" style="16" customWidth="1"/>
    <col min="3847" max="3847" width="8.7109375" style="16" customWidth="1"/>
    <col min="3848" max="3848" width="8" style="16" customWidth="1"/>
    <col min="3849" max="3854" width="8.28515625" style="16" customWidth="1"/>
    <col min="3855" max="3855" width="12.14062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9" style="16" customWidth="1"/>
    <col min="4099" max="4099" width="9.28515625" style="16" customWidth="1"/>
    <col min="4100" max="4100" width="6.7109375" style="16" bestFit="1" customWidth="1"/>
    <col min="4101" max="4101" width="8.5703125" style="16" bestFit="1" customWidth="1"/>
    <col min="4102" max="4102" width="8.85546875" style="16" customWidth="1"/>
    <col min="4103" max="4103" width="8.7109375" style="16" customWidth="1"/>
    <col min="4104" max="4104" width="8" style="16" customWidth="1"/>
    <col min="4105" max="4110" width="8.28515625" style="16" customWidth="1"/>
    <col min="4111" max="4111" width="12.14062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9" style="16" customWidth="1"/>
    <col min="4355" max="4355" width="9.28515625" style="16" customWidth="1"/>
    <col min="4356" max="4356" width="6.7109375" style="16" bestFit="1" customWidth="1"/>
    <col min="4357" max="4357" width="8.5703125" style="16" bestFit="1" customWidth="1"/>
    <col min="4358" max="4358" width="8.85546875" style="16" customWidth="1"/>
    <col min="4359" max="4359" width="8.7109375" style="16" customWidth="1"/>
    <col min="4360" max="4360" width="8" style="16" customWidth="1"/>
    <col min="4361" max="4366" width="8.28515625" style="16" customWidth="1"/>
    <col min="4367" max="4367" width="12.14062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9" style="16" customWidth="1"/>
    <col min="4611" max="4611" width="9.28515625" style="16" customWidth="1"/>
    <col min="4612" max="4612" width="6.7109375" style="16" bestFit="1" customWidth="1"/>
    <col min="4613" max="4613" width="8.5703125" style="16" bestFit="1" customWidth="1"/>
    <col min="4614" max="4614" width="8.85546875" style="16" customWidth="1"/>
    <col min="4615" max="4615" width="8.7109375" style="16" customWidth="1"/>
    <col min="4616" max="4616" width="8" style="16" customWidth="1"/>
    <col min="4617" max="4622" width="8.28515625" style="16" customWidth="1"/>
    <col min="4623" max="4623" width="12.14062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9" style="16" customWidth="1"/>
    <col min="4867" max="4867" width="9.28515625" style="16" customWidth="1"/>
    <col min="4868" max="4868" width="6.7109375" style="16" bestFit="1" customWidth="1"/>
    <col min="4869" max="4869" width="8.5703125" style="16" bestFit="1" customWidth="1"/>
    <col min="4870" max="4870" width="8.85546875" style="16" customWidth="1"/>
    <col min="4871" max="4871" width="8.7109375" style="16" customWidth="1"/>
    <col min="4872" max="4872" width="8" style="16" customWidth="1"/>
    <col min="4873" max="4878" width="8.28515625" style="16" customWidth="1"/>
    <col min="4879" max="4879" width="12.14062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9" style="16" customWidth="1"/>
    <col min="5123" max="5123" width="9.28515625" style="16" customWidth="1"/>
    <col min="5124" max="5124" width="6.7109375" style="16" bestFit="1" customWidth="1"/>
    <col min="5125" max="5125" width="8.5703125" style="16" bestFit="1" customWidth="1"/>
    <col min="5126" max="5126" width="8.85546875" style="16" customWidth="1"/>
    <col min="5127" max="5127" width="8.7109375" style="16" customWidth="1"/>
    <col min="5128" max="5128" width="8" style="16" customWidth="1"/>
    <col min="5129" max="5134" width="8.28515625" style="16" customWidth="1"/>
    <col min="5135" max="5135" width="12.14062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9" style="16" customWidth="1"/>
    <col min="5379" max="5379" width="9.28515625" style="16" customWidth="1"/>
    <col min="5380" max="5380" width="6.7109375" style="16" bestFit="1" customWidth="1"/>
    <col min="5381" max="5381" width="8.5703125" style="16" bestFit="1" customWidth="1"/>
    <col min="5382" max="5382" width="8.85546875" style="16" customWidth="1"/>
    <col min="5383" max="5383" width="8.7109375" style="16" customWidth="1"/>
    <col min="5384" max="5384" width="8" style="16" customWidth="1"/>
    <col min="5385" max="5390" width="8.28515625" style="16" customWidth="1"/>
    <col min="5391" max="5391" width="12.14062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9" style="16" customWidth="1"/>
    <col min="5635" max="5635" width="9.28515625" style="16" customWidth="1"/>
    <col min="5636" max="5636" width="6.7109375" style="16" bestFit="1" customWidth="1"/>
    <col min="5637" max="5637" width="8.5703125" style="16" bestFit="1" customWidth="1"/>
    <col min="5638" max="5638" width="8.85546875" style="16" customWidth="1"/>
    <col min="5639" max="5639" width="8.7109375" style="16" customWidth="1"/>
    <col min="5640" max="5640" width="8" style="16" customWidth="1"/>
    <col min="5641" max="5646" width="8.28515625" style="16" customWidth="1"/>
    <col min="5647" max="5647" width="12.14062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9" style="16" customWidth="1"/>
    <col min="5891" max="5891" width="9.28515625" style="16" customWidth="1"/>
    <col min="5892" max="5892" width="6.7109375" style="16" bestFit="1" customWidth="1"/>
    <col min="5893" max="5893" width="8.5703125" style="16" bestFit="1" customWidth="1"/>
    <col min="5894" max="5894" width="8.85546875" style="16" customWidth="1"/>
    <col min="5895" max="5895" width="8.7109375" style="16" customWidth="1"/>
    <col min="5896" max="5896" width="8" style="16" customWidth="1"/>
    <col min="5897" max="5902" width="8.28515625" style="16" customWidth="1"/>
    <col min="5903" max="5903" width="12.14062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9" style="16" customWidth="1"/>
    <col min="6147" max="6147" width="9.28515625" style="16" customWidth="1"/>
    <col min="6148" max="6148" width="6.7109375" style="16" bestFit="1" customWidth="1"/>
    <col min="6149" max="6149" width="8.5703125" style="16" bestFit="1" customWidth="1"/>
    <col min="6150" max="6150" width="8.85546875" style="16" customWidth="1"/>
    <col min="6151" max="6151" width="8.7109375" style="16" customWidth="1"/>
    <col min="6152" max="6152" width="8" style="16" customWidth="1"/>
    <col min="6153" max="6158" width="8.28515625" style="16" customWidth="1"/>
    <col min="6159" max="6159" width="12.14062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9" style="16" customWidth="1"/>
    <col min="6403" max="6403" width="9.28515625" style="16" customWidth="1"/>
    <col min="6404" max="6404" width="6.7109375" style="16" bestFit="1" customWidth="1"/>
    <col min="6405" max="6405" width="8.5703125" style="16" bestFit="1" customWidth="1"/>
    <col min="6406" max="6406" width="8.85546875" style="16" customWidth="1"/>
    <col min="6407" max="6407" width="8.7109375" style="16" customWidth="1"/>
    <col min="6408" max="6408" width="8" style="16" customWidth="1"/>
    <col min="6409" max="6414" width="8.28515625" style="16" customWidth="1"/>
    <col min="6415" max="6415" width="12.14062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9" style="16" customWidth="1"/>
    <col min="6659" max="6659" width="9.28515625" style="16" customWidth="1"/>
    <col min="6660" max="6660" width="6.7109375" style="16" bestFit="1" customWidth="1"/>
    <col min="6661" max="6661" width="8.5703125" style="16" bestFit="1" customWidth="1"/>
    <col min="6662" max="6662" width="8.85546875" style="16" customWidth="1"/>
    <col min="6663" max="6663" width="8.7109375" style="16" customWidth="1"/>
    <col min="6664" max="6664" width="8" style="16" customWidth="1"/>
    <col min="6665" max="6670" width="8.28515625" style="16" customWidth="1"/>
    <col min="6671" max="6671" width="12.14062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9" style="16" customWidth="1"/>
    <col min="6915" max="6915" width="9.28515625" style="16" customWidth="1"/>
    <col min="6916" max="6916" width="6.7109375" style="16" bestFit="1" customWidth="1"/>
    <col min="6917" max="6917" width="8.5703125" style="16" bestFit="1" customWidth="1"/>
    <col min="6918" max="6918" width="8.85546875" style="16" customWidth="1"/>
    <col min="6919" max="6919" width="8.7109375" style="16" customWidth="1"/>
    <col min="6920" max="6920" width="8" style="16" customWidth="1"/>
    <col min="6921" max="6926" width="8.28515625" style="16" customWidth="1"/>
    <col min="6927" max="6927" width="12.14062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9" style="16" customWidth="1"/>
    <col min="7171" max="7171" width="9.28515625" style="16" customWidth="1"/>
    <col min="7172" max="7172" width="6.7109375" style="16" bestFit="1" customWidth="1"/>
    <col min="7173" max="7173" width="8.5703125" style="16" bestFit="1" customWidth="1"/>
    <col min="7174" max="7174" width="8.85546875" style="16" customWidth="1"/>
    <col min="7175" max="7175" width="8.7109375" style="16" customWidth="1"/>
    <col min="7176" max="7176" width="8" style="16" customWidth="1"/>
    <col min="7177" max="7182" width="8.28515625" style="16" customWidth="1"/>
    <col min="7183" max="7183" width="12.14062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9" style="16" customWidth="1"/>
    <col min="7427" max="7427" width="9.28515625" style="16" customWidth="1"/>
    <col min="7428" max="7428" width="6.7109375" style="16" bestFit="1" customWidth="1"/>
    <col min="7429" max="7429" width="8.5703125" style="16" bestFit="1" customWidth="1"/>
    <col min="7430" max="7430" width="8.85546875" style="16" customWidth="1"/>
    <col min="7431" max="7431" width="8.7109375" style="16" customWidth="1"/>
    <col min="7432" max="7432" width="8" style="16" customWidth="1"/>
    <col min="7433" max="7438" width="8.28515625" style="16" customWidth="1"/>
    <col min="7439" max="7439" width="12.14062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9" style="16" customWidth="1"/>
    <col min="7683" max="7683" width="9.28515625" style="16" customWidth="1"/>
    <col min="7684" max="7684" width="6.7109375" style="16" bestFit="1" customWidth="1"/>
    <col min="7685" max="7685" width="8.5703125" style="16" bestFit="1" customWidth="1"/>
    <col min="7686" max="7686" width="8.85546875" style="16" customWidth="1"/>
    <col min="7687" max="7687" width="8.7109375" style="16" customWidth="1"/>
    <col min="7688" max="7688" width="8" style="16" customWidth="1"/>
    <col min="7689" max="7694" width="8.28515625" style="16" customWidth="1"/>
    <col min="7695" max="7695" width="12.14062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9" style="16" customWidth="1"/>
    <col min="7939" max="7939" width="9.28515625" style="16" customWidth="1"/>
    <col min="7940" max="7940" width="6.7109375" style="16" bestFit="1" customWidth="1"/>
    <col min="7941" max="7941" width="8.5703125" style="16" bestFit="1" customWidth="1"/>
    <col min="7942" max="7942" width="8.85546875" style="16" customWidth="1"/>
    <col min="7943" max="7943" width="8.7109375" style="16" customWidth="1"/>
    <col min="7944" max="7944" width="8" style="16" customWidth="1"/>
    <col min="7945" max="7950" width="8.28515625" style="16" customWidth="1"/>
    <col min="7951" max="7951" width="12.14062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9" style="16" customWidth="1"/>
    <col min="8195" max="8195" width="9.28515625" style="16" customWidth="1"/>
    <col min="8196" max="8196" width="6.7109375" style="16" bestFit="1" customWidth="1"/>
    <col min="8197" max="8197" width="8.5703125" style="16" bestFit="1" customWidth="1"/>
    <col min="8198" max="8198" width="8.85546875" style="16" customWidth="1"/>
    <col min="8199" max="8199" width="8.7109375" style="16" customWidth="1"/>
    <col min="8200" max="8200" width="8" style="16" customWidth="1"/>
    <col min="8201" max="8206" width="8.28515625" style="16" customWidth="1"/>
    <col min="8207" max="8207" width="12.14062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9" style="16" customWidth="1"/>
    <col min="8451" max="8451" width="9.28515625" style="16" customWidth="1"/>
    <col min="8452" max="8452" width="6.7109375" style="16" bestFit="1" customWidth="1"/>
    <col min="8453" max="8453" width="8.5703125" style="16" bestFit="1" customWidth="1"/>
    <col min="8454" max="8454" width="8.85546875" style="16" customWidth="1"/>
    <col min="8455" max="8455" width="8.7109375" style="16" customWidth="1"/>
    <col min="8456" max="8456" width="8" style="16" customWidth="1"/>
    <col min="8457" max="8462" width="8.28515625" style="16" customWidth="1"/>
    <col min="8463" max="8463" width="12.14062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9" style="16" customWidth="1"/>
    <col min="8707" max="8707" width="9.28515625" style="16" customWidth="1"/>
    <col min="8708" max="8708" width="6.7109375" style="16" bestFit="1" customWidth="1"/>
    <col min="8709" max="8709" width="8.5703125" style="16" bestFit="1" customWidth="1"/>
    <col min="8710" max="8710" width="8.85546875" style="16" customWidth="1"/>
    <col min="8711" max="8711" width="8.7109375" style="16" customWidth="1"/>
    <col min="8712" max="8712" width="8" style="16" customWidth="1"/>
    <col min="8713" max="8718" width="8.28515625" style="16" customWidth="1"/>
    <col min="8719" max="8719" width="12.14062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9" style="16" customWidth="1"/>
    <col min="8963" max="8963" width="9.28515625" style="16" customWidth="1"/>
    <col min="8964" max="8964" width="6.7109375" style="16" bestFit="1" customWidth="1"/>
    <col min="8965" max="8965" width="8.5703125" style="16" bestFit="1" customWidth="1"/>
    <col min="8966" max="8966" width="8.85546875" style="16" customWidth="1"/>
    <col min="8967" max="8967" width="8.7109375" style="16" customWidth="1"/>
    <col min="8968" max="8968" width="8" style="16" customWidth="1"/>
    <col min="8969" max="8974" width="8.28515625" style="16" customWidth="1"/>
    <col min="8975" max="8975" width="12.14062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9" style="16" customWidth="1"/>
    <col min="9219" max="9219" width="9.28515625" style="16" customWidth="1"/>
    <col min="9220" max="9220" width="6.7109375" style="16" bestFit="1" customWidth="1"/>
    <col min="9221" max="9221" width="8.5703125" style="16" bestFit="1" customWidth="1"/>
    <col min="9222" max="9222" width="8.85546875" style="16" customWidth="1"/>
    <col min="9223" max="9223" width="8.7109375" style="16" customWidth="1"/>
    <col min="9224" max="9224" width="8" style="16" customWidth="1"/>
    <col min="9225" max="9230" width="8.28515625" style="16" customWidth="1"/>
    <col min="9231" max="9231" width="12.14062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9" style="16" customWidth="1"/>
    <col min="9475" max="9475" width="9.28515625" style="16" customWidth="1"/>
    <col min="9476" max="9476" width="6.7109375" style="16" bestFit="1" customWidth="1"/>
    <col min="9477" max="9477" width="8.5703125" style="16" bestFit="1" customWidth="1"/>
    <col min="9478" max="9478" width="8.85546875" style="16" customWidth="1"/>
    <col min="9479" max="9479" width="8.7109375" style="16" customWidth="1"/>
    <col min="9480" max="9480" width="8" style="16" customWidth="1"/>
    <col min="9481" max="9486" width="8.28515625" style="16" customWidth="1"/>
    <col min="9487" max="9487" width="12.14062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9" style="16" customWidth="1"/>
    <col min="9731" max="9731" width="9.28515625" style="16" customWidth="1"/>
    <col min="9732" max="9732" width="6.7109375" style="16" bestFit="1" customWidth="1"/>
    <col min="9733" max="9733" width="8.5703125" style="16" bestFit="1" customWidth="1"/>
    <col min="9734" max="9734" width="8.85546875" style="16" customWidth="1"/>
    <col min="9735" max="9735" width="8.7109375" style="16" customWidth="1"/>
    <col min="9736" max="9736" width="8" style="16" customWidth="1"/>
    <col min="9737" max="9742" width="8.28515625" style="16" customWidth="1"/>
    <col min="9743" max="9743" width="12.14062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9" style="16" customWidth="1"/>
    <col min="9987" max="9987" width="9.28515625" style="16" customWidth="1"/>
    <col min="9988" max="9988" width="6.7109375" style="16" bestFit="1" customWidth="1"/>
    <col min="9989" max="9989" width="8.5703125" style="16" bestFit="1" customWidth="1"/>
    <col min="9990" max="9990" width="8.85546875" style="16" customWidth="1"/>
    <col min="9991" max="9991" width="8.7109375" style="16" customWidth="1"/>
    <col min="9992" max="9992" width="8" style="16" customWidth="1"/>
    <col min="9993" max="9998" width="8.28515625" style="16" customWidth="1"/>
    <col min="9999" max="9999" width="12.14062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9" style="16" customWidth="1"/>
    <col min="10243" max="10243" width="9.28515625" style="16" customWidth="1"/>
    <col min="10244" max="10244" width="6.7109375" style="16" bestFit="1" customWidth="1"/>
    <col min="10245" max="10245" width="8.5703125" style="16" bestFit="1" customWidth="1"/>
    <col min="10246" max="10246" width="8.85546875" style="16" customWidth="1"/>
    <col min="10247" max="10247" width="8.7109375" style="16" customWidth="1"/>
    <col min="10248" max="10248" width="8" style="16" customWidth="1"/>
    <col min="10249" max="10254" width="8.28515625" style="16" customWidth="1"/>
    <col min="10255" max="10255" width="12.14062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9" style="16" customWidth="1"/>
    <col min="10499" max="10499" width="9.28515625" style="16" customWidth="1"/>
    <col min="10500" max="10500" width="6.7109375" style="16" bestFit="1" customWidth="1"/>
    <col min="10501" max="10501" width="8.5703125" style="16" bestFit="1" customWidth="1"/>
    <col min="10502" max="10502" width="8.85546875" style="16" customWidth="1"/>
    <col min="10503" max="10503" width="8.7109375" style="16" customWidth="1"/>
    <col min="10504" max="10504" width="8" style="16" customWidth="1"/>
    <col min="10505" max="10510" width="8.28515625" style="16" customWidth="1"/>
    <col min="10511" max="10511" width="12.14062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9" style="16" customWidth="1"/>
    <col min="10755" max="10755" width="9.28515625" style="16" customWidth="1"/>
    <col min="10756" max="10756" width="6.7109375" style="16" bestFit="1" customWidth="1"/>
    <col min="10757" max="10757" width="8.5703125" style="16" bestFit="1" customWidth="1"/>
    <col min="10758" max="10758" width="8.85546875" style="16" customWidth="1"/>
    <col min="10759" max="10759" width="8.7109375" style="16" customWidth="1"/>
    <col min="10760" max="10760" width="8" style="16" customWidth="1"/>
    <col min="10761" max="10766" width="8.28515625" style="16" customWidth="1"/>
    <col min="10767" max="10767" width="12.14062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9" style="16" customWidth="1"/>
    <col min="11011" max="11011" width="9.28515625" style="16" customWidth="1"/>
    <col min="11012" max="11012" width="6.7109375" style="16" bestFit="1" customWidth="1"/>
    <col min="11013" max="11013" width="8.5703125" style="16" bestFit="1" customWidth="1"/>
    <col min="11014" max="11014" width="8.85546875" style="16" customWidth="1"/>
    <col min="11015" max="11015" width="8.7109375" style="16" customWidth="1"/>
    <col min="11016" max="11016" width="8" style="16" customWidth="1"/>
    <col min="11017" max="11022" width="8.28515625" style="16" customWidth="1"/>
    <col min="11023" max="11023" width="12.14062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9" style="16" customWidth="1"/>
    <col min="11267" max="11267" width="9.28515625" style="16" customWidth="1"/>
    <col min="11268" max="11268" width="6.7109375" style="16" bestFit="1" customWidth="1"/>
    <col min="11269" max="11269" width="8.5703125" style="16" bestFit="1" customWidth="1"/>
    <col min="11270" max="11270" width="8.85546875" style="16" customWidth="1"/>
    <col min="11271" max="11271" width="8.7109375" style="16" customWidth="1"/>
    <col min="11272" max="11272" width="8" style="16" customWidth="1"/>
    <col min="11273" max="11278" width="8.28515625" style="16" customWidth="1"/>
    <col min="11279" max="11279" width="12.14062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9" style="16" customWidth="1"/>
    <col min="11523" max="11523" width="9.28515625" style="16" customWidth="1"/>
    <col min="11524" max="11524" width="6.7109375" style="16" bestFit="1" customWidth="1"/>
    <col min="11525" max="11525" width="8.5703125" style="16" bestFit="1" customWidth="1"/>
    <col min="11526" max="11526" width="8.85546875" style="16" customWidth="1"/>
    <col min="11527" max="11527" width="8.7109375" style="16" customWidth="1"/>
    <col min="11528" max="11528" width="8" style="16" customWidth="1"/>
    <col min="11529" max="11534" width="8.28515625" style="16" customWidth="1"/>
    <col min="11535" max="11535" width="12.14062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9" style="16" customWidth="1"/>
    <col min="11779" max="11779" width="9.28515625" style="16" customWidth="1"/>
    <col min="11780" max="11780" width="6.7109375" style="16" bestFit="1" customWidth="1"/>
    <col min="11781" max="11781" width="8.5703125" style="16" bestFit="1" customWidth="1"/>
    <col min="11782" max="11782" width="8.85546875" style="16" customWidth="1"/>
    <col min="11783" max="11783" width="8.7109375" style="16" customWidth="1"/>
    <col min="11784" max="11784" width="8" style="16" customWidth="1"/>
    <col min="11785" max="11790" width="8.28515625" style="16" customWidth="1"/>
    <col min="11791" max="11791" width="12.14062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9" style="16" customWidth="1"/>
    <col min="12035" max="12035" width="9.28515625" style="16" customWidth="1"/>
    <col min="12036" max="12036" width="6.7109375" style="16" bestFit="1" customWidth="1"/>
    <col min="12037" max="12037" width="8.5703125" style="16" bestFit="1" customWidth="1"/>
    <col min="12038" max="12038" width="8.85546875" style="16" customWidth="1"/>
    <col min="12039" max="12039" width="8.7109375" style="16" customWidth="1"/>
    <col min="12040" max="12040" width="8" style="16" customWidth="1"/>
    <col min="12041" max="12046" width="8.28515625" style="16" customWidth="1"/>
    <col min="12047" max="12047" width="12.14062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9" style="16" customWidth="1"/>
    <col min="12291" max="12291" width="9.28515625" style="16" customWidth="1"/>
    <col min="12292" max="12292" width="6.7109375" style="16" bestFit="1" customWidth="1"/>
    <col min="12293" max="12293" width="8.5703125" style="16" bestFit="1" customWidth="1"/>
    <col min="12294" max="12294" width="8.85546875" style="16" customWidth="1"/>
    <col min="12295" max="12295" width="8.7109375" style="16" customWidth="1"/>
    <col min="12296" max="12296" width="8" style="16" customWidth="1"/>
    <col min="12297" max="12302" width="8.28515625" style="16" customWidth="1"/>
    <col min="12303" max="12303" width="12.14062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9" style="16" customWidth="1"/>
    <col min="12547" max="12547" width="9.28515625" style="16" customWidth="1"/>
    <col min="12548" max="12548" width="6.7109375" style="16" bestFit="1" customWidth="1"/>
    <col min="12549" max="12549" width="8.5703125" style="16" bestFit="1" customWidth="1"/>
    <col min="12550" max="12550" width="8.85546875" style="16" customWidth="1"/>
    <col min="12551" max="12551" width="8.7109375" style="16" customWidth="1"/>
    <col min="12552" max="12552" width="8" style="16" customWidth="1"/>
    <col min="12553" max="12558" width="8.28515625" style="16" customWidth="1"/>
    <col min="12559" max="12559" width="12.14062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9" style="16" customWidth="1"/>
    <col min="12803" max="12803" width="9.28515625" style="16" customWidth="1"/>
    <col min="12804" max="12804" width="6.7109375" style="16" bestFit="1" customWidth="1"/>
    <col min="12805" max="12805" width="8.5703125" style="16" bestFit="1" customWidth="1"/>
    <col min="12806" max="12806" width="8.85546875" style="16" customWidth="1"/>
    <col min="12807" max="12807" width="8.7109375" style="16" customWidth="1"/>
    <col min="12808" max="12808" width="8" style="16" customWidth="1"/>
    <col min="12809" max="12814" width="8.28515625" style="16" customWidth="1"/>
    <col min="12815" max="12815" width="12.14062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9" style="16" customWidth="1"/>
    <col min="13059" max="13059" width="9.28515625" style="16" customWidth="1"/>
    <col min="13060" max="13060" width="6.7109375" style="16" bestFit="1" customWidth="1"/>
    <col min="13061" max="13061" width="8.5703125" style="16" bestFit="1" customWidth="1"/>
    <col min="13062" max="13062" width="8.85546875" style="16" customWidth="1"/>
    <col min="13063" max="13063" width="8.7109375" style="16" customWidth="1"/>
    <col min="13064" max="13064" width="8" style="16" customWidth="1"/>
    <col min="13065" max="13070" width="8.28515625" style="16" customWidth="1"/>
    <col min="13071" max="13071" width="12.14062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9" style="16" customWidth="1"/>
    <col min="13315" max="13315" width="9.28515625" style="16" customWidth="1"/>
    <col min="13316" max="13316" width="6.7109375" style="16" bestFit="1" customWidth="1"/>
    <col min="13317" max="13317" width="8.5703125" style="16" bestFit="1" customWidth="1"/>
    <col min="13318" max="13318" width="8.85546875" style="16" customWidth="1"/>
    <col min="13319" max="13319" width="8.7109375" style="16" customWidth="1"/>
    <col min="13320" max="13320" width="8" style="16" customWidth="1"/>
    <col min="13321" max="13326" width="8.28515625" style="16" customWidth="1"/>
    <col min="13327" max="13327" width="12.14062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9" style="16" customWidth="1"/>
    <col min="13571" max="13571" width="9.28515625" style="16" customWidth="1"/>
    <col min="13572" max="13572" width="6.7109375" style="16" bestFit="1" customWidth="1"/>
    <col min="13573" max="13573" width="8.5703125" style="16" bestFit="1" customWidth="1"/>
    <col min="13574" max="13574" width="8.85546875" style="16" customWidth="1"/>
    <col min="13575" max="13575" width="8.7109375" style="16" customWidth="1"/>
    <col min="13576" max="13576" width="8" style="16" customWidth="1"/>
    <col min="13577" max="13582" width="8.28515625" style="16" customWidth="1"/>
    <col min="13583" max="13583" width="12.14062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9" style="16" customWidth="1"/>
    <col min="13827" max="13827" width="9.28515625" style="16" customWidth="1"/>
    <col min="13828" max="13828" width="6.7109375" style="16" bestFit="1" customWidth="1"/>
    <col min="13829" max="13829" width="8.5703125" style="16" bestFit="1" customWidth="1"/>
    <col min="13830" max="13830" width="8.85546875" style="16" customWidth="1"/>
    <col min="13831" max="13831" width="8.7109375" style="16" customWidth="1"/>
    <col min="13832" max="13832" width="8" style="16" customWidth="1"/>
    <col min="13833" max="13838" width="8.28515625" style="16" customWidth="1"/>
    <col min="13839" max="13839" width="12.14062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9" style="16" customWidth="1"/>
    <col min="14083" max="14083" width="9.28515625" style="16" customWidth="1"/>
    <col min="14084" max="14084" width="6.7109375" style="16" bestFit="1" customWidth="1"/>
    <col min="14085" max="14085" width="8.5703125" style="16" bestFit="1" customWidth="1"/>
    <col min="14086" max="14086" width="8.85546875" style="16" customWidth="1"/>
    <col min="14087" max="14087" width="8.7109375" style="16" customWidth="1"/>
    <col min="14088" max="14088" width="8" style="16" customWidth="1"/>
    <col min="14089" max="14094" width="8.28515625" style="16" customWidth="1"/>
    <col min="14095" max="14095" width="12.14062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9" style="16" customWidth="1"/>
    <col min="14339" max="14339" width="9.28515625" style="16" customWidth="1"/>
    <col min="14340" max="14340" width="6.7109375" style="16" bestFit="1" customWidth="1"/>
    <col min="14341" max="14341" width="8.5703125" style="16" bestFit="1" customWidth="1"/>
    <col min="14342" max="14342" width="8.85546875" style="16" customWidth="1"/>
    <col min="14343" max="14343" width="8.7109375" style="16" customWidth="1"/>
    <col min="14344" max="14344" width="8" style="16" customWidth="1"/>
    <col min="14345" max="14350" width="8.28515625" style="16" customWidth="1"/>
    <col min="14351" max="14351" width="12.14062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9" style="16" customWidth="1"/>
    <col min="14595" max="14595" width="9.28515625" style="16" customWidth="1"/>
    <col min="14596" max="14596" width="6.7109375" style="16" bestFit="1" customWidth="1"/>
    <col min="14597" max="14597" width="8.5703125" style="16" bestFit="1" customWidth="1"/>
    <col min="14598" max="14598" width="8.85546875" style="16" customWidth="1"/>
    <col min="14599" max="14599" width="8.7109375" style="16" customWidth="1"/>
    <col min="14600" max="14600" width="8" style="16" customWidth="1"/>
    <col min="14601" max="14606" width="8.28515625" style="16" customWidth="1"/>
    <col min="14607" max="14607" width="12.14062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9" style="16" customWidth="1"/>
    <col min="14851" max="14851" width="9.28515625" style="16" customWidth="1"/>
    <col min="14852" max="14852" width="6.7109375" style="16" bestFit="1" customWidth="1"/>
    <col min="14853" max="14853" width="8.5703125" style="16" bestFit="1" customWidth="1"/>
    <col min="14854" max="14854" width="8.85546875" style="16" customWidth="1"/>
    <col min="14855" max="14855" width="8.7109375" style="16" customWidth="1"/>
    <col min="14856" max="14856" width="8" style="16" customWidth="1"/>
    <col min="14857" max="14862" width="8.28515625" style="16" customWidth="1"/>
    <col min="14863" max="14863" width="12.14062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9" style="16" customWidth="1"/>
    <col min="15107" max="15107" width="9.28515625" style="16" customWidth="1"/>
    <col min="15108" max="15108" width="6.7109375" style="16" bestFit="1" customWidth="1"/>
    <col min="15109" max="15109" width="8.5703125" style="16" bestFit="1" customWidth="1"/>
    <col min="15110" max="15110" width="8.85546875" style="16" customWidth="1"/>
    <col min="15111" max="15111" width="8.7109375" style="16" customWidth="1"/>
    <col min="15112" max="15112" width="8" style="16" customWidth="1"/>
    <col min="15113" max="15118" width="8.28515625" style="16" customWidth="1"/>
    <col min="15119" max="15119" width="12.14062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9" style="16" customWidth="1"/>
    <col min="15363" max="15363" width="9.28515625" style="16" customWidth="1"/>
    <col min="15364" max="15364" width="6.7109375" style="16" bestFit="1" customWidth="1"/>
    <col min="15365" max="15365" width="8.5703125" style="16" bestFit="1" customWidth="1"/>
    <col min="15366" max="15366" width="8.85546875" style="16" customWidth="1"/>
    <col min="15367" max="15367" width="8.7109375" style="16" customWidth="1"/>
    <col min="15368" max="15368" width="8" style="16" customWidth="1"/>
    <col min="15369" max="15374" width="8.28515625" style="16" customWidth="1"/>
    <col min="15375" max="15375" width="12.14062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9" style="16" customWidth="1"/>
    <col min="15619" max="15619" width="9.28515625" style="16" customWidth="1"/>
    <col min="15620" max="15620" width="6.7109375" style="16" bestFit="1" customWidth="1"/>
    <col min="15621" max="15621" width="8.5703125" style="16" bestFit="1" customWidth="1"/>
    <col min="15622" max="15622" width="8.85546875" style="16" customWidth="1"/>
    <col min="15623" max="15623" width="8.7109375" style="16" customWidth="1"/>
    <col min="15624" max="15624" width="8" style="16" customWidth="1"/>
    <col min="15625" max="15630" width="8.28515625" style="16" customWidth="1"/>
    <col min="15631" max="15631" width="12.14062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9" style="16" customWidth="1"/>
    <col min="15875" max="15875" width="9.28515625" style="16" customWidth="1"/>
    <col min="15876" max="15876" width="6.7109375" style="16" bestFit="1" customWidth="1"/>
    <col min="15877" max="15877" width="8.5703125" style="16" bestFit="1" customWidth="1"/>
    <col min="15878" max="15878" width="8.85546875" style="16" customWidth="1"/>
    <col min="15879" max="15879" width="8.7109375" style="16" customWidth="1"/>
    <col min="15880" max="15880" width="8" style="16" customWidth="1"/>
    <col min="15881" max="15886" width="8.28515625" style="16" customWidth="1"/>
    <col min="15887" max="15887" width="12.14062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9" style="16" customWidth="1"/>
    <col min="16131" max="16131" width="9.28515625" style="16" customWidth="1"/>
    <col min="16132" max="16132" width="6.7109375" style="16" bestFit="1" customWidth="1"/>
    <col min="16133" max="16133" width="8.5703125" style="16" bestFit="1" customWidth="1"/>
    <col min="16134" max="16134" width="8.85546875" style="16" customWidth="1"/>
    <col min="16135" max="16135" width="8.7109375" style="16" customWidth="1"/>
    <col min="16136" max="16136" width="8" style="16" customWidth="1"/>
    <col min="16137" max="16142" width="8.28515625" style="16" customWidth="1"/>
    <col min="16143" max="16143" width="12.14062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67" t="s">
        <v>100</v>
      </c>
      <c r="B1" s="868"/>
      <c r="C1" s="868"/>
      <c r="D1" s="869"/>
      <c r="E1" s="868"/>
      <c r="F1" s="868"/>
      <c r="G1" s="867" t="s">
        <v>102</v>
      </c>
      <c r="H1" s="869"/>
      <c r="I1" s="869" t="s">
        <v>61</v>
      </c>
      <c r="J1" s="868"/>
      <c r="K1" s="868"/>
      <c r="L1" s="870"/>
      <c r="M1" s="870"/>
      <c r="N1" s="870"/>
      <c r="O1" s="870"/>
    </row>
    <row r="2" spans="1:15" s="1" customFormat="1" x14ac:dyDescent="0.2">
      <c r="A2" s="867" t="s">
        <v>103</v>
      </c>
      <c r="B2" s="868"/>
      <c r="C2" s="868"/>
      <c r="D2" s="869"/>
      <c r="E2" s="868"/>
      <c r="F2" s="868"/>
      <c r="G2" s="867" t="s">
        <v>104</v>
      </c>
      <c r="H2" s="869"/>
      <c r="I2" s="869" t="s">
        <v>105</v>
      </c>
      <c r="J2" s="868"/>
      <c r="K2" s="868"/>
      <c r="L2" s="870"/>
      <c r="M2" s="870"/>
      <c r="N2" s="870"/>
      <c r="O2" s="870"/>
    </row>
    <row r="3" spans="1:15" s="1" customFormat="1" x14ac:dyDescent="0.2">
      <c r="A3" s="867" t="s">
        <v>106</v>
      </c>
      <c r="B3" s="868"/>
      <c r="C3" s="868"/>
      <c r="D3" s="883" t="s">
        <v>363</v>
      </c>
      <c r="E3" s="868"/>
      <c r="F3" s="868"/>
      <c r="G3" s="867" t="s">
        <v>107</v>
      </c>
      <c r="H3" s="869"/>
      <c r="I3" s="869" t="s">
        <v>108</v>
      </c>
      <c r="J3" s="868"/>
      <c r="K3" s="868"/>
      <c r="L3" s="870"/>
      <c r="M3" s="870"/>
      <c r="N3" s="870"/>
      <c r="O3" s="870"/>
    </row>
    <row r="4" spans="1:15" s="1" customFormat="1" x14ac:dyDescent="0.2">
      <c r="A4" s="867" t="s">
        <v>109</v>
      </c>
      <c r="B4" s="868"/>
      <c r="C4" s="868"/>
      <c r="D4" s="869"/>
      <c r="E4" s="868"/>
      <c r="F4" s="868"/>
      <c r="G4" s="867" t="s">
        <v>110</v>
      </c>
      <c r="H4" s="869"/>
      <c r="I4" s="869" t="s">
        <v>339</v>
      </c>
      <c r="J4" s="868"/>
      <c r="K4" s="868"/>
      <c r="L4" s="870"/>
      <c r="M4" s="870"/>
      <c r="N4" s="870"/>
      <c r="O4" s="870"/>
    </row>
    <row r="5" spans="1:15" s="1" customFormat="1" x14ac:dyDescent="0.2">
      <c r="A5" s="867" t="s">
        <v>278</v>
      </c>
      <c r="B5" s="868"/>
      <c r="C5" s="868"/>
      <c r="D5" s="869" t="s">
        <v>364</v>
      </c>
      <c r="E5" s="868"/>
      <c r="F5" s="868"/>
      <c r="G5" s="867"/>
      <c r="H5" s="868"/>
      <c r="I5" s="869" t="s">
        <v>113</v>
      </c>
      <c r="J5" s="868"/>
      <c r="K5" s="868"/>
      <c r="L5" s="870"/>
      <c r="M5" s="870"/>
      <c r="N5" s="870"/>
      <c r="O5" s="870"/>
    </row>
    <row r="6" spans="1:15" s="1" customFormat="1" x14ac:dyDescent="0.2">
      <c r="A6" s="871" t="s">
        <v>114</v>
      </c>
      <c r="B6" s="872"/>
      <c r="C6" s="872"/>
      <c r="D6" s="868" t="s">
        <v>62</v>
      </c>
      <c r="E6" s="868"/>
      <c r="F6" s="868"/>
      <c r="G6" s="871" t="s">
        <v>115</v>
      </c>
      <c r="H6" s="871"/>
      <c r="I6" s="2" t="s">
        <v>222</v>
      </c>
      <c r="J6" s="888"/>
      <c r="K6" s="888"/>
      <c r="L6" s="888"/>
      <c r="M6" s="888"/>
      <c r="N6" s="888"/>
      <c r="O6" s="889"/>
    </row>
    <row r="7" spans="1:15" s="1" customFormat="1" ht="13.5" thickBot="1" x14ac:dyDescent="0.25">
      <c r="A7" s="3"/>
      <c r="B7" s="4"/>
      <c r="C7" s="5"/>
      <c r="D7" s="6"/>
      <c r="E7" s="6"/>
      <c r="F7" s="6"/>
      <c r="G7" s="6"/>
      <c r="H7" s="6"/>
      <c r="I7" s="6"/>
      <c r="J7" s="7"/>
      <c r="K7" s="8"/>
      <c r="L7" s="875" t="s">
        <v>223</v>
      </c>
      <c r="M7" s="875"/>
      <c r="N7" s="875"/>
      <c r="O7" s="875"/>
    </row>
    <row r="8" spans="1:15" s="11" customFormat="1" x14ac:dyDescent="0.2">
      <c r="A8" s="876" t="str">
        <f>I1</f>
        <v>Ms. Radhika S. Varadkar</v>
      </c>
      <c r="B8" s="877"/>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38100</v>
      </c>
      <c r="D9" s="14">
        <v>38100</v>
      </c>
      <c r="E9" s="14">
        <v>38100</v>
      </c>
      <c r="F9" s="14">
        <v>38100</v>
      </c>
      <c r="G9" s="14">
        <v>39200</v>
      </c>
      <c r="H9" s="14">
        <v>39200</v>
      </c>
      <c r="I9" s="14">
        <v>39200</v>
      </c>
      <c r="J9" s="14">
        <v>39200</v>
      </c>
      <c r="K9" s="14">
        <v>39200</v>
      </c>
      <c r="L9" s="14">
        <v>39200</v>
      </c>
      <c r="M9" s="14">
        <v>39200</v>
      </c>
      <c r="N9" s="14">
        <v>39200</v>
      </c>
      <c r="O9" s="15">
        <f>SUM(C9:N9)</f>
        <v>466000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4.25" customHeight="1" x14ac:dyDescent="0.2">
      <c r="A11" s="12"/>
      <c r="B11" s="13" t="s">
        <v>120</v>
      </c>
      <c r="C11" s="17">
        <v>1905</v>
      </c>
      <c r="D11" s="17">
        <v>2667</v>
      </c>
      <c r="E11" s="17">
        <v>2667</v>
      </c>
      <c r="F11" s="17">
        <v>2667</v>
      </c>
      <c r="G11" s="17">
        <v>2744</v>
      </c>
      <c r="H11" s="17">
        <v>2744</v>
      </c>
      <c r="I11" s="17">
        <v>2744</v>
      </c>
      <c r="J11" s="17">
        <v>3528</v>
      </c>
      <c r="K11" s="17">
        <v>3528</v>
      </c>
      <c r="L11" s="17">
        <v>3528</v>
      </c>
      <c r="M11" s="17">
        <v>3528</v>
      </c>
      <c r="N11" s="17">
        <v>3528</v>
      </c>
      <c r="O11" s="18">
        <f>SUM(C11:N11)</f>
        <v>35778</v>
      </c>
    </row>
    <row r="12" spans="1:15" ht="15" customHeight="1" x14ac:dyDescent="0.2">
      <c r="A12" s="12"/>
      <c r="B12" s="13" t="s">
        <v>123</v>
      </c>
      <c r="C12" s="17">
        <v>3780</v>
      </c>
      <c r="D12" s="17">
        <v>3852</v>
      </c>
      <c r="E12" s="17">
        <v>3852</v>
      </c>
      <c r="F12" s="17">
        <v>3852</v>
      </c>
      <c r="G12" s="17">
        <v>3852</v>
      </c>
      <c r="H12" s="17">
        <v>3852</v>
      </c>
      <c r="I12" s="17">
        <v>3852</v>
      </c>
      <c r="J12" s="17">
        <v>3924</v>
      </c>
      <c r="K12" s="17">
        <v>3924</v>
      </c>
      <c r="L12" s="17">
        <v>3924</v>
      </c>
      <c r="M12" s="17">
        <v>3924</v>
      </c>
      <c r="N12" s="17">
        <v>3924</v>
      </c>
      <c r="O12" s="18">
        <f>SUM(C12:N12)</f>
        <v>46512</v>
      </c>
    </row>
    <row r="13" spans="1:15" ht="15" customHeight="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x14ac:dyDescent="0.2">
      <c r="A14" s="12"/>
      <c r="B14" s="13" t="s">
        <v>124</v>
      </c>
      <c r="C14" s="17">
        <v>0</v>
      </c>
      <c r="D14" s="17">
        <v>0</v>
      </c>
      <c r="E14" s="17">
        <v>0</v>
      </c>
      <c r="F14" s="17">
        <v>0</v>
      </c>
      <c r="G14" s="17">
        <v>0</v>
      </c>
      <c r="H14" s="17">
        <v>0</v>
      </c>
      <c r="I14" s="17">
        <v>0</v>
      </c>
      <c r="J14" s="17">
        <v>0</v>
      </c>
      <c r="K14" s="17">
        <v>0</v>
      </c>
      <c r="L14" s="17">
        <v>0</v>
      </c>
      <c r="M14" s="17">
        <v>0</v>
      </c>
      <c r="N14" s="17">
        <v>0</v>
      </c>
      <c r="O14" s="18">
        <f t="shared" si="0"/>
        <v>0</v>
      </c>
    </row>
    <row r="15" spans="1:15"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hidden="1"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127</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9144</v>
      </c>
      <c r="D19" s="17">
        <v>9144</v>
      </c>
      <c r="E19" s="17">
        <v>9144</v>
      </c>
      <c r="F19" s="17">
        <v>9144</v>
      </c>
      <c r="G19" s="17">
        <v>9408</v>
      </c>
      <c r="H19" s="17">
        <v>9408</v>
      </c>
      <c r="I19" s="17">
        <v>9408</v>
      </c>
      <c r="J19" s="17">
        <v>9408</v>
      </c>
      <c r="K19" s="17">
        <v>9408</v>
      </c>
      <c r="L19" s="17">
        <v>9408</v>
      </c>
      <c r="M19" s="17">
        <v>9408</v>
      </c>
      <c r="N19" s="17">
        <v>9408</v>
      </c>
      <c r="O19" s="18">
        <f t="shared" si="0"/>
        <v>111840</v>
      </c>
    </row>
    <row r="20" spans="1:15" ht="14.2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78"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79"/>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5" ht="15" hidden="1" customHeight="1" x14ac:dyDescent="0.2">
      <c r="A23" s="879"/>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79"/>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79"/>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79"/>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79"/>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79"/>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79"/>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79"/>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79"/>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79"/>
      <c r="B32" s="21" t="s">
        <v>142</v>
      </c>
      <c r="C32" s="17">
        <v>0</v>
      </c>
      <c r="D32" s="17">
        <v>0</v>
      </c>
      <c r="E32" s="17">
        <v>0</v>
      </c>
      <c r="F32" s="17">
        <v>0</v>
      </c>
      <c r="G32" s="17">
        <v>0</v>
      </c>
      <c r="H32" s="17">
        <v>0</v>
      </c>
      <c r="I32" s="17">
        <v>0</v>
      </c>
      <c r="J32" s="17">
        <v>0</v>
      </c>
      <c r="K32" s="17">
        <v>0</v>
      </c>
      <c r="L32" s="17">
        <v>0</v>
      </c>
      <c r="M32" s="17">
        <v>0</v>
      </c>
      <c r="N32" s="17">
        <v>0</v>
      </c>
      <c r="O32" s="18">
        <f t="shared" si="0"/>
        <v>0</v>
      </c>
    </row>
    <row r="33" spans="1:16" ht="15" hidden="1" customHeight="1" x14ac:dyDescent="0.2">
      <c r="A33" s="880"/>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865" t="s">
        <v>144</v>
      </c>
      <c r="B34" s="866"/>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865" t="s">
        <v>145</v>
      </c>
      <c r="B35" s="866"/>
      <c r="C35" s="17">
        <v>0</v>
      </c>
      <c r="D35" s="17">
        <v>216</v>
      </c>
      <c r="E35" s="17">
        <v>0</v>
      </c>
      <c r="F35" s="17">
        <v>0</v>
      </c>
      <c r="G35" s="17">
        <v>0</v>
      </c>
      <c r="H35" s="17">
        <v>0</v>
      </c>
      <c r="I35" s="17">
        <v>0</v>
      </c>
      <c r="J35" s="17">
        <v>216</v>
      </c>
      <c r="K35" s="17">
        <v>0</v>
      </c>
      <c r="L35" s="17">
        <v>0</v>
      </c>
      <c r="M35" s="17">
        <v>0</v>
      </c>
      <c r="N35" s="17">
        <v>0</v>
      </c>
      <c r="O35" s="18">
        <f t="shared" si="0"/>
        <v>432</v>
      </c>
    </row>
    <row r="36" spans="1:16" ht="15" customHeight="1" x14ac:dyDescent="0.2">
      <c r="A36" s="865" t="s">
        <v>146</v>
      </c>
      <c r="B36" s="866"/>
      <c r="C36" s="17">
        <v>0</v>
      </c>
      <c r="D36" s="17">
        <v>2286</v>
      </c>
      <c r="E36" s="17">
        <v>0</v>
      </c>
      <c r="F36" s="17">
        <v>0</v>
      </c>
      <c r="G36" s="17">
        <v>0</v>
      </c>
      <c r="H36" s="17">
        <v>0</v>
      </c>
      <c r="I36" s="17">
        <v>0</v>
      </c>
      <c r="J36" s="17">
        <v>2352</v>
      </c>
      <c r="K36" s="17">
        <v>0</v>
      </c>
      <c r="L36" s="17">
        <v>0</v>
      </c>
      <c r="M36" s="17">
        <v>0</v>
      </c>
      <c r="N36" s="17">
        <v>0</v>
      </c>
      <c r="O36" s="18">
        <f t="shared" si="0"/>
        <v>4638</v>
      </c>
    </row>
    <row r="37" spans="1:16" ht="15" customHeight="1" x14ac:dyDescent="0.2">
      <c r="A37" s="22"/>
      <c r="B37" s="23" t="s">
        <v>147</v>
      </c>
      <c r="C37" s="24">
        <f t="shared" ref="C37:N37" si="1">SUM(C9:C36)</f>
        <v>52929</v>
      </c>
      <c r="D37" s="24">
        <f t="shared" si="1"/>
        <v>56265</v>
      </c>
      <c r="E37" s="24">
        <f t="shared" si="1"/>
        <v>53763</v>
      </c>
      <c r="F37" s="24">
        <f t="shared" si="1"/>
        <v>53763</v>
      </c>
      <c r="G37" s="24">
        <f t="shared" si="1"/>
        <v>55204</v>
      </c>
      <c r="H37" s="24">
        <f t="shared" si="1"/>
        <v>55204</v>
      </c>
      <c r="I37" s="24">
        <f t="shared" si="1"/>
        <v>55204</v>
      </c>
      <c r="J37" s="24">
        <f t="shared" si="1"/>
        <v>65536</v>
      </c>
      <c r="K37" s="24">
        <f t="shared" si="1"/>
        <v>56060</v>
      </c>
      <c r="L37" s="24">
        <f t="shared" si="1"/>
        <v>56060</v>
      </c>
      <c r="M37" s="24">
        <f t="shared" si="1"/>
        <v>56060</v>
      </c>
      <c r="N37" s="24">
        <f t="shared" si="1"/>
        <v>56060</v>
      </c>
      <c r="O37" s="25">
        <f>SUM(C37:N37)</f>
        <v>672108</v>
      </c>
    </row>
    <row r="38" spans="1:16" ht="15" customHeight="1" x14ac:dyDescent="0.2">
      <c r="A38" s="853" t="s">
        <v>148</v>
      </c>
      <c r="B38" s="27" t="s">
        <v>149</v>
      </c>
      <c r="C38" s="147">
        <v>900</v>
      </c>
      <c r="D38" s="147">
        <v>0</v>
      </c>
      <c r="E38" s="147">
        <v>0</v>
      </c>
      <c r="F38" s="147">
        <v>0</v>
      </c>
      <c r="G38" s="147">
        <v>0</v>
      </c>
      <c r="H38" s="147">
        <v>0</v>
      </c>
      <c r="I38" s="147">
        <v>0</v>
      </c>
      <c r="J38" s="147">
        <v>0</v>
      </c>
      <c r="K38" s="147">
        <v>2700</v>
      </c>
      <c r="L38" s="147">
        <v>2745</v>
      </c>
      <c r="M38" s="147">
        <v>2745</v>
      </c>
      <c r="N38" s="147">
        <v>2850</v>
      </c>
      <c r="O38" s="18">
        <f>SUM(C38:N38)</f>
        <v>11940</v>
      </c>
      <c r="P38" s="29"/>
    </row>
    <row r="39" spans="1:16" ht="15" x14ac:dyDescent="0.2">
      <c r="A39" s="854"/>
      <c r="B39" s="27" t="s">
        <v>150</v>
      </c>
      <c r="C39" s="147">
        <v>0</v>
      </c>
      <c r="D39" s="147">
        <v>0</v>
      </c>
      <c r="E39" s="147">
        <v>0</v>
      </c>
      <c r="F39" s="147">
        <v>0</v>
      </c>
      <c r="G39" s="147">
        <v>0</v>
      </c>
      <c r="H39" s="147">
        <v>0</v>
      </c>
      <c r="I39" s="147">
        <v>0</v>
      </c>
      <c r="J39" s="147">
        <v>0</v>
      </c>
      <c r="K39" s="147">
        <v>0</v>
      </c>
      <c r="L39" s="147">
        <v>0</v>
      </c>
      <c r="M39" s="147">
        <v>0</v>
      </c>
      <c r="N39" s="147">
        <v>0</v>
      </c>
      <c r="O39" s="18">
        <f>SUM(C39:N39)</f>
        <v>0</v>
      </c>
    </row>
    <row r="40" spans="1:16" ht="15" x14ac:dyDescent="0.2">
      <c r="A40" s="854"/>
      <c r="B40" s="27" t="s">
        <v>151</v>
      </c>
      <c r="C40" s="147">
        <v>30</v>
      </c>
      <c r="D40" s="147">
        <v>30</v>
      </c>
      <c r="E40" s="147">
        <v>30</v>
      </c>
      <c r="F40" s="147">
        <v>30</v>
      </c>
      <c r="G40" s="147">
        <v>30</v>
      </c>
      <c r="H40" s="147">
        <v>30</v>
      </c>
      <c r="I40" s="147">
        <v>30</v>
      </c>
      <c r="J40" s="147">
        <v>30</v>
      </c>
      <c r="K40" s="147">
        <v>30</v>
      </c>
      <c r="L40" s="147">
        <v>30</v>
      </c>
      <c r="M40" s="147">
        <v>30</v>
      </c>
      <c r="N40" s="147">
        <v>30</v>
      </c>
      <c r="O40" s="18">
        <f t="shared" ref="O40:O50" si="2">SUM(C40:N40)</f>
        <v>360</v>
      </c>
    </row>
    <row r="41" spans="1:16" ht="15" x14ac:dyDescent="0.2">
      <c r="A41" s="854"/>
      <c r="B41" s="27" t="s">
        <v>152</v>
      </c>
      <c r="C41" s="147">
        <v>0</v>
      </c>
      <c r="D41" s="147">
        <v>0</v>
      </c>
      <c r="E41" s="147">
        <v>0</v>
      </c>
      <c r="F41" s="147">
        <v>0</v>
      </c>
      <c r="G41" s="147">
        <v>0</v>
      </c>
      <c r="H41" s="147">
        <v>0</v>
      </c>
      <c r="I41" s="147">
        <v>0</v>
      </c>
      <c r="J41" s="147">
        <v>0</v>
      </c>
      <c r="K41" s="147">
        <v>0</v>
      </c>
      <c r="L41" s="147">
        <v>0</v>
      </c>
      <c r="M41" s="147">
        <v>0</v>
      </c>
      <c r="N41" s="147">
        <v>0</v>
      </c>
      <c r="O41" s="18">
        <f t="shared" si="2"/>
        <v>0</v>
      </c>
    </row>
    <row r="42" spans="1:16" ht="15" x14ac:dyDescent="0.2">
      <c r="A42" s="854"/>
      <c r="B42" s="27" t="s">
        <v>153</v>
      </c>
      <c r="C42" s="147">
        <v>0</v>
      </c>
      <c r="D42" s="147">
        <v>0</v>
      </c>
      <c r="E42" s="147">
        <v>0</v>
      </c>
      <c r="F42" s="147">
        <v>0</v>
      </c>
      <c r="G42" s="147">
        <v>0</v>
      </c>
      <c r="H42" s="147">
        <v>0</v>
      </c>
      <c r="I42" s="147">
        <v>0</v>
      </c>
      <c r="J42" s="147">
        <v>0</v>
      </c>
      <c r="K42" s="147">
        <v>0</v>
      </c>
      <c r="L42" s="147">
        <v>0</v>
      </c>
      <c r="M42" s="147">
        <v>0</v>
      </c>
      <c r="N42" s="147">
        <v>0</v>
      </c>
      <c r="O42" s="18">
        <f t="shared" si="2"/>
        <v>0</v>
      </c>
    </row>
    <row r="43" spans="1:16" ht="15" x14ac:dyDescent="0.2">
      <c r="A43" s="854"/>
      <c r="B43" s="27" t="s">
        <v>154</v>
      </c>
      <c r="C43" s="147">
        <v>20000</v>
      </c>
      <c r="D43" s="147">
        <v>20000</v>
      </c>
      <c r="E43" s="147">
        <v>20000</v>
      </c>
      <c r="F43" s="147">
        <v>20000</v>
      </c>
      <c r="G43" s="147">
        <v>20000</v>
      </c>
      <c r="H43" s="147">
        <v>20000</v>
      </c>
      <c r="I43" s="147">
        <v>20000</v>
      </c>
      <c r="J43" s="147">
        <v>20000</v>
      </c>
      <c r="K43" s="147">
        <v>20000</v>
      </c>
      <c r="L43" s="147">
        <v>20000</v>
      </c>
      <c r="M43" s="147">
        <v>20000</v>
      </c>
      <c r="N43" s="147">
        <v>20000</v>
      </c>
      <c r="O43" s="18">
        <f t="shared" si="2"/>
        <v>240000</v>
      </c>
    </row>
    <row r="44" spans="1:16" ht="15" x14ac:dyDescent="0.2">
      <c r="A44" s="854"/>
      <c r="B44" s="27" t="s">
        <v>155</v>
      </c>
      <c r="C44" s="147">
        <v>200</v>
      </c>
      <c r="D44" s="147">
        <v>200</v>
      </c>
      <c r="E44" s="147">
        <v>200</v>
      </c>
      <c r="F44" s="147">
        <v>200</v>
      </c>
      <c r="G44" s="147">
        <v>200</v>
      </c>
      <c r="H44" s="147">
        <v>200</v>
      </c>
      <c r="I44" s="147">
        <v>200</v>
      </c>
      <c r="J44" s="147">
        <v>200</v>
      </c>
      <c r="K44" s="147">
        <v>200</v>
      </c>
      <c r="L44" s="147">
        <v>200</v>
      </c>
      <c r="M44" s="147">
        <v>200</v>
      </c>
      <c r="N44" s="147">
        <v>300</v>
      </c>
      <c r="O44" s="18">
        <f t="shared" si="2"/>
        <v>2500</v>
      </c>
    </row>
    <row r="45" spans="1:16" ht="15" x14ac:dyDescent="0.2">
      <c r="A45" s="854"/>
      <c r="B45" s="27" t="s">
        <v>156</v>
      </c>
      <c r="C45" s="147">
        <v>0</v>
      </c>
      <c r="D45" s="147">
        <v>0</v>
      </c>
      <c r="E45" s="147">
        <v>0</v>
      </c>
      <c r="F45" s="147">
        <v>0</v>
      </c>
      <c r="G45" s="147">
        <v>0</v>
      </c>
      <c r="H45" s="147">
        <v>0</v>
      </c>
      <c r="I45" s="147">
        <v>0</v>
      </c>
      <c r="J45" s="147">
        <v>0</v>
      </c>
      <c r="K45" s="147">
        <v>0</v>
      </c>
      <c r="L45" s="147">
        <v>0</v>
      </c>
      <c r="M45" s="147">
        <v>0</v>
      </c>
      <c r="N45" s="147">
        <v>0</v>
      </c>
      <c r="O45" s="18">
        <f t="shared" si="2"/>
        <v>0</v>
      </c>
    </row>
    <row r="46" spans="1:16" ht="15" x14ac:dyDescent="0.2">
      <c r="A46" s="854"/>
      <c r="B46" s="27" t="s">
        <v>157</v>
      </c>
      <c r="C46" s="147">
        <v>0</v>
      </c>
      <c r="D46" s="147">
        <v>0</v>
      </c>
      <c r="E46" s="147">
        <v>0</v>
      </c>
      <c r="F46" s="147">
        <v>0</v>
      </c>
      <c r="G46" s="147">
        <v>0</v>
      </c>
      <c r="H46" s="147">
        <v>0</v>
      </c>
      <c r="I46" s="147">
        <v>0</v>
      </c>
      <c r="J46" s="147">
        <v>0</v>
      </c>
      <c r="K46" s="147">
        <v>0</v>
      </c>
      <c r="L46" s="147">
        <v>0</v>
      </c>
      <c r="M46" s="147">
        <v>0</v>
      </c>
      <c r="N46" s="147">
        <v>0</v>
      </c>
      <c r="O46" s="18">
        <f t="shared" si="2"/>
        <v>0</v>
      </c>
    </row>
    <row r="47" spans="1:16" ht="28.5" customHeight="1" x14ac:dyDescent="0.2">
      <c r="A47" s="855"/>
      <c r="B47" s="30" t="s">
        <v>294</v>
      </c>
      <c r="C47" s="147">
        <v>1555</v>
      </c>
      <c r="D47" s="147">
        <v>1555</v>
      </c>
      <c r="E47" s="147">
        <v>1555</v>
      </c>
      <c r="F47" s="147">
        <v>1555</v>
      </c>
      <c r="G47" s="147">
        <v>1555</v>
      </c>
      <c r="H47" s="147">
        <v>1555</v>
      </c>
      <c r="I47" s="147">
        <v>1555</v>
      </c>
      <c r="J47" s="147">
        <v>1555</v>
      </c>
      <c r="K47" s="147">
        <v>1555</v>
      </c>
      <c r="L47" s="147">
        <v>1555</v>
      </c>
      <c r="M47" s="147">
        <v>1555</v>
      </c>
      <c r="N47" s="147">
        <v>1555</v>
      </c>
      <c r="O47" s="31">
        <f t="shared" si="2"/>
        <v>18660</v>
      </c>
    </row>
    <row r="48" spans="1:16" ht="28.5" customHeight="1" x14ac:dyDescent="0.2">
      <c r="A48" s="856"/>
      <c r="B48" s="127" t="s">
        <v>365</v>
      </c>
      <c r="C48" s="147">
        <v>0</v>
      </c>
      <c r="D48" s="147">
        <v>0</v>
      </c>
      <c r="E48" s="147">
        <v>0</v>
      </c>
      <c r="F48" s="147">
        <v>0</v>
      </c>
      <c r="G48" s="147">
        <v>0</v>
      </c>
      <c r="H48" s="147">
        <v>0</v>
      </c>
      <c r="I48" s="147">
        <v>0</v>
      </c>
      <c r="J48" s="147">
        <v>0</v>
      </c>
      <c r="K48" s="147">
        <v>0</v>
      </c>
      <c r="L48" s="147">
        <v>0</v>
      </c>
      <c r="M48" s="147">
        <v>0</v>
      </c>
      <c r="N48" s="147">
        <v>0</v>
      </c>
      <c r="O48" s="31">
        <f t="shared" si="2"/>
        <v>0</v>
      </c>
    </row>
    <row r="49" spans="1:18" ht="15" x14ac:dyDescent="0.2">
      <c r="A49" s="857" t="s">
        <v>160</v>
      </c>
      <c r="B49" s="858"/>
      <c r="C49" s="33">
        <f t="shared" ref="C49:N49" si="3">SUM(C38:C48)</f>
        <v>22685</v>
      </c>
      <c r="D49" s="33">
        <f t="shared" si="3"/>
        <v>21785</v>
      </c>
      <c r="E49" s="33">
        <f t="shared" si="3"/>
        <v>21785</v>
      </c>
      <c r="F49" s="33">
        <f t="shared" si="3"/>
        <v>21785</v>
      </c>
      <c r="G49" s="33">
        <f t="shared" si="3"/>
        <v>21785</v>
      </c>
      <c r="H49" s="33">
        <f t="shared" si="3"/>
        <v>21785</v>
      </c>
      <c r="I49" s="33">
        <f t="shared" si="3"/>
        <v>21785</v>
      </c>
      <c r="J49" s="33">
        <f t="shared" si="3"/>
        <v>21785</v>
      </c>
      <c r="K49" s="33">
        <f t="shared" si="3"/>
        <v>24485</v>
      </c>
      <c r="L49" s="33">
        <f t="shared" si="3"/>
        <v>24530</v>
      </c>
      <c r="M49" s="33">
        <f t="shared" si="3"/>
        <v>24530</v>
      </c>
      <c r="N49" s="33">
        <f t="shared" si="3"/>
        <v>24735</v>
      </c>
      <c r="O49" s="34">
        <f t="shared" si="2"/>
        <v>273460</v>
      </c>
    </row>
    <row r="50" spans="1:18" ht="15.75" thickBot="1" x14ac:dyDescent="0.25">
      <c r="A50" s="859" t="s">
        <v>161</v>
      </c>
      <c r="B50" s="860"/>
      <c r="C50" s="35">
        <f t="shared" ref="C50:N50" si="4">C37-C49</f>
        <v>30244</v>
      </c>
      <c r="D50" s="35">
        <f t="shared" si="4"/>
        <v>34480</v>
      </c>
      <c r="E50" s="35">
        <f t="shared" si="4"/>
        <v>31978</v>
      </c>
      <c r="F50" s="35">
        <f t="shared" si="4"/>
        <v>31978</v>
      </c>
      <c r="G50" s="35">
        <f t="shared" si="4"/>
        <v>33419</v>
      </c>
      <c r="H50" s="35">
        <f t="shared" si="4"/>
        <v>33419</v>
      </c>
      <c r="I50" s="35">
        <f t="shared" si="4"/>
        <v>33419</v>
      </c>
      <c r="J50" s="35">
        <f t="shared" si="4"/>
        <v>43751</v>
      </c>
      <c r="K50" s="35">
        <f t="shared" si="4"/>
        <v>31575</v>
      </c>
      <c r="L50" s="35">
        <f t="shared" si="4"/>
        <v>31530</v>
      </c>
      <c r="M50" s="35">
        <f t="shared" si="4"/>
        <v>31530</v>
      </c>
      <c r="N50" s="35">
        <f t="shared" si="4"/>
        <v>31325</v>
      </c>
      <c r="O50" s="36">
        <f t="shared" si="2"/>
        <v>398648</v>
      </c>
      <c r="Q50" s="16">
        <f>16773+16773+4124+17684+17804+18518*3+3969+3454+19841+20851+67547+20651+20551+20423</f>
        <v>305999</v>
      </c>
    </row>
    <row r="51" spans="1:18" x14ac:dyDescent="0.2">
      <c r="E51" s="16">
        <f>17684+4124</f>
        <v>21808</v>
      </c>
      <c r="J51" s="128">
        <f>+J37-SUM(J22:J36)</f>
        <v>56060</v>
      </c>
      <c r="Q51" s="38"/>
    </row>
    <row r="52" spans="1:18" ht="13.5" thickBot="1" x14ac:dyDescent="0.25">
      <c r="J52" s="38">
        <f>+J51-J49</f>
        <v>34275</v>
      </c>
      <c r="K52" s="38"/>
    </row>
    <row r="53" spans="1:18" ht="13.5" thickBot="1" x14ac:dyDescent="0.25">
      <c r="B53" s="789" t="s">
        <v>162</v>
      </c>
      <c r="C53" s="861"/>
      <c r="D53" s="861"/>
      <c r="E53" s="861"/>
      <c r="F53" s="862"/>
      <c r="G53" s="863">
        <f>O37</f>
        <v>672108</v>
      </c>
      <c r="H53" s="864"/>
    </row>
    <row r="54" spans="1:18" ht="13.5" thickBot="1" x14ac:dyDescent="0.25"/>
    <row r="55" spans="1:18" x14ac:dyDescent="0.2">
      <c r="B55" s="830" t="s">
        <v>163</v>
      </c>
      <c r="C55" s="833" t="s">
        <v>164</v>
      </c>
      <c r="D55" s="836" t="s">
        <v>229</v>
      </c>
      <c r="E55" s="837"/>
      <c r="F55" s="838"/>
      <c r="G55" s="839">
        <v>40000</v>
      </c>
      <c r="H55" s="840"/>
    </row>
    <row r="56" spans="1:18" x14ac:dyDescent="0.2">
      <c r="B56" s="831"/>
      <c r="C56" s="834"/>
      <c r="D56" s="841" t="s">
        <v>166</v>
      </c>
      <c r="E56" s="842"/>
      <c r="F56" s="843"/>
      <c r="G56" s="844">
        <f>+O44</f>
        <v>2500</v>
      </c>
      <c r="H56" s="845"/>
      <c r="I56" s="39"/>
      <c r="J56" s="846"/>
      <c r="K56" s="846"/>
      <c r="L56" s="846"/>
      <c r="M56" s="847"/>
      <c r="N56" s="847"/>
      <c r="O56" s="847"/>
    </row>
    <row r="57" spans="1:18" ht="13.5" thickBot="1" x14ac:dyDescent="0.25">
      <c r="B57" s="832"/>
      <c r="C57" s="835"/>
      <c r="D57" s="848" t="s">
        <v>266</v>
      </c>
      <c r="E57" s="849"/>
      <c r="F57" s="850"/>
      <c r="G57" s="851">
        <v>0</v>
      </c>
      <c r="H57" s="852"/>
      <c r="J57" s="47"/>
      <c r="K57" s="47"/>
      <c r="L57" s="47"/>
      <c r="M57" s="47"/>
      <c r="N57" s="47"/>
      <c r="O57" s="47"/>
    </row>
    <row r="58" spans="1:18" ht="13.5" thickBot="1" x14ac:dyDescent="0.25">
      <c r="B58" s="48"/>
      <c r="J58" s="47"/>
      <c r="K58" s="47"/>
      <c r="L58" s="47"/>
      <c r="M58" s="47"/>
      <c r="N58" s="47"/>
      <c r="O58" s="47"/>
    </row>
    <row r="59" spans="1:18" ht="13.5" thickBot="1" x14ac:dyDescent="0.25">
      <c r="B59" s="789" t="s">
        <v>168</v>
      </c>
      <c r="C59" s="790"/>
      <c r="D59" s="790"/>
      <c r="E59" s="790"/>
      <c r="F59" s="791"/>
      <c r="G59" s="825">
        <f>+G53-SUM(G55:H57)</f>
        <v>629608</v>
      </c>
      <c r="H59" s="826"/>
      <c r="J59" s="827" t="s">
        <v>169</v>
      </c>
      <c r="K59" s="828"/>
      <c r="L59" s="828"/>
      <c r="M59" s="828"/>
      <c r="N59" s="828"/>
      <c r="O59" s="829"/>
    </row>
    <row r="60" spans="1:18" ht="13.5" thickBot="1" x14ac:dyDescent="0.25">
      <c r="B60" s="49"/>
      <c r="C60" s="50"/>
      <c r="D60" s="50"/>
      <c r="E60" s="50"/>
      <c r="F60" s="50"/>
      <c r="G60" s="45"/>
      <c r="H60" s="50"/>
      <c r="J60" s="129"/>
      <c r="K60" s="130"/>
      <c r="L60" s="130"/>
      <c r="M60" s="130"/>
      <c r="N60" s="130"/>
      <c r="O60" s="131"/>
    </row>
    <row r="61" spans="1:18" ht="13.5" thickBot="1" x14ac:dyDescent="0.25">
      <c r="B61" s="789" t="s">
        <v>170</v>
      </c>
      <c r="C61" s="790"/>
      <c r="D61" s="790"/>
      <c r="E61" s="790"/>
      <c r="F61" s="791"/>
      <c r="G61" s="805"/>
      <c r="H61" s="791"/>
      <c r="J61" s="129"/>
      <c r="K61" s="130"/>
      <c r="L61" s="130"/>
      <c r="M61" s="130"/>
      <c r="N61" s="130"/>
      <c r="O61" s="131"/>
    </row>
    <row r="62" spans="1:18" ht="12.75" customHeight="1" x14ac:dyDescent="0.2">
      <c r="B62" s="57" t="s">
        <v>171</v>
      </c>
      <c r="C62" s="806" t="s">
        <v>172</v>
      </c>
      <c r="D62" s="807"/>
      <c r="E62" s="807"/>
      <c r="F62" s="808"/>
      <c r="G62" s="809">
        <v>0</v>
      </c>
      <c r="H62" s="809"/>
      <c r="I62" s="58"/>
      <c r="J62" s="810" t="s">
        <v>173</v>
      </c>
      <c r="K62" s="811"/>
      <c r="L62" s="811"/>
      <c r="M62" s="811"/>
      <c r="N62" s="811"/>
      <c r="O62" s="812"/>
      <c r="Q62" s="59"/>
      <c r="R62" s="59"/>
    </row>
    <row r="63" spans="1:18" ht="13.5" thickBot="1" x14ac:dyDescent="0.25">
      <c r="D63" s="37"/>
      <c r="I63" s="58"/>
      <c r="J63" s="60" t="s">
        <v>254</v>
      </c>
      <c r="K63" s="132"/>
      <c r="L63" s="132"/>
      <c r="M63" s="133"/>
      <c r="N63" s="133"/>
      <c r="O63" s="134"/>
      <c r="Q63" s="59"/>
      <c r="R63" s="59"/>
    </row>
    <row r="64" spans="1:18" ht="13.5" thickBot="1" x14ac:dyDescent="0.25">
      <c r="B64" s="789" t="s">
        <v>175</v>
      </c>
      <c r="C64" s="790"/>
      <c r="D64" s="790"/>
      <c r="E64" s="790"/>
      <c r="F64" s="791"/>
      <c r="G64" s="805">
        <f>+G59-G62</f>
        <v>629608</v>
      </c>
      <c r="H64" s="791"/>
      <c r="I64" s="63"/>
      <c r="J64" s="75"/>
      <c r="K64" s="39"/>
      <c r="L64" s="39"/>
      <c r="M64" s="39"/>
      <c r="N64" s="39"/>
      <c r="O64" s="65"/>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6.25" customHeight="1" thickBot="1" x14ac:dyDescent="0.25">
      <c r="B67" s="66"/>
      <c r="C67" s="48"/>
      <c r="G67" s="70" t="s">
        <v>177</v>
      </c>
      <c r="H67" s="70" t="s">
        <v>178</v>
      </c>
      <c r="I67" s="63"/>
      <c r="J67" s="810" t="s">
        <v>179</v>
      </c>
      <c r="K67" s="811"/>
      <c r="L67" s="71"/>
      <c r="M67" s="71"/>
      <c r="N67" s="71"/>
      <c r="O67" s="72"/>
      <c r="Q67" s="59"/>
      <c r="R67" s="59"/>
    </row>
    <row r="68" spans="2:18" ht="12.75" customHeight="1" x14ac:dyDescent="0.2">
      <c r="B68" s="802" t="s">
        <v>180</v>
      </c>
      <c r="C68" s="821" t="s">
        <v>181</v>
      </c>
      <c r="D68" s="823" t="s">
        <v>182</v>
      </c>
      <c r="E68" s="824"/>
      <c r="F68" s="824"/>
      <c r="G68" s="73">
        <f>+O43</f>
        <v>240000</v>
      </c>
      <c r="H68" s="74">
        <f t="shared" ref="H68:H76" si="5">+G68</f>
        <v>240000</v>
      </c>
      <c r="I68" s="63"/>
      <c r="J68" s="75" t="s">
        <v>231</v>
      </c>
      <c r="K68" s="58"/>
      <c r="L68" s="58"/>
      <c r="M68" s="58" t="s">
        <v>232</v>
      </c>
      <c r="N68" s="58" t="s">
        <v>233</v>
      </c>
      <c r="O68" s="76"/>
      <c r="Q68" s="59"/>
      <c r="R68" s="59"/>
    </row>
    <row r="69" spans="2:18" ht="12.75" customHeight="1" x14ac:dyDescent="0.2">
      <c r="B69" s="803"/>
      <c r="C69" s="822"/>
      <c r="D69" s="782" t="s">
        <v>184</v>
      </c>
      <c r="E69" s="783"/>
      <c r="F69" s="783"/>
      <c r="G69" s="77">
        <f>+O47</f>
        <v>18660</v>
      </c>
      <c r="H69" s="78">
        <f t="shared" si="5"/>
        <v>18660</v>
      </c>
      <c r="I69" s="63"/>
      <c r="J69" s="79"/>
      <c r="K69" s="68"/>
      <c r="L69" s="68"/>
      <c r="M69" s="68"/>
      <c r="N69" s="68"/>
      <c r="O69" s="69"/>
      <c r="Q69" s="59"/>
      <c r="R69" s="59"/>
    </row>
    <row r="70" spans="2:18" ht="12.75" customHeight="1" x14ac:dyDescent="0.2">
      <c r="B70" s="803"/>
      <c r="C70" s="822"/>
      <c r="D70" s="819" t="s">
        <v>185</v>
      </c>
      <c r="E70" s="820"/>
      <c r="F70" s="820"/>
      <c r="G70" s="80">
        <f>O40</f>
        <v>360</v>
      </c>
      <c r="H70" s="78">
        <f t="shared" si="5"/>
        <v>360</v>
      </c>
      <c r="I70" s="63"/>
      <c r="J70" s="67"/>
      <c r="K70" s="68"/>
      <c r="L70" s="68"/>
      <c r="M70" s="68"/>
      <c r="N70" s="68"/>
      <c r="O70" s="69"/>
    </row>
    <row r="71" spans="2:18" x14ac:dyDescent="0.2">
      <c r="B71" s="803"/>
      <c r="C71" s="822"/>
      <c r="D71" s="782" t="s">
        <v>186</v>
      </c>
      <c r="E71" s="783"/>
      <c r="F71" s="783"/>
      <c r="G71" s="81">
        <v>0</v>
      </c>
      <c r="H71" s="78">
        <f t="shared" si="5"/>
        <v>0</v>
      </c>
      <c r="I71" s="63"/>
      <c r="J71" s="82" t="s">
        <v>187</v>
      </c>
      <c r="K71" s="71"/>
      <c r="L71" s="71"/>
      <c r="M71" s="71"/>
      <c r="N71" s="71"/>
      <c r="O71" s="72"/>
    </row>
    <row r="72" spans="2:18" ht="12.75" customHeight="1" x14ac:dyDescent="0.2">
      <c r="B72" s="803"/>
      <c r="C72" s="822"/>
      <c r="D72" s="784" t="s">
        <v>188</v>
      </c>
      <c r="E72" s="783"/>
      <c r="F72" s="783"/>
      <c r="G72" s="80">
        <v>0</v>
      </c>
      <c r="H72" s="78">
        <f t="shared" si="5"/>
        <v>0</v>
      </c>
      <c r="I72" s="63"/>
      <c r="J72" s="75"/>
      <c r="K72" s="50"/>
      <c r="L72" s="50"/>
      <c r="M72" s="50"/>
      <c r="N72" s="50"/>
      <c r="O72" s="83"/>
    </row>
    <row r="73" spans="2:18" ht="14.25" customHeight="1" x14ac:dyDescent="0.2">
      <c r="B73" s="803"/>
      <c r="C73" s="822"/>
      <c r="D73" s="782" t="s">
        <v>190</v>
      </c>
      <c r="E73" s="783"/>
      <c r="F73" s="783"/>
      <c r="G73" s="84">
        <v>0</v>
      </c>
      <c r="H73" s="78">
        <f t="shared" si="5"/>
        <v>0</v>
      </c>
      <c r="I73" s="63"/>
      <c r="J73" s="75"/>
      <c r="K73" s="39"/>
      <c r="L73" s="39"/>
      <c r="M73" s="39"/>
      <c r="N73" s="39"/>
      <c r="O73" s="65"/>
    </row>
    <row r="74" spans="2:18" x14ac:dyDescent="0.2">
      <c r="B74" s="803"/>
      <c r="C74" s="822"/>
      <c r="D74" s="782" t="s">
        <v>191</v>
      </c>
      <c r="E74" s="783"/>
      <c r="F74" s="783"/>
      <c r="G74" s="81">
        <v>0</v>
      </c>
      <c r="H74" s="78">
        <f t="shared" si="5"/>
        <v>0</v>
      </c>
      <c r="I74" s="58"/>
      <c r="J74" s="137"/>
      <c r="K74" s="50"/>
      <c r="L74" s="50"/>
      <c r="M74" s="50"/>
      <c r="N74" s="50"/>
      <c r="O74" s="83"/>
    </row>
    <row r="75" spans="2:18" x14ac:dyDescent="0.2">
      <c r="B75" s="803"/>
      <c r="C75" s="88" t="s">
        <v>192</v>
      </c>
      <c r="D75" s="813" t="s">
        <v>193</v>
      </c>
      <c r="E75" s="814"/>
      <c r="F75" s="814"/>
      <c r="G75" s="80">
        <v>0</v>
      </c>
      <c r="H75" s="78">
        <f t="shared" si="5"/>
        <v>0</v>
      </c>
      <c r="I75" s="58"/>
      <c r="J75" s="85"/>
      <c r="K75" s="138"/>
      <c r="L75" s="138"/>
      <c r="M75" s="138"/>
      <c r="N75" s="138"/>
      <c r="O75" s="139"/>
    </row>
    <row r="76" spans="2:18" ht="13.5" customHeight="1" thickBot="1" x14ac:dyDescent="0.25">
      <c r="B76" s="803"/>
      <c r="C76" s="88" t="s">
        <v>194</v>
      </c>
      <c r="D76" s="815" t="s">
        <v>195</v>
      </c>
      <c r="E76" s="815"/>
      <c r="F76" s="815"/>
      <c r="G76" s="89">
        <v>0</v>
      </c>
      <c r="H76" s="90">
        <f t="shared" si="5"/>
        <v>0</v>
      </c>
      <c r="I76" s="63"/>
      <c r="J76" s="75"/>
      <c r="K76" s="68"/>
      <c r="L76" s="68"/>
      <c r="M76" s="91"/>
      <c r="N76" s="91"/>
      <c r="O76" s="92"/>
    </row>
    <row r="77" spans="2:18" ht="13.5" thickBot="1" x14ac:dyDescent="0.25">
      <c r="B77" s="803"/>
      <c r="C77" s="93"/>
      <c r="D77" s="94"/>
      <c r="E77" s="816" t="s">
        <v>117</v>
      </c>
      <c r="F77" s="817"/>
      <c r="G77" s="95">
        <f>SUM(G68:G76)</f>
        <v>259020</v>
      </c>
      <c r="H77" s="96">
        <f>IF(SUM(G68:G74)&lt;150000,SUM(G68:G74),150000)+IF(+G75&lt;20000,+G75,20000)</f>
        <v>150000</v>
      </c>
      <c r="I77" s="63"/>
      <c r="J77" s="140"/>
      <c r="K77" s="141"/>
      <c r="L77" s="141"/>
      <c r="M77" s="142"/>
      <c r="N77" s="142"/>
      <c r="O77" s="143"/>
    </row>
    <row r="78" spans="2:18" ht="12.75" customHeight="1" x14ac:dyDescent="0.2">
      <c r="B78" s="803"/>
      <c r="C78" s="100" t="s">
        <v>196</v>
      </c>
      <c r="D78" s="782" t="s">
        <v>187</v>
      </c>
      <c r="E78" s="783"/>
      <c r="F78" s="818"/>
      <c r="G78" s="73">
        <f>+O42</f>
        <v>0</v>
      </c>
      <c r="H78" s="101">
        <f>+IF(+G78&lt;25000,+G78,25000)</f>
        <v>0</v>
      </c>
      <c r="I78" s="87"/>
    </row>
    <row r="79" spans="2:18" x14ac:dyDescent="0.2">
      <c r="B79" s="803"/>
      <c r="C79" s="100" t="s">
        <v>197</v>
      </c>
      <c r="D79" s="784" t="s">
        <v>198</v>
      </c>
      <c r="E79" s="785"/>
      <c r="F79" s="786"/>
      <c r="G79" s="102"/>
      <c r="H79" s="103">
        <f>+IF(+G79&lt;40000,+G79,40000)</f>
        <v>0</v>
      </c>
      <c r="I79" s="63"/>
    </row>
    <row r="80" spans="2:18" x14ac:dyDescent="0.2">
      <c r="B80" s="803"/>
      <c r="C80" s="100" t="s">
        <v>199</v>
      </c>
      <c r="D80" s="784" t="s">
        <v>200</v>
      </c>
      <c r="E80" s="785"/>
      <c r="F80" s="786"/>
      <c r="G80" s="81"/>
      <c r="H80" s="104">
        <v>0</v>
      </c>
      <c r="I80" s="63"/>
      <c r="J80" s="106"/>
    </row>
    <row r="81" spans="2:12" x14ac:dyDescent="0.2">
      <c r="B81" s="803"/>
      <c r="C81" s="100" t="s">
        <v>201</v>
      </c>
      <c r="D81" s="784" t="s">
        <v>202</v>
      </c>
      <c r="E81" s="785"/>
      <c r="F81" s="786"/>
      <c r="G81" s="81"/>
      <c r="H81" s="104">
        <v>0</v>
      </c>
      <c r="I81" s="63"/>
    </row>
    <row r="82" spans="2:12" ht="13.5" thickBot="1" x14ac:dyDescent="0.25">
      <c r="B82" s="804"/>
      <c r="C82" s="100" t="s">
        <v>203</v>
      </c>
      <c r="D82" s="784" t="s">
        <v>204</v>
      </c>
      <c r="E82" s="785"/>
      <c r="F82" s="786"/>
      <c r="G82" s="102"/>
      <c r="H82" s="103">
        <f>+IF(+G82&lt;100000,+G82,10000)</f>
        <v>0</v>
      </c>
      <c r="I82" s="63"/>
    </row>
    <row r="83" spans="2:12" ht="13.5" thickBot="1" x14ac:dyDescent="0.25">
      <c r="B83" s="787" t="s">
        <v>205</v>
      </c>
      <c r="C83" s="788"/>
      <c r="D83" s="788"/>
      <c r="E83" s="788"/>
      <c r="F83" s="788"/>
      <c r="G83" s="107">
        <f>SUM(G78:G82)</f>
        <v>0</v>
      </c>
      <c r="H83" s="108">
        <f>SUM(H77:H82)</f>
        <v>150000</v>
      </c>
    </row>
    <row r="84" spans="2:12" ht="13.5" thickBot="1" x14ac:dyDescent="0.25"/>
    <row r="85" spans="2:12" ht="13.5" thickBot="1" x14ac:dyDescent="0.25">
      <c r="B85" s="789" t="s">
        <v>206</v>
      </c>
      <c r="C85" s="790"/>
      <c r="D85" s="790"/>
      <c r="E85" s="790"/>
      <c r="F85" s="791"/>
      <c r="G85" s="792">
        <f>+G64-H83</f>
        <v>479608</v>
      </c>
      <c r="H85" s="791"/>
      <c r="J85" s="87"/>
      <c r="L85" s="87"/>
    </row>
    <row r="86" spans="2:12" x14ac:dyDescent="0.2">
      <c r="B86" s="110"/>
      <c r="F86" s="105"/>
      <c r="J86" s="87"/>
      <c r="L86" s="87"/>
    </row>
    <row r="87" spans="2:12" x14ac:dyDescent="0.2">
      <c r="C87" s="793" t="s">
        <v>207</v>
      </c>
      <c r="D87" s="794"/>
      <c r="E87" s="111" t="s">
        <v>208</v>
      </c>
      <c r="F87" s="111" t="s">
        <v>209</v>
      </c>
      <c r="G87" s="111" t="s">
        <v>210</v>
      </c>
      <c r="H87" s="111" t="s">
        <v>211</v>
      </c>
      <c r="J87" s="208"/>
      <c r="K87" s="47"/>
      <c r="L87" s="87"/>
    </row>
    <row r="88" spans="2:12" x14ac:dyDescent="0.2">
      <c r="C88" s="795" t="str">
        <f>IF(I6="M","0          - 250000","0          -  250000")</f>
        <v>0          -  250000</v>
      </c>
      <c r="D88" s="796"/>
      <c r="E88" s="112">
        <v>0</v>
      </c>
      <c r="F88" s="113">
        <f>IF(I6="M",(IF(G85&lt;250000,G85,250000)),(IF(G85&lt;250000,G85,250000)))</f>
        <v>250000</v>
      </c>
      <c r="G88" s="113">
        <f>G85-F88</f>
        <v>229608</v>
      </c>
      <c r="H88" s="113">
        <f>E88*F88</f>
        <v>0</v>
      </c>
      <c r="J88" s="208"/>
      <c r="K88" s="1"/>
      <c r="L88" s="87"/>
    </row>
    <row r="89" spans="2:12" x14ac:dyDescent="0.2">
      <c r="C89" s="795" t="str">
        <f>IF(I6="M","250001 - 500000","250001-500000")</f>
        <v>250001-500000</v>
      </c>
      <c r="D89" s="796"/>
      <c r="E89" s="112">
        <v>0.05</v>
      </c>
      <c r="F89" s="113">
        <f>IF(I6="M",(IF(G88&lt;250000,G88,250000)),(IF(G88&lt;250000,G88,250000)))</f>
        <v>229608</v>
      </c>
      <c r="G89" s="113">
        <f>G88-F89</f>
        <v>0</v>
      </c>
      <c r="H89" s="114">
        <f>ROUND(E89*F89,0.1)</f>
        <v>11480</v>
      </c>
      <c r="J89" s="87"/>
      <c r="L89" s="87"/>
    </row>
    <row r="90" spans="2:12" x14ac:dyDescent="0.2">
      <c r="C90" s="797" t="s">
        <v>212</v>
      </c>
      <c r="D90" s="798"/>
      <c r="E90" s="112">
        <v>0.2</v>
      </c>
      <c r="F90" s="113">
        <f>IF(G89&lt;500000,G89,500000)</f>
        <v>0</v>
      </c>
      <c r="G90" s="113">
        <f>G89-F90</f>
        <v>0</v>
      </c>
      <c r="H90" s="114">
        <f>ROUND(E90*F90,0.1)</f>
        <v>0</v>
      </c>
      <c r="J90" s="87"/>
      <c r="L90" s="87"/>
    </row>
    <row r="91" spans="2:12" x14ac:dyDescent="0.2">
      <c r="C91" s="795" t="s">
        <v>213</v>
      </c>
      <c r="D91" s="796"/>
      <c r="E91" s="112">
        <v>0.3</v>
      </c>
      <c r="F91" s="113">
        <f>G90</f>
        <v>0</v>
      </c>
      <c r="G91" s="113">
        <f>G90-F91</f>
        <v>0</v>
      </c>
      <c r="H91" s="114">
        <f>ROUND(E91*F91,0.1)</f>
        <v>0</v>
      </c>
      <c r="J91" s="87"/>
      <c r="L91" s="87"/>
    </row>
    <row r="92" spans="2:12" ht="12.75" customHeight="1" thickBot="1" x14ac:dyDescent="0.25">
      <c r="B92" s="116"/>
      <c r="C92" s="117"/>
      <c r="D92" s="47"/>
      <c r="E92" s="47"/>
      <c r="F92" s="47"/>
      <c r="J92" s="87"/>
      <c r="K92" s="118"/>
      <c r="L92" s="87"/>
    </row>
    <row r="93" spans="2:12" ht="13.5" thickBot="1" x14ac:dyDescent="0.25">
      <c r="B93" s="799" t="s">
        <v>239</v>
      </c>
      <c r="C93" s="800"/>
      <c r="D93" s="800"/>
      <c r="E93" s="800"/>
      <c r="F93" s="801"/>
      <c r="G93" s="771">
        <f>H88+H89+H90+H91</f>
        <v>11480</v>
      </c>
      <c r="H93" s="772"/>
      <c r="J93" s="87"/>
      <c r="K93" s="87"/>
      <c r="L93" s="87"/>
    </row>
    <row r="94" spans="2:12" ht="13.5" thickBot="1" x14ac:dyDescent="0.25">
      <c r="B94" s="119" t="s">
        <v>215</v>
      </c>
      <c r="C94" s="120"/>
      <c r="D94" s="120"/>
      <c r="E94" s="120"/>
      <c r="F94" s="120"/>
      <c r="G94" s="895">
        <f>IF((G64&lt;500000),5000,0)</f>
        <v>0</v>
      </c>
      <c r="H94" s="896">
        <f>IF(H92&lt;200000,0,IF(H92&lt;220000,((H92-200000)*10%),IF(H92&lt;=500000,2000,IF(H92&gt;=500000,0))))</f>
        <v>0</v>
      </c>
      <c r="J94" s="157"/>
      <c r="K94" s="159"/>
      <c r="L94" s="159"/>
    </row>
    <row r="95" spans="2:12" ht="13.5" thickBot="1" x14ac:dyDescent="0.25">
      <c r="B95" s="122" t="s">
        <v>216</v>
      </c>
      <c r="C95" s="123"/>
      <c r="D95" s="123"/>
      <c r="E95" s="123"/>
      <c r="F95" s="123"/>
      <c r="G95" s="897">
        <f>IF((G93-G94)&lt;0,0,(G93-G94))</f>
        <v>11480</v>
      </c>
      <c r="H95" s="898"/>
      <c r="I95" s="37"/>
    </row>
    <row r="96" spans="2:12" ht="13.5" thickBot="1" x14ac:dyDescent="0.25">
      <c r="B96" s="773" t="s">
        <v>240</v>
      </c>
      <c r="C96" s="774"/>
      <c r="D96" s="774"/>
      <c r="E96" s="774"/>
      <c r="F96" s="775"/>
      <c r="G96" s="899">
        <f>ROUND((IF(G95&gt;0,(G95*4%),0)),0)</f>
        <v>459</v>
      </c>
      <c r="H96" s="900"/>
      <c r="I96" s="37"/>
    </row>
    <row r="97" spans="2:9" ht="13.5" thickBot="1" x14ac:dyDescent="0.25">
      <c r="B97" s="778" t="s">
        <v>218</v>
      </c>
      <c r="C97" s="779"/>
      <c r="D97" s="779"/>
      <c r="E97" s="779"/>
      <c r="F97" s="779"/>
      <c r="G97" s="901">
        <f>G95+G96</f>
        <v>11939</v>
      </c>
      <c r="H97" s="902"/>
      <c r="I97" s="121"/>
    </row>
    <row r="98" spans="2:9" ht="13.5" thickBot="1" x14ac:dyDescent="0.25">
      <c r="B98" s="765" t="s">
        <v>219</v>
      </c>
      <c r="C98" s="766"/>
      <c r="D98" s="766"/>
      <c r="E98" s="766"/>
      <c r="F98" s="766"/>
      <c r="G98" s="893">
        <f>O38</f>
        <v>11940</v>
      </c>
      <c r="H98" s="894"/>
      <c r="I98" s="121"/>
    </row>
    <row r="99" spans="2:9" ht="13.5" thickBot="1" x14ac:dyDescent="0.25">
      <c r="B99" s="765" t="str">
        <f>IF(G99&gt;0,"TAX PAYABLE","TAX REFUND")</f>
        <v>TAX REFUND</v>
      </c>
      <c r="C99" s="766"/>
      <c r="D99" s="766"/>
      <c r="E99" s="766"/>
      <c r="F99" s="766"/>
      <c r="G99" s="893">
        <f>+G97-G98</f>
        <v>-1</v>
      </c>
      <c r="H99" s="894"/>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0:F90 B99:F99 B93:F97">
    <cfRule type="cellIs" dxfId="2037" priority="3" stopIfTrue="1" operator="equal">
      <formula>"TAX PAYABLE"</formula>
    </cfRule>
    <cfRule type="cellIs" dxfId="2036" priority="4" stopIfTrue="1" operator="equal">
      <formula>"TAX REFUND"</formula>
    </cfRule>
  </conditionalFormatting>
  <conditionalFormatting sqref="G90:H90">
    <cfRule type="cellIs" dxfId="2035" priority="5" stopIfTrue="1" operator="lessThan">
      <formula>0</formula>
    </cfRule>
    <cfRule type="cellIs" dxfId="2034" priority="6" stopIfTrue="1" operator="greaterThan">
      <formula>0</formula>
    </cfRule>
  </conditionalFormatting>
  <conditionalFormatting sqref="G99:H99">
    <cfRule type="cellIs" dxfId="2033" priority="1" stopIfTrue="1" operator="greaterThan">
      <formula>0</formula>
    </cfRule>
    <cfRule type="cellIs" dxfId="2032"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09"/>
  <sheetViews>
    <sheetView topLeftCell="A62" workbookViewId="0">
      <selection activeCell="J81" sqref="J81"/>
    </sheetView>
  </sheetViews>
  <sheetFormatPr defaultRowHeight="12.75" x14ac:dyDescent="0.2"/>
  <cols>
    <col min="1" max="1" width="5" style="16" customWidth="1"/>
    <col min="2" max="2" width="18.5703125" style="37" customWidth="1"/>
    <col min="3" max="3" width="10.7109375" style="16" bestFit="1" customWidth="1"/>
    <col min="4" max="4" width="6.7109375" style="16" bestFit="1" customWidth="1"/>
    <col min="5" max="5" width="8.5703125" style="16" bestFit="1" customWidth="1"/>
    <col min="6" max="6" width="9.28515625" style="16" bestFit="1" customWidth="1"/>
    <col min="7" max="7" width="10.42578125" style="16" bestFit="1" customWidth="1"/>
    <col min="8" max="8" width="10.28515625" style="16" bestFit="1" customWidth="1"/>
    <col min="9" max="9" width="7.140625" style="16" bestFit="1" customWidth="1"/>
    <col min="10" max="10" width="7.42578125" style="16" customWidth="1"/>
    <col min="11" max="12" width="7" style="16" bestFit="1" customWidth="1"/>
    <col min="13" max="13" width="6.85546875" style="16" bestFit="1" customWidth="1"/>
    <col min="14" max="14" width="7" style="16" bestFit="1" customWidth="1"/>
    <col min="15" max="15" width="7.140625" style="16" bestFit="1"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8.5703125" style="16" customWidth="1"/>
    <col min="259" max="259" width="10.7109375" style="16" bestFit="1" customWidth="1"/>
    <col min="260" max="260" width="6.7109375" style="16" bestFit="1" customWidth="1"/>
    <col min="261" max="261" width="8.5703125" style="16" bestFit="1" customWidth="1"/>
    <col min="262" max="262" width="9.28515625" style="16" bestFit="1" customWidth="1"/>
    <col min="263" max="263" width="10.42578125" style="16" bestFit="1" customWidth="1"/>
    <col min="264" max="264" width="10.28515625" style="16" bestFit="1" customWidth="1"/>
    <col min="265" max="265" width="7.140625" style="16" bestFit="1" customWidth="1"/>
    <col min="266" max="266" width="7.42578125" style="16" customWidth="1"/>
    <col min="267" max="268" width="7" style="16" bestFit="1" customWidth="1"/>
    <col min="269" max="269" width="6.85546875" style="16" bestFit="1" customWidth="1"/>
    <col min="270" max="270" width="7" style="16" bestFit="1" customWidth="1"/>
    <col min="271" max="271" width="7.140625" style="16" bestFit="1"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8.5703125" style="16" customWidth="1"/>
    <col min="515" max="515" width="10.7109375" style="16" bestFit="1" customWidth="1"/>
    <col min="516" max="516" width="6.7109375" style="16" bestFit="1" customWidth="1"/>
    <col min="517" max="517" width="8.5703125" style="16" bestFit="1" customWidth="1"/>
    <col min="518" max="518" width="9.28515625" style="16" bestFit="1" customWidth="1"/>
    <col min="519" max="519" width="10.42578125" style="16" bestFit="1" customWidth="1"/>
    <col min="520" max="520" width="10.28515625" style="16" bestFit="1" customWidth="1"/>
    <col min="521" max="521" width="7.140625" style="16" bestFit="1" customWidth="1"/>
    <col min="522" max="522" width="7.42578125" style="16" customWidth="1"/>
    <col min="523" max="524" width="7" style="16" bestFit="1" customWidth="1"/>
    <col min="525" max="525" width="6.85546875" style="16" bestFit="1" customWidth="1"/>
    <col min="526" max="526" width="7" style="16" bestFit="1" customWidth="1"/>
    <col min="527" max="527" width="7.140625" style="16" bestFit="1"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8.5703125" style="16" customWidth="1"/>
    <col min="771" max="771" width="10.7109375" style="16" bestFit="1" customWidth="1"/>
    <col min="772" max="772" width="6.7109375" style="16" bestFit="1" customWidth="1"/>
    <col min="773" max="773" width="8.5703125" style="16" bestFit="1" customWidth="1"/>
    <col min="774" max="774" width="9.28515625" style="16" bestFit="1" customWidth="1"/>
    <col min="775" max="775" width="10.42578125" style="16" bestFit="1" customWidth="1"/>
    <col min="776" max="776" width="10.28515625" style="16" bestFit="1" customWidth="1"/>
    <col min="777" max="777" width="7.140625" style="16" bestFit="1" customWidth="1"/>
    <col min="778" max="778" width="7.42578125" style="16" customWidth="1"/>
    <col min="779" max="780" width="7" style="16" bestFit="1" customWidth="1"/>
    <col min="781" max="781" width="6.85546875" style="16" bestFit="1" customWidth="1"/>
    <col min="782" max="782" width="7" style="16" bestFit="1" customWidth="1"/>
    <col min="783" max="783" width="7.140625" style="16" bestFit="1"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8.5703125" style="16" customWidth="1"/>
    <col min="1027" max="1027" width="10.7109375" style="16" bestFit="1" customWidth="1"/>
    <col min="1028" max="1028" width="6.7109375" style="16" bestFit="1" customWidth="1"/>
    <col min="1029" max="1029" width="8.5703125" style="16" bestFit="1" customWidth="1"/>
    <col min="1030" max="1030" width="9.28515625" style="16" bestFit="1" customWidth="1"/>
    <col min="1031" max="1031" width="10.42578125" style="16" bestFit="1" customWidth="1"/>
    <col min="1032" max="1032" width="10.28515625" style="16" bestFit="1" customWidth="1"/>
    <col min="1033" max="1033" width="7.140625" style="16" bestFit="1" customWidth="1"/>
    <col min="1034" max="1034" width="7.42578125" style="16" customWidth="1"/>
    <col min="1035" max="1036" width="7" style="16" bestFit="1" customWidth="1"/>
    <col min="1037" max="1037" width="6.85546875" style="16" bestFit="1" customWidth="1"/>
    <col min="1038" max="1038" width="7" style="16" bestFit="1" customWidth="1"/>
    <col min="1039" max="1039" width="7.140625" style="16" bestFit="1"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8.5703125" style="16" customWidth="1"/>
    <col min="1283" max="1283" width="10.7109375" style="16" bestFit="1" customWidth="1"/>
    <col min="1284" max="1284" width="6.7109375" style="16" bestFit="1" customWidth="1"/>
    <col min="1285" max="1285" width="8.5703125" style="16" bestFit="1" customWidth="1"/>
    <col min="1286" max="1286" width="9.28515625" style="16" bestFit="1" customWidth="1"/>
    <col min="1287" max="1287" width="10.42578125" style="16" bestFit="1" customWidth="1"/>
    <col min="1288" max="1288" width="10.28515625" style="16" bestFit="1" customWidth="1"/>
    <col min="1289" max="1289" width="7.140625" style="16" bestFit="1" customWidth="1"/>
    <col min="1290" max="1290" width="7.42578125" style="16" customWidth="1"/>
    <col min="1291" max="1292" width="7" style="16" bestFit="1" customWidth="1"/>
    <col min="1293" max="1293" width="6.85546875" style="16" bestFit="1" customWidth="1"/>
    <col min="1294" max="1294" width="7" style="16" bestFit="1" customWidth="1"/>
    <col min="1295" max="1295" width="7.140625" style="16" bestFit="1"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8.5703125" style="16" customWidth="1"/>
    <col min="1539" max="1539" width="10.7109375" style="16" bestFit="1" customWidth="1"/>
    <col min="1540" max="1540" width="6.7109375" style="16" bestFit="1" customWidth="1"/>
    <col min="1541" max="1541" width="8.5703125" style="16" bestFit="1" customWidth="1"/>
    <col min="1542" max="1542" width="9.28515625" style="16" bestFit="1" customWidth="1"/>
    <col min="1543" max="1543" width="10.42578125" style="16" bestFit="1" customWidth="1"/>
    <col min="1544" max="1544" width="10.28515625" style="16" bestFit="1" customWidth="1"/>
    <col min="1545" max="1545" width="7.140625" style="16" bestFit="1" customWidth="1"/>
    <col min="1546" max="1546" width="7.42578125" style="16" customWidth="1"/>
    <col min="1547" max="1548" width="7" style="16" bestFit="1" customWidth="1"/>
    <col min="1549" max="1549" width="6.85546875" style="16" bestFit="1" customWidth="1"/>
    <col min="1550" max="1550" width="7" style="16" bestFit="1" customWidth="1"/>
    <col min="1551" max="1551" width="7.140625" style="16" bestFit="1"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8.5703125" style="16" customWidth="1"/>
    <col min="1795" max="1795" width="10.7109375" style="16" bestFit="1" customWidth="1"/>
    <col min="1796" max="1796" width="6.7109375" style="16" bestFit="1" customWidth="1"/>
    <col min="1797" max="1797" width="8.5703125" style="16" bestFit="1" customWidth="1"/>
    <col min="1798" max="1798" width="9.28515625" style="16" bestFit="1" customWidth="1"/>
    <col min="1799" max="1799" width="10.42578125" style="16" bestFit="1" customWidth="1"/>
    <col min="1800" max="1800" width="10.28515625" style="16" bestFit="1" customWidth="1"/>
    <col min="1801" max="1801" width="7.140625" style="16" bestFit="1" customWidth="1"/>
    <col min="1802" max="1802" width="7.42578125" style="16" customWidth="1"/>
    <col min="1803" max="1804" width="7" style="16" bestFit="1" customWidth="1"/>
    <col min="1805" max="1805" width="6.85546875" style="16" bestFit="1" customWidth="1"/>
    <col min="1806" max="1806" width="7" style="16" bestFit="1" customWidth="1"/>
    <col min="1807" max="1807" width="7.140625" style="16" bestFit="1"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8.5703125" style="16" customWidth="1"/>
    <col min="2051" max="2051" width="10.7109375" style="16" bestFit="1" customWidth="1"/>
    <col min="2052" max="2052" width="6.7109375" style="16" bestFit="1" customWidth="1"/>
    <col min="2053" max="2053" width="8.5703125" style="16" bestFit="1" customWidth="1"/>
    <col min="2054" max="2054" width="9.28515625" style="16" bestFit="1" customWidth="1"/>
    <col min="2055" max="2055" width="10.42578125" style="16" bestFit="1" customWidth="1"/>
    <col min="2056" max="2056" width="10.28515625" style="16" bestFit="1" customWidth="1"/>
    <col min="2057" max="2057" width="7.140625" style="16" bestFit="1" customWidth="1"/>
    <col min="2058" max="2058" width="7.42578125" style="16" customWidth="1"/>
    <col min="2059" max="2060" width="7" style="16" bestFit="1" customWidth="1"/>
    <col min="2061" max="2061" width="6.85546875" style="16" bestFit="1" customWidth="1"/>
    <col min="2062" max="2062" width="7" style="16" bestFit="1" customWidth="1"/>
    <col min="2063" max="2063" width="7.140625" style="16" bestFit="1"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8.5703125" style="16" customWidth="1"/>
    <col min="2307" max="2307" width="10.7109375" style="16" bestFit="1" customWidth="1"/>
    <col min="2308" max="2308" width="6.7109375" style="16" bestFit="1" customWidth="1"/>
    <col min="2309" max="2309" width="8.5703125" style="16" bestFit="1" customWidth="1"/>
    <col min="2310" max="2310" width="9.28515625" style="16" bestFit="1" customWidth="1"/>
    <col min="2311" max="2311" width="10.42578125" style="16" bestFit="1" customWidth="1"/>
    <col min="2312" max="2312" width="10.28515625" style="16" bestFit="1" customWidth="1"/>
    <col min="2313" max="2313" width="7.140625" style="16" bestFit="1" customWidth="1"/>
    <col min="2314" max="2314" width="7.42578125" style="16" customWidth="1"/>
    <col min="2315" max="2316" width="7" style="16" bestFit="1" customWidth="1"/>
    <col min="2317" max="2317" width="6.85546875" style="16" bestFit="1" customWidth="1"/>
    <col min="2318" max="2318" width="7" style="16" bestFit="1" customWidth="1"/>
    <col min="2319" max="2319" width="7.140625" style="16" bestFit="1"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8.5703125" style="16" customWidth="1"/>
    <col min="2563" max="2563" width="10.7109375" style="16" bestFit="1" customWidth="1"/>
    <col min="2564" max="2564" width="6.7109375" style="16" bestFit="1" customWidth="1"/>
    <col min="2565" max="2565" width="8.5703125" style="16" bestFit="1" customWidth="1"/>
    <col min="2566" max="2566" width="9.28515625" style="16" bestFit="1" customWidth="1"/>
    <col min="2567" max="2567" width="10.42578125" style="16" bestFit="1" customWidth="1"/>
    <col min="2568" max="2568" width="10.28515625" style="16" bestFit="1" customWidth="1"/>
    <col min="2569" max="2569" width="7.140625" style="16" bestFit="1" customWidth="1"/>
    <col min="2570" max="2570" width="7.42578125" style="16" customWidth="1"/>
    <col min="2571" max="2572" width="7" style="16" bestFit="1" customWidth="1"/>
    <col min="2573" max="2573" width="6.85546875" style="16" bestFit="1" customWidth="1"/>
    <col min="2574" max="2574" width="7" style="16" bestFit="1" customWidth="1"/>
    <col min="2575" max="2575" width="7.140625" style="16" bestFit="1"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8.5703125" style="16" customWidth="1"/>
    <col min="2819" max="2819" width="10.7109375" style="16" bestFit="1" customWidth="1"/>
    <col min="2820" max="2820" width="6.7109375" style="16" bestFit="1" customWidth="1"/>
    <col min="2821" max="2821" width="8.5703125" style="16" bestFit="1" customWidth="1"/>
    <col min="2822" max="2822" width="9.28515625" style="16" bestFit="1" customWidth="1"/>
    <col min="2823" max="2823" width="10.42578125" style="16" bestFit="1" customWidth="1"/>
    <col min="2824" max="2824" width="10.28515625" style="16" bestFit="1" customWidth="1"/>
    <col min="2825" max="2825" width="7.140625" style="16" bestFit="1" customWidth="1"/>
    <col min="2826" max="2826" width="7.42578125" style="16" customWidth="1"/>
    <col min="2827" max="2828" width="7" style="16" bestFit="1" customWidth="1"/>
    <col min="2829" max="2829" width="6.85546875" style="16" bestFit="1" customWidth="1"/>
    <col min="2830" max="2830" width="7" style="16" bestFit="1" customWidth="1"/>
    <col min="2831" max="2831" width="7.140625" style="16" bestFit="1"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8.5703125" style="16" customWidth="1"/>
    <col min="3075" max="3075" width="10.7109375" style="16" bestFit="1" customWidth="1"/>
    <col min="3076" max="3076" width="6.7109375" style="16" bestFit="1" customWidth="1"/>
    <col min="3077" max="3077" width="8.5703125" style="16" bestFit="1" customWidth="1"/>
    <col min="3078" max="3078" width="9.28515625" style="16" bestFit="1" customWidth="1"/>
    <col min="3079" max="3079" width="10.42578125" style="16" bestFit="1" customWidth="1"/>
    <col min="3080" max="3080" width="10.28515625" style="16" bestFit="1" customWidth="1"/>
    <col min="3081" max="3081" width="7.140625" style="16" bestFit="1" customWidth="1"/>
    <col min="3082" max="3082" width="7.42578125" style="16" customWidth="1"/>
    <col min="3083" max="3084" width="7" style="16" bestFit="1" customWidth="1"/>
    <col min="3085" max="3085" width="6.85546875" style="16" bestFit="1" customWidth="1"/>
    <col min="3086" max="3086" width="7" style="16" bestFit="1" customWidth="1"/>
    <col min="3087" max="3087" width="7.140625" style="16" bestFit="1"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8.5703125" style="16" customWidth="1"/>
    <col min="3331" max="3331" width="10.7109375" style="16" bestFit="1" customWidth="1"/>
    <col min="3332" max="3332" width="6.7109375" style="16" bestFit="1" customWidth="1"/>
    <col min="3333" max="3333" width="8.5703125" style="16" bestFit="1" customWidth="1"/>
    <col min="3334" max="3334" width="9.28515625" style="16" bestFit="1" customWidth="1"/>
    <col min="3335" max="3335" width="10.42578125" style="16" bestFit="1" customWidth="1"/>
    <col min="3336" max="3336" width="10.28515625" style="16" bestFit="1" customWidth="1"/>
    <col min="3337" max="3337" width="7.140625" style="16" bestFit="1" customWidth="1"/>
    <col min="3338" max="3338" width="7.42578125" style="16" customWidth="1"/>
    <col min="3339" max="3340" width="7" style="16" bestFit="1" customWidth="1"/>
    <col min="3341" max="3341" width="6.85546875" style="16" bestFit="1" customWidth="1"/>
    <col min="3342" max="3342" width="7" style="16" bestFit="1" customWidth="1"/>
    <col min="3343" max="3343" width="7.140625" style="16" bestFit="1"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8.5703125" style="16" customWidth="1"/>
    <col min="3587" max="3587" width="10.7109375" style="16" bestFit="1" customWidth="1"/>
    <col min="3588" max="3588" width="6.7109375" style="16" bestFit="1" customWidth="1"/>
    <col min="3589" max="3589" width="8.5703125" style="16" bestFit="1" customWidth="1"/>
    <col min="3590" max="3590" width="9.28515625" style="16" bestFit="1" customWidth="1"/>
    <col min="3591" max="3591" width="10.42578125" style="16" bestFit="1" customWidth="1"/>
    <col min="3592" max="3592" width="10.28515625" style="16" bestFit="1" customWidth="1"/>
    <col min="3593" max="3593" width="7.140625" style="16" bestFit="1" customWidth="1"/>
    <col min="3594" max="3594" width="7.42578125" style="16" customWidth="1"/>
    <col min="3595" max="3596" width="7" style="16" bestFit="1" customWidth="1"/>
    <col min="3597" max="3597" width="6.85546875" style="16" bestFit="1" customWidth="1"/>
    <col min="3598" max="3598" width="7" style="16" bestFit="1" customWidth="1"/>
    <col min="3599" max="3599" width="7.140625" style="16" bestFit="1"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8.5703125" style="16" customWidth="1"/>
    <col min="3843" max="3843" width="10.7109375" style="16" bestFit="1" customWidth="1"/>
    <col min="3844" max="3844" width="6.7109375" style="16" bestFit="1" customWidth="1"/>
    <col min="3845" max="3845" width="8.5703125" style="16" bestFit="1" customWidth="1"/>
    <col min="3846" max="3846" width="9.28515625" style="16" bestFit="1" customWidth="1"/>
    <col min="3847" max="3847" width="10.42578125" style="16" bestFit="1" customWidth="1"/>
    <col min="3848" max="3848" width="10.28515625" style="16" bestFit="1" customWidth="1"/>
    <col min="3849" max="3849" width="7.140625" style="16" bestFit="1" customWidth="1"/>
    <col min="3850" max="3850" width="7.42578125" style="16" customWidth="1"/>
    <col min="3851" max="3852" width="7" style="16" bestFit="1" customWidth="1"/>
    <col min="3853" max="3853" width="6.85546875" style="16" bestFit="1" customWidth="1"/>
    <col min="3854" max="3854" width="7" style="16" bestFit="1" customWidth="1"/>
    <col min="3855" max="3855" width="7.140625" style="16" bestFit="1"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8.5703125" style="16" customWidth="1"/>
    <col min="4099" max="4099" width="10.7109375" style="16" bestFit="1" customWidth="1"/>
    <col min="4100" max="4100" width="6.7109375" style="16" bestFit="1" customWidth="1"/>
    <col min="4101" max="4101" width="8.5703125" style="16" bestFit="1" customWidth="1"/>
    <col min="4102" max="4102" width="9.28515625" style="16" bestFit="1" customWidth="1"/>
    <col min="4103" max="4103" width="10.42578125" style="16" bestFit="1" customWidth="1"/>
    <col min="4104" max="4104" width="10.28515625" style="16" bestFit="1" customWidth="1"/>
    <col min="4105" max="4105" width="7.140625" style="16" bestFit="1" customWidth="1"/>
    <col min="4106" max="4106" width="7.42578125" style="16" customWidth="1"/>
    <col min="4107" max="4108" width="7" style="16" bestFit="1" customWidth="1"/>
    <col min="4109" max="4109" width="6.85546875" style="16" bestFit="1" customWidth="1"/>
    <col min="4110" max="4110" width="7" style="16" bestFit="1" customWidth="1"/>
    <col min="4111" max="4111" width="7.140625" style="16" bestFit="1"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8.5703125" style="16" customWidth="1"/>
    <col min="4355" max="4355" width="10.7109375" style="16" bestFit="1" customWidth="1"/>
    <col min="4356" max="4356" width="6.7109375" style="16" bestFit="1" customWidth="1"/>
    <col min="4357" max="4357" width="8.5703125" style="16" bestFit="1" customWidth="1"/>
    <col min="4358" max="4358" width="9.28515625" style="16" bestFit="1" customWidth="1"/>
    <col min="4359" max="4359" width="10.42578125" style="16" bestFit="1" customWidth="1"/>
    <col min="4360" max="4360" width="10.28515625" style="16" bestFit="1" customWidth="1"/>
    <col min="4361" max="4361" width="7.140625" style="16" bestFit="1" customWidth="1"/>
    <col min="4362" max="4362" width="7.42578125" style="16" customWidth="1"/>
    <col min="4363" max="4364" width="7" style="16" bestFit="1" customWidth="1"/>
    <col min="4365" max="4365" width="6.85546875" style="16" bestFit="1" customWidth="1"/>
    <col min="4366" max="4366" width="7" style="16" bestFit="1" customWidth="1"/>
    <col min="4367" max="4367" width="7.140625" style="16" bestFit="1"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8.5703125" style="16" customWidth="1"/>
    <col min="4611" max="4611" width="10.7109375" style="16" bestFit="1" customWidth="1"/>
    <col min="4612" max="4612" width="6.7109375" style="16" bestFit="1" customWidth="1"/>
    <col min="4613" max="4613" width="8.5703125" style="16" bestFit="1" customWidth="1"/>
    <col min="4614" max="4614" width="9.28515625" style="16" bestFit="1" customWidth="1"/>
    <col min="4615" max="4615" width="10.42578125" style="16" bestFit="1" customWidth="1"/>
    <col min="4616" max="4616" width="10.28515625" style="16" bestFit="1" customWidth="1"/>
    <col min="4617" max="4617" width="7.140625" style="16" bestFit="1" customWidth="1"/>
    <col min="4618" max="4618" width="7.42578125" style="16" customWidth="1"/>
    <col min="4619" max="4620" width="7" style="16" bestFit="1" customWidth="1"/>
    <col min="4621" max="4621" width="6.85546875" style="16" bestFit="1" customWidth="1"/>
    <col min="4622" max="4622" width="7" style="16" bestFit="1" customWidth="1"/>
    <col min="4623" max="4623" width="7.140625" style="16" bestFit="1"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8.5703125" style="16" customWidth="1"/>
    <col min="4867" max="4867" width="10.7109375" style="16" bestFit="1" customWidth="1"/>
    <col min="4868" max="4868" width="6.7109375" style="16" bestFit="1" customWidth="1"/>
    <col min="4869" max="4869" width="8.5703125" style="16" bestFit="1" customWidth="1"/>
    <col min="4870" max="4870" width="9.28515625" style="16" bestFit="1" customWidth="1"/>
    <col min="4871" max="4871" width="10.42578125" style="16" bestFit="1" customWidth="1"/>
    <col min="4872" max="4872" width="10.28515625" style="16" bestFit="1" customWidth="1"/>
    <col min="4873" max="4873" width="7.140625" style="16" bestFit="1" customWidth="1"/>
    <col min="4874" max="4874" width="7.42578125" style="16" customWidth="1"/>
    <col min="4875" max="4876" width="7" style="16" bestFit="1" customWidth="1"/>
    <col min="4877" max="4877" width="6.85546875" style="16" bestFit="1" customWidth="1"/>
    <col min="4878" max="4878" width="7" style="16" bestFit="1" customWidth="1"/>
    <col min="4879" max="4879" width="7.140625" style="16" bestFit="1"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8.5703125" style="16" customWidth="1"/>
    <col min="5123" max="5123" width="10.7109375" style="16" bestFit="1" customWidth="1"/>
    <col min="5124" max="5124" width="6.7109375" style="16" bestFit="1" customWidth="1"/>
    <col min="5125" max="5125" width="8.5703125" style="16" bestFit="1" customWidth="1"/>
    <col min="5126" max="5126" width="9.28515625" style="16" bestFit="1" customWidth="1"/>
    <col min="5127" max="5127" width="10.42578125" style="16" bestFit="1" customWidth="1"/>
    <col min="5128" max="5128" width="10.28515625" style="16" bestFit="1" customWidth="1"/>
    <col min="5129" max="5129" width="7.140625" style="16" bestFit="1" customWidth="1"/>
    <col min="5130" max="5130" width="7.42578125" style="16" customWidth="1"/>
    <col min="5131" max="5132" width="7" style="16" bestFit="1" customWidth="1"/>
    <col min="5133" max="5133" width="6.85546875" style="16" bestFit="1" customWidth="1"/>
    <col min="5134" max="5134" width="7" style="16" bestFit="1" customWidth="1"/>
    <col min="5135" max="5135" width="7.140625" style="16" bestFit="1"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8.5703125" style="16" customWidth="1"/>
    <col min="5379" max="5379" width="10.7109375" style="16" bestFit="1" customWidth="1"/>
    <col min="5380" max="5380" width="6.7109375" style="16" bestFit="1" customWidth="1"/>
    <col min="5381" max="5381" width="8.5703125" style="16" bestFit="1" customWidth="1"/>
    <col min="5382" max="5382" width="9.28515625" style="16" bestFit="1" customWidth="1"/>
    <col min="5383" max="5383" width="10.42578125" style="16" bestFit="1" customWidth="1"/>
    <col min="5384" max="5384" width="10.28515625" style="16" bestFit="1" customWidth="1"/>
    <col min="5385" max="5385" width="7.140625" style="16" bestFit="1" customWidth="1"/>
    <col min="5386" max="5386" width="7.42578125" style="16" customWidth="1"/>
    <col min="5387" max="5388" width="7" style="16" bestFit="1" customWidth="1"/>
    <col min="5389" max="5389" width="6.85546875" style="16" bestFit="1" customWidth="1"/>
    <col min="5390" max="5390" width="7" style="16" bestFit="1" customWidth="1"/>
    <col min="5391" max="5391" width="7.140625" style="16" bestFit="1"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8.5703125" style="16" customWidth="1"/>
    <col min="5635" max="5635" width="10.7109375" style="16" bestFit="1" customWidth="1"/>
    <col min="5636" max="5636" width="6.7109375" style="16" bestFit="1" customWidth="1"/>
    <col min="5637" max="5637" width="8.5703125" style="16" bestFit="1" customWidth="1"/>
    <col min="5638" max="5638" width="9.28515625" style="16" bestFit="1" customWidth="1"/>
    <col min="5639" max="5639" width="10.42578125" style="16" bestFit="1" customWidth="1"/>
    <col min="5640" max="5640" width="10.28515625" style="16" bestFit="1" customWidth="1"/>
    <col min="5641" max="5641" width="7.140625" style="16" bestFit="1" customWidth="1"/>
    <col min="5642" max="5642" width="7.42578125" style="16" customWidth="1"/>
    <col min="5643" max="5644" width="7" style="16" bestFit="1" customWidth="1"/>
    <col min="5645" max="5645" width="6.85546875" style="16" bestFit="1" customWidth="1"/>
    <col min="5646" max="5646" width="7" style="16" bestFit="1" customWidth="1"/>
    <col min="5647" max="5647" width="7.140625" style="16" bestFit="1"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8.5703125" style="16" customWidth="1"/>
    <col min="5891" max="5891" width="10.7109375" style="16" bestFit="1" customWidth="1"/>
    <col min="5892" max="5892" width="6.7109375" style="16" bestFit="1" customWidth="1"/>
    <col min="5893" max="5893" width="8.5703125" style="16" bestFit="1" customWidth="1"/>
    <col min="5894" max="5894" width="9.28515625" style="16" bestFit="1" customWidth="1"/>
    <col min="5895" max="5895" width="10.42578125" style="16" bestFit="1" customWidth="1"/>
    <col min="5896" max="5896" width="10.28515625" style="16" bestFit="1" customWidth="1"/>
    <col min="5897" max="5897" width="7.140625" style="16" bestFit="1" customWidth="1"/>
    <col min="5898" max="5898" width="7.42578125" style="16" customWidth="1"/>
    <col min="5899" max="5900" width="7" style="16" bestFit="1" customWidth="1"/>
    <col min="5901" max="5901" width="6.85546875" style="16" bestFit="1" customWidth="1"/>
    <col min="5902" max="5902" width="7" style="16" bestFit="1" customWidth="1"/>
    <col min="5903" max="5903" width="7.140625" style="16" bestFit="1"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8.5703125" style="16" customWidth="1"/>
    <col min="6147" max="6147" width="10.7109375" style="16" bestFit="1" customWidth="1"/>
    <col min="6148" max="6148" width="6.7109375" style="16" bestFit="1" customWidth="1"/>
    <col min="6149" max="6149" width="8.5703125" style="16" bestFit="1" customWidth="1"/>
    <col min="6150" max="6150" width="9.28515625" style="16" bestFit="1" customWidth="1"/>
    <col min="6151" max="6151" width="10.42578125" style="16" bestFit="1" customWidth="1"/>
    <col min="6152" max="6152" width="10.28515625" style="16" bestFit="1" customWidth="1"/>
    <col min="6153" max="6153" width="7.140625" style="16" bestFit="1" customWidth="1"/>
    <col min="6154" max="6154" width="7.42578125" style="16" customWidth="1"/>
    <col min="6155" max="6156" width="7" style="16" bestFit="1" customWidth="1"/>
    <col min="6157" max="6157" width="6.85546875" style="16" bestFit="1" customWidth="1"/>
    <col min="6158" max="6158" width="7" style="16" bestFit="1" customWidth="1"/>
    <col min="6159" max="6159" width="7.140625" style="16" bestFit="1"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8.5703125" style="16" customWidth="1"/>
    <col min="6403" max="6403" width="10.7109375" style="16" bestFit="1" customWidth="1"/>
    <col min="6404" max="6404" width="6.7109375" style="16" bestFit="1" customWidth="1"/>
    <col min="6405" max="6405" width="8.5703125" style="16" bestFit="1" customWidth="1"/>
    <col min="6406" max="6406" width="9.28515625" style="16" bestFit="1" customWidth="1"/>
    <col min="6407" max="6407" width="10.42578125" style="16" bestFit="1" customWidth="1"/>
    <col min="6408" max="6408" width="10.28515625" style="16" bestFit="1" customWidth="1"/>
    <col min="6409" max="6409" width="7.140625" style="16" bestFit="1" customWidth="1"/>
    <col min="6410" max="6410" width="7.42578125" style="16" customWidth="1"/>
    <col min="6411" max="6412" width="7" style="16" bestFit="1" customWidth="1"/>
    <col min="6413" max="6413" width="6.85546875" style="16" bestFit="1" customWidth="1"/>
    <col min="6414" max="6414" width="7" style="16" bestFit="1" customWidth="1"/>
    <col min="6415" max="6415" width="7.140625" style="16" bestFit="1"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8.5703125" style="16" customWidth="1"/>
    <col min="6659" max="6659" width="10.7109375" style="16" bestFit="1" customWidth="1"/>
    <col min="6660" max="6660" width="6.7109375" style="16" bestFit="1" customWidth="1"/>
    <col min="6661" max="6661" width="8.5703125" style="16" bestFit="1" customWidth="1"/>
    <col min="6662" max="6662" width="9.28515625" style="16" bestFit="1" customWidth="1"/>
    <col min="6663" max="6663" width="10.42578125" style="16" bestFit="1" customWidth="1"/>
    <col min="6664" max="6664" width="10.28515625" style="16" bestFit="1" customWidth="1"/>
    <col min="6665" max="6665" width="7.140625" style="16" bestFit="1" customWidth="1"/>
    <col min="6666" max="6666" width="7.42578125" style="16" customWidth="1"/>
    <col min="6667" max="6668" width="7" style="16" bestFit="1" customWidth="1"/>
    <col min="6669" max="6669" width="6.85546875" style="16" bestFit="1" customWidth="1"/>
    <col min="6670" max="6670" width="7" style="16" bestFit="1" customWidth="1"/>
    <col min="6671" max="6671" width="7.140625" style="16" bestFit="1"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8.5703125" style="16" customWidth="1"/>
    <col min="6915" max="6915" width="10.7109375" style="16" bestFit="1" customWidth="1"/>
    <col min="6916" max="6916" width="6.7109375" style="16" bestFit="1" customWidth="1"/>
    <col min="6917" max="6917" width="8.5703125" style="16" bestFit="1" customWidth="1"/>
    <col min="6918" max="6918" width="9.28515625" style="16" bestFit="1" customWidth="1"/>
    <col min="6919" max="6919" width="10.42578125" style="16" bestFit="1" customWidth="1"/>
    <col min="6920" max="6920" width="10.28515625" style="16" bestFit="1" customWidth="1"/>
    <col min="6921" max="6921" width="7.140625" style="16" bestFit="1" customWidth="1"/>
    <col min="6922" max="6922" width="7.42578125" style="16" customWidth="1"/>
    <col min="6923" max="6924" width="7" style="16" bestFit="1" customWidth="1"/>
    <col min="6925" max="6925" width="6.85546875" style="16" bestFit="1" customWidth="1"/>
    <col min="6926" max="6926" width="7" style="16" bestFit="1" customWidth="1"/>
    <col min="6927" max="6927" width="7.140625" style="16" bestFit="1"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8.5703125" style="16" customWidth="1"/>
    <col min="7171" max="7171" width="10.7109375" style="16" bestFit="1" customWidth="1"/>
    <col min="7172" max="7172" width="6.7109375" style="16" bestFit="1" customWidth="1"/>
    <col min="7173" max="7173" width="8.5703125" style="16" bestFit="1" customWidth="1"/>
    <col min="7174" max="7174" width="9.28515625" style="16" bestFit="1" customWidth="1"/>
    <col min="7175" max="7175" width="10.42578125" style="16" bestFit="1" customWidth="1"/>
    <col min="7176" max="7176" width="10.28515625" style="16" bestFit="1" customWidth="1"/>
    <col min="7177" max="7177" width="7.140625" style="16" bestFit="1" customWidth="1"/>
    <col min="7178" max="7178" width="7.42578125" style="16" customWidth="1"/>
    <col min="7179" max="7180" width="7" style="16" bestFit="1" customWidth="1"/>
    <col min="7181" max="7181" width="6.85546875" style="16" bestFit="1" customWidth="1"/>
    <col min="7182" max="7182" width="7" style="16" bestFit="1" customWidth="1"/>
    <col min="7183" max="7183" width="7.140625" style="16" bestFit="1"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8.5703125" style="16" customWidth="1"/>
    <col min="7427" max="7427" width="10.7109375" style="16" bestFit="1" customWidth="1"/>
    <col min="7428" max="7428" width="6.7109375" style="16" bestFit="1" customWidth="1"/>
    <col min="7429" max="7429" width="8.5703125" style="16" bestFit="1" customWidth="1"/>
    <col min="7430" max="7430" width="9.28515625" style="16" bestFit="1" customWidth="1"/>
    <col min="7431" max="7431" width="10.42578125" style="16" bestFit="1" customWidth="1"/>
    <col min="7432" max="7432" width="10.28515625" style="16" bestFit="1" customWidth="1"/>
    <col min="7433" max="7433" width="7.140625" style="16" bestFit="1" customWidth="1"/>
    <col min="7434" max="7434" width="7.42578125" style="16" customWidth="1"/>
    <col min="7435" max="7436" width="7" style="16" bestFit="1" customWidth="1"/>
    <col min="7437" max="7437" width="6.85546875" style="16" bestFit="1" customWidth="1"/>
    <col min="7438" max="7438" width="7" style="16" bestFit="1" customWidth="1"/>
    <col min="7439" max="7439" width="7.140625" style="16" bestFit="1"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8.5703125" style="16" customWidth="1"/>
    <col min="7683" max="7683" width="10.7109375" style="16" bestFit="1" customWidth="1"/>
    <col min="7684" max="7684" width="6.7109375" style="16" bestFit="1" customWidth="1"/>
    <col min="7685" max="7685" width="8.5703125" style="16" bestFit="1" customWidth="1"/>
    <col min="7686" max="7686" width="9.28515625" style="16" bestFit="1" customWidth="1"/>
    <col min="7687" max="7687" width="10.42578125" style="16" bestFit="1" customWidth="1"/>
    <col min="7688" max="7688" width="10.28515625" style="16" bestFit="1" customWidth="1"/>
    <col min="7689" max="7689" width="7.140625" style="16" bestFit="1" customWidth="1"/>
    <col min="7690" max="7690" width="7.42578125" style="16" customWidth="1"/>
    <col min="7691" max="7692" width="7" style="16" bestFit="1" customWidth="1"/>
    <col min="7693" max="7693" width="6.85546875" style="16" bestFit="1" customWidth="1"/>
    <col min="7694" max="7694" width="7" style="16" bestFit="1" customWidth="1"/>
    <col min="7695" max="7695" width="7.140625" style="16" bestFit="1"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8.5703125" style="16" customWidth="1"/>
    <col min="7939" max="7939" width="10.7109375" style="16" bestFit="1" customWidth="1"/>
    <col min="7940" max="7940" width="6.7109375" style="16" bestFit="1" customWidth="1"/>
    <col min="7941" max="7941" width="8.5703125" style="16" bestFit="1" customWidth="1"/>
    <col min="7942" max="7942" width="9.28515625" style="16" bestFit="1" customWidth="1"/>
    <col min="7943" max="7943" width="10.42578125" style="16" bestFit="1" customWidth="1"/>
    <col min="7944" max="7944" width="10.28515625" style="16" bestFit="1" customWidth="1"/>
    <col min="7945" max="7945" width="7.140625" style="16" bestFit="1" customWidth="1"/>
    <col min="7946" max="7946" width="7.42578125" style="16" customWidth="1"/>
    <col min="7947" max="7948" width="7" style="16" bestFit="1" customWidth="1"/>
    <col min="7949" max="7949" width="6.85546875" style="16" bestFit="1" customWidth="1"/>
    <col min="7950" max="7950" width="7" style="16" bestFit="1" customWidth="1"/>
    <col min="7951" max="7951" width="7.140625" style="16" bestFit="1"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8.5703125" style="16" customWidth="1"/>
    <col min="8195" max="8195" width="10.7109375" style="16" bestFit="1" customWidth="1"/>
    <col min="8196" max="8196" width="6.7109375" style="16" bestFit="1" customWidth="1"/>
    <col min="8197" max="8197" width="8.5703125" style="16" bestFit="1" customWidth="1"/>
    <col min="8198" max="8198" width="9.28515625" style="16" bestFit="1" customWidth="1"/>
    <col min="8199" max="8199" width="10.42578125" style="16" bestFit="1" customWidth="1"/>
    <col min="8200" max="8200" width="10.28515625" style="16" bestFit="1" customWidth="1"/>
    <col min="8201" max="8201" width="7.140625" style="16" bestFit="1" customWidth="1"/>
    <col min="8202" max="8202" width="7.42578125" style="16" customWidth="1"/>
    <col min="8203" max="8204" width="7" style="16" bestFit="1" customWidth="1"/>
    <col min="8205" max="8205" width="6.85546875" style="16" bestFit="1" customWidth="1"/>
    <col min="8206" max="8206" width="7" style="16" bestFit="1" customWidth="1"/>
    <col min="8207" max="8207" width="7.140625" style="16" bestFit="1"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8.5703125" style="16" customWidth="1"/>
    <col min="8451" max="8451" width="10.7109375" style="16" bestFit="1" customWidth="1"/>
    <col min="8452" max="8452" width="6.7109375" style="16" bestFit="1" customWidth="1"/>
    <col min="8453" max="8453" width="8.5703125" style="16" bestFit="1" customWidth="1"/>
    <col min="8454" max="8454" width="9.28515625" style="16" bestFit="1" customWidth="1"/>
    <col min="8455" max="8455" width="10.42578125" style="16" bestFit="1" customWidth="1"/>
    <col min="8456" max="8456" width="10.28515625" style="16" bestFit="1" customWidth="1"/>
    <col min="8457" max="8457" width="7.140625" style="16" bestFit="1" customWidth="1"/>
    <col min="8458" max="8458" width="7.42578125" style="16" customWidth="1"/>
    <col min="8459" max="8460" width="7" style="16" bestFit="1" customWidth="1"/>
    <col min="8461" max="8461" width="6.85546875" style="16" bestFit="1" customWidth="1"/>
    <col min="8462" max="8462" width="7" style="16" bestFit="1" customWidth="1"/>
    <col min="8463" max="8463" width="7.140625" style="16" bestFit="1"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8.5703125" style="16" customWidth="1"/>
    <col min="8707" max="8707" width="10.7109375" style="16" bestFit="1" customWidth="1"/>
    <col min="8708" max="8708" width="6.7109375" style="16" bestFit="1" customWidth="1"/>
    <col min="8709" max="8709" width="8.5703125" style="16" bestFit="1" customWidth="1"/>
    <col min="8710" max="8710" width="9.28515625" style="16" bestFit="1" customWidth="1"/>
    <col min="8711" max="8711" width="10.42578125" style="16" bestFit="1" customWidth="1"/>
    <col min="8712" max="8712" width="10.28515625" style="16" bestFit="1" customWidth="1"/>
    <col min="8713" max="8713" width="7.140625" style="16" bestFit="1" customWidth="1"/>
    <col min="8714" max="8714" width="7.42578125" style="16" customWidth="1"/>
    <col min="8715" max="8716" width="7" style="16" bestFit="1" customWidth="1"/>
    <col min="8717" max="8717" width="6.85546875" style="16" bestFit="1" customWidth="1"/>
    <col min="8718" max="8718" width="7" style="16" bestFit="1" customWidth="1"/>
    <col min="8719" max="8719" width="7.140625" style="16" bestFit="1"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8.5703125" style="16" customWidth="1"/>
    <col min="8963" max="8963" width="10.7109375" style="16" bestFit="1" customWidth="1"/>
    <col min="8964" max="8964" width="6.7109375" style="16" bestFit="1" customWidth="1"/>
    <col min="8965" max="8965" width="8.5703125" style="16" bestFit="1" customWidth="1"/>
    <col min="8966" max="8966" width="9.28515625" style="16" bestFit="1" customWidth="1"/>
    <col min="8967" max="8967" width="10.42578125" style="16" bestFit="1" customWidth="1"/>
    <col min="8968" max="8968" width="10.28515625" style="16" bestFit="1" customWidth="1"/>
    <col min="8969" max="8969" width="7.140625" style="16" bestFit="1" customWidth="1"/>
    <col min="8970" max="8970" width="7.42578125" style="16" customWidth="1"/>
    <col min="8971" max="8972" width="7" style="16" bestFit="1" customWidth="1"/>
    <col min="8973" max="8973" width="6.85546875" style="16" bestFit="1" customWidth="1"/>
    <col min="8974" max="8974" width="7" style="16" bestFit="1" customWidth="1"/>
    <col min="8975" max="8975" width="7.140625" style="16" bestFit="1"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8.5703125" style="16" customWidth="1"/>
    <col min="9219" max="9219" width="10.7109375" style="16" bestFit="1" customWidth="1"/>
    <col min="9220" max="9220" width="6.7109375" style="16" bestFit="1" customWidth="1"/>
    <col min="9221" max="9221" width="8.5703125" style="16" bestFit="1" customWidth="1"/>
    <col min="9222" max="9222" width="9.28515625" style="16" bestFit="1" customWidth="1"/>
    <col min="9223" max="9223" width="10.42578125" style="16" bestFit="1" customWidth="1"/>
    <col min="9224" max="9224" width="10.28515625" style="16" bestFit="1" customWidth="1"/>
    <col min="9225" max="9225" width="7.140625" style="16" bestFit="1" customWidth="1"/>
    <col min="9226" max="9226" width="7.42578125" style="16" customWidth="1"/>
    <col min="9227" max="9228" width="7" style="16" bestFit="1" customWidth="1"/>
    <col min="9229" max="9229" width="6.85546875" style="16" bestFit="1" customWidth="1"/>
    <col min="9230" max="9230" width="7" style="16" bestFit="1" customWidth="1"/>
    <col min="9231" max="9231" width="7.140625" style="16" bestFit="1"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8.5703125" style="16" customWidth="1"/>
    <col min="9475" max="9475" width="10.7109375" style="16" bestFit="1" customWidth="1"/>
    <col min="9476" max="9476" width="6.7109375" style="16" bestFit="1" customWidth="1"/>
    <col min="9477" max="9477" width="8.5703125" style="16" bestFit="1" customWidth="1"/>
    <col min="9478" max="9478" width="9.28515625" style="16" bestFit="1" customWidth="1"/>
    <col min="9479" max="9479" width="10.42578125" style="16" bestFit="1" customWidth="1"/>
    <col min="9480" max="9480" width="10.28515625" style="16" bestFit="1" customWidth="1"/>
    <col min="9481" max="9481" width="7.140625" style="16" bestFit="1" customWidth="1"/>
    <col min="9482" max="9482" width="7.42578125" style="16" customWidth="1"/>
    <col min="9483" max="9484" width="7" style="16" bestFit="1" customWidth="1"/>
    <col min="9485" max="9485" width="6.85546875" style="16" bestFit="1" customWidth="1"/>
    <col min="9486" max="9486" width="7" style="16" bestFit="1" customWidth="1"/>
    <col min="9487" max="9487" width="7.140625" style="16" bestFit="1"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8.5703125" style="16" customWidth="1"/>
    <col min="9731" max="9731" width="10.7109375" style="16" bestFit="1" customWidth="1"/>
    <col min="9732" max="9732" width="6.7109375" style="16" bestFit="1" customWidth="1"/>
    <col min="9733" max="9733" width="8.5703125" style="16" bestFit="1" customWidth="1"/>
    <col min="9734" max="9734" width="9.28515625" style="16" bestFit="1" customWidth="1"/>
    <col min="9735" max="9735" width="10.42578125" style="16" bestFit="1" customWidth="1"/>
    <col min="9736" max="9736" width="10.28515625" style="16" bestFit="1" customWidth="1"/>
    <col min="9737" max="9737" width="7.140625" style="16" bestFit="1" customWidth="1"/>
    <col min="9738" max="9738" width="7.42578125" style="16" customWidth="1"/>
    <col min="9739" max="9740" width="7" style="16" bestFit="1" customWidth="1"/>
    <col min="9741" max="9741" width="6.85546875" style="16" bestFit="1" customWidth="1"/>
    <col min="9742" max="9742" width="7" style="16" bestFit="1" customWidth="1"/>
    <col min="9743" max="9743" width="7.140625" style="16" bestFit="1"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8.5703125" style="16" customWidth="1"/>
    <col min="9987" max="9987" width="10.7109375" style="16" bestFit="1" customWidth="1"/>
    <col min="9988" max="9988" width="6.7109375" style="16" bestFit="1" customWidth="1"/>
    <col min="9989" max="9989" width="8.5703125" style="16" bestFit="1" customWidth="1"/>
    <col min="9990" max="9990" width="9.28515625" style="16" bestFit="1" customWidth="1"/>
    <col min="9991" max="9991" width="10.42578125" style="16" bestFit="1" customWidth="1"/>
    <col min="9992" max="9992" width="10.28515625" style="16" bestFit="1" customWidth="1"/>
    <col min="9993" max="9993" width="7.140625" style="16" bestFit="1" customWidth="1"/>
    <col min="9994" max="9994" width="7.42578125" style="16" customWidth="1"/>
    <col min="9995" max="9996" width="7" style="16" bestFit="1" customWidth="1"/>
    <col min="9997" max="9997" width="6.85546875" style="16" bestFit="1" customWidth="1"/>
    <col min="9998" max="9998" width="7" style="16" bestFit="1" customWidth="1"/>
    <col min="9999" max="9999" width="7.140625" style="16" bestFit="1"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8.5703125" style="16" customWidth="1"/>
    <col min="10243" max="10243" width="10.7109375" style="16" bestFit="1" customWidth="1"/>
    <col min="10244" max="10244" width="6.7109375" style="16" bestFit="1" customWidth="1"/>
    <col min="10245" max="10245" width="8.5703125" style="16" bestFit="1" customWidth="1"/>
    <col min="10246" max="10246" width="9.28515625" style="16" bestFit="1" customWidth="1"/>
    <col min="10247" max="10247" width="10.42578125" style="16" bestFit="1" customWidth="1"/>
    <col min="10248" max="10248" width="10.28515625" style="16" bestFit="1" customWidth="1"/>
    <col min="10249" max="10249" width="7.140625" style="16" bestFit="1" customWidth="1"/>
    <col min="10250" max="10250" width="7.42578125" style="16" customWidth="1"/>
    <col min="10251" max="10252" width="7" style="16" bestFit="1" customWidth="1"/>
    <col min="10253" max="10253" width="6.85546875" style="16" bestFit="1" customWidth="1"/>
    <col min="10254" max="10254" width="7" style="16" bestFit="1" customWidth="1"/>
    <col min="10255" max="10255" width="7.140625" style="16" bestFit="1"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8.5703125" style="16" customWidth="1"/>
    <col min="10499" max="10499" width="10.7109375" style="16" bestFit="1" customWidth="1"/>
    <col min="10500" max="10500" width="6.7109375" style="16" bestFit="1" customWidth="1"/>
    <col min="10501" max="10501" width="8.5703125" style="16" bestFit="1" customWidth="1"/>
    <col min="10502" max="10502" width="9.28515625" style="16" bestFit="1" customWidth="1"/>
    <col min="10503" max="10503" width="10.42578125" style="16" bestFit="1" customWidth="1"/>
    <col min="10504" max="10504" width="10.28515625" style="16" bestFit="1" customWidth="1"/>
    <col min="10505" max="10505" width="7.140625" style="16" bestFit="1" customWidth="1"/>
    <col min="10506" max="10506" width="7.42578125" style="16" customWidth="1"/>
    <col min="10507" max="10508" width="7" style="16" bestFit="1" customWidth="1"/>
    <col min="10509" max="10509" width="6.85546875" style="16" bestFit="1" customWidth="1"/>
    <col min="10510" max="10510" width="7" style="16" bestFit="1" customWidth="1"/>
    <col min="10511" max="10511" width="7.140625" style="16" bestFit="1"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8.5703125" style="16" customWidth="1"/>
    <col min="10755" max="10755" width="10.7109375" style="16" bestFit="1" customWidth="1"/>
    <col min="10756" max="10756" width="6.7109375" style="16" bestFit="1" customWidth="1"/>
    <col min="10757" max="10757" width="8.5703125" style="16" bestFit="1" customWidth="1"/>
    <col min="10758" max="10758" width="9.28515625" style="16" bestFit="1" customWidth="1"/>
    <col min="10759" max="10759" width="10.42578125" style="16" bestFit="1" customWidth="1"/>
    <col min="10760" max="10760" width="10.28515625" style="16" bestFit="1" customWidth="1"/>
    <col min="10761" max="10761" width="7.140625" style="16" bestFit="1" customWidth="1"/>
    <col min="10762" max="10762" width="7.42578125" style="16" customWidth="1"/>
    <col min="10763" max="10764" width="7" style="16" bestFit="1" customWidth="1"/>
    <col min="10765" max="10765" width="6.85546875" style="16" bestFit="1" customWidth="1"/>
    <col min="10766" max="10766" width="7" style="16" bestFit="1" customWidth="1"/>
    <col min="10767" max="10767" width="7.140625" style="16" bestFit="1"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8.5703125" style="16" customWidth="1"/>
    <col min="11011" max="11011" width="10.7109375" style="16" bestFit="1" customWidth="1"/>
    <col min="11012" max="11012" width="6.7109375" style="16" bestFit="1" customWidth="1"/>
    <col min="11013" max="11013" width="8.5703125" style="16" bestFit="1" customWidth="1"/>
    <col min="11014" max="11014" width="9.28515625" style="16" bestFit="1" customWidth="1"/>
    <col min="11015" max="11015" width="10.42578125" style="16" bestFit="1" customWidth="1"/>
    <col min="11016" max="11016" width="10.28515625" style="16" bestFit="1" customWidth="1"/>
    <col min="11017" max="11017" width="7.140625" style="16" bestFit="1" customWidth="1"/>
    <col min="11018" max="11018" width="7.42578125" style="16" customWidth="1"/>
    <col min="11019" max="11020" width="7" style="16" bestFit="1" customWidth="1"/>
    <col min="11021" max="11021" width="6.85546875" style="16" bestFit="1" customWidth="1"/>
    <col min="11022" max="11022" width="7" style="16" bestFit="1" customWidth="1"/>
    <col min="11023" max="11023" width="7.140625" style="16" bestFit="1"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8.5703125" style="16" customWidth="1"/>
    <col min="11267" max="11267" width="10.7109375" style="16" bestFit="1" customWidth="1"/>
    <col min="11268" max="11268" width="6.7109375" style="16" bestFit="1" customWidth="1"/>
    <col min="11269" max="11269" width="8.5703125" style="16" bestFit="1" customWidth="1"/>
    <col min="11270" max="11270" width="9.28515625" style="16" bestFit="1" customWidth="1"/>
    <col min="11271" max="11271" width="10.42578125" style="16" bestFit="1" customWidth="1"/>
    <col min="11272" max="11272" width="10.28515625" style="16" bestFit="1" customWidth="1"/>
    <col min="11273" max="11273" width="7.140625" style="16" bestFit="1" customWidth="1"/>
    <col min="11274" max="11274" width="7.42578125" style="16" customWidth="1"/>
    <col min="11275" max="11276" width="7" style="16" bestFit="1" customWidth="1"/>
    <col min="11277" max="11277" width="6.85546875" style="16" bestFit="1" customWidth="1"/>
    <col min="11278" max="11278" width="7" style="16" bestFit="1" customWidth="1"/>
    <col min="11279" max="11279" width="7.140625" style="16" bestFit="1"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8.5703125" style="16" customWidth="1"/>
    <col min="11523" max="11523" width="10.7109375" style="16" bestFit="1" customWidth="1"/>
    <col min="11524" max="11524" width="6.7109375" style="16" bestFit="1" customWidth="1"/>
    <col min="11525" max="11525" width="8.5703125" style="16" bestFit="1" customWidth="1"/>
    <col min="11526" max="11526" width="9.28515625" style="16" bestFit="1" customWidth="1"/>
    <col min="11527" max="11527" width="10.42578125" style="16" bestFit="1" customWidth="1"/>
    <col min="11528" max="11528" width="10.28515625" style="16" bestFit="1" customWidth="1"/>
    <col min="11529" max="11529" width="7.140625" style="16" bestFit="1" customWidth="1"/>
    <col min="11530" max="11530" width="7.42578125" style="16" customWidth="1"/>
    <col min="11531" max="11532" width="7" style="16" bestFit="1" customWidth="1"/>
    <col min="11533" max="11533" width="6.85546875" style="16" bestFit="1" customWidth="1"/>
    <col min="11534" max="11534" width="7" style="16" bestFit="1" customWidth="1"/>
    <col min="11535" max="11535" width="7.140625" style="16" bestFit="1"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8.5703125" style="16" customWidth="1"/>
    <col min="11779" max="11779" width="10.7109375" style="16" bestFit="1" customWidth="1"/>
    <col min="11780" max="11780" width="6.7109375" style="16" bestFit="1" customWidth="1"/>
    <col min="11781" max="11781" width="8.5703125" style="16" bestFit="1" customWidth="1"/>
    <col min="11782" max="11782" width="9.28515625" style="16" bestFit="1" customWidth="1"/>
    <col min="11783" max="11783" width="10.42578125" style="16" bestFit="1" customWidth="1"/>
    <col min="11784" max="11784" width="10.28515625" style="16" bestFit="1" customWidth="1"/>
    <col min="11785" max="11785" width="7.140625" style="16" bestFit="1" customWidth="1"/>
    <col min="11786" max="11786" width="7.42578125" style="16" customWidth="1"/>
    <col min="11787" max="11788" width="7" style="16" bestFit="1" customWidth="1"/>
    <col min="11789" max="11789" width="6.85546875" style="16" bestFit="1" customWidth="1"/>
    <col min="11790" max="11790" width="7" style="16" bestFit="1" customWidth="1"/>
    <col min="11791" max="11791" width="7.140625" style="16" bestFit="1"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8.5703125" style="16" customWidth="1"/>
    <col min="12035" max="12035" width="10.7109375" style="16" bestFit="1" customWidth="1"/>
    <col min="12036" max="12036" width="6.7109375" style="16" bestFit="1" customWidth="1"/>
    <col min="12037" max="12037" width="8.5703125" style="16" bestFit="1" customWidth="1"/>
    <col min="12038" max="12038" width="9.28515625" style="16" bestFit="1" customWidth="1"/>
    <col min="12039" max="12039" width="10.42578125" style="16" bestFit="1" customWidth="1"/>
    <col min="12040" max="12040" width="10.28515625" style="16" bestFit="1" customWidth="1"/>
    <col min="12041" max="12041" width="7.140625" style="16" bestFit="1" customWidth="1"/>
    <col min="12042" max="12042" width="7.42578125" style="16" customWidth="1"/>
    <col min="12043" max="12044" width="7" style="16" bestFit="1" customWidth="1"/>
    <col min="12045" max="12045" width="6.85546875" style="16" bestFit="1" customWidth="1"/>
    <col min="12046" max="12046" width="7" style="16" bestFit="1" customWidth="1"/>
    <col min="12047" max="12047" width="7.140625" style="16" bestFit="1"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8.5703125" style="16" customWidth="1"/>
    <col min="12291" max="12291" width="10.7109375" style="16" bestFit="1" customWidth="1"/>
    <col min="12292" max="12292" width="6.7109375" style="16" bestFit="1" customWidth="1"/>
    <col min="12293" max="12293" width="8.5703125" style="16" bestFit="1" customWidth="1"/>
    <col min="12294" max="12294" width="9.28515625" style="16" bestFit="1" customWidth="1"/>
    <col min="12295" max="12295" width="10.42578125" style="16" bestFit="1" customWidth="1"/>
    <col min="12296" max="12296" width="10.28515625" style="16" bestFit="1" customWidth="1"/>
    <col min="12297" max="12297" width="7.140625" style="16" bestFit="1" customWidth="1"/>
    <col min="12298" max="12298" width="7.42578125" style="16" customWidth="1"/>
    <col min="12299" max="12300" width="7" style="16" bestFit="1" customWidth="1"/>
    <col min="12301" max="12301" width="6.85546875" style="16" bestFit="1" customWidth="1"/>
    <col min="12302" max="12302" width="7" style="16" bestFit="1" customWidth="1"/>
    <col min="12303" max="12303" width="7.140625" style="16" bestFit="1"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8.5703125" style="16" customWidth="1"/>
    <col min="12547" max="12547" width="10.7109375" style="16" bestFit="1" customWidth="1"/>
    <col min="12548" max="12548" width="6.7109375" style="16" bestFit="1" customWidth="1"/>
    <col min="12549" max="12549" width="8.5703125" style="16" bestFit="1" customWidth="1"/>
    <col min="12550" max="12550" width="9.28515625" style="16" bestFit="1" customWidth="1"/>
    <col min="12551" max="12551" width="10.42578125" style="16" bestFit="1" customWidth="1"/>
    <col min="12552" max="12552" width="10.28515625" style="16" bestFit="1" customWidth="1"/>
    <col min="12553" max="12553" width="7.140625" style="16" bestFit="1" customWidth="1"/>
    <col min="12554" max="12554" width="7.42578125" style="16" customWidth="1"/>
    <col min="12555" max="12556" width="7" style="16" bestFit="1" customWidth="1"/>
    <col min="12557" max="12557" width="6.85546875" style="16" bestFit="1" customWidth="1"/>
    <col min="12558" max="12558" width="7" style="16" bestFit="1" customWidth="1"/>
    <col min="12559" max="12559" width="7.140625" style="16" bestFit="1"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8.5703125" style="16" customWidth="1"/>
    <col min="12803" max="12803" width="10.7109375" style="16" bestFit="1" customWidth="1"/>
    <col min="12804" max="12804" width="6.7109375" style="16" bestFit="1" customWidth="1"/>
    <col min="12805" max="12805" width="8.5703125" style="16" bestFit="1" customWidth="1"/>
    <col min="12806" max="12806" width="9.28515625" style="16" bestFit="1" customWidth="1"/>
    <col min="12807" max="12807" width="10.42578125" style="16" bestFit="1" customWidth="1"/>
    <col min="12808" max="12808" width="10.28515625" style="16" bestFit="1" customWidth="1"/>
    <col min="12809" max="12809" width="7.140625" style="16" bestFit="1" customWidth="1"/>
    <col min="12810" max="12810" width="7.42578125" style="16" customWidth="1"/>
    <col min="12811" max="12812" width="7" style="16" bestFit="1" customWidth="1"/>
    <col min="12813" max="12813" width="6.85546875" style="16" bestFit="1" customWidth="1"/>
    <col min="12814" max="12814" width="7" style="16" bestFit="1" customWidth="1"/>
    <col min="12815" max="12815" width="7.140625" style="16" bestFit="1"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8.5703125" style="16" customWidth="1"/>
    <col min="13059" max="13059" width="10.7109375" style="16" bestFit="1" customWidth="1"/>
    <col min="13060" max="13060" width="6.7109375" style="16" bestFit="1" customWidth="1"/>
    <col min="13061" max="13061" width="8.5703125" style="16" bestFit="1" customWidth="1"/>
    <col min="13062" max="13062" width="9.28515625" style="16" bestFit="1" customWidth="1"/>
    <col min="13063" max="13063" width="10.42578125" style="16" bestFit="1" customWidth="1"/>
    <col min="13064" max="13064" width="10.28515625" style="16" bestFit="1" customWidth="1"/>
    <col min="13065" max="13065" width="7.140625" style="16" bestFit="1" customWidth="1"/>
    <col min="13066" max="13066" width="7.42578125" style="16" customWidth="1"/>
    <col min="13067" max="13068" width="7" style="16" bestFit="1" customWidth="1"/>
    <col min="13069" max="13069" width="6.85546875" style="16" bestFit="1" customWidth="1"/>
    <col min="13070" max="13070" width="7" style="16" bestFit="1" customWidth="1"/>
    <col min="13071" max="13071" width="7.140625" style="16" bestFit="1"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8.5703125" style="16" customWidth="1"/>
    <col min="13315" max="13315" width="10.7109375" style="16" bestFit="1" customWidth="1"/>
    <col min="13316" max="13316" width="6.7109375" style="16" bestFit="1" customWidth="1"/>
    <col min="13317" max="13317" width="8.5703125" style="16" bestFit="1" customWidth="1"/>
    <col min="13318" max="13318" width="9.28515625" style="16" bestFit="1" customWidth="1"/>
    <col min="13319" max="13319" width="10.42578125" style="16" bestFit="1" customWidth="1"/>
    <col min="13320" max="13320" width="10.28515625" style="16" bestFit="1" customWidth="1"/>
    <col min="13321" max="13321" width="7.140625" style="16" bestFit="1" customWidth="1"/>
    <col min="13322" max="13322" width="7.42578125" style="16" customWidth="1"/>
    <col min="13323" max="13324" width="7" style="16" bestFit="1" customWidth="1"/>
    <col min="13325" max="13325" width="6.85546875" style="16" bestFit="1" customWidth="1"/>
    <col min="13326" max="13326" width="7" style="16" bestFit="1" customWidth="1"/>
    <col min="13327" max="13327" width="7.140625" style="16" bestFit="1"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8.5703125" style="16" customWidth="1"/>
    <col min="13571" max="13571" width="10.7109375" style="16" bestFit="1" customWidth="1"/>
    <col min="13572" max="13572" width="6.7109375" style="16" bestFit="1" customWidth="1"/>
    <col min="13573" max="13573" width="8.5703125" style="16" bestFit="1" customWidth="1"/>
    <col min="13574" max="13574" width="9.28515625" style="16" bestFit="1" customWidth="1"/>
    <col min="13575" max="13575" width="10.42578125" style="16" bestFit="1" customWidth="1"/>
    <col min="13576" max="13576" width="10.28515625" style="16" bestFit="1" customWidth="1"/>
    <col min="13577" max="13577" width="7.140625" style="16" bestFit="1" customWidth="1"/>
    <col min="13578" max="13578" width="7.42578125" style="16" customWidth="1"/>
    <col min="13579" max="13580" width="7" style="16" bestFit="1" customWidth="1"/>
    <col min="13581" max="13581" width="6.85546875" style="16" bestFit="1" customWidth="1"/>
    <col min="13582" max="13582" width="7" style="16" bestFit="1" customWidth="1"/>
    <col min="13583" max="13583" width="7.140625" style="16" bestFit="1"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8.5703125" style="16" customWidth="1"/>
    <col min="13827" max="13827" width="10.7109375" style="16" bestFit="1" customWidth="1"/>
    <col min="13828" max="13828" width="6.7109375" style="16" bestFit="1" customWidth="1"/>
    <col min="13829" max="13829" width="8.5703125" style="16" bestFit="1" customWidth="1"/>
    <col min="13830" max="13830" width="9.28515625" style="16" bestFit="1" customWidth="1"/>
    <col min="13831" max="13831" width="10.42578125" style="16" bestFit="1" customWidth="1"/>
    <col min="13832" max="13832" width="10.28515625" style="16" bestFit="1" customWidth="1"/>
    <col min="13833" max="13833" width="7.140625" style="16" bestFit="1" customWidth="1"/>
    <col min="13834" max="13834" width="7.42578125" style="16" customWidth="1"/>
    <col min="13835" max="13836" width="7" style="16" bestFit="1" customWidth="1"/>
    <col min="13837" max="13837" width="6.85546875" style="16" bestFit="1" customWidth="1"/>
    <col min="13838" max="13838" width="7" style="16" bestFit="1" customWidth="1"/>
    <col min="13839" max="13839" width="7.140625" style="16" bestFit="1"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8.5703125" style="16" customWidth="1"/>
    <col min="14083" max="14083" width="10.7109375" style="16" bestFit="1" customWidth="1"/>
    <col min="14084" max="14084" width="6.7109375" style="16" bestFit="1" customWidth="1"/>
    <col min="14085" max="14085" width="8.5703125" style="16" bestFit="1" customWidth="1"/>
    <col min="14086" max="14086" width="9.28515625" style="16" bestFit="1" customWidth="1"/>
    <col min="14087" max="14087" width="10.42578125" style="16" bestFit="1" customWidth="1"/>
    <col min="14088" max="14088" width="10.28515625" style="16" bestFit="1" customWidth="1"/>
    <col min="14089" max="14089" width="7.140625" style="16" bestFit="1" customWidth="1"/>
    <col min="14090" max="14090" width="7.42578125" style="16" customWidth="1"/>
    <col min="14091" max="14092" width="7" style="16" bestFit="1" customWidth="1"/>
    <col min="14093" max="14093" width="6.85546875" style="16" bestFit="1" customWidth="1"/>
    <col min="14094" max="14094" width="7" style="16" bestFit="1" customWidth="1"/>
    <col min="14095" max="14095" width="7.140625" style="16" bestFit="1"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8.5703125" style="16" customWidth="1"/>
    <col min="14339" max="14339" width="10.7109375" style="16" bestFit="1" customWidth="1"/>
    <col min="14340" max="14340" width="6.7109375" style="16" bestFit="1" customWidth="1"/>
    <col min="14341" max="14341" width="8.5703125" style="16" bestFit="1" customWidth="1"/>
    <col min="14342" max="14342" width="9.28515625" style="16" bestFit="1" customWidth="1"/>
    <col min="14343" max="14343" width="10.42578125" style="16" bestFit="1" customWidth="1"/>
    <col min="14344" max="14344" width="10.28515625" style="16" bestFit="1" customWidth="1"/>
    <col min="14345" max="14345" width="7.140625" style="16" bestFit="1" customWidth="1"/>
    <col min="14346" max="14346" width="7.42578125" style="16" customWidth="1"/>
    <col min="14347" max="14348" width="7" style="16" bestFit="1" customWidth="1"/>
    <col min="14349" max="14349" width="6.85546875" style="16" bestFit="1" customWidth="1"/>
    <col min="14350" max="14350" width="7" style="16" bestFit="1" customWidth="1"/>
    <col min="14351" max="14351" width="7.140625" style="16" bestFit="1"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8.5703125" style="16" customWidth="1"/>
    <col min="14595" max="14595" width="10.7109375" style="16" bestFit="1" customWidth="1"/>
    <col min="14596" max="14596" width="6.7109375" style="16" bestFit="1" customWidth="1"/>
    <col min="14597" max="14597" width="8.5703125" style="16" bestFit="1" customWidth="1"/>
    <col min="14598" max="14598" width="9.28515625" style="16" bestFit="1" customWidth="1"/>
    <col min="14599" max="14599" width="10.42578125" style="16" bestFit="1" customWidth="1"/>
    <col min="14600" max="14600" width="10.28515625" style="16" bestFit="1" customWidth="1"/>
    <col min="14601" max="14601" width="7.140625" style="16" bestFit="1" customWidth="1"/>
    <col min="14602" max="14602" width="7.42578125" style="16" customWidth="1"/>
    <col min="14603" max="14604" width="7" style="16" bestFit="1" customWidth="1"/>
    <col min="14605" max="14605" width="6.85546875" style="16" bestFit="1" customWidth="1"/>
    <col min="14606" max="14606" width="7" style="16" bestFit="1" customWidth="1"/>
    <col min="14607" max="14607" width="7.140625" style="16" bestFit="1"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8.5703125" style="16" customWidth="1"/>
    <col min="14851" max="14851" width="10.7109375" style="16" bestFit="1" customWidth="1"/>
    <col min="14852" max="14852" width="6.7109375" style="16" bestFit="1" customWidth="1"/>
    <col min="14853" max="14853" width="8.5703125" style="16" bestFit="1" customWidth="1"/>
    <col min="14854" max="14854" width="9.28515625" style="16" bestFit="1" customWidth="1"/>
    <col min="14855" max="14855" width="10.42578125" style="16" bestFit="1" customWidth="1"/>
    <col min="14856" max="14856" width="10.28515625" style="16" bestFit="1" customWidth="1"/>
    <col min="14857" max="14857" width="7.140625" style="16" bestFit="1" customWidth="1"/>
    <col min="14858" max="14858" width="7.42578125" style="16" customWidth="1"/>
    <col min="14859" max="14860" width="7" style="16" bestFit="1" customWidth="1"/>
    <col min="14861" max="14861" width="6.85546875" style="16" bestFit="1" customWidth="1"/>
    <col min="14862" max="14862" width="7" style="16" bestFit="1" customWidth="1"/>
    <col min="14863" max="14863" width="7.140625" style="16" bestFit="1"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8.5703125" style="16" customWidth="1"/>
    <col min="15107" max="15107" width="10.7109375" style="16" bestFit="1" customWidth="1"/>
    <col min="15108" max="15108" width="6.7109375" style="16" bestFit="1" customWidth="1"/>
    <col min="15109" max="15109" width="8.5703125" style="16" bestFit="1" customWidth="1"/>
    <col min="15110" max="15110" width="9.28515625" style="16" bestFit="1" customWidth="1"/>
    <col min="15111" max="15111" width="10.42578125" style="16" bestFit="1" customWidth="1"/>
    <col min="15112" max="15112" width="10.28515625" style="16" bestFit="1" customWidth="1"/>
    <col min="15113" max="15113" width="7.140625" style="16" bestFit="1" customWidth="1"/>
    <col min="15114" max="15114" width="7.42578125" style="16" customWidth="1"/>
    <col min="15115" max="15116" width="7" style="16" bestFit="1" customWidth="1"/>
    <col min="15117" max="15117" width="6.85546875" style="16" bestFit="1" customWidth="1"/>
    <col min="15118" max="15118" width="7" style="16" bestFit="1" customWidth="1"/>
    <col min="15119" max="15119" width="7.140625" style="16" bestFit="1"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8.5703125" style="16" customWidth="1"/>
    <col min="15363" max="15363" width="10.7109375" style="16" bestFit="1" customWidth="1"/>
    <col min="15364" max="15364" width="6.7109375" style="16" bestFit="1" customWidth="1"/>
    <col min="15365" max="15365" width="8.5703125" style="16" bestFit="1" customWidth="1"/>
    <col min="15366" max="15366" width="9.28515625" style="16" bestFit="1" customWidth="1"/>
    <col min="15367" max="15367" width="10.42578125" style="16" bestFit="1" customWidth="1"/>
    <col min="15368" max="15368" width="10.28515625" style="16" bestFit="1" customWidth="1"/>
    <col min="15369" max="15369" width="7.140625" style="16" bestFit="1" customWidth="1"/>
    <col min="15370" max="15370" width="7.42578125" style="16" customWidth="1"/>
    <col min="15371" max="15372" width="7" style="16" bestFit="1" customWidth="1"/>
    <col min="15373" max="15373" width="6.85546875" style="16" bestFit="1" customWidth="1"/>
    <col min="15374" max="15374" width="7" style="16" bestFit="1" customWidth="1"/>
    <col min="15375" max="15375" width="7.140625" style="16" bestFit="1"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8.5703125" style="16" customWidth="1"/>
    <col min="15619" max="15619" width="10.7109375" style="16" bestFit="1" customWidth="1"/>
    <col min="15620" max="15620" width="6.7109375" style="16" bestFit="1" customWidth="1"/>
    <col min="15621" max="15621" width="8.5703125" style="16" bestFit="1" customWidth="1"/>
    <col min="15622" max="15622" width="9.28515625" style="16" bestFit="1" customWidth="1"/>
    <col min="15623" max="15623" width="10.42578125" style="16" bestFit="1" customWidth="1"/>
    <col min="15624" max="15624" width="10.28515625" style="16" bestFit="1" customWidth="1"/>
    <col min="15625" max="15625" width="7.140625" style="16" bestFit="1" customWidth="1"/>
    <col min="15626" max="15626" width="7.42578125" style="16" customWidth="1"/>
    <col min="15627" max="15628" width="7" style="16" bestFit="1" customWidth="1"/>
    <col min="15629" max="15629" width="6.85546875" style="16" bestFit="1" customWidth="1"/>
    <col min="15630" max="15630" width="7" style="16" bestFit="1" customWidth="1"/>
    <col min="15631" max="15631" width="7.140625" style="16" bestFit="1"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8.5703125" style="16" customWidth="1"/>
    <col min="15875" max="15875" width="10.7109375" style="16" bestFit="1" customWidth="1"/>
    <col min="15876" max="15876" width="6.7109375" style="16" bestFit="1" customWidth="1"/>
    <col min="15877" max="15877" width="8.5703125" style="16" bestFit="1" customWidth="1"/>
    <col min="15878" max="15878" width="9.28515625" style="16" bestFit="1" customWidth="1"/>
    <col min="15879" max="15879" width="10.42578125" style="16" bestFit="1" customWidth="1"/>
    <col min="15880" max="15880" width="10.28515625" style="16" bestFit="1" customWidth="1"/>
    <col min="15881" max="15881" width="7.140625" style="16" bestFit="1" customWidth="1"/>
    <col min="15882" max="15882" width="7.42578125" style="16" customWidth="1"/>
    <col min="15883" max="15884" width="7" style="16" bestFit="1" customWidth="1"/>
    <col min="15885" max="15885" width="6.85546875" style="16" bestFit="1" customWidth="1"/>
    <col min="15886" max="15886" width="7" style="16" bestFit="1" customWidth="1"/>
    <col min="15887" max="15887" width="7.140625" style="16" bestFit="1"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8.5703125" style="16" customWidth="1"/>
    <col min="16131" max="16131" width="10.7109375" style="16" bestFit="1" customWidth="1"/>
    <col min="16132" max="16132" width="6.7109375" style="16" bestFit="1" customWidth="1"/>
    <col min="16133" max="16133" width="8.5703125" style="16" bestFit="1" customWidth="1"/>
    <col min="16134" max="16134" width="9.28515625" style="16" bestFit="1" customWidth="1"/>
    <col min="16135" max="16135" width="10.42578125" style="16" bestFit="1" customWidth="1"/>
    <col min="16136" max="16136" width="10.28515625" style="16" bestFit="1" customWidth="1"/>
    <col min="16137" max="16137" width="7.140625" style="16" bestFit="1" customWidth="1"/>
    <col min="16138" max="16138" width="7.42578125" style="16" customWidth="1"/>
    <col min="16139" max="16140" width="7" style="16" bestFit="1" customWidth="1"/>
    <col min="16141" max="16141" width="6.85546875" style="16" bestFit="1" customWidth="1"/>
    <col min="16142" max="16142" width="7" style="16" bestFit="1" customWidth="1"/>
    <col min="16143" max="16143" width="7.140625" style="16" bestFit="1"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67" t="s">
        <v>100</v>
      </c>
      <c r="B1" s="868"/>
      <c r="C1" s="868"/>
      <c r="D1" s="869"/>
      <c r="E1" s="868"/>
      <c r="F1" s="868"/>
      <c r="G1" s="867" t="s">
        <v>102</v>
      </c>
      <c r="H1" s="869"/>
      <c r="I1" s="869" t="s">
        <v>63</v>
      </c>
      <c r="J1" s="868"/>
      <c r="K1" s="868"/>
      <c r="L1" s="870"/>
      <c r="M1" s="870"/>
      <c r="N1" s="870"/>
      <c r="O1" s="870"/>
    </row>
    <row r="2" spans="1:15" s="1" customFormat="1" x14ac:dyDescent="0.2">
      <c r="A2" s="867" t="s">
        <v>103</v>
      </c>
      <c r="B2" s="868"/>
      <c r="C2" s="868"/>
      <c r="D2" s="869"/>
      <c r="E2" s="868"/>
      <c r="F2" s="868"/>
      <c r="G2" s="867" t="s">
        <v>104</v>
      </c>
      <c r="H2" s="869"/>
      <c r="I2" s="869" t="s">
        <v>105</v>
      </c>
      <c r="J2" s="868"/>
      <c r="K2" s="868"/>
      <c r="L2" s="870"/>
      <c r="M2" s="870"/>
      <c r="N2" s="870"/>
      <c r="O2" s="870"/>
    </row>
    <row r="3" spans="1:15" s="1" customFormat="1" x14ac:dyDescent="0.2">
      <c r="A3" s="867" t="s">
        <v>106</v>
      </c>
      <c r="B3" s="868"/>
      <c r="C3" s="868"/>
      <c r="D3" s="883" t="s">
        <v>354</v>
      </c>
      <c r="E3" s="868"/>
      <c r="F3" s="868"/>
      <c r="G3" s="867" t="s">
        <v>107</v>
      </c>
      <c r="H3" s="869"/>
      <c r="I3" s="869" t="s">
        <v>108</v>
      </c>
      <c r="J3" s="868"/>
      <c r="K3" s="868"/>
      <c r="L3" s="870"/>
      <c r="M3" s="870"/>
      <c r="N3" s="870"/>
      <c r="O3" s="870"/>
    </row>
    <row r="4" spans="1:15" s="1" customFormat="1" x14ac:dyDescent="0.2">
      <c r="A4" s="867" t="s">
        <v>109</v>
      </c>
      <c r="B4" s="868"/>
      <c r="C4" s="868"/>
      <c r="D4" s="869"/>
      <c r="E4" s="868"/>
      <c r="F4" s="868"/>
      <c r="G4" s="867" t="s">
        <v>110</v>
      </c>
      <c r="H4" s="869"/>
      <c r="I4" s="869" t="s">
        <v>111</v>
      </c>
      <c r="J4" s="868"/>
      <c r="K4" s="868"/>
      <c r="L4" s="870"/>
      <c r="M4" s="870"/>
      <c r="N4" s="870"/>
      <c r="O4" s="870"/>
    </row>
    <row r="5" spans="1:15" s="1" customFormat="1" x14ac:dyDescent="0.2">
      <c r="A5" s="867" t="s">
        <v>278</v>
      </c>
      <c r="B5" s="868"/>
      <c r="C5" s="868"/>
      <c r="D5" s="869" t="s">
        <v>355</v>
      </c>
      <c r="E5" s="868"/>
      <c r="F5" s="868"/>
      <c r="G5" s="867"/>
      <c r="H5" s="868"/>
      <c r="I5" s="869" t="s">
        <v>113</v>
      </c>
      <c r="J5" s="868"/>
      <c r="K5" s="868"/>
      <c r="L5" s="870"/>
      <c r="M5" s="870"/>
      <c r="N5" s="870"/>
      <c r="O5" s="870"/>
    </row>
    <row r="6" spans="1:15" s="1" customFormat="1" x14ac:dyDescent="0.2">
      <c r="A6" s="871" t="s">
        <v>114</v>
      </c>
      <c r="B6" s="872"/>
      <c r="C6" s="872"/>
      <c r="D6" s="868" t="s">
        <v>64</v>
      </c>
      <c r="E6" s="868"/>
      <c r="F6" s="868"/>
      <c r="G6" s="871" t="s">
        <v>115</v>
      </c>
      <c r="H6" s="871"/>
      <c r="I6" s="2" t="s">
        <v>116</v>
      </c>
      <c r="J6" s="888"/>
      <c r="K6" s="888"/>
      <c r="L6" s="888"/>
      <c r="M6" s="888"/>
      <c r="N6" s="888"/>
      <c r="O6" s="889"/>
    </row>
    <row r="7" spans="1:15" s="1" customFormat="1" ht="13.5" thickBot="1" x14ac:dyDescent="0.25">
      <c r="A7" s="3"/>
      <c r="B7" s="4"/>
      <c r="C7" s="5"/>
      <c r="D7" s="6"/>
      <c r="E7" s="6"/>
      <c r="F7" s="6"/>
      <c r="G7" s="6"/>
      <c r="H7" s="6"/>
      <c r="I7" s="6"/>
      <c r="J7" s="7"/>
      <c r="K7" s="8"/>
      <c r="L7" s="875" t="s">
        <v>223</v>
      </c>
      <c r="M7" s="875"/>
      <c r="N7" s="875"/>
      <c r="O7" s="875"/>
    </row>
    <row r="8" spans="1:15" s="11" customFormat="1" x14ac:dyDescent="0.2">
      <c r="A8" s="876" t="str">
        <f>I1</f>
        <v>Mr. Anil S. Gowarkar</v>
      </c>
      <c r="B8" s="877"/>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39200</v>
      </c>
      <c r="D9" s="14">
        <f>+C9</f>
        <v>39200</v>
      </c>
      <c r="E9" s="14">
        <f>+D9</f>
        <v>39200</v>
      </c>
      <c r="F9" s="14">
        <f>+E9</f>
        <v>39200</v>
      </c>
      <c r="G9" s="14">
        <v>40400</v>
      </c>
      <c r="H9" s="14">
        <v>40400</v>
      </c>
      <c r="I9" s="14">
        <v>40400</v>
      </c>
      <c r="J9" s="14">
        <v>40400</v>
      </c>
      <c r="K9" s="14">
        <v>40400</v>
      </c>
      <c r="L9" s="14">
        <v>40400</v>
      </c>
      <c r="M9" s="14">
        <v>40400</v>
      </c>
      <c r="N9" s="14">
        <v>40400</v>
      </c>
      <c r="O9" s="15">
        <f>SUM(C9:N9)</f>
        <v>480000</v>
      </c>
    </row>
    <row r="10" spans="1:15" ht="15" x14ac:dyDescent="0.2">
      <c r="A10" s="12"/>
      <c r="B10" s="13" t="s">
        <v>119</v>
      </c>
      <c r="C10" s="17">
        <v>0</v>
      </c>
      <c r="D10" s="17">
        <f t="shared" ref="D10:D35" si="0">+C10</f>
        <v>0</v>
      </c>
      <c r="E10" s="17">
        <f>+D10</f>
        <v>0</v>
      </c>
      <c r="F10" s="17">
        <f>+E10</f>
        <v>0</v>
      </c>
      <c r="G10" s="17">
        <f>+F10</f>
        <v>0</v>
      </c>
      <c r="H10" s="17">
        <v>0</v>
      </c>
      <c r="I10" s="17">
        <f t="shared" ref="I10:N10" si="1">+H10</f>
        <v>0</v>
      </c>
      <c r="J10" s="17">
        <f t="shared" si="1"/>
        <v>0</v>
      </c>
      <c r="K10" s="17">
        <f t="shared" si="1"/>
        <v>0</v>
      </c>
      <c r="L10" s="17">
        <f t="shared" si="1"/>
        <v>0</v>
      </c>
      <c r="M10" s="17">
        <f t="shared" si="1"/>
        <v>0</v>
      </c>
      <c r="N10" s="17">
        <f t="shared" si="1"/>
        <v>0</v>
      </c>
      <c r="O10" s="18">
        <f>SUM(C10:N10)</f>
        <v>0</v>
      </c>
    </row>
    <row r="11" spans="1:15" ht="15" x14ac:dyDescent="0.2">
      <c r="A11" s="12"/>
      <c r="B11" s="13" t="s">
        <v>120</v>
      </c>
      <c r="C11" s="17">
        <v>1960</v>
      </c>
      <c r="D11" s="17">
        <v>2744</v>
      </c>
      <c r="E11" s="17">
        <f t="shared" ref="E11:G35" si="2">+D11</f>
        <v>2744</v>
      </c>
      <c r="F11" s="17">
        <f t="shared" si="2"/>
        <v>2744</v>
      </c>
      <c r="G11" s="17">
        <f t="shared" si="2"/>
        <v>2744</v>
      </c>
      <c r="H11" s="17">
        <v>2828</v>
      </c>
      <c r="I11" s="17">
        <v>2828</v>
      </c>
      <c r="J11" s="17">
        <v>3636</v>
      </c>
      <c r="K11" s="17">
        <v>3636</v>
      </c>
      <c r="L11" s="17">
        <v>3636</v>
      </c>
      <c r="M11" s="17">
        <v>3636</v>
      </c>
      <c r="N11" s="17">
        <v>3636</v>
      </c>
      <c r="O11" s="18">
        <f>SUM(C11:N11)</f>
        <v>36772</v>
      </c>
    </row>
    <row r="12" spans="1:15" ht="15" hidden="1" x14ac:dyDescent="0.2">
      <c r="A12" s="12"/>
      <c r="B12" s="13" t="s">
        <v>121</v>
      </c>
      <c r="C12" s="17">
        <v>0</v>
      </c>
      <c r="D12" s="17">
        <f t="shared" si="0"/>
        <v>0</v>
      </c>
      <c r="E12" s="17">
        <f t="shared" si="2"/>
        <v>0</v>
      </c>
      <c r="F12" s="17">
        <f t="shared" si="2"/>
        <v>0</v>
      </c>
      <c r="G12" s="17">
        <f t="shared" si="2"/>
        <v>0</v>
      </c>
      <c r="H12" s="17">
        <v>0</v>
      </c>
      <c r="I12" s="17">
        <f t="shared" ref="I12:N13" si="3">+H12</f>
        <v>0</v>
      </c>
      <c r="J12" s="17">
        <f t="shared" si="3"/>
        <v>0</v>
      </c>
      <c r="K12" s="17">
        <f t="shared" si="3"/>
        <v>0</v>
      </c>
      <c r="L12" s="17">
        <f t="shared" si="3"/>
        <v>0</v>
      </c>
      <c r="M12" s="17">
        <f t="shared" si="3"/>
        <v>0</v>
      </c>
      <c r="N12" s="17">
        <f t="shared" si="3"/>
        <v>0</v>
      </c>
      <c r="O12" s="18">
        <f>SUM(C12:N12)</f>
        <v>0</v>
      </c>
    </row>
    <row r="13" spans="1:15" ht="15" hidden="1" x14ac:dyDescent="0.2">
      <c r="A13" s="12"/>
      <c r="B13" s="13" t="s">
        <v>122</v>
      </c>
      <c r="C13" s="17">
        <v>0</v>
      </c>
      <c r="D13" s="17">
        <f t="shared" si="0"/>
        <v>0</v>
      </c>
      <c r="E13" s="17">
        <f t="shared" si="2"/>
        <v>0</v>
      </c>
      <c r="F13" s="17">
        <f t="shared" si="2"/>
        <v>0</v>
      </c>
      <c r="G13" s="17">
        <f t="shared" si="2"/>
        <v>0</v>
      </c>
      <c r="H13" s="17">
        <v>0</v>
      </c>
      <c r="I13" s="17">
        <f t="shared" si="3"/>
        <v>0</v>
      </c>
      <c r="J13" s="17">
        <f t="shared" si="3"/>
        <v>0</v>
      </c>
      <c r="K13" s="17">
        <f t="shared" si="3"/>
        <v>0</v>
      </c>
      <c r="L13" s="17">
        <f t="shared" si="3"/>
        <v>0</v>
      </c>
      <c r="M13" s="17">
        <f t="shared" si="3"/>
        <v>0</v>
      </c>
      <c r="N13" s="17">
        <f t="shared" si="3"/>
        <v>0</v>
      </c>
      <c r="O13" s="18">
        <f t="shared" ref="O13:O37" si="4">SUM(C13:N13)</f>
        <v>0</v>
      </c>
    </row>
    <row r="14" spans="1:15" ht="15" x14ac:dyDescent="0.2">
      <c r="A14" s="12"/>
      <c r="B14" s="13" t="s">
        <v>123</v>
      </c>
      <c r="C14" s="17">
        <v>3780</v>
      </c>
      <c r="D14" s="17">
        <v>3852</v>
      </c>
      <c r="E14" s="17">
        <v>3852</v>
      </c>
      <c r="F14" s="17">
        <v>3852</v>
      </c>
      <c r="G14" s="17">
        <v>3852</v>
      </c>
      <c r="H14" s="17">
        <v>3852</v>
      </c>
      <c r="I14" s="17">
        <v>3852</v>
      </c>
      <c r="J14" s="17">
        <v>3924</v>
      </c>
      <c r="K14" s="17">
        <v>3924</v>
      </c>
      <c r="L14" s="17">
        <v>3924</v>
      </c>
      <c r="M14" s="17">
        <v>3924</v>
      </c>
      <c r="N14" s="17">
        <v>3924</v>
      </c>
      <c r="O14" s="18">
        <f t="shared" si="4"/>
        <v>46512</v>
      </c>
    </row>
    <row r="15" spans="1:15" ht="15" hidden="1" x14ac:dyDescent="0.2">
      <c r="A15" s="12"/>
      <c r="B15" s="13" t="s">
        <v>124</v>
      </c>
      <c r="C15" s="17">
        <v>0</v>
      </c>
      <c r="D15" s="17">
        <f t="shared" si="0"/>
        <v>0</v>
      </c>
      <c r="E15" s="17">
        <f t="shared" si="2"/>
        <v>0</v>
      </c>
      <c r="F15" s="17">
        <f t="shared" si="2"/>
        <v>0</v>
      </c>
      <c r="G15" s="17">
        <f t="shared" si="2"/>
        <v>0</v>
      </c>
      <c r="H15" s="17">
        <v>0</v>
      </c>
      <c r="I15" s="17">
        <f t="shared" ref="I15:N21" si="5">+H15</f>
        <v>0</v>
      </c>
      <c r="J15" s="17">
        <f t="shared" si="5"/>
        <v>0</v>
      </c>
      <c r="K15" s="17">
        <f t="shared" si="5"/>
        <v>0</v>
      </c>
      <c r="L15" s="17">
        <f t="shared" si="5"/>
        <v>0</v>
      </c>
      <c r="M15" s="17">
        <f t="shared" si="5"/>
        <v>0</v>
      </c>
      <c r="N15" s="17">
        <f t="shared" si="5"/>
        <v>0</v>
      </c>
      <c r="O15" s="18">
        <f t="shared" si="4"/>
        <v>0</v>
      </c>
    </row>
    <row r="16" spans="1:15" ht="15" hidden="1" x14ac:dyDescent="0.2">
      <c r="A16" s="12"/>
      <c r="B16" s="13" t="s">
        <v>125</v>
      </c>
      <c r="C16" s="17">
        <v>0</v>
      </c>
      <c r="D16" s="17">
        <f t="shared" si="0"/>
        <v>0</v>
      </c>
      <c r="E16" s="17">
        <f t="shared" si="2"/>
        <v>0</v>
      </c>
      <c r="F16" s="17">
        <f t="shared" si="2"/>
        <v>0</v>
      </c>
      <c r="G16" s="17">
        <f t="shared" si="2"/>
        <v>0</v>
      </c>
      <c r="H16" s="17">
        <v>0</v>
      </c>
      <c r="I16" s="17">
        <f t="shared" si="5"/>
        <v>0</v>
      </c>
      <c r="J16" s="17">
        <f t="shared" si="5"/>
        <v>0</v>
      </c>
      <c r="K16" s="17">
        <f t="shared" si="5"/>
        <v>0</v>
      </c>
      <c r="L16" s="17">
        <f t="shared" si="5"/>
        <v>0</v>
      </c>
      <c r="M16" s="17">
        <f t="shared" si="5"/>
        <v>0</v>
      </c>
      <c r="N16" s="17">
        <f t="shared" si="5"/>
        <v>0</v>
      </c>
      <c r="O16" s="18">
        <f t="shared" si="4"/>
        <v>0</v>
      </c>
    </row>
    <row r="17" spans="1:18" ht="15" hidden="1" x14ac:dyDescent="0.2">
      <c r="A17" s="12"/>
      <c r="B17" s="13" t="s">
        <v>126</v>
      </c>
      <c r="C17" s="17">
        <v>0</v>
      </c>
      <c r="D17" s="17">
        <f t="shared" si="0"/>
        <v>0</v>
      </c>
      <c r="E17" s="17">
        <f t="shared" si="2"/>
        <v>0</v>
      </c>
      <c r="F17" s="17">
        <f t="shared" si="2"/>
        <v>0</v>
      </c>
      <c r="G17" s="17">
        <f t="shared" si="2"/>
        <v>0</v>
      </c>
      <c r="H17" s="17">
        <v>0</v>
      </c>
      <c r="I17" s="17">
        <f t="shared" si="5"/>
        <v>0</v>
      </c>
      <c r="J17" s="17">
        <f t="shared" si="5"/>
        <v>0</v>
      </c>
      <c r="K17" s="17">
        <f t="shared" si="5"/>
        <v>0</v>
      </c>
      <c r="L17" s="17">
        <f t="shared" si="5"/>
        <v>0</v>
      </c>
      <c r="M17" s="17">
        <f t="shared" si="5"/>
        <v>0</v>
      </c>
      <c r="N17" s="17">
        <f t="shared" si="5"/>
        <v>0</v>
      </c>
      <c r="O17" s="18">
        <f t="shared" si="4"/>
        <v>0</v>
      </c>
    </row>
    <row r="18" spans="1:18" ht="15.75" x14ac:dyDescent="0.25">
      <c r="A18" s="12"/>
      <c r="B18" s="13" t="s">
        <v>127</v>
      </c>
      <c r="C18" s="17">
        <v>0</v>
      </c>
      <c r="D18" s="17">
        <f t="shared" si="0"/>
        <v>0</v>
      </c>
      <c r="E18" s="17">
        <f t="shared" si="2"/>
        <v>0</v>
      </c>
      <c r="F18" s="17">
        <f t="shared" si="2"/>
        <v>0</v>
      </c>
      <c r="G18" s="17">
        <f t="shared" si="2"/>
        <v>0</v>
      </c>
      <c r="H18" s="17">
        <v>0</v>
      </c>
      <c r="I18" s="17">
        <f t="shared" si="5"/>
        <v>0</v>
      </c>
      <c r="J18" s="17">
        <f t="shared" si="5"/>
        <v>0</v>
      </c>
      <c r="K18" s="17">
        <f t="shared" si="5"/>
        <v>0</v>
      </c>
      <c r="L18" s="17">
        <f t="shared" si="5"/>
        <v>0</v>
      </c>
      <c r="M18" s="17">
        <f t="shared" si="5"/>
        <v>0</v>
      </c>
      <c r="N18" s="17">
        <f t="shared" si="5"/>
        <v>0</v>
      </c>
      <c r="O18" s="18">
        <f t="shared" si="4"/>
        <v>0</v>
      </c>
      <c r="R18" s="200"/>
    </row>
    <row r="19" spans="1:18" ht="15.75" x14ac:dyDescent="0.25">
      <c r="A19" s="12"/>
      <c r="B19" s="13" t="s">
        <v>128</v>
      </c>
      <c r="C19" s="17">
        <v>0</v>
      </c>
      <c r="D19" s="17">
        <f t="shared" si="0"/>
        <v>0</v>
      </c>
      <c r="E19" s="17">
        <f t="shared" si="2"/>
        <v>0</v>
      </c>
      <c r="F19" s="17">
        <f t="shared" si="2"/>
        <v>0</v>
      </c>
      <c r="G19" s="17">
        <f t="shared" si="2"/>
        <v>0</v>
      </c>
      <c r="H19" s="17">
        <v>0</v>
      </c>
      <c r="I19" s="17">
        <f t="shared" si="5"/>
        <v>0</v>
      </c>
      <c r="J19" s="17">
        <f t="shared" si="5"/>
        <v>0</v>
      </c>
      <c r="K19" s="17">
        <f t="shared" si="5"/>
        <v>0</v>
      </c>
      <c r="L19" s="17">
        <f t="shared" si="5"/>
        <v>0</v>
      </c>
      <c r="M19" s="17">
        <f t="shared" si="5"/>
        <v>0</v>
      </c>
      <c r="N19" s="17">
        <f t="shared" si="5"/>
        <v>0</v>
      </c>
      <c r="O19" s="18">
        <f t="shared" si="4"/>
        <v>0</v>
      </c>
      <c r="R19" s="200"/>
    </row>
    <row r="20" spans="1:18" ht="15" customHeight="1" x14ac:dyDescent="0.25">
      <c r="A20" s="12"/>
      <c r="B20" s="13" t="s">
        <v>129</v>
      </c>
      <c r="C20" s="17">
        <v>0</v>
      </c>
      <c r="D20" s="17">
        <f t="shared" si="0"/>
        <v>0</v>
      </c>
      <c r="E20" s="17">
        <f t="shared" si="2"/>
        <v>0</v>
      </c>
      <c r="F20" s="17">
        <f t="shared" si="2"/>
        <v>0</v>
      </c>
      <c r="G20" s="17">
        <v>49500</v>
      </c>
      <c r="H20" s="17">
        <v>0</v>
      </c>
      <c r="I20" s="17">
        <f t="shared" si="5"/>
        <v>0</v>
      </c>
      <c r="J20" s="17">
        <f t="shared" si="5"/>
        <v>0</v>
      </c>
      <c r="K20" s="17">
        <f t="shared" si="5"/>
        <v>0</v>
      </c>
      <c r="L20" s="17">
        <f t="shared" si="5"/>
        <v>0</v>
      </c>
      <c r="M20" s="17">
        <f t="shared" si="5"/>
        <v>0</v>
      </c>
      <c r="N20" s="17">
        <f t="shared" si="5"/>
        <v>0</v>
      </c>
      <c r="O20" s="18">
        <f t="shared" si="4"/>
        <v>49500</v>
      </c>
      <c r="R20" s="200"/>
    </row>
    <row r="21" spans="1:18" ht="15" hidden="1" customHeight="1" x14ac:dyDescent="0.25">
      <c r="A21" s="878" t="s">
        <v>130</v>
      </c>
      <c r="B21" s="19" t="s">
        <v>131</v>
      </c>
      <c r="C21" s="17">
        <v>0</v>
      </c>
      <c r="D21" s="17">
        <f t="shared" si="0"/>
        <v>0</v>
      </c>
      <c r="E21" s="17">
        <f t="shared" si="2"/>
        <v>0</v>
      </c>
      <c r="F21" s="17">
        <f t="shared" si="2"/>
        <v>0</v>
      </c>
      <c r="G21" s="17">
        <f t="shared" si="2"/>
        <v>0</v>
      </c>
      <c r="H21" s="17">
        <v>0</v>
      </c>
      <c r="I21" s="17">
        <f t="shared" si="5"/>
        <v>0</v>
      </c>
      <c r="J21" s="17">
        <f t="shared" si="5"/>
        <v>0</v>
      </c>
      <c r="K21" s="17">
        <f t="shared" si="5"/>
        <v>0</v>
      </c>
      <c r="L21" s="17">
        <f t="shared" si="5"/>
        <v>0</v>
      </c>
      <c r="M21" s="17">
        <f t="shared" si="5"/>
        <v>0</v>
      </c>
      <c r="N21" s="17">
        <f t="shared" si="5"/>
        <v>0</v>
      </c>
      <c r="O21" s="18">
        <f t="shared" si="4"/>
        <v>0</v>
      </c>
      <c r="R21" s="200"/>
    </row>
    <row r="22" spans="1:18" ht="15" customHeight="1" x14ac:dyDescent="0.25">
      <c r="A22" s="879"/>
      <c r="B22" s="19" t="s">
        <v>132</v>
      </c>
      <c r="C22" s="17">
        <v>0</v>
      </c>
      <c r="D22" s="17">
        <f t="shared" si="0"/>
        <v>0</v>
      </c>
      <c r="E22" s="17">
        <f t="shared" si="2"/>
        <v>0</v>
      </c>
      <c r="F22" s="17">
        <f t="shared" si="2"/>
        <v>0</v>
      </c>
      <c r="G22" s="17">
        <f t="shared" si="2"/>
        <v>0</v>
      </c>
      <c r="H22" s="17">
        <v>0</v>
      </c>
      <c r="I22" s="17">
        <f>+H22</f>
        <v>0</v>
      </c>
      <c r="J22" s="17">
        <v>6908</v>
      </c>
      <c r="K22" s="17">
        <v>0</v>
      </c>
      <c r="L22" s="17">
        <v>0</v>
      </c>
      <c r="M22" s="17">
        <v>0</v>
      </c>
      <c r="N22" s="17">
        <v>0</v>
      </c>
      <c r="O22" s="18">
        <f t="shared" si="4"/>
        <v>6908</v>
      </c>
      <c r="R22" s="200"/>
    </row>
    <row r="23" spans="1:18" ht="15" hidden="1" customHeight="1" x14ac:dyDescent="0.25">
      <c r="A23" s="879"/>
      <c r="B23" s="19" t="s">
        <v>133</v>
      </c>
      <c r="C23" s="17">
        <v>0</v>
      </c>
      <c r="D23" s="17">
        <f t="shared" si="0"/>
        <v>0</v>
      </c>
      <c r="E23" s="17">
        <f t="shared" si="2"/>
        <v>0</v>
      </c>
      <c r="F23" s="17">
        <f t="shared" si="2"/>
        <v>0</v>
      </c>
      <c r="G23" s="17">
        <f t="shared" si="2"/>
        <v>0</v>
      </c>
      <c r="H23" s="17">
        <v>0</v>
      </c>
      <c r="I23" s="17">
        <f t="shared" ref="I23:N35" si="6">+H23</f>
        <v>0</v>
      </c>
      <c r="J23" s="17">
        <f t="shared" si="6"/>
        <v>0</v>
      </c>
      <c r="K23" s="17">
        <f t="shared" si="6"/>
        <v>0</v>
      </c>
      <c r="L23" s="17">
        <f t="shared" si="6"/>
        <v>0</v>
      </c>
      <c r="M23" s="17">
        <f t="shared" si="6"/>
        <v>0</v>
      </c>
      <c r="N23" s="17">
        <f t="shared" si="6"/>
        <v>0</v>
      </c>
      <c r="O23" s="18">
        <f t="shared" si="4"/>
        <v>0</v>
      </c>
      <c r="R23" s="200"/>
    </row>
    <row r="24" spans="1:18" ht="15" hidden="1" customHeight="1" x14ac:dyDescent="0.25">
      <c r="A24" s="879"/>
      <c r="B24" s="19" t="s">
        <v>134</v>
      </c>
      <c r="C24" s="17">
        <v>0</v>
      </c>
      <c r="D24" s="17">
        <f t="shared" si="0"/>
        <v>0</v>
      </c>
      <c r="E24" s="17">
        <f t="shared" si="2"/>
        <v>0</v>
      </c>
      <c r="F24" s="17">
        <f t="shared" si="2"/>
        <v>0</v>
      </c>
      <c r="G24" s="17">
        <f t="shared" si="2"/>
        <v>0</v>
      </c>
      <c r="H24" s="17">
        <v>0</v>
      </c>
      <c r="I24" s="17">
        <f t="shared" si="6"/>
        <v>0</v>
      </c>
      <c r="J24" s="17">
        <f t="shared" si="6"/>
        <v>0</v>
      </c>
      <c r="K24" s="17">
        <f t="shared" si="6"/>
        <v>0</v>
      </c>
      <c r="L24" s="17">
        <f t="shared" si="6"/>
        <v>0</v>
      </c>
      <c r="M24" s="17">
        <f t="shared" si="6"/>
        <v>0</v>
      </c>
      <c r="N24" s="17">
        <f t="shared" si="6"/>
        <v>0</v>
      </c>
      <c r="O24" s="18">
        <f t="shared" si="4"/>
        <v>0</v>
      </c>
      <c r="R24" s="200"/>
    </row>
    <row r="25" spans="1:18" ht="15" hidden="1" customHeight="1" x14ac:dyDescent="0.25">
      <c r="A25" s="879"/>
      <c r="B25" s="19" t="s">
        <v>135</v>
      </c>
      <c r="C25" s="17">
        <v>0</v>
      </c>
      <c r="D25" s="17">
        <f t="shared" si="0"/>
        <v>0</v>
      </c>
      <c r="E25" s="17">
        <f t="shared" si="2"/>
        <v>0</v>
      </c>
      <c r="F25" s="17">
        <f t="shared" si="2"/>
        <v>0</v>
      </c>
      <c r="G25" s="17">
        <f t="shared" si="2"/>
        <v>0</v>
      </c>
      <c r="H25" s="17">
        <v>0</v>
      </c>
      <c r="I25" s="17">
        <f t="shared" si="6"/>
        <v>0</v>
      </c>
      <c r="J25" s="17">
        <f t="shared" si="6"/>
        <v>0</v>
      </c>
      <c r="K25" s="17">
        <f t="shared" si="6"/>
        <v>0</v>
      </c>
      <c r="L25" s="17">
        <f t="shared" si="6"/>
        <v>0</v>
      </c>
      <c r="M25" s="17">
        <f t="shared" si="6"/>
        <v>0</v>
      </c>
      <c r="N25" s="17">
        <f t="shared" si="6"/>
        <v>0</v>
      </c>
      <c r="O25" s="18">
        <f t="shared" si="4"/>
        <v>0</v>
      </c>
      <c r="R25" s="200"/>
    </row>
    <row r="26" spans="1:18" ht="15" hidden="1" customHeight="1" x14ac:dyDescent="0.25">
      <c r="A26" s="879"/>
      <c r="B26" s="19" t="s">
        <v>136</v>
      </c>
      <c r="C26" s="17">
        <v>0</v>
      </c>
      <c r="D26" s="17">
        <f t="shared" si="0"/>
        <v>0</v>
      </c>
      <c r="E26" s="17">
        <f t="shared" si="2"/>
        <v>0</v>
      </c>
      <c r="F26" s="17">
        <f t="shared" si="2"/>
        <v>0</v>
      </c>
      <c r="G26" s="17">
        <f t="shared" si="2"/>
        <v>0</v>
      </c>
      <c r="H26" s="17">
        <v>0</v>
      </c>
      <c r="I26" s="17">
        <f t="shared" si="6"/>
        <v>0</v>
      </c>
      <c r="J26" s="17">
        <f t="shared" si="6"/>
        <v>0</v>
      </c>
      <c r="K26" s="17">
        <f t="shared" si="6"/>
        <v>0</v>
      </c>
      <c r="L26" s="17">
        <f t="shared" si="6"/>
        <v>0</v>
      </c>
      <c r="M26" s="17">
        <f t="shared" si="6"/>
        <v>0</v>
      </c>
      <c r="N26" s="17">
        <f t="shared" si="6"/>
        <v>0</v>
      </c>
      <c r="O26" s="18">
        <f t="shared" si="4"/>
        <v>0</v>
      </c>
      <c r="R26" s="200"/>
    </row>
    <row r="27" spans="1:18" ht="15" hidden="1" customHeight="1" x14ac:dyDescent="0.25">
      <c r="A27" s="879"/>
      <c r="B27" s="19" t="s">
        <v>137</v>
      </c>
      <c r="C27" s="17">
        <v>0</v>
      </c>
      <c r="D27" s="17">
        <f t="shared" si="0"/>
        <v>0</v>
      </c>
      <c r="E27" s="17">
        <f t="shared" si="2"/>
        <v>0</v>
      </c>
      <c r="F27" s="17">
        <f t="shared" si="2"/>
        <v>0</v>
      </c>
      <c r="G27" s="17">
        <f t="shared" si="2"/>
        <v>0</v>
      </c>
      <c r="H27" s="17">
        <v>0</v>
      </c>
      <c r="I27" s="17">
        <f t="shared" si="6"/>
        <v>0</v>
      </c>
      <c r="J27" s="17">
        <f t="shared" si="6"/>
        <v>0</v>
      </c>
      <c r="K27" s="17">
        <f t="shared" si="6"/>
        <v>0</v>
      </c>
      <c r="L27" s="17">
        <f t="shared" si="6"/>
        <v>0</v>
      </c>
      <c r="M27" s="17">
        <f t="shared" si="6"/>
        <v>0</v>
      </c>
      <c r="N27" s="17">
        <f t="shared" si="6"/>
        <v>0</v>
      </c>
      <c r="O27" s="18">
        <f t="shared" si="4"/>
        <v>0</v>
      </c>
      <c r="R27" s="200"/>
    </row>
    <row r="28" spans="1:18" ht="15" hidden="1" customHeight="1" x14ac:dyDescent="0.25">
      <c r="A28" s="879"/>
      <c r="B28" s="19" t="s">
        <v>138</v>
      </c>
      <c r="C28" s="17">
        <v>0</v>
      </c>
      <c r="D28" s="17">
        <f t="shared" si="0"/>
        <v>0</v>
      </c>
      <c r="E28" s="17">
        <f t="shared" si="2"/>
        <v>0</v>
      </c>
      <c r="F28" s="17">
        <f t="shared" si="2"/>
        <v>0</v>
      </c>
      <c r="G28" s="17">
        <f t="shared" si="2"/>
        <v>0</v>
      </c>
      <c r="H28" s="17">
        <v>0</v>
      </c>
      <c r="I28" s="17">
        <f t="shared" si="6"/>
        <v>0</v>
      </c>
      <c r="J28" s="17">
        <f t="shared" si="6"/>
        <v>0</v>
      </c>
      <c r="K28" s="17">
        <f t="shared" si="6"/>
        <v>0</v>
      </c>
      <c r="L28" s="17">
        <f t="shared" si="6"/>
        <v>0</v>
      </c>
      <c r="M28" s="17">
        <f t="shared" si="6"/>
        <v>0</v>
      </c>
      <c r="N28" s="17">
        <f t="shared" si="6"/>
        <v>0</v>
      </c>
      <c r="O28" s="18">
        <f t="shared" si="4"/>
        <v>0</v>
      </c>
      <c r="R28" s="200"/>
    </row>
    <row r="29" spans="1:18" ht="15" hidden="1" customHeight="1" x14ac:dyDescent="0.25">
      <c r="A29" s="879"/>
      <c r="B29" s="19" t="s">
        <v>139</v>
      </c>
      <c r="C29" s="17">
        <v>0</v>
      </c>
      <c r="D29" s="17">
        <f t="shared" si="0"/>
        <v>0</v>
      </c>
      <c r="E29" s="17">
        <f t="shared" si="2"/>
        <v>0</v>
      </c>
      <c r="F29" s="17">
        <f t="shared" si="2"/>
        <v>0</v>
      </c>
      <c r="G29" s="17">
        <f t="shared" si="2"/>
        <v>0</v>
      </c>
      <c r="H29" s="17">
        <v>0</v>
      </c>
      <c r="I29" s="17">
        <f t="shared" si="6"/>
        <v>0</v>
      </c>
      <c r="J29" s="17">
        <f t="shared" si="6"/>
        <v>0</v>
      </c>
      <c r="K29" s="17">
        <f t="shared" si="6"/>
        <v>0</v>
      </c>
      <c r="L29" s="17">
        <f t="shared" si="6"/>
        <v>0</v>
      </c>
      <c r="M29" s="17">
        <f t="shared" si="6"/>
        <v>0</v>
      </c>
      <c r="N29" s="17">
        <f t="shared" si="6"/>
        <v>0</v>
      </c>
      <c r="O29" s="18">
        <f t="shared" si="4"/>
        <v>0</v>
      </c>
      <c r="R29" s="200"/>
    </row>
    <row r="30" spans="1:18" ht="15" hidden="1" customHeight="1" x14ac:dyDescent="0.25">
      <c r="A30" s="879"/>
      <c r="B30" s="19" t="s">
        <v>140</v>
      </c>
      <c r="C30" s="17">
        <v>0</v>
      </c>
      <c r="D30" s="17">
        <f t="shared" si="0"/>
        <v>0</v>
      </c>
      <c r="E30" s="17">
        <f t="shared" si="2"/>
        <v>0</v>
      </c>
      <c r="F30" s="17">
        <f t="shared" si="2"/>
        <v>0</v>
      </c>
      <c r="G30" s="17">
        <f t="shared" si="2"/>
        <v>0</v>
      </c>
      <c r="H30" s="17">
        <v>0</v>
      </c>
      <c r="I30" s="17">
        <f t="shared" si="6"/>
        <v>0</v>
      </c>
      <c r="J30" s="17">
        <f t="shared" si="6"/>
        <v>0</v>
      </c>
      <c r="K30" s="17">
        <f t="shared" si="6"/>
        <v>0</v>
      </c>
      <c r="L30" s="17">
        <f t="shared" si="6"/>
        <v>0</v>
      </c>
      <c r="M30" s="17">
        <f t="shared" si="6"/>
        <v>0</v>
      </c>
      <c r="N30" s="17">
        <f t="shared" si="6"/>
        <v>0</v>
      </c>
      <c r="O30" s="18">
        <f t="shared" si="4"/>
        <v>0</v>
      </c>
      <c r="R30" s="200"/>
    </row>
    <row r="31" spans="1:18" ht="15" hidden="1" customHeight="1" x14ac:dyDescent="0.25">
      <c r="A31" s="879"/>
      <c r="B31" s="19" t="s">
        <v>225</v>
      </c>
      <c r="C31" s="17">
        <v>0</v>
      </c>
      <c r="D31" s="17">
        <f t="shared" si="0"/>
        <v>0</v>
      </c>
      <c r="E31" s="17">
        <f t="shared" si="2"/>
        <v>0</v>
      </c>
      <c r="F31" s="17">
        <f t="shared" si="2"/>
        <v>0</v>
      </c>
      <c r="G31" s="17">
        <f t="shared" si="2"/>
        <v>0</v>
      </c>
      <c r="H31" s="17">
        <v>0</v>
      </c>
      <c r="I31" s="17">
        <f t="shared" si="6"/>
        <v>0</v>
      </c>
      <c r="J31" s="17">
        <f t="shared" si="6"/>
        <v>0</v>
      </c>
      <c r="K31" s="17">
        <f t="shared" si="6"/>
        <v>0</v>
      </c>
      <c r="L31" s="17">
        <f t="shared" si="6"/>
        <v>0</v>
      </c>
      <c r="M31" s="17">
        <f t="shared" si="6"/>
        <v>0</v>
      </c>
      <c r="N31" s="17">
        <f t="shared" si="6"/>
        <v>0</v>
      </c>
      <c r="O31" s="18">
        <f t="shared" si="4"/>
        <v>0</v>
      </c>
      <c r="R31" s="200"/>
    </row>
    <row r="32" spans="1:18" ht="15" customHeight="1" x14ac:dyDescent="0.25">
      <c r="A32" s="879"/>
      <c r="B32" s="21" t="s">
        <v>142</v>
      </c>
      <c r="C32" s="17">
        <v>0</v>
      </c>
      <c r="D32" s="17">
        <f t="shared" si="0"/>
        <v>0</v>
      </c>
      <c r="E32" s="17">
        <f t="shared" si="2"/>
        <v>0</v>
      </c>
      <c r="F32" s="17">
        <f t="shared" si="2"/>
        <v>0</v>
      </c>
      <c r="G32" s="17">
        <f t="shared" si="2"/>
        <v>0</v>
      </c>
      <c r="H32" s="17">
        <v>0</v>
      </c>
      <c r="I32" s="17">
        <f t="shared" si="6"/>
        <v>0</v>
      </c>
      <c r="J32" s="17">
        <f t="shared" si="6"/>
        <v>0</v>
      </c>
      <c r="K32" s="17">
        <f t="shared" si="6"/>
        <v>0</v>
      </c>
      <c r="L32" s="17">
        <f t="shared" si="6"/>
        <v>0</v>
      </c>
      <c r="M32" s="17">
        <f t="shared" si="6"/>
        <v>0</v>
      </c>
      <c r="N32" s="17">
        <f t="shared" si="6"/>
        <v>0</v>
      </c>
      <c r="O32" s="18">
        <f t="shared" si="4"/>
        <v>0</v>
      </c>
      <c r="R32" s="200"/>
    </row>
    <row r="33" spans="1:18" ht="15" hidden="1" customHeight="1" x14ac:dyDescent="0.25">
      <c r="A33" s="880"/>
      <c r="B33" s="19" t="s">
        <v>226</v>
      </c>
      <c r="C33" s="17">
        <v>0</v>
      </c>
      <c r="D33" s="17">
        <f t="shared" si="0"/>
        <v>0</v>
      </c>
      <c r="E33" s="17">
        <f t="shared" si="2"/>
        <v>0</v>
      </c>
      <c r="F33" s="17">
        <f t="shared" si="2"/>
        <v>0</v>
      </c>
      <c r="G33" s="17">
        <f t="shared" si="2"/>
        <v>0</v>
      </c>
      <c r="H33" s="17">
        <v>0</v>
      </c>
      <c r="I33" s="17">
        <f t="shared" si="6"/>
        <v>0</v>
      </c>
      <c r="J33" s="17">
        <f t="shared" si="6"/>
        <v>0</v>
      </c>
      <c r="K33" s="17">
        <f t="shared" si="6"/>
        <v>0</v>
      </c>
      <c r="L33" s="17">
        <f t="shared" si="6"/>
        <v>0</v>
      </c>
      <c r="M33" s="17">
        <f t="shared" si="6"/>
        <v>0</v>
      </c>
      <c r="N33" s="17">
        <f t="shared" si="6"/>
        <v>0</v>
      </c>
      <c r="O33" s="18">
        <f t="shared" si="4"/>
        <v>0</v>
      </c>
      <c r="R33" s="200"/>
    </row>
    <row r="34" spans="1:18" ht="15" customHeight="1" x14ac:dyDescent="0.25">
      <c r="A34" s="201"/>
      <c r="B34" s="202" t="s">
        <v>356</v>
      </c>
      <c r="C34" s="17">
        <v>0</v>
      </c>
      <c r="D34" s="17">
        <f t="shared" si="0"/>
        <v>0</v>
      </c>
      <c r="E34" s="17">
        <f t="shared" si="2"/>
        <v>0</v>
      </c>
      <c r="F34" s="17">
        <f t="shared" si="2"/>
        <v>0</v>
      </c>
      <c r="G34" s="17">
        <f t="shared" si="2"/>
        <v>0</v>
      </c>
      <c r="H34" s="17">
        <v>0</v>
      </c>
      <c r="I34" s="17">
        <f t="shared" si="6"/>
        <v>0</v>
      </c>
      <c r="J34" s="17">
        <f t="shared" si="6"/>
        <v>0</v>
      </c>
      <c r="K34" s="17">
        <f t="shared" si="6"/>
        <v>0</v>
      </c>
      <c r="L34" s="17">
        <f t="shared" si="6"/>
        <v>0</v>
      </c>
      <c r="M34" s="17">
        <f t="shared" si="6"/>
        <v>0</v>
      </c>
      <c r="N34" s="17">
        <f t="shared" si="6"/>
        <v>0</v>
      </c>
      <c r="O34" s="18">
        <f>SUM(C34:N34)</f>
        <v>0</v>
      </c>
      <c r="R34" s="200"/>
    </row>
    <row r="35" spans="1:18" ht="15" customHeight="1" x14ac:dyDescent="0.25">
      <c r="A35" s="865" t="s">
        <v>144</v>
      </c>
      <c r="B35" s="866"/>
      <c r="C35" s="17">
        <v>0</v>
      </c>
      <c r="D35" s="17">
        <f t="shared" si="0"/>
        <v>0</v>
      </c>
      <c r="E35" s="17">
        <f t="shared" si="2"/>
        <v>0</v>
      </c>
      <c r="F35" s="17">
        <f t="shared" si="2"/>
        <v>0</v>
      </c>
      <c r="G35" s="17">
        <f t="shared" si="2"/>
        <v>0</v>
      </c>
      <c r="H35" s="17">
        <v>0</v>
      </c>
      <c r="I35" s="17">
        <f t="shared" si="6"/>
        <v>0</v>
      </c>
      <c r="J35" s="17">
        <f t="shared" si="6"/>
        <v>0</v>
      </c>
      <c r="K35" s="17">
        <f t="shared" si="6"/>
        <v>0</v>
      </c>
      <c r="L35" s="17">
        <f t="shared" si="6"/>
        <v>0</v>
      </c>
      <c r="M35" s="17">
        <f t="shared" si="6"/>
        <v>0</v>
      </c>
      <c r="N35" s="17">
        <f t="shared" si="6"/>
        <v>0</v>
      </c>
      <c r="O35" s="18">
        <f t="shared" si="4"/>
        <v>0</v>
      </c>
      <c r="R35" s="200"/>
    </row>
    <row r="36" spans="1:18" ht="15" customHeight="1" x14ac:dyDescent="0.25">
      <c r="A36" s="865" t="s">
        <v>145</v>
      </c>
      <c r="B36" s="866"/>
      <c r="C36" s="17">
        <v>0</v>
      </c>
      <c r="D36" s="17">
        <v>216</v>
      </c>
      <c r="E36" s="17">
        <v>0</v>
      </c>
      <c r="F36" s="17">
        <v>0</v>
      </c>
      <c r="G36" s="17">
        <v>0</v>
      </c>
      <c r="H36" s="17">
        <v>0</v>
      </c>
      <c r="I36" s="17">
        <v>0</v>
      </c>
      <c r="J36" s="17">
        <v>216</v>
      </c>
      <c r="K36" s="17">
        <v>0</v>
      </c>
      <c r="L36" s="17">
        <v>0</v>
      </c>
      <c r="M36" s="17">
        <v>0</v>
      </c>
      <c r="N36" s="17">
        <v>0</v>
      </c>
      <c r="O36" s="18">
        <f t="shared" si="4"/>
        <v>432</v>
      </c>
      <c r="R36" s="200"/>
    </row>
    <row r="37" spans="1:18" ht="15" customHeight="1" x14ac:dyDescent="0.2">
      <c r="A37" s="865" t="s">
        <v>146</v>
      </c>
      <c r="B37" s="866"/>
      <c r="C37" s="17">
        <v>0</v>
      </c>
      <c r="D37" s="17">
        <v>2352</v>
      </c>
      <c r="E37" s="17">
        <v>0</v>
      </c>
      <c r="F37" s="17">
        <v>0</v>
      </c>
      <c r="G37" s="17">
        <v>0</v>
      </c>
      <c r="H37" s="17">
        <v>0</v>
      </c>
      <c r="I37" s="17">
        <v>0</v>
      </c>
      <c r="J37" s="17">
        <v>2424</v>
      </c>
      <c r="K37" s="17">
        <v>0</v>
      </c>
      <c r="L37" s="17">
        <v>0</v>
      </c>
      <c r="M37" s="17">
        <v>0</v>
      </c>
      <c r="N37" s="17">
        <v>0</v>
      </c>
      <c r="O37" s="18">
        <f t="shared" si="4"/>
        <v>4776</v>
      </c>
    </row>
    <row r="38" spans="1:18" ht="15" customHeight="1" x14ac:dyDescent="0.2">
      <c r="A38" s="22"/>
      <c r="B38" s="23" t="s">
        <v>147</v>
      </c>
      <c r="C38" s="24">
        <f t="shared" ref="C38:N38" si="7">SUM(C9:C37)</f>
        <v>44940</v>
      </c>
      <c r="D38" s="24">
        <f t="shared" si="7"/>
        <v>48364</v>
      </c>
      <c r="E38" s="24">
        <f t="shared" si="7"/>
        <v>45796</v>
      </c>
      <c r="F38" s="24">
        <f t="shared" si="7"/>
        <v>45796</v>
      </c>
      <c r="G38" s="24">
        <f t="shared" si="7"/>
        <v>96496</v>
      </c>
      <c r="H38" s="24">
        <f t="shared" si="7"/>
        <v>47080</v>
      </c>
      <c r="I38" s="24">
        <f t="shared" si="7"/>
        <v>47080</v>
      </c>
      <c r="J38" s="24">
        <f t="shared" si="7"/>
        <v>57508</v>
      </c>
      <c r="K38" s="24">
        <f t="shared" si="7"/>
        <v>47960</v>
      </c>
      <c r="L38" s="24">
        <f t="shared" si="7"/>
        <v>47960</v>
      </c>
      <c r="M38" s="24">
        <f t="shared" si="7"/>
        <v>47960</v>
      </c>
      <c r="N38" s="24">
        <f t="shared" si="7"/>
        <v>47960</v>
      </c>
      <c r="O38" s="25">
        <f>SUM(C38:N38)</f>
        <v>624900</v>
      </c>
    </row>
    <row r="39" spans="1:18" ht="15" customHeight="1" x14ac:dyDescent="0.2">
      <c r="A39" s="853" t="s">
        <v>148</v>
      </c>
      <c r="B39" s="27" t="s">
        <v>149</v>
      </c>
      <c r="C39" s="147">
        <v>500</v>
      </c>
      <c r="D39" s="147">
        <v>0</v>
      </c>
      <c r="E39" s="147">
        <v>0</v>
      </c>
      <c r="F39" s="147">
        <v>0</v>
      </c>
      <c r="G39" s="147">
        <v>0</v>
      </c>
      <c r="H39" s="147">
        <v>0</v>
      </c>
      <c r="I39" s="147">
        <v>0</v>
      </c>
      <c r="J39" s="147">
        <v>0</v>
      </c>
      <c r="K39" s="147">
        <v>2200</v>
      </c>
      <c r="L39" s="147">
        <v>2100</v>
      </c>
      <c r="M39" s="147">
        <v>2223</v>
      </c>
      <c r="N39" s="147">
        <v>2323</v>
      </c>
      <c r="O39" s="18">
        <f>SUM(C39:N39)</f>
        <v>9346</v>
      </c>
    </row>
    <row r="40" spans="1:18" ht="15" x14ac:dyDescent="0.2">
      <c r="A40" s="854"/>
      <c r="B40" s="27" t="s">
        <v>150</v>
      </c>
      <c r="C40" s="147">
        <v>0</v>
      </c>
      <c r="D40" s="147">
        <v>0</v>
      </c>
      <c r="E40" s="147">
        <v>0</v>
      </c>
      <c r="F40" s="147">
        <v>0</v>
      </c>
      <c r="G40" s="147">
        <v>0</v>
      </c>
      <c r="H40" s="147">
        <v>0</v>
      </c>
      <c r="I40" s="147">
        <v>0</v>
      </c>
      <c r="J40" s="147">
        <v>0</v>
      </c>
      <c r="K40" s="147">
        <v>0</v>
      </c>
      <c r="L40" s="147">
        <v>0</v>
      </c>
      <c r="M40" s="147">
        <v>0</v>
      </c>
      <c r="N40" s="147">
        <v>0</v>
      </c>
      <c r="O40" s="18">
        <f>SUM(C40:N40)</f>
        <v>0</v>
      </c>
    </row>
    <row r="41" spans="1:18" ht="15" x14ac:dyDescent="0.2">
      <c r="A41" s="854"/>
      <c r="B41" s="27" t="s">
        <v>151</v>
      </c>
      <c r="C41" s="147">
        <v>30</v>
      </c>
      <c r="D41" s="147">
        <v>30</v>
      </c>
      <c r="E41" s="147">
        <v>30</v>
      </c>
      <c r="F41" s="147">
        <v>30</v>
      </c>
      <c r="G41" s="147">
        <v>30</v>
      </c>
      <c r="H41" s="147">
        <v>30</v>
      </c>
      <c r="I41" s="147">
        <v>30</v>
      </c>
      <c r="J41" s="147">
        <v>30</v>
      </c>
      <c r="K41" s="147">
        <v>30</v>
      </c>
      <c r="L41" s="147">
        <v>30</v>
      </c>
      <c r="M41" s="147">
        <v>30</v>
      </c>
      <c r="N41" s="147">
        <v>30</v>
      </c>
      <c r="O41" s="18">
        <f t="shared" ref="O41:O52" si="8">SUM(C41:N41)</f>
        <v>360</v>
      </c>
    </row>
    <row r="42" spans="1:18" ht="15" x14ac:dyDescent="0.2">
      <c r="A42" s="854"/>
      <c r="B42" s="27" t="s">
        <v>152</v>
      </c>
      <c r="C42" s="147">
        <v>0</v>
      </c>
      <c r="D42" s="147">
        <v>0</v>
      </c>
      <c r="E42" s="147">
        <v>0</v>
      </c>
      <c r="F42" s="147">
        <v>0</v>
      </c>
      <c r="G42" s="147">
        <v>0</v>
      </c>
      <c r="H42" s="147">
        <v>0</v>
      </c>
      <c r="I42" s="147">
        <v>0</v>
      </c>
      <c r="J42" s="147">
        <v>0</v>
      </c>
      <c r="K42" s="147">
        <v>0</v>
      </c>
      <c r="L42" s="147">
        <v>0</v>
      </c>
      <c r="M42" s="147">
        <v>0</v>
      </c>
      <c r="N42" s="147">
        <v>0</v>
      </c>
      <c r="O42" s="18">
        <f t="shared" si="8"/>
        <v>0</v>
      </c>
    </row>
    <row r="43" spans="1:18" ht="15" x14ac:dyDescent="0.2">
      <c r="A43" s="854"/>
      <c r="B43" s="27" t="s">
        <v>153</v>
      </c>
      <c r="C43" s="147">
        <v>250</v>
      </c>
      <c r="D43" s="147">
        <v>250</v>
      </c>
      <c r="E43" s="147">
        <v>250</v>
      </c>
      <c r="F43" s="147">
        <v>250</v>
      </c>
      <c r="G43" s="147">
        <v>250</v>
      </c>
      <c r="H43" s="147">
        <v>250</v>
      </c>
      <c r="I43" s="147">
        <v>250</v>
      </c>
      <c r="J43" s="147">
        <v>250</v>
      </c>
      <c r="K43" s="147">
        <v>250</v>
      </c>
      <c r="L43" s="147">
        <v>250</v>
      </c>
      <c r="M43" s="147">
        <v>250</v>
      </c>
      <c r="N43" s="147">
        <v>250</v>
      </c>
      <c r="O43" s="18">
        <f t="shared" si="8"/>
        <v>3000</v>
      </c>
    </row>
    <row r="44" spans="1:18" ht="15" x14ac:dyDescent="0.2">
      <c r="A44" s="854"/>
      <c r="B44" s="27" t="s">
        <v>154</v>
      </c>
      <c r="C44" s="147">
        <v>14000</v>
      </c>
      <c r="D44" s="147">
        <v>14000</v>
      </c>
      <c r="E44" s="147">
        <v>14000</v>
      </c>
      <c r="F44" s="147">
        <v>14000</v>
      </c>
      <c r="G44" s="147">
        <v>14000</v>
      </c>
      <c r="H44" s="147">
        <v>14000</v>
      </c>
      <c r="I44" s="147">
        <v>14000</v>
      </c>
      <c r="J44" s="147">
        <v>14000</v>
      </c>
      <c r="K44" s="147">
        <v>14000</v>
      </c>
      <c r="L44" s="147">
        <v>14000</v>
      </c>
      <c r="M44" s="147">
        <v>14000</v>
      </c>
      <c r="N44" s="147">
        <v>14000</v>
      </c>
      <c r="O44" s="18">
        <f>SUM(C44:N44)</f>
        <v>168000</v>
      </c>
    </row>
    <row r="45" spans="1:18" ht="15" x14ac:dyDescent="0.2">
      <c r="A45" s="854"/>
      <c r="B45" s="27" t="s">
        <v>155</v>
      </c>
      <c r="C45" s="147">
        <v>200</v>
      </c>
      <c r="D45" s="147">
        <v>200</v>
      </c>
      <c r="E45" s="147">
        <v>200</v>
      </c>
      <c r="F45" s="147">
        <v>200</v>
      </c>
      <c r="G45" s="147">
        <v>200</v>
      </c>
      <c r="H45" s="147">
        <v>200</v>
      </c>
      <c r="I45" s="147">
        <v>200</v>
      </c>
      <c r="J45" s="147">
        <v>200</v>
      </c>
      <c r="K45" s="147">
        <v>200</v>
      </c>
      <c r="L45" s="147">
        <v>200</v>
      </c>
      <c r="M45" s="147">
        <v>200</v>
      </c>
      <c r="N45" s="147">
        <v>300</v>
      </c>
      <c r="O45" s="18">
        <f t="shared" si="8"/>
        <v>2500</v>
      </c>
    </row>
    <row r="46" spans="1:18" ht="15" x14ac:dyDescent="0.2">
      <c r="A46" s="854"/>
      <c r="B46" s="27" t="s">
        <v>248</v>
      </c>
      <c r="C46" s="147">
        <v>298</v>
      </c>
      <c r="D46" s="147">
        <v>298</v>
      </c>
      <c r="E46" s="147">
        <v>298</v>
      </c>
      <c r="F46" s="147">
        <v>298</v>
      </c>
      <c r="G46" s="147">
        <v>298</v>
      </c>
      <c r="H46" s="147">
        <v>298</v>
      </c>
      <c r="I46" s="147">
        <v>298</v>
      </c>
      <c r="J46" s="147">
        <v>298</v>
      </c>
      <c r="K46" s="147">
        <v>298</v>
      </c>
      <c r="L46" s="147">
        <v>298</v>
      </c>
      <c r="M46" s="147">
        <v>298</v>
      </c>
      <c r="N46" s="147">
        <v>298</v>
      </c>
      <c r="O46" s="18">
        <f t="shared" si="8"/>
        <v>3576</v>
      </c>
    </row>
    <row r="47" spans="1:18" ht="15" x14ac:dyDescent="0.2">
      <c r="A47" s="854"/>
      <c r="B47" s="27" t="s">
        <v>157</v>
      </c>
      <c r="C47" s="147">
        <v>0</v>
      </c>
      <c r="D47" s="147">
        <v>0</v>
      </c>
      <c r="E47" s="147">
        <v>0</v>
      </c>
      <c r="F47" s="147">
        <v>0</v>
      </c>
      <c r="G47" s="147">
        <v>0</v>
      </c>
      <c r="H47" s="147">
        <v>0</v>
      </c>
      <c r="I47" s="147">
        <v>0</v>
      </c>
      <c r="J47" s="147">
        <v>0</v>
      </c>
      <c r="K47" s="147">
        <v>0</v>
      </c>
      <c r="L47" s="147">
        <v>0</v>
      </c>
      <c r="M47" s="147">
        <v>0</v>
      </c>
      <c r="N47" s="147">
        <v>0</v>
      </c>
      <c r="O47" s="18">
        <f t="shared" si="8"/>
        <v>0</v>
      </c>
    </row>
    <row r="48" spans="1:18" ht="28.5" x14ac:dyDescent="0.2">
      <c r="A48" s="854"/>
      <c r="B48" s="203" t="s">
        <v>357</v>
      </c>
      <c r="C48" s="147">
        <v>0</v>
      </c>
      <c r="D48" s="147">
        <v>0</v>
      </c>
      <c r="E48" s="147">
        <v>0</v>
      </c>
      <c r="F48" s="147">
        <v>0</v>
      </c>
      <c r="G48" s="147">
        <v>0</v>
      </c>
      <c r="H48" s="147">
        <v>0</v>
      </c>
      <c r="I48" s="147">
        <v>0</v>
      </c>
      <c r="J48" s="147">
        <v>0</v>
      </c>
      <c r="K48" s="147">
        <v>0</v>
      </c>
      <c r="L48" s="147">
        <v>0</v>
      </c>
      <c r="M48" s="147">
        <v>0</v>
      </c>
      <c r="N48" s="147">
        <v>0</v>
      </c>
      <c r="O48" s="18">
        <f>SUM(C48:N48)</f>
        <v>0</v>
      </c>
    </row>
    <row r="49" spans="1:18" ht="28.5" customHeight="1" x14ac:dyDescent="0.2">
      <c r="A49" s="855"/>
      <c r="B49" s="30" t="s">
        <v>294</v>
      </c>
      <c r="C49" s="147">
        <v>219</v>
      </c>
      <c r="D49" s="147">
        <v>219</v>
      </c>
      <c r="E49" s="147">
        <v>219</v>
      </c>
      <c r="F49" s="147">
        <v>219</v>
      </c>
      <c r="G49" s="147">
        <v>219</v>
      </c>
      <c r="H49" s="147">
        <v>219</v>
      </c>
      <c r="I49" s="147">
        <v>219</v>
      </c>
      <c r="J49" s="147">
        <v>219</v>
      </c>
      <c r="K49" s="147">
        <v>219</v>
      </c>
      <c r="L49" s="147">
        <v>219</v>
      </c>
      <c r="M49" s="147">
        <v>219</v>
      </c>
      <c r="N49" s="147">
        <v>219</v>
      </c>
      <c r="O49" s="31">
        <f t="shared" si="8"/>
        <v>2628</v>
      </c>
    </row>
    <row r="50" spans="1:18" ht="18" customHeight="1" x14ac:dyDescent="0.2">
      <c r="A50" s="856"/>
      <c r="B50" s="204" t="s">
        <v>358</v>
      </c>
      <c r="C50" s="147">
        <v>1000</v>
      </c>
      <c r="D50" s="147">
        <v>1000</v>
      </c>
      <c r="E50" s="147">
        <v>1000</v>
      </c>
      <c r="F50" s="147">
        <v>1000</v>
      </c>
      <c r="G50" s="147">
        <v>1000</v>
      </c>
      <c r="H50" s="147">
        <v>1000</v>
      </c>
      <c r="I50" s="147">
        <v>1000</v>
      </c>
      <c r="J50" s="147">
        <v>1000</v>
      </c>
      <c r="K50" s="147">
        <v>0</v>
      </c>
      <c r="L50" s="147">
        <v>0</v>
      </c>
      <c r="M50" s="147">
        <v>0</v>
      </c>
      <c r="N50" s="147">
        <v>0</v>
      </c>
      <c r="O50" s="31">
        <f t="shared" si="8"/>
        <v>8000</v>
      </c>
    </row>
    <row r="51" spans="1:18" ht="15" x14ac:dyDescent="0.2">
      <c r="A51" s="857" t="s">
        <v>160</v>
      </c>
      <c r="B51" s="858"/>
      <c r="C51" s="33">
        <f t="shared" ref="C51:N51" si="9">SUM(C39:C50)</f>
        <v>16497</v>
      </c>
      <c r="D51" s="33">
        <f t="shared" si="9"/>
        <v>15997</v>
      </c>
      <c r="E51" s="33">
        <f t="shared" si="9"/>
        <v>15997</v>
      </c>
      <c r="F51" s="33">
        <f t="shared" si="9"/>
        <v>15997</v>
      </c>
      <c r="G51" s="33">
        <f t="shared" si="9"/>
        <v>15997</v>
      </c>
      <c r="H51" s="33">
        <f t="shared" si="9"/>
        <v>15997</v>
      </c>
      <c r="I51" s="33">
        <f t="shared" si="9"/>
        <v>15997</v>
      </c>
      <c r="J51" s="33">
        <f t="shared" si="9"/>
        <v>15997</v>
      </c>
      <c r="K51" s="33">
        <f t="shared" si="9"/>
        <v>17197</v>
      </c>
      <c r="L51" s="33">
        <f t="shared" si="9"/>
        <v>17097</v>
      </c>
      <c r="M51" s="33">
        <f t="shared" si="9"/>
        <v>17220</v>
      </c>
      <c r="N51" s="33">
        <f t="shared" si="9"/>
        <v>17420</v>
      </c>
      <c r="O51" s="34">
        <f t="shared" si="8"/>
        <v>197410</v>
      </c>
    </row>
    <row r="52" spans="1:18" ht="15.75" thickBot="1" x14ac:dyDescent="0.25">
      <c r="A52" s="859" t="s">
        <v>161</v>
      </c>
      <c r="B52" s="860"/>
      <c r="C52" s="35">
        <f t="shared" ref="C52:N52" si="10">C38-C51</f>
        <v>28443</v>
      </c>
      <c r="D52" s="35">
        <f t="shared" si="10"/>
        <v>32367</v>
      </c>
      <c r="E52" s="35">
        <f t="shared" si="10"/>
        <v>29799</v>
      </c>
      <c r="F52" s="35">
        <f t="shared" si="10"/>
        <v>29799</v>
      </c>
      <c r="G52" s="35">
        <f t="shared" si="10"/>
        <v>80499</v>
      </c>
      <c r="H52" s="35">
        <f t="shared" si="10"/>
        <v>31083</v>
      </c>
      <c r="I52" s="35">
        <f t="shared" si="10"/>
        <v>31083</v>
      </c>
      <c r="J52" s="35">
        <f t="shared" si="10"/>
        <v>41511</v>
      </c>
      <c r="K52" s="35">
        <f t="shared" si="10"/>
        <v>30763</v>
      </c>
      <c r="L52" s="35">
        <f t="shared" si="10"/>
        <v>30863</v>
      </c>
      <c r="M52" s="35">
        <f t="shared" si="10"/>
        <v>30740</v>
      </c>
      <c r="N52" s="35">
        <f t="shared" si="10"/>
        <v>30540</v>
      </c>
      <c r="O52" s="36">
        <f t="shared" si="8"/>
        <v>427490</v>
      </c>
      <c r="Q52" s="16">
        <f>15445*2+15131+4284+16396+16516+17164*3+4125+3454+18518+36698+18118+17518+20920+16518+16251</f>
        <v>286829</v>
      </c>
    </row>
    <row r="53" spans="1:18" x14ac:dyDescent="0.2">
      <c r="E53" s="16">
        <f>15131+4284</f>
        <v>19415</v>
      </c>
      <c r="J53" s="128">
        <f>+J38-SUM(J22:J37)</f>
        <v>47960</v>
      </c>
    </row>
    <row r="54" spans="1:18" ht="13.5" thickBot="1" x14ac:dyDescent="0.25">
      <c r="J54" s="38">
        <f>+J53-J51</f>
        <v>31963</v>
      </c>
    </row>
    <row r="55" spans="1:18" ht="13.5" thickBot="1" x14ac:dyDescent="0.25">
      <c r="B55" s="789" t="s">
        <v>162</v>
      </c>
      <c r="C55" s="861"/>
      <c r="D55" s="861"/>
      <c r="E55" s="861"/>
      <c r="F55" s="862"/>
      <c r="G55" s="863">
        <f>O38</f>
        <v>624900</v>
      </c>
      <c r="H55" s="864"/>
    </row>
    <row r="56" spans="1:18" ht="13.5" thickBot="1" x14ac:dyDescent="0.25"/>
    <row r="57" spans="1:18" x14ac:dyDescent="0.2">
      <c r="B57" s="830" t="s">
        <v>163</v>
      </c>
      <c r="C57" s="833" t="s">
        <v>164</v>
      </c>
      <c r="D57" s="836" t="s">
        <v>229</v>
      </c>
      <c r="E57" s="837"/>
      <c r="F57" s="838"/>
      <c r="G57" s="839">
        <v>40000</v>
      </c>
      <c r="H57" s="840"/>
    </row>
    <row r="58" spans="1:18" x14ac:dyDescent="0.2">
      <c r="B58" s="831"/>
      <c r="C58" s="834"/>
      <c r="D58" s="841" t="s">
        <v>166</v>
      </c>
      <c r="E58" s="842"/>
      <c r="F58" s="843"/>
      <c r="G58" s="844">
        <f>+O45</f>
        <v>2500</v>
      </c>
      <c r="H58" s="845"/>
      <c r="I58" s="39"/>
      <c r="J58" s="846"/>
      <c r="K58" s="846"/>
      <c r="L58" s="846"/>
      <c r="M58" s="847"/>
      <c r="N58" s="847"/>
      <c r="O58" s="847"/>
    </row>
    <row r="59" spans="1:18" ht="13.5" thickBot="1" x14ac:dyDescent="0.25">
      <c r="B59" s="832"/>
      <c r="C59" s="835"/>
      <c r="D59" s="921" t="s">
        <v>359</v>
      </c>
      <c r="E59" s="849"/>
      <c r="F59" s="850"/>
      <c r="G59" s="851">
        <v>0</v>
      </c>
      <c r="H59" s="852"/>
      <c r="J59" s="47"/>
      <c r="K59" s="47"/>
      <c r="L59" s="47"/>
      <c r="M59" s="47"/>
      <c r="N59" s="47"/>
      <c r="O59" s="47"/>
    </row>
    <row r="60" spans="1:18" ht="13.5" thickBot="1" x14ac:dyDescent="0.25">
      <c r="B60" s="48"/>
      <c r="J60" s="47"/>
      <c r="K60" s="47"/>
      <c r="L60" s="47"/>
      <c r="M60" s="47"/>
      <c r="N60" s="47"/>
      <c r="O60" s="47"/>
    </row>
    <row r="61" spans="1:18" ht="13.5" thickBot="1" x14ac:dyDescent="0.25">
      <c r="B61" s="789" t="s">
        <v>168</v>
      </c>
      <c r="C61" s="790"/>
      <c r="D61" s="790"/>
      <c r="E61" s="790"/>
      <c r="F61" s="791"/>
      <c r="G61" s="825">
        <f>+G55-SUM(G57:H59)</f>
        <v>582400</v>
      </c>
      <c r="H61" s="826"/>
      <c r="J61" s="827" t="s">
        <v>169</v>
      </c>
      <c r="K61" s="828"/>
      <c r="L61" s="828"/>
      <c r="M61" s="828"/>
      <c r="N61" s="828"/>
      <c r="O61" s="829"/>
    </row>
    <row r="62" spans="1:18" ht="13.5" thickBot="1" x14ac:dyDescent="0.25">
      <c r="B62" s="49"/>
      <c r="C62" s="50"/>
      <c r="D62" s="50"/>
      <c r="E62" s="50"/>
      <c r="F62" s="50"/>
      <c r="G62" s="45"/>
      <c r="H62" s="50"/>
      <c r="J62" s="129"/>
      <c r="K62" s="130"/>
      <c r="L62" s="130"/>
      <c r="M62" s="130"/>
      <c r="N62" s="130"/>
      <c r="O62" s="131"/>
    </row>
    <row r="63" spans="1:18" ht="13.5" thickBot="1" x14ac:dyDescent="0.25">
      <c r="B63" s="789" t="s">
        <v>170</v>
      </c>
      <c r="C63" s="790"/>
      <c r="D63" s="790"/>
      <c r="E63" s="790"/>
      <c r="F63" s="791"/>
      <c r="G63" s="805"/>
      <c r="H63" s="791"/>
      <c r="J63" s="129"/>
      <c r="K63" s="130"/>
      <c r="L63" s="130"/>
      <c r="M63" s="130"/>
      <c r="N63" s="130"/>
      <c r="O63" s="131"/>
    </row>
    <row r="64" spans="1:18" ht="12.75" customHeight="1" x14ac:dyDescent="0.2">
      <c r="B64" s="57" t="s">
        <v>171</v>
      </c>
      <c r="C64" s="806" t="s">
        <v>172</v>
      </c>
      <c r="D64" s="807"/>
      <c r="E64" s="807"/>
      <c r="F64" s="808"/>
      <c r="G64" s="809">
        <v>0</v>
      </c>
      <c r="H64" s="809"/>
      <c r="I64" s="58"/>
      <c r="J64" s="810" t="s">
        <v>173</v>
      </c>
      <c r="K64" s="811"/>
      <c r="L64" s="811"/>
      <c r="M64" s="811"/>
      <c r="N64" s="811"/>
      <c r="O64" s="812"/>
      <c r="Q64" s="59"/>
      <c r="R64" s="59"/>
    </row>
    <row r="65" spans="2:18" ht="13.5" thickBot="1" x14ac:dyDescent="0.25">
      <c r="D65" s="37"/>
      <c r="I65" s="58"/>
      <c r="J65" s="60" t="s">
        <v>360</v>
      </c>
      <c r="K65" s="132"/>
      <c r="L65" s="132"/>
      <c r="M65" s="133"/>
      <c r="N65" s="133"/>
      <c r="O65" s="134"/>
      <c r="Q65" s="59"/>
      <c r="R65" s="59"/>
    </row>
    <row r="66" spans="2:18" ht="13.5" thickBot="1" x14ac:dyDescent="0.25">
      <c r="B66" s="789" t="s">
        <v>175</v>
      </c>
      <c r="C66" s="790"/>
      <c r="D66" s="790"/>
      <c r="E66" s="790"/>
      <c r="F66" s="791"/>
      <c r="G66" s="805">
        <f>+G61-G64</f>
        <v>582400</v>
      </c>
      <c r="H66" s="791"/>
      <c r="I66" s="63"/>
      <c r="J66" s="64"/>
      <c r="K66" s="39"/>
      <c r="L66" s="39"/>
      <c r="M66" s="39"/>
      <c r="N66" s="39"/>
      <c r="O66" s="65"/>
      <c r="Q66" s="59"/>
      <c r="R66" s="59"/>
    </row>
    <row r="67" spans="2:18" ht="12.75" customHeight="1" x14ac:dyDescent="0.2">
      <c r="B67" s="48"/>
      <c r="C67" s="48"/>
      <c r="I67" s="63"/>
      <c r="J67" s="64"/>
      <c r="K67" s="39"/>
      <c r="L67" s="39"/>
      <c r="M67" s="39"/>
      <c r="N67" s="39"/>
      <c r="O67" s="65"/>
      <c r="Q67" s="59"/>
      <c r="R67" s="59"/>
    </row>
    <row r="68" spans="2:18" x14ac:dyDescent="0.2">
      <c r="B68" s="66" t="s">
        <v>176</v>
      </c>
      <c r="C68" s="48"/>
      <c r="I68" s="63"/>
      <c r="J68" s="67"/>
      <c r="K68" s="68"/>
      <c r="L68" s="68"/>
      <c r="M68" s="68"/>
      <c r="N68" s="68"/>
      <c r="O68" s="69"/>
      <c r="Q68" s="59"/>
      <c r="R68" s="59"/>
    </row>
    <row r="69" spans="2:18" ht="26.25" customHeight="1" thickBot="1" x14ac:dyDescent="0.25">
      <c r="B69" s="66"/>
      <c r="C69" s="48"/>
      <c r="G69" s="70" t="s">
        <v>177</v>
      </c>
      <c r="H69" s="70" t="s">
        <v>178</v>
      </c>
      <c r="I69" s="63"/>
      <c r="J69" s="810" t="s">
        <v>179</v>
      </c>
      <c r="K69" s="811"/>
      <c r="L69" s="71"/>
      <c r="M69" s="71"/>
      <c r="N69" s="71"/>
      <c r="O69" s="158" t="s">
        <v>267</v>
      </c>
      <c r="Q69" s="59"/>
      <c r="R69" s="59"/>
    </row>
    <row r="70" spans="2:18" ht="12.75" customHeight="1" x14ac:dyDescent="0.2">
      <c r="B70" s="802" t="s">
        <v>180</v>
      </c>
      <c r="C70" s="821" t="s">
        <v>181</v>
      </c>
      <c r="D70" s="823" t="s">
        <v>182</v>
      </c>
      <c r="E70" s="824"/>
      <c r="F70" s="824"/>
      <c r="G70" s="73">
        <f>+O44</f>
        <v>168000</v>
      </c>
      <c r="H70" s="74">
        <f t="shared" ref="H70:H78" si="11">+G70</f>
        <v>168000</v>
      </c>
      <c r="I70" s="63"/>
      <c r="J70" s="181"/>
      <c r="K70" s="58"/>
      <c r="L70" s="58"/>
      <c r="M70" s="58"/>
      <c r="N70" s="58"/>
      <c r="O70" s="76"/>
      <c r="P70" s="205"/>
      <c r="Q70" s="59"/>
      <c r="R70" s="59"/>
    </row>
    <row r="71" spans="2:18" ht="12.75" customHeight="1" x14ac:dyDescent="0.2">
      <c r="B71" s="803"/>
      <c r="C71" s="822"/>
      <c r="D71" s="782" t="s">
        <v>184</v>
      </c>
      <c r="E71" s="783"/>
      <c r="F71" s="783"/>
      <c r="G71" s="77">
        <v>2628</v>
      </c>
      <c r="H71" s="78">
        <f t="shared" si="11"/>
        <v>2628</v>
      </c>
      <c r="I71" s="63"/>
      <c r="J71" s="181"/>
      <c r="K71" s="68"/>
      <c r="L71" s="135"/>
      <c r="M71" s="68"/>
      <c r="N71" s="68"/>
      <c r="O71" s="136"/>
      <c r="P71" s="205"/>
      <c r="Q71" s="59"/>
      <c r="R71" s="59"/>
    </row>
    <row r="72" spans="2:18" ht="12.75" customHeight="1" x14ac:dyDescent="0.2">
      <c r="B72" s="803"/>
      <c r="C72" s="822"/>
      <c r="D72" s="819" t="s">
        <v>185</v>
      </c>
      <c r="E72" s="820"/>
      <c r="F72" s="820"/>
      <c r="G72" s="80">
        <f>O41</f>
        <v>360</v>
      </c>
      <c r="H72" s="78">
        <f t="shared" si="11"/>
        <v>360</v>
      </c>
      <c r="I72" s="63"/>
      <c r="J72" s="181"/>
      <c r="K72" s="68"/>
      <c r="L72" s="135"/>
      <c r="M72" s="135"/>
      <c r="N72" s="68"/>
      <c r="O72" s="136"/>
    </row>
    <row r="73" spans="2:18" x14ac:dyDescent="0.2">
      <c r="B73" s="803"/>
      <c r="C73" s="822"/>
      <c r="D73" s="782" t="s">
        <v>361</v>
      </c>
      <c r="E73" s="783"/>
      <c r="F73" s="783"/>
      <c r="G73" s="81">
        <v>0</v>
      </c>
      <c r="H73" s="78">
        <f t="shared" si="11"/>
        <v>0</v>
      </c>
      <c r="I73" s="63"/>
      <c r="J73" s="75"/>
      <c r="K73" s="58"/>
      <c r="L73" s="58"/>
      <c r="M73" s="183"/>
      <c r="N73" s="58"/>
      <c r="O73" s="76"/>
    </row>
    <row r="74" spans="2:18" ht="12.75" customHeight="1" x14ac:dyDescent="0.2">
      <c r="B74" s="803"/>
      <c r="C74" s="822"/>
      <c r="D74" s="784" t="s">
        <v>188</v>
      </c>
      <c r="E74" s="783"/>
      <c r="F74" s="783"/>
      <c r="G74" s="80">
        <v>0</v>
      </c>
      <c r="H74" s="78">
        <f t="shared" si="11"/>
        <v>0</v>
      </c>
      <c r="I74" s="63"/>
      <c r="J74" s="64"/>
      <c r="K74" s="50"/>
      <c r="L74" s="50"/>
      <c r="M74" s="183"/>
      <c r="N74" s="50"/>
      <c r="O74" s="83"/>
    </row>
    <row r="75" spans="2:18" ht="14.25" customHeight="1" x14ac:dyDescent="0.2">
      <c r="B75" s="803"/>
      <c r="C75" s="822"/>
      <c r="D75" s="782" t="s">
        <v>190</v>
      </c>
      <c r="E75" s="783"/>
      <c r="F75" s="783"/>
      <c r="G75" s="84">
        <v>0</v>
      </c>
      <c r="H75" s="78">
        <f t="shared" si="11"/>
        <v>0</v>
      </c>
      <c r="I75" s="63"/>
      <c r="J75" s="64"/>
      <c r="K75" s="39"/>
      <c r="L75" s="39"/>
      <c r="M75" s="39"/>
      <c r="N75" s="39"/>
      <c r="O75" s="65"/>
    </row>
    <row r="76" spans="2:18" x14ac:dyDescent="0.2">
      <c r="B76" s="803"/>
      <c r="C76" s="822"/>
      <c r="D76" s="782" t="s">
        <v>191</v>
      </c>
      <c r="E76" s="783"/>
      <c r="F76" s="783"/>
      <c r="G76" s="81">
        <v>0</v>
      </c>
      <c r="H76" s="78">
        <f t="shared" si="11"/>
        <v>0</v>
      </c>
      <c r="I76" s="58"/>
      <c r="J76" s="82" t="s">
        <v>187</v>
      </c>
      <c r="K76" s="71"/>
      <c r="L76" s="71"/>
      <c r="M76" s="71"/>
      <c r="N76" s="71"/>
      <c r="O76" s="72"/>
    </row>
    <row r="77" spans="2:18" x14ac:dyDescent="0.2">
      <c r="B77" s="803"/>
      <c r="C77" s="88" t="s">
        <v>192</v>
      </c>
      <c r="D77" s="813" t="s">
        <v>193</v>
      </c>
      <c r="E77" s="814"/>
      <c r="F77" s="814"/>
      <c r="G77" s="80">
        <v>0</v>
      </c>
      <c r="H77" s="78">
        <f t="shared" si="11"/>
        <v>0</v>
      </c>
      <c r="I77" s="58"/>
      <c r="J77" s="75" t="s">
        <v>189</v>
      </c>
      <c r="K77" s="50"/>
      <c r="L77" s="50"/>
      <c r="M77" s="50"/>
      <c r="N77" s="50"/>
      <c r="O77" s="83">
        <f>O43</f>
        <v>3000</v>
      </c>
    </row>
    <row r="78" spans="2:18" ht="13.5" customHeight="1" thickBot="1" x14ac:dyDescent="0.25">
      <c r="B78" s="803"/>
      <c r="C78" s="88" t="s">
        <v>194</v>
      </c>
      <c r="D78" s="815" t="s">
        <v>195</v>
      </c>
      <c r="E78" s="815"/>
      <c r="F78" s="815"/>
      <c r="G78" s="89">
        <v>0</v>
      </c>
      <c r="H78" s="90">
        <f t="shared" si="11"/>
        <v>0</v>
      </c>
      <c r="I78" s="63"/>
      <c r="J78" s="67"/>
      <c r="K78" s="68"/>
      <c r="L78" s="68"/>
      <c r="M78" s="91"/>
      <c r="N78" s="91"/>
      <c r="O78" s="92"/>
    </row>
    <row r="79" spans="2:18" ht="13.5" thickBot="1" x14ac:dyDescent="0.25">
      <c r="B79" s="803"/>
      <c r="C79" s="93"/>
      <c r="D79" s="94"/>
      <c r="E79" s="816" t="s">
        <v>117</v>
      </c>
      <c r="F79" s="817"/>
      <c r="G79" s="95">
        <f>SUM(G70:G78)</f>
        <v>170988</v>
      </c>
      <c r="H79" s="96">
        <f>IF(SUM(G70:G76)&lt;150000,SUM(G70:G76),150000)+IF(+G77&lt;20000,+G77,20000)</f>
        <v>150000</v>
      </c>
      <c r="I79" s="63"/>
      <c r="J79" s="140"/>
      <c r="K79" s="141"/>
      <c r="L79" s="141"/>
      <c r="M79" s="142"/>
      <c r="N79" s="142"/>
      <c r="O79" s="143"/>
    </row>
    <row r="80" spans="2:18" ht="12.75" customHeight="1" x14ac:dyDescent="0.2">
      <c r="B80" s="803"/>
      <c r="C80" s="100" t="s">
        <v>196</v>
      </c>
      <c r="D80" s="782" t="s">
        <v>187</v>
      </c>
      <c r="E80" s="783"/>
      <c r="F80" s="818"/>
      <c r="G80" s="73">
        <f>+O43</f>
        <v>3000</v>
      </c>
      <c r="H80" s="101">
        <f>+IF(+G80&lt;25000,+G80,25000)</f>
        <v>3000</v>
      </c>
      <c r="I80" s="87"/>
    </row>
    <row r="81" spans="2:12" x14ac:dyDescent="0.2">
      <c r="B81" s="803"/>
      <c r="C81" s="100" t="s">
        <v>197</v>
      </c>
      <c r="D81" s="784" t="s">
        <v>198</v>
      </c>
      <c r="E81" s="785"/>
      <c r="F81" s="786"/>
      <c r="G81" s="102"/>
      <c r="H81" s="103">
        <f>+IF(+G81&lt;40000,+G81,40000)</f>
        <v>0</v>
      </c>
      <c r="I81" s="63"/>
      <c r="J81" s="16" t="s">
        <v>362</v>
      </c>
    </row>
    <row r="82" spans="2:12" x14ac:dyDescent="0.2">
      <c r="B82" s="803"/>
      <c r="C82" s="100" t="s">
        <v>199</v>
      </c>
      <c r="D82" s="784" t="s">
        <v>200</v>
      </c>
      <c r="E82" s="785"/>
      <c r="F82" s="786"/>
      <c r="G82" s="81"/>
      <c r="H82" s="104">
        <v>0</v>
      </c>
      <c r="I82" s="63"/>
      <c r="J82" s="106"/>
    </row>
    <row r="83" spans="2:12" x14ac:dyDescent="0.2">
      <c r="B83" s="803"/>
      <c r="C83" s="100" t="s">
        <v>201</v>
      </c>
      <c r="D83" s="784" t="s">
        <v>202</v>
      </c>
      <c r="E83" s="785"/>
      <c r="F83" s="786"/>
      <c r="G83" s="81"/>
      <c r="H83" s="104">
        <v>0</v>
      </c>
      <c r="I83" s="63"/>
    </row>
    <row r="84" spans="2:12" ht="13.5" thickBot="1" x14ac:dyDescent="0.25">
      <c r="B84" s="804"/>
      <c r="C84" s="100" t="s">
        <v>203</v>
      </c>
      <c r="D84" s="784" t="s">
        <v>204</v>
      </c>
      <c r="E84" s="785"/>
      <c r="F84" s="786"/>
      <c r="G84" s="102"/>
      <c r="H84" s="103">
        <f>+IF(+G84&lt;100000,+G84,10000)</f>
        <v>0</v>
      </c>
      <c r="I84" s="63"/>
      <c r="J84" s="106"/>
    </row>
    <row r="85" spans="2:12" ht="13.5" thickBot="1" x14ac:dyDescent="0.25">
      <c r="B85" s="787" t="s">
        <v>205</v>
      </c>
      <c r="C85" s="788"/>
      <c r="D85" s="788"/>
      <c r="E85" s="788"/>
      <c r="F85" s="788"/>
      <c r="G85" s="107">
        <f>SUM(G80:G84)</f>
        <v>3000</v>
      </c>
      <c r="H85" s="108">
        <f>SUM(H79:H84)</f>
        <v>153000</v>
      </c>
    </row>
    <row r="86" spans="2:12" ht="13.5" thickBot="1" x14ac:dyDescent="0.25"/>
    <row r="87" spans="2:12" ht="13.5" thickBot="1" x14ac:dyDescent="0.25">
      <c r="B87" s="789" t="s">
        <v>206</v>
      </c>
      <c r="C87" s="790"/>
      <c r="D87" s="790"/>
      <c r="E87" s="790"/>
      <c r="F87" s="791"/>
      <c r="G87" s="792">
        <f>+G66-H85</f>
        <v>429400</v>
      </c>
      <c r="H87" s="791"/>
      <c r="J87" s="109">
        <f>C38+D38+E38+F38</f>
        <v>184896</v>
      </c>
      <c r="K87" s="16" t="s">
        <v>235</v>
      </c>
      <c r="L87" s="87"/>
    </row>
    <row r="88" spans="2:12" x14ac:dyDescent="0.2">
      <c r="B88" s="110"/>
      <c r="F88" s="105"/>
      <c r="J88" s="109">
        <f>G38+H38+I38</f>
        <v>190656</v>
      </c>
      <c r="K88" s="16" t="s">
        <v>236</v>
      </c>
      <c r="L88" s="87"/>
    </row>
    <row r="89" spans="2:12" x14ac:dyDescent="0.2">
      <c r="C89" s="793" t="s">
        <v>207</v>
      </c>
      <c r="D89" s="794"/>
      <c r="E89" s="111" t="s">
        <v>208</v>
      </c>
      <c r="F89" s="111" t="s">
        <v>209</v>
      </c>
      <c r="G89" s="111" t="s">
        <v>210</v>
      </c>
      <c r="H89" s="111" t="s">
        <v>211</v>
      </c>
      <c r="J89" s="206">
        <f>J38+K38+L38</f>
        <v>153428</v>
      </c>
      <c r="K89" s="47" t="s">
        <v>237</v>
      </c>
      <c r="L89" s="87"/>
    </row>
    <row r="90" spans="2:12" x14ac:dyDescent="0.2">
      <c r="C90" s="795" t="str">
        <f>IF(I6="M","0          - 250000","0          -  250000")</f>
        <v>0          - 250000</v>
      </c>
      <c r="D90" s="796"/>
      <c r="E90" s="112">
        <v>0</v>
      </c>
      <c r="F90" s="113">
        <f>IF(I6="M",(IF(G87&lt;250000,G87,250000)),(IF(G87&lt;250000,G87,250000)))</f>
        <v>250000</v>
      </c>
      <c r="G90" s="113">
        <f>G87-F90</f>
        <v>179400</v>
      </c>
      <c r="H90" s="113">
        <f>E90*F90</f>
        <v>0</v>
      </c>
      <c r="J90" s="207">
        <f>M38+N38</f>
        <v>95920</v>
      </c>
      <c r="K90" s="1" t="s">
        <v>238</v>
      </c>
      <c r="L90" s="87"/>
    </row>
    <row r="91" spans="2:12" x14ac:dyDescent="0.2">
      <c r="C91" s="795" t="str">
        <f>IF(I6="M","250001 - 500000","250001-500000")</f>
        <v>250001 - 500000</v>
      </c>
      <c r="D91" s="796"/>
      <c r="E91" s="112">
        <v>0.05</v>
      </c>
      <c r="F91" s="113">
        <f>IF(I6="M",(IF(G90&lt;250000,G90,250000)),(IF(G90&lt;250000,G90,250000)))</f>
        <v>179400</v>
      </c>
      <c r="G91" s="113">
        <f>G90-F91</f>
        <v>0</v>
      </c>
      <c r="H91" s="114">
        <f>ROUND(E91*F91,0.1)</f>
        <v>8970</v>
      </c>
      <c r="J91" s="115">
        <f>SUM(J87:J90)</f>
        <v>624900</v>
      </c>
      <c r="L91" s="87"/>
    </row>
    <row r="92" spans="2:12" x14ac:dyDescent="0.2">
      <c r="C92" s="797" t="s">
        <v>212</v>
      </c>
      <c r="D92" s="798"/>
      <c r="E92" s="112">
        <v>0.2</v>
      </c>
      <c r="F92" s="113">
        <f>IF(G91&lt;500000,G91,500000)</f>
        <v>0</v>
      </c>
      <c r="G92" s="113">
        <f>G91-F92</f>
        <v>0</v>
      </c>
      <c r="H92" s="114">
        <f>ROUND(E92*F92,0.1)</f>
        <v>0</v>
      </c>
      <c r="J92" s="16">
        <f>+G87</f>
        <v>429400</v>
      </c>
      <c r="L92" s="87"/>
    </row>
    <row r="93" spans="2:12" x14ac:dyDescent="0.2">
      <c r="C93" s="795" t="s">
        <v>213</v>
      </c>
      <c r="D93" s="796"/>
      <c r="E93" s="112">
        <v>0.3</v>
      </c>
      <c r="F93" s="113">
        <f>G92</f>
        <v>0</v>
      </c>
      <c r="G93" s="113">
        <f>G92-F93</f>
        <v>0</v>
      </c>
      <c r="H93" s="114">
        <f>ROUND(E93*F93,0.1)</f>
        <v>0</v>
      </c>
      <c r="J93" s="16">
        <f>+J91-J92</f>
        <v>195500</v>
      </c>
      <c r="L93" s="87"/>
    </row>
    <row r="94" spans="2:12" ht="12.75" customHeight="1" thickBot="1" x14ac:dyDescent="0.25">
      <c r="B94" s="116"/>
      <c r="C94" s="117"/>
      <c r="D94" s="47"/>
      <c r="E94" s="47"/>
      <c r="F94" s="47"/>
      <c r="J94" s="87"/>
      <c r="K94" s="118"/>
      <c r="L94" s="87"/>
    </row>
    <row r="95" spans="2:12" ht="13.5" thickBot="1" x14ac:dyDescent="0.25">
      <c r="B95" s="799" t="s">
        <v>239</v>
      </c>
      <c r="C95" s="800"/>
      <c r="D95" s="800"/>
      <c r="E95" s="800"/>
      <c r="F95" s="801"/>
      <c r="G95" s="771">
        <f>H90+H91+H92+H93</f>
        <v>8970</v>
      </c>
      <c r="H95" s="772"/>
      <c r="J95" s="87"/>
      <c r="K95" s="87"/>
      <c r="L95" s="87"/>
    </row>
    <row r="96" spans="2:12" ht="13.5" thickBot="1" x14ac:dyDescent="0.25">
      <c r="B96" s="119" t="s">
        <v>215</v>
      </c>
      <c r="C96" s="120"/>
      <c r="D96" s="120"/>
      <c r="E96" s="120"/>
      <c r="F96" s="120"/>
      <c r="G96" s="895">
        <f>IF((G66&lt;500000),5000,0)</f>
        <v>0</v>
      </c>
      <c r="H96" s="896">
        <f>IF(H94&lt;200000,0,IF(H94&lt;220000,((H94-200000)*10%),IF(H94&lt;=500000,2000,IF(H94&gt;=500000,0))))</f>
        <v>0</v>
      </c>
      <c r="J96" s="1"/>
      <c r="K96" s="121"/>
      <c r="L96" s="121"/>
    </row>
    <row r="97" spans="2:9" ht="13.5" thickBot="1" x14ac:dyDescent="0.25">
      <c r="B97" s="122" t="s">
        <v>216</v>
      </c>
      <c r="C97" s="123"/>
      <c r="D97" s="123"/>
      <c r="E97" s="123"/>
      <c r="F97" s="123"/>
      <c r="G97" s="771">
        <f>IF((G95-G96)&lt;0,0,(G95-G96))</f>
        <v>8970</v>
      </c>
      <c r="H97" s="772"/>
      <c r="I97" s="37"/>
    </row>
    <row r="98" spans="2:9" ht="13.5" thickBot="1" x14ac:dyDescent="0.25">
      <c r="B98" s="773" t="s">
        <v>240</v>
      </c>
      <c r="C98" s="774"/>
      <c r="D98" s="774"/>
      <c r="E98" s="774"/>
      <c r="F98" s="775"/>
      <c r="G98" s="776">
        <f>ROUND((IF(G97&gt;0,(G97*4%),0)),0)</f>
        <v>359</v>
      </c>
      <c r="H98" s="777"/>
      <c r="I98" s="37"/>
    </row>
    <row r="99" spans="2:9" ht="13.5" thickBot="1" x14ac:dyDescent="0.25">
      <c r="B99" s="778" t="s">
        <v>218</v>
      </c>
      <c r="C99" s="779"/>
      <c r="D99" s="779"/>
      <c r="E99" s="779"/>
      <c r="F99" s="779"/>
      <c r="G99" s="780">
        <f>G97+G98</f>
        <v>9329</v>
      </c>
      <c r="H99" s="781"/>
      <c r="I99" s="121"/>
    </row>
    <row r="100" spans="2:9" ht="13.5" thickBot="1" x14ac:dyDescent="0.25">
      <c r="B100" s="765" t="s">
        <v>219</v>
      </c>
      <c r="C100" s="766"/>
      <c r="D100" s="766"/>
      <c r="E100" s="766"/>
      <c r="F100" s="766"/>
      <c r="G100" s="767">
        <f>O39</f>
        <v>9346</v>
      </c>
      <c r="H100" s="768"/>
      <c r="I100" s="121"/>
    </row>
    <row r="101" spans="2:9" ht="13.5" thickBot="1" x14ac:dyDescent="0.25">
      <c r="B101" s="765" t="str">
        <f>IF(G101&gt;0,"TAX PAYABLE","TAX REFUND")</f>
        <v>TAX REFUND</v>
      </c>
      <c r="C101" s="766"/>
      <c r="D101" s="766"/>
      <c r="E101" s="766"/>
      <c r="F101" s="766"/>
      <c r="G101" s="767">
        <f>+G99-G100</f>
        <v>-17</v>
      </c>
      <c r="H101" s="768"/>
      <c r="I101" s="37"/>
    </row>
    <row r="102" spans="2:9" x14ac:dyDescent="0.2">
      <c r="C102" s="124"/>
      <c r="D102" s="45"/>
      <c r="E102" s="118"/>
      <c r="F102" s="118"/>
      <c r="G102" s="118"/>
      <c r="H102" s="118"/>
      <c r="I102" s="125"/>
    </row>
    <row r="103" spans="2:9" x14ac:dyDescent="0.2">
      <c r="C103" s="47"/>
      <c r="D103" s="50"/>
      <c r="E103" s="117"/>
      <c r="F103" s="47"/>
      <c r="G103" s="47"/>
      <c r="H103" s="47"/>
      <c r="I103" s="125"/>
    </row>
    <row r="104" spans="2:9" x14ac:dyDescent="0.2">
      <c r="C104" s="39"/>
      <c r="D104" s="126"/>
      <c r="E104" s="126"/>
      <c r="F104" s="126"/>
      <c r="G104" s="39"/>
      <c r="H104" s="39"/>
      <c r="I104" s="37"/>
    </row>
    <row r="105" spans="2:9" x14ac:dyDescent="0.2">
      <c r="C105" s="39"/>
      <c r="D105" s="126"/>
      <c r="E105" s="126"/>
      <c r="F105" s="39"/>
      <c r="G105" s="39"/>
      <c r="H105" s="39"/>
      <c r="I105" s="37"/>
    </row>
    <row r="106" spans="2:9" x14ac:dyDescent="0.2">
      <c r="C106" s="39"/>
      <c r="D106" s="126"/>
      <c r="E106" s="126"/>
      <c r="F106" s="39"/>
      <c r="G106" s="39"/>
      <c r="H106" s="39"/>
      <c r="I106" s="37"/>
    </row>
    <row r="107" spans="2:9" x14ac:dyDescent="0.2">
      <c r="C107" s="39"/>
      <c r="D107" s="39"/>
      <c r="E107" s="39"/>
      <c r="F107" s="39"/>
      <c r="G107" s="39"/>
      <c r="H107" s="39"/>
      <c r="I107" s="37"/>
    </row>
    <row r="108" spans="2:9" x14ac:dyDescent="0.2">
      <c r="C108" s="39"/>
      <c r="D108" s="39"/>
      <c r="E108" s="39"/>
      <c r="F108" s="39"/>
      <c r="G108" s="39"/>
      <c r="H108" s="39"/>
    </row>
    <row r="109" spans="2:9" x14ac:dyDescent="0.2">
      <c r="C109" s="39"/>
      <c r="D109" s="39"/>
      <c r="E109" s="39"/>
      <c r="F109" s="39"/>
      <c r="G109" s="39"/>
      <c r="H109"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7:B37"/>
    <mergeCell ref="A5:C5"/>
    <mergeCell ref="D5:F5"/>
    <mergeCell ref="G5:H5"/>
    <mergeCell ref="I5:O5"/>
    <mergeCell ref="A6:C6"/>
    <mergeCell ref="D6:F6"/>
    <mergeCell ref="G6:H6"/>
    <mergeCell ref="J6:O6"/>
    <mergeCell ref="L7:O7"/>
    <mergeCell ref="A8:B8"/>
    <mergeCell ref="A21:A33"/>
    <mergeCell ref="A35:B35"/>
    <mergeCell ref="A36:B36"/>
    <mergeCell ref="A39:A50"/>
    <mergeCell ref="A51:B51"/>
    <mergeCell ref="A52:B52"/>
    <mergeCell ref="B55:F55"/>
    <mergeCell ref="G55:H55"/>
    <mergeCell ref="B61:F61"/>
    <mergeCell ref="G61:H61"/>
    <mergeCell ref="J61:O61"/>
    <mergeCell ref="B57:B59"/>
    <mergeCell ref="C57:C59"/>
    <mergeCell ref="D57:F57"/>
    <mergeCell ref="G57:H57"/>
    <mergeCell ref="D58:F58"/>
    <mergeCell ref="G58:H58"/>
    <mergeCell ref="J58:L58"/>
    <mergeCell ref="M58:O58"/>
    <mergeCell ref="D59:F59"/>
    <mergeCell ref="G59:H59"/>
    <mergeCell ref="J64:O64"/>
    <mergeCell ref="D82:F82"/>
    <mergeCell ref="J69:K69"/>
    <mergeCell ref="B66:F66"/>
    <mergeCell ref="G66:H66"/>
    <mergeCell ref="D77:F77"/>
    <mergeCell ref="D78:F78"/>
    <mergeCell ref="E79:F79"/>
    <mergeCell ref="D80:F80"/>
    <mergeCell ref="D81:F81"/>
    <mergeCell ref="D72:F72"/>
    <mergeCell ref="D73:F73"/>
    <mergeCell ref="C70:C76"/>
    <mergeCell ref="D70:F70"/>
    <mergeCell ref="D71:F71"/>
    <mergeCell ref="D75:F75"/>
    <mergeCell ref="G63:H63"/>
    <mergeCell ref="C64:F64"/>
    <mergeCell ref="G64:H64"/>
    <mergeCell ref="B63:F63"/>
    <mergeCell ref="D74:F74"/>
    <mergeCell ref="D76:F76"/>
    <mergeCell ref="G95:H95"/>
    <mergeCell ref="D83:F83"/>
    <mergeCell ref="D84:F84"/>
    <mergeCell ref="B85:F85"/>
    <mergeCell ref="B87:F87"/>
    <mergeCell ref="G87:H87"/>
    <mergeCell ref="C89:D89"/>
    <mergeCell ref="C90:D90"/>
    <mergeCell ref="C91:D91"/>
    <mergeCell ref="C92:D92"/>
    <mergeCell ref="C93:D93"/>
    <mergeCell ref="B95:F95"/>
    <mergeCell ref="B70:B84"/>
    <mergeCell ref="B101:F101"/>
    <mergeCell ref="G101:H101"/>
    <mergeCell ref="G96:H96"/>
    <mergeCell ref="G97:H97"/>
    <mergeCell ref="B98:F98"/>
    <mergeCell ref="G98:H98"/>
    <mergeCell ref="B99:F99"/>
    <mergeCell ref="G99:H99"/>
    <mergeCell ref="B100:F100"/>
    <mergeCell ref="G100:H100"/>
  </mergeCells>
  <conditionalFormatting sqref="B92:F92 B101:F101 B95:F99">
    <cfRule type="cellIs" dxfId="2031" priority="3" stopIfTrue="1" operator="equal">
      <formula>"TAX PAYABLE"</formula>
    </cfRule>
    <cfRule type="cellIs" dxfId="2030" priority="4" stopIfTrue="1" operator="equal">
      <formula>"TAX REFUND"</formula>
    </cfRule>
  </conditionalFormatting>
  <conditionalFormatting sqref="G92:H92">
    <cfRule type="cellIs" dxfId="2029" priority="5" stopIfTrue="1" operator="lessThan">
      <formula>0</formula>
    </cfRule>
    <cfRule type="cellIs" dxfId="2028" priority="6" stopIfTrue="1" operator="greaterThan">
      <formula>0</formula>
    </cfRule>
  </conditionalFormatting>
  <conditionalFormatting sqref="G101:H101">
    <cfRule type="cellIs" dxfId="2027" priority="1" stopIfTrue="1" operator="greaterThan">
      <formula>0</formula>
    </cfRule>
    <cfRule type="cellIs" dxfId="2026"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legacy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8"/>
  <sheetViews>
    <sheetView topLeftCell="A62" workbookViewId="0">
      <selection activeCell="D6" sqref="D6:F6"/>
    </sheetView>
  </sheetViews>
  <sheetFormatPr defaultRowHeight="12.75" x14ac:dyDescent="0.2"/>
  <cols>
    <col min="1" max="1" width="5" style="16" customWidth="1"/>
    <col min="2" max="2" width="18.7109375" style="37" customWidth="1"/>
    <col min="3" max="3" width="8.7109375" style="16" customWidth="1"/>
    <col min="4" max="4" width="8" style="16" customWidth="1"/>
    <col min="5" max="5" width="8.5703125" style="16" bestFit="1" customWidth="1"/>
    <col min="6" max="6" width="8.5703125" style="16" customWidth="1"/>
    <col min="7" max="8" width="8.28515625" style="16" customWidth="1"/>
    <col min="9" max="15" width="9"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8.7109375" style="16" customWidth="1"/>
    <col min="259" max="259" width="8.7109375" style="16" customWidth="1"/>
    <col min="260" max="260" width="8" style="16" customWidth="1"/>
    <col min="261" max="261" width="8.5703125" style="16" bestFit="1" customWidth="1"/>
    <col min="262" max="262" width="8.5703125" style="16" customWidth="1"/>
    <col min="263" max="264" width="8.28515625" style="16" customWidth="1"/>
    <col min="265" max="271" width="9"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8.7109375" style="16" customWidth="1"/>
    <col min="515" max="515" width="8.7109375" style="16" customWidth="1"/>
    <col min="516" max="516" width="8" style="16" customWidth="1"/>
    <col min="517" max="517" width="8.5703125" style="16" bestFit="1" customWidth="1"/>
    <col min="518" max="518" width="8.5703125" style="16" customWidth="1"/>
    <col min="519" max="520" width="8.28515625" style="16" customWidth="1"/>
    <col min="521" max="527" width="9"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8.7109375" style="16" customWidth="1"/>
    <col min="771" max="771" width="8.7109375" style="16" customWidth="1"/>
    <col min="772" max="772" width="8" style="16" customWidth="1"/>
    <col min="773" max="773" width="8.5703125" style="16" bestFit="1" customWidth="1"/>
    <col min="774" max="774" width="8.5703125" style="16" customWidth="1"/>
    <col min="775" max="776" width="8.28515625" style="16" customWidth="1"/>
    <col min="777" max="783" width="9"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8.7109375" style="16" customWidth="1"/>
    <col min="1027" max="1027" width="8.7109375" style="16" customWidth="1"/>
    <col min="1028" max="1028" width="8" style="16" customWidth="1"/>
    <col min="1029" max="1029" width="8.5703125" style="16" bestFit="1" customWidth="1"/>
    <col min="1030" max="1030" width="8.5703125" style="16" customWidth="1"/>
    <col min="1031" max="1032" width="8.28515625" style="16" customWidth="1"/>
    <col min="1033" max="1039" width="9"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8.7109375" style="16" customWidth="1"/>
    <col min="1283" max="1283" width="8.7109375" style="16" customWidth="1"/>
    <col min="1284" max="1284" width="8" style="16" customWidth="1"/>
    <col min="1285" max="1285" width="8.5703125" style="16" bestFit="1" customWidth="1"/>
    <col min="1286" max="1286" width="8.5703125" style="16" customWidth="1"/>
    <col min="1287" max="1288" width="8.28515625" style="16" customWidth="1"/>
    <col min="1289" max="1295" width="9"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8.7109375" style="16" customWidth="1"/>
    <col min="1539" max="1539" width="8.7109375" style="16" customWidth="1"/>
    <col min="1540" max="1540" width="8" style="16" customWidth="1"/>
    <col min="1541" max="1541" width="8.5703125" style="16" bestFit="1" customWidth="1"/>
    <col min="1542" max="1542" width="8.5703125" style="16" customWidth="1"/>
    <col min="1543" max="1544" width="8.28515625" style="16" customWidth="1"/>
    <col min="1545" max="1551" width="9"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8.7109375" style="16" customWidth="1"/>
    <col min="1795" max="1795" width="8.7109375" style="16" customWidth="1"/>
    <col min="1796" max="1796" width="8" style="16" customWidth="1"/>
    <col min="1797" max="1797" width="8.5703125" style="16" bestFit="1" customWidth="1"/>
    <col min="1798" max="1798" width="8.5703125" style="16" customWidth="1"/>
    <col min="1799" max="1800" width="8.28515625" style="16" customWidth="1"/>
    <col min="1801" max="1807" width="9"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8.7109375" style="16" customWidth="1"/>
    <col min="2051" max="2051" width="8.7109375" style="16" customWidth="1"/>
    <col min="2052" max="2052" width="8" style="16" customWidth="1"/>
    <col min="2053" max="2053" width="8.5703125" style="16" bestFit="1" customWidth="1"/>
    <col min="2054" max="2054" width="8.5703125" style="16" customWidth="1"/>
    <col min="2055" max="2056" width="8.28515625" style="16" customWidth="1"/>
    <col min="2057" max="2063" width="9"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8.7109375" style="16" customWidth="1"/>
    <col min="2307" max="2307" width="8.7109375" style="16" customWidth="1"/>
    <col min="2308" max="2308" width="8" style="16" customWidth="1"/>
    <col min="2309" max="2309" width="8.5703125" style="16" bestFit="1" customWidth="1"/>
    <col min="2310" max="2310" width="8.5703125" style="16" customWidth="1"/>
    <col min="2311" max="2312" width="8.28515625" style="16" customWidth="1"/>
    <col min="2313" max="2319" width="9"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8.7109375" style="16" customWidth="1"/>
    <col min="2563" max="2563" width="8.7109375" style="16" customWidth="1"/>
    <col min="2564" max="2564" width="8" style="16" customWidth="1"/>
    <col min="2565" max="2565" width="8.5703125" style="16" bestFit="1" customWidth="1"/>
    <col min="2566" max="2566" width="8.5703125" style="16" customWidth="1"/>
    <col min="2567" max="2568" width="8.28515625" style="16" customWidth="1"/>
    <col min="2569" max="2575" width="9"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8.7109375" style="16" customWidth="1"/>
    <col min="2819" max="2819" width="8.7109375" style="16" customWidth="1"/>
    <col min="2820" max="2820" width="8" style="16" customWidth="1"/>
    <col min="2821" max="2821" width="8.5703125" style="16" bestFit="1" customWidth="1"/>
    <col min="2822" max="2822" width="8.5703125" style="16" customWidth="1"/>
    <col min="2823" max="2824" width="8.28515625" style="16" customWidth="1"/>
    <col min="2825" max="2831" width="9"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8.7109375" style="16" customWidth="1"/>
    <col min="3075" max="3075" width="8.7109375" style="16" customWidth="1"/>
    <col min="3076" max="3076" width="8" style="16" customWidth="1"/>
    <col min="3077" max="3077" width="8.5703125" style="16" bestFit="1" customWidth="1"/>
    <col min="3078" max="3078" width="8.5703125" style="16" customWidth="1"/>
    <col min="3079" max="3080" width="8.28515625" style="16" customWidth="1"/>
    <col min="3081" max="3087" width="9"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8.7109375" style="16" customWidth="1"/>
    <col min="3331" max="3331" width="8.7109375" style="16" customWidth="1"/>
    <col min="3332" max="3332" width="8" style="16" customWidth="1"/>
    <col min="3333" max="3333" width="8.5703125" style="16" bestFit="1" customWidth="1"/>
    <col min="3334" max="3334" width="8.5703125" style="16" customWidth="1"/>
    <col min="3335" max="3336" width="8.28515625" style="16" customWidth="1"/>
    <col min="3337" max="3343" width="9"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8.7109375" style="16" customWidth="1"/>
    <col min="3587" max="3587" width="8.7109375" style="16" customWidth="1"/>
    <col min="3588" max="3588" width="8" style="16" customWidth="1"/>
    <col min="3589" max="3589" width="8.5703125" style="16" bestFit="1" customWidth="1"/>
    <col min="3590" max="3590" width="8.5703125" style="16" customWidth="1"/>
    <col min="3591" max="3592" width="8.28515625" style="16" customWidth="1"/>
    <col min="3593" max="3599" width="9"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8.7109375" style="16" customWidth="1"/>
    <col min="3843" max="3843" width="8.7109375" style="16" customWidth="1"/>
    <col min="3844" max="3844" width="8" style="16" customWidth="1"/>
    <col min="3845" max="3845" width="8.5703125" style="16" bestFit="1" customWidth="1"/>
    <col min="3846" max="3846" width="8.5703125" style="16" customWidth="1"/>
    <col min="3847" max="3848" width="8.28515625" style="16" customWidth="1"/>
    <col min="3849" max="3855" width="9"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8.7109375" style="16" customWidth="1"/>
    <col min="4099" max="4099" width="8.7109375" style="16" customWidth="1"/>
    <col min="4100" max="4100" width="8" style="16" customWidth="1"/>
    <col min="4101" max="4101" width="8.5703125" style="16" bestFit="1" customWidth="1"/>
    <col min="4102" max="4102" width="8.5703125" style="16" customWidth="1"/>
    <col min="4103" max="4104" width="8.28515625" style="16" customWidth="1"/>
    <col min="4105" max="4111" width="9"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8.7109375" style="16" customWidth="1"/>
    <col min="4355" max="4355" width="8.7109375" style="16" customWidth="1"/>
    <col min="4356" max="4356" width="8" style="16" customWidth="1"/>
    <col min="4357" max="4357" width="8.5703125" style="16" bestFit="1" customWidth="1"/>
    <col min="4358" max="4358" width="8.5703125" style="16" customWidth="1"/>
    <col min="4359" max="4360" width="8.28515625" style="16" customWidth="1"/>
    <col min="4361" max="4367" width="9"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8.7109375" style="16" customWidth="1"/>
    <col min="4611" max="4611" width="8.7109375" style="16" customWidth="1"/>
    <col min="4612" max="4612" width="8" style="16" customWidth="1"/>
    <col min="4613" max="4613" width="8.5703125" style="16" bestFit="1" customWidth="1"/>
    <col min="4614" max="4614" width="8.5703125" style="16" customWidth="1"/>
    <col min="4615" max="4616" width="8.28515625" style="16" customWidth="1"/>
    <col min="4617" max="4623" width="9"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8.7109375" style="16" customWidth="1"/>
    <col min="4867" max="4867" width="8.7109375" style="16" customWidth="1"/>
    <col min="4868" max="4868" width="8" style="16" customWidth="1"/>
    <col min="4869" max="4869" width="8.5703125" style="16" bestFit="1" customWidth="1"/>
    <col min="4870" max="4870" width="8.5703125" style="16" customWidth="1"/>
    <col min="4871" max="4872" width="8.28515625" style="16" customWidth="1"/>
    <col min="4873" max="4879" width="9"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8.7109375" style="16" customWidth="1"/>
    <col min="5123" max="5123" width="8.7109375" style="16" customWidth="1"/>
    <col min="5124" max="5124" width="8" style="16" customWidth="1"/>
    <col min="5125" max="5125" width="8.5703125" style="16" bestFit="1" customWidth="1"/>
    <col min="5126" max="5126" width="8.5703125" style="16" customWidth="1"/>
    <col min="5127" max="5128" width="8.28515625" style="16" customWidth="1"/>
    <col min="5129" max="5135" width="9"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8.7109375" style="16" customWidth="1"/>
    <col min="5379" max="5379" width="8.7109375" style="16" customWidth="1"/>
    <col min="5380" max="5380" width="8" style="16" customWidth="1"/>
    <col min="5381" max="5381" width="8.5703125" style="16" bestFit="1" customWidth="1"/>
    <col min="5382" max="5382" width="8.5703125" style="16" customWidth="1"/>
    <col min="5383" max="5384" width="8.28515625" style="16" customWidth="1"/>
    <col min="5385" max="5391" width="9"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8.7109375" style="16" customWidth="1"/>
    <col min="5635" max="5635" width="8.7109375" style="16" customWidth="1"/>
    <col min="5636" max="5636" width="8" style="16" customWidth="1"/>
    <col min="5637" max="5637" width="8.5703125" style="16" bestFit="1" customWidth="1"/>
    <col min="5638" max="5638" width="8.5703125" style="16" customWidth="1"/>
    <col min="5639" max="5640" width="8.28515625" style="16" customWidth="1"/>
    <col min="5641" max="5647" width="9"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8.7109375" style="16" customWidth="1"/>
    <col min="5891" max="5891" width="8.7109375" style="16" customWidth="1"/>
    <col min="5892" max="5892" width="8" style="16" customWidth="1"/>
    <col min="5893" max="5893" width="8.5703125" style="16" bestFit="1" customWidth="1"/>
    <col min="5894" max="5894" width="8.5703125" style="16" customWidth="1"/>
    <col min="5895" max="5896" width="8.28515625" style="16" customWidth="1"/>
    <col min="5897" max="5903" width="9"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8.7109375" style="16" customWidth="1"/>
    <col min="6147" max="6147" width="8.7109375" style="16" customWidth="1"/>
    <col min="6148" max="6148" width="8" style="16" customWidth="1"/>
    <col min="6149" max="6149" width="8.5703125" style="16" bestFit="1" customWidth="1"/>
    <col min="6150" max="6150" width="8.5703125" style="16" customWidth="1"/>
    <col min="6151" max="6152" width="8.28515625" style="16" customWidth="1"/>
    <col min="6153" max="6159" width="9"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8.7109375" style="16" customWidth="1"/>
    <col min="6403" max="6403" width="8.7109375" style="16" customWidth="1"/>
    <col min="6404" max="6404" width="8" style="16" customWidth="1"/>
    <col min="6405" max="6405" width="8.5703125" style="16" bestFit="1" customWidth="1"/>
    <col min="6406" max="6406" width="8.5703125" style="16" customWidth="1"/>
    <col min="6407" max="6408" width="8.28515625" style="16" customWidth="1"/>
    <col min="6409" max="6415" width="9"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8.7109375" style="16" customWidth="1"/>
    <col min="6659" max="6659" width="8.7109375" style="16" customWidth="1"/>
    <col min="6660" max="6660" width="8" style="16" customWidth="1"/>
    <col min="6661" max="6661" width="8.5703125" style="16" bestFit="1" customWidth="1"/>
    <col min="6662" max="6662" width="8.5703125" style="16" customWidth="1"/>
    <col min="6663" max="6664" width="8.28515625" style="16" customWidth="1"/>
    <col min="6665" max="6671" width="9"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8.7109375" style="16" customWidth="1"/>
    <col min="6915" max="6915" width="8.7109375" style="16" customWidth="1"/>
    <col min="6916" max="6916" width="8" style="16" customWidth="1"/>
    <col min="6917" max="6917" width="8.5703125" style="16" bestFit="1" customWidth="1"/>
    <col min="6918" max="6918" width="8.5703125" style="16" customWidth="1"/>
    <col min="6919" max="6920" width="8.28515625" style="16" customWidth="1"/>
    <col min="6921" max="6927" width="9"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8.7109375" style="16" customWidth="1"/>
    <col min="7171" max="7171" width="8.7109375" style="16" customWidth="1"/>
    <col min="7172" max="7172" width="8" style="16" customWidth="1"/>
    <col min="7173" max="7173" width="8.5703125" style="16" bestFit="1" customWidth="1"/>
    <col min="7174" max="7174" width="8.5703125" style="16" customWidth="1"/>
    <col min="7175" max="7176" width="8.28515625" style="16" customWidth="1"/>
    <col min="7177" max="7183" width="9"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8.7109375" style="16" customWidth="1"/>
    <col min="7427" max="7427" width="8.7109375" style="16" customWidth="1"/>
    <col min="7428" max="7428" width="8" style="16" customWidth="1"/>
    <col min="7429" max="7429" width="8.5703125" style="16" bestFit="1" customWidth="1"/>
    <col min="7430" max="7430" width="8.5703125" style="16" customWidth="1"/>
    <col min="7431" max="7432" width="8.28515625" style="16" customWidth="1"/>
    <col min="7433" max="7439" width="9"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8.7109375" style="16" customWidth="1"/>
    <col min="7683" max="7683" width="8.7109375" style="16" customWidth="1"/>
    <col min="7684" max="7684" width="8" style="16" customWidth="1"/>
    <col min="7685" max="7685" width="8.5703125" style="16" bestFit="1" customWidth="1"/>
    <col min="7686" max="7686" width="8.5703125" style="16" customWidth="1"/>
    <col min="7687" max="7688" width="8.28515625" style="16" customWidth="1"/>
    <col min="7689" max="7695" width="9"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8.7109375" style="16" customWidth="1"/>
    <col min="7939" max="7939" width="8.7109375" style="16" customWidth="1"/>
    <col min="7940" max="7940" width="8" style="16" customWidth="1"/>
    <col min="7941" max="7941" width="8.5703125" style="16" bestFit="1" customWidth="1"/>
    <col min="7942" max="7942" width="8.5703125" style="16" customWidth="1"/>
    <col min="7943" max="7944" width="8.28515625" style="16" customWidth="1"/>
    <col min="7945" max="7951" width="9"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8.7109375" style="16" customWidth="1"/>
    <col min="8195" max="8195" width="8.7109375" style="16" customWidth="1"/>
    <col min="8196" max="8196" width="8" style="16" customWidth="1"/>
    <col min="8197" max="8197" width="8.5703125" style="16" bestFit="1" customWidth="1"/>
    <col min="8198" max="8198" width="8.5703125" style="16" customWidth="1"/>
    <col min="8199" max="8200" width="8.28515625" style="16" customWidth="1"/>
    <col min="8201" max="8207" width="9"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8.7109375" style="16" customWidth="1"/>
    <col min="8451" max="8451" width="8.7109375" style="16" customWidth="1"/>
    <col min="8452" max="8452" width="8" style="16" customWidth="1"/>
    <col min="8453" max="8453" width="8.5703125" style="16" bestFit="1" customWidth="1"/>
    <col min="8454" max="8454" width="8.5703125" style="16" customWidth="1"/>
    <col min="8455" max="8456" width="8.28515625" style="16" customWidth="1"/>
    <col min="8457" max="8463" width="9"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8.7109375" style="16" customWidth="1"/>
    <col min="8707" max="8707" width="8.7109375" style="16" customWidth="1"/>
    <col min="8708" max="8708" width="8" style="16" customWidth="1"/>
    <col min="8709" max="8709" width="8.5703125" style="16" bestFit="1" customWidth="1"/>
    <col min="8710" max="8710" width="8.5703125" style="16" customWidth="1"/>
    <col min="8711" max="8712" width="8.28515625" style="16" customWidth="1"/>
    <col min="8713" max="8719" width="9"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8.7109375" style="16" customWidth="1"/>
    <col min="8963" max="8963" width="8.7109375" style="16" customWidth="1"/>
    <col min="8964" max="8964" width="8" style="16" customWidth="1"/>
    <col min="8965" max="8965" width="8.5703125" style="16" bestFit="1" customWidth="1"/>
    <col min="8966" max="8966" width="8.5703125" style="16" customWidth="1"/>
    <col min="8967" max="8968" width="8.28515625" style="16" customWidth="1"/>
    <col min="8969" max="8975" width="9"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8.7109375" style="16" customWidth="1"/>
    <col min="9219" max="9219" width="8.7109375" style="16" customWidth="1"/>
    <col min="9220" max="9220" width="8" style="16" customWidth="1"/>
    <col min="9221" max="9221" width="8.5703125" style="16" bestFit="1" customWidth="1"/>
    <col min="9222" max="9222" width="8.5703125" style="16" customWidth="1"/>
    <col min="9223" max="9224" width="8.28515625" style="16" customWidth="1"/>
    <col min="9225" max="9231" width="9"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8.7109375" style="16" customWidth="1"/>
    <col min="9475" max="9475" width="8.7109375" style="16" customWidth="1"/>
    <col min="9476" max="9476" width="8" style="16" customWidth="1"/>
    <col min="9477" max="9477" width="8.5703125" style="16" bestFit="1" customWidth="1"/>
    <col min="9478" max="9478" width="8.5703125" style="16" customWidth="1"/>
    <col min="9479" max="9480" width="8.28515625" style="16" customWidth="1"/>
    <col min="9481" max="9487" width="9"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8.7109375" style="16" customWidth="1"/>
    <col min="9731" max="9731" width="8.7109375" style="16" customWidth="1"/>
    <col min="9732" max="9732" width="8" style="16" customWidth="1"/>
    <col min="9733" max="9733" width="8.5703125" style="16" bestFit="1" customWidth="1"/>
    <col min="9734" max="9734" width="8.5703125" style="16" customWidth="1"/>
    <col min="9735" max="9736" width="8.28515625" style="16" customWidth="1"/>
    <col min="9737" max="9743" width="9"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8.7109375" style="16" customWidth="1"/>
    <col min="9987" max="9987" width="8.7109375" style="16" customWidth="1"/>
    <col min="9988" max="9988" width="8" style="16" customWidth="1"/>
    <col min="9989" max="9989" width="8.5703125" style="16" bestFit="1" customWidth="1"/>
    <col min="9990" max="9990" width="8.5703125" style="16" customWidth="1"/>
    <col min="9991" max="9992" width="8.28515625" style="16" customWidth="1"/>
    <col min="9993" max="9999" width="9"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8.7109375" style="16" customWidth="1"/>
    <col min="10243" max="10243" width="8.7109375" style="16" customWidth="1"/>
    <col min="10244" max="10244" width="8" style="16" customWidth="1"/>
    <col min="10245" max="10245" width="8.5703125" style="16" bestFit="1" customWidth="1"/>
    <col min="10246" max="10246" width="8.5703125" style="16" customWidth="1"/>
    <col min="10247" max="10248" width="8.28515625" style="16" customWidth="1"/>
    <col min="10249" max="10255" width="9"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8.7109375" style="16" customWidth="1"/>
    <col min="10499" max="10499" width="8.7109375" style="16" customWidth="1"/>
    <col min="10500" max="10500" width="8" style="16" customWidth="1"/>
    <col min="10501" max="10501" width="8.5703125" style="16" bestFit="1" customWidth="1"/>
    <col min="10502" max="10502" width="8.5703125" style="16" customWidth="1"/>
    <col min="10503" max="10504" width="8.28515625" style="16" customWidth="1"/>
    <col min="10505" max="10511" width="9"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8.7109375" style="16" customWidth="1"/>
    <col min="10755" max="10755" width="8.7109375" style="16" customWidth="1"/>
    <col min="10756" max="10756" width="8" style="16" customWidth="1"/>
    <col min="10757" max="10757" width="8.5703125" style="16" bestFit="1" customWidth="1"/>
    <col min="10758" max="10758" width="8.5703125" style="16" customWidth="1"/>
    <col min="10759" max="10760" width="8.28515625" style="16" customWidth="1"/>
    <col min="10761" max="10767" width="9"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8.7109375" style="16" customWidth="1"/>
    <col min="11011" max="11011" width="8.7109375" style="16" customWidth="1"/>
    <col min="11012" max="11012" width="8" style="16" customWidth="1"/>
    <col min="11013" max="11013" width="8.5703125" style="16" bestFit="1" customWidth="1"/>
    <col min="11014" max="11014" width="8.5703125" style="16" customWidth="1"/>
    <col min="11015" max="11016" width="8.28515625" style="16" customWidth="1"/>
    <col min="11017" max="11023" width="9"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8.7109375" style="16" customWidth="1"/>
    <col min="11267" max="11267" width="8.7109375" style="16" customWidth="1"/>
    <col min="11268" max="11268" width="8" style="16" customWidth="1"/>
    <col min="11269" max="11269" width="8.5703125" style="16" bestFit="1" customWidth="1"/>
    <col min="11270" max="11270" width="8.5703125" style="16" customWidth="1"/>
    <col min="11271" max="11272" width="8.28515625" style="16" customWidth="1"/>
    <col min="11273" max="11279" width="9"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8.7109375" style="16" customWidth="1"/>
    <col min="11523" max="11523" width="8.7109375" style="16" customWidth="1"/>
    <col min="11524" max="11524" width="8" style="16" customWidth="1"/>
    <col min="11525" max="11525" width="8.5703125" style="16" bestFit="1" customWidth="1"/>
    <col min="11526" max="11526" width="8.5703125" style="16" customWidth="1"/>
    <col min="11527" max="11528" width="8.28515625" style="16" customWidth="1"/>
    <col min="11529" max="11535" width="9"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8.7109375" style="16" customWidth="1"/>
    <col min="11779" max="11779" width="8.7109375" style="16" customWidth="1"/>
    <col min="11780" max="11780" width="8" style="16" customWidth="1"/>
    <col min="11781" max="11781" width="8.5703125" style="16" bestFit="1" customWidth="1"/>
    <col min="11782" max="11782" width="8.5703125" style="16" customWidth="1"/>
    <col min="11783" max="11784" width="8.28515625" style="16" customWidth="1"/>
    <col min="11785" max="11791" width="9"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8.7109375" style="16" customWidth="1"/>
    <col min="12035" max="12035" width="8.7109375" style="16" customWidth="1"/>
    <col min="12036" max="12036" width="8" style="16" customWidth="1"/>
    <col min="12037" max="12037" width="8.5703125" style="16" bestFit="1" customWidth="1"/>
    <col min="12038" max="12038" width="8.5703125" style="16" customWidth="1"/>
    <col min="12039" max="12040" width="8.28515625" style="16" customWidth="1"/>
    <col min="12041" max="12047" width="9"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8.7109375" style="16" customWidth="1"/>
    <col min="12291" max="12291" width="8.7109375" style="16" customWidth="1"/>
    <col min="12292" max="12292" width="8" style="16" customWidth="1"/>
    <col min="12293" max="12293" width="8.5703125" style="16" bestFit="1" customWidth="1"/>
    <col min="12294" max="12294" width="8.5703125" style="16" customWidth="1"/>
    <col min="12295" max="12296" width="8.28515625" style="16" customWidth="1"/>
    <col min="12297" max="12303" width="9"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8.7109375" style="16" customWidth="1"/>
    <col min="12547" max="12547" width="8.7109375" style="16" customWidth="1"/>
    <col min="12548" max="12548" width="8" style="16" customWidth="1"/>
    <col min="12549" max="12549" width="8.5703125" style="16" bestFit="1" customWidth="1"/>
    <col min="12550" max="12550" width="8.5703125" style="16" customWidth="1"/>
    <col min="12551" max="12552" width="8.28515625" style="16" customWidth="1"/>
    <col min="12553" max="12559" width="9"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8.7109375" style="16" customWidth="1"/>
    <col min="12803" max="12803" width="8.7109375" style="16" customWidth="1"/>
    <col min="12804" max="12804" width="8" style="16" customWidth="1"/>
    <col min="12805" max="12805" width="8.5703125" style="16" bestFit="1" customWidth="1"/>
    <col min="12806" max="12806" width="8.5703125" style="16" customWidth="1"/>
    <col min="12807" max="12808" width="8.28515625" style="16" customWidth="1"/>
    <col min="12809" max="12815" width="9"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8.7109375" style="16" customWidth="1"/>
    <col min="13059" max="13059" width="8.7109375" style="16" customWidth="1"/>
    <col min="13060" max="13060" width="8" style="16" customWidth="1"/>
    <col min="13061" max="13061" width="8.5703125" style="16" bestFit="1" customWidth="1"/>
    <col min="13062" max="13062" width="8.5703125" style="16" customWidth="1"/>
    <col min="13063" max="13064" width="8.28515625" style="16" customWidth="1"/>
    <col min="13065" max="13071" width="9"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8.7109375" style="16" customWidth="1"/>
    <col min="13315" max="13315" width="8.7109375" style="16" customWidth="1"/>
    <col min="13316" max="13316" width="8" style="16" customWidth="1"/>
    <col min="13317" max="13317" width="8.5703125" style="16" bestFit="1" customWidth="1"/>
    <col min="13318" max="13318" width="8.5703125" style="16" customWidth="1"/>
    <col min="13319" max="13320" width="8.28515625" style="16" customWidth="1"/>
    <col min="13321" max="13327" width="9"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8.7109375" style="16" customWidth="1"/>
    <col min="13571" max="13571" width="8.7109375" style="16" customWidth="1"/>
    <col min="13572" max="13572" width="8" style="16" customWidth="1"/>
    <col min="13573" max="13573" width="8.5703125" style="16" bestFit="1" customWidth="1"/>
    <col min="13574" max="13574" width="8.5703125" style="16" customWidth="1"/>
    <col min="13575" max="13576" width="8.28515625" style="16" customWidth="1"/>
    <col min="13577" max="13583" width="9"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8.7109375" style="16" customWidth="1"/>
    <col min="13827" max="13827" width="8.7109375" style="16" customWidth="1"/>
    <col min="13828" max="13828" width="8" style="16" customWidth="1"/>
    <col min="13829" max="13829" width="8.5703125" style="16" bestFit="1" customWidth="1"/>
    <col min="13830" max="13830" width="8.5703125" style="16" customWidth="1"/>
    <col min="13831" max="13832" width="8.28515625" style="16" customWidth="1"/>
    <col min="13833" max="13839" width="9"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8.7109375" style="16" customWidth="1"/>
    <col min="14083" max="14083" width="8.7109375" style="16" customWidth="1"/>
    <col min="14084" max="14084" width="8" style="16" customWidth="1"/>
    <col min="14085" max="14085" width="8.5703125" style="16" bestFit="1" customWidth="1"/>
    <col min="14086" max="14086" width="8.5703125" style="16" customWidth="1"/>
    <col min="14087" max="14088" width="8.28515625" style="16" customWidth="1"/>
    <col min="14089" max="14095" width="9"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8.7109375" style="16" customWidth="1"/>
    <col min="14339" max="14339" width="8.7109375" style="16" customWidth="1"/>
    <col min="14340" max="14340" width="8" style="16" customWidth="1"/>
    <col min="14341" max="14341" width="8.5703125" style="16" bestFit="1" customWidth="1"/>
    <col min="14342" max="14342" width="8.5703125" style="16" customWidth="1"/>
    <col min="14343" max="14344" width="8.28515625" style="16" customWidth="1"/>
    <col min="14345" max="14351" width="9"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8.7109375" style="16" customWidth="1"/>
    <col min="14595" max="14595" width="8.7109375" style="16" customWidth="1"/>
    <col min="14596" max="14596" width="8" style="16" customWidth="1"/>
    <col min="14597" max="14597" width="8.5703125" style="16" bestFit="1" customWidth="1"/>
    <col min="14598" max="14598" width="8.5703125" style="16" customWidth="1"/>
    <col min="14599" max="14600" width="8.28515625" style="16" customWidth="1"/>
    <col min="14601" max="14607" width="9"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8.7109375" style="16" customWidth="1"/>
    <col min="14851" max="14851" width="8.7109375" style="16" customWidth="1"/>
    <col min="14852" max="14852" width="8" style="16" customWidth="1"/>
    <col min="14853" max="14853" width="8.5703125" style="16" bestFit="1" customWidth="1"/>
    <col min="14854" max="14854" width="8.5703125" style="16" customWidth="1"/>
    <col min="14855" max="14856" width="8.28515625" style="16" customWidth="1"/>
    <col min="14857" max="14863" width="9"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8.7109375" style="16" customWidth="1"/>
    <col min="15107" max="15107" width="8.7109375" style="16" customWidth="1"/>
    <col min="15108" max="15108" width="8" style="16" customWidth="1"/>
    <col min="15109" max="15109" width="8.5703125" style="16" bestFit="1" customWidth="1"/>
    <col min="15110" max="15110" width="8.5703125" style="16" customWidth="1"/>
    <col min="15111" max="15112" width="8.28515625" style="16" customWidth="1"/>
    <col min="15113" max="15119" width="9"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8.7109375" style="16" customWidth="1"/>
    <col min="15363" max="15363" width="8.7109375" style="16" customWidth="1"/>
    <col min="15364" max="15364" width="8" style="16" customWidth="1"/>
    <col min="15365" max="15365" width="8.5703125" style="16" bestFit="1" customWidth="1"/>
    <col min="15366" max="15366" width="8.5703125" style="16" customWidth="1"/>
    <col min="15367" max="15368" width="8.28515625" style="16" customWidth="1"/>
    <col min="15369" max="15375" width="9"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8.7109375" style="16" customWidth="1"/>
    <col min="15619" max="15619" width="8.7109375" style="16" customWidth="1"/>
    <col min="15620" max="15620" width="8" style="16" customWidth="1"/>
    <col min="15621" max="15621" width="8.5703125" style="16" bestFit="1" customWidth="1"/>
    <col min="15622" max="15622" width="8.5703125" style="16" customWidth="1"/>
    <col min="15623" max="15624" width="8.28515625" style="16" customWidth="1"/>
    <col min="15625" max="15631" width="9"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8.7109375" style="16" customWidth="1"/>
    <col min="15875" max="15875" width="8.7109375" style="16" customWidth="1"/>
    <col min="15876" max="15876" width="8" style="16" customWidth="1"/>
    <col min="15877" max="15877" width="8.5703125" style="16" bestFit="1" customWidth="1"/>
    <col min="15878" max="15878" width="8.5703125" style="16" customWidth="1"/>
    <col min="15879" max="15880" width="8.28515625" style="16" customWidth="1"/>
    <col min="15881" max="15887" width="9"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8.7109375" style="16" customWidth="1"/>
    <col min="16131" max="16131" width="8.7109375" style="16" customWidth="1"/>
    <col min="16132" max="16132" width="8" style="16" customWidth="1"/>
    <col min="16133" max="16133" width="8.5703125" style="16" bestFit="1" customWidth="1"/>
    <col min="16134" max="16134" width="8.5703125" style="16" customWidth="1"/>
    <col min="16135" max="16136" width="8.28515625" style="16" customWidth="1"/>
    <col min="16137" max="16143" width="9"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67" t="s">
        <v>100</v>
      </c>
      <c r="B1" s="868"/>
      <c r="C1" s="868"/>
      <c r="D1" s="911" t="s">
        <v>326</v>
      </c>
      <c r="E1" s="868"/>
      <c r="F1" s="868"/>
      <c r="G1" s="867" t="s">
        <v>102</v>
      </c>
      <c r="H1" s="869"/>
      <c r="I1" s="869" t="s">
        <v>67</v>
      </c>
      <c r="J1" s="868"/>
      <c r="K1" s="868"/>
      <c r="L1" s="870"/>
      <c r="M1" s="870"/>
      <c r="N1" s="870"/>
      <c r="O1" s="870"/>
    </row>
    <row r="2" spans="1:15" s="1" customFormat="1" x14ac:dyDescent="0.2">
      <c r="A2" s="867" t="s">
        <v>103</v>
      </c>
      <c r="B2" s="868"/>
      <c r="C2" s="868"/>
      <c r="D2" s="869"/>
      <c r="E2" s="868"/>
      <c r="F2" s="868"/>
      <c r="G2" s="867" t="s">
        <v>104</v>
      </c>
      <c r="H2" s="869"/>
      <c r="I2" s="869" t="s">
        <v>105</v>
      </c>
      <c r="J2" s="868"/>
      <c r="K2" s="868"/>
      <c r="L2" s="870"/>
      <c r="M2" s="870"/>
      <c r="N2" s="870"/>
      <c r="O2" s="870"/>
    </row>
    <row r="3" spans="1:15" s="1" customFormat="1" x14ac:dyDescent="0.2">
      <c r="A3" s="867" t="s">
        <v>106</v>
      </c>
      <c r="B3" s="868"/>
      <c r="C3" s="868"/>
      <c r="D3" s="883" t="s">
        <v>327</v>
      </c>
      <c r="E3" s="868"/>
      <c r="F3" s="868"/>
      <c r="G3" s="867" t="s">
        <v>107</v>
      </c>
      <c r="H3" s="869"/>
      <c r="I3" s="869" t="s">
        <v>108</v>
      </c>
      <c r="J3" s="868"/>
      <c r="K3" s="868"/>
      <c r="L3" s="870"/>
      <c r="M3" s="870"/>
      <c r="N3" s="870"/>
      <c r="O3" s="870"/>
    </row>
    <row r="4" spans="1:15" s="1" customFormat="1" x14ac:dyDescent="0.2">
      <c r="A4" s="867" t="s">
        <v>109</v>
      </c>
      <c r="B4" s="868"/>
      <c r="C4" s="868"/>
      <c r="D4" s="869"/>
      <c r="E4" s="868"/>
      <c r="F4" s="868"/>
      <c r="G4" s="867" t="s">
        <v>110</v>
      </c>
      <c r="H4" s="869"/>
      <c r="I4" s="869" t="s">
        <v>300</v>
      </c>
      <c r="J4" s="868"/>
      <c r="K4" s="868"/>
      <c r="L4" s="870"/>
      <c r="M4" s="870"/>
      <c r="N4" s="870"/>
      <c r="O4" s="870"/>
    </row>
    <row r="5" spans="1:15" s="1" customFormat="1" x14ac:dyDescent="0.2">
      <c r="A5" s="867" t="s">
        <v>278</v>
      </c>
      <c r="B5" s="868"/>
      <c r="C5" s="868"/>
      <c r="D5" s="869" t="s">
        <v>328</v>
      </c>
      <c r="E5" s="868"/>
      <c r="F5" s="868"/>
      <c r="G5" s="867"/>
      <c r="H5" s="868"/>
      <c r="I5" s="869" t="s">
        <v>113</v>
      </c>
      <c r="J5" s="868"/>
      <c r="K5" s="868"/>
      <c r="L5" s="870"/>
      <c r="M5" s="870"/>
      <c r="N5" s="870"/>
      <c r="O5" s="870"/>
    </row>
    <row r="6" spans="1:15" s="1" customFormat="1" x14ac:dyDescent="0.2">
      <c r="A6" s="871" t="s">
        <v>114</v>
      </c>
      <c r="B6" s="872"/>
      <c r="C6" s="872"/>
      <c r="D6" s="868" t="s">
        <v>68</v>
      </c>
      <c r="E6" s="868"/>
      <c r="F6" s="868"/>
      <c r="G6" s="871" t="s">
        <v>115</v>
      </c>
      <c r="H6" s="871"/>
      <c r="I6" s="2" t="s">
        <v>116</v>
      </c>
      <c r="J6" s="888"/>
      <c r="K6" s="888"/>
      <c r="L6" s="888"/>
      <c r="M6" s="888"/>
      <c r="N6" s="888"/>
      <c r="O6" s="889"/>
    </row>
    <row r="7" spans="1:15" s="1" customFormat="1" ht="13.5" thickBot="1" x14ac:dyDescent="0.25">
      <c r="A7" s="3"/>
      <c r="B7" s="4"/>
      <c r="C7" s="5"/>
      <c r="D7" s="6"/>
      <c r="E7" s="6"/>
      <c r="F7" s="6"/>
      <c r="G7" s="6"/>
      <c r="H7" s="6"/>
      <c r="I7" s="6"/>
      <c r="J7" s="7"/>
      <c r="K7" s="8"/>
      <c r="L7" s="875" t="s">
        <v>223</v>
      </c>
      <c r="M7" s="875"/>
      <c r="N7" s="875"/>
      <c r="O7" s="875"/>
    </row>
    <row r="8" spans="1:15" s="11" customFormat="1" x14ac:dyDescent="0.2">
      <c r="A8" s="876" t="str">
        <f>I1</f>
        <v>Mr. C.D. Walawalkar</v>
      </c>
      <c r="B8" s="877"/>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45400</v>
      </c>
      <c r="D9" s="14">
        <v>45400</v>
      </c>
      <c r="E9" s="14">
        <v>47600</v>
      </c>
      <c r="F9" s="14">
        <v>47600</v>
      </c>
      <c r="G9" s="14">
        <v>49000</v>
      </c>
      <c r="H9" s="14">
        <v>49000</v>
      </c>
      <c r="I9" s="14">
        <v>49000</v>
      </c>
      <c r="J9" s="14">
        <v>49000</v>
      </c>
      <c r="K9" s="14">
        <v>49000</v>
      </c>
      <c r="L9" s="14">
        <v>49000</v>
      </c>
      <c r="M9" s="14">
        <v>49000</v>
      </c>
      <c r="N9" s="14">
        <v>49000</v>
      </c>
      <c r="O9" s="15">
        <f>SUM(C9:N9)</f>
        <v>578000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2270</v>
      </c>
      <c r="D11" s="17">
        <v>3178</v>
      </c>
      <c r="E11" s="17">
        <v>3332</v>
      </c>
      <c r="F11" s="17">
        <v>3332</v>
      </c>
      <c r="G11" s="17">
        <v>3430</v>
      </c>
      <c r="H11" s="17">
        <v>3430</v>
      </c>
      <c r="I11" s="17">
        <v>3430</v>
      </c>
      <c r="J11" s="17">
        <v>4410</v>
      </c>
      <c r="K11" s="17">
        <v>4410</v>
      </c>
      <c r="L11" s="17">
        <v>4410</v>
      </c>
      <c r="M11" s="17">
        <v>4410</v>
      </c>
      <c r="N11" s="17">
        <v>4410</v>
      </c>
      <c r="O11" s="18">
        <f>SUM(C11:N11)</f>
        <v>44452</v>
      </c>
    </row>
    <row r="12" spans="1:15"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x14ac:dyDescent="0.2">
      <c r="A14" s="12"/>
      <c r="B14" s="13" t="s">
        <v>123</v>
      </c>
      <c r="C14" s="17">
        <v>3780</v>
      </c>
      <c r="D14" s="17">
        <v>3852</v>
      </c>
      <c r="E14" s="17">
        <v>3852</v>
      </c>
      <c r="F14" s="17">
        <v>3852</v>
      </c>
      <c r="G14" s="17">
        <v>3852</v>
      </c>
      <c r="H14" s="17">
        <v>3852</v>
      </c>
      <c r="I14" s="17">
        <v>3852</v>
      </c>
      <c r="J14" s="17">
        <v>3924</v>
      </c>
      <c r="K14" s="17">
        <v>3924</v>
      </c>
      <c r="L14" s="17">
        <v>3924</v>
      </c>
      <c r="M14" s="17">
        <v>3924</v>
      </c>
      <c r="N14" s="17">
        <v>3924</v>
      </c>
      <c r="O14" s="18">
        <f t="shared" si="0"/>
        <v>46512</v>
      </c>
    </row>
    <row r="15" spans="1:15" ht="15"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x14ac:dyDescent="0.2">
      <c r="A16" s="12"/>
      <c r="B16" s="13" t="s">
        <v>125</v>
      </c>
      <c r="C16" s="17">
        <v>0</v>
      </c>
      <c r="D16" s="17">
        <v>0</v>
      </c>
      <c r="E16" s="17">
        <v>0</v>
      </c>
      <c r="F16" s="17">
        <v>0</v>
      </c>
      <c r="G16" s="17">
        <v>5000</v>
      </c>
      <c r="H16" s="17">
        <v>0</v>
      </c>
      <c r="I16" s="17">
        <v>0</v>
      </c>
      <c r="J16" s="17">
        <v>0</v>
      </c>
      <c r="K16" s="17">
        <v>0</v>
      </c>
      <c r="L16" s="17">
        <v>0</v>
      </c>
      <c r="M16" s="17">
        <v>0</v>
      </c>
      <c r="N16" s="17">
        <v>0</v>
      </c>
      <c r="O16" s="18">
        <f t="shared" si="0"/>
        <v>5000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10896</v>
      </c>
      <c r="D19" s="17">
        <v>10896</v>
      </c>
      <c r="E19" s="17">
        <v>11424</v>
      </c>
      <c r="F19" s="17">
        <v>11424</v>
      </c>
      <c r="G19" s="17">
        <v>11760</v>
      </c>
      <c r="H19" s="17">
        <v>11760</v>
      </c>
      <c r="I19" s="17">
        <v>11760</v>
      </c>
      <c r="J19" s="17">
        <v>11760</v>
      </c>
      <c r="K19" s="17">
        <v>11760</v>
      </c>
      <c r="L19" s="17">
        <v>11760</v>
      </c>
      <c r="M19" s="17">
        <v>11760</v>
      </c>
      <c r="N19" s="17">
        <v>11760</v>
      </c>
      <c r="O19" s="18">
        <f t="shared" si="0"/>
        <v>138720</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78"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79"/>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5" ht="15" hidden="1" customHeight="1" x14ac:dyDescent="0.2">
      <c r="A23" s="879"/>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79"/>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79"/>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79"/>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79"/>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79"/>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79"/>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79"/>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79"/>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79"/>
      <c r="B32" s="21" t="s">
        <v>142</v>
      </c>
      <c r="C32" s="17">
        <v>0</v>
      </c>
      <c r="D32" s="17">
        <v>0</v>
      </c>
      <c r="E32" s="17">
        <v>0</v>
      </c>
      <c r="F32" s="17">
        <v>61552</v>
      </c>
      <c r="G32" s="17">
        <v>0</v>
      </c>
      <c r="H32" s="17">
        <v>0</v>
      </c>
      <c r="I32" s="17">
        <v>0</v>
      </c>
      <c r="J32" s="17">
        <v>0</v>
      </c>
      <c r="K32" s="17">
        <v>0</v>
      </c>
      <c r="L32" s="17">
        <v>0</v>
      </c>
      <c r="M32" s="17">
        <v>0</v>
      </c>
      <c r="N32" s="17">
        <v>0</v>
      </c>
      <c r="O32" s="18">
        <f t="shared" si="0"/>
        <v>61552</v>
      </c>
    </row>
    <row r="33" spans="1:16" ht="15" hidden="1" customHeight="1" x14ac:dyDescent="0.2">
      <c r="A33" s="880"/>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865" t="s">
        <v>141</v>
      </c>
      <c r="B34" s="866"/>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865" t="s">
        <v>145</v>
      </c>
      <c r="B35" s="866"/>
      <c r="C35" s="17">
        <v>0</v>
      </c>
      <c r="D35" s="17">
        <v>0</v>
      </c>
      <c r="E35" s="17">
        <v>0</v>
      </c>
      <c r="F35" s="17">
        <v>0</v>
      </c>
      <c r="G35" s="17">
        <v>0</v>
      </c>
      <c r="H35" s="17">
        <v>0</v>
      </c>
      <c r="I35" s="17">
        <v>0</v>
      </c>
      <c r="J35" s="17">
        <v>0</v>
      </c>
      <c r="K35" s="17">
        <v>0</v>
      </c>
      <c r="L35" s="17">
        <v>0</v>
      </c>
      <c r="M35" s="17">
        <v>0</v>
      </c>
      <c r="N35" s="17">
        <v>0</v>
      </c>
      <c r="O35" s="18">
        <f t="shared" si="0"/>
        <v>0</v>
      </c>
    </row>
    <row r="36" spans="1:16" ht="15" customHeight="1" x14ac:dyDescent="0.2">
      <c r="A36" s="865" t="s">
        <v>146</v>
      </c>
      <c r="B36" s="866"/>
      <c r="C36" s="17">
        <v>0</v>
      </c>
      <c r="D36" s="17">
        <v>0</v>
      </c>
      <c r="E36" s="17">
        <v>0</v>
      </c>
      <c r="F36" s="17">
        <v>0</v>
      </c>
      <c r="G36" s="17">
        <v>0</v>
      </c>
      <c r="H36" s="17">
        <v>0</v>
      </c>
      <c r="I36" s="17">
        <v>0</v>
      </c>
      <c r="J36" s="17">
        <v>0</v>
      </c>
      <c r="K36" s="17">
        <v>0</v>
      </c>
      <c r="L36" s="17">
        <v>0</v>
      </c>
      <c r="M36" s="17">
        <v>0</v>
      </c>
      <c r="N36" s="17">
        <v>0</v>
      </c>
      <c r="O36" s="18">
        <f t="shared" si="0"/>
        <v>0</v>
      </c>
    </row>
    <row r="37" spans="1:16" ht="15" customHeight="1" x14ac:dyDescent="0.2">
      <c r="A37" s="22"/>
      <c r="B37" s="23" t="s">
        <v>147</v>
      </c>
      <c r="C37" s="24">
        <f t="shared" ref="C37:N37" si="1">SUM(C9:C36)</f>
        <v>62346</v>
      </c>
      <c r="D37" s="24">
        <f t="shared" si="1"/>
        <v>63326</v>
      </c>
      <c r="E37" s="24">
        <f t="shared" si="1"/>
        <v>66208</v>
      </c>
      <c r="F37" s="24">
        <f t="shared" si="1"/>
        <v>127760</v>
      </c>
      <c r="G37" s="24">
        <f t="shared" si="1"/>
        <v>73042</v>
      </c>
      <c r="H37" s="24">
        <f t="shared" si="1"/>
        <v>68042</v>
      </c>
      <c r="I37" s="24">
        <f t="shared" si="1"/>
        <v>68042</v>
      </c>
      <c r="J37" s="24">
        <f t="shared" si="1"/>
        <v>76002</v>
      </c>
      <c r="K37" s="24">
        <f>SUM(K9:K36)</f>
        <v>69094</v>
      </c>
      <c r="L37" s="24">
        <f t="shared" si="1"/>
        <v>69094</v>
      </c>
      <c r="M37" s="24">
        <f t="shared" si="1"/>
        <v>69094</v>
      </c>
      <c r="N37" s="24">
        <f t="shared" si="1"/>
        <v>69094</v>
      </c>
      <c r="O37" s="25">
        <f>SUM(C37:N37)</f>
        <v>881144</v>
      </c>
    </row>
    <row r="38" spans="1:16" ht="15" customHeight="1" x14ac:dyDescent="0.2">
      <c r="A38" s="853" t="s">
        <v>148</v>
      </c>
      <c r="B38" s="27" t="s">
        <v>149</v>
      </c>
      <c r="C38" s="147">
        <v>2400</v>
      </c>
      <c r="D38" s="147">
        <v>3000</v>
      </c>
      <c r="E38" s="147">
        <v>3000</v>
      </c>
      <c r="F38" s="147">
        <v>9155</v>
      </c>
      <c r="G38" s="147">
        <v>3000</v>
      </c>
      <c r="H38" s="147">
        <v>3000</v>
      </c>
      <c r="I38" s="147">
        <v>3000</v>
      </c>
      <c r="J38" s="147">
        <v>3000</v>
      </c>
      <c r="K38" s="147">
        <v>5500</v>
      </c>
      <c r="L38" s="147">
        <v>5487</v>
      </c>
      <c r="M38" s="147">
        <v>5291</v>
      </c>
      <c r="N38" s="147">
        <v>5786</v>
      </c>
      <c r="O38" s="18">
        <f>SUM(C38:N38)</f>
        <v>51619</v>
      </c>
      <c r="P38" s="29"/>
    </row>
    <row r="39" spans="1:16" ht="15" x14ac:dyDescent="0.2">
      <c r="A39" s="854"/>
      <c r="B39" s="27" t="s">
        <v>150</v>
      </c>
      <c r="C39" s="147">
        <v>0</v>
      </c>
      <c r="D39" s="147">
        <v>0</v>
      </c>
      <c r="E39" s="147">
        <v>0</v>
      </c>
      <c r="F39" s="147">
        <v>0</v>
      </c>
      <c r="G39" s="147">
        <v>0</v>
      </c>
      <c r="H39" s="147">
        <v>0</v>
      </c>
      <c r="I39" s="147">
        <v>0</v>
      </c>
      <c r="J39" s="147">
        <v>0</v>
      </c>
      <c r="K39" s="147">
        <v>0</v>
      </c>
      <c r="L39" s="147">
        <v>0</v>
      </c>
      <c r="M39" s="147">
        <v>0</v>
      </c>
      <c r="N39" s="147">
        <v>0</v>
      </c>
      <c r="O39" s="18">
        <f>SUM(C39:N39)</f>
        <v>0</v>
      </c>
    </row>
    <row r="40" spans="1:16" ht="15" x14ac:dyDescent="0.2">
      <c r="A40" s="854"/>
      <c r="B40" s="27" t="s">
        <v>151</v>
      </c>
      <c r="C40" s="147">
        <v>30</v>
      </c>
      <c r="D40" s="147">
        <v>30</v>
      </c>
      <c r="E40" s="147">
        <v>30</v>
      </c>
      <c r="F40" s="147">
        <v>30</v>
      </c>
      <c r="G40" s="147">
        <v>30</v>
      </c>
      <c r="H40" s="147">
        <v>30</v>
      </c>
      <c r="I40" s="147">
        <v>30</v>
      </c>
      <c r="J40" s="147">
        <v>30</v>
      </c>
      <c r="K40" s="147">
        <v>30</v>
      </c>
      <c r="L40" s="147">
        <v>30</v>
      </c>
      <c r="M40" s="147">
        <v>30</v>
      </c>
      <c r="N40" s="147">
        <v>30</v>
      </c>
      <c r="O40" s="18">
        <f t="shared" ref="O40:O50" si="2">SUM(C40:N40)</f>
        <v>360</v>
      </c>
    </row>
    <row r="41" spans="1:16" ht="15" x14ac:dyDescent="0.2">
      <c r="A41" s="854"/>
      <c r="B41" s="27" t="s">
        <v>152</v>
      </c>
      <c r="C41" s="147">
        <v>0</v>
      </c>
      <c r="D41" s="147">
        <v>0</v>
      </c>
      <c r="E41" s="147">
        <v>0</v>
      </c>
      <c r="F41" s="147">
        <v>0</v>
      </c>
      <c r="G41" s="147">
        <v>0</v>
      </c>
      <c r="H41" s="147">
        <v>0</v>
      </c>
      <c r="I41" s="147">
        <v>0</v>
      </c>
      <c r="J41" s="147">
        <v>0</v>
      </c>
      <c r="K41" s="147">
        <v>0</v>
      </c>
      <c r="L41" s="147">
        <v>0</v>
      </c>
      <c r="M41" s="147">
        <v>0</v>
      </c>
      <c r="N41" s="147">
        <v>0</v>
      </c>
      <c r="O41" s="18">
        <f t="shared" si="2"/>
        <v>0</v>
      </c>
    </row>
    <row r="42" spans="1:16" ht="15" x14ac:dyDescent="0.2">
      <c r="A42" s="854"/>
      <c r="B42" s="27" t="s">
        <v>153</v>
      </c>
      <c r="C42" s="147">
        <v>250</v>
      </c>
      <c r="D42" s="147">
        <v>250</v>
      </c>
      <c r="E42" s="147">
        <v>250</v>
      </c>
      <c r="F42" s="147">
        <v>250</v>
      </c>
      <c r="G42" s="147">
        <v>250</v>
      </c>
      <c r="H42" s="147">
        <v>250</v>
      </c>
      <c r="I42" s="147">
        <v>250</v>
      </c>
      <c r="J42" s="147">
        <v>250</v>
      </c>
      <c r="K42" s="147">
        <v>250</v>
      </c>
      <c r="L42" s="147">
        <v>250</v>
      </c>
      <c r="M42" s="147">
        <v>250</v>
      </c>
      <c r="N42" s="147">
        <v>250</v>
      </c>
      <c r="O42" s="18">
        <f t="shared" si="2"/>
        <v>3000</v>
      </c>
    </row>
    <row r="43" spans="1:16" ht="15" x14ac:dyDescent="0.2">
      <c r="A43" s="854"/>
      <c r="B43" s="27" t="s">
        <v>154</v>
      </c>
      <c r="C43" s="147">
        <v>16000</v>
      </c>
      <c r="D43" s="147">
        <v>25000</v>
      </c>
      <c r="E43" s="147">
        <v>25000</v>
      </c>
      <c r="F43" s="147">
        <v>25000</v>
      </c>
      <c r="G43" s="147">
        <v>25000</v>
      </c>
      <c r="H43" s="147">
        <v>25000</v>
      </c>
      <c r="I43" s="147">
        <v>25000</v>
      </c>
      <c r="J43" s="147">
        <v>25000</v>
      </c>
      <c r="K43" s="147">
        <v>25000</v>
      </c>
      <c r="L43" s="147">
        <v>25000</v>
      </c>
      <c r="M43" s="147">
        <v>25000</v>
      </c>
      <c r="N43" s="147">
        <v>25000</v>
      </c>
      <c r="O43" s="18">
        <f t="shared" si="2"/>
        <v>291000</v>
      </c>
    </row>
    <row r="44" spans="1:16" ht="15" x14ac:dyDescent="0.2">
      <c r="A44" s="854"/>
      <c r="B44" s="27" t="s">
        <v>155</v>
      </c>
      <c r="C44" s="147">
        <v>200</v>
      </c>
      <c r="D44" s="147">
        <v>200</v>
      </c>
      <c r="E44" s="147">
        <v>200</v>
      </c>
      <c r="F44" s="147">
        <v>200</v>
      </c>
      <c r="G44" s="147">
        <v>200</v>
      </c>
      <c r="H44" s="147">
        <v>200</v>
      </c>
      <c r="I44" s="147">
        <v>200</v>
      </c>
      <c r="J44" s="147">
        <v>200</v>
      </c>
      <c r="K44" s="147">
        <v>200</v>
      </c>
      <c r="L44" s="147">
        <v>200</v>
      </c>
      <c r="M44" s="147">
        <v>200</v>
      </c>
      <c r="N44" s="147">
        <v>300</v>
      </c>
      <c r="O44" s="18">
        <f t="shared" si="2"/>
        <v>2500</v>
      </c>
    </row>
    <row r="45" spans="1:16" ht="15" x14ac:dyDescent="0.2">
      <c r="A45" s="854"/>
      <c r="B45" s="27" t="s">
        <v>156</v>
      </c>
      <c r="C45" s="147">
        <v>0</v>
      </c>
      <c r="D45" s="147">
        <v>0</v>
      </c>
      <c r="E45" s="147">
        <v>0</v>
      </c>
      <c r="F45" s="147">
        <v>0</v>
      </c>
      <c r="G45" s="147">
        <v>0</v>
      </c>
      <c r="H45" s="147">
        <v>0</v>
      </c>
      <c r="I45" s="147">
        <v>0</v>
      </c>
      <c r="J45" s="147">
        <v>0</v>
      </c>
      <c r="K45" s="147">
        <v>0</v>
      </c>
      <c r="L45" s="147">
        <v>0</v>
      </c>
      <c r="M45" s="147">
        <v>0</v>
      </c>
      <c r="N45" s="147">
        <v>0</v>
      </c>
      <c r="O45" s="18">
        <f t="shared" si="2"/>
        <v>0</v>
      </c>
    </row>
    <row r="46" spans="1:16" ht="15" x14ac:dyDescent="0.2">
      <c r="A46" s="854"/>
      <c r="B46" s="27" t="s">
        <v>157</v>
      </c>
      <c r="C46" s="147">
        <v>0</v>
      </c>
      <c r="D46" s="147">
        <v>0</v>
      </c>
      <c r="E46" s="147">
        <v>0</v>
      </c>
      <c r="F46" s="147">
        <v>0</v>
      </c>
      <c r="G46" s="147">
        <v>0</v>
      </c>
      <c r="H46" s="147">
        <v>0</v>
      </c>
      <c r="I46" s="147">
        <v>0</v>
      </c>
      <c r="J46" s="147">
        <v>0</v>
      </c>
      <c r="K46" s="147">
        <v>0</v>
      </c>
      <c r="L46" s="147">
        <v>0</v>
      </c>
      <c r="M46" s="147">
        <v>0</v>
      </c>
      <c r="N46" s="147">
        <v>0</v>
      </c>
      <c r="O46" s="18">
        <f t="shared" si="2"/>
        <v>0</v>
      </c>
    </row>
    <row r="47" spans="1:16" ht="28.5" customHeight="1" x14ac:dyDescent="0.2">
      <c r="A47" s="855"/>
      <c r="B47" s="30" t="s">
        <v>294</v>
      </c>
      <c r="C47" s="147">
        <v>2641</v>
      </c>
      <c r="D47" s="147">
        <v>2641</v>
      </c>
      <c r="E47" s="147">
        <v>2641</v>
      </c>
      <c r="F47" s="147">
        <v>2641</v>
      </c>
      <c r="G47" s="147">
        <v>2641</v>
      </c>
      <c r="H47" s="147">
        <v>2641</v>
      </c>
      <c r="I47" s="147">
        <v>2641</v>
      </c>
      <c r="J47" s="147">
        <v>2641</v>
      </c>
      <c r="K47" s="147">
        <v>2641</v>
      </c>
      <c r="L47" s="147">
        <v>2641</v>
      </c>
      <c r="M47" s="147">
        <v>2641</v>
      </c>
      <c r="N47" s="147">
        <v>2641</v>
      </c>
      <c r="O47" s="31">
        <f t="shared" si="2"/>
        <v>31692</v>
      </c>
    </row>
    <row r="48" spans="1:16" ht="30" x14ac:dyDescent="0.2">
      <c r="A48" s="856"/>
      <c r="B48" s="127" t="s">
        <v>329</v>
      </c>
      <c r="C48" s="147">
        <v>0</v>
      </c>
      <c r="D48" s="147">
        <v>0</v>
      </c>
      <c r="E48" s="147">
        <v>0</v>
      </c>
      <c r="F48" s="147">
        <v>0</v>
      </c>
      <c r="G48" s="147">
        <v>0</v>
      </c>
      <c r="H48" s="147">
        <v>0</v>
      </c>
      <c r="I48" s="147">
        <v>0</v>
      </c>
      <c r="J48" s="147">
        <v>0</v>
      </c>
      <c r="K48" s="147">
        <v>0</v>
      </c>
      <c r="L48" s="147">
        <v>0</v>
      </c>
      <c r="M48" s="147">
        <v>0</v>
      </c>
      <c r="N48" s="147">
        <v>0</v>
      </c>
      <c r="O48" s="31">
        <f t="shared" si="2"/>
        <v>0</v>
      </c>
    </row>
    <row r="49" spans="1:18" ht="15" x14ac:dyDescent="0.2">
      <c r="A49" s="857" t="s">
        <v>160</v>
      </c>
      <c r="B49" s="858"/>
      <c r="C49" s="33">
        <f t="shared" ref="C49:N49" si="3">SUM(C38:C48)</f>
        <v>21521</v>
      </c>
      <c r="D49" s="33">
        <f t="shared" si="3"/>
        <v>31121</v>
      </c>
      <c r="E49" s="33">
        <f t="shared" si="3"/>
        <v>31121</v>
      </c>
      <c r="F49" s="33">
        <f t="shared" si="3"/>
        <v>37276</v>
      </c>
      <c r="G49" s="33">
        <f t="shared" si="3"/>
        <v>31121</v>
      </c>
      <c r="H49" s="33">
        <f t="shared" si="3"/>
        <v>31121</v>
      </c>
      <c r="I49" s="33">
        <f t="shared" si="3"/>
        <v>31121</v>
      </c>
      <c r="J49" s="33">
        <f t="shared" si="3"/>
        <v>31121</v>
      </c>
      <c r="K49" s="33">
        <f t="shared" si="3"/>
        <v>33621</v>
      </c>
      <c r="L49" s="33">
        <f t="shared" si="3"/>
        <v>33608</v>
      </c>
      <c r="M49" s="33">
        <f t="shared" si="3"/>
        <v>33412</v>
      </c>
      <c r="N49" s="33">
        <f t="shared" si="3"/>
        <v>34007</v>
      </c>
      <c r="O49" s="34">
        <f t="shared" si="2"/>
        <v>380171</v>
      </c>
    </row>
    <row r="50" spans="1:18" ht="15.75" thickBot="1" x14ac:dyDescent="0.25">
      <c r="A50" s="859" t="s">
        <v>161</v>
      </c>
      <c r="B50" s="860"/>
      <c r="C50" s="35">
        <f t="shared" ref="C50:N50" si="4">C37-C49</f>
        <v>40825</v>
      </c>
      <c r="D50" s="35">
        <f t="shared" si="4"/>
        <v>32205</v>
      </c>
      <c r="E50" s="35">
        <f t="shared" si="4"/>
        <v>35087</v>
      </c>
      <c r="F50" s="35">
        <f t="shared" si="4"/>
        <v>90484</v>
      </c>
      <c r="G50" s="35">
        <f t="shared" si="4"/>
        <v>41921</v>
      </c>
      <c r="H50" s="35">
        <f t="shared" si="4"/>
        <v>36921</v>
      </c>
      <c r="I50" s="35">
        <f t="shared" si="4"/>
        <v>36921</v>
      </c>
      <c r="J50" s="35">
        <f t="shared" si="4"/>
        <v>44881</v>
      </c>
      <c r="K50" s="35">
        <f t="shared" si="4"/>
        <v>35473</v>
      </c>
      <c r="L50" s="35">
        <f t="shared" si="4"/>
        <v>35486</v>
      </c>
      <c r="M50" s="35">
        <f t="shared" si="4"/>
        <v>35682</v>
      </c>
      <c r="N50" s="35">
        <f t="shared" si="4"/>
        <v>35087</v>
      </c>
      <c r="O50" s="36">
        <f t="shared" si="2"/>
        <v>500973</v>
      </c>
    </row>
    <row r="51" spans="1:18" x14ac:dyDescent="0.2">
      <c r="J51" s="128">
        <f>+J37-SUM(J22:J36)</f>
        <v>69094</v>
      </c>
    </row>
    <row r="52" spans="1:18" ht="13.5" thickBot="1" x14ac:dyDescent="0.25">
      <c r="J52" s="38">
        <f>+J51-J49</f>
        <v>37973</v>
      </c>
    </row>
    <row r="53" spans="1:18" ht="13.5" thickBot="1" x14ac:dyDescent="0.25">
      <c r="B53" s="789" t="s">
        <v>162</v>
      </c>
      <c r="C53" s="861"/>
      <c r="D53" s="861"/>
      <c r="E53" s="861"/>
      <c r="F53" s="862"/>
      <c r="G53" s="863">
        <f>O37</f>
        <v>881144</v>
      </c>
      <c r="H53" s="864"/>
    </row>
    <row r="54" spans="1:18" ht="13.5" thickBot="1" x14ac:dyDescent="0.25"/>
    <row r="55" spans="1:18" x14ac:dyDescent="0.2">
      <c r="B55" s="830" t="s">
        <v>163</v>
      </c>
      <c r="C55" s="833" t="s">
        <v>164</v>
      </c>
      <c r="D55" s="836" t="s">
        <v>330</v>
      </c>
      <c r="E55" s="837"/>
      <c r="F55" s="838"/>
      <c r="G55" s="839">
        <v>40000</v>
      </c>
      <c r="H55" s="840"/>
    </row>
    <row r="56" spans="1:18" x14ac:dyDescent="0.2">
      <c r="B56" s="831"/>
      <c r="C56" s="834"/>
      <c r="D56" s="841" t="s">
        <v>166</v>
      </c>
      <c r="E56" s="842"/>
      <c r="F56" s="843"/>
      <c r="G56" s="844">
        <f>+O44</f>
        <v>2500</v>
      </c>
      <c r="H56" s="845"/>
      <c r="I56" s="39"/>
      <c r="J56" s="846"/>
      <c r="K56" s="846"/>
      <c r="L56" s="846"/>
      <c r="M56" s="847"/>
      <c r="N56" s="847"/>
      <c r="O56" s="847"/>
    </row>
    <row r="57" spans="1:18" x14ac:dyDescent="0.2">
      <c r="B57" s="886"/>
      <c r="C57" s="887"/>
      <c r="D57" s="153" t="s">
        <v>129</v>
      </c>
      <c r="E57" s="41"/>
      <c r="F57" s="42"/>
      <c r="G57" s="43"/>
      <c r="H57" s="44">
        <v>0</v>
      </c>
      <c r="I57" s="39"/>
      <c r="J57" s="45"/>
      <c r="K57" s="45"/>
      <c r="L57" s="45"/>
      <c r="M57" s="46"/>
      <c r="N57" s="46"/>
      <c r="O57" s="46"/>
    </row>
    <row r="58" spans="1:18" ht="13.5" thickBot="1" x14ac:dyDescent="0.25">
      <c r="B58" s="832"/>
      <c r="C58" s="835"/>
      <c r="D58" s="921" t="s">
        <v>167</v>
      </c>
      <c r="E58" s="849"/>
      <c r="F58" s="850"/>
      <c r="G58" s="851">
        <f>IF(O18&gt;15000,15000,+O18)</f>
        <v>0</v>
      </c>
      <c r="H58" s="852"/>
      <c r="J58" s="47"/>
      <c r="K58" s="47"/>
      <c r="L58" s="47"/>
      <c r="M58" s="47"/>
      <c r="N58" s="47"/>
      <c r="O58" s="47"/>
    </row>
    <row r="59" spans="1:18" ht="13.5" thickBot="1" x14ac:dyDescent="0.25">
      <c r="B59" s="48"/>
      <c r="J59" s="47"/>
      <c r="K59" s="47"/>
      <c r="L59" s="47"/>
      <c r="M59" s="47"/>
      <c r="N59" s="47"/>
      <c r="O59" s="47"/>
    </row>
    <row r="60" spans="1:18" ht="13.5" thickBot="1" x14ac:dyDescent="0.25">
      <c r="B60" s="789" t="s">
        <v>168</v>
      </c>
      <c r="C60" s="790"/>
      <c r="D60" s="790"/>
      <c r="E60" s="790"/>
      <c r="F60" s="791"/>
      <c r="G60" s="825">
        <f>+G53-SUM(G55:H58)</f>
        <v>838644</v>
      </c>
      <c r="H60" s="826"/>
      <c r="J60" s="827" t="s">
        <v>169</v>
      </c>
      <c r="K60" s="828"/>
      <c r="L60" s="828"/>
      <c r="M60" s="828"/>
      <c r="N60" s="828"/>
      <c r="O60" s="829"/>
    </row>
    <row r="61" spans="1:18" ht="13.5" thickBot="1" x14ac:dyDescent="0.25">
      <c r="B61" s="49"/>
      <c r="C61" s="50"/>
      <c r="D61" s="50"/>
      <c r="E61" s="50"/>
      <c r="F61" s="50"/>
      <c r="G61" s="45"/>
      <c r="H61" s="50"/>
      <c r="J61" s="129"/>
      <c r="K61" s="130"/>
      <c r="L61" s="130"/>
      <c r="M61" s="130"/>
      <c r="N61" s="130"/>
      <c r="O61" s="131"/>
    </row>
    <row r="62" spans="1:18" ht="13.5" thickBot="1" x14ac:dyDescent="0.25">
      <c r="B62" s="789" t="s">
        <v>170</v>
      </c>
      <c r="C62" s="790"/>
      <c r="D62" s="790"/>
      <c r="E62" s="790"/>
      <c r="F62" s="791"/>
      <c r="G62" s="805"/>
      <c r="H62" s="791"/>
      <c r="J62" s="129"/>
      <c r="K62" s="130"/>
      <c r="L62" s="130"/>
      <c r="M62" s="130"/>
      <c r="N62" s="130"/>
      <c r="O62" s="131"/>
    </row>
    <row r="63" spans="1:18" ht="12.75" customHeight="1" x14ac:dyDescent="0.2">
      <c r="B63" s="57" t="s">
        <v>171</v>
      </c>
      <c r="C63" s="806" t="s">
        <v>172</v>
      </c>
      <c r="D63" s="807"/>
      <c r="E63" s="807"/>
      <c r="F63" s="808"/>
      <c r="G63" s="809">
        <v>0</v>
      </c>
      <c r="H63" s="809"/>
      <c r="I63" s="58"/>
      <c r="J63" s="810" t="s">
        <v>173</v>
      </c>
      <c r="K63" s="811"/>
      <c r="L63" s="811"/>
      <c r="M63" s="811"/>
      <c r="N63" s="811"/>
      <c r="O63" s="812"/>
      <c r="Q63" s="59"/>
      <c r="R63" s="59"/>
    </row>
    <row r="64" spans="1:18" ht="13.5" thickBot="1" x14ac:dyDescent="0.25">
      <c r="D64" s="37"/>
      <c r="I64" s="58"/>
      <c r="J64" s="60" t="s">
        <v>254</v>
      </c>
      <c r="K64" s="61"/>
      <c r="L64" s="61"/>
      <c r="M64" s="61"/>
      <c r="N64" s="61"/>
      <c r="O64" s="62"/>
      <c r="Q64" s="59"/>
      <c r="R64" s="59"/>
    </row>
    <row r="65" spans="2:18" ht="13.5" thickBot="1" x14ac:dyDescent="0.25">
      <c r="B65" s="789" t="s">
        <v>175</v>
      </c>
      <c r="C65" s="790"/>
      <c r="D65" s="790"/>
      <c r="E65" s="790"/>
      <c r="F65" s="791"/>
      <c r="G65" s="805">
        <f>+G60-G63</f>
        <v>838644</v>
      </c>
      <c r="H65" s="791"/>
      <c r="I65" s="63"/>
      <c r="J65" s="64"/>
      <c r="K65" s="39"/>
      <c r="L65" s="39"/>
      <c r="M65" s="39"/>
      <c r="N65" s="39"/>
      <c r="O65" s="65"/>
      <c r="Q65" s="59"/>
      <c r="R65" s="59"/>
    </row>
    <row r="66" spans="2:18" ht="12.75" customHeight="1" x14ac:dyDescent="0.2">
      <c r="B66" s="48"/>
      <c r="C66" s="48"/>
      <c r="I66" s="63"/>
      <c r="J66" s="64"/>
      <c r="K66" s="39"/>
      <c r="L66" s="39"/>
      <c r="M66" s="39"/>
      <c r="N66" s="39"/>
      <c r="O66" s="65"/>
      <c r="Q66" s="59"/>
      <c r="R66" s="59"/>
    </row>
    <row r="67" spans="2:18" x14ac:dyDescent="0.2">
      <c r="B67" s="66" t="s">
        <v>176</v>
      </c>
      <c r="C67" s="48"/>
      <c r="I67" s="63"/>
      <c r="J67" s="67"/>
      <c r="K67" s="68"/>
      <c r="L67" s="68"/>
      <c r="M67" s="68"/>
      <c r="N67" s="68"/>
      <c r="O67" s="69"/>
      <c r="Q67" s="59"/>
      <c r="R67" s="59"/>
    </row>
    <row r="68" spans="2:18" ht="26.25" customHeight="1" thickBot="1" x14ac:dyDescent="0.25">
      <c r="B68" s="66"/>
      <c r="C68" s="48"/>
      <c r="G68" s="70" t="s">
        <v>177</v>
      </c>
      <c r="H68" s="70" t="s">
        <v>178</v>
      </c>
      <c r="I68" s="63"/>
      <c r="J68" s="810" t="s">
        <v>179</v>
      </c>
      <c r="K68" s="811"/>
      <c r="L68" s="71"/>
      <c r="M68" s="71"/>
      <c r="N68" s="71"/>
      <c r="O68" s="72"/>
      <c r="Q68" s="59"/>
      <c r="R68" s="59"/>
    </row>
    <row r="69" spans="2:18" ht="12.75" customHeight="1" x14ac:dyDescent="0.2">
      <c r="B69" s="802" t="s">
        <v>180</v>
      </c>
      <c r="C69" s="821" t="s">
        <v>181</v>
      </c>
      <c r="D69" s="823" t="s">
        <v>182</v>
      </c>
      <c r="E69" s="824"/>
      <c r="F69" s="824"/>
      <c r="G69" s="73">
        <f>+O43</f>
        <v>291000</v>
      </c>
      <c r="H69" s="74">
        <f t="shared" ref="H69:H77" si="5">+G69</f>
        <v>291000</v>
      </c>
      <c r="I69" s="63"/>
      <c r="J69" s="75" t="s">
        <v>231</v>
      </c>
      <c r="K69" s="58"/>
      <c r="L69" s="58"/>
      <c r="M69" s="135"/>
      <c r="N69" s="135"/>
      <c r="O69" s="76"/>
      <c r="Q69" s="59"/>
      <c r="R69" s="59"/>
    </row>
    <row r="70" spans="2:18" ht="12.75" customHeight="1" x14ac:dyDescent="0.2">
      <c r="B70" s="803"/>
      <c r="C70" s="822"/>
      <c r="D70" s="782" t="s">
        <v>184</v>
      </c>
      <c r="E70" s="783"/>
      <c r="F70" s="783"/>
      <c r="G70" s="77">
        <v>25414</v>
      </c>
      <c r="H70" s="78">
        <f t="shared" si="5"/>
        <v>25414</v>
      </c>
      <c r="I70" s="63"/>
      <c r="J70" s="181"/>
      <c r="K70" s="135"/>
      <c r="L70" s="135"/>
      <c r="M70" s="135"/>
      <c r="N70" s="135"/>
      <c r="O70" s="136"/>
      <c r="Q70" s="59"/>
      <c r="R70" s="59"/>
    </row>
    <row r="71" spans="2:18" ht="12.75" customHeight="1" x14ac:dyDescent="0.2">
      <c r="B71" s="803"/>
      <c r="C71" s="822"/>
      <c r="D71" s="819" t="s">
        <v>185</v>
      </c>
      <c r="E71" s="820"/>
      <c r="F71" s="820"/>
      <c r="G71" s="80">
        <f>O40</f>
        <v>360</v>
      </c>
      <c r="H71" s="78">
        <f t="shared" si="5"/>
        <v>360</v>
      </c>
      <c r="I71" s="63"/>
      <c r="J71" s="181"/>
      <c r="K71" s="182"/>
      <c r="L71" s="135"/>
      <c r="M71" s="135"/>
      <c r="N71" s="135"/>
      <c r="O71" s="136"/>
    </row>
    <row r="72" spans="2:18" x14ac:dyDescent="0.2">
      <c r="B72" s="803"/>
      <c r="C72" s="822"/>
      <c r="D72" s="782" t="s">
        <v>186</v>
      </c>
      <c r="E72" s="783"/>
      <c r="F72" s="783"/>
      <c r="G72" s="81">
        <v>0</v>
      </c>
      <c r="H72" s="78">
        <f t="shared" si="5"/>
        <v>0</v>
      </c>
      <c r="I72" s="63"/>
      <c r="J72" s="181"/>
      <c r="K72" s="183"/>
      <c r="L72" s="183"/>
      <c r="M72" s="135"/>
      <c r="N72" s="135"/>
      <c r="O72" s="184"/>
    </row>
    <row r="73" spans="2:18" ht="12.75" customHeight="1" x14ac:dyDescent="0.2">
      <c r="B73" s="803"/>
      <c r="C73" s="822"/>
      <c r="D73" s="784" t="s">
        <v>188</v>
      </c>
      <c r="E73" s="783"/>
      <c r="F73" s="783"/>
      <c r="G73" s="80">
        <v>0</v>
      </c>
      <c r="H73" s="78">
        <f t="shared" si="5"/>
        <v>0</v>
      </c>
      <c r="I73" s="63"/>
      <c r="J73" s="181"/>
      <c r="K73" s="183"/>
      <c r="L73" s="183"/>
      <c r="M73" s="135"/>
      <c r="N73" s="135"/>
      <c r="O73" s="184"/>
    </row>
    <row r="74" spans="2:18" ht="14.25" customHeight="1" x14ac:dyDescent="0.2">
      <c r="B74" s="803"/>
      <c r="C74" s="822"/>
      <c r="D74" s="782" t="s">
        <v>190</v>
      </c>
      <c r="E74" s="783"/>
      <c r="F74" s="783"/>
      <c r="G74" s="84">
        <v>0</v>
      </c>
      <c r="H74" s="78">
        <f t="shared" si="5"/>
        <v>0</v>
      </c>
      <c r="I74" s="63"/>
      <c r="J74" s="181"/>
      <c r="K74" s="183"/>
      <c r="L74" s="183"/>
      <c r="M74" s="183"/>
      <c r="N74" s="183"/>
      <c r="O74" s="184"/>
    </row>
    <row r="75" spans="2:18" x14ac:dyDescent="0.2">
      <c r="B75" s="803"/>
      <c r="C75" s="822"/>
      <c r="D75" s="782" t="s">
        <v>191</v>
      </c>
      <c r="E75" s="783"/>
      <c r="F75" s="783"/>
      <c r="G75" s="81">
        <v>0</v>
      </c>
      <c r="H75" s="78">
        <f t="shared" si="5"/>
        <v>0</v>
      </c>
      <c r="I75" s="58"/>
      <c r="J75" s="150"/>
      <c r="K75" s="50"/>
      <c r="L75" s="50"/>
      <c r="M75" s="50"/>
      <c r="N75" s="50"/>
      <c r="O75" s="83"/>
    </row>
    <row r="76" spans="2:18" x14ac:dyDescent="0.2">
      <c r="B76" s="803"/>
      <c r="C76" s="88" t="s">
        <v>192</v>
      </c>
      <c r="D76" s="813" t="s">
        <v>193</v>
      </c>
      <c r="E76" s="814"/>
      <c r="F76" s="814"/>
      <c r="G76" s="80">
        <v>0</v>
      </c>
      <c r="H76" s="78">
        <f t="shared" si="5"/>
        <v>0</v>
      </c>
      <c r="I76" s="58"/>
      <c r="J76" s="82" t="s">
        <v>187</v>
      </c>
      <c r="K76" s="71"/>
      <c r="L76" s="71"/>
      <c r="M76" s="71"/>
      <c r="N76" s="71"/>
      <c r="O76" s="72"/>
    </row>
    <row r="77" spans="2:18" ht="13.5" customHeight="1" thickBot="1" x14ac:dyDescent="0.25">
      <c r="B77" s="803"/>
      <c r="C77" s="88" t="s">
        <v>194</v>
      </c>
      <c r="D77" s="815" t="s">
        <v>195</v>
      </c>
      <c r="E77" s="815"/>
      <c r="F77" s="815"/>
      <c r="G77" s="89">
        <v>0</v>
      </c>
      <c r="H77" s="90">
        <f t="shared" si="5"/>
        <v>0</v>
      </c>
      <c r="I77" s="63"/>
      <c r="J77" s="75" t="s">
        <v>189</v>
      </c>
      <c r="K77" s="50"/>
      <c r="L77" s="50"/>
      <c r="M77" s="50"/>
      <c r="N77" s="50"/>
      <c r="O77" s="83">
        <f>+O42</f>
        <v>3000</v>
      </c>
    </row>
    <row r="78" spans="2:18" ht="13.5" thickBot="1" x14ac:dyDescent="0.25">
      <c r="B78" s="803"/>
      <c r="C78" s="93"/>
      <c r="D78" s="94"/>
      <c r="E78" s="816" t="s">
        <v>117</v>
      </c>
      <c r="F78" s="817"/>
      <c r="G78" s="95">
        <f>SUM(G69:G77)</f>
        <v>316774</v>
      </c>
      <c r="H78" s="96">
        <f>IF(SUM(G69:G75)&lt;150000,SUM(G69:G75),150000)+IF(+G76&lt;20000,+G76,20000)</f>
        <v>150000</v>
      </c>
      <c r="I78" s="63"/>
      <c r="J78" s="185" t="s">
        <v>331</v>
      </c>
      <c r="K78" s="141"/>
      <c r="L78" s="141"/>
      <c r="M78" s="142"/>
      <c r="N78" s="142"/>
      <c r="O78" s="143"/>
    </row>
    <row r="79" spans="2:18" ht="12.75" customHeight="1" x14ac:dyDescent="0.2">
      <c r="B79" s="803"/>
      <c r="C79" s="100" t="s">
        <v>196</v>
      </c>
      <c r="D79" s="782" t="s">
        <v>187</v>
      </c>
      <c r="E79" s="783"/>
      <c r="F79" s="818"/>
      <c r="G79" s="73">
        <f>+O42+O78</f>
        <v>3000</v>
      </c>
      <c r="H79" s="101">
        <f>+IF(+G79&lt;25000,+G79,25000)</f>
        <v>3000</v>
      </c>
      <c r="I79" s="87"/>
      <c r="J79" s="16" t="s">
        <v>332</v>
      </c>
    </row>
    <row r="80" spans="2:18" x14ac:dyDescent="0.2">
      <c r="B80" s="803"/>
      <c r="C80" s="100" t="s">
        <v>197</v>
      </c>
      <c r="D80" s="784" t="s">
        <v>198</v>
      </c>
      <c r="E80" s="785"/>
      <c r="F80" s="786"/>
      <c r="G80" s="102"/>
      <c r="H80" s="103">
        <f>+IF(+G80&lt;40000,+G80,40000)</f>
        <v>0</v>
      </c>
      <c r="I80" s="63"/>
    </row>
    <row r="81" spans="2:13" x14ac:dyDescent="0.2">
      <c r="B81" s="803"/>
      <c r="C81" s="100" t="s">
        <v>199</v>
      </c>
      <c r="D81" s="784" t="s">
        <v>200</v>
      </c>
      <c r="E81" s="785"/>
      <c r="F81" s="786"/>
      <c r="G81" s="81"/>
      <c r="H81" s="104">
        <v>0</v>
      </c>
      <c r="I81" s="63"/>
    </row>
    <row r="82" spans="2:13" x14ac:dyDescent="0.2">
      <c r="B82" s="803"/>
      <c r="C82" s="100" t="s">
        <v>201</v>
      </c>
      <c r="D82" s="784" t="s">
        <v>202</v>
      </c>
      <c r="E82" s="785"/>
      <c r="F82" s="786"/>
      <c r="G82" s="81"/>
      <c r="H82" s="104">
        <v>0</v>
      </c>
      <c r="I82" s="63"/>
      <c r="K82" s="172"/>
      <c r="L82" s="172"/>
      <c r="M82" s="172"/>
    </row>
    <row r="83" spans="2:13" ht="13.5" thickBot="1" x14ac:dyDescent="0.25">
      <c r="B83" s="804"/>
      <c r="C83" s="100" t="s">
        <v>203</v>
      </c>
      <c r="D83" s="784" t="s">
        <v>204</v>
      </c>
      <c r="E83" s="785"/>
      <c r="F83" s="786"/>
      <c r="G83" s="102"/>
      <c r="H83" s="103">
        <f>+IF(+G83&lt;100000,+G83,10000)</f>
        <v>0</v>
      </c>
      <c r="I83" s="63"/>
    </row>
    <row r="84" spans="2:13" ht="13.5" thickBot="1" x14ac:dyDescent="0.25">
      <c r="B84" s="787" t="s">
        <v>205</v>
      </c>
      <c r="C84" s="788"/>
      <c r="D84" s="788"/>
      <c r="E84" s="788"/>
      <c r="F84" s="788"/>
      <c r="G84" s="107">
        <f>SUM(G79:G83)</f>
        <v>3000</v>
      </c>
      <c r="H84" s="108">
        <f>SUM(H78:H83)</f>
        <v>153000</v>
      </c>
      <c r="J84" s="106"/>
    </row>
    <row r="85" spans="2:13" ht="13.5" thickBot="1" x14ac:dyDescent="0.25"/>
    <row r="86" spans="2:13" ht="13.5" thickBot="1" x14ac:dyDescent="0.25">
      <c r="B86" s="789" t="s">
        <v>206</v>
      </c>
      <c r="C86" s="790"/>
      <c r="D86" s="790"/>
      <c r="E86" s="790"/>
      <c r="F86" s="791"/>
      <c r="G86" s="792">
        <f>+G65-H84</f>
        <v>685644</v>
      </c>
      <c r="H86" s="791"/>
      <c r="J86" s="109">
        <f>C37+D37+E37+F37</f>
        <v>319640</v>
      </c>
      <c r="K86" s="16" t="s">
        <v>235</v>
      </c>
    </row>
    <row r="87" spans="2:13" x14ac:dyDescent="0.2">
      <c r="B87" s="110"/>
      <c r="F87" s="105"/>
      <c r="J87" s="109">
        <f>G37+H37+I37</f>
        <v>209126</v>
      </c>
      <c r="K87" s="16" t="s">
        <v>236</v>
      </c>
    </row>
    <row r="88" spans="2:13" x14ac:dyDescent="0.2">
      <c r="C88" s="793" t="s">
        <v>207</v>
      </c>
      <c r="D88" s="794"/>
      <c r="E88" s="111" t="s">
        <v>208</v>
      </c>
      <c r="F88" s="111" t="s">
        <v>209</v>
      </c>
      <c r="G88" s="111" t="s">
        <v>210</v>
      </c>
      <c r="H88" s="111" t="s">
        <v>211</v>
      </c>
      <c r="J88" s="109">
        <f>J37+K37+L37</f>
        <v>214190</v>
      </c>
      <c r="K88" s="47" t="s">
        <v>237</v>
      </c>
    </row>
    <row r="89" spans="2:13" x14ac:dyDescent="0.2">
      <c r="C89" s="795" t="str">
        <f>IF(I6="M","0          - 250000","0          -  250000")</f>
        <v>0          - 250000</v>
      </c>
      <c r="D89" s="796"/>
      <c r="E89" s="112">
        <v>0</v>
      </c>
      <c r="F89" s="113">
        <f>IF(I6="M",(IF(G86&lt;250000,G86,250000)),(IF(G86&lt;250000,G86,250000)))</f>
        <v>250000</v>
      </c>
      <c r="G89" s="113">
        <f>G86-F89</f>
        <v>435644</v>
      </c>
      <c r="H89" s="113">
        <f>E89*F89</f>
        <v>0</v>
      </c>
      <c r="J89" s="16">
        <f>M37+N37</f>
        <v>138188</v>
      </c>
      <c r="K89" s="1" t="s">
        <v>238</v>
      </c>
    </row>
    <row r="90" spans="2:13" x14ac:dyDescent="0.2">
      <c r="C90" s="795" t="str">
        <f>IF(I6="M","250001 - 500000","250001-500000")</f>
        <v>250001 - 500000</v>
      </c>
      <c r="D90" s="796"/>
      <c r="E90" s="112">
        <v>0.05</v>
      </c>
      <c r="F90" s="113">
        <f>IF(I6="M",(IF(G89&lt;250000,G89,250000)),(IF(G89&lt;250000,G89,250000)))</f>
        <v>250000</v>
      </c>
      <c r="G90" s="113">
        <f>G89-F90</f>
        <v>185644</v>
      </c>
      <c r="H90" s="114">
        <f>ROUND(E90*F90,0.1)</f>
        <v>12500</v>
      </c>
      <c r="J90" s="115">
        <f>SUM(J86:J89)</f>
        <v>881144</v>
      </c>
    </row>
    <row r="91" spans="2:13" x14ac:dyDescent="0.2">
      <c r="C91" s="797" t="s">
        <v>212</v>
      </c>
      <c r="D91" s="798"/>
      <c r="E91" s="112">
        <v>0.2</v>
      </c>
      <c r="F91" s="113">
        <f>IF(G90&lt;500000,G90,500000)</f>
        <v>185644</v>
      </c>
      <c r="G91" s="113">
        <f>G90-F91</f>
        <v>0</v>
      </c>
      <c r="H91" s="114">
        <f>ROUND(E91*F91,0.1)</f>
        <v>37129</v>
      </c>
      <c r="J91" s="16">
        <f>+G86</f>
        <v>685644</v>
      </c>
    </row>
    <row r="92" spans="2:13" x14ac:dyDescent="0.2">
      <c r="C92" s="795" t="s">
        <v>213</v>
      </c>
      <c r="D92" s="796"/>
      <c r="E92" s="112">
        <v>0.3</v>
      </c>
      <c r="F92" s="113">
        <f>G91</f>
        <v>0</v>
      </c>
      <c r="G92" s="113">
        <f>G91-F92</f>
        <v>0</v>
      </c>
      <c r="H92" s="114">
        <f>ROUND(E92*F92,0.1)</f>
        <v>0</v>
      </c>
      <c r="J92" s="16">
        <f>+J90-J91</f>
        <v>195500</v>
      </c>
    </row>
    <row r="93" spans="2:13" ht="12.75" customHeight="1" thickBot="1" x14ac:dyDescent="0.25">
      <c r="B93" s="116"/>
      <c r="C93" s="117"/>
      <c r="D93" s="47"/>
      <c r="E93" s="47"/>
      <c r="F93" s="47"/>
      <c r="J93" s="87"/>
      <c r="K93" s="118"/>
    </row>
    <row r="94" spans="2:13" ht="13.5" thickBot="1" x14ac:dyDescent="0.25">
      <c r="B94" s="799" t="s">
        <v>239</v>
      </c>
      <c r="C94" s="800"/>
      <c r="D94" s="800"/>
      <c r="E94" s="800"/>
      <c r="F94" s="801"/>
      <c r="G94" s="771">
        <f>H89+H90+H91+H92</f>
        <v>49629</v>
      </c>
      <c r="H94" s="772"/>
    </row>
    <row r="95" spans="2:13" ht="13.5" thickBot="1" x14ac:dyDescent="0.25">
      <c r="B95" s="154" t="s">
        <v>215</v>
      </c>
      <c r="C95" s="174"/>
      <c r="D95" s="174"/>
      <c r="E95" s="174"/>
      <c r="F95" s="174"/>
      <c r="G95" s="1048">
        <f>IF((G65&lt;500000),5000,0)</f>
        <v>0</v>
      </c>
      <c r="H95" s="1049">
        <f>IF(H93&lt;200000,0,IF(H93&lt;220000,((H93-200000)*10%),IF(H93&lt;=500000,2000,IF(H93&gt;=500000,0))))</f>
        <v>0</v>
      </c>
      <c r="J95" s="1"/>
      <c r="K95" s="121"/>
      <c r="L95" s="121"/>
    </row>
    <row r="96" spans="2:13" ht="13.5" thickBot="1" x14ac:dyDescent="0.25">
      <c r="B96" s="122" t="s">
        <v>216</v>
      </c>
      <c r="C96" s="123"/>
      <c r="D96" s="123"/>
      <c r="E96" s="123"/>
      <c r="F96" s="123"/>
      <c r="G96" s="771">
        <f>IF((G94-G95)&lt;0,0,(G94-G95))</f>
        <v>49629</v>
      </c>
      <c r="H96" s="772"/>
      <c r="I96" s="37"/>
    </row>
    <row r="97" spans="2:9" ht="13.5" thickBot="1" x14ac:dyDescent="0.25">
      <c r="B97" s="773" t="s">
        <v>240</v>
      </c>
      <c r="C97" s="774"/>
      <c r="D97" s="774"/>
      <c r="E97" s="774"/>
      <c r="F97" s="775"/>
      <c r="G97" s="776">
        <f>ROUND((IF(G96&gt;0,(G96*4%),0)),0)</f>
        <v>1985</v>
      </c>
      <c r="H97" s="777"/>
      <c r="I97" s="37"/>
    </row>
    <row r="98" spans="2:9" ht="13.5" thickBot="1" x14ac:dyDescent="0.25">
      <c r="B98" s="778" t="s">
        <v>218</v>
      </c>
      <c r="C98" s="779"/>
      <c r="D98" s="779"/>
      <c r="E98" s="779"/>
      <c r="F98" s="779"/>
      <c r="G98" s="780">
        <f>G96+G97</f>
        <v>51614</v>
      </c>
      <c r="H98" s="781"/>
      <c r="I98" s="121"/>
    </row>
    <row r="99" spans="2:9" ht="13.5" thickBot="1" x14ac:dyDescent="0.25">
      <c r="B99" s="765" t="s">
        <v>219</v>
      </c>
      <c r="C99" s="766"/>
      <c r="D99" s="766"/>
      <c r="E99" s="766"/>
      <c r="F99" s="766"/>
      <c r="G99" s="767">
        <f>O38</f>
        <v>51619</v>
      </c>
      <c r="H99" s="768"/>
      <c r="I99" s="121"/>
    </row>
    <row r="100" spans="2:9" ht="13.5" thickBot="1" x14ac:dyDescent="0.25">
      <c r="B100" s="765" t="str">
        <f>IF(G100&gt;0,"TAX PAYABLE","TAX REFUND")</f>
        <v>TAX REFUND</v>
      </c>
      <c r="C100" s="766"/>
      <c r="D100" s="766"/>
      <c r="E100" s="766"/>
      <c r="F100" s="766"/>
      <c r="G100" s="767">
        <f>+G98-G99</f>
        <v>-5</v>
      </c>
      <c r="H100" s="768"/>
      <c r="I100" s="37"/>
    </row>
    <row r="101" spans="2:9" x14ac:dyDescent="0.2">
      <c r="C101" s="124"/>
      <c r="D101" s="45"/>
      <c r="E101" s="118"/>
      <c r="F101" s="118"/>
      <c r="G101" s="118"/>
      <c r="H101" s="118"/>
      <c r="I101" s="125"/>
    </row>
    <row r="102" spans="2:9" x14ac:dyDescent="0.2">
      <c r="C102" s="47"/>
      <c r="D102" s="50"/>
      <c r="E102" s="117"/>
      <c r="F102" s="47"/>
      <c r="G102" s="47"/>
      <c r="H102" s="47"/>
      <c r="I102" s="125"/>
    </row>
    <row r="103" spans="2:9" x14ac:dyDescent="0.2">
      <c r="C103" s="39"/>
      <c r="D103" s="126"/>
      <c r="E103" s="126"/>
      <c r="F103" s="126"/>
      <c r="G103" s="39"/>
      <c r="H103" s="39"/>
      <c r="I103" s="37"/>
    </row>
    <row r="104" spans="2:9" x14ac:dyDescent="0.2">
      <c r="C104" s="39"/>
      <c r="D104" s="126"/>
      <c r="E104" s="126"/>
      <c r="F104" s="39"/>
      <c r="G104" s="39"/>
      <c r="H104" s="39"/>
      <c r="I104" s="37"/>
    </row>
    <row r="105" spans="2:9" x14ac:dyDescent="0.2">
      <c r="C105" s="39"/>
      <c r="D105" s="126"/>
      <c r="E105" s="126"/>
      <c r="F105" s="39"/>
      <c r="G105" s="39"/>
      <c r="H105" s="39"/>
      <c r="I105" s="37"/>
    </row>
    <row r="106" spans="2:9" x14ac:dyDescent="0.2">
      <c r="C106" s="39"/>
      <c r="D106" s="39"/>
      <c r="E106" s="39"/>
      <c r="F106" s="39"/>
      <c r="G106" s="39"/>
      <c r="H106" s="39"/>
      <c r="I106" s="37"/>
    </row>
    <row r="107" spans="2:9" x14ac:dyDescent="0.2">
      <c r="C107" s="39"/>
      <c r="D107" s="39"/>
      <c r="E107" s="39"/>
      <c r="F107" s="39"/>
      <c r="G107" s="39"/>
      <c r="H107" s="39"/>
    </row>
    <row r="108" spans="2:9" x14ac:dyDescent="0.2">
      <c r="C108" s="39"/>
      <c r="D108" s="39"/>
      <c r="E108" s="39"/>
      <c r="F108" s="39"/>
      <c r="G108" s="39"/>
      <c r="H108"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60:F60"/>
    <mergeCell ref="G60:H60"/>
    <mergeCell ref="J60:O60"/>
    <mergeCell ref="B55:B58"/>
    <mergeCell ref="C55:C58"/>
    <mergeCell ref="D55:F55"/>
    <mergeCell ref="G55:H55"/>
    <mergeCell ref="D56:F56"/>
    <mergeCell ref="G56:H56"/>
    <mergeCell ref="J56:L56"/>
    <mergeCell ref="M56:O56"/>
    <mergeCell ref="D58:F58"/>
    <mergeCell ref="G58:H58"/>
    <mergeCell ref="J63:O63"/>
    <mergeCell ref="D81:F81"/>
    <mergeCell ref="J68:K68"/>
    <mergeCell ref="B65:F65"/>
    <mergeCell ref="G65:H65"/>
    <mergeCell ref="D76:F76"/>
    <mergeCell ref="D77:F77"/>
    <mergeCell ref="E78:F78"/>
    <mergeCell ref="D79:F79"/>
    <mergeCell ref="D80:F80"/>
    <mergeCell ref="D71:F71"/>
    <mergeCell ref="D72:F72"/>
    <mergeCell ref="C69:C75"/>
    <mergeCell ref="D69:F69"/>
    <mergeCell ref="D70:F70"/>
    <mergeCell ref="D74:F74"/>
    <mergeCell ref="G62:H62"/>
    <mergeCell ref="C63:F63"/>
    <mergeCell ref="G63:H63"/>
    <mergeCell ref="B62:F62"/>
    <mergeCell ref="D73:F73"/>
    <mergeCell ref="D75:F75"/>
    <mergeCell ref="G94:H94"/>
    <mergeCell ref="D82:F82"/>
    <mergeCell ref="D83:F83"/>
    <mergeCell ref="B84:F84"/>
    <mergeCell ref="B86:F86"/>
    <mergeCell ref="G86:H86"/>
    <mergeCell ref="C88:D88"/>
    <mergeCell ref="C89:D89"/>
    <mergeCell ref="C90:D90"/>
    <mergeCell ref="C91:D91"/>
    <mergeCell ref="C92:D92"/>
    <mergeCell ref="B94:F94"/>
    <mergeCell ref="B69:B83"/>
    <mergeCell ref="B100:F100"/>
    <mergeCell ref="G100:H100"/>
    <mergeCell ref="G95:H95"/>
    <mergeCell ref="G96:H96"/>
    <mergeCell ref="B97:F97"/>
    <mergeCell ref="G97:H97"/>
    <mergeCell ref="B98:F98"/>
    <mergeCell ref="G98:H98"/>
    <mergeCell ref="B99:F99"/>
    <mergeCell ref="G99:H99"/>
  </mergeCells>
  <conditionalFormatting sqref="B91:F91 B100:F100 B94:F98">
    <cfRule type="cellIs" dxfId="2025" priority="3" stopIfTrue="1" operator="equal">
      <formula>"TAX PAYABLE"</formula>
    </cfRule>
    <cfRule type="cellIs" dxfId="2024" priority="4" stopIfTrue="1" operator="equal">
      <formula>"TAX REFUND"</formula>
    </cfRule>
  </conditionalFormatting>
  <conditionalFormatting sqref="G91:H91">
    <cfRule type="cellIs" dxfId="2023" priority="5" stopIfTrue="1" operator="lessThan">
      <formula>0</formula>
    </cfRule>
    <cfRule type="cellIs" dxfId="2022" priority="6" stopIfTrue="1" operator="greaterThan">
      <formula>0</formula>
    </cfRule>
  </conditionalFormatting>
  <conditionalFormatting sqref="G100:H100">
    <cfRule type="cellIs" dxfId="2021" priority="1" stopIfTrue="1" operator="greaterThan">
      <formula>0</formula>
    </cfRule>
    <cfRule type="cellIs" dxfId="2020"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8"/>
  <sheetViews>
    <sheetView topLeftCell="A61" zoomScaleNormal="100" workbookViewId="0">
      <selection activeCell="Q46" sqref="Q46"/>
    </sheetView>
  </sheetViews>
  <sheetFormatPr defaultRowHeight="12.75" x14ac:dyDescent="0.2"/>
  <cols>
    <col min="1" max="1" width="5" style="16" customWidth="1"/>
    <col min="2" max="2" width="18.85546875" style="37" customWidth="1"/>
    <col min="3" max="3" width="8.7109375" style="16" customWidth="1"/>
    <col min="4" max="4" width="7.85546875" style="16" customWidth="1"/>
    <col min="5" max="5" width="9.85546875" style="16" bestFit="1" customWidth="1"/>
    <col min="6" max="6" width="7.7109375" style="16" customWidth="1"/>
    <col min="7" max="8" width="8.28515625" style="16" customWidth="1"/>
    <col min="9" max="9" width="9.42578125" style="16" bestFit="1" customWidth="1"/>
    <col min="10" max="10" width="7.7109375" style="16" customWidth="1"/>
    <col min="11" max="11" width="9.7109375" style="16" bestFit="1" customWidth="1"/>
    <col min="12" max="12" width="9.42578125" style="16" bestFit="1" customWidth="1"/>
    <col min="13" max="13" width="9" style="16" bestFit="1" customWidth="1"/>
    <col min="14" max="14" width="9.42578125" style="16" bestFit="1" customWidth="1"/>
    <col min="15" max="15" width="9.85546875" style="16" bestFit="1"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8.85546875" style="16" customWidth="1"/>
    <col min="259" max="259" width="8.7109375" style="16" customWidth="1"/>
    <col min="260" max="260" width="7.85546875" style="16" customWidth="1"/>
    <col min="261" max="261" width="9.85546875" style="16" bestFit="1" customWidth="1"/>
    <col min="262" max="262" width="7.7109375" style="16" customWidth="1"/>
    <col min="263" max="264" width="8.28515625" style="16" customWidth="1"/>
    <col min="265" max="265" width="9.42578125" style="16" bestFit="1" customWidth="1"/>
    <col min="266" max="266" width="7.7109375" style="16" customWidth="1"/>
    <col min="267" max="267" width="9.7109375" style="16" bestFit="1" customWidth="1"/>
    <col min="268" max="268" width="9.42578125" style="16" bestFit="1" customWidth="1"/>
    <col min="269" max="269" width="9" style="16" bestFit="1" customWidth="1"/>
    <col min="270" max="270" width="9.42578125" style="16" bestFit="1" customWidth="1"/>
    <col min="271" max="271" width="9.85546875" style="16" bestFit="1"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8.85546875" style="16" customWidth="1"/>
    <col min="515" max="515" width="8.7109375" style="16" customWidth="1"/>
    <col min="516" max="516" width="7.85546875" style="16" customWidth="1"/>
    <col min="517" max="517" width="9.85546875" style="16" bestFit="1" customWidth="1"/>
    <col min="518" max="518" width="7.7109375" style="16" customWidth="1"/>
    <col min="519" max="520" width="8.28515625" style="16" customWidth="1"/>
    <col min="521" max="521" width="9.42578125" style="16" bestFit="1" customWidth="1"/>
    <col min="522" max="522" width="7.7109375" style="16" customWidth="1"/>
    <col min="523" max="523" width="9.7109375" style="16" bestFit="1" customWidth="1"/>
    <col min="524" max="524" width="9.42578125" style="16" bestFit="1" customWidth="1"/>
    <col min="525" max="525" width="9" style="16" bestFit="1" customWidth="1"/>
    <col min="526" max="526" width="9.42578125" style="16" bestFit="1" customWidth="1"/>
    <col min="527" max="527" width="9.85546875" style="16" bestFit="1"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8.85546875" style="16" customWidth="1"/>
    <col min="771" max="771" width="8.7109375" style="16" customWidth="1"/>
    <col min="772" max="772" width="7.85546875" style="16" customWidth="1"/>
    <col min="773" max="773" width="9.85546875" style="16" bestFit="1" customWidth="1"/>
    <col min="774" max="774" width="7.7109375" style="16" customWidth="1"/>
    <col min="775" max="776" width="8.28515625" style="16" customWidth="1"/>
    <col min="777" max="777" width="9.42578125" style="16" bestFit="1" customWidth="1"/>
    <col min="778" max="778" width="7.7109375" style="16" customWidth="1"/>
    <col min="779" max="779" width="9.7109375" style="16" bestFit="1" customWidth="1"/>
    <col min="780" max="780" width="9.42578125" style="16" bestFit="1" customWidth="1"/>
    <col min="781" max="781" width="9" style="16" bestFit="1" customWidth="1"/>
    <col min="782" max="782" width="9.42578125" style="16" bestFit="1" customWidth="1"/>
    <col min="783" max="783" width="9.85546875" style="16" bestFit="1"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8.85546875" style="16" customWidth="1"/>
    <col min="1027" max="1027" width="8.7109375" style="16" customWidth="1"/>
    <col min="1028" max="1028" width="7.85546875" style="16" customWidth="1"/>
    <col min="1029" max="1029" width="9.85546875" style="16" bestFit="1" customWidth="1"/>
    <col min="1030" max="1030" width="7.7109375" style="16" customWidth="1"/>
    <col min="1031" max="1032" width="8.28515625" style="16" customWidth="1"/>
    <col min="1033" max="1033" width="9.42578125" style="16" bestFit="1" customWidth="1"/>
    <col min="1034" max="1034" width="7.7109375" style="16" customWidth="1"/>
    <col min="1035" max="1035" width="9.7109375" style="16" bestFit="1" customWidth="1"/>
    <col min="1036" max="1036" width="9.42578125" style="16" bestFit="1" customWidth="1"/>
    <col min="1037" max="1037" width="9" style="16" bestFit="1" customWidth="1"/>
    <col min="1038" max="1038" width="9.42578125" style="16" bestFit="1" customWidth="1"/>
    <col min="1039" max="1039" width="9.85546875" style="16" bestFit="1"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8.85546875" style="16" customWidth="1"/>
    <col min="1283" max="1283" width="8.7109375" style="16" customWidth="1"/>
    <col min="1284" max="1284" width="7.85546875" style="16" customWidth="1"/>
    <col min="1285" max="1285" width="9.85546875" style="16" bestFit="1" customWidth="1"/>
    <col min="1286" max="1286" width="7.7109375" style="16" customWidth="1"/>
    <col min="1287" max="1288" width="8.28515625" style="16" customWidth="1"/>
    <col min="1289" max="1289" width="9.42578125" style="16" bestFit="1" customWidth="1"/>
    <col min="1290" max="1290" width="7.7109375" style="16" customWidth="1"/>
    <col min="1291" max="1291" width="9.7109375" style="16" bestFit="1" customWidth="1"/>
    <col min="1292" max="1292" width="9.42578125" style="16" bestFit="1" customWidth="1"/>
    <col min="1293" max="1293" width="9" style="16" bestFit="1" customWidth="1"/>
    <col min="1294" max="1294" width="9.42578125" style="16" bestFit="1" customWidth="1"/>
    <col min="1295" max="1295" width="9.85546875" style="16" bestFit="1"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8.85546875" style="16" customWidth="1"/>
    <col min="1539" max="1539" width="8.7109375" style="16" customWidth="1"/>
    <col min="1540" max="1540" width="7.85546875" style="16" customWidth="1"/>
    <col min="1541" max="1541" width="9.85546875" style="16" bestFit="1" customWidth="1"/>
    <col min="1542" max="1542" width="7.7109375" style="16" customWidth="1"/>
    <col min="1543" max="1544" width="8.28515625" style="16" customWidth="1"/>
    <col min="1545" max="1545" width="9.42578125" style="16" bestFit="1" customWidth="1"/>
    <col min="1546" max="1546" width="7.7109375" style="16" customWidth="1"/>
    <col min="1547" max="1547" width="9.7109375" style="16" bestFit="1" customWidth="1"/>
    <col min="1548" max="1548" width="9.42578125" style="16" bestFit="1" customWidth="1"/>
    <col min="1549" max="1549" width="9" style="16" bestFit="1" customWidth="1"/>
    <col min="1550" max="1550" width="9.42578125" style="16" bestFit="1" customWidth="1"/>
    <col min="1551" max="1551" width="9.85546875" style="16" bestFit="1"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8.85546875" style="16" customWidth="1"/>
    <col min="1795" max="1795" width="8.7109375" style="16" customWidth="1"/>
    <col min="1796" max="1796" width="7.85546875" style="16" customWidth="1"/>
    <col min="1797" max="1797" width="9.85546875" style="16" bestFit="1" customWidth="1"/>
    <col min="1798" max="1798" width="7.7109375" style="16" customWidth="1"/>
    <col min="1799" max="1800" width="8.28515625" style="16" customWidth="1"/>
    <col min="1801" max="1801" width="9.42578125" style="16" bestFit="1" customWidth="1"/>
    <col min="1802" max="1802" width="7.7109375" style="16" customWidth="1"/>
    <col min="1803" max="1803" width="9.7109375" style="16" bestFit="1" customWidth="1"/>
    <col min="1804" max="1804" width="9.42578125" style="16" bestFit="1" customWidth="1"/>
    <col min="1805" max="1805" width="9" style="16" bestFit="1" customWidth="1"/>
    <col min="1806" max="1806" width="9.42578125" style="16" bestFit="1" customWidth="1"/>
    <col min="1807" max="1807" width="9.85546875" style="16" bestFit="1"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8.85546875" style="16" customWidth="1"/>
    <col min="2051" max="2051" width="8.7109375" style="16" customWidth="1"/>
    <col min="2052" max="2052" width="7.85546875" style="16" customWidth="1"/>
    <col min="2053" max="2053" width="9.85546875" style="16" bestFit="1" customWidth="1"/>
    <col min="2054" max="2054" width="7.7109375" style="16" customWidth="1"/>
    <col min="2055" max="2056" width="8.28515625" style="16" customWidth="1"/>
    <col min="2057" max="2057" width="9.42578125" style="16" bestFit="1" customWidth="1"/>
    <col min="2058" max="2058" width="7.7109375" style="16" customWidth="1"/>
    <col min="2059" max="2059" width="9.7109375" style="16" bestFit="1" customWidth="1"/>
    <col min="2060" max="2060" width="9.42578125" style="16" bestFit="1" customWidth="1"/>
    <col min="2061" max="2061" width="9" style="16" bestFit="1" customWidth="1"/>
    <col min="2062" max="2062" width="9.42578125" style="16" bestFit="1" customWidth="1"/>
    <col min="2063" max="2063" width="9.85546875" style="16" bestFit="1"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8.85546875" style="16" customWidth="1"/>
    <col min="2307" max="2307" width="8.7109375" style="16" customWidth="1"/>
    <col min="2308" max="2308" width="7.85546875" style="16" customWidth="1"/>
    <col min="2309" max="2309" width="9.85546875" style="16" bestFit="1" customWidth="1"/>
    <col min="2310" max="2310" width="7.7109375" style="16" customWidth="1"/>
    <col min="2311" max="2312" width="8.28515625" style="16" customWidth="1"/>
    <col min="2313" max="2313" width="9.42578125" style="16" bestFit="1" customWidth="1"/>
    <col min="2314" max="2314" width="7.7109375" style="16" customWidth="1"/>
    <col min="2315" max="2315" width="9.7109375" style="16" bestFit="1" customWidth="1"/>
    <col min="2316" max="2316" width="9.42578125" style="16" bestFit="1" customWidth="1"/>
    <col min="2317" max="2317" width="9" style="16" bestFit="1" customWidth="1"/>
    <col min="2318" max="2318" width="9.42578125" style="16" bestFit="1" customWidth="1"/>
    <col min="2319" max="2319" width="9.85546875" style="16" bestFit="1"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8.85546875" style="16" customWidth="1"/>
    <col min="2563" max="2563" width="8.7109375" style="16" customWidth="1"/>
    <col min="2564" max="2564" width="7.85546875" style="16" customWidth="1"/>
    <col min="2565" max="2565" width="9.85546875" style="16" bestFit="1" customWidth="1"/>
    <col min="2566" max="2566" width="7.7109375" style="16" customWidth="1"/>
    <col min="2567" max="2568" width="8.28515625" style="16" customWidth="1"/>
    <col min="2569" max="2569" width="9.42578125" style="16" bestFit="1" customWidth="1"/>
    <col min="2570" max="2570" width="7.7109375" style="16" customWidth="1"/>
    <col min="2571" max="2571" width="9.7109375" style="16" bestFit="1" customWidth="1"/>
    <col min="2572" max="2572" width="9.42578125" style="16" bestFit="1" customWidth="1"/>
    <col min="2573" max="2573" width="9" style="16" bestFit="1" customWidth="1"/>
    <col min="2574" max="2574" width="9.42578125" style="16" bestFit="1" customWidth="1"/>
    <col min="2575" max="2575" width="9.85546875" style="16" bestFit="1"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8.85546875" style="16" customWidth="1"/>
    <col min="2819" max="2819" width="8.7109375" style="16" customWidth="1"/>
    <col min="2820" max="2820" width="7.85546875" style="16" customWidth="1"/>
    <col min="2821" max="2821" width="9.85546875" style="16" bestFit="1" customWidth="1"/>
    <col min="2822" max="2822" width="7.7109375" style="16" customWidth="1"/>
    <col min="2823" max="2824" width="8.28515625" style="16" customWidth="1"/>
    <col min="2825" max="2825" width="9.42578125" style="16" bestFit="1" customWidth="1"/>
    <col min="2826" max="2826" width="7.7109375" style="16" customWidth="1"/>
    <col min="2827" max="2827" width="9.7109375" style="16" bestFit="1" customWidth="1"/>
    <col min="2828" max="2828" width="9.42578125" style="16" bestFit="1" customWidth="1"/>
    <col min="2829" max="2829" width="9" style="16" bestFit="1" customWidth="1"/>
    <col min="2830" max="2830" width="9.42578125" style="16" bestFit="1" customWidth="1"/>
    <col min="2831" max="2831" width="9.85546875" style="16" bestFit="1"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8.85546875" style="16" customWidth="1"/>
    <col min="3075" max="3075" width="8.7109375" style="16" customWidth="1"/>
    <col min="3076" max="3076" width="7.85546875" style="16" customWidth="1"/>
    <col min="3077" max="3077" width="9.85546875" style="16" bestFit="1" customWidth="1"/>
    <col min="3078" max="3078" width="7.7109375" style="16" customWidth="1"/>
    <col min="3079" max="3080" width="8.28515625" style="16" customWidth="1"/>
    <col min="3081" max="3081" width="9.42578125" style="16" bestFit="1" customWidth="1"/>
    <col min="3082" max="3082" width="7.7109375" style="16" customWidth="1"/>
    <col min="3083" max="3083" width="9.7109375" style="16" bestFit="1" customWidth="1"/>
    <col min="3084" max="3084" width="9.42578125" style="16" bestFit="1" customWidth="1"/>
    <col min="3085" max="3085" width="9" style="16" bestFit="1" customWidth="1"/>
    <col min="3086" max="3086" width="9.42578125" style="16" bestFit="1" customWidth="1"/>
    <col min="3087" max="3087" width="9.85546875" style="16" bestFit="1"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8.85546875" style="16" customWidth="1"/>
    <col min="3331" max="3331" width="8.7109375" style="16" customWidth="1"/>
    <col min="3332" max="3332" width="7.85546875" style="16" customWidth="1"/>
    <col min="3333" max="3333" width="9.85546875" style="16" bestFit="1" customWidth="1"/>
    <col min="3334" max="3334" width="7.7109375" style="16" customWidth="1"/>
    <col min="3335" max="3336" width="8.28515625" style="16" customWidth="1"/>
    <col min="3337" max="3337" width="9.42578125" style="16" bestFit="1" customWidth="1"/>
    <col min="3338" max="3338" width="7.7109375" style="16" customWidth="1"/>
    <col min="3339" max="3339" width="9.7109375" style="16" bestFit="1" customWidth="1"/>
    <col min="3340" max="3340" width="9.42578125" style="16" bestFit="1" customWidth="1"/>
    <col min="3341" max="3341" width="9" style="16" bestFit="1" customWidth="1"/>
    <col min="3342" max="3342" width="9.42578125" style="16" bestFit="1" customWidth="1"/>
    <col min="3343" max="3343" width="9.85546875" style="16" bestFit="1"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8.85546875" style="16" customWidth="1"/>
    <col min="3587" max="3587" width="8.7109375" style="16" customWidth="1"/>
    <col min="3588" max="3588" width="7.85546875" style="16" customWidth="1"/>
    <col min="3589" max="3589" width="9.85546875" style="16" bestFit="1" customWidth="1"/>
    <col min="3590" max="3590" width="7.7109375" style="16" customWidth="1"/>
    <col min="3591" max="3592" width="8.28515625" style="16" customWidth="1"/>
    <col min="3593" max="3593" width="9.42578125" style="16" bestFit="1" customWidth="1"/>
    <col min="3594" max="3594" width="7.7109375" style="16" customWidth="1"/>
    <col min="3595" max="3595" width="9.7109375" style="16" bestFit="1" customWidth="1"/>
    <col min="3596" max="3596" width="9.42578125" style="16" bestFit="1" customWidth="1"/>
    <col min="3597" max="3597" width="9" style="16" bestFit="1" customWidth="1"/>
    <col min="3598" max="3598" width="9.42578125" style="16" bestFit="1" customWidth="1"/>
    <col min="3599" max="3599" width="9.85546875" style="16" bestFit="1"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8.85546875" style="16" customWidth="1"/>
    <col min="3843" max="3843" width="8.7109375" style="16" customWidth="1"/>
    <col min="3844" max="3844" width="7.85546875" style="16" customWidth="1"/>
    <col min="3845" max="3845" width="9.85546875" style="16" bestFit="1" customWidth="1"/>
    <col min="3846" max="3846" width="7.7109375" style="16" customWidth="1"/>
    <col min="3847" max="3848" width="8.28515625" style="16" customWidth="1"/>
    <col min="3849" max="3849" width="9.42578125" style="16" bestFit="1" customWidth="1"/>
    <col min="3850" max="3850" width="7.7109375" style="16" customWidth="1"/>
    <col min="3851" max="3851" width="9.7109375" style="16" bestFit="1" customWidth="1"/>
    <col min="3852" max="3852" width="9.42578125" style="16" bestFit="1" customWidth="1"/>
    <col min="3853" max="3853" width="9" style="16" bestFit="1" customWidth="1"/>
    <col min="3854" max="3854" width="9.42578125" style="16" bestFit="1" customWidth="1"/>
    <col min="3855" max="3855" width="9.85546875" style="16" bestFit="1"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8.85546875" style="16" customWidth="1"/>
    <col min="4099" max="4099" width="8.7109375" style="16" customWidth="1"/>
    <col min="4100" max="4100" width="7.85546875" style="16" customWidth="1"/>
    <col min="4101" max="4101" width="9.85546875" style="16" bestFit="1" customWidth="1"/>
    <col min="4102" max="4102" width="7.7109375" style="16" customWidth="1"/>
    <col min="4103" max="4104" width="8.28515625" style="16" customWidth="1"/>
    <col min="4105" max="4105" width="9.42578125" style="16" bestFit="1" customWidth="1"/>
    <col min="4106" max="4106" width="7.7109375" style="16" customWidth="1"/>
    <col min="4107" max="4107" width="9.7109375" style="16" bestFit="1" customWidth="1"/>
    <col min="4108" max="4108" width="9.42578125" style="16" bestFit="1" customWidth="1"/>
    <col min="4109" max="4109" width="9" style="16" bestFit="1" customWidth="1"/>
    <col min="4110" max="4110" width="9.42578125" style="16" bestFit="1" customWidth="1"/>
    <col min="4111" max="4111" width="9.85546875" style="16" bestFit="1"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8.85546875" style="16" customWidth="1"/>
    <col min="4355" max="4355" width="8.7109375" style="16" customWidth="1"/>
    <col min="4356" max="4356" width="7.85546875" style="16" customWidth="1"/>
    <col min="4357" max="4357" width="9.85546875" style="16" bestFit="1" customWidth="1"/>
    <col min="4358" max="4358" width="7.7109375" style="16" customWidth="1"/>
    <col min="4359" max="4360" width="8.28515625" style="16" customWidth="1"/>
    <col min="4361" max="4361" width="9.42578125" style="16" bestFit="1" customWidth="1"/>
    <col min="4362" max="4362" width="7.7109375" style="16" customWidth="1"/>
    <col min="4363" max="4363" width="9.7109375" style="16" bestFit="1" customWidth="1"/>
    <col min="4364" max="4364" width="9.42578125" style="16" bestFit="1" customWidth="1"/>
    <col min="4365" max="4365" width="9" style="16" bestFit="1" customWidth="1"/>
    <col min="4366" max="4366" width="9.42578125" style="16" bestFit="1" customWidth="1"/>
    <col min="4367" max="4367" width="9.85546875" style="16" bestFit="1"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8.85546875" style="16" customWidth="1"/>
    <col min="4611" max="4611" width="8.7109375" style="16" customWidth="1"/>
    <col min="4612" max="4612" width="7.85546875" style="16" customWidth="1"/>
    <col min="4613" max="4613" width="9.85546875" style="16" bestFit="1" customWidth="1"/>
    <col min="4614" max="4614" width="7.7109375" style="16" customWidth="1"/>
    <col min="4615" max="4616" width="8.28515625" style="16" customWidth="1"/>
    <col min="4617" max="4617" width="9.42578125" style="16" bestFit="1" customWidth="1"/>
    <col min="4618" max="4618" width="7.7109375" style="16" customWidth="1"/>
    <col min="4619" max="4619" width="9.7109375" style="16" bestFit="1" customWidth="1"/>
    <col min="4620" max="4620" width="9.42578125" style="16" bestFit="1" customWidth="1"/>
    <col min="4621" max="4621" width="9" style="16" bestFit="1" customWidth="1"/>
    <col min="4622" max="4622" width="9.42578125" style="16" bestFit="1" customWidth="1"/>
    <col min="4623" max="4623" width="9.85546875" style="16" bestFit="1"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8.85546875" style="16" customWidth="1"/>
    <col min="4867" max="4867" width="8.7109375" style="16" customWidth="1"/>
    <col min="4868" max="4868" width="7.85546875" style="16" customWidth="1"/>
    <col min="4869" max="4869" width="9.85546875" style="16" bestFit="1" customWidth="1"/>
    <col min="4870" max="4870" width="7.7109375" style="16" customWidth="1"/>
    <col min="4871" max="4872" width="8.28515625" style="16" customWidth="1"/>
    <col min="4873" max="4873" width="9.42578125" style="16" bestFit="1" customWidth="1"/>
    <col min="4874" max="4874" width="7.7109375" style="16" customWidth="1"/>
    <col min="4875" max="4875" width="9.7109375" style="16" bestFit="1" customWidth="1"/>
    <col min="4876" max="4876" width="9.42578125" style="16" bestFit="1" customWidth="1"/>
    <col min="4877" max="4877" width="9" style="16" bestFit="1" customWidth="1"/>
    <col min="4878" max="4878" width="9.42578125" style="16" bestFit="1" customWidth="1"/>
    <col min="4879" max="4879" width="9.85546875" style="16" bestFit="1"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8.85546875" style="16" customWidth="1"/>
    <col min="5123" max="5123" width="8.7109375" style="16" customWidth="1"/>
    <col min="5124" max="5124" width="7.85546875" style="16" customWidth="1"/>
    <col min="5125" max="5125" width="9.85546875" style="16" bestFit="1" customWidth="1"/>
    <col min="5126" max="5126" width="7.7109375" style="16" customWidth="1"/>
    <col min="5127" max="5128" width="8.28515625" style="16" customWidth="1"/>
    <col min="5129" max="5129" width="9.42578125" style="16" bestFit="1" customWidth="1"/>
    <col min="5130" max="5130" width="7.7109375" style="16" customWidth="1"/>
    <col min="5131" max="5131" width="9.7109375" style="16" bestFit="1" customWidth="1"/>
    <col min="5132" max="5132" width="9.42578125" style="16" bestFit="1" customWidth="1"/>
    <col min="5133" max="5133" width="9" style="16" bestFit="1" customWidth="1"/>
    <col min="5134" max="5134" width="9.42578125" style="16" bestFit="1" customWidth="1"/>
    <col min="5135" max="5135" width="9.85546875" style="16" bestFit="1"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8.85546875" style="16" customWidth="1"/>
    <col min="5379" max="5379" width="8.7109375" style="16" customWidth="1"/>
    <col min="5380" max="5380" width="7.85546875" style="16" customWidth="1"/>
    <col min="5381" max="5381" width="9.85546875" style="16" bestFit="1" customWidth="1"/>
    <col min="5382" max="5382" width="7.7109375" style="16" customWidth="1"/>
    <col min="5383" max="5384" width="8.28515625" style="16" customWidth="1"/>
    <col min="5385" max="5385" width="9.42578125" style="16" bestFit="1" customWidth="1"/>
    <col min="5386" max="5386" width="7.7109375" style="16" customWidth="1"/>
    <col min="5387" max="5387" width="9.7109375" style="16" bestFit="1" customWidth="1"/>
    <col min="5388" max="5388" width="9.42578125" style="16" bestFit="1" customWidth="1"/>
    <col min="5389" max="5389" width="9" style="16" bestFit="1" customWidth="1"/>
    <col min="5390" max="5390" width="9.42578125" style="16" bestFit="1" customWidth="1"/>
    <col min="5391" max="5391" width="9.85546875" style="16" bestFit="1"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8.85546875" style="16" customWidth="1"/>
    <col min="5635" max="5635" width="8.7109375" style="16" customWidth="1"/>
    <col min="5636" max="5636" width="7.85546875" style="16" customWidth="1"/>
    <col min="5637" max="5637" width="9.85546875" style="16" bestFit="1" customWidth="1"/>
    <col min="5638" max="5638" width="7.7109375" style="16" customWidth="1"/>
    <col min="5639" max="5640" width="8.28515625" style="16" customWidth="1"/>
    <col min="5641" max="5641" width="9.42578125" style="16" bestFit="1" customWidth="1"/>
    <col min="5642" max="5642" width="7.7109375" style="16" customWidth="1"/>
    <col min="5643" max="5643" width="9.7109375" style="16" bestFit="1" customWidth="1"/>
    <col min="5644" max="5644" width="9.42578125" style="16" bestFit="1" customWidth="1"/>
    <col min="5645" max="5645" width="9" style="16" bestFit="1" customWidth="1"/>
    <col min="5646" max="5646" width="9.42578125" style="16" bestFit="1" customWidth="1"/>
    <col min="5647" max="5647" width="9.85546875" style="16" bestFit="1"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8.85546875" style="16" customWidth="1"/>
    <col min="5891" max="5891" width="8.7109375" style="16" customWidth="1"/>
    <col min="5892" max="5892" width="7.85546875" style="16" customWidth="1"/>
    <col min="5893" max="5893" width="9.85546875" style="16" bestFit="1" customWidth="1"/>
    <col min="5894" max="5894" width="7.7109375" style="16" customWidth="1"/>
    <col min="5895" max="5896" width="8.28515625" style="16" customWidth="1"/>
    <col min="5897" max="5897" width="9.42578125" style="16" bestFit="1" customWidth="1"/>
    <col min="5898" max="5898" width="7.7109375" style="16" customWidth="1"/>
    <col min="5899" max="5899" width="9.7109375" style="16" bestFit="1" customWidth="1"/>
    <col min="5900" max="5900" width="9.42578125" style="16" bestFit="1" customWidth="1"/>
    <col min="5901" max="5901" width="9" style="16" bestFit="1" customWidth="1"/>
    <col min="5902" max="5902" width="9.42578125" style="16" bestFit="1" customWidth="1"/>
    <col min="5903" max="5903" width="9.85546875" style="16" bestFit="1"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8.85546875" style="16" customWidth="1"/>
    <col min="6147" max="6147" width="8.7109375" style="16" customWidth="1"/>
    <col min="6148" max="6148" width="7.85546875" style="16" customWidth="1"/>
    <col min="6149" max="6149" width="9.85546875" style="16" bestFit="1" customWidth="1"/>
    <col min="6150" max="6150" width="7.7109375" style="16" customWidth="1"/>
    <col min="6151" max="6152" width="8.28515625" style="16" customWidth="1"/>
    <col min="6153" max="6153" width="9.42578125" style="16" bestFit="1" customWidth="1"/>
    <col min="6154" max="6154" width="7.7109375" style="16" customWidth="1"/>
    <col min="6155" max="6155" width="9.7109375" style="16" bestFit="1" customWidth="1"/>
    <col min="6156" max="6156" width="9.42578125" style="16" bestFit="1" customWidth="1"/>
    <col min="6157" max="6157" width="9" style="16" bestFit="1" customWidth="1"/>
    <col min="6158" max="6158" width="9.42578125" style="16" bestFit="1" customWidth="1"/>
    <col min="6159" max="6159" width="9.85546875" style="16" bestFit="1"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8.85546875" style="16" customWidth="1"/>
    <col min="6403" max="6403" width="8.7109375" style="16" customWidth="1"/>
    <col min="6404" max="6404" width="7.85546875" style="16" customWidth="1"/>
    <col min="6405" max="6405" width="9.85546875" style="16" bestFit="1" customWidth="1"/>
    <col min="6406" max="6406" width="7.7109375" style="16" customWidth="1"/>
    <col min="6407" max="6408" width="8.28515625" style="16" customWidth="1"/>
    <col min="6409" max="6409" width="9.42578125" style="16" bestFit="1" customWidth="1"/>
    <col min="6410" max="6410" width="7.7109375" style="16" customWidth="1"/>
    <col min="6411" max="6411" width="9.7109375" style="16" bestFit="1" customWidth="1"/>
    <col min="6412" max="6412" width="9.42578125" style="16" bestFit="1" customWidth="1"/>
    <col min="6413" max="6413" width="9" style="16" bestFit="1" customWidth="1"/>
    <col min="6414" max="6414" width="9.42578125" style="16" bestFit="1" customWidth="1"/>
    <col min="6415" max="6415" width="9.85546875" style="16" bestFit="1"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8.85546875" style="16" customWidth="1"/>
    <col min="6659" max="6659" width="8.7109375" style="16" customWidth="1"/>
    <col min="6660" max="6660" width="7.85546875" style="16" customWidth="1"/>
    <col min="6661" max="6661" width="9.85546875" style="16" bestFit="1" customWidth="1"/>
    <col min="6662" max="6662" width="7.7109375" style="16" customWidth="1"/>
    <col min="6663" max="6664" width="8.28515625" style="16" customWidth="1"/>
    <col min="6665" max="6665" width="9.42578125" style="16" bestFit="1" customWidth="1"/>
    <col min="6666" max="6666" width="7.7109375" style="16" customWidth="1"/>
    <col min="6667" max="6667" width="9.7109375" style="16" bestFit="1" customWidth="1"/>
    <col min="6668" max="6668" width="9.42578125" style="16" bestFit="1" customWidth="1"/>
    <col min="6669" max="6669" width="9" style="16" bestFit="1" customWidth="1"/>
    <col min="6670" max="6670" width="9.42578125" style="16" bestFit="1" customWidth="1"/>
    <col min="6671" max="6671" width="9.85546875" style="16" bestFit="1"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8.85546875" style="16" customWidth="1"/>
    <col min="6915" max="6915" width="8.7109375" style="16" customWidth="1"/>
    <col min="6916" max="6916" width="7.85546875" style="16" customWidth="1"/>
    <col min="6917" max="6917" width="9.85546875" style="16" bestFit="1" customWidth="1"/>
    <col min="6918" max="6918" width="7.7109375" style="16" customWidth="1"/>
    <col min="6919" max="6920" width="8.28515625" style="16" customWidth="1"/>
    <col min="6921" max="6921" width="9.42578125" style="16" bestFit="1" customWidth="1"/>
    <col min="6922" max="6922" width="7.7109375" style="16" customWidth="1"/>
    <col min="6923" max="6923" width="9.7109375" style="16" bestFit="1" customWidth="1"/>
    <col min="6924" max="6924" width="9.42578125" style="16" bestFit="1" customWidth="1"/>
    <col min="6925" max="6925" width="9" style="16" bestFit="1" customWidth="1"/>
    <col min="6926" max="6926" width="9.42578125" style="16" bestFit="1" customWidth="1"/>
    <col min="6927" max="6927" width="9.85546875" style="16" bestFit="1"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8.85546875" style="16" customWidth="1"/>
    <col min="7171" max="7171" width="8.7109375" style="16" customWidth="1"/>
    <col min="7172" max="7172" width="7.85546875" style="16" customWidth="1"/>
    <col min="7173" max="7173" width="9.85546875" style="16" bestFit="1" customWidth="1"/>
    <col min="7174" max="7174" width="7.7109375" style="16" customWidth="1"/>
    <col min="7175" max="7176" width="8.28515625" style="16" customWidth="1"/>
    <col min="7177" max="7177" width="9.42578125" style="16" bestFit="1" customWidth="1"/>
    <col min="7178" max="7178" width="7.7109375" style="16" customWidth="1"/>
    <col min="7179" max="7179" width="9.7109375" style="16" bestFit="1" customWidth="1"/>
    <col min="7180" max="7180" width="9.42578125" style="16" bestFit="1" customWidth="1"/>
    <col min="7181" max="7181" width="9" style="16" bestFit="1" customWidth="1"/>
    <col min="7182" max="7182" width="9.42578125" style="16" bestFit="1" customWidth="1"/>
    <col min="7183" max="7183" width="9.85546875" style="16" bestFit="1"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8.85546875" style="16" customWidth="1"/>
    <col min="7427" max="7427" width="8.7109375" style="16" customWidth="1"/>
    <col min="7428" max="7428" width="7.85546875" style="16" customWidth="1"/>
    <col min="7429" max="7429" width="9.85546875" style="16" bestFit="1" customWidth="1"/>
    <col min="7430" max="7430" width="7.7109375" style="16" customWidth="1"/>
    <col min="7431" max="7432" width="8.28515625" style="16" customWidth="1"/>
    <col min="7433" max="7433" width="9.42578125" style="16" bestFit="1" customWidth="1"/>
    <col min="7434" max="7434" width="7.7109375" style="16" customWidth="1"/>
    <col min="7435" max="7435" width="9.7109375" style="16" bestFit="1" customWidth="1"/>
    <col min="7436" max="7436" width="9.42578125" style="16" bestFit="1" customWidth="1"/>
    <col min="7437" max="7437" width="9" style="16" bestFit="1" customWidth="1"/>
    <col min="7438" max="7438" width="9.42578125" style="16" bestFit="1" customWidth="1"/>
    <col min="7439" max="7439" width="9.85546875" style="16" bestFit="1"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8.85546875" style="16" customWidth="1"/>
    <col min="7683" max="7683" width="8.7109375" style="16" customWidth="1"/>
    <col min="7684" max="7684" width="7.85546875" style="16" customWidth="1"/>
    <col min="7685" max="7685" width="9.85546875" style="16" bestFit="1" customWidth="1"/>
    <col min="7686" max="7686" width="7.7109375" style="16" customWidth="1"/>
    <col min="7687" max="7688" width="8.28515625" style="16" customWidth="1"/>
    <col min="7689" max="7689" width="9.42578125" style="16" bestFit="1" customWidth="1"/>
    <col min="7690" max="7690" width="7.7109375" style="16" customWidth="1"/>
    <col min="7691" max="7691" width="9.7109375" style="16" bestFit="1" customWidth="1"/>
    <col min="7692" max="7692" width="9.42578125" style="16" bestFit="1" customWidth="1"/>
    <col min="7693" max="7693" width="9" style="16" bestFit="1" customWidth="1"/>
    <col min="7694" max="7694" width="9.42578125" style="16" bestFit="1" customWidth="1"/>
    <col min="7695" max="7695" width="9.85546875" style="16" bestFit="1"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8.85546875" style="16" customWidth="1"/>
    <col min="7939" max="7939" width="8.7109375" style="16" customWidth="1"/>
    <col min="7940" max="7940" width="7.85546875" style="16" customWidth="1"/>
    <col min="7941" max="7941" width="9.85546875" style="16" bestFit="1" customWidth="1"/>
    <col min="7942" max="7942" width="7.7109375" style="16" customWidth="1"/>
    <col min="7943" max="7944" width="8.28515625" style="16" customWidth="1"/>
    <col min="7945" max="7945" width="9.42578125" style="16" bestFit="1" customWidth="1"/>
    <col min="7946" max="7946" width="7.7109375" style="16" customWidth="1"/>
    <col min="7947" max="7947" width="9.7109375" style="16" bestFit="1" customWidth="1"/>
    <col min="7948" max="7948" width="9.42578125" style="16" bestFit="1" customWidth="1"/>
    <col min="7949" max="7949" width="9" style="16" bestFit="1" customWidth="1"/>
    <col min="7950" max="7950" width="9.42578125" style="16" bestFit="1" customWidth="1"/>
    <col min="7951" max="7951" width="9.85546875" style="16" bestFit="1"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8.85546875" style="16" customWidth="1"/>
    <col min="8195" max="8195" width="8.7109375" style="16" customWidth="1"/>
    <col min="8196" max="8196" width="7.85546875" style="16" customWidth="1"/>
    <col min="8197" max="8197" width="9.85546875" style="16" bestFit="1" customWidth="1"/>
    <col min="8198" max="8198" width="7.7109375" style="16" customWidth="1"/>
    <col min="8199" max="8200" width="8.28515625" style="16" customWidth="1"/>
    <col min="8201" max="8201" width="9.42578125" style="16" bestFit="1" customWidth="1"/>
    <col min="8202" max="8202" width="7.7109375" style="16" customWidth="1"/>
    <col min="8203" max="8203" width="9.7109375" style="16" bestFit="1" customWidth="1"/>
    <col min="8204" max="8204" width="9.42578125" style="16" bestFit="1" customWidth="1"/>
    <col min="8205" max="8205" width="9" style="16" bestFit="1" customWidth="1"/>
    <col min="8206" max="8206" width="9.42578125" style="16" bestFit="1" customWidth="1"/>
    <col min="8207" max="8207" width="9.85546875" style="16" bestFit="1"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8.85546875" style="16" customWidth="1"/>
    <col min="8451" max="8451" width="8.7109375" style="16" customWidth="1"/>
    <col min="8452" max="8452" width="7.85546875" style="16" customWidth="1"/>
    <col min="8453" max="8453" width="9.85546875" style="16" bestFit="1" customWidth="1"/>
    <col min="8454" max="8454" width="7.7109375" style="16" customWidth="1"/>
    <col min="8455" max="8456" width="8.28515625" style="16" customWidth="1"/>
    <col min="8457" max="8457" width="9.42578125" style="16" bestFit="1" customWidth="1"/>
    <col min="8458" max="8458" width="7.7109375" style="16" customWidth="1"/>
    <col min="8459" max="8459" width="9.7109375" style="16" bestFit="1" customWidth="1"/>
    <col min="8460" max="8460" width="9.42578125" style="16" bestFit="1" customWidth="1"/>
    <col min="8461" max="8461" width="9" style="16" bestFit="1" customWidth="1"/>
    <col min="8462" max="8462" width="9.42578125" style="16" bestFit="1" customWidth="1"/>
    <col min="8463" max="8463" width="9.85546875" style="16" bestFit="1"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8.85546875" style="16" customWidth="1"/>
    <col min="8707" max="8707" width="8.7109375" style="16" customWidth="1"/>
    <col min="8708" max="8708" width="7.85546875" style="16" customWidth="1"/>
    <col min="8709" max="8709" width="9.85546875" style="16" bestFit="1" customWidth="1"/>
    <col min="8710" max="8710" width="7.7109375" style="16" customWidth="1"/>
    <col min="8711" max="8712" width="8.28515625" style="16" customWidth="1"/>
    <col min="8713" max="8713" width="9.42578125" style="16" bestFit="1" customWidth="1"/>
    <col min="8714" max="8714" width="7.7109375" style="16" customWidth="1"/>
    <col min="8715" max="8715" width="9.7109375" style="16" bestFit="1" customWidth="1"/>
    <col min="8716" max="8716" width="9.42578125" style="16" bestFit="1" customWidth="1"/>
    <col min="8717" max="8717" width="9" style="16" bestFit="1" customWidth="1"/>
    <col min="8718" max="8718" width="9.42578125" style="16" bestFit="1" customWidth="1"/>
    <col min="8719" max="8719" width="9.85546875" style="16" bestFit="1"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8.85546875" style="16" customWidth="1"/>
    <col min="8963" max="8963" width="8.7109375" style="16" customWidth="1"/>
    <col min="8964" max="8964" width="7.85546875" style="16" customWidth="1"/>
    <col min="8965" max="8965" width="9.85546875" style="16" bestFit="1" customWidth="1"/>
    <col min="8966" max="8966" width="7.7109375" style="16" customWidth="1"/>
    <col min="8967" max="8968" width="8.28515625" style="16" customWidth="1"/>
    <col min="8969" max="8969" width="9.42578125" style="16" bestFit="1" customWidth="1"/>
    <col min="8970" max="8970" width="7.7109375" style="16" customWidth="1"/>
    <col min="8971" max="8971" width="9.7109375" style="16" bestFit="1" customWidth="1"/>
    <col min="8972" max="8972" width="9.42578125" style="16" bestFit="1" customWidth="1"/>
    <col min="8973" max="8973" width="9" style="16" bestFit="1" customWidth="1"/>
    <col min="8974" max="8974" width="9.42578125" style="16" bestFit="1" customWidth="1"/>
    <col min="8975" max="8975" width="9.85546875" style="16" bestFit="1"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8.85546875" style="16" customWidth="1"/>
    <col min="9219" max="9219" width="8.7109375" style="16" customWidth="1"/>
    <col min="9220" max="9220" width="7.85546875" style="16" customWidth="1"/>
    <col min="9221" max="9221" width="9.85546875" style="16" bestFit="1" customWidth="1"/>
    <col min="9222" max="9222" width="7.7109375" style="16" customWidth="1"/>
    <col min="9223" max="9224" width="8.28515625" style="16" customWidth="1"/>
    <col min="9225" max="9225" width="9.42578125" style="16" bestFit="1" customWidth="1"/>
    <col min="9226" max="9226" width="7.7109375" style="16" customWidth="1"/>
    <col min="9227" max="9227" width="9.7109375" style="16" bestFit="1" customWidth="1"/>
    <col min="9228" max="9228" width="9.42578125" style="16" bestFit="1" customWidth="1"/>
    <col min="9229" max="9229" width="9" style="16" bestFit="1" customWidth="1"/>
    <col min="9230" max="9230" width="9.42578125" style="16" bestFit="1" customWidth="1"/>
    <col min="9231" max="9231" width="9.85546875" style="16" bestFit="1"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8.85546875" style="16" customWidth="1"/>
    <col min="9475" max="9475" width="8.7109375" style="16" customWidth="1"/>
    <col min="9476" max="9476" width="7.85546875" style="16" customWidth="1"/>
    <col min="9477" max="9477" width="9.85546875" style="16" bestFit="1" customWidth="1"/>
    <col min="9478" max="9478" width="7.7109375" style="16" customWidth="1"/>
    <col min="9479" max="9480" width="8.28515625" style="16" customWidth="1"/>
    <col min="9481" max="9481" width="9.42578125" style="16" bestFit="1" customWidth="1"/>
    <col min="9482" max="9482" width="7.7109375" style="16" customWidth="1"/>
    <col min="9483" max="9483" width="9.7109375" style="16" bestFit="1" customWidth="1"/>
    <col min="9484" max="9484" width="9.42578125" style="16" bestFit="1" customWidth="1"/>
    <col min="9485" max="9485" width="9" style="16" bestFit="1" customWidth="1"/>
    <col min="9486" max="9486" width="9.42578125" style="16" bestFit="1" customWidth="1"/>
    <col min="9487" max="9487" width="9.85546875" style="16" bestFit="1"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8.85546875" style="16" customWidth="1"/>
    <col min="9731" max="9731" width="8.7109375" style="16" customWidth="1"/>
    <col min="9732" max="9732" width="7.85546875" style="16" customWidth="1"/>
    <col min="9733" max="9733" width="9.85546875" style="16" bestFit="1" customWidth="1"/>
    <col min="9734" max="9734" width="7.7109375" style="16" customWidth="1"/>
    <col min="9735" max="9736" width="8.28515625" style="16" customWidth="1"/>
    <col min="9737" max="9737" width="9.42578125" style="16" bestFit="1" customWidth="1"/>
    <col min="9738" max="9738" width="7.7109375" style="16" customWidth="1"/>
    <col min="9739" max="9739" width="9.7109375" style="16" bestFit="1" customWidth="1"/>
    <col min="9740" max="9740" width="9.42578125" style="16" bestFit="1" customWidth="1"/>
    <col min="9741" max="9741" width="9" style="16" bestFit="1" customWidth="1"/>
    <col min="9742" max="9742" width="9.42578125" style="16" bestFit="1" customWidth="1"/>
    <col min="9743" max="9743" width="9.85546875" style="16" bestFit="1"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8.85546875" style="16" customWidth="1"/>
    <col min="9987" max="9987" width="8.7109375" style="16" customWidth="1"/>
    <col min="9988" max="9988" width="7.85546875" style="16" customWidth="1"/>
    <col min="9989" max="9989" width="9.85546875" style="16" bestFit="1" customWidth="1"/>
    <col min="9990" max="9990" width="7.7109375" style="16" customWidth="1"/>
    <col min="9991" max="9992" width="8.28515625" style="16" customWidth="1"/>
    <col min="9993" max="9993" width="9.42578125" style="16" bestFit="1" customWidth="1"/>
    <col min="9994" max="9994" width="7.7109375" style="16" customWidth="1"/>
    <col min="9995" max="9995" width="9.7109375" style="16" bestFit="1" customWidth="1"/>
    <col min="9996" max="9996" width="9.42578125" style="16" bestFit="1" customWidth="1"/>
    <col min="9997" max="9997" width="9" style="16" bestFit="1" customWidth="1"/>
    <col min="9998" max="9998" width="9.42578125" style="16" bestFit="1" customWidth="1"/>
    <col min="9999" max="9999" width="9.85546875" style="16" bestFit="1"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8.85546875" style="16" customWidth="1"/>
    <col min="10243" max="10243" width="8.7109375" style="16" customWidth="1"/>
    <col min="10244" max="10244" width="7.85546875" style="16" customWidth="1"/>
    <col min="10245" max="10245" width="9.85546875" style="16" bestFit="1" customWidth="1"/>
    <col min="10246" max="10246" width="7.7109375" style="16" customWidth="1"/>
    <col min="10247" max="10248" width="8.28515625" style="16" customWidth="1"/>
    <col min="10249" max="10249" width="9.42578125" style="16" bestFit="1" customWidth="1"/>
    <col min="10250" max="10250" width="7.7109375" style="16" customWidth="1"/>
    <col min="10251" max="10251" width="9.7109375" style="16" bestFit="1" customWidth="1"/>
    <col min="10252" max="10252" width="9.42578125" style="16" bestFit="1" customWidth="1"/>
    <col min="10253" max="10253" width="9" style="16" bestFit="1" customWidth="1"/>
    <col min="10254" max="10254" width="9.42578125" style="16" bestFit="1" customWidth="1"/>
    <col min="10255" max="10255" width="9.85546875" style="16" bestFit="1"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8.85546875" style="16" customWidth="1"/>
    <col min="10499" max="10499" width="8.7109375" style="16" customWidth="1"/>
    <col min="10500" max="10500" width="7.85546875" style="16" customWidth="1"/>
    <col min="10501" max="10501" width="9.85546875" style="16" bestFit="1" customWidth="1"/>
    <col min="10502" max="10502" width="7.7109375" style="16" customWidth="1"/>
    <col min="10503" max="10504" width="8.28515625" style="16" customWidth="1"/>
    <col min="10505" max="10505" width="9.42578125" style="16" bestFit="1" customWidth="1"/>
    <col min="10506" max="10506" width="7.7109375" style="16" customWidth="1"/>
    <col min="10507" max="10507" width="9.7109375" style="16" bestFit="1" customWidth="1"/>
    <col min="10508" max="10508" width="9.42578125" style="16" bestFit="1" customWidth="1"/>
    <col min="10509" max="10509" width="9" style="16" bestFit="1" customWidth="1"/>
    <col min="10510" max="10510" width="9.42578125" style="16" bestFit="1" customWidth="1"/>
    <col min="10511" max="10511" width="9.85546875" style="16" bestFit="1"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8.85546875" style="16" customWidth="1"/>
    <col min="10755" max="10755" width="8.7109375" style="16" customWidth="1"/>
    <col min="10756" max="10756" width="7.85546875" style="16" customWidth="1"/>
    <col min="10757" max="10757" width="9.85546875" style="16" bestFit="1" customWidth="1"/>
    <col min="10758" max="10758" width="7.7109375" style="16" customWidth="1"/>
    <col min="10759" max="10760" width="8.28515625" style="16" customWidth="1"/>
    <col min="10761" max="10761" width="9.42578125" style="16" bestFit="1" customWidth="1"/>
    <col min="10762" max="10762" width="7.7109375" style="16" customWidth="1"/>
    <col min="10763" max="10763" width="9.7109375" style="16" bestFit="1" customWidth="1"/>
    <col min="10764" max="10764" width="9.42578125" style="16" bestFit="1" customWidth="1"/>
    <col min="10765" max="10765" width="9" style="16" bestFit="1" customWidth="1"/>
    <col min="10766" max="10766" width="9.42578125" style="16" bestFit="1" customWidth="1"/>
    <col min="10767" max="10767" width="9.85546875" style="16" bestFit="1"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8.85546875" style="16" customWidth="1"/>
    <col min="11011" max="11011" width="8.7109375" style="16" customWidth="1"/>
    <col min="11012" max="11012" width="7.85546875" style="16" customWidth="1"/>
    <col min="11013" max="11013" width="9.85546875" style="16" bestFit="1" customWidth="1"/>
    <col min="11014" max="11014" width="7.7109375" style="16" customWidth="1"/>
    <col min="11015" max="11016" width="8.28515625" style="16" customWidth="1"/>
    <col min="11017" max="11017" width="9.42578125" style="16" bestFit="1" customWidth="1"/>
    <col min="11018" max="11018" width="7.7109375" style="16" customWidth="1"/>
    <col min="11019" max="11019" width="9.7109375" style="16" bestFit="1" customWidth="1"/>
    <col min="11020" max="11020" width="9.42578125" style="16" bestFit="1" customWidth="1"/>
    <col min="11021" max="11021" width="9" style="16" bestFit="1" customWidth="1"/>
    <col min="11022" max="11022" width="9.42578125" style="16" bestFit="1" customWidth="1"/>
    <col min="11023" max="11023" width="9.85546875" style="16" bestFit="1"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8.85546875" style="16" customWidth="1"/>
    <col min="11267" max="11267" width="8.7109375" style="16" customWidth="1"/>
    <col min="11268" max="11268" width="7.85546875" style="16" customWidth="1"/>
    <col min="11269" max="11269" width="9.85546875" style="16" bestFit="1" customWidth="1"/>
    <col min="11270" max="11270" width="7.7109375" style="16" customWidth="1"/>
    <col min="11271" max="11272" width="8.28515625" style="16" customWidth="1"/>
    <col min="11273" max="11273" width="9.42578125" style="16" bestFit="1" customWidth="1"/>
    <col min="11274" max="11274" width="7.7109375" style="16" customWidth="1"/>
    <col min="11275" max="11275" width="9.7109375" style="16" bestFit="1" customWidth="1"/>
    <col min="11276" max="11276" width="9.42578125" style="16" bestFit="1" customWidth="1"/>
    <col min="11277" max="11277" width="9" style="16" bestFit="1" customWidth="1"/>
    <col min="11278" max="11278" width="9.42578125" style="16" bestFit="1" customWidth="1"/>
    <col min="11279" max="11279" width="9.85546875" style="16" bestFit="1"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8.85546875" style="16" customWidth="1"/>
    <col min="11523" max="11523" width="8.7109375" style="16" customWidth="1"/>
    <col min="11524" max="11524" width="7.85546875" style="16" customWidth="1"/>
    <col min="11525" max="11525" width="9.85546875" style="16" bestFit="1" customWidth="1"/>
    <col min="11526" max="11526" width="7.7109375" style="16" customWidth="1"/>
    <col min="11527" max="11528" width="8.28515625" style="16" customWidth="1"/>
    <col min="11529" max="11529" width="9.42578125" style="16" bestFit="1" customWidth="1"/>
    <col min="11530" max="11530" width="7.7109375" style="16" customWidth="1"/>
    <col min="11531" max="11531" width="9.7109375" style="16" bestFit="1" customWidth="1"/>
    <col min="11532" max="11532" width="9.42578125" style="16" bestFit="1" customWidth="1"/>
    <col min="11533" max="11533" width="9" style="16" bestFit="1" customWidth="1"/>
    <col min="11534" max="11534" width="9.42578125" style="16" bestFit="1" customWidth="1"/>
    <col min="11535" max="11535" width="9.85546875" style="16" bestFit="1"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8.85546875" style="16" customWidth="1"/>
    <col min="11779" max="11779" width="8.7109375" style="16" customWidth="1"/>
    <col min="11780" max="11780" width="7.85546875" style="16" customWidth="1"/>
    <col min="11781" max="11781" width="9.85546875" style="16" bestFit="1" customWidth="1"/>
    <col min="11782" max="11782" width="7.7109375" style="16" customWidth="1"/>
    <col min="11783" max="11784" width="8.28515625" style="16" customWidth="1"/>
    <col min="11785" max="11785" width="9.42578125" style="16" bestFit="1" customWidth="1"/>
    <col min="11786" max="11786" width="7.7109375" style="16" customWidth="1"/>
    <col min="11787" max="11787" width="9.7109375" style="16" bestFit="1" customWidth="1"/>
    <col min="11788" max="11788" width="9.42578125" style="16" bestFit="1" customWidth="1"/>
    <col min="11789" max="11789" width="9" style="16" bestFit="1" customWidth="1"/>
    <col min="11790" max="11790" width="9.42578125" style="16" bestFit="1" customWidth="1"/>
    <col min="11791" max="11791" width="9.85546875" style="16" bestFit="1"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8.85546875" style="16" customWidth="1"/>
    <col min="12035" max="12035" width="8.7109375" style="16" customWidth="1"/>
    <col min="12036" max="12036" width="7.85546875" style="16" customWidth="1"/>
    <col min="12037" max="12037" width="9.85546875" style="16" bestFit="1" customWidth="1"/>
    <col min="12038" max="12038" width="7.7109375" style="16" customWidth="1"/>
    <col min="12039" max="12040" width="8.28515625" style="16" customWidth="1"/>
    <col min="12041" max="12041" width="9.42578125" style="16" bestFit="1" customWidth="1"/>
    <col min="12042" max="12042" width="7.7109375" style="16" customWidth="1"/>
    <col min="12043" max="12043" width="9.7109375" style="16" bestFit="1" customWidth="1"/>
    <col min="12044" max="12044" width="9.42578125" style="16" bestFit="1" customWidth="1"/>
    <col min="12045" max="12045" width="9" style="16" bestFit="1" customWidth="1"/>
    <col min="12046" max="12046" width="9.42578125" style="16" bestFit="1" customWidth="1"/>
    <col min="12047" max="12047" width="9.85546875" style="16" bestFit="1"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8.85546875" style="16" customWidth="1"/>
    <col min="12291" max="12291" width="8.7109375" style="16" customWidth="1"/>
    <col min="12292" max="12292" width="7.85546875" style="16" customWidth="1"/>
    <col min="12293" max="12293" width="9.85546875" style="16" bestFit="1" customWidth="1"/>
    <col min="12294" max="12294" width="7.7109375" style="16" customWidth="1"/>
    <col min="12295" max="12296" width="8.28515625" style="16" customWidth="1"/>
    <col min="12297" max="12297" width="9.42578125" style="16" bestFit="1" customWidth="1"/>
    <col min="12298" max="12298" width="7.7109375" style="16" customWidth="1"/>
    <col min="12299" max="12299" width="9.7109375" style="16" bestFit="1" customWidth="1"/>
    <col min="12300" max="12300" width="9.42578125" style="16" bestFit="1" customWidth="1"/>
    <col min="12301" max="12301" width="9" style="16" bestFit="1" customWidth="1"/>
    <col min="12302" max="12302" width="9.42578125" style="16" bestFit="1" customWidth="1"/>
    <col min="12303" max="12303" width="9.85546875" style="16" bestFit="1"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8.85546875" style="16" customWidth="1"/>
    <col min="12547" max="12547" width="8.7109375" style="16" customWidth="1"/>
    <col min="12548" max="12548" width="7.85546875" style="16" customWidth="1"/>
    <col min="12549" max="12549" width="9.85546875" style="16" bestFit="1" customWidth="1"/>
    <col min="12550" max="12550" width="7.7109375" style="16" customWidth="1"/>
    <col min="12551" max="12552" width="8.28515625" style="16" customWidth="1"/>
    <col min="12553" max="12553" width="9.42578125" style="16" bestFit="1" customWidth="1"/>
    <col min="12554" max="12554" width="7.7109375" style="16" customWidth="1"/>
    <col min="12555" max="12555" width="9.7109375" style="16" bestFit="1" customWidth="1"/>
    <col min="12556" max="12556" width="9.42578125" style="16" bestFit="1" customWidth="1"/>
    <col min="12557" max="12557" width="9" style="16" bestFit="1" customWidth="1"/>
    <col min="12558" max="12558" width="9.42578125" style="16" bestFit="1" customWidth="1"/>
    <col min="12559" max="12559" width="9.85546875" style="16" bestFit="1"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8.85546875" style="16" customWidth="1"/>
    <col min="12803" max="12803" width="8.7109375" style="16" customWidth="1"/>
    <col min="12804" max="12804" width="7.85546875" style="16" customWidth="1"/>
    <col min="12805" max="12805" width="9.85546875" style="16" bestFit="1" customWidth="1"/>
    <col min="12806" max="12806" width="7.7109375" style="16" customWidth="1"/>
    <col min="12807" max="12808" width="8.28515625" style="16" customWidth="1"/>
    <col min="12809" max="12809" width="9.42578125" style="16" bestFit="1" customWidth="1"/>
    <col min="12810" max="12810" width="7.7109375" style="16" customWidth="1"/>
    <col min="12811" max="12811" width="9.7109375" style="16" bestFit="1" customWidth="1"/>
    <col min="12812" max="12812" width="9.42578125" style="16" bestFit="1" customWidth="1"/>
    <col min="12813" max="12813" width="9" style="16" bestFit="1" customWidth="1"/>
    <col min="12814" max="12814" width="9.42578125" style="16" bestFit="1" customWidth="1"/>
    <col min="12815" max="12815" width="9.85546875" style="16" bestFit="1"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8.85546875" style="16" customWidth="1"/>
    <col min="13059" max="13059" width="8.7109375" style="16" customWidth="1"/>
    <col min="13060" max="13060" width="7.85546875" style="16" customWidth="1"/>
    <col min="13061" max="13061" width="9.85546875" style="16" bestFit="1" customWidth="1"/>
    <col min="13062" max="13062" width="7.7109375" style="16" customWidth="1"/>
    <col min="13063" max="13064" width="8.28515625" style="16" customWidth="1"/>
    <col min="13065" max="13065" width="9.42578125" style="16" bestFit="1" customWidth="1"/>
    <col min="13066" max="13066" width="7.7109375" style="16" customWidth="1"/>
    <col min="13067" max="13067" width="9.7109375" style="16" bestFit="1" customWidth="1"/>
    <col min="13068" max="13068" width="9.42578125" style="16" bestFit="1" customWidth="1"/>
    <col min="13069" max="13069" width="9" style="16" bestFit="1" customWidth="1"/>
    <col min="13070" max="13070" width="9.42578125" style="16" bestFit="1" customWidth="1"/>
    <col min="13071" max="13071" width="9.85546875" style="16" bestFit="1"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8.85546875" style="16" customWidth="1"/>
    <col min="13315" max="13315" width="8.7109375" style="16" customWidth="1"/>
    <col min="13316" max="13316" width="7.85546875" style="16" customWidth="1"/>
    <col min="13317" max="13317" width="9.85546875" style="16" bestFit="1" customWidth="1"/>
    <col min="13318" max="13318" width="7.7109375" style="16" customWidth="1"/>
    <col min="13319" max="13320" width="8.28515625" style="16" customWidth="1"/>
    <col min="13321" max="13321" width="9.42578125" style="16" bestFit="1" customWidth="1"/>
    <col min="13322" max="13322" width="7.7109375" style="16" customWidth="1"/>
    <col min="13323" max="13323" width="9.7109375" style="16" bestFit="1" customWidth="1"/>
    <col min="13324" max="13324" width="9.42578125" style="16" bestFit="1" customWidth="1"/>
    <col min="13325" max="13325" width="9" style="16" bestFit="1" customWidth="1"/>
    <col min="13326" max="13326" width="9.42578125" style="16" bestFit="1" customWidth="1"/>
    <col min="13327" max="13327" width="9.85546875" style="16" bestFit="1"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8.85546875" style="16" customWidth="1"/>
    <col min="13571" max="13571" width="8.7109375" style="16" customWidth="1"/>
    <col min="13572" max="13572" width="7.85546875" style="16" customWidth="1"/>
    <col min="13573" max="13573" width="9.85546875" style="16" bestFit="1" customWidth="1"/>
    <col min="13574" max="13574" width="7.7109375" style="16" customWidth="1"/>
    <col min="13575" max="13576" width="8.28515625" style="16" customWidth="1"/>
    <col min="13577" max="13577" width="9.42578125" style="16" bestFit="1" customWidth="1"/>
    <col min="13578" max="13578" width="7.7109375" style="16" customWidth="1"/>
    <col min="13579" max="13579" width="9.7109375" style="16" bestFit="1" customWidth="1"/>
    <col min="13580" max="13580" width="9.42578125" style="16" bestFit="1" customWidth="1"/>
    <col min="13581" max="13581" width="9" style="16" bestFit="1" customWidth="1"/>
    <col min="13582" max="13582" width="9.42578125" style="16" bestFit="1" customWidth="1"/>
    <col min="13583" max="13583" width="9.85546875" style="16" bestFit="1"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8.85546875" style="16" customWidth="1"/>
    <col min="13827" max="13827" width="8.7109375" style="16" customWidth="1"/>
    <col min="13828" max="13828" width="7.85546875" style="16" customWidth="1"/>
    <col min="13829" max="13829" width="9.85546875" style="16" bestFit="1" customWidth="1"/>
    <col min="13830" max="13830" width="7.7109375" style="16" customWidth="1"/>
    <col min="13831" max="13832" width="8.28515625" style="16" customWidth="1"/>
    <col min="13833" max="13833" width="9.42578125" style="16" bestFit="1" customWidth="1"/>
    <col min="13834" max="13834" width="7.7109375" style="16" customWidth="1"/>
    <col min="13835" max="13835" width="9.7109375" style="16" bestFit="1" customWidth="1"/>
    <col min="13836" max="13836" width="9.42578125" style="16" bestFit="1" customWidth="1"/>
    <col min="13837" max="13837" width="9" style="16" bestFit="1" customWidth="1"/>
    <col min="13838" max="13838" width="9.42578125" style="16" bestFit="1" customWidth="1"/>
    <col min="13839" max="13839" width="9.85546875" style="16" bestFit="1"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8.85546875" style="16" customWidth="1"/>
    <col min="14083" max="14083" width="8.7109375" style="16" customWidth="1"/>
    <col min="14084" max="14084" width="7.85546875" style="16" customWidth="1"/>
    <col min="14085" max="14085" width="9.85546875" style="16" bestFit="1" customWidth="1"/>
    <col min="14086" max="14086" width="7.7109375" style="16" customWidth="1"/>
    <col min="14087" max="14088" width="8.28515625" style="16" customWidth="1"/>
    <col min="14089" max="14089" width="9.42578125" style="16" bestFit="1" customWidth="1"/>
    <col min="14090" max="14090" width="7.7109375" style="16" customWidth="1"/>
    <col min="14091" max="14091" width="9.7109375" style="16" bestFit="1" customWidth="1"/>
    <col min="14092" max="14092" width="9.42578125" style="16" bestFit="1" customWidth="1"/>
    <col min="14093" max="14093" width="9" style="16" bestFit="1" customWidth="1"/>
    <col min="14094" max="14094" width="9.42578125" style="16" bestFit="1" customWidth="1"/>
    <col min="14095" max="14095" width="9.85546875" style="16" bestFit="1"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8.85546875" style="16" customWidth="1"/>
    <col min="14339" max="14339" width="8.7109375" style="16" customWidth="1"/>
    <col min="14340" max="14340" width="7.85546875" style="16" customWidth="1"/>
    <col min="14341" max="14341" width="9.85546875" style="16" bestFit="1" customWidth="1"/>
    <col min="14342" max="14342" width="7.7109375" style="16" customWidth="1"/>
    <col min="14343" max="14344" width="8.28515625" style="16" customWidth="1"/>
    <col min="14345" max="14345" width="9.42578125" style="16" bestFit="1" customWidth="1"/>
    <col min="14346" max="14346" width="7.7109375" style="16" customWidth="1"/>
    <col min="14347" max="14347" width="9.7109375" style="16" bestFit="1" customWidth="1"/>
    <col min="14348" max="14348" width="9.42578125" style="16" bestFit="1" customWidth="1"/>
    <col min="14349" max="14349" width="9" style="16" bestFit="1" customWidth="1"/>
    <col min="14350" max="14350" width="9.42578125" style="16" bestFit="1" customWidth="1"/>
    <col min="14351" max="14351" width="9.85546875" style="16" bestFit="1"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8.85546875" style="16" customWidth="1"/>
    <col min="14595" max="14595" width="8.7109375" style="16" customWidth="1"/>
    <col min="14596" max="14596" width="7.85546875" style="16" customWidth="1"/>
    <col min="14597" max="14597" width="9.85546875" style="16" bestFit="1" customWidth="1"/>
    <col min="14598" max="14598" width="7.7109375" style="16" customWidth="1"/>
    <col min="14599" max="14600" width="8.28515625" style="16" customWidth="1"/>
    <col min="14601" max="14601" width="9.42578125" style="16" bestFit="1" customWidth="1"/>
    <col min="14602" max="14602" width="7.7109375" style="16" customWidth="1"/>
    <col min="14603" max="14603" width="9.7109375" style="16" bestFit="1" customWidth="1"/>
    <col min="14604" max="14604" width="9.42578125" style="16" bestFit="1" customWidth="1"/>
    <col min="14605" max="14605" width="9" style="16" bestFit="1" customWidth="1"/>
    <col min="14606" max="14606" width="9.42578125" style="16" bestFit="1" customWidth="1"/>
    <col min="14607" max="14607" width="9.85546875" style="16" bestFit="1"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8.85546875" style="16" customWidth="1"/>
    <col min="14851" max="14851" width="8.7109375" style="16" customWidth="1"/>
    <col min="14852" max="14852" width="7.85546875" style="16" customWidth="1"/>
    <col min="14853" max="14853" width="9.85546875" style="16" bestFit="1" customWidth="1"/>
    <col min="14854" max="14854" width="7.7109375" style="16" customWidth="1"/>
    <col min="14855" max="14856" width="8.28515625" style="16" customWidth="1"/>
    <col min="14857" max="14857" width="9.42578125" style="16" bestFit="1" customWidth="1"/>
    <col min="14858" max="14858" width="7.7109375" style="16" customWidth="1"/>
    <col min="14859" max="14859" width="9.7109375" style="16" bestFit="1" customWidth="1"/>
    <col min="14860" max="14860" width="9.42578125" style="16" bestFit="1" customWidth="1"/>
    <col min="14861" max="14861" width="9" style="16" bestFit="1" customWidth="1"/>
    <col min="14862" max="14862" width="9.42578125" style="16" bestFit="1" customWidth="1"/>
    <col min="14863" max="14863" width="9.85546875" style="16" bestFit="1"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8.85546875" style="16" customWidth="1"/>
    <col min="15107" max="15107" width="8.7109375" style="16" customWidth="1"/>
    <col min="15108" max="15108" width="7.85546875" style="16" customWidth="1"/>
    <col min="15109" max="15109" width="9.85546875" style="16" bestFit="1" customWidth="1"/>
    <col min="15110" max="15110" width="7.7109375" style="16" customWidth="1"/>
    <col min="15111" max="15112" width="8.28515625" style="16" customWidth="1"/>
    <col min="15113" max="15113" width="9.42578125" style="16" bestFit="1" customWidth="1"/>
    <col min="15114" max="15114" width="7.7109375" style="16" customWidth="1"/>
    <col min="15115" max="15115" width="9.7109375" style="16" bestFit="1" customWidth="1"/>
    <col min="15116" max="15116" width="9.42578125" style="16" bestFit="1" customWidth="1"/>
    <col min="15117" max="15117" width="9" style="16" bestFit="1" customWidth="1"/>
    <col min="15118" max="15118" width="9.42578125" style="16" bestFit="1" customWidth="1"/>
    <col min="15119" max="15119" width="9.85546875" style="16" bestFit="1"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8.85546875" style="16" customWidth="1"/>
    <col min="15363" max="15363" width="8.7109375" style="16" customWidth="1"/>
    <col min="15364" max="15364" width="7.85546875" style="16" customWidth="1"/>
    <col min="15365" max="15365" width="9.85546875" style="16" bestFit="1" customWidth="1"/>
    <col min="15366" max="15366" width="7.7109375" style="16" customWidth="1"/>
    <col min="15367" max="15368" width="8.28515625" style="16" customWidth="1"/>
    <col min="15369" max="15369" width="9.42578125" style="16" bestFit="1" customWidth="1"/>
    <col min="15370" max="15370" width="7.7109375" style="16" customWidth="1"/>
    <col min="15371" max="15371" width="9.7109375" style="16" bestFit="1" customWidth="1"/>
    <col min="15372" max="15372" width="9.42578125" style="16" bestFit="1" customWidth="1"/>
    <col min="15373" max="15373" width="9" style="16" bestFit="1" customWidth="1"/>
    <col min="15374" max="15374" width="9.42578125" style="16" bestFit="1" customWidth="1"/>
    <col min="15375" max="15375" width="9.85546875" style="16" bestFit="1"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8.85546875" style="16" customWidth="1"/>
    <col min="15619" max="15619" width="8.7109375" style="16" customWidth="1"/>
    <col min="15620" max="15620" width="7.85546875" style="16" customWidth="1"/>
    <col min="15621" max="15621" width="9.85546875" style="16" bestFit="1" customWidth="1"/>
    <col min="15622" max="15622" width="7.7109375" style="16" customWidth="1"/>
    <col min="15623" max="15624" width="8.28515625" style="16" customWidth="1"/>
    <col min="15625" max="15625" width="9.42578125" style="16" bestFit="1" customWidth="1"/>
    <col min="15626" max="15626" width="7.7109375" style="16" customWidth="1"/>
    <col min="15627" max="15627" width="9.7109375" style="16" bestFit="1" customWidth="1"/>
    <col min="15628" max="15628" width="9.42578125" style="16" bestFit="1" customWidth="1"/>
    <col min="15629" max="15629" width="9" style="16" bestFit="1" customWidth="1"/>
    <col min="15630" max="15630" width="9.42578125" style="16" bestFit="1" customWidth="1"/>
    <col min="15631" max="15631" width="9.85546875" style="16" bestFit="1"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8.85546875" style="16" customWidth="1"/>
    <col min="15875" max="15875" width="8.7109375" style="16" customWidth="1"/>
    <col min="15876" max="15876" width="7.85546875" style="16" customWidth="1"/>
    <col min="15877" max="15877" width="9.85546875" style="16" bestFit="1" customWidth="1"/>
    <col min="15878" max="15878" width="7.7109375" style="16" customWidth="1"/>
    <col min="15879" max="15880" width="8.28515625" style="16" customWidth="1"/>
    <col min="15881" max="15881" width="9.42578125" style="16" bestFit="1" customWidth="1"/>
    <col min="15882" max="15882" width="7.7109375" style="16" customWidth="1"/>
    <col min="15883" max="15883" width="9.7109375" style="16" bestFit="1" customWidth="1"/>
    <col min="15884" max="15884" width="9.42578125" style="16" bestFit="1" customWidth="1"/>
    <col min="15885" max="15885" width="9" style="16" bestFit="1" customWidth="1"/>
    <col min="15886" max="15886" width="9.42578125" style="16" bestFit="1" customWidth="1"/>
    <col min="15887" max="15887" width="9.85546875" style="16" bestFit="1"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8.85546875" style="16" customWidth="1"/>
    <col min="16131" max="16131" width="8.7109375" style="16" customWidth="1"/>
    <col min="16132" max="16132" width="7.85546875" style="16" customWidth="1"/>
    <col min="16133" max="16133" width="9.85546875" style="16" bestFit="1" customWidth="1"/>
    <col min="16134" max="16134" width="7.7109375" style="16" customWidth="1"/>
    <col min="16135" max="16136" width="8.28515625" style="16" customWidth="1"/>
    <col min="16137" max="16137" width="9.42578125" style="16" bestFit="1" customWidth="1"/>
    <col min="16138" max="16138" width="7.7109375" style="16" customWidth="1"/>
    <col min="16139" max="16139" width="9.7109375" style="16" bestFit="1" customWidth="1"/>
    <col min="16140" max="16140" width="9.42578125" style="16" bestFit="1" customWidth="1"/>
    <col min="16141" max="16141" width="9" style="16" bestFit="1" customWidth="1"/>
    <col min="16142" max="16142" width="9.42578125" style="16" bestFit="1" customWidth="1"/>
    <col min="16143" max="16143" width="9.85546875" style="16" bestFit="1"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67" t="s">
        <v>100</v>
      </c>
      <c r="B1" s="868"/>
      <c r="C1" s="868"/>
      <c r="D1" s="892" t="s">
        <v>541</v>
      </c>
      <c r="E1" s="868"/>
      <c r="F1" s="868"/>
      <c r="G1" s="867" t="s">
        <v>102</v>
      </c>
      <c r="H1" s="869"/>
      <c r="I1" s="869" t="s">
        <v>71</v>
      </c>
      <c r="J1" s="868"/>
      <c r="K1" s="868"/>
      <c r="L1" s="870"/>
      <c r="M1" s="870"/>
      <c r="N1" s="870"/>
      <c r="O1" s="870"/>
    </row>
    <row r="2" spans="1:15" s="1" customFormat="1" x14ac:dyDescent="0.2">
      <c r="A2" s="867" t="s">
        <v>103</v>
      </c>
      <c r="B2" s="868"/>
      <c r="C2" s="868"/>
      <c r="D2" s="869" t="s">
        <v>542</v>
      </c>
      <c r="E2" s="868"/>
      <c r="F2" s="868"/>
      <c r="G2" s="867" t="s">
        <v>104</v>
      </c>
      <c r="H2" s="869"/>
      <c r="I2" s="869" t="s">
        <v>105</v>
      </c>
      <c r="J2" s="868"/>
      <c r="K2" s="868"/>
      <c r="L2" s="870"/>
      <c r="M2" s="870"/>
      <c r="N2" s="870"/>
      <c r="O2" s="870"/>
    </row>
    <row r="3" spans="1:15" s="1" customFormat="1" x14ac:dyDescent="0.2">
      <c r="A3" s="867" t="s">
        <v>106</v>
      </c>
      <c r="B3" s="868"/>
      <c r="C3" s="868"/>
      <c r="D3" s="890">
        <v>22348</v>
      </c>
      <c r="E3" s="891"/>
      <c r="F3" s="891"/>
      <c r="G3" s="867" t="s">
        <v>107</v>
      </c>
      <c r="H3" s="869"/>
      <c r="I3" s="869" t="s">
        <v>108</v>
      </c>
      <c r="J3" s="868"/>
      <c r="K3" s="868"/>
      <c r="L3" s="870"/>
      <c r="M3" s="870"/>
      <c r="N3" s="870"/>
      <c r="O3" s="870"/>
    </row>
    <row r="4" spans="1:15" s="1" customFormat="1" x14ac:dyDescent="0.2">
      <c r="A4" s="867" t="s">
        <v>109</v>
      </c>
      <c r="B4" s="868"/>
      <c r="C4" s="868"/>
      <c r="D4" s="869"/>
      <c r="E4" s="868"/>
      <c r="F4" s="868"/>
      <c r="G4" s="867" t="s">
        <v>110</v>
      </c>
      <c r="H4" s="869"/>
      <c r="I4" s="869" t="s">
        <v>486</v>
      </c>
      <c r="J4" s="868"/>
      <c r="K4" s="868"/>
      <c r="L4" s="870"/>
      <c r="M4" s="870"/>
      <c r="N4" s="870"/>
      <c r="O4" s="870"/>
    </row>
    <row r="5" spans="1:15" s="1" customFormat="1" x14ac:dyDescent="0.2">
      <c r="A5" s="867" t="s">
        <v>112</v>
      </c>
      <c r="B5" s="868"/>
      <c r="C5" s="868"/>
      <c r="D5" s="869"/>
      <c r="E5" s="868"/>
      <c r="F5" s="868"/>
      <c r="G5" s="867"/>
      <c r="H5" s="868"/>
      <c r="I5" s="869" t="s">
        <v>113</v>
      </c>
      <c r="J5" s="868"/>
      <c r="K5" s="868"/>
      <c r="L5" s="870"/>
      <c r="M5" s="870"/>
      <c r="N5" s="870"/>
      <c r="O5" s="870"/>
    </row>
    <row r="6" spans="1:15" s="1" customFormat="1" x14ac:dyDescent="0.2">
      <c r="A6" s="871" t="s">
        <v>114</v>
      </c>
      <c r="B6" s="872"/>
      <c r="C6" s="872"/>
      <c r="D6" s="868" t="s">
        <v>72</v>
      </c>
      <c r="E6" s="868"/>
      <c r="F6" s="868"/>
      <c r="G6" s="871" t="s">
        <v>115</v>
      </c>
      <c r="H6" s="871"/>
      <c r="I6" s="2" t="s">
        <v>116</v>
      </c>
      <c r="J6" s="888"/>
      <c r="K6" s="888"/>
      <c r="L6" s="888"/>
      <c r="M6" s="888"/>
      <c r="N6" s="888"/>
      <c r="O6" s="889"/>
    </row>
    <row r="7" spans="1:15" s="1" customFormat="1" ht="13.5" thickBot="1" x14ac:dyDescent="0.25">
      <c r="A7" s="3"/>
      <c r="B7" s="4"/>
      <c r="C7" s="5"/>
      <c r="D7" s="6"/>
      <c r="E7" s="6"/>
      <c r="F7" s="6"/>
      <c r="G7" s="6"/>
      <c r="H7" s="6"/>
      <c r="I7" s="6"/>
      <c r="J7" s="7"/>
      <c r="K7" s="8"/>
      <c r="L7" s="875"/>
      <c r="M7" s="875"/>
      <c r="N7" s="875"/>
      <c r="O7" s="875"/>
    </row>
    <row r="8" spans="1:15" s="11" customFormat="1" x14ac:dyDescent="0.2">
      <c r="A8" s="876" t="str">
        <f>I1</f>
        <v>Mr. P. C. Shukla</v>
      </c>
      <c r="B8" s="877"/>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92700</v>
      </c>
      <c r="D9" s="14">
        <v>92700</v>
      </c>
      <c r="E9" s="14">
        <v>92700</v>
      </c>
      <c r="F9" s="14">
        <v>92700</v>
      </c>
      <c r="G9" s="14">
        <v>95500</v>
      </c>
      <c r="H9" s="14">
        <v>95500</v>
      </c>
      <c r="I9" s="14">
        <v>95500</v>
      </c>
      <c r="J9" s="14">
        <v>95500</v>
      </c>
      <c r="K9" s="14">
        <v>95500</v>
      </c>
      <c r="L9" s="14">
        <v>95500</v>
      </c>
      <c r="M9" s="14">
        <v>104400</v>
      </c>
      <c r="N9" s="14">
        <v>104400</v>
      </c>
      <c r="O9" s="15">
        <f>SUM(C9:N9)</f>
        <v>1152600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4635</v>
      </c>
      <c r="D11" s="17">
        <v>6489</v>
      </c>
      <c r="E11" s="17">
        <v>6489</v>
      </c>
      <c r="F11" s="17">
        <v>6489</v>
      </c>
      <c r="G11" s="17">
        <v>6685</v>
      </c>
      <c r="H11" s="17">
        <v>6685</v>
      </c>
      <c r="I11" s="17">
        <v>6685</v>
      </c>
      <c r="J11" s="17">
        <v>8595</v>
      </c>
      <c r="K11" s="17">
        <v>8595</v>
      </c>
      <c r="L11" s="17">
        <v>8595</v>
      </c>
      <c r="M11" s="17">
        <v>9396</v>
      </c>
      <c r="N11" s="17">
        <v>9396</v>
      </c>
      <c r="O11" s="18">
        <f>SUM(C11:N11)</f>
        <v>88734</v>
      </c>
    </row>
    <row r="12" spans="1:15"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6.5" customHeight="1" x14ac:dyDescent="0.2">
      <c r="A14" s="12"/>
      <c r="B14" s="13" t="s">
        <v>123</v>
      </c>
      <c r="C14" s="17">
        <v>7560</v>
      </c>
      <c r="D14" s="17">
        <v>7704</v>
      </c>
      <c r="E14" s="17">
        <v>7704</v>
      </c>
      <c r="F14" s="17">
        <v>7704</v>
      </c>
      <c r="G14" s="17">
        <v>7704</v>
      </c>
      <c r="H14" s="17">
        <v>7704</v>
      </c>
      <c r="I14" s="17">
        <v>7704</v>
      </c>
      <c r="J14" s="17">
        <v>7848</v>
      </c>
      <c r="K14" s="17">
        <v>7848</v>
      </c>
      <c r="L14" s="17">
        <v>7848</v>
      </c>
      <c r="M14" s="17">
        <v>7848</v>
      </c>
      <c r="N14" s="17">
        <v>7848</v>
      </c>
      <c r="O14" s="18">
        <f t="shared" si="0"/>
        <v>93024</v>
      </c>
    </row>
    <row r="15" spans="1:15" ht="15" customHeight="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6.5" hidden="1" customHeight="1"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row>
    <row r="17" spans="1:15" ht="15.75" hidden="1" customHeight="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127</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0</v>
      </c>
      <c r="D19" s="17">
        <v>0</v>
      </c>
      <c r="E19" s="17">
        <v>0</v>
      </c>
      <c r="F19" s="17">
        <v>0</v>
      </c>
      <c r="G19" s="17">
        <v>0</v>
      </c>
      <c r="H19" s="17">
        <v>0</v>
      </c>
      <c r="I19" s="17">
        <v>0</v>
      </c>
      <c r="J19" s="17">
        <v>0</v>
      </c>
      <c r="K19" s="17">
        <v>0</v>
      </c>
      <c r="L19" s="17">
        <v>0</v>
      </c>
      <c r="M19" s="17">
        <v>0</v>
      </c>
      <c r="N19" s="17">
        <v>0</v>
      </c>
      <c r="O19" s="18">
        <f t="shared" si="0"/>
        <v>0</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customHeight="1" x14ac:dyDescent="0.2">
      <c r="A21" s="878"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79"/>
      <c r="B22" s="19" t="s">
        <v>132</v>
      </c>
      <c r="C22" s="17">
        <v>0</v>
      </c>
      <c r="D22" s="17">
        <v>0</v>
      </c>
      <c r="E22" s="17">
        <v>0</v>
      </c>
      <c r="F22" s="17">
        <v>0</v>
      </c>
      <c r="G22" s="17">
        <v>0</v>
      </c>
      <c r="H22" s="17">
        <v>0</v>
      </c>
      <c r="I22" s="17">
        <v>0</v>
      </c>
      <c r="J22" s="17">
        <v>0</v>
      </c>
      <c r="K22" s="17">
        <v>0</v>
      </c>
      <c r="L22" s="17">
        <v>0</v>
      </c>
      <c r="M22" s="17">
        <v>0</v>
      </c>
      <c r="N22" s="17">
        <v>0</v>
      </c>
      <c r="O22" s="18">
        <f t="shared" si="0"/>
        <v>0</v>
      </c>
    </row>
    <row r="23" spans="1:15" ht="15" hidden="1" customHeight="1" x14ac:dyDescent="0.2">
      <c r="A23" s="879"/>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79"/>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79"/>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79"/>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79"/>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79"/>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79"/>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79"/>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customHeight="1" x14ac:dyDescent="0.2">
      <c r="A31" s="879"/>
      <c r="B31" s="19" t="s">
        <v>141</v>
      </c>
      <c r="C31" s="17">
        <v>0</v>
      </c>
      <c r="D31" s="17">
        <v>0</v>
      </c>
      <c r="E31" s="17">
        <v>0</v>
      </c>
      <c r="F31" s="17">
        <v>0</v>
      </c>
      <c r="G31" s="17">
        <v>0</v>
      </c>
      <c r="H31" s="17">
        <v>0</v>
      </c>
      <c r="I31" s="17">
        <v>0</v>
      </c>
      <c r="J31" s="17">
        <v>0</v>
      </c>
      <c r="K31" s="17">
        <v>0</v>
      </c>
      <c r="L31" s="17">
        <v>0</v>
      </c>
      <c r="M31" s="17">
        <v>37932</v>
      </c>
      <c r="N31" s="17">
        <v>0</v>
      </c>
      <c r="O31" s="18">
        <f t="shared" si="0"/>
        <v>37932</v>
      </c>
    </row>
    <row r="32" spans="1:15" ht="15" customHeight="1" x14ac:dyDescent="0.2">
      <c r="A32" s="879"/>
      <c r="B32" s="21" t="s">
        <v>142</v>
      </c>
      <c r="C32" s="17">
        <v>0</v>
      </c>
      <c r="D32" s="17">
        <v>0</v>
      </c>
      <c r="E32" s="17">
        <v>0</v>
      </c>
      <c r="F32" s="17">
        <v>0</v>
      </c>
      <c r="G32" s="17">
        <v>0</v>
      </c>
      <c r="H32" s="17">
        <v>0</v>
      </c>
      <c r="I32" s="17">
        <v>0</v>
      </c>
      <c r="J32" s="17">
        <v>0</v>
      </c>
      <c r="K32" s="17">
        <v>0</v>
      </c>
      <c r="L32" s="17">
        <v>0</v>
      </c>
      <c r="M32" s="17">
        <v>0</v>
      </c>
      <c r="N32" s="17">
        <v>0</v>
      </c>
      <c r="O32" s="18">
        <f t="shared" si="0"/>
        <v>0</v>
      </c>
    </row>
    <row r="33" spans="1:17" ht="15" customHeight="1" x14ac:dyDescent="0.2">
      <c r="A33" s="880"/>
      <c r="B33" s="19" t="s">
        <v>143</v>
      </c>
      <c r="C33" s="17">
        <v>0</v>
      </c>
      <c r="D33" s="17">
        <v>0</v>
      </c>
      <c r="E33" s="17">
        <v>0</v>
      </c>
      <c r="F33" s="17">
        <v>0</v>
      </c>
      <c r="G33" s="17">
        <v>0</v>
      </c>
      <c r="H33" s="17">
        <v>0</v>
      </c>
      <c r="I33" s="17">
        <v>0</v>
      </c>
      <c r="J33" s="17">
        <v>0</v>
      </c>
      <c r="K33" s="17">
        <v>0</v>
      </c>
      <c r="L33" s="17">
        <v>0</v>
      </c>
      <c r="M33" s="17">
        <v>0</v>
      </c>
      <c r="N33" s="17">
        <v>0</v>
      </c>
      <c r="O33" s="18">
        <f t="shared" si="0"/>
        <v>0</v>
      </c>
    </row>
    <row r="34" spans="1:17" ht="15" customHeight="1" x14ac:dyDescent="0.2">
      <c r="A34" s="865" t="s">
        <v>144</v>
      </c>
      <c r="B34" s="866"/>
      <c r="C34" s="17">
        <v>0</v>
      </c>
      <c r="D34" s="17">
        <v>0</v>
      </c>
      <c r="E34" s="17">
        <v>0</v>
      </c>
      <c r="F34" s="17">
        <v>0</v>
      </c>
      <c r="G34" s="17">
        <v>0</v>
      </c>
      <c r="H34" s="17">
        <v>0</v>
      </c>
      <c r="I34" s="17">
        <v>0</v>
      </c>
      <c r="J34" s="17">
        <v>0</v>
      </c>
      <c r="K34" s="17">
        <v>0</v>
      </c>
      <c r="L34" s="17">
        <v>0</v>
      </c>
      <c r="M34" s="17">
        <v>0</v>
      </c>
      <c r="N34" s="17">
        <v>0</v>
      </c>
      <c r="O34" s="18">
        <f t="shared" si="0"/>
        <v>0</v>
      </c>
    </row>
    <row r="35" spans="1:17" ht="15" customHeight="1" x14ac:dyDescent="0.2">
      <c r="A35" s="865" t="s">
        <v>145</v>
      </c>
      <c r="B35" s="866"/>
      <c r="C35" s="17">
        <v>0</v>
      </c>
      <c r="D35" s="17">
        <v>432</v>
      </c>
      <c r="E35" s="17">
        <v>0</v>
      </c>
      <c r="F35" s="17">
        <v>0</v>
      </c>
      <c r="G35" s="17">
        <v>0</v>
      </c>
      <c r="H35" s="17">
        <v>0</v>
      </c>
      <c r="I35" s="17">
        <v>0</v>
      </c>
      <c r="J35" s="17">
        <v>432</v>
      </c>
      <c r="K35" s="17">
        <v>0</v>
      </c>
      <c r="L35" s="17">
        <v>0</v>
      </c>
      <c r="M35" s="17">
        <v>0</v>
      </c>
      <c r="N35" s="17">
        <v>0</v>
      </c>
      <c r="O35" s="18">
        <f t="shared" si="0"/>
        <v>864</v>
      </c>
    </row>
    <row r="36" spans="1:17" ht="15" customHeight="1" x14ac:dyDescent="0.2">
      <c r="A36" s="865" t="s">
        <v>146</v>
      </c>
      <c r="B36" s="866"/>
      <c r="C36" s="17">
        <v>0</v>
      </c>
      <c r="D36" s="17">
        <v>5562</v>
      </c>
      <c r="E36" s="17">
        <v>0</v>
      </c>
      <c r="F36" s="17">
        <v>0</v>
      </c>
      <c r="G36" s="17">
        <v>0</v>
      </c>
      <c r="H36" s="17">
        <v>0</v>
      </c>
      <c r="I36" s="17">
        <v>0</v>
      </c>
      <c r="J36" s="17">
        <v>5730</v>
      </c>
      <c r="K36" s="17">
        <v>0</v>
      </c>
      <c r="L36" s="17">
        <v>0</v>
      </c>
      <c r="M36" s="17">
        <v>0</v>
      </c>
      <c r="N36" s="17">
        <v>0</v>
      </c>
      <c r="O36" s="18">
        <f t="shared" si="0"/>
        <v>11292</v>
      </c>
    </row>
    <row r="37" spans="1:17" ht="15" customHeight="1" x14ac:dyDescent="0.2">
      <c r="A37" s="22"/>
      <c r="B37" s="23" t="s">
        <v>147</v>
      </c>
      <c r="C37" s="24">
        <f t="shared" ref="C37:N37" si="1">SUM(C9:C36)</f>
        <v>104895</v>
      </c>
      <c r="D37" s="24">
        <f t="shared" si="1"/>
        <v>112887</v>
      </c>
      <c r="E37" s="24">
        <f t="shared" si="1"/>
        <v>106893</v>
      </c>
      <c r="F37" s="24">
        <f t="shared" si="1"/>
        <v>106893</v>
      </c>
      <c r="G37" s="24">
        <f t="shared" si="1"/>
        <v>109889</v>
      </c>
      <c r="H37" s="24">
        <f t="shared" si="1"/>
        <v>109889</v>
      </c>
      <c r="I37" s="24">
        <f t="shared" si="1"/>
        <v>109889</v>
      </c>
      <c r="J37" s="24">
        <f t="shared" si="1"/>
        <v>118105</v>
      </c>
      <c r="K37" s="24">
        <f t="shared" si="1"/>
        <v>111943</v>
      </c>
      <c r="L37" s="24">
        <f t="shared" si="1"/>
        <v>111943</v>
      </c>
      <c r="M37" s="24">
        <f t="shared" si="1"/>
        <v>159576</v>
      </c>
      <c r="N37" s="24">
        <f t="shared" si="1"/>
        <v>121644</v>
      </c>
      <c r="O37" s="25">
        <f>SUM(C37:N37)</f>
        <v>1384446</v>
      </c>
      <c r="Q37" s="26"/>
    </row>
    <row r="38" spans="1:17" ht="15" customHeight="1" x14ac:dyDescent="0.2">
      <c r="A38" s="853" t="s">
        <v>148</v>
      </c>
      <c r="B38" s="27" t="s">
        <v>149</v>
      </c>
      <c r="C38" s="28">
        <v>15200</v>
      </c>
      <c r="D38" s="28">
        <v>12000</v>
      </c>
      <c r="E38" s="28">
        <v>12000</v>
      </c>
      <c r="F38" s="28">
        <v>12000</v>
      </c>
      <c r="G38" s="28">
        <v>12000</v>
      </c>
      <c r="H38" s="28">
        <v>12000</v>
      </c>
      <c r="I38" s="28">
        <v>12000</v>
      </c>
      <c r="J38" s="28">
        <v>12000</v>
      </c>
      <c r="K38" s="28">
        <v>16000</v>
      </c>
      <c r="L38" s="28">
        <v>16330</v>
      </c>
      <c r="M38" s="28">
        <v>27065</v>
      </c>
      <c r="N38" s="28">
        <v>27065</v>
      </c>
      <c r="O38" s="18">
        <f>SUM(C38:N38)</f>
        <v>185660</v>
      </c>
      <c r="P38" s="29"/>
    </row>
    <row r="39" spans="1:17" ht="15" x14ac:dyDescent="0.2">
      <c r="A39" s="854"/>
      <c r="B39" s="27" t="s">
        <v>150</v>
      </c>
      <c r="C39" s="28">
        <v>0</v>
      </c>
      <c r="D39" s="28">
        <v>0</v>
      </c>
      <c r="E39" s="28">
        <v>0</v>
      </c>
      <c r="F39" s="28">
        <v>0</v>
      </c>
      <c r="G39" s="28">
        <v>0</v>
      </c>
      <c r="H39" s="28">
        <v>0</v>
      </c>
      <c r="I39" s="28">
        <v>0</v>
      </c>
      <c r="J39" s="28">
        <v>0</v>
      </c>
      <c r="K39" s="28">
        <v>0</v>
      </c>
      <c r="L39" s="28">
        <v>0</v>
      </c>
      <c r="M39" s="28">
        <v>0</v>
      </c>
      <c r="N39" s="28">
        <v>0</v>
      </c>
      <c r="O39" s="18">
        <f>SUM(C39:N39)</f>
        <v>0</v>
      </c>
    </row>
    <row r="40" spans="1:17" ht="15" x14ac:dyDescent="0.2">
      <c r="A40" s="854"/>
      <c r="B40" s="27" t="s">
        <v>151</v>
      </c>
      <c r="C40" s="28">
        <v>120</v>
      </c>
      <c r="D40" s="28">
        <v>120</v>
      </c>
      <c r="E40" s="28">
        <v>120</v>
      </c>
      <c r="F40" s="28">
        <v>120</v>
      </c>
      <c r="G40" s="28">
        <v>120</v>
      </c>
      <c r="H40" s="28">
        <v>120</v>
      </c>
      <c r="I40" s="28">
        <v>120</v>
      </c>
      <c r="J40" s="28">
        <v>120</v>
      </c>
      <c r="K40" s="28">
        <v>120</v>
      </c>
      <c r="L40" s="28">
        <v>120</v>
      </c>
      <c r="M40" s="28">
        <v>120</v>
      </c>
      <c r="N40" s="28">
        <v>120</v>
      </c>
      <c r="O40" s="18">
        <f t="shared" ref="O40:O50" si="2">SUM(C40:N40)</f>
        <v>1440</v>
      </c>
    </row>
    <row r="41" spans="1:17" ht="15" x14ac:dyDescent="0.2">
      <c r="A41" s="854"/>
      <c r="B41" s="27" t="s">
        <v>152</v>
      </c>
      <c r="C41" s="28">
        <v>0</v>
      </c>
      <c r="D41" s="28">
        <v>0</v>
      </c>
      <c r="E41" s="28">
        <v>0</v>
      </c>
      <c r="F41" s="28">
        <v>0</v>
      </c>
      <c r="G41" s="28">
        <v>0</v>
      </c>
      <c r="H41" s="28">
        <v>0</v>
      </c>
      <c r="I41" s="28">
        <v>0</v>
      </c>
      <c r="J41" s="28">
        <v>0</v>
      </c>
      <c r="K41" s="28">
        <v>0</v>
      </c>
      <c r="L41" s="28">
        <v>0</v>
      </c>
      <c r="M41" s="28">
        <v>0</v>
      </c>
      <c r="N41" s="28">
        <v>0</v>
      </c>
      <c r="O41" s="18">
        <f t="shared" si="2"/>
        <v>0</v>
      </c>
    </row>
    <row r="42" spans="1:17" ht="15" x14ac:dyDescent="0.2">
      <c r="A42" s="854"/>
      <c r="B42" s="27" t="s">
        <v>153</v>
      </c>
      <c r="C42" s="28">
        <v>650</v>
      </c>
      <c r="D42" s="28">
        <v>650</v>
      </c>
      <c r="E42" s="28">
        <v>650</v>
      </c>
      <c r="F42" s="28">
        <v>650</v>
      </c>
      <c r="G42" s="28">
        <v>650</v>
      </c>
      <c r="H42" s="28">
        <v>650</v>
      </c>
      <c r="I42" s="28">
        <v>650</v>
      </c>
      <c r="J42" s="28">
        <v>650</v>
      </c>
      <c r="K42" s="28">
        <v>650</v>
      </c>
      <c r="L42" s="28">
        <v>650</v>
      </c>
      <c r="M42" s="28">
        <v>650</v>
      </c>
      <c r="N42" s="28">
        <v>650</v>
      </c>
      <c r="O42" s="18">
        <f t="shared" si="2"/>
        <v>7800</v>
      </c>
    </row>
    <row r="43" spans="1:17" ht="15" x14ac:dyDescent="0.2">
      <c r="A43" s="854"/>
      <c r="B43" s="27" t="s">
        <v>154</v>
      </c>
      <c r="C43" s="28">
        <v>40000</v>
      </c>
      <c r="D43" s="28">
        <v>40000</v>
      </c>
      <c r="E43" s="28">
        <v>40000</v>
      </c>
      <c r="F43" s="28">
        <v>40000</v>
      </c>
      <c r="G43" s="28">
        <v>40000</v>
      </c>
      <c r="H43" s="28">
        <v>40000</v>
      </c>
      <c r="I43" s="28">
        <v>40000</v>
      </c>
      <c r="J43" s="28">
        <v>40000</v>
      </c>
      <c r="K43" s="28">
        <v>40000</v>
      </c>
      <c r="L43" s="28">
        <v>40000</v>
      </c>
      <c r="M43" s="28">
        <v>40000</v>
      </c>
      <c r="N43" s="28">
        <v>40000</v>
      </c>
      <c r="O43" s="18">
        <f t="shared" si="2"/>
        <v>480000</v>
      </c>
    </row>
    <row r="44" spans="1:17" ht="15" x14ac:dyDescent="0.2">
      <c r="A44" s="854"/>
      <c r="B44" s="27" t="s">
        <v>155</v>
      </c>
      <c r="C44" s="28">
        <v>200</v>
      </c>
      <c r="D44" s="28">
        <v>200</v>
      </c>
      <c r="E44" s="28">
        <v>200</v>
      </c>
      <c r="F44" s="28">
        <v>200</v>
      </c>
      <c r="G44" s="28">
        <v>200</v>
      </c>
      <c r="H44" s="28">
        <v>200</v>
      </c>
      <c r="I44" s="28">
        <v>200</v>
      </c>
      <c r="J44" s="28">
        <v>200</v>
      </c>
      <c r="K44" s="28">
        <v>200</v>
      </c>
      <c r="L44" s="28">
        <v>200</v>
      </c>
      <c r="M44" s="28">
        <v>200</v>
      </c>
      <c r="N44" s="28">
        <v>300</v>
      </c>
      <c r="O44" s="18">
        <f t="shared" si="2"/>
        <v>2500</v>
      </c>
    </row>
    <row r="45" spans="1:17" ht="15" x14ac:dyDescent="0.2">
      <c r="A45" s="854"/>
      <c r="B45" s="27" t="s">
        <v>293</v>
      </c>
      <c r="C45" s="28">
        <v>713</v>
      </c>
      <c r="D45" s="28">
        <v>713</v>
      </c>
      <c r="E45" s="28">
        <v>728</v>
      </c>
      <c r="F45" s="28">
        <v>728</v>
      </c>
      <c r="G45" s="28">
        <v>728</v>
      </c>
      <c r="H45" s="28">
        <v>728</v>
      </c>
      <c r="I45" s="28">
        <v>728</v>
      </c>
      <c r="J45" s="28">
        <v>728</v>
      </c>
      <c r="K45" s="28">
        <v>728</v>
      </c>
      <c r="L45" s="28">
        <v>728</v>
      </c>
      <c r="M45" s="28">
        <v>728</v>
      </c>
      <c r="N45" s="28">
        <v>728</v>
      </c>
      <c r="O45" s="18">
        <f t="shared" si="2"/>
        <v>8706</v>
      </c>
    </row>
    <row r="46" spans="1:17" ht="15" x14ac:dyDescent="0.2">
      <c r="A46" s="854"/>
      <c r="B46" s="27" t="s">
        <v>157</v>
      </c>
      <c r="C46" s="28">
        <v>0</v>
      </c>
      <c r="D46" s="28">
        <v>0</v>
      </c>
      <c r="E46" s="28">
        <v>0</v>
      </c>
      <c r="F46" s="28">
        <v>0</v>
      </c>
      <c r="G46" s="28">
        <v>0</v>
      </c>
      <c r="H46" s="28">
        <v>0</v>
      </c>
      <c r="I46" s="28">
        <v>0</v>
      </c>
      <c r="J46" s="28">
        <v>0</v>
      </c>
      <c r="K46" s="28">
        <v>0</v>
      </c>
      <c r="L46" s="28">
        <v>0</v>
      </c>
      <c r="M46" s="28">
        <v>0</v>
      </c>
      <c r="N46" s="28">
        <v>0</v>
      </c>
      <c r="O46" s="18">
        <f t="shared" si="2"/>
        <v>0</v>
      </c>
    </row>
    <row r="47" spans="1:17" ht="28.5" customHeight="1" x14ac:dyDescent="0.2">
      <c r="A47" s="855"/>
      <c r="B47" s="30" t="s">
        <v>158</v>
      </c>
      <c r="C47" s="28">
        <v>0</v>
      </c>
      <c r="D47" s="28">
        <v>0</v>
      </c>
      <c r="E47" s="28">
        <v>0</v>
      </c>
      <c r="F47" s="28">
        <v>0</v>
      </c>
      <c r="G47" s="28">
        <v>0</v>
      </c>
      <c r="H47" s="28">
        <v>0</v>
      </c>
      <c r="I47" s="28">
        <v>0</v>
      </c>
      <c r="J47" s="28">
        <v>0</v>
      </c>
      <c r="K47" s="28">
        <v>0</v>
      </c>
      <c r="L47" s="28">
        <v>0</v>
      </c>
      <c r="M47" s="28">
        <v>0</v>
      </c>
      <c r="N47" s="28">
        <v>0</v>
      </c>
      <c r="O47" s="31">
        <f t="shared" si="2"/>
        <v>0</v>
      </c>
    </row>
    <row r="48" spans="1:17" ht="27.75" customHeight="1" x14ac:dyDescent="0.2">
      <c r="A48" s="856"/>
      <c r="B48" s="32" t="s">
        <v>159</v>
      </c>
      <c r="C48" s="28">
        <v>0</v>
      </c>
      <c r="D48" s="28">
        <v>0</v>
      </c>
      <c r="E48" s="28">
        <v>0</v>
      </c>
      <c r="F48" s="28">
        <v>0</v>
      </c>
      <c r="G48" s="28">
        <v>0</v>
      </c>
      <c r="H48" s="28">
        <v>0</v>
      </c>
      <c r="I48" s="28">
        <v>0</v>
      </c>
      <c r="J48" s="28">
        <v>0</v>
      </c>
      <c r="K48" s="28">
        <v>0</v>
      </c>
      <c r="L48" s="28">
        <v>0</v>
      </c>
      <c r="M48" s="28">
        <v>0</v>
      </c>
      <c r="N48" s="28">
        <v>0</v>
      </c>
      <c r="O48" s="31">
        <f t="shared" si="2"/>
        <v>0</v>
      </c>
    </row>
    <row r="49" spans="1:18" ht="15" x14ac:dyDescent="0.2">
      <c r="A49" s="857" t="s">
        <v>160</v>
      </c>
      <c r="B49" s="858"/>
      <c r="C49" s="33">
        <f t="shared" ref="C49:N49" si="3">SUM(C38:C48)</f>
        <v>56883</v>
      </c>
      <c r="D49" s="33">
        <f t="shared" si="3"/>
        <v>53683</v>
      </c>
      <c r="E49" s="33">
        <f t="shared" si="3"/>
        <v>53698</v>
      </c>
      <c r="F49" s="33">
        <f t="shared" si="3"/>
        <v>53698</v>
      </c>
      <c r="G49" s="33">
        <f t="shared" si="3"/>
        <v>53698</v>
      </c>
      <c r="H49" s="33">
        <f t="shared" si="3"/>
        <v>53698</v>
      </c>
      <c r="I49" s="33">
        <f t="shared" si="3"/>
        <v>53698</v>
      </c>
      <c r="J49" s="33">
        <f t="shared" si="3"/>
        <v>53698</v>
      </c>
      <c r="K49" s="33">
        <f t="shared" si="3"/>
        <v>57698</v>
      </c>
      <c r="L49" s="33">
        <f t="shared" si="3"/>
        <v>58028</v>
      </c>
      <c r="M49" s="33">
        <f t="shared" si="3"/>
        <v>68763</v>
      </c>
      <c r="N49" s="33">
        <f t="shared" si="3"/>
        <v>68863</v>
      </c>
      <c r="O49" s="34">
        <f t="shared" si="2"/>
        <v>686106</v>
      </c>
    </row>
    <row r="50" spans="1:18" ht="15.75" thickBot="1" x14ac:dyDescent="0.25">
      <c r="A50" s="859" t="s">
        <v>161</v>
      </c>
      <c r="B50" s="860"/>
      <c r="C50" s="35">
        <f t="shared" ref="C50:N50" si="4">C37-C49</f>
        <v>48012</v>
      </c>
      <c r="D50" s="35">
        <f t="shared" si="4"/>
        <v>59204</v>
      </c>
      <c r="E50" s="35">
        <f t="shared" si="4"/>
        <v>53195</v>
      </c>
      <c r="F50" s="35">
        <f t="shared" si="4"/>
        <v>53195</v>
      </c>
      <c r="G50" s="35">
        <f t="shared" si="4"/>
        <v>56191</v>
      </c>
      <c r="H50" s="35">
        <f t="shared" si="4"/>
        <v>56191</v>
      </c>
      <c r="I50" s="35">
        <f t="shared" si="4"/>
        <v>56191</v>
      </c>
      <c r="J50" s="35">
        <f t="shared" si="4"/>
        <v>64407</v>
      </c>
      <c r="K50" s="35">
        <f t="shared" si="4"/>
        <v>54245</v>
      </c>
      <c r="L50" s="35">
        <f t="shared" si="4"/>
        <v>53915</v>
      </c>
      <c r="M50" s="35">
        <f t="shared" si="4"/>
        <v>90813</v>
      </c>
      <c r="N50" s="35">
        <f t="shared" si="4"/>
        <v>52781</v>
      </c>
      <c r="O50" s="36">
        <f t="shared" si="2"/>
        <v>698340</v>
      </c>
    </row>
    <row r="51" spans="1:18" x14ac:dyDescent="0.2">
      <c r="J51" s="16">
        <f>+J37-J32-J35-J36</f>
        <v>111943</v>
      </c>
      <c r="Q51" s="38"/>
    </row>
    <row r="52" spans="1:18" ht="13.5" thickBot="1" x14ac:dyDescent="0.25">
      <c r="J52" s="38">
        <f>+J51-J49</f>
        <v>58245</v>
      </c>
    </row>
    <row r="53" spans="1:18" ht="13.5" thickBot="1" x14ac:dyDescent="0.25">
      <c r="B53" s="789" t="s">
        <v>162</v>
      </c>
      <c r="C53" s="861"/>
      <c r="D53" s="861"/>
      <c r="E53" s="861"/>
      <c r="F53" s="862"/>
      <c r="G53" s="863">
        <f>O37</f>
        <v>1384446</v>
      </c>
      <c r="H53" s="864"/>
      <c r="J53" s="38">
        <f>+J52+21206</f>
        <v>79451</v>
      </c>
    </row>
    <row r="54" spans="1:18" ht="13.5" thickBot="1" x14ac:dyDescent="0.25"/>
    <row r="55" spans="1:18" x14ac:dyDescent="0.2">
      <c r="B55" s="830" t="s">
        <v>163</v>
      </c>
      <c r="C55" s="833" t="s">
        <v>164</v>
      </c>
      <c r="D55" s="836" t="s">
        <v>425</v>
      </c>
      <c r="E55" s="837"/>
      <c r="F55" s="838"/>
      <c r="G55" s="839">
        <v>40000</v>
      </c>
      <c r="H55" s="840"/>
    </row>
    <row r="56" spans="1:18" x14ac:dyDescent="0.2">
      <c r="B56" s="831"/>
      <c r="C56" s="834"/>
      <c r="D56" s="841" t="s">
        <v>166</v>
      </c>
      <c r="E56" s="842"/>
      <c r="F56" s="843"/>
      <c r="G56" s="844">
        <f>+O44</f>
        <v>2500</v>
      </c>
      <c r="H56" s="845"/>
      <c r="I56" s="39"/>
      <c r="J56" s="846"/>
      <c r="K56" s="846"/>
      <c r="L56" s="846"/>
      <c r="M56" s="847"/>
      <c r="N56" s="847"/>
      <c r="O56" s="847"/>
    </row>
    <row r="57" spans="1:18" x14ac:dyDescent="0.2">
      <c r="B57" s="886"/>
      <c r="C57" s="887"/>
      <c r="D57" s="40" t="s">
        <v>129</v>
      </c>
      <c r="E57" s="41"/>
      <c r="F57" s="42"/>
      <c r="G57" s="43"/>
      <c r="H57" s="44">
        <v>0</v>
      </c>
      <c r="I57" s="39"/>
      <c r="J57" s="45"/>
      <c r="K57" s="45"/>
      <c r="L57" s="45"/>
      <c r="M57" s="46"/>
      <c r="N57" s="46"/>
      <c r="O57" s="46"/>
    </row>
    <row r="58" spans="1:18" ht="13.5" thickBot="1" x14ac:dyDescent="0.25">
      <c r="B58" s="832"/>
      <c r="C58" s="835"/>
      <c r="D58" s="848" t="s">
        <v>167</v>
      </c>
      <c r="E58" s="849"/>
      <c r="F58" s="850"/>
      <c r="G58" s="851">
        <f>O18</f>
        <v>0</v>
      </c>
      <c r="H58" s="852"/>
      <c r="J58" s="47"/>
      <c r="K58" s="47"/>
      <c r="L58" s="47"/>
      <c r="M58" s="47"/>
      <c r="N58" s="47"/>
      <c r="O58" s="47"/>
    </row>
    <row r="59" spans="1:18" ht="13.5" thickBot="1" x14ac:dyDescent="0.25">
      <c r="B59" s="48"/>
      <c r="J59" s="47"/>
      <c r="K59" s="47"/>
      <c r="L59" s="47"/>
      <c r="M59" s="47"/>
      <c r="N59" s="47"/>
      <c r="O59" s="47"/>
    </row>
    <row r="60" spans="1:18" ht="13.5" thickBot="1" x14ac:dyDescent="0.25">
      <c r="B60" s="789" t="s">
        <v>168</v>
      </c>
      <c r="C60" s="790"/>
      <c r="D60" s="790"/>
      <c r="E60" s="790"/>
      <c r="F60" s="791"/>
      <c r="G60" s="825">
        <f>+G53-SUM(G55:H58)</f>
        <v>1341946</v>
      </c>
      <c r="H60" s="826"/>
      <c r="J60" s="827" t="s">
        <v>169</v>
      </c>
      <c r="K60" s="828"/>
      <c r="L60" s="828"/>
      <c r="M60" s="828"/>
      <c r="N60" s="828"/>
      <c r="O60" s="829"/>
    </row>
    <row r="61" spans="1:18" ht="13.5" thickBot="1" x14ac:dyDescent="0.25">
      <c r="B61" s="49"/>
      <c r="C61" s="50"/>
      <c r="D61" s="50"/>
      <c r="E61" s="50"/>
      <c r="F61" s="50"/>
      <c r="G61" s="45"/>
      <c r="H61" s="50"/>
      <c r="J61" s="51"/>
      <c r="K61" s="52"/>
      <c r="L61" s="52"/>
      <c r="M61" s="52"/>
      <c r="N61" s="52"/>
      <c r="O61" s="53"/>
    </row>
    <row r="62" spans="1:18" ht="13.5" thickBot="1" x14ac:dyDescent="0.25">
      <c r="B62" s="789" t="s">
        <v>170</v>
      </c>
      <c r="C62" s="790"/>
      <c r="D62" s="790"/>
      <c r="E62" s="790"/>
      <c r="F62" s="791"/>
      <c r="G62" s="805"/>
      <c r="H62" s="791"/>
      <c r="J62" s="54"/>
      <c r="K62" s="55"/>
      <c r="L62" s="55"/>
      <c r="M62" s="55"/>
      <c r="N62" s="55"/>
      <c r="O62" s="56"/>
    </row>
    <row r="63" spans="1:18" ht="12.75" customHeight="1" x14ac:dyDescent="0.2">
      <c r="B63" s="57" t="s">
        <v>171</v>
      </c>
      <c r="C63" s="806" t="s">
        <v>172</v>
      </c>
      <c r="D63" s="807"/>
      <c r="E63" s="807"/>
      <c r="F63" s="808"/>
      <c r="G63" s="809">
        <v>0</v>
      </c>
      <c r="H63" s="809"/>
      <c r="I63" s="58"/>
      <c r="J63" s="810" t="s">
        <v>173</v>
      </c>
      <c r="K63" s="811"/>
      <c r="L63" s="811"/>
      <c r="M63" s="811"/>
      <c r="N63" s="811"/>
      <c r="O63" s="812"/>
      <c r="Q63" s="59"/>
      <c r="R63" s="59"/>
    </row>
    <row r="64" spans="1:18" ht="13.5" thickBot="1" x14ac:dyDescent="0.25">
      <c r="D64" s="37"/>
      <c r="I64" s="58"/>
      <c r="J64" s="60" t="s">
        <v>174</v>
      </c>
      <c r="K64" s="61"/>
      <c r="L64" s="61"/>
      <c r="M64" s="61"/>
      <c r="N64" s="61"/>
      <c r="O64" s="62"/>
      <c r="Q64" s="59"/>
      <c r="R64" s="59"/>
    </row>
    <row r="65" spans="2:18" ht="13.5" thickBot="1" x14ac:dyDescent="0.25">
      <c r="B65" s="789" t="s">
        <v>175</v>
      </c>
      <c r="C65" s="790"/>
      <c r="D65" s="790"/>
      <c r="E65" s="790"/>
      <c r="F65" s="791"/>
      <c r="G65" s="805">
        <f>+G60-G63</f>
        <v>1341946</v>
      </c>
      <c r="H65" s="791"/>
      <c r="I65" s="63"/>
      <c r="J65" s="64"/>
      <c r="K65" s="39"/>
      <c r="L65" s="39"/>
      <c r="M65" s="39"/>
      <c r="N65" s="39"/>
      <c r="O65" s="65"/>
      <c r="Q65" s="59"/>
      <c r="R65" s="59"/>
    </row>
    <row r="66" spans="2:18" ht="12.75" customHeight="1" x14ac:dyDescent="0.2">
      <c r="B66" s="48"/>
      <c r="C66" s="48"/>
      <c r="I66" s="63"/>
      <c r="J66" s="64"/>
      <c r="K66" s="39"/>
      <c r="L66" s="39"/>
      <c r="M66" s="39"/>
      <c r="N66" s="39"/>
      <c r="O66" s="65"/>
      <c r="Q66" s="59"/>
      <c r="R66" s="59"/>
    </row>
    <row r="67" spans="2:18" x14ac:dyDescent="0.2">
      <c r="B67" s="66" t="s">
        <v>176</v>
      </c>
      <c r="C67" s="48"/>
      <c r="I67" s="63"/>
      <c r="J67" s="67"/>
      <c r="K67" s="68"/>
      <c r="L67" s="68"/>
      <c r="M67" s="68"/>
      <c r="N67" s="68"/>
      <c r="O67" s="69"/>
      <c r="Q67" s="59"/>
      <c r="R67" s="59"/>
    </row>
    <row r="68" spans="2:18" ht="26.25" customHeight="1" thickBot="1" x14ac:dyDescent="0.25">
      <c r="B68" s="66"/>
      <c r="C68" s="48"/>
      <c r="G68" s="70" t="s">
        <v>177</v>
      </c>
      <c r="H68" s="70" t="s">
        <v>178</v>
      </c>
      <c r="I68" s="63"/>
      <c r="J68" s="810" t="s">
        <v>179</v>
      </c>
      <c r="K68" s="811"/>
      <c r="L68" s="71"/>
      <c r="M68" s="71"/>
      <c r="N68" s="71"/>
      <c r="O68" s="72"/>
      <c r="Q68" s="59"/>
      <c r="R68" s="59"/>
    </row>
    <row r="69" spans="2:18" ht="12.75" customHeight="1" x14ac:dyDescent="0.2">
      <c r="B69" s="802" t="s">
        <v>180</v>
      </c>
      <c r="C69" s="821" t="s">
        <v>181</v>
      </c>
      <c r="D69" s="823" t="s">
        <v>182</v>
      </c>
      <c r="E69" s="824"/>
      <c r="F69" s="824"/>
      <c r="G69" s="73">
        <f>+O43</f>
        <v>480000</v>
      </c>
      <c r="H69" s="74">
        <f t="shared" ref="H69:H77" si="5">+G69</f>
        <v>480000</v>
      </c>
      <c r="I69" s="63"/>
      <c r="J69" s="75" t="s">
        <v>183</v>
      </c>
      <c r="K69" s="58"/>
      <c r="L69" s="58"/>
      <c r="M69" s="58"/>
      <c r="N69" s="58"/>
      <c r="O69" s="76"/>
      <c r="Q69" s="59"/>
      <c r="R69" s="59"/>
    </row>
    <row r="70" spans="2:18" ht="12.75" customHeight="1" x14ac:dyDescent="0.2">
      <c r="B70" s="803"/>
      <c r="C70" s="822"/>
      <c r="D70" s="782" t="s">
        <v>184</v>
      </c>
      <c r="E70" s="783"/>
      <c r="F70" s="783"/>
      <c r="G70" s="77">
        <v>0</v>
      </c>
      <c r="H70" s="78">
        <f t="shared" si="5"/>
        <v>0</v>
      </c>
      <c r="I70" s="63"/>
      <c r="J70" s="79"/>
      <c r="K70" s="68"/>
      <c r="L70" s="68"/>
      <c r="M70" s="68"/>
      <c r="N70" s="68"/>
      <c r="O70" s="69"/>
      <c r="Q70" s="59"/>
      <c r="R70" s="59"/>
    </row>
    <row r="71" spans="2:18" ht="12.75" customHeight="1" x14ac:dyDescent="0.2">
      <c r="B71" s="803"/>
      <c r="C71" s="822"/>
      <c r="D71" s="819" t="s">
        <v>185</v>
      </c>
      <c r="E71" s="820"/>
      <c r="F71" s="820"/>
      <c r="G71" s="80">
        <f>O40</f>
        <v>1440</v>
      </c>
      <c r="H71" s="78">
        <f t="shared" si="5"/>
        <v>1440</v>
      </c>
      <c r="I71" s="63"/>
      <c r="J71" s="67"/>
      <c r="K71" s="68"/>
      <c r="L71" s="68"/>
      <c r="M71" s="68"/>
      <c r="N71" s="68"/>
      <c r="O71" s="69"/>
    </row>
    <row r="72" spans="2:18" x14ac:dyDescent="0.2">
      <c r="B72" s="803"/>
      <c r="C72" s="822"/>
      <c r="D72" s="782" t="s">
        <v>186</v>
      </c>
      <c r="E72" s="783"/>
      <c r="F72" s="783"/>
      <c r="G72" s="81">
        <v>0</v>
      </c>
      <c r="H72" s="78">
        <f t="shared" si="5"/>
        <v>0</v>
      </c>
      <c r="I72" s="63"/>
      <c r="J72" s="82" t="s">
        <v>187</v>
      </c>
      <c r="K72" s="71"/>
      <c r="L72" s="71"/>
      <c r="M72" s="71"/>
      <c r="N72" s="71"/>
      <c r="O72" s="72"/>
    </row>
    <row r="73" spans="2:18" ht="12.75" customHeight="1" x14ac:dyDescent="0.2">
      <c r="B73" s="803"/>
      <c r="C73" s="822"/>
      <c r="D73" s="784" t="s">
        <v>188</v>
      </c>
      <c r="E73" s="783"/>
      <c r="F73" s="783"/>
      <c r="G73" s="80">
        <v>0</v>
      </c>
      <c r="H73" s="78">
        <f t="shared" si="5"/>
        <v>0</v>
      </c>
      <c r="I73" s="63"/>
      <c r="J73" s="75" t="s">
        <v>189</v>
      </c>
      <c r="K73" s="50"/>
      <c r="L73" s="50"/>
      <c r="M73" s="50"/>
      <c r="N73" s="50"/>
      <c r="O73" s="83">
        <f>O42</f>
        <v>7800</v>
      </c>
    </row>
    <row r="74" spans="2:18" ht="14.25" customHeight="1" x14ac:dyDescent="0.2">
      <c r="B74" s="803"/>
      <c r="C74" s="822"/>
      <c r="D74" s="782" t="s">
        <v>190</v>
      </c>
      <c r="E74" s="783"/>
      <c r="F74" s="783"/>
      <c r="G74" s="84">
        <v>0</v>
      </c>
      <c r="H74" s="78">
        <f t="shared" si="5"/>
        <v>0</v>
      </c>
      <c r="I74" s="63"/>
      <c r="J74" s="64"/>
      <c r="K74" s="39"/>
      <c r="L74" s="39"/>
      <c r="M74" s="39"/>
      <c r="N74" s="39"/>
      <c r="O74" s="65"/>
    </row>
    <row r="75" spans="2:18" x14ac:dyDescent="0.2">
      <c r="B75" s="803"/>
      <c r="C75" s="822"/>
      <c r="D75" s="782" t="s">
        <v>191</v>
      </c>
      <c r="E75" s="783"/>
      <c r="F75" s="783"/>
      <c r="G75" s="81">
        <v>0</v>
      </c>
      <c r="H75" s="78">
        <f t="shared" si="5"/>
        <v>0</v>
      </c>
      <c r="I75" s="58"/>
      <c r="J75" s="85"/>
      <c r="K75" s="63"/>
      <c r="L75" s="63"/>
      <c r="M75" s="63"/>
      <c r="N75" s="63"/>
      <c r="O75" s="86"/>
      <c r="P75" s="87"/>
    </row>
    <row r="76" spans="2:18" x14ac:dyDescent="0.2">
      <c r="B76" s="803"/>
      <c r="C76" s="88" t="s">
        <v>192</v>
      </c>
      <c r="D76" s="813" t="s">
        <v>193</v>
      </c>
      <c r="E76" s="814"/>
      <c r="F76" s="814"/>
      <c r="G76" s="80">
        <v>0</v>
      </c>
      <c r="H76" s="78">
        <f t="shared" si="5"/>
        <v>0</v>
      </c>
      <c r="I76" s="58"/>
      <c r="J76" s="60"/>
      <c r="K76" s="68"/>
      <c r="L76" s="68"/>
      <c r="M76" s="50"/>
      <c r="N76" s="50"/>
      <c r="O76" s="83"/>
      <c r="P76" s="87"/>
    </row>
    <row r="77" spans="2:18" ht="13.5" customHeight="1" thickBot="1" x14ac:dyDescent="0.25">
      <c r="B77" s="803"/>
      <c r="C77" s="88" t="s">
        <v>194</v>
      </c>
      <c r="D77" s="815" t="s">
        <v>195</v>
      </c>
      <c r="E77" s="815"/>
      <c r="F77" s="815"/>
      <c r="G77" s="89">
        <v>0</v>
      </c>
      <c r="H77" s="90">
        <f t="shared" si="5"/>
        <v>0</v>
      </c>
      <c r="I77" s="63"/>
      <c r="J77" s="75"/>
      <c r="K77" s="68"/>
      <c r="L77" s="68"/>
      <c r="M77" s="91"/>
      <c r="N77" s="91"/>
      <c r="O77" s="92"/>
    </row>
    <row r="78" spans="2:18" ht="13.5" thickBot="1" x14ac:dyDescent="0.25">
      <c r="B78" s="803"/>
      <c r="C78" s="93"/>
      <c r="D78" s="94"/>
      <c r="E78" s="816" t="s">
        <v>117</v>
      </c>
      <c r="F78" s="817"/>
      <c r="G78" s="95">
        <f>SUM(G69:G77)</f>
        <v>481440</v>
      </c>
      <c r="H78" s="96">
        <f>IF(SUM(G69:G75)&lt;150000,SUM(G69:G75),150000)+IF(+G76&lt;20000,+G76,20000)</f>
        <v>150000</v>
      </c>
      <c r="I78" s="63"/>
      <c r="J78" s="97"/>
      <c r="K78" s="98"/>
      <c r="L78" s="98"/>
      <c r="M78" s="98"/>
      <c r="N78" s="98"/>
      <c r="O78" s="99"/>
    </row>
    <row r="79" spans="2:18" ht="12.75" customHeight="1" x14ac:dyDescent="0.2">
      <c r="B79" s="803"/>
      <c r="C79" s="100" t="s">
        <v>196</v>
      </c>
      <c r="D79" s="782" t="s">
        <v>187</v>
      </c>
      <c r="E79" s="783"/>
      <c r="F79" s="818"/>
      <c r="G79" s="73">
        <v>7800</v>
      </c>
      <c r="H79" s="101">
        <f>+IF(+G79&lt;25000,+G79,25000)</f>
        <v>7800</v>
      </c>
      <c r="I79" s="87"/>
    </row>
    <row r="80" spans="2:18" x14ac:dyDescent="0.2">
      <c r="B80" s="803"/>
      <c r="C80" s="100" t="s">
        <v>197</v>
      </c>
      <c r="D80" s="784" t="s">
        <v>198</v>
      </c>
      <c r="E80" s="785"/>
      <c r="F80" s="786"/>
      <c r="G80" s="102"/>
      <c r="H80" s="103">
        <f>+IF(+G80&lt;40000,+G80,40000)</f>
        <v>0</v>
      </c>
      <c r="I80" s="63"/>
    </row>
    <row r="81" spans="2:12" x14ac:dyDescent="0.2">
      <c r="B81" s="803"/>
      <c r="C81" s="100" t="s">
        <v>199</v>
      </c>
      <c r="D81" s="784" t="s">
        <v>200</v>
      </c>
      <c r="E81" s="785"/>
      <c r="F81" s="786"/>
      <c r="G81" s="81">
        <v>0</v>
      </c>
      <c r="H81" s="104">
        <f>+G81</f>
        <v>0</v>
      </c>
      <c r="I81" s="63"/>
      <c r="J81" s="105"/>
      <c r="K81" s="106"/>
    </row>
    <row r="82" spans="2:12" x14ac:dyDescent="0.2">
      <c r="B82" s="803"/>
      <c r="C82" s="100" t="s">
        <v>201</v>
      </c>
      <c r="D82" s="784" t="s">
        <v>202</v>
      </c>
      <c r="E82" s="785"/>
      <c r="F82" s="786"/>
      <c r="G82" s="81"/>
      <c r="H82" s="104">
        <v>0</v>
      </c>
      <c r="I82" s="63"/>
    </row>
    <row r="83" spans="2:12" ht="13.5" thickBot="1" x14ac:dyDescent="0.25">
      <c r="B83" s="804"/>
      <c r="C83" s="100" t="s">
        <v>203</v>
      </c>
      <c r="D83" s="784" t="s">
        <v>204</v>
      </c>
      <c r="E83" s="785"/>
      <c r="F83" s="786"/>
      <c r="G83" s="102"/>
      <c r="H83" s="103">
        <f>+IF(+G83&lt;100000,+G83,10000)</f>
        <v>0</v>
      </c>
      <c r="I83" s="63"/>
    </row>
    <row r="84" spans="2:12" ht="13.5" thickBot="1" x14ac:dyDescent="0.25">
      <c r="B84" s="787" t="s">
        <v>205</v>
      </c>
      <c r="C84" s="788"/>
      <c r="D84" s="788"/>
      <c r="E84" s="788"/>
      <c r="F84" s="788"/>
      <c r="G84" s="107">
        <f>SUM(G79:G83)</f>
        <v>7800</v>
      </c>
      <c r="H84" s="108">
        <f>SUM(H78:H83)</f>
        <v>157800</v>
      </c>
    </row>
    <row r="85" spans="2:12" ht="13.5" thickBot="1" x14ac:dyDescent="0.25"/>
    <row r="86" spans="2:12" ht="13.5" thickBot="1" x14ac:dyDescent="0.25">
      <c r="B86" s="789" t="s">
        <v>206</v>
      </c>
      <c r="C86" s="790"/>
      <c r="D86" s="790"/>
      <c r="E86" s="790"/>
      <c r="F86" s="791"/>
      <c r="G86" s="792">
        <f>ROUND(+G65-H84,-1)</f>
        <v>1184150</v>
      </c>
      <c r="H86" s="791"/>
      <c r="J86" s="109"/>
    </row>
    <row r="87" spans="2:12" x14ac:dyDescent="0.2">
      <c r="B87" s="110"/>
      <c r="F87" s="105"/>
      <c r="J87" s="109"/>
    </row>
    <row r="88" spans="2:12" x14ac:dyDescent="0.2">
      <c r="C88" s="793" t="s">
        <v>207</v>
      </c>
      <c r="D88" s="794"/>
      <c r="E88" s="111" t="s">
        <v>208</v>
      </c>
      <c r="F88" s="111" t="s">
        <v>209</v>
      </c>
      <c r="G88" s="111" t="s">
        <v>210</v>
      </c>
      <c r="H88" s="111" t="s">
        <v>211</v>
      </c>
      <c r="J88" s="109"/>
      <c r="K88" s="47"/>
    </row>
    <row r="89" spans="2:12" x14ac:dyDescent="0.2">
      <c r="C89" s="795" t="str">
        <f>IF(I6="M","0          - 250000","0          -  250000")</f>
        <v>0          - 250000</v>
      </c>
      <c r="D89" s="796"/>
      <c r="E89" s="112">
        <v>0</v>
      </c>
      <c r="F89" s="113">
        <f>IF(I6="M",(IF(G86&lt;250000,G86,250000)),(IF(G86&lt;250000,G86,250000)))</f>
        <v>250000</v>
      </c>
      <c r="G89" s="113">
        <f>G86-F89</f>
        <v>934150</v>
      </c>
      <c r="H89" s="113">
        <f>E89*F89</f>
        <v>0</v>
      </c>
      <c r="K89" s="1"/>
    </row>
    <row r="90" spans="2:12" x14ac:dyDescent="0.2">
      <c r="C90" s="795" t="str">
        <f>IF(I6="M","250001 - 500000","250001-500000")</f>
        <v>250001 - 500000</v>
      </c>
      <c r="D90" s="796"/>
      <c r="E90" s="112">
        <v>0.05</v>
      </c>
      <c r="F90" s="113">
        <f>IF(I6="M",(IF(G89&lt;250000,G89,250000)),(IF(G89&lt;250000,G89,250000)))</f>
        <v>250000</v>
      </c>
      <c r="G90" s="113">
        <f>G89-F90</f>
        <v>684150</v>
      </c>
      <c r="H90" s="114">
        <f>ROUND(E90*F90,0.1)</f>
        <v>12500</v>
      </c>
      <c r="J90" s="115"/>
    </row>
    <row r="91" spans="2:12" x14ac:dyDescent="0.2">
      <c r="C91" s="797" t="s">
        <v>212</v>
      </c>
      <c r="D91" s="798"/>
      <c r="E91" s="112">
        <v>0.2</v>
      </c>
      <c r="F91" s="113">
        <f>IF(G90&lt;500000,G90,500000)</f>
        <v>500000</v>
      </c>
      <c r="G91" s="113">
        <f>G90-F91</f>
        <v>184150</v>
      </c>
      <c r="H91" s="114">
        <f>ROUND(E91*F91,0.1)</f>
        <v>100000</v>
      </c>
    </row>
    <row r="92" spans="2:12" x14ac:dyDescent="0.2">
      <c r="C92" s="795" t="s">
        <v>213</v>
      </c>
      <c r="D92" s="796"/>
      <c r="E92" s="112">
        <v>0.3</v>
      </c>
      <c r="F92" s="113">
        <f>G91</f>
        <v>184150</v>
      </c>
      <c r="G92" s="113">
        <f>G91-F92</f>
        <v>0</v>
      </c>
      <c r="H92" s="114">
        <f>ROUND(E92*F92,0.1)</f>
        <v>55245</v>
      </c>
    </row>
    <row r="93" spans="2:12" ht="12.75" customHeight="1" thickBot="1" x14ac:dyDescent="0.25">
      <c r="B93" s="116"/>
      <c r="C93" s="117"/>
      <c r="D93" s="47"/>
      <c r="E93" s="47"/>
      <c r="F93" s="47"/>
      <c r="J93" s="87"/>
      <c r="K93" s="118"/>
    </row>
    <row r="94" spans="2:12" ht="13.5" thickBot="1" x14ac:dyDescent="0.25">
      <c r="B94" s="799" t="s">
        <v>214</v>
      </c>
      <c r="C94" s="800"/>
      <c r="D94" s="800"/>
      <c r="E94" s="800"/>
      <c r="F94" s="801"/>
      <c r="G94" s="771">
        <f>H89+H90+H91+H92</f>
        <v>167745</v>
      </c>
      <c r="H94" s="772"/>
    </row>
    <row r="95" spans="2:12" ht="13.5" thickBot="1" x14ac:dyDescent="0.25">
      <c r="B95" s="119" t="s">
        <v>215</v>
      </c>
      <c r="C95" s="120"/>
      <c r="D95" s="120"/>
      <c r="E95" s="120"/>
      <c r="F95" s="120"/>
      <c r="G95" s="884">
        <f>IF((G65&lt;500000),5000,0)</f>
        <v>0</v>
      </c>
      <c r="H95" s="885">
        <f>IF(H93&lt;200000,0,IF(H93&lt;220000,((H93-200000)*10%),IF(H93&lt;=500000,2000,IF(H93&gt;=500000,0))))</f>
        <v>0</v>
      </c>
      <c r="J95" s="1"/>
      <c r="K95" s="121"/>
      <c r="L95" s="121"/>
    </row>
    <row r="96" spans="2:12" ht="13.5" thickBot="1" x14ac:dyDescent="0.25">
      <c r="B96" s="122" t="s">
        <v>216</v>
      </c>
      <c r="C96" s="123"/>
      <c r="D96" s="123"/>
      <c r="E96" s="123"/>
      <c r="F96" s="123"/>
      <c r="G96" s="771">
        <f>IF((G94-G95)&lt;0,0,(G94-G95))</f>
        <v>167745</v>
      </c>
      <c r="H96" s="772"/>
      <c r="I96" s="37"/>
    </row>
    <row r="97" spans="2:9" ht="13.5" thickBot="1" x14ac:dyDescent="0.25">
      <c r="B97" s="773" t="s">
        <v>240</v>
      </c>
      <c r="C97" s="774"/>
      <c r="D97" s="774"/>
      <c r="E97" s="774"/>
      <c r="F97" s="775"/>
      <c r="G97" s="776">
        <f>ROUND((IF(G96&gt;0,(G96*4%),0)),0)</f>
        <v>6710</v>
      </c>
      <c r="H97" s="777"/>
      <c r="I97" s="37"/>
    </row>
    <row r="98" spans="2:9" ht="13.5" thickBot="1" x14ac:dyDescent="0.25">
      <c r="B98" s="778" t="s">
        <v>218</v>
      </c>
      <c r="C98" s="779"/>
      <c r="D98" s="779"/>
      <c r="E98" s="779"/>
      <c r="F98" s="779"/>
      <c r="G98" s="780">
        <f>G96+G97</f>
        <v>174455</v>
      </c>
      <c r="H98" s="781"/>
      <c r="I98" s="121"/>
    </row>
    <row r="99" spans="2:9" ht="13.5" thickBot="1" x14ac:dyDescent="0.25">
      <c r="B99" s="765" t="s">
        <v>219</v>
      </c>
      <c r="C99" s="766"/>
      <c r="D99" s="766"/>
      <c r="E99" s="766"/>
      <c r="F99" s="766"/>
      <c r="G99" s="767">
        <f>O38</f>
        <v>185660</v>
      </c>
      <c r="H99" s="768"/>
      <c r="I99" s="121"/>
    </row>
    <row r="100" spans="2:9" ht="13.5" thickBot="1" x14ac:dyDescent="0.25">
      <c r="B100" s="765" t="str">
        <f>IF(G100&gt;0,"TAX PAYABLE","TAX REFUND")</f>
        <v>TAX REFUND</v>
      </c>
      <c r="C100" s="766"/>
      <c r="D100" s="766"/>
      <c r="E100" s="766"/>
      <c r="F100" s="766"/>
      <c r="G100" s="767">
        <f>+G98-G99</f>
        <v>-11205</v>
      </c>
      <c r="H100" s="768"/>
      <c r="I100" s="37"/>
    </row>
    <row r="101" spans="2:9" x14ac:dyDescent="0.2">
      <c r="C101" s="124"/>
      <c r="D101" s="45"/>
      <c r="E101" s="118"/>
      <c r="F101" s="118"/>
      <c r="G101" s="118"/>
      <c r="H101" s="118"/>
      <c r="I101" s="125"/>
    </row>
    <row r="102" spans="2:9" x14ac:dyDescent="0.2">
      <c r="C102" s="47"/>
      <c r="D102" s="50"/>
      <c r="E102" s="117"/>
      <c r="F102" s="47"/>
      <c r="G102" s="47"/>
      <c r="H102" s="47"/>
      <c r="I102" s="125"/>
    </row>
    <row r="103" spans="2:9" x14ac:dyDescent="0.2">
      <c r="C103" s="39"/>
      <c r="D103" s="126"/>
      <c r="E103" s="126"/>
      <c r="F103" s="126"/>
      <c r="G103" s="39"/>
      <c r="H103" s="39"/>
      <c r="I103" s="37"/>
    </row>
    <row r="104" spans="2:9" x14ac:dyDescent="0.2">
      <c r="C104" s="39"/>
      <c r="D104" s="126"/>
      <c r="E104" s="126"/>
      <c r="F104" s="39"/>
      <c r="G104" s="39"/>
      <c r="H104" s="39"/>
      <c r="I104" s="37"/>
    </row>
    <row r="105" spans="2:9" x14ac:dyDescent="0.2">
      <c r="C105" s="39"/>
      <c r="D105" s="126"/>
      <c r="E105" s="126"/>
      <c r="F105" s="39"/>
      <c r="G105" s="39"/>
      <c r="H105" s="39"/>
      <c r="I105" s="37"/>
    </row>
    <row r="106" spans="2:9" x14ac:dyDescent="0.2">
      <c r="C106" s="39"/>
      <c r="D106" s="39"/>
      <c r="E106" s="39"/>
      <c r="F106" s="39"/>
      <c r="G106" s="39"/>
      <c r="H106" s="39"/>
      <c r="I106" s="37"/>
    </row>
    <row r="107" spans="2:9" x14ac:dyDescent="0.2">
      <c r="C107" s="39"/>
      <c r="D107" s="39"/>
      <c r="E107" s="39"/>
      <c r="F107" s="39"/>
      <c r="G107" s="39"/>
      <c r="H107" s="39"/>
    </row>
    <row r="108" spans="2:9" x14ac:dyDescent="0.2">
      <c r="C108" s="39"/>
      <c r="D108" s="39"/>
      <c r="E108" s="39"/>
      <c r="F108" s="39"/>
      <c r="G108" s="39"/>
      <c r="H108"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60:F60"/>
    <mergeCell ref="G60:H60"/>
    <mergeCell ref="J60:O60"/>
    <mergeCell ref="B55:B58"/>
    <mergeCell ref="C55:C58"/>
    <mergeCell ref="D55:F55"/>
    <mergeCell ref="G55:H55"/>
    <mergeCell ref="D56:F56"/>
    <mergeCell ref="G56:H56"/>
    <mergeCell ref="J56:L56"/>
    <mergeCell ref="M56:O56"/>
    <mergeCell ref="D58:F58"/>
    <mergeCell ref="G58:H58"/>
    <mergeCell ref="J63:O63"/>
    <mergeCell ref="D81:F81"/>
    <mergeCell ref="J68:K68"/>
    <mergeCell ref="B65:F65"/>
    <mergeCell ref="G65:H65"/>
    <mergeCell ref="D76:F76"/>
    <mergeCell ref="D77:F77"/>
    <mergeCell ref="E78:F78"/>
    <mergeCell ref="D79:F79"/>
    <mergeCell ref="D80:F80"/>
    <mergeCell ref="D71:F71"/>
    <mergeCell ref="D72:F72"/>
    <mergeCell ref="C69:C75"/>
    <mergeCell ref="D69:F69"/>
    <mergeCell ref="D70:F70"/>
    <mergeCell ref="D74:F74"/>
    <mergeCell ref="G62:H62"/>
    <mergeCell ref="C63:F63"/>
    <mergeCell ref="G63:H63"/>
    <mergeCell ref="B62:F62"/>
    <mergeCell ref="D73:F73"/>
    <mergeCell ref="D75:F75"/>
    <mergeCell ref="G94:H94"/>
    <mergeCell ref="D82:F82"/>
    <mergeCell ref="D83:F83"/>
    <mergeCell ref="B84:F84"/>
    <mergeCell ref="B86:F86"/>
    <mergeCell ref="G86:H86"/>
    <mergeCell ref="C88:D88"/>
    <mergeCell ref="C89:D89"/>
    <mergeCell ref="C90:D90"/>
    <mergeCell ref="C91:D91"/>
    <mergeCell ref="C92:D92"/>
    <mergeCell ref="B94:F94"/>
    <mergeCell ref="B69:B83"/>
    <mergeCell ref="B100:F100"/>
    <mergeCell ref="G100:H100"/>
    <mergeCell ref="G95:H95"/>
    <mergeCell ref="G96:H96"/>
    <mergeCell ref="B97:F97"/>
    <mergeCell ref="G97:H97"/>
    <mergeCell ref="B98:F98"/>
    <mergeCell ref="G98:H98"/>
    <mergeCell ref="B99:F99"/>
    <mergeCell ref="G99:H99"/>
  </mergeCells>
  <conditionalFormatting sqref="B100:F100 B94:F98">
    <cfRule type="cellIs" dxfId="2019" priority="1" stopIfTrue="1" operator="equal">
      <formula>"TAX PAYABLE"</formula>
    </cfRule>
    <cfRule type="cellIs" dxfId="2018" priority="2" stopIfTrue="1" operator="equal">
      <formula>"TAX REFUND"</formula>
    </cfRule>
  </conditionalFormatting>
  <conditionalFormatting sqref="G100:H100">
    <cfRule type="cellIs" dxfId="2017" priority="3" stopIfTrue="1" operator="greaterThan">
      <formula>0</formula>
    </cfRule>
    <cfRule type="cellIs" dxfId="2016" priority="4"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5" right="0.75" top="1" bottom="1" header="0.5" footer="0.5"/>
  <pageSetup scale="74" orientation="landscape" verticalDpi="0" r:id="rId1"/>
  <headerFooter alignWithMargins="0"/>
  <rowBreaks count="1" manualBreakCount="1">
    <brk id="52" max="16" man="1"/>
  </rowBreak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21"/>
  <sheetViews>
    <sheetView topLeftCell="A62" workbookViewId="0">
      <selection activeCell="G79" sqref="G79"/>
    </sheetView>
  </sheetViews>
  <sheetFormatPr defaultRowHeight="12.75" x14ac:dyDescent="0.2"/>
  <cols>
    <col min="1" max="1" width="5" style="16" customWidth="1"/>
    <col min="2" max="2" width="18.85546875" style="37" customWidth="1"/>
    <col min="3" max="3" width="8.5703125" style="16" customWidth="1"/>
    <col min="4" max="4" width="8.28515625" style="16" customWidth="1"/>
    <col min="5" max="5" width="8.5703125" style="16" bestFit="1" customWidth="1"/>
    <col min="6" max="6" width="8.140625" style="16" customWidth="1"/>
    <col min="7" max="15" width="8.570312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8.85546875" style="16" customWidth="1"/>
    <col min="259" max="259" width="8.5703125" style="16" customWidth="1"/>
    <col min="260" max="260" width="8.28515625" style="16" customWidth="1"/>
    <col min="261" max="261" width="8.5703125" style="16" bestFit="1" customWidth="1"/>
    <col min="262" max="262" width="8.140625" style="16" customWidth="1"/>
    <col min="263" max="271" width="8.570312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8.85546875" style="16" customWidth="1"/>
    <col min="515" max="515" width="8.5703125" style="16" customWidth="1"/>
    <col min="516" max="516" width="8.28515625" style="16" customWidth="1"/>
    <col min="517" max="517" width="8.5703125" style="16" bestFit="1" customWidth="1"/>
    <col min="518" max="518" width="8.140625" style="16" customWidth="1"/>
    <col min="519" max="527" width="8.570312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8.85546875" style="16" customWidth="1"/>
    <col min="771" max="771" width="8.5703125" style="16" customWidth="1"/>
    <col min="772" max="772" width="8.28515625" style="16" customWidth="1"/>
    <col min="773" max="773" width="8.5703125" style="16" bestFit="1" customWidth="1"/>
    <col min="774" max="774" width="8.140625" style="16" customWidth="1"/>
    <col min="775" max="783" width="8.570312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8.85546875" style="16" customWidth="1"/>
    <col min="1027" max="1027" width="8.5703125" style="16" customWidth="1"/>
    <col min="1028" max="1028" width="8.28515625" style="16" customWidth="1"/>
    <col min="1029" max="1029" width="8.5703125" style="16" bestFit="1" customWidth="1"/>
    <col min="1030" max="1030" width="8.140625" style="16" customWidth="1"/>
    <col min="1031" max="1039" width="8.570312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8.85546875" style="16" customWidth="1"/>
    <col min="1283" max="1283" width="8.5703125" style="16" customWidth="1"/>
    <col min="1284" max="1284" width="8.28515625" style="16" customWidth="1"/>
    <col min="1285" max="1285" width="8.5703125" style="16" bestFit="1" customWidth="1"/>
    <col min="1286" max="1286" width="8.140625" style="16" customWidth="1"/>
    <col min="1287" max="1295" width="8.570312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8.85546875" style="16" customWidth="1"/>
    <col min="1539" max="1539" width="8.5703125" style="16" customWidth="1"/>
    <col min="1540" max="1540" width="8.28515625" style="16" customWidth="1"/>
    <col min="1541" max="1541" width="8.5703125" style="16" bestFit="1" customWidth="1"/>
    <col min="1542" max="1542" width="8.140625" style="16" customWidth="1"/>
    <col min="1543" max="1551" width="8.570312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8.85546875" style="16" customWidth="1"/>
    <col min="1795" max="1795" width="8.5703125" style="16" customWidth="1"/>
    <col min="1796" max="1796" width="8.28515625" style="16" customWidth="1"/>
    <col min="1797" max="1797" width="8.5703125" style="16" bestFit="1" customWidth="1"/>
    <col min="1798" max="1798" width="8.140625" style="16" customWidth="1"/>
    <col min="1799" max="1807" width="8.570312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8.85546875" style="16" customWidth="1"/>
    <col min="2051" max="2051" width="8.5703125" style="16" customWidth="1"/>
    <col min="2052" max="2052" width="8.28515625" style="16" customWidth="1"/>
    <col min="2053" max="2053" width="8.5703125" style="16" bestFit="1" customWidth="1"/>
    <col min="2054" max="2054" width="8.140625" style="16" customWidth="1"/>
    <col min="2055" max="2063" width="8.570312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8.85546875" style="16" customWidth="1"/>
    <col min="2307" max="2307" width="8.5703125" style="16" customWidth="1"/>
    <col min="2308" max="2308" width="8.28515625" style="16" customWidth="1"/>
    <col min="2309" max="2309" width="8.5703125" style="16" bestFit="1" customWidth="1"/>
    <col min="2310" max="2310" width="8.140625" style="16" customWidth="1"/>
    <col min="2311" max="2319" width="8.570312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8.85546875" style="16" customWidth="1"/>
    <col min="2563" max="2563" width="8.5703125" style="16" customWidth="1"/>
    <col min="2564" max="2564" width="8.28515625" style="16" customWidth="1"/>
    <col min="2565" max="2565" width="8.5703125" style="16" bestFit="1" customWidth="1"/>
    <col min="2566" max="2566" width="8.140625" style="16" customWidth="1"/>
    <col min="2567" max="2575" width="8.570312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8.85546875" style="16" customWidth="1"/>
    <col min="2819" max="2819" width="8.5703125" style="16" customWidth="1"/>
    <col min="2820" max="2820" width="8.28515625" style="16" customWidth="1"/>
    <col min="2821" max="2821" width="8.5703125" style="16" bestFit="1" customWidth="1"/>
    <col min="2822" max="2822" width="8.140625" style="16" customWidth="1"/>
    <col min="2823" max="2831" width="8.570312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8.85546875" style="16" customWidth="1"/>
    <col min="3075" max="3075" width="8.5703125" style="16" customWidth="1"/>
    <col min="3076" max="3076" width="8.28515625" style="16" customWidth="1"/>
    <col min="3077" max="3077" width="8.5703125" style="16" bestFit="1" customWidth="1"/>
    <col min="3078" max="3078" width="8.140625" style="16" customWidth="1"/>
    <col min="3079" max="3087" width="8.570312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8.85546875" style="16" customWidth="1"/>
    <col min="3331" max="3331" width="8.5703125" style="16" customWidth="1"/>
    <col min="3332" max="3332" width="8.28515625" style="16" customWidth="1"/>
    <col min="3333" max="3333" width="8.5703125" style="16" bestFit="1" customWidth="1"/>
    <col min="3334" max="3334" width="8.140625" style="16" customWidth="1"/>
    <col min="3335" max="3343" width="8.570312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8.85546875" style="16" customWidth="1"/>
    <col min="3587" max="3587" width="8.5703125" style="16" customWidth="1"/>
    <col min="3588" max="3588" width="8.28515625" style="16" customWidth="1"/>
    <col min="3589" max="3589" width="8.5703125" style="16" bestFit="1" customWidth="1"/>
    <col min="3590" max="3590" width="8.140625" style="16" customWidth="1"/>
    <col min="3591" max="3599" width="8.570312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8.85546875" style="16" customWidth="1"/>
    <col min="3843" max="3843" width="8.5703125" style="16" customWidth="1"/>
    <col min="3844" max="3844" width="8.28515625" style="16" customWidth="1"/>
    <col min="3845" max="3845" width="8.5703125" style="16" bestFit="1" customWidth="1"/>
    <col min="3846" max="3846" width="8.140625" style="16" customWidth="1"/>
    <col min="3847" max="3855" width="8.570312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8.85546875" style="16" customWidth="1"/>
    <col min="4099" max="4099" width="8.5703125" style="16" customWidth="1"/>
    <col min="4100" max="4100" width="8.28515625" style="16" customWidth="1"/>
    <col min="4101" max="4101" width="8.5703125" style="16" bestFit="1" customWidth="1"/>
    <col min="4102" max="4102" width="8.140625" style="16" customWidth="1"/>
    <col min="4103" max="4111" width="8.570312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8.85546875" style="16" customWidth="1"/>
    <col min="4355" max="4355" width="8.5703125" style="16" customWidth="1"/>
    <col min="4356" max="4356" width="8.28515625" style="16" customWidth="1"/>
    <col min="4357" max="4357" width="8.5703125" style="16" bestFit="1" customWidth="1"/>
    <col min="4358" max="4358" width="8.140625" style="16" customWidth="1"/>
    <col min="4359" max="4367" width="8.570312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8.85546875" style="16" customWidth="1"/>
    <col min="4611" max="4611" width="8.5703125" style="16" customWidth="1"/>
    <col min="4612" max="4612" width="8.28515625" style="16" customWidth="1"/>
    <col min="4613" max="4613" width="8.5703125" style="16" bestFit="1" customWidth="1"/>
    <col min="4614" max="4614" width="8.140625" style="16" customWidth="1"/>
    <col min="4615" max="4623" width="8.570312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8.85546875" style="16" customWidth="1"/>
    <col min="4867" max="4867" width="8.5703125" style="16" customWidth="1"/>
    <col min="4868" max="4868" width="8.28515625" style="16" customWidth="1"/>
    <col min="4869" max="4869" width="8.5703125" style="16" bestFit="1" customWidth="1"/>
    <col min="4870" max="4870" width="8.140625" style="16" customWidth="1"/>
    <col min="4871" max="4879" width="8.570312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8.85546875" style="16" customWidth="1"/>
    <col min="5123" max="5123" width="8.5703125" style="16" customWidth="1"/>
    <col min="5124" max="5124" width="8.28515625" style="16" customWidth="1"/>
    <col min="5125" max="5125" width="8.5703125" style="16" bestFit="1" customWidth="1"/>
    <col min="5126" max="5126" width="8.140625" style="16" customWidth="1"/>
    <col min="5127" max="5135" width="8.570312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8.85546875" style="16" customWidth="1"/>
    <col min="5379" max="5379" width="8.5703125" style="16" customWidth="1"/>
    <col min="5380" max="5380" width="8.28515625" style="16" customWidth="1"/>
    <col min="5381" max="5381" width="8.5703125" style="16" bestFit="1" customWidth="1"/>
    <col min="5382" max="5382" width="8.140625" style="16" customWidth="1"/>
    <col min="5383" max="5391" width="8.570312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8.85546875" style="16" customWidth="1"/>
    <col min="5635" max="5635" width="8.5703125" style="16" customWidth="1"/>
    <col min="5636" max="5636" width="8.28515625" style="16" customWidth="1"/>
    <col min="5637" max="5637" width="8.5703125" style="16" bestFit="1" customWidth="1"/>
    <col min="5638" max="5638" width="8.140625" style="16" customWidth="1"/>
    <col min="5639" max="5647" width="8.570312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8.85546875" style="16" customWidth="1"/>
    <col min="5891" max="5891" width="8.5703125" style="16" customWidth="1"/>
    <col min="5892" max="5892" width="8.28515625" style="16" customWidth="1"/>
    <col min="5893" max="5893" width="8.5703125" style="16" bestFit="1" customWidth="1"/>
    <col min="5894" max="5894" width="8.140625" style="16" customWidth="1"/>
    <col min="5895" max="5903" width="8.570312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8.85546875" style="16" customWidth="1"/>
    <col min="6147" max="6147" width="8.5703125" style="16" customWidth="1"/>
    <col min="6148" max="6148" width="8.28515625" style="16" customWidth="1"/>
    <col min="6149" max="6149" width="8.5703125" style="16" bestFit="1" customWidth="1"/>
    <col min="6150" max="6150" width="8.140625" style="16" customWidth="1"/>
    <col min="6151" max="6159" width="8.570312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8.85546875" style="16" customWidth="1"/>
    <col min="6403" max="6403" width="8.5703125" style="16" customWidth="1"/>
    <col min="6404" max="6404" width="8.28515625" style="16" customWidth="1"/>
    <col min="6405" max="6405" width="8.5703125" style="16" bestFit="1" customWidth="1"/>
    <col min="6406" max="6406" width="8.140625" style="16" customWidth="1"/>
    <col min="6407" max="6415" width="8.570312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8.85546875" style="16" customWidth="1"/>
    <col min="6659" max="6659" width="8.5703125" style="16" customWidth="1"/>
    <col min="6660" max="6660" width="8.28515625" style="16" customWidth="1"/>
    <col min="6661" max="6661" width="8.5703125" style="16" bestFit="1" customWidth="1"/>
    <col min="6662" max="6662" width="8.140625" style="16" customWidth="1"/>
    <col min="6663" max="6671" width="8.570312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8.85546875" style="16" customWidth="1"/>
    <col min="6915" max="6915" width="8.5703125" style="16" customWidth="1"/>
    <col min="6916" max="6916" width="8.28515625" style="16" customWidth="1"/>
    <col min="6917" max="6917" width="8.5703125" style="16" bestFit="1" customWidth="1"/>
    <col min="6918" max="6918" width="8.140625" style="16" customWidth="1"/>
    <col min="6919" max="6927" width="8.570312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8.85546875" style="16" customWidth="1"/>
    <col min="7171" max="7171" width="8.5703125" style="16" customWidth="1"/>
    <col min="7172" max="7172" width="8.28515625" style="16" customWidth="1"/>
    <col min="7173" max="7173" width="8.5703125" style="16" bestFit="1" customWidth="1"/>
    <col min="7174" max="7174" width="8.140625" style="16" customWidth="1"/>
    <col min="7175" max="7183" width="8.570312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8.85546875" style="16" customWidth="1"/>
    <col min="7427" max="7427" width="8.5703125" style="16" customWidth="1"/>
    <col min="7428" max="7428" width="8.28515625" style="16" customWidth="1"/>
    <col min="7429" max="7429" width="8.5703125" style="16" bestFit="1" customWidth="1"/>
    <col min="7430" max="7430" width="8.140625" style="16" customWidth="1"/>
    <col min="7431" max="7439" width="8.570312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8.85546875" style="16" customWidth="1"/>
    <col min="7683" max="7683" width="8.5703125" style="16" customWidth="1"/>
    <col min="7684" max="7684" width="8.28515625" style="16" customWidth="1"/>
    <col min="7685" max="7685" width="8.5703125" style="16" bestFit="1" customWidth="1"/>
    <col min="7686" max="7686" width="8.140625" style="16" customWidth="1"/>
    <col min="7687" max="7695" width="8.570312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8.85546875" style="16" customWidth="1"/>
    <col min="7939" max="7939" width="8.5703125" style="16" customWidth="1"/>
    <col min="7940" max="7940" width="8.28515625" style="16" customWidth="1"/>
    <col min="7941" max="7941" width="8.5703125" style="16" bestFit="1" customWidth="1"/>
    <col min="7942" max="7942" width="8.140625" style="16" customWidth="1"/>
    <col min="7943" max="7951" width="8.570312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8.85546875" style="16" customWidth="1"/>
    <col min="8195" max="8195" width="8.5703125" style="16" customWidth="1"/>
    <col min="8196" max="8196" width="8.28515625" style="16" customWidth="1"/>
    <col min="8197" max="8197" width="8.5703125" style="16" bestFit="1" customWidth="1"/>
    <col min="8198" max="8198" width="8.140625" style="16" customWidth="1"/>
    <col min="8199" max="8207" width="8.570312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8.85546875" style="16" customWidth="1"/>
    <col min="8451" max="8451" width="8.5703125" style="16" customWidth="1"/>
    <col min="8452" max="8452" width="8.28515625" style="16" customWidth="1"/>
    <col min="8453" max="8453" width="8.5703125" style="16" bestFit="1" customWidth="1"/>
    <col min="8454" max="8454" width="8.140625" style="16" customWidth="1"/>
    <col min="8455" max="8463" width="8.570312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8.85546875" style="16" customWidth="1"/>
    <col min="8707" max="8707" width="8.5703125" style="16" customWidth="1"/>
    <col min="8708" max="8708" width="8.28515625" style="16" customWidth="1"/>
    <col min="8709" max="8709" width="8.5703125" style="16" bestFit="1" customWidth="1"/>
    <col min="8710" max="8710" width="8.140625" style="16" customWidth="1"/>
    <col min="8711" max="8719" width="8.570312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8.85546875" style="16" customWidth="1"/>
    <col min="8963" max="8963" width="8.5703125" style="16" customWidth="1"/>
    <col min="8964" max="8964" width="8.28515625" style="16" customWidth="1"/>
    <col min="8965" max="8965" width="8.5703125" style="16" bestFit="1" customWidth="1"/>
    <col min="8966" max="8966" width="8.140625" style="16" customWidth="1"/>
    <col min="8967" max="8975" width="8.570312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8.85546875" style="16" customWidth="1"/>
    <col min="9219" max="9219" width="8.5703125" style="16" customWidth="1"/>
    <col min="9220" max="9220" width="8.28515625" style="16" customWidth="1"/>
    <col min="9221" max="9221" width="8.5703125" style="16" bestFit="1" customWidth="1"/>
    <col min="9222" max="9222" width="8.140625" style="16" customWidth="1"/>
    <col min="9223" max="9231" width="8.570312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8.85546875" style="16" customWidth="1"/>
    <col min="9475" max="9475" width="8.5703125" style="16" customWidth="1"/>
    <col min="9476" max="9476" width="8.28515625" style="16" customWidth="1"/>
    <col min="9477" max="9477" width="8.5703125" style="16" bestFit="1" customWidth="1"/>
    <col min="9478" max="9478" width="8.140625" style="16" customWidth="1"/>
    <col min="9479" max="9487" width="8.570312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8.85546875" style="16" customWidth="1"/>
    <col min="9731" max="9731" width="8.5703125" style="16" customWidth="1"/>
    <col min="9732" max="9732" width="8.28515625" style="16" customWidth="1"/>
    <col min="9733" max="9733" width="8.5703125" style="16" bestFit="1" customWidth="1"/>
    <col min="9734" max="9734" width="8.140625" style="16" customWidth="1"/>
    <col min="9735" max="9743" width="8.570312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8.85546875" style="16" customWidth="1"/>
    <col min="9987" max="9987" width="8.5703125" style="16" customWidth="1"/>
    <col min="9988" max="9988" width="8.28515625" style="16" customWidth="1"/>
    <col min="9989" max="9989" width="8.5703125" style="16" bestFit="1" customWidth="1"/>
    <col min="9990" max="9990" width="8.140625" style="16" customWidth="1"/>
    <col min="9991" max="9999" width="8.570312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8.85546875" style="16" customWidth="1"/>
    <col min="10243" max="10243" width="8.5703125" style="16" customWidth="1"/>
    <col min="10244" max="10244" width="8.28515625" style="16" customWidth="1"/>
    <col min="10245" max="10245" width="8.5703125" style="16" bestFit="1" customWidth="1"/>
    <col min="10246" max="10246" width="8.140625" style="16" customWidth="1"/>
    <col min="10247" max="10255" width="8.570312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8.85546875" style="16" customWidth="1"/>
    <col min="10499" max="10499" width="8.5703125" style="16" customWidth="1"/>
    <col min="10500" max="10500" width="8.28515625" style="16" customWidth="1"/>
    <col min="10501" max="10501" width="8.5703125" style="16" bestFit="1" customWidth="1"/>
    <col min="10502" max="10502" width="8.140625" style="16" customWidth="1"/>
    <col min="10503" max="10511" width="8.570312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8.85546875" style="16" customWidth="1"/>
    <col min="10755" max="10755" width="8.5703125" style="16" customWidth="1"/>
    <col min="10756" max="10756" width="8.28515625" style="16" customWidth="1"/>
    <col min="10757" max="10757" width="8.5703125" style="16" bestFit="1" customWidth="1"/>
    <col min="10758" max="10758" width="8.140625" style="16" customWidth="1"/>
    <col min="10759" max="10767" width="8.570312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8.85546875" style="16" customWidth="1"/>
    <col min="11011" max="11011" width="8.5703125" style="16" customWidth="1"/>
    <col min="11012" max="11012" width="8.28515625" style="16" customWidth="1"/>
    <col min="11013" max="11013" width="8.5703125" style="16" bestFit="1" customWidth="1"/>
    <col min="11014" max="11014" width="8.140625" style="16" customWidth="1"/>
    <col min="11015" max="11023" width="8.570312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8.85546875" style="16" customWidth="1"/>
    <col min="11267" max="11267" width="8.5703125" style="16" customWidth="1"/>
    <col min="11268" max="11268" width="8.28515625" style="16" customWidth="1"/>
    <col min="11269" max="11269" width="8.5703125" style="16" bestFit="1" customWidth="1"/>
    <col min="11270" max="11270" width="8.140625" style="16" customWidth="1"/>
    <col min="11271" max="11279" width="8.570312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8.85546875" style="16" customWidth="1"/>
    <col min="11523" max="11523" width="8.5703125" style="16" customWidth="1"/>
    <col min="11524" max="11524" width="8.28515625" style="16" customWidth="1"/>
    <col min="11525" max="11525" width="8.5703125" style="16" bestFit="1" customWidth="1"/>
    <col min="11526" max="11526" width="8.140625" style="16" customWidth="1"/>
    <col min="11527" max="11535" width="8.570312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8.85546875" style="16" customWidth="1"/>
    <col min="11779" max="11779" width="8.5703125" style="16" customWidth="1"/>
    <col min="11780" max="11780" width="8.28515625" style="16" customWidth="1"/>
    <col min="11781" max="11781" width="8.5703125" style="16" bestFit="1" customWidth="1"/>
    <col min="11782" max="11782" width="8.140625" style="16" customWidth="1"/>
    <col min="11783" max="11791" width="8.570312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8.85546875" style="16" customWidth="1"/>
    <col min="12035" max="12035" width="8.5703125" style="16" customWidth="1"/>
    <col min="12036" max="12036" width="8.28515625" style="16" customWidth="1"/>
    <col min="12037" max="12037" width="8.5703125" style="16" bestFit="1" customWidth="1"/>
    <col min="12038" max="12038" width="8.140625" style="16" customWidth="1"/>
    <col min="12039" max="12047" width="8.570312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8.85546875" style="16" customWidth="1"/>
    <col min="12291" max="12291" width="8.5703125" style="16" customWidth="1"/>
    <col min="12292" max="12292" width="8.28515625" style="16" customWidth="1"/>
    <col min="12293" max="12293" width="8.5703125" style="16" bestFit="1" customWidth="1"/>
    <col min="12294" max="12294" width="8.140625" style="16" customWidth="1"/>
    <col min="12295" max="12303" width="8.570312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8.85546875" style="16" customWidth="1"/>
    <col min="12547" max="12547" width="8.5703125" style="16" customWidth="1"/>
    <col min="12548" max="12548" width="8.28515625" style="16" customWidth="1"/>
    <col min="12549" max="12549" width="8.5703125" style="16" bestFit="1" customWidth="1"/>
    <col min="12550" max="12550" width="8.140625" style="16" customWidth="1"/>
    <col min="12551" max="12559" width="8.570312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8.85546875" style="16" customWidth="1"/>
    <col min="12803" max="12803" width="8.5703125" style="16" customWidth="1"/>
    <col min="12804" max="12804" width="8.28515625" style="16" customWidth="1"/>
    <col min="12805" max="12805" width="8.5703125" style="16" bestFit="1" customWidth="1"/>
    <col min="12806" max="12806" width="8.140625" style="16" customWidth="1"/>
    <col min="12807" max="12815" width="8.570312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8.85546875" style="16" customWidth="1"/>
    <col min="13059" max="13059" width="8.5703125" style="16" customWidth="1"/>
    <col min="13060" max="13060" width="8.28515625" style="16" customWidth="1"/>
    <col min="13061" max="13061" width="8.5703125" style="16" bestFit="1" customWidth="1"/>
    <col min="13062" max="13062" width="8.140625" style="16" customWidth="1"/>
    <col min="13063" max="13071" width="8.570312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8.85546875" style="16" customWidth="1"/>
    <col min="13315" max="13315" width="8.5703125" style="16" customWidth="1"/>
    <col min="13316" max="13316" width="8.28515625" style="16" customWidth="1"/>
    <col min="13317" max="13317" width="8.5703125" style="16" bestFit="1" customWidth="1"/>
    <col min="13318" max="13318" width="8.140625" style="16" customWidth="1"/>
    <col min="13319" max="13327" width="8.570312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8.85546875" style="16" customWidth="1"/>
    <col min="13571" max="13571" width="8.5703125" style="16" customWidth="1"/>
    <col min="13572" max="13572" width="8.28515625" style="16" customWidth="1"/>
    <col min="13573" max="13573" width="8.5703125" style="16" bestFit="1" customWidth="1"/>
    <col min="13574" max="13574" width="8.140625" style="16" customWidth="1"/>
    <col min="13575" max="13583" width="8.570312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8.85546875" style="16" customWidth="1"/>
    <col min="13827" max="13827" width="8.5703125" style="16" customWidth="1"/>
    <col min="13828" max="13828" width="8.28515625" style="16" customWidth="1"/>
    <col min="13829" max="13829" width="8.5703125" style="16" bestFit="1" customWidth="1"/>
    <col min="13830" max="13830" width="8.140625" style="16" customWidth="1"/>
    <col min="13831" max="13839" width="8.570312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8.85546875" style="16" customWidth="1"/>
    <col min="14083" max="14083" width="8.5703125" style="16" customWidth="1"/>
    <col min="14084" max="14084" width="8.28515625" style="16" customWidth="1"/>
    <col min="14085" max="14085" width="8.5703125" style="16" bestFit="1" customWidth="1"/>
    <col min="14086" max="14086" width="8.140625" style="16" customWidth="1"/>
    <col min="14087" max="14095" width="8.570312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8.85546875" style="16" customWidth="1"/>
    <col min="14339" max="14339" width="8.5703125" style="16" customWidth="1"/>
    <col min="14340" max="14340" width="8.28515625" style="16" customWidth="1"/>
    <col min="14341" max="14341" width="8.5703125" style="16" bestFit="1" customWidth="1"/>
    <col min="14342" max="14342" width="8.140625" style="16" customWidth="1"/>
    <col min="14343" max="14351" width="8.570312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8.85546875" style="16" customWidth="1"/>
    <col min="14595" max="14595" width="8.5703125" style="16" customWidth="1"/>
    <col min="14596" max="14596" width="8.28515625" style="16" customWidth="1"/>
    <col min="14597" max="14597" width="8.5703125" style="16" bestFit="1" customWidth="1"/>
    <col min="14598" max="14598" width="8.140625" style="16" customWidth="1"/>
    <col min="14599" max="14607" width="8.570312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8.85546875" style="16" customWidth="1"/>
    <col min="14851" max="14851" width="8.5703125" style="16" customWidth="1"/>
    <col min="14852" max="14852" width="8.28515625" style="16" customWidth="1"/>
    <col min="14853" max="14853" width="8.5703125" style="16" bestFit="1" customWidth="1"/>
    <col min="14854" max="14854" width="8.140625" style="16" customWidth="1"/>
    <col min="14855" max="14863" width="8.570312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8.85546875" style="16" customWidth="1"/>
    <col min="15107" max="15107" width="8.5703125" style="16" customWidth="1"/>
    <col min="15108" max="15108" width="8.28515625" style="16" customWidth="1"/>
    <col min="15109" max="15109" width="8.5703125" style="16" bestFit="1" customWidth="1"/>
    <col min="15110" max="15110" width="8.140625" style="16" customWidth="1"/>
    <col min="15111" max="15119" width="8.570312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8.85546875" style="16" customWidth="1"/>
    <col min="15363" max="15363" width="8.5703125" style="16" customWidth="1"/>
    <col min="15364" max="15364" width="8.28515625" style="16" customWidth="1"/>
    <col min="15365" max="15365" width="8.5703125" style="16" bestFit="1" customWidth="1"/>
    <col min="15366" max="15366" width="8.140625" style="16" customWidth="1"/>
    <col min="15367" max="15375" width="8.570312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8.85546875" style="16" customWidth="1"/>
    <col min="15619" max="15619" width="8.5703125" style="16" customWidth="1"/>
    <col min="15620" max="15620" width="8.28515625" style="16" customWidth="1"/>
    <col min="15621" max="15621" width="8.5703125" style="16" bestFit="1" customWidth="1"/>
    <col min="15622" max="15622" width="8.140625" style="16" customWidth="1"/>
    <col min="15623" max="15631" width="8.570312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8.85546875" style="16" customWidth="1"/>
    <col min="15875" max="15875" width="8.5703125" style="16" customWidth="1"/>
    <col min="15876" max="15876" width="8.28515625" style="16" customWidth="1"/>
    <col min="15877" max="15877" width="8.5703125" style="16" bestFit="1" customWidth="1"/>
    <col min="15878" max="15878" width="8.140625" style="16" customWidth="1"/>
    <col min="15879" max="15887" width="8.570312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8.85546875" style="16" customWidth="1"/>
    <col min="16131" max="16131" width="8.5703125" style="16" customWidth="1"/>
    <col min="16132" max="16132" width="8.28515625" style="16" customWidth="1"/>
    <col min="16133" max="16133" width="8.5703125" style="16" bestFit="1" customWidth="1"/>
    <col min="16134" max="16134" width="8.140625" style="16" customWidth="1"/>
    <col min="16135" max="16143" width="8.570312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67" t="s">
        <v>100</v>
      </c>
      <c r="B1" s="868"/>
      <c r="C1" s="868"/>
      <c r="D1" s="869"/>
      <c r="E1" s="868"/>
      <c r="F1" s="868"/>
      <c r="G1" s="867" t="s">
        <v>102</v>
      </c>
      <c r="H1" s="869"/>
      <c r="I1" s="869" t="s">
        <v>73</v>
      </c>
      <c r="J1" s="868"/>
      <c r="K1" s="868"/>
      <c r="L1" s="870"/>
      <c r="M1" s="870"/>
      <c r="N1" s="870"/>
      <c r="O1" s="870"/>
    </row>
    <row r="2" spans="1:15" s="1" customFormat="1" x14ac:dyDescent="0.2">
      <c r="A2" s="867" t="s">
        <v>103</v>
      </c>
      <c r="B2" s="868"/>
      <c r="C2" s="868"/>
      <c r="D2" s="869"/>
      <c r="E2" s="868"/>
      <c r="F2" s="868"/>
      <c r="G2" s="867" t="s">
        <v>104</v>
      </c>
      <c r="H2" s="869"/>
      <c r="I2" s="869" t="s">
        <v>105</v>
      </c>
      <c r="J2" s="868"/>
      <c r="K2" s="868"/>
      <c r="L2" s="870"/>
      <c r="M2" s="870"/>
      <c r="N2" s="870"/>
      <c r="O2" s="870"/>
    </row>
    <row r="3" spans="1:15" s="1" customFormat="1" x14ac:dyDescent="0.2">
      <c r="A3" s="867" t="s">
        <v>106</v>
      </c>
      <c r="B3" s="868"/>
      <c r="C3" s="868"/>
      <c r="D3" s="883" t="s">
        <v>308</v>
      </c>
      <c r="E3" s="868"/>
      <c r="F3" s="868"/>
      <c r="G3" s="867" t="s">
        <v>107</v>
      </c>
      <c r="H3" s="869"/>
      <c r="I3" s="869" t="s">
        <v>108</v>
      </c>
      <c r="J3" s="868"/>
      <c r="K3" s="868"/>
      <c r="L3" s="870"/>
      <c r="M3" s="870"/>
      <c r="N3" s="870"/>
      <c r="O3" s="870"/>
    </row>
    <row r="4" spans="1:15" s="1" customFormat="1" x14ac:dyDescent="0.2">
      <c r="A4" s="867" t="s">
        <v>109</v>
      </c>
      <c r="B4" s="868"/>
      <c r="C4" s="868"/>
      <c r="D4" s="869"/>
      <c r="E4" s="868"/>
      <c r="F4" s="868"/>
      <c r="G4" s="867" t="s">
        <v>110</v>
      </c>
      <c r="H4" s="869"/>
      <c r="I4" s="869" t="s">
        <v>300</v>
      </c>
      <c r="J4" s="868"/>
      <c r="K4" s="868"/>
      <c r="L4" s="870"/>
      <c r="M4" s="870"/>
      <c r="N4" s="870"/>
      <c r="O4" s="870"/>
    </row>
    <row r="5" spans="1:15" s="1" customFormat="1" x14ac:dyDescent="0.2">
      <c r="A5" s="867" t="s">
        <v>278</v>
      </c>
      <c r="B5" s="868"/>
      <c r="C5" s="868"/>
      <c r="D5" s="869" t="s">
        <v>309</v>
      </c>
      <c r="E5" s="868"/>
      <c r="F5" s="868"/>
      <c r="G5" s="867"/>
      <c r="H5" s="868"/>
      <c r="I5" s="869" t="s">
        <v>113</v>
      </c>
      <c r="J5" s="868"/>
      <c r="K5" s="868"/>
      <c r="L5" s="870"/>
      <c r="M5" s="870"/>
      <c r="N5" s="870"/>
      <c r="O5" s="870"/>
    </row>
    <row r="6" spans="1:15" s="1" customFormat="1" x14ac:dyDescent="0.2">
      <c r="A6" s="871" t="s">
        <v>114</v>
      </c>
      <c r="B6" s="872"/>
      <c r="C6" s="872"/>
      <c r="D6" s="868" t="s">
        <v>74</v>
      </c>
      <c r="E6" s="868"/>
      <c r="F6" s="868"/>
      <c r="G6" s="871" t="s">
        <v>115</v>
      </c>
      <c r="H6" s="871"/>
      <c r="I6" s="2" t="s">
        <v>116</v>
      </c>
      <c r="J6" s="888"/>
      <c r="K6" s="888"/>
      <c r="L6" s="888"/>
      <c r="M6" s="888"/>
      <c r="N6" s="888"/>
      <c r="O6" s="889"/>
    </row>
    <row r="7" spans="1:15" s="1" customFormat="1" ht="13.5" thickBot="1" x14ac:dyDescent="0.25">
      <c r="A7" s="3"/>
      <c r="B7" s="4"/>
      <c r="C7" s="5"/>
      <c r="D7" s="6"/>
      <c r="E7" s="6"/>
      <c r="F7" s="6"/>
      <c r="G7" s="6"/>
      <c r="H7" s="6"/>
      <c r="I7" s="6"/>
      <c r="J7" s="7"/>
      <c r="K7" s="8"/>
      <c r="L7" s="175"/>
      <c r="M7" s="176"/>
      <c r="N7" s="176"/>
      <c r="O7" s="177"/>
    </row>
    <row r="8" spans="1:15" s="11" customFormat="1" x14ac:dyDescent="0.2">
      <c r="A8" s="876" t="str">
        <f>I1</f>
        <v>Mr. A.H. Juikar</v>
      </c>
      <c r="B8" s="877"/>
      <c r="C8" s="144">
        <v>43160</v>
      </c>
      <c r="D8" s="144">
        <v>43191</v>
      </c>
      <c r="E8" s="144">
        <v>43221</v>
      </c>
      <c r="F8" s="144">
        <v>43252</v>
      </c>
      <c r="G8" s="144">
        <v>43282</v>
      </c>
      <c r="H8" s="144">
        <v>43313</v>
      </c>
      <c r="I8" s="144">
        <v>43344</v>
      </c>
      <c r="J8" s="144">
        <v>43374</v>
      </c>
      <c r="K8" s="144">
        <v>43405</v>
      </c>
      <c r="L8" s="144">
        <v>43435</v>
      </c>
      <c r="M8" s="144">
        <v>43466</v>
      </c>
      <c r="N8" s="144">
        <v>43497</v>
      </c>
      <c r="O8" s="10" t="s">
        <v>117</v>
      </c>
    </row>
    <row r="9" spans="1:15" ht="15" x14ac:dyDescent="0.2">
      <c r="A9" s="12"/>
      <c r="B9" s="13" t="s">
        <v>118</v>
      </c>
      <c r="C9" s="14">
        <v>36400</v>
      </c>
      <c r="D9" s="14">
        <v>36400</v>
      </c>
      <c r="E9" s="14">
        <v>36400</v>
      </c>
      <c r="F9" s="14">
        <v>36400</v>
      </c>
      <c r="G9" s="14">
        <v>37500</v>
      </c>
      <c r="H9" s="14">
        <v>37500</v>
      </c>
      <c r="I9" s="14">
        <v>37500</v>
      </c>
      <c r="J9" s="14">
        <v>37500</v>
      </c>
      <c r="K9" s="14">
        <v>37500</v>
      </c>
      <c r="L9" s="14">
        <v>37500</v>
      </c>
      <c r="M9" s="14">
        <v>37500</v>
      </c>
      <c r="N9" s="14">
        <v>37500</v>
      </c>
      <c r="O9" s="15">
        <f>SUM(C9:N9)</f>
        <v>445600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1820</v>
      </c>
      <c r="D11" s="17">
        <v>2548</v>
      </c>
      <c r="E11" s="17">
        <v>2548</v>
      </c>
      <c r="F11" s="17">
        <v>2548</v>
      </c>
      <c r="G11" s="17">
        <v>2625</v>
      </c>
      <c r="H11" s="17">
        <v>2625</v>
      </c>
      <c r="I11" s="17">
        <v>2625</v>
      </c>
      <c r="J11" s="17">
        <v>3375</v>
      </c>
      <c r="K11" s="17">
        <v>3375</v>
      </c>
      <c r="L11" s="17">
        <v>3375</v>
      </c>
      <c r="M11" s="17">
        <v>3375</v>
      </c>
      <c r="N11" s="17">
        <v>3375</v>
      </c>
      <c r="O11" s="18">
        <f>SUM(C11:N11)</f>
        <v>34214</v>
      </c>
    </row>
    <row r="12" spans="1:15"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x14ac:dyDescent="0.2">
      <c r="A14" s="12"/>
      <c r="B14" s="13" t="s">
        <v>123</v>
      </c>
      <c r="C14" s="17">
        <v>3780</v>
      </c>
      <c r="D14" s="17">
        <v>3852</v>
      </c>
      <c r="E14" s="17">
        <v>3852</v>
      </c>
      <c r="F14" s="17">
        <v>3852</v>
      </c>
      <c r="G14" s="17">
        <v>3852</v>
      </c>
      <c r="H14" s="17">
        <v>3852</v>
      </c>
      <c r="I14" s="17">
        <v>3852</v>
      </c>
      <c r="J14" s="17">
        <v>3924</v>
      </c>
      <c r="K14" s="17">
        <v>3924</v>
      </c>
      <c r="L14" s="17">
        <v>3924</v>
      </c>
      <c r="M14" s="17">
        <v>3924</v>
      </c>
      <c r="N14" s="17">
        <v>3924</v>
      </c>
      <c r="O14" s="18">
        <f t="shared" si="0"/>
        <v>46512</v>
      </c>
    </row>
    <row r="15" spans="1:15" ht="15"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x14ac:dyDescent="0.2">
      <c r="A16" s="12"/>
      <c r="B16" s="13" t="s">
        <v>125</v>
      </c>
      <c r="C16" s="17">
        <v>0</v>
      </c>
      <c r="D16" s="17">
        <v>0</v>
      </c>
      <c r="E16" s="17">
        <v>0</v>
      </c>
      <c r="F16" s="17">
        <v>0</v>
      </c>
      <c r="G16" s="17">
        <v>5000</v>
      </c>
      <c r="H16" s="17">
        <v>0</v>
      </c>
      <c r="I16" s="17">
        <v>0</v>
      </c>
      <c r="J16" s="17">
        <v>0</v>
      </c>
      <c r="K16" s="17">
        <v>0</v>
      </c>
      <c r="L16" s="17">
        <v>0</v>
      </c>
      <c r="M16" s="17">
        <v>0</v>
      </c>
      <c r="N16" s="17">
        <v>0</v>
      </c>
      <c r="O16" s="18">
        <f t="shared" si="0"/>
        <v>5000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0</v>
      </c>
      <c r="D19" s="17">
        <v>0</v>
      </c>
      <c r="E19" s="17">
        <v>0</v>
      </c>
      <c r="F19" s="17">
        <v>0</v>
      </c>
      <c r="G19" s="17">
        <v>0</v>
      </c>
      <c r="H19" s="17">
        <v>0</v>
      </c>
      <c r="I19" s="17">
        <v>0</v>
      </c>
      <c r="J19" s="17">
        <v>0</v>
      </c>
      <c r="K19" s="17">
        <v>0</v>
      </c>
      <c r="L19" s="17">
        <v>0</v>
      </c>
      <c r="M19" s="17">
        <v>0</v>
      </c>
      <c r="N19" s="17">
        <v>0</v>
      </c>
      <c r="O19" s="18">
        <f t="shared" si="0"/>
        <v>0</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78"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79"/>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5" ht="15" hidden="1" customHeight="1" x14ac:dyDescent="0.2">
      <c r="A23" s="879"/>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79"/>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79"/>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79"/>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79"/>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79"/>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79"/>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79"/>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79"/>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79"/>
      <c r="B32" s="21" t="s">
        <v>142</v>
      </c>
      <c r="C32" s="17">
        <v>0</v>
      </c>
      <c r="D32" s="17">
        <v>0</v>
      </c>
      <c r="E32" s="17">
        <v>0</v>
      </c>
      <c r="F32" s="17">
        <v>0</v>
      </c>
      <c r="G32" s="17">
        <v>0</v>
      </c>
      <c r="H32" s="17">
        <v>0</v>
      </c>
      <c r="I32" s="17">
        <v>0</v>
      </c>
      <c r="J32" s="17">
        <v>0</v>
      </c>
      <c r="K32" s="17">
        <v>0</v>
      </c>
      <c r="L32" s="17">
        <v>0</v>
      </c>
      <c r="M32" s="17">
        <v>0</v>
      </c>
      <c r="N32" s="17">
        <v>0</v>
      </c>
      <c r="O32" s="18">
        <f t="shared" si="0"/>
        <v>0</v>
      </c>
    </row>
    <row r="33" spans="1:16" ht="15" hidden="1" customHeight="1" x14ac:dyDescent="0.2">
      <c r="A33" s="880"/>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865" t="s">
        <v>143</v>
      </c>
      <c r="B34" s="866"/>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865" t="s">
        <v>145</v>
      </c>
      <c r="B35" s="866"/>
      <c r="C35" s="17">
        <v>0</v>
      </c>
      <c r="D35" s="17">
        <v>216</v>
      </c>
      <c r="E35" s="17">
        <v>0</v>
      </c>
      <c r="F35" s="17">
        <v>0</v>
      </c>
      <c r="G35" s="17">
        <v>0</v>
      </c>
      <c r="H35" s="17">
        <v>0</v>
      </c>
      <c r="I35" s="17">
        <v>0</v>
      </c>
      <c r="J35" s="17">
        <v>216</v>
      </c>
      <c r="K35" s="17">
        <v>0</v>
      </c>
      <c r="L35" s="17">
        <v>0</v>
      </c>
      <c r="M35" s="17">
        <v>0</v>
      </c>
      <c r="N35" s="17">
        <v>0</v>
      </c>
      <c r="O35" s="18">
        <f t="shared" si="0"/>
        <v>432</v>
      </c>
    </row>
    <row r="36" spans="1:16" ht="15" customHeight="1" x14ac:dyDescent="0.2">
      <c r="A36" s="865" t="s">
        <v>146</v>
      </c>
      <c r="B36" s="866"/>
      <c r="C36" s="17">
        <v>0</v>
      </c>
      <c r="D36" s="17">
        <v>2184</v>
      </c>
      <c r="E36" s="17">
        <v>0</v>
      </c>
      <c r="F36" s="17">
        <v>0</v>
      </c>
      <c r="G36" s="17">
        <v>0</v>
      </c>
      <c r="H36" s="17">
        <v>0</v>
      </c>
      <c r="I36" s="17">
        <v>0</v>
      </c>
      <c r="J36" s="17">
        <v>2250</v>
      </c>
      <c r="K36" s="17">
        <v>0</v>
      </c>
      <c r="L36" s="17">
        <v>0</v>
      </c>
      <c r="M36" s="17">
        <v>0</v>
      </c>
      <c r="N36" s="17">
        <v>0</v>
      </c>
      <c r="O36" s="18">
        <f t="shared" si="0"/>
        <v>4434</v>
      </c>
    </row>
    <row r="37" spans="1:16" ht="15" customHeight="1" x14ac:dyDescent="0.2">
      <c r="A37" s="22"/>
      <c r="B37" s="23" t="s">
        <v>147</v>
      </c>
      <c r="C37" s="24">
        <f t="shared" ref="C37:N37" si="1">SUM(C9:C36)</f>
        <v>42000</v>
      </c>
      <c r="D37" s="24">
        <f t="shared" si="1"/>
        <v>45200</v>
      </c>
      <c r="E37" s="24">
        <f t="shared" si="1"/>
        <v>42800</v>
      </c>
      <c r="F37" s="24">
        <f t="shared" si="1"/>
        <v>42800</v>
      </c>
      <c r="G37" s="24">
        <f t="shared" si="1"/>
        <v>48977</v>
      </c>
      <c r="H37" s="24">
        <f t="shared" si="1"/>
        <v>43977</v>
      </c>
      <c r="I37" s="24">
        <f t="shared" si="1"/>
        <v>43977</v>
      </c>
      <c r="J37" s="24">
        <f t="shared" si="1"/>
        <v>54173</v>
      </c>
      <c r="K37" s="24">
        <f t="shared" si="1"/>
        <v>44799</v>
      </c>
      <c r="L37" s="24">
        <f t="shared" si="1"/>
        <v>44799</v>
      </c>
      <c r="M37" s="24">
        <f t="shared" si="1"/>
        <v>44799</v>
      </c>
      <c r="N37" s="24">
        <f t="shared" si="1"/>
        <v>44799</v>
      </c>
      <c r="O37" s="25">
        <f>SUM(C37:N37)</f>
        <v>543100</v>
      </c>
    </row>
    <row r="38" spans="1:16" ht="15" customHeight="1" x14ac:dyDescent="0.2">
      <c r="A38" s="853" t="s">
        <v>148</v>
      </c>
      <c r="B38" s="27" t="s">
        <v>149</v>
      </c>
      <c r="C38" s="147">
        <v>0</v>
      </c>
      <c r="D38" s="147">
        <v>0</v>
      </c>
      <c r="E38" s="147">
        <v>0</v>
      </c>
      <c r="F38" s="147">
        <v>0</v>
      </c>
      <c r="G38" s="147">
        <v>0</v>
      </c>
      <c r="H38" s="147">
        <v>0</v>
      </c>
      <c r="I38" s="147">
        <v>0</v>
      </c>
      <c r="J38" s="147">
        <v>500</v>
      </c>
      <c r="K38" s="147">
        <v>1200</v>
      </c>
      <c r="L38" s="147">
        <v>1110</v>
      </c>
      <c r="M38" s="147">
        <v>1110</v>
      </c>
      <c r="N38" s="147">
        <v>1160</v>
      </c>
      <c r="O38" s="18">
        <f>SUM(C38:N38)</f>
        <v>5080</v>
      </c>
      <c r="P38" s="29"/>
    </row>
    <row r="39" spans="1:16" ht="15" x14ac:dyDescent="0.2">
      <c r="A39" s="854"/>
      <c r="B39" s="27" t="s">
        <v>150</v>
      </c>
      <c r="C39" s="147">
        <v>0</v>
      </c>
      <c r="D39" s="147">
        <v>0</v>
      </c>
      <c r="E39" s="147">
        <v>0</v>
      </c>
      <c r="F39" s="147">
        <v>0</v>
      </c>
      <c r="G39" s="147">
        <v>0</v>
      </c>
      <c r="H39" s="147">
        <v>0</v>
      </c>
      <c r="I39" s="147">
        <v>0</v>
      </c>
      <c r="J39" s="147">
        <v>0</v>
      </c>
      <c r="K39" s="147">
        <v>0</v>
      </c>
      <c r="L39" s="147">
        <v>0</v>
      </c>
      <c r="M39" s="147">
        <v>0</v>
      </c>
      <c r="N39" s="147">
        <v>0</v>
      </c>
      <c r="O39" s="18">
        <f>SUM(C39:N39)</f>
        <v>0</v>
      </c>
    </row>
    <row r="40" spans="1:16" ht="15" x14ac:dyDescent="0.2">
      <c r="A40" s="854"/>
      <c r="B40" s="27" t="s">
        <v>151</v>
      </c>
      <c r="C40" s="147">
        <v>30</v>
      </c>
      <c r="D40" s="147">
        <v>30</v>
      </c>
      <c r="E40" s="147">
        <v>30</v>
      </c>
      <c r="F40" s="147">
        <v>30</v>
      </c>
      <c r="G40" s="147">
        <v>30</v>
      </c>
      <c r="H40" s="147">
        <v>30</v>
      </c>
      <c r="I40" s="147">
        <v>30</v>
      </c>
      <c r="J40" s="147">
        <v>30</v>
      </c>
      <c r="K40" s="147">
        <v>30</v>
      </c>
      <c r="L40" s="147">
        <v>30</v>
      </c>
      <c r="M40" s="147">
        <v>30</v>
      </c>
      <c r="N40" s="147">
        <v>30</v>
      </c>
      <c r="O40" s="18">
        <f t="shared" ref="O40:O50" si="2">SUM(C40:N40)</f>
        <v>360</v>
      </c>
    </row>
    <row r="41" spans="1:16" ht="15" x14ac:dyDescent="0.2">
      <c r="A41" s="854"/>
      <c r="B41" s="27" t="s">
        <v>152</v>
      </c>
      <c r="C41" s="147">
        <v>0</v>
      </c>
      <c r="D41" s="147">
        <v>0</v>
      </c>
      <c r="E41" s="147">
        <v>0</v>
      </c>
      <c r="F41" s="147">
        <v>0</v>
      </c>
      <c r="G41" s="147">
        <v>0</v>
      </c>
      <c r="H41" s="147">
        <v>0</v>
      </c>
      <c r="I41" s="147">
        <v>0</v>
      </c>
      <c r="J41" s="147">
        <v>0</v>
      </c>
      <c r="K41" s="147">
        <v>0</v>
      </c>
      <c r="L41" s="147">
        <v>0</v>
      </c>
      <c r="M41" s="147">
        <v>0</v>
      </c>
      <c r="N41" s="147">
        <v>0</v>
      </c>
      <c r="O41" s="18">
        <f t="shared" si="2"/>
        <v>0</v>
      </c>
    </row>
    <row r="42" spans="1:16" ht="15" x14ac:dyDescent="0.2">
      <c r="A42" s="854"/>
      <c r="B42" s="27" t="s">
        <v>153</v>
      </c>
      <c r="C42" s="147">
        <v>250</v>
      </c>
      <c r="D42" s="147">
        <v>250</v>
      </c>
      <c r="E42" s="147">
        <v>250</v>
      </c>
      <c r="F42" s="147">
        <v>250</v>
      </c>
      <c r="G42" s="147">
        <v>250</v>
      </c>
      <c r="H42" s="147">
        <v>250</v>
      </c>
      <c r="I42" s="147">
        <v>250</v>
      </c>
      <c r="J42" s="147">
        <v>250</v>
      </c>
      <c r="K42" s="147">
        <v>250</v>
      </c>
      <c r="L42" s="147">
        <v>250</v>
      </c>
      <c r="M42" s="147">
        <v>250</v>
      </c>
      <c r="N42" s="147">
        <v>250</v>
      </c>
      <c r="O42" s="18">
        <f t="shared" si="2"/>
        <v>3000</v>
      </c>
    </row>
    <row r="43" spans="1:16" ht="15" x14ac:dyDescent="0.2">
      <c r="A43" s="854"/>
      <c r="B43" s="27" t="s">
        <v>154</v>
      </c>
      <c r="C43" s="147">
        <v>12000</v>
      </c>
      <c r="D43" s="147">
        <v>12000</v>
      </c>
      <c r="E43" s="147">
        <v>12000</v>
      </c>
      <c r="F43" s="147">
        <v>12000</v>
      </c>
      <c r="G43" s="147">
        <v>12000</v>
      </c>
      <c r="H43" s="147">
        <v>12000</v>
      </c>
      <c r="I43" s="147">
        <v>14000</v>
      </c>
      <c r="J43" s="147">
        <v>14000</v>
      </c>
      <c r="K43" s="147">
        <v>14000</v>
      </c>
      <c r="L43" s="147">
        <v>14000</v>
      </c>
      <c r="M43" s="147">
        <v>14000</v>
      </c>
      <c r="N43" s="147">
        <v>14000</v>
      </c>
      <c r="O43" s="18">
        <f t="shared" si="2"/>
        <v>156000</v>
      </c>
    </row>
    <row r="44" spans="1:16" ht="15" x14ac:dyDescent="0.2">
      <c r="A44" s="854"/>
      <c r="B44" s="27" t="s">
        <v>155</v>
      </c>
      <c r="C44" s="147">
        <v>200</v>
      </c>
      <c r="D44" s="147">
        <v>200</v>
      </c>
      <c r="E44" s="147">
        <v>200</v>
      </c>
      <c r="F44" s="147">
        <v>200</v>
      </c>
      <c r="G44" s="147">
        <v>200</v>
      </c>
      <c r="H44" s="147">
        <v>200</v>
      </c>
      <c r="I44" s="147">
        <v>200</v>
      </c>
      <c r="J44" s="147">
        <v>200</v>
      </c>
      <c r="K44" s="147">
        <v>200</v>
      </c>
      <c r="L44" s="147">
        <v>200</v>
      </c>
      <c r="M44" s="147">
        <v>200</v>
      </c>
      <c r="N44" s="147">
        <v>300</v>
      </c>
      <c r="O44" s="18">
        <f t="shared" si="2"/>
        <v>2500</v>
      </c>
    </row>
    <row r="45" spans="1:16" ht="30" x14ac:dyDescent="0.2">
      <c r="A45" s="854"/>
      <c r="B45" s="27" t="s">
        <v>310</v>
      </c>
      <c r="C45" s="147">
        <v>363</v>
      </c>
      <c r="D45" s="147">
        <v>363</v>
      </c>
      <c r="E45" s="147">
        <v>363</v>
      </c>
      <c r="F45" s="147">
        <v>363</v>
      </c>
      <c r="G45" s="147">
        <v>363</v>
      </c>
      <c r="H45" s="147">
        <v>363</v>
      </c>
      <c r="I45" s="147">
        <v>363</v>
      </c>
      <c r="J45" s="147">
        <v>363</v>
      </c>
      <c r="K45" s="147">
        <v>363</v>
      </c>
      <c r="L45" s="147">
        <v>363</v>
      </c>
      <c r="M45" s="147">
        <v>363</v>
      </c>
      <c r="N45" s="147">
        <v>363</v>
      </c>
      <c r="O45" s="18">
        <f t="shared" si="2"/>
        <v>4356</v>
      </c>
    </row>
    <row r="46" spans="1:16" ht="15" x14ac:dyDescent="0.2">
      <c r="A46" s="854"/>
      <c r="B46" s="27" t="s">
        <v>157</v>
      </c>
      <c r="C46" s="147">
        <v>0</v>
      </c>
      <c r="D46" s="147">
        <v>0</v>
      </c>
      <c r="E46" s="147">
        <v>0</v>
      </c>
      <c r="F46" s="147">
        <v>0</v>
      </c>
      <c r="G46" s="147">
        <v>0</v>
      </c>
      <c r="H46" s="147">
        <v>0</v>
      </c>
      <c r="I46" s="147">
        <v>0</v>
      </c>
      <c r="J46" s="147">
        <v>0</v>
      </c>
      <c r="K46" s="147">
        <v>0</v>
      </c>
      <c r="L46" s="147">
        <v>0</v>
      </c>
      <c r="M46" s="147">
        <v>0</v>
      </c>
      <c r="N46" s="147">
        <v>0</v>
      </c>
      <c r="O46" s="18">
        <f t="shared" si="2"/>
        <v>0</v>
      </c>
    </row>
    <row r="47" spans="1:16" ht="28.5" customHeight="1" x14ac:dyDescent="0.2">
      <c r="A47" s="855"/>
      <c r="B47" s="30" t="s">
        <v>158</v>
      </c>
      <c r="C47" s="147">
        <v>1890</v>
      </c>
      <c r="D47" s="147">
        <v>1890</v>
      </c>
      <c r="E47" s="147">
        <v>1890</v>
      </c>
      <c r="F47" s="147">
        <v>1890</v>
      </c>
      <c r="G47" s="147">
        <v>1890</v>
      </c>
      <c r="H47" s="147">
        <v>1890</v>
      </c>
      <c r="I47" s="147">
        <v>1890</v>
      </c>
      <c r="J47" s="147">
        <v>1890</v>
      </c>
      <c r="K47" s="147">
        <v>1890</v>
      </c>
      <c r="L47" s="147">
        <v>1890</v>
      </c>
      <c r="M47" s="147">
        <v>1890</v>
      </c>
      <c r="N47" s="147">
        <v>1890</v>
      </c>
      <c r="O47" s="31">
        <f t="shared" si="2"/>
        <v>22680</v>
      </c>
    </row>
    <row r="48" spans="1:16" ht="30" x14ac:dyDescent="0.2">
      <c r="A48" s="856"/>
      <c r="B48" s="127" t="s">
        <v>311</v>
      </c>
      <c r="C48" s="147">
        <v>1000</v>
      </c>
      <c r="D48" s="147">
        <v>1000</v>
      </c>
      <c r="E48" s="147">
        <v>1000</v>
      </c>
      <c r="F48" s="147">
        <v>1000</v>
      </c>
      <c r="G48" s="147">
        <v>1000</v>
      </c>
      <c r="H48" s="147">
        <v>1000</v>
      </c>
      <c r="I48" s="147">
        <v>1000</v>
      </c>
      <c r="J48" s="147">
        <v>1000</v>
      </c>
      <c r="K48" s="147">
        <v>1000</v>
      </c>
      <c r="L48" s="147">
        <v>1000</v>
      </c>
      <c r="M48" s="147">
        <v>1000</v>
      </c>
      <c r="N48" s="147">
        <v>1000</v>
      </c>
      <c r="O48" s="31">
        <f t="shared" si="2"/>
        <v>12000</v>
      </c>
    </row>
    <row r="49" spans="1:18" ht="15" x14ac:dyDescent="0.2">
      <c r="A49" s="857" t="s">
        <v>160</v>
      </c>
      <c r="B49" s="858"/>
      <c r="C49" s="33">
        <f>SUM(C38:C48)</f>
        <v>15733</v>
      </c>
      <c r="D49" s="33">
        <f t="shared" ref="D49:N49" si="3">SUM(D38:D48)</f>
        <v>15733</v>
      </c>
      <c r="E49" s="33">
        <f t="shared" si="3"/>
        <v>15733</v>
      </c>
      <c r="F49" s="33">
        <f t="shared" si="3"/>
        <v>15733</v>
      </c>
      <c r="G49" s="33">
        <f t="shared" si="3"/>
        <v>15733</v>
      </c>
      <c r="H49" s="33">
        <f t="shared" si="3"/>
        <v>15733</v>
      </c>
      <c r="I49" s="33">
        <f t="shared" si="3"/>
        <v>17733</v>
      </c>
      <c r="J49" s="33">
        <f t="shared" si="3"/>
        <v>18233</v>
      </c>
      <c r="K49" s="33">
        <f t="shared" si="3"/>
        <v>18933</v>
      </c>
      <c r="L49" s="33">
        <f t="shared" si="3"/>
        <v>18843</v>
      </c>
      <c r="M49" s="33">
        <f t="shared" si="3"/>
        <v>18843</v>
      </c>
      <c r="N49" s="33">
        <f t="shared" si="3"/>
        <v>18993</v>
      </c>
      <c r="O49" s="34">
        <f t="shared" si="2"/>
        <v>205976</v>
      </c>
    </row>
    <row r="50" spans="1:18" ht="15.75" thickBot="1" x14ac:dyDescent="0.25">
      <c r="A50" s="859" t="s">
        <v>161</v>
      </c>
      <c r="B50" s="860"/>
      <c r="C50" s="35">
        <f t="shared" ref="C50:N50" si="4">C37-C49</f>
        <v>26267</v>
      </c>
      <c r="D50" s="35">
        <f t="shared" si="4"/>
        <v>29467</v>
      </c>
      <c r="E50" s="35">
        <f t="shared" si="4"/>
        <v>27067</v>
      </c>
      <c r="F50" s="35">
        <f t="shared" si="4"/>
        <v>27067</v>
      </c>
      <c r="G50" s="35">
        <f t="shared" si="4"/>
        <v>33244</v>
      </c>
      <c r="H50" s="35">
        <f t="shared" si="4"/>
        <v>28244</v>
      </c>
      <c r="I50" s="35">
        <f t="shared" si="4"/>
        <v>26244</v>
      </c>
      <c r="J50" s="35">
        <f t="shared" si="4"/>
        <v>35940</v>
      </c>
      <c r="K50" s="35">
        <f t="shared" si="4"/>
        <v>25866</v>
      </c>
      <c r="L50" s="35">
        <f t="shared" si="4"/>
        <v>25956</v>
      </c>
      <c r="M50" s="35">
        <f t="shared" si="4"/>
        <v>25956</v>
      </c>
      <c r="N50" s="35">
        <f t="shared" si="4"/>
        <v>25806</v>
      </c>
      <c r="O50" s="36">
        <f t="shared" si="2"/>
        <v>337124</v>
      </c>
    </row>
    <row r="51" spans="1:18" x14ac:dyDescent="0.2">
      <c r="J51" s="128">
        <f>+J37-SUM(J22:J36)</f>
        <v>44799</v>
      </c>
    </row>
    <row r="52" spans="1:18" ht="13.5" thickBot="1" x14ac:dyDescent="0.25">
      <c r="J52" s="38">
        <f>+J51-J49</f>
        <v>26566</v>
      </c>
    </row>
    <row r="53" spans="1:18" ht="13.5" thickBot="1" x14ac:dyDescent="0.25">
      <c r="B53" s="789" t="s">
        <v>162</v>
      </c>
      <c r="C53" s="861"/>
      <c r="D53" s="861"/>
      <c r="E53" s="861"/>
      <c r="F53" s="862"/>
      <c r="G53" s="863">
        <f>O37</f>
        <v>543100</v>
      </c>
      <c r="H53" s="864"/>
    </row>
    <row r="54" spans="1:18" ht="13.5" thickBot="1" x14ac:dyDescent="0.25"/>
    <row r="55" spans="1:18" x14ac:dyDescent="0.2">
      <c r="B55" s="830" t="s">
        <v>163</v>
      </c>
      <c r="C55" s="833" t="s">
        <v>164</v>
      </c>
      <c r="D55" s="836" t="s">
        <v>229</v>
      </c>
      <c r="E55" s="837"/>
      <c r="F55" s="838"/>
      <c r="G55" s="839">
        <v>40000</v>
      </c>
      <c r="H55" s="840"/>
    </row>
    <row r="56" spans="1:18" x14ac:dyDescent="0.2">
      <c r="B56" s="831"/>
      <c r="C56" s="834"/>
      <c r="D56" s="841" t="s">
        <v>166</v>
      </c>
      <c r="E56" s="842"/>
      <c r="F56" s="843"/>
      <c r="G56" s="844">
        <f>+O44</f>
        <v>2500</v>
      </c>
      <c r="H56" s="845"/>
      <c r="I56" s="39"/>
      <c r="J56" s="846"/>
      <c r="K56" s="846"/>
      <c r="L56" s="846"/>
      <c r="M56" s="847"/>
      <c r="N56" s="847"/>
      <c r="O56" s="847"/>
    </row>
    <row r="57" spans="1:18" ht="13.5" thickBot="1" x14ac:dyDescent="0.25">
      <c r="B57" s="832"/>
      <c r="C57" s="835"/>
      <c r="D57" s="921" t="s">
        <v>167</v>
      </c>
      <c r="E57" s="849"/>
      <c r="F57" s="850"/>
      <c r="G57" s="851">
        <f>IF(O18&gt;15000,15000,+O18)</f>
        <v>0</v>
      </c>
      <c r="H57" s="852"/>
      <c r="J57" s="47"/>
      <c r="K57" s="47"/>
      <c r="L57" s="47"/>
      <c r="M57" s="47"/>
      <c r="N57" s="47"/>
      <c r="O57" s="47"/>
    </row>
    <row r="58" spans="1:18" ht="13.5" thickBot="1" x14ac:dyDescent="0.25">
      <c r="B58" s="48"/>
      <c r="J58" s="47"/>
      <c r="K58" s="47"/>
      <c r="L58" s="47"/>
      <c r="M58" s="47"/>
      <c r="N58" s="47"/>
      <c r="O58" s="47"/>
    </row>
    <row r="59" spans="1:18" ht="13.5" thickBot="1" x14ac:dyDescent="0.25">
      <c r="B59" s="789" t="s">
        <v>168</v>
      </c>
      <c r="C59" s="790"/>
      <c r="D59" s="790"/>
      <c r="E59" s="790"/>
      <c r="F59" s="791"/>
      <c r="G59" s="825">
        <f>+G53-SUM(G55:H57)</f>
        <v>500600</v>
      </c>
      <c r="H59" s="826"/>
      <c r="J59" s="827" t="s">
        <v>169</v>
      </c>
      <c r="K59" s="828"/>
      <c r="L59" s="828"/>
      <c r="M59" s="828"/>
      <c r="N59" s="828"/>
      <c r="O59" s="829"/>
    </row>
    <row r="60" spans="1:18" ht="13.5" thickBot="1" x14ac:dyDescent="0.25">
      <c r="B60" s="49"/>
      <c r="C60" s="50"/>
      <c r="D60" s="50"/>
      <c r="E60" s="50"/>
      <c r="F60" s="50"/>
      <c r="G60" s="45"/>
      <c r="H60" s="50"/>
      <c r="J60" s="129"/>
      <c r="K60" s="130"/>
      <c r="L60" s="130"/>
      <c r="M60" s="130"/>
      <c r="N60" s="130"/>
      <c r="O60" s="131"/>
    </row>
    <row r="61" spans="1:18" ht="13.5" thickBot="1" x14ac:dyDescent="0.25">
      <c r="B61" s="789" t="s">
        <v>170</v>
      </c>
      <c r="C61" s="790"/>
      <c r="D61" s="790"/>
      <c r="E61" s="790"/>
      <c r="F61" s="791"/>
      <c r="G61" s="805"/>
      <c r="H61" s="791"/>
      <c r="J61" s="129"/>
      <c r="K61" s="130"/>
      <c r="L61" s="130"/>
      <c r="M61" s="130"/>
      <c r="N61" s="130"/>
      <c r="O61" s="131"/>
    </row>
    <row r="62" spans="1:18" ht="12.75" customHeight="1" x14ac:dyDescent="0.2">
      <c r="B62" s="57" t="s">
        <v>171</v>
      </c>
      <c r="C62" s="806" t="s">
        <v>172</v>
      </c>
      <c r="D62" s="807"/>
      <c r="E62" s="807"/>
      <c r="F62" s="808"/>
      <c r="G62" s="809">
        <f>O63</f>
        <v>0</v>
      </c>
      <c r="H62" s="809"/>
      <c r="I62" s="58"/>
      <c r="J62" s="810" t="s">
        <v>173</v>
      </c>
      <c r="K62" s="811"/>
      <c r="L62" s="811"/>
      <c r="M62" s="811"/>
      <c r="N62" s="811"/>
      <c r="O62" s="812"/>
      <c r="Q62" s="59"/>
      <c r="R62" s="59"/>
    </row>
    <row r="63" spans="1:18" ht="13.5" thickBot="1" x14ac:dyDescent="0.25">
      <c r="D63" s="37"/>
      <c r="I63" s="58"/>
      <c r="J63" s="60" t="s">
        <v>312</v>
      </c>
      <c r="K63" s="132"/>
      <c r="L63" s="132"/>
      <c r="M63" s="133"/>
      <c r="N63" s="133" t="s">
        <v>313</v>
      </c>
      <c r="O63" s="134"/>
      <c r="Q63" s="59"/>
      <c r="R63" s="59"/>
    </row>
    <row r="64" spans="1:18" ht="13.5" thickBot="1" x14ac:dyDescent="0.25">
      <c r="B64" s="789" t="s">
        <v>175</v>
      </c>
      <c r="C64" s="790"/>
      <c r="D64" s="790"/>
      <c r="E64" s="790"/>
      <c r="F64" s="791"/>
      <c r="G64" s="805">
        <f>+G59-G62</f>
        <v>500600</v>
      </c>
      <c r="H64" s="791"/>
      <c r="I64" s="63"/>
      <c r="J64" s="64" t="s">
        <v>314</v>
      </c>
      <c r="K64" s="39"/>
      <c r="L64" s="39"/>
      <c r="M64" s="39"/>
      <c r="N64" s="39" t="s">
        <v>315</v>
      </c>
      <c r="O64" s="65"/>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6.25" customHeight="1" thickBot="1" x14ac:dyDescent="0.25">
      <c r="B67" s="66"/>
      <c r="C67" s="48"/>
      <c r="G67" s="70" t="s">
        <v>177</v>
      </c>
      <c r="H67" s="70" t="s">
        <v>178</v>
      </c>
      <c r="I67" s="63"/>
      <c r="J67" s="810" t="s">
        <v>179</v>
      </c>
      <c r="K67" s="811"/>
      <c r="L67" s="71"/>
      <c r="M67" s="71"/>
      <c r="N67" s="71"/>
      <c r="O67" s="72"/>
      <c r="Q67" s="59"/>
      <c r="R67" s="59"/>
    </row>
    <row r="68" spans="2:18" ht="12.75" customHeight="1" x14ac:dyDescent="0.2">
      <c r="B68" s="802" t="s">
        <v>180</v>
      </c>
      <c r="C68" s="821" t="s">
        <v>181</v>
      </c>
      <c r="D68" s="823" t="s">
        <v>182</v>
      </c>
      <c r="E68" s="824"/>
      <c r="F68" s="824"/>
      <c r="G68" s="73">
        <f>+O43</f>
        <v>156000</v>
      </c>
      <c r="H68" s="74">
        <f t="shared" ref="H68:H77" si="5">+G68</f>
        <v>156000</v>
      </c>
      <c r="I68" s="63"/>
      <c r="J68" s="75" t="s">
        <v>231</v>
      </c>
      <c r="K68" s="58"/>
      <c r="L68" s="58"/>
      <c r="M68" s="135" t="s">
        <v>232</v>
      </c>
      <c r="N68" s="58"/>
      <c r="O68" s="76"/>
      <c r="Q68" s="59"/>
      <c r="R68" s="59"/>
    </row>
    <row r="69" spans="2:18" ht="12.75" customHeight="1" x14ac:dyDescent="0.2">
      <c r="B69" s="803"/>
      <c r="C69" s="822"/>
      <c r="D69" s="782" t="s">
        <v>184</v>
      </c>
      <c r="E69" s="783"/>
      <c r="F69" s="783"/>
      <c r="G69" s="77">
        <f>+O47</f>
        <v>22680</v>
      </c>
      <c r="H69" s="78">
        <f t="shared" si="5"/>
        <v>22680</v>
      </c>
      <c r="I69" s="63"/>
      <c r="J69" s="79"/>
      <c r="K69" s="68"/>
      <c r="L69" s="68"/>
      <c r="M69" s="68"/>
      <c r="N69" s="68"/>
      <c r="O69" s="69"/>
      <c r="Q69" s="59"/>
      <c r="R69" s="59"/>
    </row>
    <row r="70" spans="2:18" ht="12.75" customHeight="1" x14ac:dyDescent="0.2">
      <c r="B70" s="803"/>
      <c r="C70" s="822"/>
      <c r="D70" s="819" t="s">
        <v>185</v>
      </c>
      <c r="E70" s="820"/>
      <c r="F70" s="820"/>
      <c r="G70" s="80">
        <f>O40</f>
        <v>360</v>
      </c>
      <c r="H70" s="78">
        <f t="shared" si="5"/>
        <v>360</v>
      </c>
      <c r="I70" s="63"/>
      <c r="J70" s="67"/>
      <c r="K70" s="68"/>
      <c r="L70" s="68"/>
      <c r="M70" s="68"/>
      <c r="N70" s="68"/>
      <c r="O70" s="69"/>
    </row>
    <row r="71" spans="2:18" x14ac:dyDescent="0.2">
      <c r="B71" s="803"/>
      <c r="C71" s="822"/>
      <c r="D71" s="782" t="s">
        <v>186</v>
      </c>
      <c r="E71" s="783"/>
      <c r="F71" s="783"/>
      <c r="G71" s="81">
        <v>0</v>
      </c>
      <c r="H71" s="78">
        <f t="shared" si="5"/>
        <v>0</v>
      </c>
      <c r="I71" s="63"/>
      <c r="J71" s="82" t="s">
        <v>187</v>
      </c>
      <c r="K71" s="71"/>
      <c r="L71" s="71"/>
      <c r="M71" s="71"/>
      <c r="N71" s="71"/>
      <c r="O71" s="72"/>
    </row>
    <row r="72" spans="2:18" ht="12.75" customHeight="1" x14ac:dyDescent="0.2">
      <c r="B72" s="803"/>
      <c r="C72" s="822"/>
      <c r="D72" s="784" t="s">
        <v>188</v>
      </c>
      <c r="E72" s="783"/>
      <c r="F72" s="783"/>
      <c r="G72" s="80">
        <v>0</v>
      </c>
      <c r="H72" s="78">
        <f t="shared" si="5"/>
        <v>0</v>
      </c>
      <c r="I72" s="63"/>
      <c r="J72" s="75" t="s">
        <v>189</v>
      </c>
      <c r="K72" s="50"/>
      <c r="L72" s="50"/>
      <c r="M72" s="50"/>
      <c r="N72" s="50"/>
      <c r="O72" s="83">
        <f>+O42</f>
        <v>3000</v>
      </c>
    </row>
    <row r="73" spans="2:18" ht="14.25" customHeight="1" x14ac:dyDescent="0.2">
      <c r="B73" s="803"/>
      <c r="C73" s="822"/>
      <c r="D73" s="782" t="s">
        <v>190</v>
      </c>
      <c r="E73" s="783"/>
      <c r="F73" s="783"/>
      <c r="G73" s="84">
        <v>0</v>
      </c>
      <c r="H73" s="78">
        <f t="shared" si="5"/>
        <v>0</v>
      </c>
      <c r="I73" s="63"/>
      <c r="J73" s="75"/>
      <c r="K73" s="39"/>
      <c r="L73" s="39"/>
      <c r="M73" s="39"/>
      <c r="N73" s="39"/>
      <c r="O73" s="65"/>
    </row>
    <row r="74" spans="2:18" ht="14.25" customHeight="1" x14ac:dyDescent="0.2">
      <c r="B74" s="803"/>
      <c r="C74" s="822"/>
      <c r="D74" s="178" t="s">
        <v>316</v>
      </c>
      <c r="E74" s="179"/>
      <c r="F74" s="179"/>
      <c r="G74" s="84">
        <v>0</v>
      </c>
      <c r="H74" s="78">
        <v>0</v>
      </c>
      <c r="I74" s="63"/>
      <c r="J74" s="75"/>
      <c r="K74" s="39"/>
      <c r="L74" s="39"/>
      <c r="M74" s="39"/>
      <c r="N74" s="39"/>
      <c r="O74" s="65"/>
    </row>
    <row r="75" spans="2:18" x14ac:dyDescent="0.2">
      <c r="B75" s="803"/>
      <c r="C75" s="822"/>
      <c r="D75" s="782" t="s">
        <v>191</v>
      </c>
      <c r="E75" s="783"/>
      <c r="F75" s="783"/>
      <c r="G75" s="81">
        <v>0</v>
      </c>
      <c r="H75" s="78">
        <f t="shared" si="5"/>
        <v>0</v>
      </c>
      <c r="I75" s="58"/>
      <c r="J75" s="150"/>
      <c r="K75" s="50"/>
      <c r="L75" s="50"/>
      <c r="M75" s="50"/>
      <c r="N75" s="50"/>
      <c r="O75" s="83"/>
    </row>
    <row r="76" spans="2:18" x14ac:dyDescent="0.2">
      <c r="B76" s="803"/>
      <c r="C76" s="88" t="s">
        <v>192</v>
      </c>
      <c r="D76" s="813" t="s">
        <v>193</v>
      </c>
      <c r="E76" s="814"/>
      <c r="F76" s="814"/>
      <c r="G76" s="80">
        <v>0</v>
      </c>
      <c r="H76" s="78">
        <f t="shared" si="5"/>
        <v>0</v>
      </c>
      <c r="I76" s="58"/>
      <c r="J76" s="79"/>
      <c r="K76" s="39"/>
      <c r="L76" s="39"/>
      <c r="M76" s="39"/>
      <c r="N76" s="39"/>
      <c r="O76" s="65"/>
    </row>
    <row r="77" spans="2:18" ht="13.5" customHeight="1" thickBot="1" x14ac:dyDescent="0.25">
      <c r="B77" s="803"/>
      <c r="C77" s="88" t="s">
        <v>194</v>
      </c>
      <c r="D77" s="815" t="s">
        <v>195</v>
      </c>
      <c r="E77" s="815"/>
      <c r="F77" s="815"/>
      <c r="G77" s="89">
        <v>0</v>
      </c>
      <c r="H77" s="90">
        <f t="shared" si="5"/>
        <v>0</v>
      </c>
      <c r="I77" s="63"/>
      <c r="J77" s="67"/>
      <c r="K77" s="68"/>
      <c r="L77" s="68"/>
      <c r="M77" s="91"/>
      <c r="N77" s="91"/>
      <c r="O77" s="92"/>
    </row>
    <row r="78" spans="2:18" ht="13.5" thickBot="1" x14ac:dyDescent="0.25">
      <c r="B78" s="803"/>
      <c r="C78" s="93"/>
      <c r="D78" s="94"/>
      <c r="E78" s="816" t="s">
        <v>117</v>
      </c>
      <c r="F78" s="817"/>
      <c r="G78" s="95">
        <f>SUM(G68:G77)</f>
        <v>179040</v>
      </c>
      <c r="H78" s="96">
        <f>IF(SUM(G68:G75)&lt;150000,SUM(G68:G75),150000)+IF(+G76&lt;20000,+G76,20000)</f>
        <v>150000</v>
      </c>
      <c r="I78" s="63"/>
      <c r="J78" s="140"/>
      <c r="K78" s="141"/>
      <c r="L78" s="141"/>
      <c r="M78" s="142"/>
      <c r="N78" s="142"/>
      <c r="O78" s="143"/>
    </row>
    <row r="79" spans="2:18" ht="12.75" customHeight="1" x14ac:dyDescent="0.2">
      <c r="B79" s="803"/>
      <c r="C79" s="100" t="s">
        <v>196</v>
      </c>
      <c r="D79" s="782" t="s">
        <v>187</v>
      </c>
      <c r="E79" s="783"/>
      <c r="F79" s="818"/>
      <c r="G79" s="73">
        <f>+O42</f>
        <v>3000</v>
      </c>
      <c r="H79" s="101">
        <f>+IF(+G79&lt;25000,+G79,25000)</f>
        <v>3000</v>
      </c>
      <c r="I79" s="87"/>
    </row>
    <row r="80" spans="2:18" x14ac:dyDescent="0.2">
      <c r="B80" s="803"/>
      <c r="C80" s="100" t="s">
        <v>197</v>
      </c>
      <c r="D80" s="784" t="s">
        <v>198</v>
      </c>
      <c r="E80" s="785"/>
      <c r="F80" s="786"/>
      <c r="G80" s="102"/>
      <c r="H80" s="103">
        <f>+IF(+G80&lt;40000,+G80,40000)</f>
        <v>0</v>
      </c>
      <c r="I80" s="63"/>
    </row>
    <row r="81" spans="2:12" x14ac:dyDescent="0.2">
      <c r="B81" s="803"/>
      <c r="C81" s="100" t="s">
        <v>199</v>
      </c>
      <c r="D81" s="784" t="s">
        <v>200</v>
      </c>
      <c r="E81" s="785"/>
      <c r="F81" s="786"/>
      <c r="G81" s="81"/>
      <c r="H81" s="104">
        <v>0</v>
      </c>
      <c r="I81" s="63"/>
      <c r="J81" s="106"/>
    </row>
    <row r="82" spans="2:12" x14ac:dyDescent="0.2">
      <c r="B82" s="803"/>
      <c r="C82" s="100" t="s">
        <v>201</v>
      </c>
      <c r="D82" s="784" t="s">
        <v>202</v>
      </c>
      <c r="E82" s="785"/>
      <c r="F82" s="786"/>
      <c r="G82" s="81"/>
      <c r="H82" s="104">
        <v>0</v>
      </c>
      <c r="I82" s="63"/>
    </row>
    <row r="83" spans="2:12" ht="13.5" thickBot="1" x14ac:dyDescent="0.25">
      <c r="B83" s="804"/>
      <c r="C83" s="100" t="s">
        <v>203</v>
      </c>
      <c r="D83" s="784" t="s">
        <v>204</v>
      </c>
      <c r="E83" s="785"/>
      <c r="F83" s="786"/>
      <c r="G83" s="102"/>
      <c r="H83" s="103">
        <f>+IF(+G83&lt;100000,+G83,10000)</f>
        <v>0</v>
      </c>
      <c r="I83" s="63"/>
    </row>
    <row r="84" spans="2:12" ht="13.5" thickBot="1" x14ac:dyDescent="0.25">
      <c r="B84" s="787" t="s">
        <v>205</v>
      </c>
      <c r="C84" s="788"/>
      <c r="D84" s="788"/>
      <c r="E84" s="788"/>
      <c r="F84" s="788"/>
      <c r="G84" s="107">
        <f>SUM(G79:G83)</f>
        <v>3000</v>
      </c>
      <c r="H84" s="108">
        <f>SUM(H78:H83)</f>
        <v>153000</v>
      </c>
    </row>
    <row r="85" spans="2:12" ht="13.5" thickBot="1" x14ac:dyDescent="0.25"/>
    <row r="86" spans="2:12" ht="13.5" thickBot="1" x14ac:dyDescent="0.25">
      <c r="B86" s="789" t="s">
        <v>206</v>
      </c>
      <c r="C86" s="790"/>
      <c r="D86" s="790"/>
      <c r="E86" s="790"/>
      <c r="F86" s="791"/>
      <c r="G86" s="792">
        <f>+G64-H84</f>
        <v>347600</v>
      </c>
      <c r="H86" s="791"/>
      <c r="J86" s="109">
        <f>C37+D37+E37+F37</f>
        <v>172800</v>
      </c>
      <c r="K86" s="16" t="s">
        <v>235</v>
      </c>
    </row>
    <row r="87" spans="2:12" x14ac:dyDescent="0.2">
      <c r="B87" s="110"/>
      <c r="F87" s="105"/>
      <c r="J87" s="109">
        <f>G37+H37+I37</f>
        <v>136931</v>
      </c>
      <c r="K87" s="16" t="s">
        <v>236</v>
      </c>
    </row>
    <row r="88" spans="2:12" x14ac:dyDescent="0.2">
      <c r="C88" s="793" t="s">
        <v>207</v>
      </c>
      <c r="D88" s="794"/>
      <c r="E88" s="111" t="s">
        <v>208</v>
      </c>
      <c r="F88" s="111" t="s">
        <v>209</v>
      </c>
      <c r="G88" s="111" t="s">
        <v>210</v>
      </c>
      <c r="H88" s="111" t="s">
        <v>211</v>
      </c>
      <c r="J88" s="109">
        <f>J37+K37+L37</f>
        <v>143771</v>
      </c>
      <c r="K88" s="47" t="s">
        <v>237</v>
      </c>
    </row>
    <row r="89" spans="2:12" x14ac:dyDescent="0.2">
      <c r="C89" s="795" t="str">
        <f>IF(I6="M","0          - 250000","0          -  250000")</f>
        <v>0          - 250000</v>
      </c>
      <c r="D89" s="796"/>
      <c r="E89" s="112">
        <v>0</v>
      </c>
      <c r="F89" s="113">
        <f>IF(I6="M",(IF(G86&lt;250000,G86,250000)),(IF(G86&lt;250000,G86,250000)))</f>
        <v>250000</v>
      </c>
      <c r="G89" s="113">
        <f>G86-F89</f>
        <v>97600</v>
      </c>
      <c r="H89" s="113">
        <f>E89*F89</f>
        <v>0</v>
      </c>
      <c r="J89" s="16">
        <f>M37+N37</f>
        <v>89598</v>
      </c>
      <c r="K89" s="1" t="s">
        <v>238</v>
      </c>
    </row>
    <row r="90" spans="2:12" x14ac:dyDescent="0.2">
      <c r="C90" s="795" t="str">
        <f>IF(I6="M","250001 - 500000","250001-500000")</f>
        <v>250001 - 500000</v>
      </c>
      <c r="D90" s="796"/>
      <c r="E90" s="112">
        <v>0.05</v>
      </c>
      <c r="F90" s="113">
        <f>IF(I6="M",(IF(G89&lt;250000,G89,250000)),(IF(G89&lt;250000,G89,250000)))</f>
        <v>97600</v>
      </c>
      <c r="G90" s="113">
        <f>G89-F90</f>
        <v>0</v>
      </c>
      <c r="H90" s="114">
        <f>ROUND(E90*F90,0.1)</f>
        <v>4880</v>
      </c>
      <c r="J90" s="115">
        <f>SUM(J86:J89)</f>
        <v>543100</v>
      </c>
    </row>
    <row r="91" spans="2:12" x14ac:dyDescent="0.2">
      <c r="C91" s="797" t="s">
        <v>212</v>
      </c>
      <c r="D91" s="798"/>
      <c r="E91" s="112">
        <v>0.2</v>
      </c>
      <c r="F91" s="113">
        <f>IF(G90&lt;500000,G90,500000)</f>
        <v>0</v>
      </c>
      <c r="G91" s="113">
        <f>G90-F91</f>
        <v>0</v>
      </c>
      <c r="H91" s="114">
        <f>ROUND(E91*F91,0.1)</f>
        <v>0</v>
      </c>
      <c r="J91" s="16">
        <f>+G86</f>
        <v>347600</v>
      </c>
    </row>
    <row r="92" spans="2:12" x14ac:dyDescent="0.2">
      <c r="C92" s="795" t="s">
        <v>213</v>
      </c>
      <c r="D92" s="796"/>
      <c r="E92" s="112">
        <v>0.3</v>
      </c>
      <c r="F92" s="113">
        <f>G91</f>
        <v>0</v>
      </c>
      <c r="G92" s="113">
        <f>G91-F92</f>
        <v>0</v>
      </c>
      <c r="H92" s="114">
        <f>ROUND(E92*F92,0.1)</f>
        <v>0</v>
      </c>
      <c r="J92" s="16">
        <f>+J90-J91</f>
        <v>195500</v>
      </c>
    </row>
    <row r="93" spans="2:12" ht="12.75" customHeight="1" thickBot="1" x14ac:dyDescent="0.25">
      <c r="B93" s="116"/>
      <c r="C93" s="117"/>
      <c r="D93" s="47"/>
      <c r="E93" s="47"/>
      <c r="F93" s="47"/>
      <c r="J93" s="87"/>
      <c r="K93" s="118"/>
    </row>
    <row r="94" spans="2:12" ht="13.5" thickBot="1" x14ac:dyDescent="0.25">
      <c r="B94" s="799" t="s">
        <v>239</v>
      </c>
      <c r="C94" s="800"/>
      <c r="D94" s="800"/>
      <c r="E94" s="800"/>
      <c r="F94" s="801"/>
      <c r="G94" s="897">
        <f>H89+H90+H91+H92</f>
        <v>4880</v>
      </c>
      <c r="H94" s="898"/>
      <c r="J94" s="87"/>
      <c r="K94" s="87"/>
    </row>
    <row r="95" spans="2:12" ht="13.5" thickBot="1" x14ac:dyDescent="0.25">
      <c r="B95" s="119" t="s">
        <v>215</v>
      </c>
      <c r="C95" s="120"/>
      <c r="D95" s="120"/>
      <c r="E95" s="120"/>
      <c r="F95" s="120"/>
      <c r="G95" s="1050">
        <f>IF((G64&lt;500000),5000,0)</f>
        <v>0</v>
      </c>
      <c r="H95" s="1051">
        <f>IF(H93&lt;200000,0,IF(H93&lt;220000,((H93-200000)*10%),IF(H93&lt;=500000,2000,IF(H93&gt;=500000,0))))</f>
        <v>0</v>
      </c>
      <c r="J95" s="1"/>
      <c r="K95" s="121"/>
      <c r="L95" s="121"/>
    </row>
    <row r="96" spans="2:12" ht="13.5" thickBot="1" x14ac:dyDescent="0.25">
      <c r="B96" s="122" t="s">
        <v>216</v>
      </c>
      <c r="C96" s="123"/>
      <c r="D96" s="123"/>
      <c r="E96" s="123"/>
      <c r="F96" s="123"/>
      <c r="G96" s="897">
        <f>IF((G94-G95)&lt;0,0,(G94-G95))</f>
        <v>4880</v>
      </c>
      <c r="H96" s="898"/>
      <c r="I96" s="37"/>
    </row>
    <row r="97" spans="2:9" ht="13.5" thickBot="1" x14ac:dyDescent="0.25">
      <c r="B97" s="773" t="s">
        <v>240</v>
      </c>
      <c r="C97" s="774"/>
      <c r="D97" s="774"/>
      <c r="E97" s="774"/>
      <c r="F97" s="775"/>
      <c r="G97" s="899">
        <f>ROUND((IF(G96&gt;0,(G96*4%),0)),0)</f>
        <v>195</v>
      </c>
      <c r="H97" s="900"/>
      <c r="I97" s="37"/>
    </row>
    <row r="98" spans="2:9" ht="13.5" thickBot="1" x14ac:dyDescent="0.25">
      <c r="B98" s="778" t="s">
        <v>218</v>
      </c>
      <c r="C98" s="779"/>
      <c r="D98" s="779"/>
      <c r="E98" s="779"/>
      <c r="F98" s="779"/>
      <c r="G98" s="901">
        <f>G96+G97</f>
        <v>5075</v>
      </c>
      <c r="H98" s="902"/>
      <c r="I98" s="121"/>
    </row>
    <row r="99" spans="2:9" ht="13.5" thickBot="1" x14ac:dyDescent="0.25">
      <c r="B99" s="765" t="s">
        <v>219</v>
      </c>
      <c r="C99" s="766"/>
      <c r="D99" s="766"/>
      <c r="E99" s="766"/>
      <c r="F99" s="766"/>
      <c r="G99" s="893">
        <f>O38</f>
        <v>5080</v>
      </c>
      <c r="H99" s="894"/>
      <c r="I99" s="121"/>
    </row>
    <row r="100" spans="2:9" ht="13.5" thickBot="1" x14ac:dyDescent="0.25">
      <c r="B100" s="765" t="str">
        <f>IF(G100&gt;0,"TAX PAYABLE","TAX REFUND")</f>
        <v>TAX REFUND</v>
      </c>
      <c r="C100" s="766"/>
      <c r="D100" s="766"/>
      <c r="E100" s="766"/>
      <c r="F100" s="766"/>
      <c r="G100" s="893">
        <f>+G98-G99</f>
        <v>-5</v>
      </c>
      <c r="H100" s="894"/>
      <c r="I100" s="37"/>
    </row>
    <row r="101" spans="2:9" x14ac:dyDescent="0.2">
      <c r="C101" s="124"/>
      <c r="D101" s="45"/>
      <c r="E101" s="118"/>
      <c r="F101" s="118"/>
      <c r="G101" s="152"/>
      <c r="H101" s="152"/>
      <c r="I101" s="125"/>
    </row>
    <row r="102" spans="2:9" x14ac:dyDescent="0.2">
      <c r="C102" s="47"/>
      <c r="D102" s="50"/>
      <c r="E102" s="117"/>
      <c r="F102" s="47"/>
      <c r="G102" s="47"/>
      <c r="H102" s="47"/>
      <c r="I102" s="125"/>
    </row>
    <row r="103" spans="2:9" x14ac:dyDescent="0.2">
      <c r="C103" s="39"/>
      <c r="D103" s="126"/>
      <c r="E103" s="126"/>
      <c r="F103" s="126"/>
      <c r="G103" s="39"/>
      <c r="H103" s="39"/>
      <c r="I103" s="37"/>
    </row>
    <row r="104" spans="2:9" x14ac:dyDescent="0.2">
      <c r="C104" s="39"/>
      <c r="D104" s="126"/>
      <c r="E104" s="126"/>
      <c r="F104" s="39"/>
      <c r="G104" s="39"/>
      <c r="H104" s="39"/>
      <c r="I104" s="37"/>
    </row>
    <row r="105" spans="2:9" x14ac:dyDescent="0.2">
      <c r="C105" s="39"/>
      <c r="D105" s="126"/>
      <c r="E105" s="126"/>
      <c r="F105" s="39"/>
      <c r="G105" s="39"/>
      <c r="H105" s="39"/>
      <c r="I105" s="37"/>
    </row>
    <row r="106" spans="2:9" x14ac:dyDescent="0.2">
      <c r="C106" s="39"/>
      <c r="D106" s="39"/>
      <c r="E106" s="39"/>
      <c r="F106" s="39"/>
      <c r="G106" s="39"/>
      <c r="H106" s="39"/>
      <c r="I106" s="37"/>
    </row>
    <row r="107" spans="2:9" x14ac:dyDescent="0.2">
      <c r="C107" s="39"/>
      <c r="D107" s="39"/>
      <c r="E107" s="39"/>
      <c r="F107" s="39"/>
      <c r="G107" s="39"/>
      <c r="H107" s="39"/>
    </row>
    <row r="108" spans="2:9" x14ac:dyDescent="0.2">
      <c r="C108" s="39"/>
      <c r="D108" s="39"/>
      <c r="E108" s="39"/>
      <c r="F108" s="39"/>
      <c r="G108" s="39"/>
      <c r="H108" s="39"/>
    </row>
    <row r="112" spans="2:9" x14ac:dyDescent="0.2">
      <c r="C112" s="37"/>
    </row>
    <row r="113" spans="3:10" x14ac:dyDescent="0.2">
      <c r="C113" s="37"/>
    </row>
    <row r="114" spans="3:10" x14ac:dyDescent="0.2">
      <c r="C114" s="37"/>
    </row>
    <row r="115" spans="3:10" x14ac:dyDescent="0.2">
      <c r="C115" s="37"/>
      <c r="G115" s="39"/>
      <c r="H115" s="39"/>
      <c r="I115" s="39"/>
      <c r="J115" s="39"/>
    </row>
    <row r="116" spans="3:10" x14ac:dyDescent="0.2">
      <c r="C116" s="37"/>
      <c r="G116" s="39"/>
      <c r="H116" s="39"/>
      <c r="I116" s="39"/>
      <c r="J116" s="39"/>
    </row>
    <row r="117" spans="3:10" x14ac:dyDescent="0.2">
      <c r="C117" s="37"/>
    </row>
    <row r="118" spans="3:10" x14ac:dyDescent="0.2">
      <c r="C118" s="37"/>
    </row>
    <row r="119" spans="3:10" x14ac:dyDescent="0.2">
      <c r="C119" s="37"/>
    </row>
    <row r="120" spans="3:10" x14ac:dyDescent="0.2">
      <c r="C120" s="37"/>
    </row>
    <row r="121" spans="3:10" x14ac:dyDescent="0.2">
      <c r="C121" s="37"/>
    </row>
  </sheetData>
  <mergeCells count="92">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8:A48"/>
    <mergeCell ref="A5:C5"/>
    <mergeCell ref="D5:F5"/>
    <mergeCell ref="G5:H5"/>
    <mergeCell ref="I5:O5"/>
    <mergeCell ref="A6:C6"/>
    <mergeCell ref="D6:F6"/>
    <mergeCell ref="G6:H6"/>
    <mergeCell ref="J6:O6"/>
    <mergeCell ref="A8:B8"/>
    <mergeCell ref="A21:A33"/>
    <mergeCell ref="A34:B34"/>
    <mergeCell ref="A35:B35"/>
    <mergeCell ref="A36:B36"/>
    <mergeCell ref="A49:B49"/>
    <mergeCell ref="A50:B50"/>
    <mergeCell ref="B53:F53"/>
    <mergeCell ref="G53:H53"/>
    <mergeCell ref="B55:B57"/>
    <mergeCell ref="C55:C57"/>
    <mergeCell ref="D55:F55"/>
    <mergeCell ref="G55:H55"/>
    <mergeCell ref="D56:F56"/>
    <mergeCell ref="G56:H56"/>
    <mergeCell ref="B64:F64"/>
    <mergeCell ref="G64:H64"/>
    <mergeCell ref="J56:L56"/>
    <mergeCell ref="M56:O56"/>
    <mergeCell ref="D57:F57"/>
    <mergeCell ref="G57:H57"/>
    <mergeCell ref="B59:F59"/>
    <mergeCell ref="G59:H59"/>
    <mergeCell ref="J59:O59"/>
    <mergeCell ref="B61:F61"/>
    <mergeCell ref="G61:H61"/>
    <mergeCell ref="C62:F62"/>
    <mergeCell ref="G62:H62"/>
    <mergeCell ref="J62:O62"/>
    <mergeCell ref="D81:F81"/>
    <mergeCell ref="J67:K67"/>
    <mergeCell ref="B68:B83"/>
    <mergeCell ref="C68:C75"/>
    <mergeCell ref="D68:F68"/>
    <mergeCell ref="D69:F69"/>
    <mergeCell ref="D70:F70"/>
    <mergeCell ref="D71:F71"/>
    <mergeCell ref="D72:F72"/>
    <mergeCell ref="D73:F73"/>
    <mergeCell ref="D75:F75"/>
    <mergeCell ref="D76:F76"/>
    <mergeCell ref="D77:F77"/>
    <mergeCell ref="E78:F78"/>
    <mergeCell ref="D79:F79"/>
    <mergeCell ref="D80:F80"/>
    <mergeCell ref="G94:H94"/>
    <mergeCell ref="D82:F82"/>
    <mergeCell ref="D83:F83"/>
    <mergeCell ref="B84:F84"/>
    <mergeCell ref="B86:F86"/>
    <mergeCell ref="G86:H86"/>
    <mergeCell ref="C88:D88"/>
    <mergeCell ref="C89:D89"/>
    <mergeCell ref="C90:D90"/>
    <mergeCell ref="C91:D91"/>
    <mergeCell ref="C92:D92"/>
    <mergeCell ref="B94:F94"/>
    <mergeCell ref="B99:F99"/>
    <mergeCell ref="G99:H99"/>
    <mergeCell ref="B100:F100"/>
    <mergeCell ref="G100:H100"/>
    <mergeCell ref="G95:H95"/>
    <mergeCell ref="G96:H96"/>
    <mergeCell ref="B97:F97"/>
    <mergeCell ref="G97:H97"/>
    <mergeCell ref="B98:F98"/>
    <mergeCell ref="G98:H98"/>
  </mergeCells>
  <conditionalFormatting sqref="B91:F91 B100:F100 B94:F98">
    <cfRule type="cellIs" dxfId="2015" priority="3" stopIfTrue="1" operator="equal">
      <formula>"TAX PAYABLE"</formula>
    </cfRule>
    <cfRule type="cellIs" dxfId="2014" priority="4" stopIfTrue="1" operator="equal">
      <formula>"TAX REFUND"</formula>
    </cfRule>
  </conditionalFormatting>
  <conditionalFormatting sqref="G91:H91">
    <cfRule type="cellIs" dxfId="2013" priority="5" stopIfTrue="1" operator="lessThan">
      <formula>0</formula>
    </cfRule>
    <cfRule type="cellIs" dxfId="2012" priority="6" stopIfTrue="1" operator="greaterThan">
      <formula>0</formula>
    </cfRule>
  </conditionalFormatting>
  <conditionalFormatting sqref="G100:H100">
    <cfRule type="cellIs" dxfId="2011" priority="1" stopIfTrue="1" operator="greaterThan">
      <formula>0</formula>
    </cfRule>
    <cfRule type="cellIs" dxfId="2010" priority="2" stopIfTrue="1" operator="lessThanOrEqual">
      <formula>0</formula>
    </cfRule>
  </conditionalFormatting>
  <dataValidations disablePrompts="1"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24"/>
  <sheetViews>
    <sheetView topLeftCell="A49" workbookViewId="0">
      <selection activeCell="D6" sqref="D6:F6"/>
    </sheetView>
  </sheetViews>
  <sheetFormatPr defaultRowHeight="12.75" x14ac:dyDescent="0.2"/>
  <cols>
    <col min="1" max="1" width="5" style="16" customWidth="1"/>
    <col min="2" max="2" width="20" style="37" customWidth="1"/>
    <col min="3" max="3" width="8.42578125" style="16" customWidth="1"/>
    <col min="4" max="4" width="7.5703125" style="16" customWidth="1"/>
    <col min="5" max="5" width="7.28515625" style="16" customWidth="1"/>
    <col min="6" max="6" width="8.5703125" style="16" customWidth="1"/>
    <col min="7" max="8" width="9" style="16" customWidth="1"/>
    <col min="9" max="15" width="8.710937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20" style="16" customWidth="1"/>
    <col min="259" max="259" width="8.42578125" style="16" customWidth="1"/>
    <col min="260" max="260" width="7.5703125" style="16" customWidth="1"/>
    <col min="261" max="261" width="7.28515625" style="16" customWidth="1"/>
    <col min="262" max="262" width="8.5703125" style="16" customWidth="1"/>
    <col min="263" max="264" width="9" style="16" customWidth="1"/>
    <col min="265" max="271" width="8.710937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20" style="16" customWidth="1"/>
    <col min="515" max="515" width="8.42578125" style="16" customWidth="1"/>
    <col min="516" max="516" width="7.5703125" style="16" customWidth="1"/>
    <col min="517" max="517" width="7.28515625" style="16" customWidth="1"/>
    <col min="518" max="518" width="8.5703125" style="16" customWidth="1"/>
    <col min="519" max="520" width="9" style="16" customWidth="1"/>
    <col min="521" max="527" width="8.710937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20" style="16" customWidth="1"/>
    <col min="771" max="771" width="8.42578125" style="16" customWidth="1"/>
    <col min="772" max="772" width="7.5703125" style="16" customWidth="1"/>
    <col min="773" max="773" width="7.28515625" style="16" customWidth="1"/>
    <col min="774" max="774" width="8.5703125" style="16" customWidth="1"/>
    <col min="775" max="776" width="9" style="16" customWidth="1"/>
    <col min="777" max="783" width="8.710937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20" style="16" customWidth="1"/>
    <col min="1027" max="1027" width="8.42578125" style="16" customWidth="1"/>
    <col min="1028" max="1028" width="7.5703125" style="16" customWidth="1"/>
    <col min="1029" max="1029" width="7.28515625" style="16" customWidth="1"/>
    <col min="1030" max="1030" width="8.5703125" style="16" customWidth="1"/>
    <col min="1031" max="1032" width="9" style="16" customWidth="1"/>
    <col min="1033" max="1039" width="8.710937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20" style="16" customWidth="1"/>
    <col min="1283" max="1283" width="8.42578125" style="16" customWidth="1"/>
    <col min="1284" max="1284" width="7.5703125" style="16" customWidth="1"/>
    <col min="1285" max="1285" width="7.28515625" style="16" customWidth="1"/>
    <col min="1286" max="1286" width="8.5703125" style="16" customWidth="1"/>
    <col min="1287" max="1288" width="9" style="16" customWidth="1"/>
    <col min="1289" max="1295" width="8.710937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20" style="16" customWidth="1"/>
    <col min="1539" max="1539" width="8.42578125" style="16" customWidth="1"/>
    <col min="1540" max="1540" width="7.5703125" style="16" customWidth="1"/>
    <col min="1541" max="1541" width="7.28515625" style="16" customWidth="1"/>
    <col min="1542" max="1542" width="8.5703125" style="16" customWidth="1"/>
    <col min="1543" max="1544" width="9" style="16" customWidth="1"/>
    <col min="1545" max="1551" width="8.710937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20" style="16" customWidth="1"/>
    <col min="1795" max="1795" width="8.42578125" style="16" customWidth="1"/>
    <col min="1796" max="1796" width="7.5703125" style="16" customWidth="1"/>
    <col min="1797" max="1797" width="7.28515625" style="16" customWidth="1"/>
    <col min="1798" max="1798" width="8.5703125" style="16" customWidth="1"/>
    <col min="1799" max="1800" width="9" style="16" customWidth="1"/>
    <col min="1801" max="1807" width="8.710937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20" style="16" customWidth="1"/>
    <col min="2051" max="2051" width="8.42578125" style="16" customWidth="1"/>
    <col min="2052" max="2052" width="7.5703125" style="16" customWidth="1"/>
    <col min="2053" max="2053" width="7.28515625" style="16" customWidth="1"/>
    <col min="2054" max="2054" width="8.5703125" style="16" customWidth="1"/>
    <col min="2055" max="2056" width="9" style="16" customWidth="1"/>
    <col min="2057" max="2063" width="8.710937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20" style="16" customWidth="1"/>
    <col min="2307" max="2307" width="8.42578125" style="16" customWidth="1"/>
    <col min="2308" max="2308" width="7.5703125" style="16" customWidth="1"/>
    <col min="2309" max="2309" width="7.28515625" style="16" customWidth="1"/>
    <col min="2310" max="2310" width="8.5703125" style="16" customWidth="1"/>
    <col min="2311" max="2312" width="9" style="16" customWidth="1"/>
    <col min="2313" max="2319" width="8.710937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20" style="16" customWidth="1"/>
    <col min="2563" max="2563" width="8.42578125" style="16" customWidth="1"/>
    <col min="2564" max="2564" width="7.5703125" style="16" customWidth="1"/>
    <col min="2565" max="2565" width="7.28515625" style="16" customWidth="1"/>
    <col min="2566" max="2566" width="8.5703125" style="16" customWidth="1"/>
    <col min="2567" max="2568" width="9" style="16" customWidth="1"/>
    <col min="2569" max="2575" width="8.710937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20" style="16" customWidth="1"/>
    <col min="2819" max="2819" width="8.42578125" style="16" customWidth="1"/>
    <col min="2820" max="2820" width="7.5703125" style="16" customWidth="1"/>
    <col min="2821" max="2821" width="7.28515625" style="16" customWidth="1"/>
    <col min="2822" max="2822" width="8.5703125" style="16" customWidth="1"/>
    <col min="2823" max="2824" width="9" style="16" customWidth="1"/>
    <col min="2825" max="2831" width="8.710937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20" style="16" customWidth="1"/>
    <col min="3075" max="3075" width="8.42578125" style="16" customWidth="1"/>
    <col min="3076" max="3076" width="7.5703125" style="16" customWidth="1"/>
    <col min="3077" max="3077" width="7.28515625" style="16" customWidth="1"/>
    <col min="3078" max="3078" width="8.5703125" style="16" customWidth="1"/>
    <col min="3079" max="3080" width="9" style="16" customWidth="1"/>
    <col min="3081" max="3087" width="8.710937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20" style="16" customWidth="1"/>
    <col min="3331" max="3331" width="8.42578125" style="16" customWidth="1"/>
    <col min="3332" max="3332" width="7.5703125" style="16" customWidth="1"/>
    <col min="3333" max="3333" width="7.28515625" style="16" customWidth="1"/>
    <col min="3334" max="3334" width="8.5703125" style="16" customWidth="1"/>
    <col min="3335" max="3336" width="9" style="16" customWidth="1"/>
    <col min="3337" max="3343" width="8.710937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20" style="16" customWidth="1"/>
    <col min="3587" max="3587" width="8.42578125" style="16" customWidth="1"/>
    <col min="3588" max="3588" width="7.5703125" style="16" customWidth="1"/>
    <col min="3589" max="3589" width="7.28515625" style="16" customWidth="1"/>
    <col min="3590" max="3590" width="8.5703125" style="16" customWidth="1"/>
    <col min="3591" max="3592" width="9" style="16" customWidth="1"/>
    <col min="3593" max="3599" width="8.710937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20" style="16" customWidth="1"/>
    <col min="3843" max="3843" width="8.42578125" style="16" customWidth="1"/>
    <col min="3844" max="3844" width="7.5703125" style="16" customWidth="1"/>
    <col min="3845" max="3845" width="7.28515625" style="16" customWidth="1"/>
    <col min="3846" max="3846" width="8.5703125" style="16" customWidth="1"/>
    <col min="3847" max="3848" width="9" style="16" customWidth="1"/>
    <col min="3849" max="3855" width="8.710937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20" style="16" customWidth="1"/>
    <col min="4099" max="4099" width="8.42578125" style="16" customWidth="1"/>
    <col min="4100" max="4100" width="7.5703125" style="16" customWidth="1"/>
    <col min="4101" max="4101" width="7.28515625" style="16" customWidth="1"/>
    <col min="4102" max="4102" width="8.5703125" style="16" customWidth="1"/>
    <col min="4103" max="4104" width="9" style="16" customWidth="1"/>
    <col min="4105" max="4111" width="8.710937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20" style="16" customWidth="1"/>
    <col min="4355" max="4355" width="8.42578125" style="16" customWidth="1"/>
    <col min="4356" max="4356" width="7.5703125" style="16" customWidth="1"/>
    <col min="4357" max="4357" width="7.28515625" style="16" customWidth="1"/>
    <col min="4358" max="4358" width="8.5703125" style="16" customWidth="1"/>
    <col min="4359" max="4360" width="9" style="16" customWidth="1"/>
    <col min="4361" max="4367" width="8.710937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20" style="16" customWidth="1"/>
    <col min="4611" max="4611" width="8.42578125" style="16" customWidth="1"/>
    <col min="4612" max="4612" width="7.5703125" style="16" customWidth="1"/>
    <col min="4613" max="4613" width="7.28515625" style="16" customWidth="1"/>
    <col min="4614" max="4614" width="8.5703125" style="16" customWidth="1"/>
    <col min="4615" max="4616" width="9" style="16" customWidth="1"/>
    <col min="4617" max="4623" width="8.710937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20" style="16" customWidth="1"/>
    <col min="4867" max="4867" width="8.42578125" style="16" customWidth="1"/>
    <col min="4868" max="4868" width="7.5703125" style="16" customWidth="1"/>
    <col min="4869" max="4869" width="7.28515625" style="16" customWidth="1"/>
    <col min="4870" max="4870" width="8.5703125" style="16" customWidth="1"/>
    <col min="4871" max="4872" width="9" style="16" customWidth="1"/>
    <col min="4873" max="4879" width="8.710937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20" style="16" customWidth="1"/>
    <col min="5123" max="5123" width="8.42578125" style="16" customWidth="1"/>
    <col min="5124" max="5124" width="7.5703125" style="16" customWidth="1"/>
    <col min="5125" max="5125" width="7.28515625" style="16" customWidth="1"/>
    <col min="5126" max="5126" width="8.5703125" style="16" customWidth="1"/>
    <col min="5127" max="5128" width="9" style="16" customWidth="1"/>
    <col min="5129" max="5135" width="8.710937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20" style="16" customWidth="1"/>
    <col min="5379" max="5379" width="8.42578125" style="16" customWidth="1"/>
    <col min="5380" max="5380" width="7.5703125" style="16" customWidth="1"/>
    <col min="5381" max="5381" width="7.28515625" style="16" customWidth="1"/>
    <col min="5382" max="5382" width="8.5703125" style="16" customWidth="1"/>
    <col min="5383" max="5384" width="9" style="16" customWidth="1"/>
    <col min="5385" max="5391" width="8.710937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20" style="16" customWidth="1"/>
    <col min="5635" max="5635" width="8.42578125" style="16" customWidth="1"/>
    <col min="5636" max="5636" width="7.5703125" style="16" customWidth="1"/>
    <col min="5637" max="5637" width="7.28515625" style="16" customWidth="1"/>
    <col min="5638" max="5638" width="8.5703125" style="16" customWidth="1"/>
    <col min="5639" max="5640" width="9" style="16" customWidth="1"/>
    <col min="5641" max="5647" width="8.710937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20" style="16" customWidth="1"/>
    <col min="5891" max="5891" width="8.42578125" style="16" customWidth="1"/>
    <col min="5892" max="5892" width="7.5703125" style="16" customWidth="1"/>
    <col min="5893" max="5893" width="7.28515625" style="16" customWidth="1"/>
    <col min="5894" max="5894" width="8.5703125" style="16" customWidth="1"/>
    <col min="5895" max="5896" width="9" style="16" customWidth="1"/>
    <col min="5897" max="5903" width="8.710937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20" style="16" customWidth="1"/>
    <col min="6147" max="6147" width="8.42578125" style="16" customWidth="1"/>
    <col min="6148" max="6148" width="7.5703125" style="16" customWidth="1"/>
    <col min="6149" max="6149" width="7.28515625" style="16" customWidth="1"/>
    <col min="6150" max="6150" width="8.5703125" style="16" customWidth="1"/>
    <col min="6151" max="6152" width="9" style="16" customWidth="1"/>
    <col min="6153" max="6159" width="8.710937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20" style="16" customWidth="1"/>
    <col min="6403" max="6403" width="8.42578125" style="16" customWidth="1"/>
    <col min="6404" max="6404" width="7.5703125" style="16" customWidth="1"/>
    <col min="6405" max="6405" width="7.28515625" style="16" customWidth="1"/>
    <col min="6406" max="6406" width="8.5703125" style="16" customWidth="1"/>
    <col min="6407" max="6408" width="9" style="16" customWidth="1"/>
    <col min="6409" max="6415" width="8.710937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20" style="16" customWidth="1"/>
    <col min="6659" max="6659" width="8.42578125" style="16" customWidth="1"/>
    <col min="6660" max="6660" width="7.5703125" style="16" customWidth="1"/>
    <col min="6661" max="6661" width="7.28515625" style="16" customWidth="1"/>
    <col min="6662" max="6662" width="8.5703125" style="16" customWidth="1"/>
    <col min="6663" max="6664" width="9" style="16" customWidth="1"/>
    <col min="6665" max="6671" width="8.710937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20" style="16" customWidth="1"/>
    <col min="6915" max="6915" width="8.42578125" style="16" customWidth="1"/>
    <col min="6916" max="6916" width="7.5703125" style="16" customWidth="1"/>
    <col min="6917" max="6917" width="7.28515625" style="16" customWidth="1"/>
    <col min="6918" max="6918" width="8.5703125" style="16" customWidth="1"/>
    <col min="6919" max="6920" width="9" style="16" customWidth="1"/>
    <col min="6921" max="6927" width="8.710937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20" style="16" customWidth="1"/>
    <col min="7171" max="7171" width="8.42578125" style="16" customWidth="1"/>
    <col min="7172" max="7172" width="7.5703125" style="16" customWidth="1"/>
    <col min="7173" max="7173" width="7.28515625" style="16" customWidth="1"/>
    <col min="7174" max="7174" width="8.5703125" style="16" customWidth="1"/>
    <col min="7175" max="7176" width="9" style="16" customWidth="1"/>
    <col min="7177" max="7183" width="8.710937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20" style="16" customWidth="1"/>
    <col min="7427" max="7427" width="8.42578125" style="16" customWidth="1"/>
    <col min="7428" max="7428" width="7.5703125" style="16" customWidth="1"/>
    <col min="7429" max="7429" width="7.28515625" style="16" customWidth="1"/>
    <col min="7430" max="7430" width="8.5703125" style="16" customWidth="1"/>
    <col min="7431" max="7432" width="9" style="16" customWidth="1"/>
    <col min="7433" max="7439" width="8.710937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20" style="16" customWidth="1"/>
    <col min="7683" max="7683" width="8.42578125" style="16" customWidth="1"/>
    <col min="7684" max="7684" width="7.5703125" style="16" customWidth="1"/>
    <col min="7685" max="7685" width="7.28515625" style="16" customWidth="1"/>
    <col min="7686" max="7686" width="8.5703125" style="16" customWidth="1"/>
    <col min="7687" max="7688" width="9" style="16" customWidth="1"/>
    <col min="7689" max="7695" width="8.710937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20" style="16" customWidth="1"/>
    <col min="7939" max="7939" width="8.42578125" style="16" customWidth="1"/>
    <col min="7940" max="7940" width="7.5703125" style="16" customWidth="1"/>
    <col min="7941" max="7941" width="7.28515625" style="16" customWidth="1"/>
    <col min="7942" max="7942" width="8.5703125" style="16" customWidth="1"/>
    <col min="7943" max="7944" width="9" style="16" customWidth="1"/>
    <col min="7945" max="7951" width="8.710937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20" style="16" customWidth="1"/>
    <col min="8195" max="8195" width="8.42578125" style="16" customWidth="1"/>
    <col min="8196" max="8196" width="7.5703125" style="16" customWidth="1"/>
    <col min="8197" max="8197" width="7.28515625" style="16" customWidth="1"/>
    <col min="8198" max="8198" width="8.5703125" style="16" customWidth="1"/>
    <col min="8199" max="8200" width="9" style="16" customWidth="1"/>
    <col min="8201" max="8207" width="8.710937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20" style="16" customWidth="1"/>
    <col min="8451" max="8451" width="8.42578125" style="16" customWidth="1"/>
    <col min="8452" max="8452" width="7.5703125" style="16" customWidth="1"/>
    <col min="8453" max="8453" width="7.28515625" style="16" customWidth="1"/>
    <col min="8454" max="8454" width="8.5703125" style="16" customWidth="1"/>
    <col min="8455" max="8456" width="9" style="16" customWidth="1"/>
    <col min="8457" max="8463" width="8.710937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20" style="16" customWidth="1"/>
    <col min="8707" max="8707" width="8.42578125" style="16" customWidth="1"/>
    <col min="8708" max="8708" width="7.5703125" style="16" customWidth="1"/>
    <col min="8709" max="8709" width="7.28515625" style="16" customWidth="1"/>
    <col min="8710" max="8710" width="8.5703125" style="16" customWidth="1"/>
    <col min="8711" max="8712" width="9" style="16" customWidth="1"/>
    <col min="8713" max="8719" width="8.710937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20" style="16" customWidth="1"/>
    <col min="8963" max="8963" width="8.42578125" style="16" customWidth="1"/>
    <col min="8964" max="8964" width="7.5703125" style="16" customWidth="1"/>
    <col min="8965" max="8965" width="7.28515625" style="16" customWidth="1"/>
    <col min="8966" max="8966" width="8.5703125" style="16" customWidth="1"/>
    <col min="8967" max="8968" width="9" style="16" customWidth="1"/>
    <col min="8969" max="8975" width="8.710937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20" style="16" customWidth="1"/>
    <col min="9219" max="9219" width="8.42578125" style="16" customWidth="1"/>
    <col min="9220" max="9220" width="7.5703125" style="16" customWidth="1"/>
    <col min="9221" max="9221" width="7.28515625" style="16" customWidth="1"/>
    <col min="9222" max="9222" width="8.5703125" style="16" customWidth="1"/>
    <col min="9223" max="9224" width="9" style="16" customWidth="1"/>
    <col min="9225" max="9231" width="8.710937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20" style="16" customWidth="1"/>
    <col min="9475" max="9475" width="8.42578125" style="16" customWidth="1"/>
    <col min="9476" max="9476" width="7.5703125" style="16" customWidth="1"/>
    <col min="9477" max="9477" width="7.28515625" style="16" customWidth="1"/>
    <col min="9478" max="9478" width="8.5703125" style="16" customWidth="1"/>
    <col min="9479" max="9480" width="9" style="16" customWidth="1"/>
    <col min="9481" max="9487" width="8.710937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20" style="16" customWidth="1"/>
    <col min="9731" max="9731" width="8.42578125" style="16" customWidth="1"/>
    <col min="9732" max="9732" width="7.5703125" style="16" customWidth="1"/>
    <col min="9733" max="9733" width="7.28515625" style="16" customWidth="1"/>
    <col min="9734" max="9734" width="8.5703125" style="16" customWidth="1"/>
    <col min="9735" max="9736" width="9" style="16" customWidth="1"/>
    <col min="9737" max="9743" width="8.710937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20" style="16" customWidth="1"/>
    <col min="9987" max="9987" width="8.42578125" style="16" customWidth="1"/>
    <col min="9988" max="9988" width="7.5703125" style="16" customWidth="1"/>
    <col min="9989" max="9989" width="7.28515625" style="16" customWidth="1"/>
    <col min="9990" max="9990" width="8.5703125" style="16" customWidth="1"/>
    <col min="9991" max="9992" width="9" style="16" customWidth="1"/>
    <col min="9993" max="9999" width="8.710937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20" style="16" customWidth="1"/>
    <col min="10243" max="10243" width="8.42578125" style="16" customWidth="1"/>
    <col min="10244" max="10244" width="7.5703125" style="16" customWidth="1"/>
    <col min="10245" max="10245" width="7.28515625" style="16" customWidth="1"/>
    <col min="10246" max="10246" width="8.5703125" style="16" customWidth="1"/>
    <col min="10247" max="10248" width="9" style="16" customWidth="1"/>
    <col min="10249" max="10255" width="8.710937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20" style="16" customWidth="1"/>
    <col min="10499" max="10499" width="8.42578125" style="16" customWidth="1"/>
    <col min="10500" max="10500" width="7.5703125" style="16" customWidth="1"/>
    <col min="10501" max="10501" width="7.28515625" style="16" customWidth="1"/>
    <col min="10502" max="10502" width="8.5703125" style="16" customWidth="1"/>
    <col min="10503" max="10504" width="9" style="16" customWidth="1"/>
    <col min="10505" max="10511" width="8.710937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20" style="16" customWidth="1"/>
    <col min="10755" max="10755" width="8.42578125" style="16" customWidth="1"/>
    <col min="10756" max="10756" width="7.5703125" style="16" customWidth="1"/>
    <col min="10757" max="10757" width="7.28515625" style="16" customWidth="1"/>
    <col min="10758" max="10758" width="8.5703125" style="16" customWidth="1"/>
    <col min="10759" max="10760" width="9" style="16" customWidth="1"/>
    <col min="10761" max="10767" width="8.710937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20" style="16" customWidth="1"/>
    <col min="11011" max="11011" width="8.42578125" style="16" customWidth="1"/>
    <col min="11012" max="11012" width="7.5703125" style="16" customWidth="1"/>
    <col min="11013" max="11013" width="7.28515625" style="16" customWidth="1"/>
    <col min="11014" max="11014" width="8.5703125" style="16" customWidth="1"/>
    <col min="11015" max="11016" width="9" style="16" customWidth="1"/>
    <col min="11017" max="11023" width="8.710937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20" style="16" customWidth="1"/>
    <col min="11267" max="11267" width="8.42578125" style="16" customWidth="1"/>
    <col min="11268" max="11268" width="7.5703125" style="16" customWidth="1"/>
    <col min="11269" max="11269" width="7.28515625" style="16" customWidth="1"/>
    <col min="11270" max="11270" width="8.5703125" style="16" customWidth="1"/>
    <col min="11271" max="11272" width="9" style="16" customWidth="1"/>
    <col min="11273" max="11279" width="8.710937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20" style="16" customWidth="1"/>
    <col min="11523" max="11523" width="8.42578125" style="16" customWidth="1"/>
    <col min="11524" max="11524" width="7.5703125" style="16" customWidth="1"/>
    <col min="11525" max="11525" width="7.28515625" style="16" customWidth="1"/>
    <col min="11526" max="11526" width="8.5703125" style="16" customWidth="1"/>
    <col min="11527" max="11528" width="9" style="16" customWidth="1"/>
    <col min="11529" max="11535" width="8.710937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20" style="16" customWidth="1"/>
    <col min="11779" max="11779" width="8.42578125" style="16" customWidth="1"/>
    <col min="11780" max="11780" width="7.5703125" style="16" customWidth="1"/>
    <col min="11781" max="11781" width="7.28515625" style="16" customWidth="1"/>
    <col min="11782" max="11782" width="8.5703125" style="16" customWidth="1"/>
    <col min="11783" max="11784" width="9" style="16" customWidth="1"/>
    <col min="11785" max="11791" width="8.710937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20" style="16" customWidth="1"/>
    <col min="12035" max="12035" width="8.42578125" style="16" customWidth="1"/>
    <col min="12036" max="12036" width="7.5703125" style="16" customWidth="1"/>
    <col min="12037" max="12037" width="7.28515625" style="16" customWidth="1"/>
    <col min="12038" max="12038" width="8.5703125" style="16" customWidth="1"/>
    <col min="12039" max="12040" width="9" style="16" customWidth="1"/>
    <col min="12041" max="12047" width="8.710937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20" style="16" customWidth="1"/>
    <col min="12291" max="12291" width="8.42578125" style="16" customWidth="1"/>
    <col min="12292" max="12292" width="7.5703125" style="16" customWidth="1"/>
    <col min="12293" max="12293" width="7.28515625" style="16" customWidth="1"/>
    <col min="12294" max="12294" width="8.5703125" style="16" customWidth="1"/>
    <col min="12295" max="12296" width="9" style="16" customWidth="1"/>
    <col min="12297" max="12303" width="8.710937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20" style="16" customWidth="1"/>
    <col min="12547" max="12547" width="8.42578125" style="16" customWidth="1"/>
    <col min="12548" max="12548" width="7.5703125" style="16" customWidth="1"/>
    <col min="12549" max="12549" width="7.28515625" style="16" customWidth="1"/>
    <col min="12550" max="12550" width="8.5703125" style="16" customWidth="1"/>
    <col min="12551" max="12552" width="9" style="16" customWidth="1"/>
    <col min="12553" max="12559" width="8.710937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20" style="16" customWidth="1"/>
    <col min="12803" max="12803" width="8.42578125" style="16" customWidth="1"/>
    <col min="12804" max="12804" width="7.5703125" style="16" customWidth="1"/>
    <col min="12805" max="12805" width="7.28515625" style="16" customWidth="1"/>
    <col min="12806" max="12806" width="8.5703125" style="16" customWidth="1"/>
    <col min="12807" max="12808" width="9" style="16" customWidth="1"/>
    <col min="12809" max="12815" width="8.710937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20" style="16" customWidth="1"/>
    <col min="13059" max="13059" width="8.42578125" style="16" customWidth="1"/>
    <col min="13060" max="13060" width="7.5703125" style="16" customWidth="1"/>
    <col min="13061" max="13061" width="7.28515625" style="16" customWidth="1"/>
    <col min="13062" max="13062" width="8.5703125" style="16" customWidth="1"/>
    <col min="13063" max="13064" width="9" style="16" customWidth="1"/>
    <col min="13065" max="13071" width="8.710937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20" style="16" customWidth="1"/>
    <col min="13315" max="13315" width="8.42578125" style="16" customWidth="1"/>
    <col min="13316" max="13316" width="7.5703125" style="16" customWidth="1"/>
    <col min="13317" max="13317" width="7.28515625" style="16" customWidth="1"/>
    <col min="13318" max="13318" width="8.5703125" style="16" customWidth="1"/>
    <col min="13319" max="13320" width="9" style="16" customWidth="1"/>
    <col min="13321" max="13327" width="8.710937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20" style="16" customWidth="1"/>
    <col min="13571" max="13571" width="8.42578125" style="16" customWidth="1"/>
    <col min="13572" max="13572" width="7.5703125" style="16" customWidth="1"/>
    <col min="13573" max="13573" width="7.28515625" style="16" customWidth="1"/>
    <col min="13574" max="13574" width="8.5703125" style="16" customWidth="1"/>
    <col min="13575" max="13576" width="9" style="16" customWidth="1"/>
    <col min="13577" max="13583" width="8.710937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20" style="16" customWidth="1"/>
    <col min="13827" max="13827" width="8.42578125" style="16" customWidth="1"/>
    <col min="13828" max="13828" width="7.5703125" style="16" customWidth="1"/>
    <col min="13829" max="13829" width="7.28515625" style="16" customWidth="1"/>
    <col min="13830" max="13830" width="8.5703125" style="16" customWidth="1"/>
    <col min="13831" max="13832" width="9" style="16" customWidth="1"/>
    <col min="13833" max="13839" width="8.710937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20" style="16" customWidth="1"/>
    <col min="14083" max="14083" width="8.42578125" style="16" customWidth="1"/>
    <col min="14084" max="14084" width="7.5703125" style="16" customWidth="1"/>
    <col min="14085" max="14085" width="7.28515625" style="16" customWidth="1"/>
    <col min="14086" max="14086" width="8.5703125" style="16" customWidth="1"/>
    <col min="14087" max="14088" width="9" style="16" customWidth="1"/>
    <col min="14089" max="14095" width="8.710937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20" style="16" customWidth="1"/>
    <col min="14339" max="14339" width="8.42578125" style="16" customWidth="1"/>
    <col min="14340" max="14340" width="7.5703125" style="16" customWidth="1"/>
    <col min="14341" max="14341" width="7.28515625" style="16" customWidth="1"/>
    <col min="14342" max="14342" width="8.5703125" style="16" customWidth="1"/>
    <col min="14343" max="14344" width="9" style="16" customWidth="1"/>
    <col min="14345" max="14351" width="8.710937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20" style="16" customWidth="1"/>
    <col min="14595" max="14595" width="8.42578125" style="16" customWidth="1"/>
    <col min="14596" max="14596" width="7.5703125" style="16" customWidth="1"/>
    <col min="14597" max="14597" width="7.28515625" style="16" customWidth="1"/>
    <col min="14598" max="14598" width="8.5703125" style="16" customWidth="1"/>
    <col min="14599" max="14600" width="9" style="16" customWidth="1"/>
    <col min="14601" max="14607" width="8.710937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20" style="16" customWidth="1"/>
    <col min="14851" max="14851" width="8.42578125" style="16" customWidth="1"/>
    <col min="14852" max="14852" width="7.5703125" style="16" customWidth="1"/>
    <col min="14853" max="14853" width="7.28515625" style="16" customWidth="1"/>
    <col min="14854" max="14854" width="8.5703125" style="16" customWidth="1"/>
    <col min="14855" max="14856" width="9" style="16" customWidth="1"/>
    <col min="14857" max="14863" width="8.710937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20" style="16" customWidth="1"/>
    <col min="15107" max="15107" width="8.42578125" style="16" customWidth="1"/>
    <col min="15108" max="15108" width="7.5703125" style="16" customWidth="1"/>
    <col min="15109" max="15109" width="7.28515625" style="16" customWidth="1"/>
    <col min="15110" max="15110" width="8.5703125" style="16" customWidth="1"/>
    <col min="15111" max="15112" width="9" style="16" customWidth="1"/>
    <col min="15113" max="15119" width="8.710937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20" style="16" customWidth="1"/>
    <col min="15363" max="15363" width="8.42578125" style="16" customWidth="1"/>
    <col min="15364" max="15364" width="7.5703125" style="16" customWidth="1"/>
    <col min="15365" max="15365" width="7.28515625" style="16" customWidth="1"/>
    <col min="15366" max="15366" width="8.5703125" style="16" customWidth="1"/>
    <col min="15367" max="15368" width="9" style="16" customWidth="1"/>
    <col min="15369" max="15375" width="8.710937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20" style="16" customWidth="1"/>
    <col min="15619" max="15619" width="8.42578125" style="16" customWidth="1"/>
    <col min="15620" max="15620" width="7.5703125" style="16" customWidth="1"/>
    <col min="15621" max="15621" width="7.28515625" style="16" customWidth="1"/>
    <col min="15622" max="15622" width="8.5703125" style="16" customWidth="1"/>
    <col min="15623" max="15624" width="9" style="16" customWidth="1"/>
    <col min="15625" max="15631" width="8.710937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20" style="16" customWidth="1"/>
    <col min="15875" max="15875" width="8.42578125" style="16" customWidth="1"/>
    <col min="15876" max="15876" width="7.5703125" style="16" customWidth="1"/>
    <col min="15877" max="15877" width="7.28515625" style="16" customWidth="1"/>
    <col min="15878" max="15878" width="8.5703125" style="16" customWidth="1"/>
    <col min="15879" max="15880" width="9" style="16" customWidth="1"/>
    <col min="15881" max="15887" width="8.710937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20" style="16" customWidth="1"/>
    <col min="16131" max="16131" width="8.42578125" style="16" customWidth="1"/>
    <col min="16132" max="16132" width="7.5703125" style="16" customWidth="1"/>
    <col min="16133" max="16133" width="7.28515625" style="16" customWidth="1"/>
    <col min="16134" max="16134" width="8.5703125" style="16" customWidth="1"/>
    <col min="16135" max="16136" width="9" style="16" customWidth="1"/>
    <col min="16137" max="16143" width="8.710937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67" t="s">
        <v>100</v>
      </c>
      <c r="B1" s="868"/>
      <c r="C1" s="868"/>
      <c r="D1" s="911" t="s">
        <v>298</v>
      </c>
      <c r="E1" s="868"/>
      <c r="F1" s="868"/>
      <c r="G1" s="867" t="s">
        <v>102</v>
      </c>
      <c r="H1" s="869"/>
      <c r="I1" s="869" t="s">
        <v>75</v>
      </c>
      <c r="J1" s="868"/>
      <c r="K1" s="868"/>
      <c r="L1" s="870"/>
      <c r="M1" s="870"/>
      <c r="N1" s="870"/>
      <c r="O1" s="870"/>
    </row>
    <row r="2" spans="1:15" s="1" customFormat="1" x14ac:dyDescent="0.2">
      <c r="A2" s="867" t="s">
        <v>103</v>
      </c>
      <c r="B2" s="868"/>
      <c r="C2" s="868"/>
      <c r="D2" s="869"/>
      <c r="E2" s="868"/>
      <c r="F2" s="868"/>
      <c r="G2" s="867" t="s">
        <v>104</v>
      </c>
      <c r="H2" s="869"/>
      <c r="I2" s="869" t="s">
        <v>105</v>
      </c>
      <c r="J2" s="868"/>
      <c r="K2" s="868"/>
      <c r="L2" s="870"/>
      <c r="M2" s="870"/>
      <c r="N2" s="870"/>
      <c r="O2" s="870"/>
    </row>
    <row r="3" spans="1:15" s="1" customFormat="1" x14ac:dyDescent="0.2">
      <c r="A3" s="867" t="s">
        <v>106</v>
      </c>
      <c r="B3" s="868"/>
      <c r="C3" s="868"/>
      <c r="D3" s="883" t="s">
        <v>299</v>
      </c>
      <c r="E3" s="868"/>
      <c r="F3" s="868"/>
      <c r="G3" s="867" t="s">
        <v>107</v>
      </c>
      <c r="H3" s="869"/>
      <c r="I3" s="869" t="s">
        <v>108</v>
      </c>
      <c r="J3" s="868"/>
      <c r="K3" s="868"/>
      <c r="L3" s="870"/>
      <c r="M3" s="870"/>
      <c r="N3" s="870"/>
      <c r="O3" s="870"/>
    </row>
    <row r="4" spans="1:15" s="1" customFormat="1" x14ac:dyDescent="0.2">
      <c r="A4" s="867" t="s">
        <v>109</v>
      </c>
      <c r="B4" s="868"/>
      <c r="C4" s="868"/>
      <c r="D4" s="869"/>
      <c r="E4" s="868"/>
      <c r="F4" s="868"/>
      <c r="G4" s="867" t="s">
        <v>110</v>
      </c>
      <c r="H4" s="869"/>
      <c r="I4" s="869" t="s">
        <v>300</v>
      </c>
      <c r="J4" s="868"/>
      <c r="K4" s="868"/>
      <c r="L4" s="870"/>
      <c r="M4" s="870"/>
      <c r="N4" s="870"/>
      <c r="O4" s="870"/>
    </row>
    <row r="5" spans="1:15" s="1" customFormat="1" x14ac:dyDescent="0.2">
      <c r="A5" s="867" t="s">
        <v>278</v>
      </c>
      <c r="B5" s="868"/>
      <c r="C5" s="868"/>
      <c r="D5" s="869" t="s">
        <v>301</v>
      </c>
      <c r="E5" s="868"/>
      <c r="F5" s="868"/>
      <c r="G5" s="867"/>
      <c r="H5" s="868"/>
      <c r="I5" s="869" t="s">
        <v>113</v>
      </c>
      <c r="J5" s="868"/>
      <c r="K5" s="868"/>
      <c r="L5" s="870"/>
      <c r="M5" s="870"/>
      <c r="N5" s="870"/>
      <c r="O5" s="870"/>
    </row>
    <row r="6" spans="1:15" s="1" customFormat="1" x14ac:dyDescent="0.2">
      <c r="A6" s="871" t="s">
        <v>114</v>
      </c>
      <c r="B6" s="872"/>
      <c r="C6" s="872"/>
      <c r="D6" s="868" t="s">
        <v>76</v>
      </c>
      <c r="E6" s="868"/>
      <c r="F6" s="868"/>
      <c r="G6" s="871" t="s">
        <v>115</v>
      </c>
      <c r="H6" s="871"/>
      <c r="I6" s="2" t="s">
        <v>116</v>
      </c>
      <c r="J6" s="888"/>
      <c r="K6" s="888"/>
      <c r="L6" s="888"/>
      <c r="M6" s="888"/>
      <c r="N6" s="888"/>
      <c r="O6" s="889"/>
    </row>
    <row r="7" spans="1:15" s="1" customFormat="1" ht="13.5" thickBot="1" x14ac:dyDescent="0.25">
      <c r="A7" s="3"/>
      <c r="B7" s="4"/>
      <c r="C7" s="5"/>
      <c r="D7" s="6"/>
      <c r="E7" s="6"/>
      <c r="F7" s="6"/>
      <c r="G7" s="6"/>
      <c r="H7" s="6"/>
      <c r="I7" s="6"/>
      <c r="J7" s="7"/>
      <c r="K7" s="8"/>
      <c r="L7" s="875" t="s">
        <v>223</v>
      </c>
      <c r="M7" s="875"/>
      <c r="N7" s="875"/>
      <c r="O7" s="875"/>
    </row>
    <row r="8" spans="1:15" s="11" customFormat="1" x14ac:dyDescent="0.2">
      <c r="A8" s="876" t="str">
        <f>I1</f>
        <v>Mr. D.R. More</v>
      </c>
      <c r="B8" s="877"/>
      <c r="C8" s="144">
        <v>43160</v>
      </c>
      <c r="D8" s="144">
        <v>43191</v>
      </c>
      <c r="E8" s="144">
        <v>43221</v>
      </c>
      <c r="F8" s="144">
        <v>43252</v>
      </c>
      <c r="G8" s="144">
        <v>43282</v>
      </c>
      <c r="H8" s="144">
        <v>43313</v>
      </c>
      <c r="I8" s="144">
        <v>43344</v>
      </c>
      <c r="J8" s="144">
        <v>43374</v>
      </c>
      <c r="K8" s="144">
        <v>43405</v>
      </c>
      <c r="L8" s="144">
        <v>43435</v>
      </c>
      <c r="M8" s="144">
        <v>43466</v>
      </c>
      <c r="N8" s="144">
        <v>43497</v>
      </c>
      <c r="O8" s="10" t="s">
        <v>117</v>
      </c>
    </row>
    <row r="9" spans="1:15" ht="15" x14ac:dyDescent="0.2">
      <c r="A9" s="12"/>
      <c r="B9" s="13" t="s">
        <v>118</v>
      </c>
      <c r="C9" s="14">
        <v>36400</v>
      </c>
      <c r="D9" s="14">
        <v>36400</v>
      </c>
      <c r="E9" s="14">
        <v>36400</v>
      </c>
      <c r="F9" s="14">
        <v>36400</v>
      </c>
      <c r="G9" s="14">
        <v>37500</v>
      </c>
      <c r="H9" s="14">
        <v>37500</v>
      </c>
      <c r="I9" s="14">
        <v>37500</v>
      </c>
      <c r="J9" s="14">
        <v>37500</v>
      </c>
      <c r="K9" s="14">
        <v>37500</v>
      </c>
      <c r="L9" s="14">
        <v>37500</v>
      </c>
      <c r="M9" s="14">
        <v>37500</v>
      </c>
      <c r="N9" s="14">
        <v>37500</v>
      </c>
      <c r="O9" s="15">
        <f>SUM(C9:N9)</f>
        <v>445600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1820</v>
      </c>
      <c r="D11" s="17">
        <v>2548</v>
      </c>
      <c r="E11" s="17">
        <v>2548</v>
      </c>
      <c r="F11" s="17">
        <v>2548</v>
      </c>
      <c r="G11" s="17">
        <v>2625</v>
      </c>
      <c r="H11" s="17">
        <v>2625</v>
      </c>
      <c r="I11" s="17">
        <v>2625</v>
      </c>
      <c r="J11" s="17">
        <v>3375</v>
      </c>
      <c r="K11" s="17">
        <v>3375</v>
      </c>
      <c r="L11" s="17">
        <v>3375</v>
      </c>
      <c r="M11" s="17">
        <v>3375</v>
      </c>
      <c r="N11" s="17">
        <v>3375</v>
      </c>
      <c r="O11" s="18">
        <f>SUM(C11:N11)</f>
        <v>34214</v>
      </c>
    </row>
    <row r="12" spans="1:15" ht="15" x14ac:dyDescent="0.2">
      <c r="A12" s="12"/>
      <c r="B12" s="13" t="s">
        <v>123</v>
      </c>
      <c r="C12" s="17">
        <v>3780</v>
      </c>
      <c r="D12" s="17">
        <v>3852</v>
      </c>
      <c r="E12" s="17">
        <v>3852</v>
      </c>
      <c r="F12" s="17">
        <v>3852</v>
      </c>
      <c r="G12" s="17">
        <v>3852</v>
      </c>
      <c r="H12" s="17">
        <v>3852</v>
      </c>
      <c r="I12" s="17">
        <v>3852</v>
      </c>
      <c r="J12" s="17">
        <v>3924</v>
      </c>
      <c r="K12" s="17">
        <v>3924</v>
      </c>
      <c r="L12" s="17">
        <v>3924</v>
      </c>
      <c r="M12" s="17">
        <v>3924</v>
      </c>
      <c r="N12" s="17">
        <v>3924</v>
      </c>
      <c r="O12" s="18">
        <f>SUM(C12:N12)</f>
        <v>46512</v>
      </c>
    </row>
    <row r="13" spans="1:15" ht="3.75" hidden="1" customHeight="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x14ac:dyDescent="0.2">
      <c r="A14" s="12"/>
      <c r="B14" s="13" t="s">
        <v>124</v>
      </c>
      <c r="C14" s="17">
        <v>0</v>
      </c>
      <c r="D14" s="17">
        <v>0</v>
      </c>
      <c r="E14" s="17">
        <v>0</v>
      </c>
      <c r="F14" s="17">
        <v>0</v>
      </c>
      <c r="G14" s="17">
        <v>0</v>
      </c>
      <c r="H14" s="17">
        <v>0</v>
      </c>
      <c r="I14" s="17">
        <v>0</v>
      </c>
      <c r="J14" s="17">
        <v>0</v>
      </c>
      <c r="K14" s="17">
        <v>0</v>
      </c>
      <c r="L14" s="17">
        <v>0</v>
      </c>
      <c r="M14" s="17">
        <v>0</v>
      </c>
      <c r="N14" s="17">
        <v>0</v>
      </c>
      <c r="O14" s="18">
        <f t="shared" si="0"/>
        <v>0</v>
      </c>
    </row>
    <row r="15" spans="1:15"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x14ac:dyDescent="0.2">
      <c r="A16" s="12"/>
      <c r="B16" s="13" t="s">
        <v>125</v>
      </c>
      <c r="C16" s="17">
        <v>0</v>
      </c>
      <c r="D16" s="17">
        <v>0</v>
      </c>
      <c r="E16" s="17">
        <v>0</v>
      </c>
      <c r="F16" s="17">
        <v>0</v>
      </c>
      <c r="G16" s="17">
        <v>5000</v>
      </c>
      <c r="H16" s="17">
        <v>0</v>
      </c>
      <c r="I16" s="17">
        <v>0</v>
      </c>
      <c r="J16" s="17">
        <v>0</v>
      </c>
      <c r="K16" s="17">
        <v>0</v>
      </c>
      <c r="L16" s="17">
        <v>0</v>
      </c>
      <c r="M16" s="17">
        <v>0</v>
      </c>
      <c r="N16" s="17">
        <v>0</v>
      </c>
      <c r="O16" s="18">
        <f t="shared" si="0"/>
        <v>5000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8736</v>
      </c>
      <c r="D19" s="17">
        <v>8736</v>
      </c>
      <c r="E19" s="17">
        <v>8736</v>
      </c>
      <c r="F19" s="17">
        <v>8736</v>
      </c>
      <c r="G19" s="17">
        <v>9000</v>
      </c>
      <c r="H19" s="17">
        <v>9000</v>
      </c>
      <c r="I19" s="17">
        <v>9000</v>
      </c>
      <c r="J19" s="17">
        <v>9000</v>
      </c>
      <c r="K19" s="17">
        <v>9000</v>
      </c>
      <c r="L19" s="17">
        <v>9000</v>
      </c>
      <c r="M19" s="17">
        <v>9000</v>
      </c>
      <c r="N19" s="17">
        <v>9000</v>
      </c>
      <c r="O19" s="18">
        <f t="shared" si="0"/>
        <v>106944</v>
      </c>
    </row>
    <row r="20" spans="1:15" ht="15" customHeight="1" x14ac:dyDescent="0.2">
      <c r="A20" s="12"/>
      <c r="B20" s="13" t="s">
        <v>129</v>
      </c>
      <c r="C20" s="17">
        <v>0</v>
      </c>
      <c r="D20" s="17">
        <v>0</v>
      </c>
      <c r="E20" s="17">
        <v>0</v>
      </c>
      <c r="F20" s="17">
        <v>52500</v>
      </c>
      <c r="G20" s="17">
        <v>0</v>
      </c>
      <c r="H20" s="17">
        <v>0</v>
      </c>
      <c r="I20" s="17">
        <v>0</v>
      </c>
      <c r="J20" s="17">
        <v>0</v>
      </c>
      <c r="K20" s="17">
        <v>0</v>
      </c>
      <c r="L20" s="17">
        <v>0</v>
      </c>
      <c r="M20" s="17">
        <v>0</v>
      </c>
      <c r="N20" s="17">
        <v>0</v>
      </c>
      <c r="O20" s="18">
        <f t="shared" si="0"/>
        <v>52500</v>
      </c>
    </row>
    <row r="21" spans="1:15" ht="15" hidden="1" customHeight="1" x14ac:dyDescent="0.2">
      <c r="A21" s="878"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79"/>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5" ht="15" hidden="1" customHeight="1" x14ac:dyDescent="0.2">
      <c r="A23" s="879"/>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79"/>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79"/>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79"/>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79"/>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79"/>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79"/>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79"/>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customHeight="1" x14ac:dyDescent="0.2">
      <c r="A31" s="879"/>
      <c r="B31" s="167" t="s">
        <v>246</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79"/>
      <c r="B32" s="21" t="s">
        <v>142</v>
      </c>
      <c r="C32" s="17">
        <v>0</v>
      </c>
      <c r="D32" s="17">
        <v>0</v>
      </c>
      <c r="E32" s="17">
        <v>0</v>
      </c>
      <c r="F32" s="17">
        <v>0</v>
      </c>
      <c r="G32" s="17">
        <v>0</v>
      </c>
      <c r="H32" s="17">
        <v>0</v>
      </c>
      <c r="I32" s="17">
        <v>0</v>
      </c>
      <c r="J32" s="17">
        <v>0</v>
      </c>
      <c r="K32" s="17">
        <v>0</v>
      </c>
      <c r="L32" s="17">
        <v>0</v>
      </c>
      <c r="M32" s="17">
        <v>0</v>
      </c>
      <c r="N32" s="17">
        <v>0</v>
      </c>
      <c r="O32" s="18">
        <f t="shared" si="0"/>
        <v>0</v>
      </c>
    </row>
    <row r="33" spans="1:16" ht="15" hidden="1" customHeight="1" x14ac:dyDescent="0.2">
      <c r="A33" s="880"/>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865" t="s">
        <v>143</v>
      </c>
      <c r="B34" s="866"/>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865" t="s">
        <v>145</v>
      </c>
      <c r="B35" s="866"/>
      <c r="C35" s="17">
        <v>0</v>
      </c>
      <c r="D35" s="17">
        <v>216</v>
      </c>
      <c r="E35" s="17">
        <v>0</v>
      </c>
      <c r="F35" s="17">
        <v>0</v>
      </c>
      <c r="G35" s="17">
        <v>0</v>
      </c>
      <c r="H35" s="17">
        <v>0</v>
      </c>
      <c r="I35" s="17">
        <v>0</v>
      </c>
      <c r="J35" s="17">
        <v>216</v>
      </c>
      <c r="K35" s="17">
        <v>0</v>
      </c>
      <c r="L35" s="17">
        <v>0</v>
      </c>
      <c r="M35" s="17">
        <v>0</v>
      </c>
      <c r="N35" s="17">
        <v>0</v>
      </c>
      <c r="O35" s="18">
        <f t="shared" si="0"/>
        <v>432</v>
      </c>
    </row>
    <row r="36" spans="1:16" ht="15" customHeight="1" x14ac:dyDescent="0.2">
      <c r="A36" s="865" t="s">
        <v>146</v>
      </c>
      <c r="B36" s="866"/>
      <c r="C36" s="17">
        <v>0</v>
      </c>
      <c r="D36" s="17">
        <v>2184</v>
      </c>
      <c r="E36" s="17">
        <v>0</v>
      </c>
      <c r="F36" s="17">
        <v>0</v>
      </c>
      <c r="G36" s="17">
        <v>0</v>
      </c>
      <c r="H36" s="17">
        <v>0</v>
      </c>
      <c r="I36" s="17">
        <v>0</v>
      </c>
      <c r="J36" s="17">
        <v>2250</v>
      </c>
      <c r="K36" s="17">
        <v>0</v>
      </c>
      <c r="L36" s="17">
        <v>0</v>
      </c>
      <c r="M36" s="17">
        <v>0</v>
      </c>
      <c r="N36" s="17">
        <v>0</v>
      </c>
      <c r="O36" s="18">
        <f t="shared" si="0"/>
        <v>4434</v>
      </c>
    </row>
    <row r="37" spans="1:16" ht="15" customHeight="1" x14ac:dyDescent="0.2">
      <c r="A37" s="22"/>
      <c r="B37" s="23" t="s">
        <v>147</v>
      </c>
      <c r="C37" s="24">
        <f t="shared" ref="C37:N37" si="1">SUM(C9:C36)</f>
        <v>50736</v>
      </c>
      <c r="D37" s="24">
        <f t="shared" si="1"/>
        <v>53936</v>
      </c>
      <c r="E37" s="24">
        <f t="shared" si="1"/>
        <v>51536</v>
      </c>
      <c r="F37" s="24">
        <f t="shared" si="1"/>
        <v>104036</v>
      </c>
      <c r="G37" s="24">
        <f t="shared" si="1"/>
        <v>57977</v>
      </c>
      <c r="H37" s="24">
        <f t="shared" si="1"/>
        <v>52977</v>
      </c>
      <c r="I37" s="24">
        <f t="shared" si="1"/>
        <v>52977</v>
      </c>
      <c r="J37" s="24">
        <f t="shared" si="1"/>
        <v>63173</v>
      </c>
      <c r="K37" s="24">
        <f t="shared" si="1"/>
        <v>53799</v>
      </c>
      <c r="L37" s="24">
        <f t="shared" si="1"/>
        <v>53799</v>
      </c>
      <c r="M37" s="24">
        <f t="shared" si="1"/>
        <v>53799</v>
      </c>
      <c r="N37" s="24">
        <f t="shared" si="1"/>
        <v>53799</v>
      </c>
      <c r="O37" s="25">
        <f>SUM(C37:N37)</f>
        <v>702544</v>
      </c>
    </row>
    <row r="38" spans="1:16" ht="15" customHeight="1" x14ac:dyDescent="0.2">
      <c r="A38" s="853" t="s">
        <v>148</v>
      </c>
      <c r="B38" s="27" t="s">
        <v>149</v>
      </c>
      <c r="C38" s="147">
        <v>700</v>
      </c>
      <c r="D38" s="147">
        <v>0</v>
      </c>
      <c r="E38" s="147">
        <v>0</v>
      </c>
      <c r="F38" s="147">
        <v>0</v>
      </c>
      <c r="G38" s="147">
        <v>0</v>
      </c>
      <c r="H38" s="147">
        <v>0</v>
      </c>
      <c r="I38" s="147">
        <v>2000</v>
      </c>
      <c r="J38" s="147">
        <v>2000</v>
      </c>
      <c r="K38" s="147">
        <v>1000</v>
      </c>
      <c r="L38" s="147">
        <v>887</v>
      </c>
      <c r="M38" s="147">
        <v>887</v>
      </c>
      <c r="N38" s="147">
        <v>887</v>
      </c>
      <c r="O38" s="18">
        <f>SUM(C38:N38)</f>
        <v>8361</v>
      </c>
      <c r="P38" s="29"/>
    </row>
    <row r="39" spans="1:16" ht="15" x14ac:dyDescent="0.2">
      <c r="A39" s="854"/>
      <c r="B39" s="27" t="s">
        <v>150</v>
      </c>
      <c r="C39" s="147">
        <v>0</v>
      </c>
      <c r="D39" s="147">
        <v>0</v>
      </c>
      <c r="E39" s="147">
        <v>0</v>
      </c>
      <c r="F39" s="147">
        <v>0</v>
      </c>
      <c r="G39" s="147">
        <v>0</v>
      </c>
      <c r="H39" s="147">
        <v>0</v>
      </c>
      <c r="I39" s="147">
        <v>0</v>
      </c>
      <c r="J39" s="147">
        <v>0</v>
      </c>
      <c r="K39" s="147">
        <v>0</v>
      </c>
      <c r="L39" s="147">
        <v>0</v>
      </c>
      <c r="M39" s="147">
        <v>0</v>
      </c>
      <c r="N39" s="147">
        <v>0</v>
      </c>
      <c r="O39" s="18">
        <f>SUM(C39:N39)</f>
        <v>0</v>
      </c>
    </row>
    <row r="40" spans="1:16" ht="15" x14ac:dyDescent="0.2">
      <c r="A40" s="854"/>
      <c r="B40" s="27" t="s">
        <v>151</v>
      </c>
      <c r="C40" s="147">
        <v>30</v>
      </c>
      <c r="D40" s="147">
        <v>30</v>
      </c>
      <c r="E40" s="147">
        <v>30</v>
      </c>
      <c r="F40" s="147">
        <v>30</v>
      </c>
      <c r="G40" s="147">
        <v>30</v>
      </c>
      <c r="H40" s="147">
        <v>30</v>
      </c>
      <c r="I40" s="147">
        <v>30</v>
      </c>
      <c r="J40" s="147">
        <v>30</v>
      </c>
      <c r="K40" s="147">
        <v>30</v>
      </c>
      <c r="L40" s="147">
        <v>30</v>
      </c>
      <c r="M40" s="147">
        <v>30</v>
      </c>
      <c r="N40" s="147">
        <v>30</v>
      </c>
      <c r="O40" s="18">
        <f t="shared" ref="O40:O50" si="2">SUM(C40:N40)</f>
        <v>360</v>
      </c>
    </row>
    <row r="41" spans="1:16" ht="15" x14ac:dyDescent="0.2">
      <c r="A41" s="854"/>
      <c r="B41" s="27" t="s">
        <v>152</v>
      </c>
      <c r="C41" s="147">
        <v>0</v>
      </c>
      <c r="D41" s="147">
        <v>0</v>
      </c>
      <c r="E41" s="147">
        <v>0</v>
      </c>
      <c r="F41" s="147">
        <v>0</v>
      </c>
      <c r="G41" s="147">
        <v>0</v>
      </c>
      <c r="H41" s="147">
        <v>0</v>
      </c>
      <c r="I41" s="147">
        <v>0</v>
      </c>
      <c r="J41" s="147">
        <v>0</v>
      </c>
      <c r="K41" s="147">
        <v>0</v>
      </c>
      <c r="L41" s="147">
        <v>0</v>
      </c>
      <c r="M41" s="147">
        <v>0</v>
      </c>
      <c r="N41" s="147">
        <v>0</v>
      </c>
      <c r="O41" s="18">
        <f t="shared" si="2"/>
        <v>0</v>
      </c>
    </row>
    <row r="42" spans="1:16" ht="15" x14ac:dyDescent="0.2">
      <c r="A42" s="854"/>
      <c r="B42" s="27" t="s">
        <v>153</v>
      </c>
      <c r="C42" s="147">
        <v>0</v>
      </c>
      <c r="D42" s="147">
        <v>0</v>
      </c>
      <c r="E42" s="147">
        <v>0</v>
      </c>
      <c r="F42" s="147">
        <v>0</v>
      </c>
      <c r="G42" s="147">
        <v>0</v>
      </c>
      <c r="H42" s="147">
        <v>0</v>
      </c>
      <c r="I42" s="147">
        <v>0</v>
      </c>
      <c r="J42" s="147">
        <v>0</v>
      </c>
      <c r="K42" s="147">
        <v>0</v>
      </c>
      <c r="L42" s="147">
        <v>0</v>
      </c>
      <c r="M42" s="147">
        <v>0</v>
      </c>
      <c r="N42" s="147">
        <v>0</v>
      </c>
      <c r="O42" s="18">
        <f t="shared" si="2"/>
        <v>0</v>
      </c>
    </row>
    <row r="43" spans="1:16" ht="15" x14ac:dyDescent="0.2">
      <c r="A43" s="854"/>
      <c r="B43" s="27" t="s">
        <v>154</v>
      </c>
      <c r="C43" s="147">
        <v>10000</v>
      </c>
      <c r="D43" s="147">
        <v>10000</v>
      </c>
      <c r="E43" s="147">
        <v>10000</v>
      </c>
      <c r="F43" s="147">
        <v>10000</v>
      </c>
      <c r="G43" s="147">
        <v>10000</v>
      </c>
      <c r="H43" s="147">
        <v>10000</v>
      </c>
      <c r="I43" s="147">
        <v>10000</v>
      </c>
      <c r="J43" s="147">
        <v>10000</v>
      </c>
      <c r="K43" s="147">
        <v>10000</v>
      </c>
      <c r="L43" s="147">
        <v>10000</v>
      </c>
      <c r="M43" s="147">
        <v>10000</v>
      </c>
      <c r="N43" s="147">
        <v>10000</v>
      </c>
      <c r="O43" s="18">
        <f t="shared" si="2"/>
        <v>120000</v>
      </c>
    </row>
    <row r="44" spans="1:16" ht="15" x14ac:dyDescent="0.2">
      <c r="A44" s="854"/>
      <c r="B44" s="27" t="s">
        <v>155</v>
      </c>
      <c r="C44" s="147">
        <v>200</v>
      </c>
      <c r="D44" s="147">
        <v>200</v>
      </c>
      <c r="E44" s="147">
        <v>200</v>
      </c>
      <c r="F44" s="147">
        <v>200</v>
      </c>
      <c r="G44" s="147">
        <v>200</v>
      </c>
      <c r="H44" s="147">
        <v>200</v>
      </c>
      <c r="I44" s="147">
        <v>200</v>
      </c>
      <c r="J44" s="147">
        <v>200</v>
      </c>
      <c r="K44" s="147">
        <v>200</v>
      </c>
      <c r="L44" s="147">
        <v>200</v>
      </c>
      <c r="M44" s="147">
        <v>200</v>
      </c>
      <c r="N44" s="147">
        <v>300</v>
      </c>
      <c r="O44" s="18">
        <f t="shared" si="2"/>
        <v>2500</v>
      </c>
    </row>
    <row r="45" spans="1:16" ht="15" x14ac:dyDescent="0.2">
      <c r="A45" s="854"/>
      <c r="B45" s="27" t="s">
        <v>156</v>
      </c>
      <c r="C45" s="147">
        <v>0</v>
      </c>
      <c r="D45" s="147">
        <v>0</v>
      </c>
      <c r="E45" s="147">
        <v>0</v>
      </c>
      <c r="F45" s="147">
        <v>0</v>
      </c>
      <c r="G45" s="147">
        <v>0</v>
      </c>
      <c r="H45" s="147">
        <v>0</v>
      </c>
      <c r="I45" s="147">
        <v>0</v>
      </c>
      <c r="J45" s="147">
        <v>0</v>
      </c>
      <c r="K45" s="147">
        <v>0</v>
      </c>
      <c r="L45" s="147">
        <v>0</v>
      </c>
      <c r="M45" s="147">
        <v>0</v>
      </c>
      <c r="N45" s="147">
        <v>0</v>
      </c>
      <c r="O45" s="18">
        <f t="shared" si="2"/>
        <v>0</v>
      </c>
    </row>
    <row r="46" spans="1:16" ht="15" x14ac:dyDescent="0.2">
      <c r="A46" s="854"/>
      <c r="B46" s="27" t="s">
        <v>157</v>
      </c>
      <c r="C46" s="147">
        <v>0</v>
      </c>
      <c r="D46" s="147">
        <v>0</v>
      </c>
      <c r="E46" s="147">
        <v>0</v>
      </c>
      <c r="F46" s="147">
        <v>0</v>
      </c>
      <c r="G46" s="147">
        <v>0</v>
      </c>
      <c r="H46" s="147">
        <v>0</v>
      </c>
      <c r="I46" s="147">
        <v>0</v>
      </c>
      <c r="J46" s="147">
        <v>0</v>
      </c>
      <c r="K46" s="147">
        <v>0</v>
      </c>
      <c r="L46" s="147">
        <v>0</v>
      </c>
      <c r="M46" s="147">
        <v>0</v>
      </c>
      <c r="N46" s="147">
        <v>0</v>
      </c>
      <c r="O46" s="18">
        <f t="shared" si="2"/>
        <v>0</v>
      </c>
    </row>
    <row r="47" spans="1:16" ht="28.5" customHeight="1" x14ac:dyDescent="0.2">
      <c r="A47" s="855"/>
      <c r="B47" s="30" t="s">
        <v>294</v>
      </c>
      <c r="C47" s="147">
        <v>2042</v>
      </c>
      <c r="D47" s="147">
        <v>2042</v>
      </c>
      <c r="E47" s="147">
        <v>2042</v>
      </c>
      <c r="F47" s="147">
        <v>2042</v>
      </c>
      <c r="G47" s="147">
        <v>2042</v>
      </c>
      <c r="H47" s="147">
        <v>2042</v>
      </c>
      <c r="I47" s="147">
        <v>2042</v>
      </c>
      <c r="J47" s="147">
        <v>2042</v>
      </c>
      <c r="K47" s="147">
        <v>2042</v>
      </c>
      <c r="L47" s="147">
        <v>2042</v>
      </c>
      <c r="M47" s="147">
        <v>2042</v>
      </c>
      <c r="N47" s="147">
        <v>2042</v>
      </c>
      <c r="O47" s="31">
        <f t="shared" si="2"/>
        <v>24504</v>
      </c>
    </row>
    <row r="48" spans="1:16" ht="15" x14ac:dyDescent="0.2">
      <c r="A48" s="856"/>
      <c r="B48" s="127" t="s">
        <v>302</v>
      </c>
      <c r="C48" s="147">
        <v>0</v>
      </c>
      <c r="D48" s="147">
        <v>0</v>
      </c>
      <c r="E48" s="147">
        <v>0</v>
      </c>
      <c r="F48" s="147">
        <v>0</v>
      </c>
      <c r="G48" s="147">
        <v>0</v>
      </c>
      <c r="H48" s="147">
        <v>0</v>
      </c>
      <c r="I48" s="147">
        <v>0</v>
      </c>
      <c r="J48" s="147">
        <v>0</v>
      </c>
      <c r="K48" s="147">
        <v>0</v>
      </c>
      <c r="L48" s="147">
        <v>0</v>
      </c>
      <c r="M48" s="147">
        <v>0</v>
      </c>
      <c r="N48" s="147">
        <v>0</v>
      </c>
      <c r="O48" s="31">
        <f t="shared" si="2"/>
        <v>0</v>
      </c>
    </row>
    <row r="49" spans="1:18" ht="15" x14ac:dyDescent="0.2">
      <c r="A49" s="857" t="s">
        <v>160</v>
      </c>
      <c r="B49" s="858"/>
      <c r="C49" s="33">
        <f>SUM(C38:C48)</f>
        <v>12972</v>
      </c>
      <c r="D49" s="33">
        <f t="shared" ref="D49:N49" si="3">SUM(D38:D48)</f>
        <v>12272</v>
      </c>
      <c r="E49" s="33">
        <f t="shared" si="3"/>
        <v>12272</v>
      </c>
      <c r="F49" s="33">
        <f t="shared" si="3"/>
        <v>12272</v>
      </c>
      <c r="G49" s="33">
        <f t="shared" si="3"/>
        <v>12272</v>
      </c>
      <c r="H49" s="33">
        <f t="shared" si="3"/>
        <v>12272</v>
      </c>
      <c r="I49" s="33">
        <f t="shared" si="3"/>
        <v>14272</v>
      </c>
      <c r="J49" s="33">
        <f t="shared" si="3"/>
        <v>14272</v>
      </c>
      <c r="K49" s="33">
        <f t="shared" si="3"/>
        <v>13272</v>
      </c>
      <c r="L49" s="33">
        <f t="shared" si="3"/>
        <v>13159</v>
      </c>
      <c r="M49" s="33">
        <f t="shared" si="3"/>
        <v>13159</v>
      </c>
      <c r="N49" s="33">
        <f t="shared" si="3"/>
        <v>13259</v>
      </c>
      <c r="O49" s="34">
        <f t="shared" si="2"/>
        <v>155725</v>
      </c>
    </row>
    <row r="50" spans="1:18" ht="15.75" thickBot="1" x14ac:dyDescent="0.25">
      <c r="A50" s="859" t="s">
        <v>161</v>
      </c>
      <c r="B50" s="860"/>
      <c r="C50" s="35">
        <f t="shared" ref="C50:N50" si="4">C37-C49</f>
        <v>37764</v>
      </c>
      <c r="D50" s="35">
        <f t="shared" si="4"/>
        <v>41664</v>
      </c>
      <c r="E50" s="35">
        <f t="shared" si="4"/>
        <v>39264</v>
      </c>
      <c r="F50" s="35">
        <f t="shared" si="4"/>
        <v>91764</v>
      </c>
      <c r="G50" s="35">
        <f t="shared" si="4"/>
        <v>45705</v>
      </c>
      <c r="H50" s="35">
        <f t="shared" si="4"/>
        <v>40705</v>
      </c>
      <c r="I50" s="35">
        <f t="shared" si="4"/>
        <v>38705</v>
      </c>
      <c r="J50" s="35">
        <f t="shared" si="4"/>
        <v>48901</v>
      </c>
      <c r="K50" s="35">
        <f t="shared" si="4"/>
        <v>40527</v>
      </c>
      <c r="L50" s="35">
        <f t="shared" si="4"/>
        <v>40640</v>
      </c>
      <c r="M50" s="35">
        <f t="shared" si="4"/>
        <v>40640</v>
      </c>
      <c r="N50" s="35">
        <f t="shared" si="4"/>
        <v>40540</v>
      </c>
      <c r="O50" s="36">
        <f t="shared" si="2"/>
        <v>546819</v>
      </c>
    </row>
    <row r="51" spans="1:18" x14ac:dyDescent="0.2">
      <c r="J51" s="128">
        <f>+J37-SUM(J22:J36)</f>
        <v>53799</v>
      </c>
    </row>
    <row r="52" spans="1:18" ht="13.5" thickBot="1" x14ac:dyDescent="0.25">
      <c r="J52" s="38">
        <f>+J51-J49</f>
        <v>39527</v>
      </c>
    </row>
    <row r="53" spans="1:18" ht="13.5" thickBot="1" x14ac:dyDescent="0.25">
      <c r="B53" s="789" t="s">
        <v>162</v>
      </c>
      <c r="C53" s="861"/>
      <c r="D53" s="861"/>
      <c r="E53" s="861"/>
      <c r="F53" s="862"/>
      <c r="G53" s="863">
        <f>O37</f>
        <v>702544</v>
      </c>
      <c r="H53" s="864"/>
    </row>
    <row r="54" spans="1:18" ht="13.5" thickBot="1" x14ac:dyDescent="0.25"/>
    <row r="55" spans="1:18" x14ac:dyDescent="0.2">
      <c r="B55" s="830" t="s">
        <v>163</v>
      </c>
      <c r="C55" s="833" t="s">
        <v>164</v>
      </c>
      <c r="D55" s="836" t="s">
        <v>1673</v>
      </c>
      <c r="E55" s="837"/>
      <c r="F55" s="838"/>
      <c r="G55" s="839">
        <v>40000</v>
      </c>
      <c r="H55" s="840"/>
    </row>
    <row r="56" spans="1:18" x14ac:dyDescent="0.2">
      <c r="B56" s="831"/>
      <c r="C56" s="834"/>
      <c r="D56" s="841" t="s">
        <v>166</v>
      </c>
      <c r="E56" s="842"/>
      <c r="F56" s="843"/>
      <c r="G56" s="844">
        <f>+O44</f>
        <v>2500</v>
      </c>
      <c r="H56" s="845"/>
      <c r="I56" s="39"/>
      <c r="J56" s="846"/>
      <c r="K56" s="846"/>
      <c r="L56" s="846"/>
      <c r="M56" s="847"/>
      <c r="N56" s="847"/>
      <c r="O56" s="847"/>
    </row>
    <row r="57" spans="1:18" x14ac:dyDescent="0.2">
      <c r="B57" s="886"/>
      <c r="C57" s="887"/>
      <c r="D57" s="153" t="s">
        <v>129</v>
      </c>
      <c r="E57" s="41"/>
      <c r="F57" s="42"/>
      <c r="G57" s="43"/>
      <c r="H57" s="44">
        <v>2400</v>
      </c>
      <c r="I57" s="39"/>
      <c r="J57" s="45"/>
      <c r="K57" s="45"/>
      <c r="L57" s="45"/>
      <c r="M57" s="46"/>
      <c r="N57" s="46"/>
      <c r="O57" s="46"/>
    </row>
    <row r="58" spans="1:18" ht="13.5" thickBot="1" x14ac:dyDescent="0.25">
      <c r="B58" s="832"/>
      <c r="C58" s="835"/>
      <c r="D58" s="921" t="s">
        <v>167</v>
      </c>
      <c r="E58" s="849"/>
      <c r="F58" s="850"/>
      <c r="G58" s="851">
        <f>IF(O18&gt;15000,15000,+O18)</f>
        <v>0</v>
      </c>
      <c r="H58" s="852"/>
      <c r="J58" s="47"/>
      <c r="K58" s="47"/>
      <c r="L58" s="47"/>
      <c r="M58" s="47"/>
      <c r="N58" s="47"/>
      <c r="O58" s="47"/>
    </row>
    <row r="59" spans="1:18" ht="13.5" thickBot="1" x14ac:dyDescent="0.25">
      <c r="B59" s="48"/>
      <c r="J59" s="47"/>
      <c r="K59" s="47"/>
      <c r="L59" s="47"/>
      <c r="M59" s="47"/>
      <c r="N59" s="47"/>
      <c r="O59" s="47"/>
    </row>
    <row r="60" spans="1:18" ht="13.5" thickBot="1" x14ac:dyDescent="0.25">
      <c r="B60" s="789" t="s">
        <v>168</v>
      </c>
      <c r="C60" s="790"/>
      <c r="D60" s="790"/>
      <c r="E60" s="790"/>
      <c r="F60" s="791"/>
      <c r="G60" s="825">
        <f>+G53-SUM(G55:H58)</f>
        <v>657644</v>
      </c>
      <c r="H60" s="826"/>
      <c r="J60" s="827" t="s">
        <v>169</v>
      </c>
      <c r="K60" s="828"/>
      <c r="L60" s="828"/>
      <c r="M60" s="828"/>
      <c r="N60" s="828"/>
      <c r="O60" s="829"/>
    </row>
    <row r="61" spans="1:18" ht="13.5" thickBot="1" x14ac:dyDescent="0.25">
      <c r="B61" s="49"/>
      <c r="C61" s="50"/>
      <c r="D61" s="50"/>
      <c r="E61" s="50"/>
      <c r="F61" s="50"/>
      <c r="G61" s="45"/>
      <c r="H61" s="50"/>
      <c r="J61" s="129"/>
      <c r="K61" s="130"/>
      <c r="L61" s="130"/>
      <c r="M61" s="130"/>
      <c r="N61" s="130"/>
      <c r="O61" s="131"/>
    </row>
    <row r="62" spans="1:18" ht="13.5" thickBot="1" x14ac:dyDescent="0.25">
      <c r="B62" s="789" t="s">
        <v>170</v>
      </c>
      <c r="C62" s="790"/>
      <c r="D62" s="790"/>
      <c r="E62" s="790"/>
      <c r="F62" s="791"/>
      <c r="G62" s="805"/>
      <c r="H62" s="791"/>
      <c r="J62" s="129"/>
      <c r="K62" s="130"/>
      <c r="L62" s="130"/>
      <c r="M62" s="130"/>
      <c r="N62" s="130"/>
      <c r="O62" s="131"/>
    </row>
    <row r="63" spans="1:18" ht="12.75" customHeight="1" x14ac:dyDescent="0.2">
      <c r="B63" s="57" t="s">
        <v>171</v>
      </c>
      <c r="C63" s="806" t="s">
        <v>172</v>
      </c>
      <c r="D63" s="807"/>
      <c r="E63" s="807"/>
      <c r="F63" s="808"/>
      <c r="G63" s="809">
        <v>97091</v>
      </c>
      <c r="H63" s="809"/>
      <c r="I63" s="58"/>
      <c r="J63" s="810" t="s">
        <v>173</v>
      </c>
      <c r="K63" s="811"/>
      <c r="L63" s="811"/>
      <c r="M63" s="811"/>
      <c r="N63" s="811"/>
      <c r="O63" s="812"/>
      <c r="Q63" s="59"/>
      <c r="R63" s="59"/>
    </row>
    <row r="64" spans="1:18" ht="13.5" thickBot="1" x14ac:dyDescent="0.25">
      <c r="D64" s="37"/>
      <c r="I64" s="58"/>
      <c r="J64" s="60" t="s">
        <v>303</v>
      </c>
      <c r="K64" s="61"/>
      <c r="L64" s="61"/>
      <c r="M64" s="61"/>
      <c r="N64" s="61"/>
      <c r="O64" s="62"/>
      <c r="Q64" s="59"/>
      <c r="R64" s="59"/>
    </row>
    <row r="65" spans="2:18" ht="13.5" thickBot="1" x14ac:dyDescent="0.25">
      <c r="B65" s="789" t="s">
        <v>175</v>
      </c>
      <c r="C65" s="790"/>
      <c r="D65" s="790"/>
      <c r="E65" s="790"/>
      <c r="F65" s="791"/>
      <c r="G65" s="805">
        <f>+G60-G63</f>
        <v>560553</v>
      </c>
      <c r="H65" s="791"/>
      <c r="I65" s="63"/>
      <c r="J65" s="64" t="s">
        <v>304</v>
      </c>
      <c r="K65" s="39"/>
      <c r="L65" s="39"/>
      <c r="M65" s="39"/>
      <c r="N65" s="39"/>
      <c r="O65" s="65">
        <v>187548</v>
      </c>
      <c r="Q65" s="59"/>
      <c r="R65" s="59"/>
    </row>
    <row r="66" spans="2:18" ht="12.75" customHeight="1" x14ac:dyDescent="0.2">
      <c r="B66" s="48"/>
      <c r="C66" s="48"/>
      <c r="I66" s="63"/>
      <c r="J66" s="64"/>
      <c r="K66" s="39"/>
      <c r="L66" s="39"/>
      <c r="M66" s="39"/>
      <c r="N66" s="39"/>
      <c r="O66" s="65">
        <v>0</v>
      </c>
      <c r="P66" s="16" t="s">
        <v>305</v>
      </c>
      <c r="Q66" s="59"/>
      <c r="R66" s="59"/>
    </row>
    <row r="67" spans="2:18" x14ac:dyDescent="0.2">
      <c r="B67" s="66" t="s">
        <v>176</v>
      </c>
      <c r="C67" s="48"/>
      <c r="I67" s="63"/>
      <c r="J67" s="67"/>
      <c r="K67" s="68"/>
      <c r="L67" s="68"/>
      <c r="M67" s="68"/>
      <c r="N67" s="68"/>
      <c r="O67" s="69"/>
      <c r="Q67" s="59"/>
      <c r="R67" s="59"/>
    </row>
    <row r="68" spans="2:18" ht="26.25" customHeight="1" thickBot="1" x14ac:dyDescent="0.25">
      <c r="B68" s="66"/>
      <c r="C68" s="48"/>
      <c r="G68" s="70" t="s">
        <v>177</v>
      </c>
      <c r="H68" s="70" t="s">
        <v>178</v>
      </c>
      <c r="I68" s="63"/>
      <c r="J68" s="810" t="s">
        <v>179</v>
      </c>
      <c r="K68" s="811"/>
      <c r="L68" s="71"/>
      <c r="M68" s="71"/>
      <c r="N68" s="71"/>
      <c r="O68" s="72"/>
      <c r="Q68" s="59"/>
      <c r="R68" s="59"/>
    </row>
    <row r="69" spans="2:18" ht="12.75" customHeight="1" x14ac:dyDescent="0.2">
      <c r="B69" s="802" t="s">
        <v>180</v>
      </c>
      <c r="C69" s="821" t="s">
        <v>181</v>
      </c>
      <c r="D69" s="823" t="s">
        <v>182</v>
      </c>
      <c r="E69" s="824"/>
      <c r="F69" s="824"/>
      <c r="G69" s="73">
        <f>+O43</f>
        <v>120000</v>
      </c>
      <c r="H69" s="74">
        <f t="shared" ref="H69:H76" si="5">+G69</f>
        <v>120000</v>
      </c>
      <c r="I69" s="63"/>
      <c r="J69" s="75" t="s">
        <v>231</v>
      </c>
      <c r="K69" s="58"/>
      <c r="L69" s="58"/>
      <c r="M69" s="58" t="s">
        <v>232</v>
      </c>
      <c r="N69" s="58" t="s">
        <v>233</v>
      </c>
      <c r="O69" s="76">
        <v>29520</v>
      </c>
      <c r="Q69" s="59"/>
      <c r="R69" s="59"/>
    </row>
    <row r="70" spans="2:18" ht="12.75" customHeight="1" x14ac:dyDescent="0.2">
      <c r="B70" s="803"/>
      <c r="C70" s="822"/>
      <c r="D70" s="782" t="s">
        <v>184</v>
      </c>
      <c r="E70" s="783"/>
      <c r="F70" s="783"/>
      <c r="G70" s="77">
        <v>21682</v>
      </c>
      <c r="H70" s="78">
        <f t="shared" si="5"/>
        <v>21682</v>
      </c>
      <c r="I70" s="63"/>
      <c r="J70" s="79" t="s">
        <v>306</v>
      </c>
      <c r="K70" s="68"/>
      <c r="L70" s="68"/>
      <c r="M70" s="68"/>
      <c r="N70" s="68"/>
      <c r="O70" s="136">
        <v>21682</v>
      </c>
      <c r="Q70" s="59"/>
      <c r="R70" s="59"/>
    </row>
    <row r="71" spans="2:18" ht="12.75" customHeight="1" x14ac:dyDescent="0.2">
      <c r="B71" s="803"/>
      <c r="C71" s="822"/>
      <c r="D71" s="819" t="s">
        <v>185</v>
      </c>
      <c r="E71" s="820"/>
      <c r="F71" s="820"/>
      <c r="G71" s="80">
        <f>O40</f>
        <v>360</v>
      </c>
      <c r="H71" s="78">
        <f t="shared" si="5"/>
        <v>360</v>
      </c>
      <c r="I71" s="63"/>
      <c r="J71" s="67"/>
      <c r="K71" s="68"/>
      <c r="L71" s="68"/>
      <c r="M71" s="68"/>
      <c r="N71" s="68"/>
      <c r="O71" s="69"/>
    </row>
    <row r="72" spans="2:18" x14ac:dyDescent="0.2">
      <c r="B72" s="803"/>
      <c r="C72" s="822"/>
      <c r="D72" s="782" t="s">
        <v>186</v>
      </c>
      <c r="E72" s="783"/>
      <c r="F72" s="783"/>
      <c r="G72" s="81">
        <v>0</v>
      </c>
      <c r="H72" s="78">
        <f t="shared" si="5"/>
        <v>0</v>
      </c>
      <c r="I72" s="63"/>
      <c r="J72" s="82" t="s">
        <v>187</v>
      </c>
      <c r="K72" s="71"/>
      <c r="L72" s="71"/>
      <c r="M72" s="71"/>
      <c r="N72" s="71"/>
      <c r="O72" s="72"/>
    </row>
    <row r="73" spans="2:18" ht="12.75" customHeight="1" x14ac:dyDescent="0.2">
      <c r="B73" s="803"/>
      <c r="C73" s="822"/>
      <c r="D73" s="784" t="s">
        <v>188</v>
      </c>
      <c r="E73" s="783"/>
      <c r="F73" s="783"/>
      <c r="G73" s="80">
        <v>0</v>
      </c>
      <c r="H73" s="78">
        <f t="shared" si="5"/>
        <v>0</v>
      </c>
      <c r="I73" s="63"/>
      <c r="J73" s="75" t="s">
        <v>189</v>
      </c>
      <c r="K73" s="50"/>
      <c r="L73" s="50"/>
      <c r="M73" s="50"/>
      <c r="N73" s="50"/>
      <c r="O73" s="83">
        <v>0</v>
      </c>
    </row>
    <row r="74" spans="2:18" ht="14.25" customHeight="1" x14ac:dyDescent="0.2">
      <c r="B74" s="803"/>
      <c r="C74" s="822"/>
      <c r="D74" s="782" t="s">
        <v>190</v>
      </c>
      <c r="E74" s="783"/>
      <c r="F74" s="783"/>
      <c r="G74" s="84">
        <v>0</v>
      </c>
      <c r="H74" s="78">
        <f t="shared" si="5"/>
        <v>0</v>
      </c>
      <c r="I74" s="63"/>
      <c r="J74" s="75" t="s">
        <v>307</v>
      </c>
      <c r="K74" s="39"/>
      <c r="L74" s="39"/>
      <c r="M74" s="39"/>
      <c r="N74" s="39"/>
      <c r="O74" s="65">
        <v>19154</v>
      </c>
    </row>
    <row r="75" spans="2:18" x14ac:dyDescent="0.2">
      <c r="B75" s="803"/>
      <c r="C75" s="822"/>
      <c r="D75" s="782" t="s">
        <v>191</v>
      </c>
      <c r="E75" s="783"/>
      <c r="F75" s="783"/>
      <c r="G75" s="81">
        <v>90457</v>
      </c>
      <c r="H75" s="78">
        <f t="shared" si="5"/>
        <v>90457</v>
      </c>
      <c r="I75" s="58"/>
      <c r="J75" s="137"/>
      <c r="K75" s="50"/>
      <c r="L75" s="50"/>
      <c r="M75" s="50"/>
      <c r="N75" s="50"/>
      <c r="O75" s="83"/>
    </row>
    <row r="76" spans="2:18" x14ac:dyDescent="0.2">
      <c r="B76" s="803"/>
      <c r="C76" s="88" t="s">
        <v>192</v>
      </c>
      <c r="D76" s="813" t="s">
        <v>193</v>
      </c>
      <c r="E76" s="814"/>
      <c r="F76" s="814"/>
      <c r="G76" s="80">
        <v>0</v>
      </c>
      <c r="H76" s="78">
        <f t="shared" si="5"/>
        <v>0</v>
      </c>
      <c r="I76" s="58"/>
      <c r="J76" s="79"/>
      <c r="K76" s="39"/>
      <c r="L76" s="39"/>
      <c r="M76" s="39"/>
      <c r="N76" s="39"/>
      <c r="O76" s="65"/>
    </row>
    <row r="77" spans="2:18" ht="13.5" customHeight="1" thickBot="1" x14ac:dyDescent="0.25">
      <c r="B77" s="803"/>
      <c r="C77" s="88" t="s">
        <v>194</v>
      </c>
      <c r="D77" s="815" t="s">
        <v>195</v>
      </c>
      <c r="E77" s="815"/>
      <c r="F77" s="815"/>
      <c r="G77" s="89">
        <v>0</v>
      </c>
      <c r="H77" s="90">
        <f>+G77</f>
        <v>0</v>
      </c>
      <c r="I77" s="63"/>
      <c r="J77" s="67"/>
      <c r="K77" s="68"/>
      <c r="L77" s="68"/>
      <c r="M77" s="91"/>
      <c r="N77" s="91"/>
      <c r="O77" s="92"/>
    </row>
    <row r="78" spans="2:18" ht="13.5" thickBot="1" x14ac:dyDescent="0.25">
      <c r="B78" s="803"/>
      <c r="C78" s="93"/>
      <c r="D78" s="94"/>
      <c r="E78" s="816" t="s">
        <v>117</v>
      </c>
      <c r="F78" s="817"/>
      <c r="G78" s="95">
        <f>SUM(G69:G77)</f>
        <v>232499</v>
      </c>
      <c r="H78" s="96">
        <f>IF(SUM(G69:G75)&lt;150000,SUM(G69:G75),150000)+IF(+G76&lt;20000,+G76,20000)</f>
        <v>150000</v>
      </c>
      <c r="I78" s="63"/>
      <c r="J78" s="140"/>
      <c r="K78" s="141"/>
      <c r="L78" s="141"/>
      <c r="M78" s="142"/>
      <c r="N78" s="142"/>
      <c r="O78" s="143"/>
    </row>
    <row r="79" spans="2:18" ht="12.75" customHeight="1" x14ac:dyDescent="0.2">
      <c r="B79" s="803"/>
      <c r="C79" s="100" t="s">
        <v>196</v>
      </c>
      <c r="D79" s="782" t="s">
        <v>187</v>
      </c>
      <c r="E79" s="783"/>
      <c r="F79" s="818"/>
      <c r="G79" s="73">
        <v>19154</v>
      </c>
      <c r="H79" s="101">
        <f>+IF(+G79&lt;25000,+G79,25000)</f>
        <v>19154</v>
      </c>
      <c r="I79" s="87"/>
    </row>
    <row r="80" spans="2:18" x14ac:dyDescent="0.2">
      <c r="B80" s="803"/>
      <c r="C80" s="100" t="s">
        <v>197</v>
      </c>
      <c r="D80" s="784" t="s">
        <v>198</v>
      </c>
      <c r="E80" s="785"/>
      <c r="F80" s="786"/>
      <c r="G80" s="102"/>
      <c r="H80" s="103">
        <f>+IF(+G80&lt;40000,+G80,40000)</f>
        <v>0</v>
      </c>
      <c r="I80" s="63"/>
    </row>
    <row r="81" spans="2:12" x14ac:dyDescent="0.2">
      <c r="B81" s="803"/>
      <c r="C81" s="100" t="s">
        <v>199</v>
      </c>
      <c r="D81" s="784" t="s">
        <v>200</v>
      </c>
      <c r="E81" s="785"/>
      <c r="F81" s="786"/>
      <c r="G81" s="81"/>
      <c r="H81" s="104">
        <v>0</v>
      </c>
      <c r="I81" s="63"/>
      <c r="J81" s="172"/>
      <c r="K81" s="172"/>
      <c r="L81" s="172"/>
    </row>
    <row r="82" spans="2:12" x14ac:dyDescent="0.2">
      <c r="B82" s="803"/>
      <c r="C82" s="100" t="s">
        <v>201</v>
      </c>
      <c r="D82" s="784" t="s">
        <v>202</v>
      </c>
      <c r="E82" s="785"/>
      <c r="F82" s="786"/>
      <c r="G82" s="81"/>
      <c r="H82" s="104">
        <v>0</v>
      </c>
      <c r="I82" s="63"/>
    </row>
    <row r="83" spans="2:12" ht="13.5" thickBot="1" x14ac:dyDescent="0.25">
      <c r="B83" s="804"/>
      <c r="C83" s="100" t="s">
        <v>203</v>
      </c>
      <c r="D83" s="784" t="s">
        <v>204</v>
      </c>
      <c r="E83" s="785"/>
      <c r="F83" s="786"/>
      <c r="G83" s="102"/>
      <c r="H83" s="103">
        <f>+IF(+G83&lt;100000,+G83,10000)</f>
        <v>0</v>
      </c>
      <c r="I83" s="63"/>
      <c r="J83" s="106"/>
    </row>
    <row r="84" spans="2:12" ht="13.5" thickBot="1" x14ac:dyDescent="0.25">
      <c r="B84" s="787" t="s">
        <v>205</v>
      </c>
      <c r="C84" s="788"/>
      <c r="D84" s="788"/>
      <c r="E84" s="788"/>
      <c r="F84" s="788"/>
      <c r="G84" s="107">
        <f>SUM(G79:G83)</f>
        <v>19154</v>
      </c>
      <c r="H84" s="108">
        <f>SUM(H78:H83)</f>
        <v>169154</v>
      </c>
    </row>
    <row r="85" spans="2:12" ht="13.5" thickBot="1" x14ac:dyDescent="0.25"/>
    <row r="86" spans="2:12" ht="13.5" thickBot="1" x14ac:dyDescent="0.25">
      <c r="B86" s="789" t="s">
        <v>206</v>
      </c>
      <c r="C86" s="790"/>
      <c r="D86" s="790"/>
      <c r="E86" s="790"/>
      <c r="F86" s="791"/>
      <c r="G86" s="792">
        <f>+G65-H84</f>
        <v>391399</v>
      </c>
      <c r="H86" s="791"/>
      <c r="J86" s="109">
        <f>C37+D37+E37+F37</f>
        <v>260244</v>
      </c>
      <c r="K86" s="16" t="s">
        <v>235</v>
      </c>
    </row>
    <row r="87" spans="2:12" x14ac:dyDescent="0.2">
      <c r="B87" s="110"/>
      <c r="F87" s="105"/>
      <c r="J87" s="109">
        <f>G37+H37+I37</f>
        <v>163931</v>
      </c>
      <c r="K87" s="16" t="s">
        <v>236</v>
      </c>
    </row>
    <row r="88" spans="2:12" x14ac:dyDescent="0.2">
      <c r="C88" s="793" t="s">
        <v>207</v>
      </c>
      <c r="D88" s="794"/>
      <c r="E88" s="111" t="s">
        <v>208</v>
      </c>
      <c r="F88" s="111" t="s">
        <v>209</v>
      </c>
      <c r="G88" s="111" t="s">
        <v>210</v>
      </c>
      <c r="H88" s="111" t="s">
        <v>211</v>
      </c>
      <c r="J88" s="109">
        <f>J37+K37+L37</f>
        <v>170771</v>
      </c>
      <c r="K88" s="47" t="s">
        <v>237</v>
      </c>
    </row>
    <row r="89" spans="2:12" x14ac:dyDescent="0.2">
      <c r="C89" s="795" t="str">
        <f>IF(I6="M","0          - 250000","0          -  250000")</f>
        <v>0          - 250000</v>
      </c>
      <c r="D89" s="796"/>
      <c r="E89" s="112">
        <v>0</v>
      </c>
      <c r="F89" s="113">
        <f>IF(I6="M",(IF(G86&lt;250000,G86,250000)),(IF(G86&lt;250000,G86,250000)))</f>
        <v>250000</v>
      </c>
      <c r="G89" s="113">
        <f>G86-F89</f>
        <v>141399</v>
      </c>
      <c r="H89" s="113">
        <f>E89*F89</f>
        <v>0</v>
      </c>
      <c r="J89" s="16">
        <f>M37+N37</f>
        <v>107598</v>
      </c>
      <c r="K89" s="1" t="s">
        <v>238</v>
      </c>
      <c r="L89" s="16">
        <f>+J89/2</f>
        <v>53799</v>
      </c>
    </row>
    <row r="90" spans="2:12" x14ac:dyDescent="0.2">
      <c r="C90" s="795" t="str">
        <f>IF(I6="M","250001 - 500000","250001-500000")</f>
        <v>250001 - 500000</v>
      </c>
      <c r="D90" s="796"/>
      <c r="E90" s="112">
        <v>0.05</v>
      </c>
      <c r="F90" s="113">
        <f>IF(I6="M",(IF(G89&lt;250000,G89,250000)),(IF(G89&lt;250000,G89,250000)))</f>
        <v>141399</v>
      </c>
      <c r="G90" s="113">
        <f>G89-F90</f>
        <v>0</v>
      </c>
      <c r="H90" s="114">
        <f>ROUND(E90*F90,0.1)</f>
        <v>7070</v>
      </c>
      <c r="J90" s="115">
        <f>SUM(J86:J89)</f>
        <v>702544</v>
      </c>
    </row>
    <row r="91" spans="2:12" x14ac:dyDescent="0.2">
      <c r="C91" s="797" t="s">
        <v>212</v>
      </c>
      <c r="D91" s="798"/>
      <c r="E91" s="112">
        <v>0.2</v>
      </c>
      <c r="F91" s="113">
        <f>IF(G90&lt;500000,G90,500000)</f>
        <v>0</v>
      </c>
      <c r="G91" s="113">
        <f>G90-F91</f>
        <v>0</v>
      </c>
      <c r="H91" s="114">
        <f>ROUND(E91*F91,0.1)</f>
        <v>0</v>
      </c>
      <c r="J91" s="16">
        <f>+G86</f>
        <v>391399</v>
      </c>
    </row>
    <row r="92" spans="2:12" x14ac:dyDescent="0.2">
      <c r="C92" s="795" t="s">
        <v>213</v>
      </c>
      <c r="D92" s="796"/>
      <c r="E92" s="112">
        <v>0.3</v>
      </c>
      <c r="F92" s="113">
        <f>G91</f>
        <v>0</v>
      </c>
      <c r="G92" s="113">
        <f>G91-F92</f>
        <v>0</v>
      </c>
      <c r="H92" s="114">
        <f>ROUND(E92*F92,0.1)</f>
        <v>0</v>
      </c>
      <c r="J92" s="16">
        <f>+J90-J91</f>
        <v>311145</v>
      </c>
    </row>
    <row r="93" spans="2:12" ht="12.75" customHeight="1" thickBot="1" x14ac:dyDescent="0.25">
      <c r="B93" s="116"/>
      <c r="C93" s="117"/>
      <c r="D93" s="47"/>
      <c r="E93" s="47"/>
      <c r="F93" s="47"/>
      <c r="J93" s="87"/>
      <c r="K93" s="118"/>
    </row>
    <row r="94" spans="2:12" ht="13.5" thickBot="1" x14ac:dyDescent="0.25">
      <c r="B94" s="799" t="s">
        <v>239</v>
      </c>
      <c r="C94" s="800"/>
      <c r="D94" s="800"/>
      <c r="E94" s="800"/>
      <c r="F94" s="801"/>
      <c r="G94" s="771">
        <f>H89+H90+H91+H92</f>
        <v>7070</v>
      </c>
      <c r="H94" s="772"/>
    </row>
    <row r="95" spans="2:12" ht="13.5" thickBot="1" x14ac:dyDescent="0.25">
      <c r="B95" s="119" t="s">
        <v>215</v>
      </c>
      <c r="C95" s="120"/>
      <c r="D95" s="120"/>
      <c r="E95" s="120"/>
      <c r="F95" s="120"/>
      <c r="G95" s="895">
        <f>IF((G65&lt;500000),5000,0)</f>
        <v>0</v>
      </c>
      <c r="H95" s="896">
        <f>IF(H93&lt;200000,0,IF(H93&lt;220000,((H93-200000)*10%),IF(H93&lt;=500000,2000,IF(H93&gt;=500000,0))))</f>
        <v>0</v>
      </c>
      <c r="J95" s="1"/>
      <c r="K95" s="121"/>
      <c r="L95" s="121"/>
    </row>
    <row r="96" spans="2:12" ht="13.5" thickBot="1" x14ac:dyDescent="0.25">
      <c r="B96" s="122" t="s">
        <v>216</v>
      </c>
      <c r="C96" s="123"/>
      <c r="D96" s="123"/>
      <c r="E96" s="123"/>
      <c r="F96" s="123"/>
      <c r="G96" s="771">
        <f>IF((G94-G95)&lt;0,0,(G94-G95))</f>
        <v>7070</v>
      </c>
      <c r="H96" s="772"/>
      <c r="I96" s="37"/>
    </row>
    <row r="97" spans="2:11" ht="13.5" thickBot="1" x14ac:dyDescent="0.25">
      <c r="B97" s="773" t="s">
        <v>240</v>
      </c>
      <c r="C97" s="774"/>
      <c r="D97" s="774"/>
      <c r="E97" s="774"/>
      <c r="F97" s="775"/>
      <c r="G97" s="776">
        <f>ROUND((IF(G96&gt;0,(G96*4%),0)),0)</f>
        <v>283</v>
      </c>
      <c r="H97" s="777"/>
      <c r="I97" s="37"/>
    </row>
    <row r="98" spans="2:11" ht="13.5" thickBot="1" x14ac:dyDescent="0.25">
      <c r="B98" s="778" t="s">
        <v>218</v>
      </c>
      <c r="C98" s="779"/>
      <c r="D98" s="779"/>
      <c r="E98" s="779"/>
      <c r="F98" s="779"/>
      <c r="G98" s="780">
        <f>G96+G97</f>
        <v>7353</v>
      </c>
      <c r="H98" s="781"/>
      <c r="I98" s="121"/>
    </row>
    <row r="99" spans="2:11" ht="13.5" thickBot="1" x14ac:dyDescent="0.25">
      <c r="B99" s="765" t="s">
        <v>219</v>
      </c>
      <c r="C99" s="766"/>
      <c r="D99" s="766"/>
      <c r="E99" s="766"/>
      <c r="F99" s="766"/>
      <c r="G99" s="767">
        <f>O38</f>
        <v>8361</v>
      </c>
      <c r="H99" s="768"/>
      <c r="I99" s="121"/>
    </row>
    <row r="100" spans="2:11" ht="13.5" thickBot="1" x14ac:dyDescent="0.25">
      <c r="B100" s="765" t="str">
        <f>IF(G100&gt;0,"TAX PAYABLE","TAX REFUND")</f>
        <v>TAX REFUND</v>
      </c>
      <c r="C100" s="766"/>
      <c r="D100" s="766"/>
      <c r="E100" s="766"/>
      <c r="F100" s="766"/>
      <c r="G100" s="767">
        <f>+G98-G99</f>
        <v>-1008</v>
      </c>
      <c r="H100" s="768"/>
      <c r="I100" s="37"/>
    </row>
    <row r="101" spans="2:11" x14ac:dyDescent="0.2">
      <c r="C101" s="124"/>
      <c r="D101" s="45"/>
      <c r="E101" s="118"/>
      <c r="F101" s="118"/>
      <c r="G101" s="118"/>
      <c r="H101" s="118"/>
      <c r="I101" s="125"/>
    </row>
    <row r="102" spans="2:11" x14ac:dyDescent="0.2">
      <c r="C102" s="47"/>
      <c r="D102" s="50"/>
      <c r="E102" s="117"/>
      <c r="F102" s="47"/>
      <c r="G102" s="47"/>
      <c r="I102" s="125"/>
    </row>
    <row r="103" spans="2:11" x14ac:dyDescent="0.2">
      <c r="C103" s="39"/>
      <c r="D103" s="126"/>
      <c r="E103" s="126"/>
      <c r="F103" s="126"/>
      <c r="G103" s="39"/>
      <c r="I103" s="37"/>
    </row>
    <row r="104" spans="2:11" x14ac:dyDescent="0.2">
      <c r="C104" s="39"/>
      <c r="D104" s="126"/>
      <c r="E104" s="126"/>
      <c r="F104" s="39"/>
      <c r="G104" s="39"/>
      <c r="H104" s="39"/>
      <c r="I104" s="37"/>
    </row>
    <row r="105" spans="2:11" x14ac:dyDescent="0.2">
      <c r="C105" s="39"/>
      <c r="D105" s="126"/>
      <c r="E105" s="126"/>
      <c r="F105" s="39"/>
      <c r="G105" s="39"/>
      <c r="H105" s="39"/>
      <c r="I105" s="37"/>
    </row>
    <row r="106" spans="2:11" x14ac:dyDescent="0.2">
      <c r="C106" s="39"/>
      <c r="D106" s="39"/>
      <c r="E106" s="39"/>
      <c r="F106" s="39"/>
      <c r="G106" s="39"/>
      <c r="H106" s="39"/>
      <c r="I106" s="37"/>
    </row>
    <row r="108" spans="2:11" x14ac:dyDescent="0.2">
      <c r="B108" s="16"/>
      <c r="C108" s="37"/>
      <c r="I108" s="39"/>
      <c r="J108" s="39"/>
      <c r="K108" s="39"/>
    </row>
    <row r="109" spans="2:11" x14ac:dyDescent="0.2">
      <c r="B109" s="16"/>
      <c r="C109" s="37"/>
    </row>
    <row r="110" spans="2:11" x14ac:dyDescent="0.2">
      <c r="B110" s="16"/>
      <c r="C110" s="37"/>
      <c r="F110" s="37"/>
    </row>
    <row r="111" spans="2:11" x14ac:dyDescent="0.2">
      <c r="E111" s="37"/>
      <c r="J111" s="37"/>
    </row>
    <row r="112" spans="2:11" x14ac:dyDescent="0.2">
      <c r="E112" s="37"/>
    </row>
    <row r="113" spans="2:11" x14ac:dyDescent="0.2">
      <c r="E113" s="37"/>
    </row>
    <row r="114" spans="2:11" x14ac:dyDescent="0.2">
      <c r="E114" s="37"/>
    </row>
    <row r="115" spans="2:11" x14ac:dyDescent="0.2">
      <c r="B115" s="16"/>
      <c r="H115" s="37"/>
    </row>
    <row r="116" spans="2:11" x14ac:dyDescent="0.2">
      <c r="B116" s="16"/>
      <c r="H116" s="37"/>
      <c r="I116" s="37"/>
    </row>
    <row r="117" spans="2:11" x14ac:dyDescent="0.2">
      <c r="B117" s="16"/>
      <c r="H117" s="37"/>
      <c r="I117" s="37"/>
    </row>
    <row r="118" spans="2:11" x14ac:dyDescent="0.2">
      <c r="E118" s="37"/>
      <c r="H118" s="37"/>
      <c r="I118" s="37"/>
    </row>
    <row r="119" spans="2:11" x14ac:dyDescent="0.2">
      <c r="E119" s="37"/>
      <c r="I119" s="37"/>
    </row>
    <row r="120" spans="2:11" x14ac:dyDescent="0.2">
      <c r="E120" s="37"/>
      <c r="I120" s="37"/>
    </row>
    <row r="121" spans="2:11" x14ac:dyDescent="0.2">
      <c r="E121" s="37"/>
      <c r="H121" s="37"/>
      <c r="K121" s="37"/>
    </row>
    <row r="122" spans="2:11" x14ac:dyDescent="0.2">
      <c r="E122" s="37"/>
      <c r="H122" s="37"/>
      <c r="J122" s="37"/>
      <c r="K122" s="37"/>
    </row>
    <row r="123" spans="2:11" x14ac:dyDescent="0.2">
      <c r="E123" s="37"/>
      <c r="H123" s="37"/>
      <c r="K123" s="37"/>
    </row>
    <row r="124" spans="2:11" x14ac:dyDescent="0.2">
      <c r="E124" s="37"/>
      <c r="K124" s="37"/>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60:F60"/>
    <mergeCell ref="G60:H60"/>
    <mergeCell ref="J60:O60"/>
    <mergeCell ref="B55:B58"/>
    <mergeCell ref="C55:C58"/>
    <mergeCell ref="D55:F55"/>
    <mergeCell ref="G55:H55"/>
    <mergeCell ref="D56:F56"/>
    <mergeCell ref="G56:H56"/>
    <mergeCell ref="J56:L56"/>
    <mergeCell ref="M56:O56"/>
    <mergeCell ref="D58:F58"/>
    <mergeCell ref="G58:H58"/>
    <mergeCell ref="J63:O63"/>
    <mergeCell ref="D81:F81"/>
    <mergeCell ref="J68:K68"/>
    <mergeCell ref="B65:F65"/>
    <mergeCell ref="G65:H65"/>
    <mergeCell ref="D76:F76"/>
    <mergeCell ref="D77:F77"/>
    <mergeCell ref="E78:F78"/>
    <mergeCell ref="D79:F79"/>
    <mergeCell ref="D80:F80"/>
    <mergeCell ref="D71:F71"/>
    <mergeCell ref="D72:F72"/>
    <mergeCell ref="C69:C75"/>
    <mergeCell ref="D69:F69"/>
    <mergeCell ref="D70:F70"/>
    <mergeCell ref="D74:F74"/>
    <mergeCell ref="G62:H62"/>
    <mergeCell ref="C63:F63"/>
    <mergeCell ref="G63:H63"/>
    <mergeCell ref="B62:F62"/>
    <mergeCell ref="D73:F73"/>
    <mergeCell ref="D75:F75"/>
    <mergeCell ref="G94:H94"/>
    <mergeCell ref="D82:F82"/>
    <mergeCell ref="D83:F83"/>
    <mergeCell ref="B84:F84"/>
    <mergeCell ref="B86:F86"/>
    <mergeCell ref="G86:H86"/>
    <mergeCell ref="C88:D88"/>
    <mergeCell ref="C89:D89"/>
    <mergeCell ref="C90:D90"/>
    <mergeCell ref="C91:D91"/>
    <mergeCell ref="C92:D92"/>
    <mergeCell ref="B94:F94"/>
    <mergeCell ref="B69:B83"/>
    <mergeCell ref="B100:F100"/>
    <mergeCell ref="G100:H100"/>
    <mergeCell ref="G95:H95"/>
    <mergeCell ref="G96:H96"/>
    <mergeCell ref="B97:F97"/>
    <mergeCell ref="G97:H97"/>
    <mergeCell ref="B98:F98"/>
    <mergeCell ref="G98:H98"/>
    <mergeCell ref="B99:F99"/>
    <mergeCell ref="G99:H99"/>
  </mergeCells>
  <conditionalFormatting sqref="B91:F91 B100:F100 B94:F98">
    <cfRule type="cellIs" dxfId="2009" priority="3" stopIfTrue="1" operator="equal">
      <formula>"TAX PAYABLE"</formula>
    </cfRule>
    <cfRule type="cellIs" dxfId="2008" priority="4" stopIfTrue="1" operator="equal">
      <formula>"TAX REFUND"</formula>
    </cfRule>
  </conditionalFormatting>
  <conditionalFormatting sqref="G91:H91">
    <cfRule type="cellIs" dxfId="2007" priority="5" stopIfTrue="1" operator="lessThan">
      <formula>0</formula>
    </cfRule>
    <cfRule type="cellIs" dxfId="2006" priority="6" stopIfTrue="1" operator="greaterThan">
      <formula>0</formula>
    </cfRule>
  </conditionalFormatting>
  <conditionalFormatting sqref="G100:H100">
    <cfRule type="cellIs" dxfId="2005" priority="1" stopIfTrue="1" operator="greaterThan">
      <formula>0</formula>
    </cfRule>
    <cfRule type="cellIs" dxfId="2004"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legacy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7"/>
  <sheetViews>
    <sheetView topLeftCell="A58" workbookViewId="0">
      <selection activeCell="O86" sqref="O86"/>
    </sheetView>
  </sheetViews>
  <sheetFormatPr defaultRowHeight="12.75" x14ac:dyDescent="0.2"/>
  <cols>
    <col min="1" max="1" width="5" style="16" customWidth="1"/>
    <col min="2" max="2" width="18.85546875" style="37" customWidth="1"/>
    <col min="3" max="3" width="8.140625" style="16" customWidth="1"/>
    <col min="4" max="4" width="7.85546875" style="16" customWidth="1"/>
    <col min="5" max="5" width="8.5703125" style="16" bestFit="1" customWidth="1"/>
    <col min="6" max="8" width="8.42578125" style="16" customWidth="1"/>
    <col min="9" max="15" width="9"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8.85546875" style="16" customWidth="1"/>
    <col min="259" max="259" width="8.140625" style="16" customWidth="1"/>
    <col min="260" max="260" width="7.85546875" style="16" customWidth="1"/>
    <col min="261" max="261" width="8.5703125" style="16" bestFit="1" customWidth="1"/>
    <col min="262" max="264" width="8.42578125" style="16" customWidth="1"/>
    <col min="265" max="271" width="9"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8.85546875" style="16" customWidth="1"/>
    <col min="515" max="515" width="8.140625" style="16" customWidth="1"/>
    <col min="516" max="516" width="7.85546875" style="16" customWidth="1"/>
    <col min="517" max="517" width="8.5703125" style="16" bestFit="1" customWidth="1"/>
    <col min="518" max="520" width="8.42578125" style="16" customWidth="1"/>
    <col min="521" max="527" width="9"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8.85546875" style="16" customWidth="1"/>
    <col min="771" max="771" width="8.140625" style="16" customWidth="1"/>
    <col min="772" max="772" width="7.85546875" style="16" customWidth="1"/>
    <col min="773" max="773" width="8.5703125" style="16" bestFit="1" customWidth="1"/>
    <col min="774" max="776" width="8.42578125" style="16" customWidth="1"/>
    <col min="777" max="783" width="9"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8.85546875" style="16" customWidth="1"/>
    <col min="1027" max="1027" width="8.140625" style="16" customWidth="1"/>
    <col min="1028" max="1028" width="7.85546875" style="16" customWidth="1"/>
    <col min="1029" max="1029" width="8.5703125" style="16" bestFit="1" customWidth="1"/>
    <col min="1030" max="1032" width="8.42578125" style="16" customWidth="1"/>
    <col min="1033" max="1039" width="9"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8.85546875" style="16" customWidth="1"/>
    <col min="1283" max="1283" width="8.140625" style="16" customWidth="1"/>
    <col min="1284" max="1284" width="7.85546875" style="16" customWidth="1"/>
    <col min="1285" max="1285" width="8.5703125" style="16" bestFit="1" customWidth="1"/>
    <col min="1286" max="1288" width="8.42578125" style="16" customWidth="1"/>
    <col min="1289" max="1295" width="9"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8.85546875" style="16" customWidth="1"/>
    <col min="1539" max="1539" width="8.140625" style="16" customWidth="1"/>
    <col min="1540" max="1540" width="7.85546875" style="16" customWidth="1"/>
    <col min="1541" max="1541" width="8.5703125" style="16" bestFit="1" customWidth="1"/>
    <col min="1542" max="1544" width="8.42578125" style="16" customWidth="1"/>
    <col min="1545" max="1551" width="9"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8.85546875" style="16" customWidth="1"/>
    <col min="1795" max="1795" width="8.140625" style="16" customWidth="1"/>
    <col min="1796" max="1796" width="7.85546875" style="16" customWidth="1"/>
    <col min="1797" max="1797" width="8.5703125" style="16" bestFit="1" customWidth="1"/>
    <col min="1798" max="1800" width="8.42578125" style="16" customWidth="1"/>
    <col min="1801" max="1807" width="9"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8.85546875" style="16" customWidth="1"/>
    <col min="2051" max="2051" width="8.140625" style="16" customWidth="1"/>
    <col min="2052" max="2052" width="7.85546875" style="16" customWidth="1"/>
    <col min="2053" max="2053" width="8.5703125" style="16" bestFit="1" customWidth="1"/>
    <col min="2054" max="2056" width="8.42578125" style="16" customWidth="1"/>
    <col min="2057" max="2063" width="9"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8.85546875" style="16" customWidth="1"/>
    <col min="2307" max="2307" width="8.140625" style="16" customWidth="1"/>
    <col min="2308" max="2308" width="7.85546875" style="16" customWidth="1"/>
    <col min="2309" max="2309" width="8.5703125" style="16" bestFit="1" customWidth="1"/>
    <col min="2310" max="2312" width="8.42578125" style="16" customWidth="1"/>
    <col min="2313" max="2319" width="9"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8.85546875" style="16" customWidth="1"/>
    <col min="2563" max="2563" width="8.140625" style="16" customWidth="1"/>
    <col min="2564" max="2564" width="7.85546875" style="16" customWidth="1"/>
    <col min="2565" max="2565" width="8.5703125" style="16" bestFit="1" customWidth="1"/>
    <col min="2566" max="2568" width="8.42578125" style="16" customWidth="1"/>
    <col min="2569" max="2575" width="9"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8.85546875" style="16" customWidth="1"/>
    <col min="2819" max="2819" width="8.140625" style="16" customWidth="1"/>
    <col min="2820" max="2820" width="7.85546875" style="16" customWidth="1"/>
    <col min="2821" max="2821" width="8.5703125" style="16" bestFit="1" customWidth="1"/>
    <col min="2822" max="2824" width="8.42578125" style="16" customWidth="1"/>
    <col min="2825" max="2831" width="9"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8.85546875" style="16" customWidth="1"/>
    <col min="3075" max="3075" width="8.140625" style="16" customWidth="1"/>
    <col min="3076" max="3076" width="7.85546875" style="16" customWidth="1"/>
    <col min="3077" max="3077" width="8.5703125" style="16" bestFit="1" customWidth="1"/>
    <col min="3078" max="3080" width="8.42578125" style="16" customWidth="1"/>
    <col min="3081" max="3087" width="9"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8.85546875" style="16" customWidth="1"/>
    <col min="3331" max="3331" width="8.140625" style="16" customWidth="1"/>
    <col min="3332" max="3332" width="7.85546875" style="16" customWidth="1"/>
    <col min="3333" max="3333" width="8.5703125" style="16" bestFit="1" customWidth="1"/>
    <col min="3334" max="3336" width="8.42578125" style="16" customWidth="1"/>
    <col min="3337" max="3343" width="9"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8.85546875" style="16" customWidth="1"/>
    <col min="3587" max="3587" width="8.140625" style="16" customWidth="1"/>
    <col min="3588" max="3588" width="7.85546875" style="16" customWidth="1"/>
    <col min="3589" max="3589" width="8.5703125" style="16" bestFit="1" customWidth="1"/>
    <col min="3590" max="3592" width="8.42578125" style="16" customWidth="1"/>
    <col min="3593" max="3599" width="9"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8.85546875" style="16" customWidth="1"/>
    <col min="3843" max="3843" width="8.140625" style="16" customWidth="1"/>
    <col min="3844" max="3844" width="7.85546875" style="16" customWidth="1"/>
    <col min="3845" max="3845" width="8.5703125" style="16" bestFit="1" customWidth="1"/>
    <col min="3846" max="3848" width="8.42578125" style="16" customWidth="1"/>
    <col min="3849" max="3855" width="9"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8.85546875" style="16" customWidth="1"/>
    <col min="4099" max="4099" width="8.140625" style="16" customWidth="1"/>
    <col min="4100" max="4100" width="7.85546875" style="16" customWidth="1"/>
    <col min="4101" max="4101" width="8.5703125" style="16" bestFit="1" customWidth="1"/>
    <col min="4102" max="4104" width="8.42578125" style="16" customWidth="1"/>
    <col min="4105" max="4111" width="9"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8.85546875" style="16" customWidth="1"/>
    <col min="4355" max="4355" width="8.140625" style="16" customWidth="1"/>
    <col min="4356" max="4356" width="7.85546875" style="16" customWidth="1"/>
    <col min="4357" max="4357" width="8.5703125" style="16" bestFit="1" customWidth="1"/>
    <col min="4358" max="4360" width="8.42578125" style="16" customWidth="1"/>
    <col min="4361" max="4367" width="9"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8.85546875" style="16" customWidth="1"/>
    <col min="4611" max="4611" width="8.140625" style="16" customWidth="1"/>
    <col min="4612" max="4612" width="7.85546875" style="16" customWidth="1"/>
    <col min="4613" max="4613" width="8.5703125" style="16" bestFit="1" customWidth="1"/>
    <col min="4614" max="4616" width="8.42578125" style="16" customWidth="1"/>
    <col min="4617" max="4623" width="9"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8.85546875" style="16" customWidth="1"/>
    <col min="4867" max="4867" width="8.140625" style="16" customWidth="1"/>
    <col min="4868" max="4868" width="7.85546875" style="16" customWidth="1"/>
    <col min="4869" max="4869" width="8.5703125" style="16" bestFit="1" customWidth="1"/>
    <col min="4870" max="4872" width="8.42578125" style="16" customWidth="1"/>
    <col min="4873" max="4879" width="9"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8.85546875" style="16" customWidth="1"/>
    <col min="5123" max="5123" width="8.140625" style="16" customWidth="1"/>
    <col min="5124" max="5124" width="7.85546875" style="16" customWidth="1"/>
    <col min="5125" max="5125" width="8.5703125" style="16" bestFit="1" customWidth="1"/>
    <col min="5126" max="5128" width="8.42578125" style="16" customWidth="1"/>
    <col min="5129" max="5135" width="9"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8.85546875" style="16" customWidth="1"/>
    <col min="5379" max="5379" width="8.140625" style="16" customWidth="1"/>
    <col min="5380" max="5380" width="7.85546875" style="16" customWidth="1"/>
    <col min="5381" max="5381" width="8.5703125" style="16" bestFit="1" customWidth="1"/>
    <col min="5382" max="5384" width="8.42578125" style="16" customWidth="1"/>
    <col min="5385" max="5391" width="9"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8.85546875" style="16" customWidth="1"/>
    <col min="5635" max="5635" width="8.140625" style="16" customWidth="1"/>
    <col min="5636" max="5636" width="7.85546875" style="16" customWidth="1"/>
    <col min="5637" max="5637" width="8.5703125" style="16" bestFit="1" customWidth="1"/>
    <col min="5638" max="5640" width="8.42578125" style="16" customWidth="1"/>
    <col min="5641" max="5647" width="9"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8.85546875" style="16" customWidth="1"/>
    <col min="5891" max="5891" width="8.140625" style="16" customWidth="1"/>
    <col min="5892" max="5892" width="7.85546875" style="16" customWidth="1"/>
    <col min="5893" max="5893" width="8.5703125" style="16" bestFit="1" customWidth="1"/>
    <col min="5894" max="5896" width="8.42578125" style="16" customWidth="1"/>
    <col min="5897" max="5903" width="9"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8.85546875" style="16" customWidth="1"/>
    <col min="6147" max="6147" width="8.140625" style="16" customWidth="1"/>
    <col min="6148" max="6148" width="7.85546875" style="16" customWidth="1"/>
    <col min="6149" max="6149" width="8.5703125" style="16" bestFit="1" customWidth="1"/>
    <col min="6150" max="6152" width="8.42578125" style="16" customWidth="1"/>
    <col min="6153" max="6159" width="9"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8.85546875" style="16" customWidth="1"/>
    <col min="6403" max="6403" width="8.140625" style="16" customWidth="1"/>
    <col min="6404" max="6404" width="7.85546875" style="16" customWidth="1"/>
    <col min="6405" max="6405" width="8.5703125" style="16" bestFit="1" customWidth="1"/>
    <col min="6406" max="6408" width="8.42578125" style="16" customWidth="1"/>
    <col min="6409" max="6415" width="9"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8.85546875" style="16" customWidth="1"/>
    <col min="6659" max="6659" width="8.140625" style="16" customWidth="1"/>
    <col min="6660" max="6660" width="7.85546875" style="16" customWidth="1"/>
    <col min="6661" max="6661" width="8.5703125" style="16" bestFit="1" customWidth="1"/>
    <col min="6662" max="6664" width="8.42578125" style="16" customWidth="1"/>
    <col min="6665" max="6671" width="9"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8.85546875" style="16" customWidth="1"/>
    <col min="6915" max="6915" width="8.140625" style="16" customWidth="1"/>
    <col min="6916" max="6916" width="7.85546875" style="16" customWidth="1"/>
    <col min="6917" max="6917" width="8.5703125" style="16" bestFit="1" customWidth="1"/>
    <col min="6918" max="6920" width="8.42578125" style="16" customWidth="1"/>
    <col min="6921" max="6927" width="9"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8.85546875" style="16" customWidth="1"/>
    <col min="7171" max="7171" width="8.140625" style="16" customWidth="1"/>
    <col min="7172" max="7172" width="7.85546875" style="16" customWidth="1"/>
    <col min="7173" max="7173" width="8.5703125" style="16" bestFit="1" customWidth="1"/>
    <col min="7174" max="7176" width="8.42578125" style="16" customWidth="1"/>
    <col min="7177" max="7183" width="9"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8.85546875" style="16" customWidth="1"/>
    <col min="7427" max="7427" width="8.140625" style="16" customWidth="1"/>
    <col min="7428" max="7428" width="7.85546875" style="16" customWidth="1"/>
    <col min="7429" max="7429" width="8.5703125" style="16" bestFit="1" customWidth="1"/>
    <col min="7430" max="7432" width="8.42578125" style="16" customWidth="1"/>
    <col min="7433" max="7439" width="9"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8.85546875" style="16" customWidth="1"/>
    <col min="7683" max="7683" width="8.140625" style="16" customWidth="1"/>
    <col min="7684" max="7684" width="7.85546875" style="16" customWidth="1"/>
    <col min="7685" max="7685" width="8.5703125" style="16" bestFit="1" customWidth="1"/>
    <col min="7686" max="7688" width="8.42578125" style="16" customWidth="1"/>
    <col min="7689" max="7695" width="9"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8.85546875" style="16" customWidth="1"/>
    <col min="7939" max="7939" width="8.140625" style="16" customWidth="1"/>
    <col min="7940" max="7940" width="7.85546875" style="16" customWidth="1"/>
    <col min="7941" max="7941" width="8.5703125" style="16" bestFit="1" customWidth="1"/>
    <col min="7942" max="7944" width="8.42578125" style="16" customWidth="1"/>
    <col min="7945" max="7951" width="9"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8.85546875" style="16" customWidth="1"/>
    <col min="8195" max="8195" width="8.140625" style="16" customWidth="1"/>
    <col min="8196" max="8196" width="7.85546875" style="16" customWidth="1"/>
    <col min="8197" max="8197" width="8.5703125" style="16" bestFit="1" customWidth="1"/>
    <col min="8198" max="8200" width="8.42578125" style="16" customWidth="1"/>
    <col min="8201" max="8207" width="9"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8.85546875" style="16" customWidth="1"/>
    <col min="8451" max="8451" width="8.140625" style="16" customWidth="1"/>
    <col min="8452" max="8452" width="7.85546875" style="16" customWidth="1"/>
    <col min="8453" max="8453" width="8.5703125" style="16" bestFit="1" customWidth="1"/>
    <col min="8454" max="8456" width="8.42578125" style="16" customWidth="1"/>
    <col min="8457" max="8463" width="9"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8.85546875" style="16" customWidth="1"/>
    <col min="8707" max="8707" width="8.140625" style="16" customWidth="1"/>
    <col min="8708" max="8708" width="7.85546875" style="16" customWidth="1"/>
    <col min="8709" max="8709" width="8.5703125" style="16" bestFit="1" customWidth="1"/>
    <col min="8710" max="8712" width="8.42578125" style="16" customWidth="1"/>
    <col min="8713" max="8719" width="9"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8.85546875" style="16" customWidth="1"/>
    <col min="8963" max="8963" width="8.140625" style="16" customWidth="1"/>
    <col min="8964" max="8964" width="7.85546875" style="16" customWidth="1"/>
    <col min="8965" max="8965" width="8.5703125" style="16" bestFit="1" customWidth="1"/>
    <col min="8966" max="8968" width="8.42578125" style="16" customWidth="1"/>
    <col min="8969" max="8975" width="9"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8.85546875" style="16" customWidth="1"/>
    <col min="9219" max="9219" width="8.140625" style="16" customWidth="1"/>
    <col min="9220" max="9220" width="7.85546875" style="16" customWidth="1"/>
    <col min="9221" max="9221" width="8.5703125" style="16" bestFit="1" customWidth="1"/>
    <col min="9222" max="9224" width="8.42578125" style="16" customWidth="1"/>
    <col min="9225" max="9231" width="9"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8.85546875" style="16" customWidth="1"/>
    <col min="9475" max="9475" width="8.140625" style="16" customWidth="1"/>
    <col min="9476" max="9476" width="7.85546875" style="16" customWidth="1"/>
    <col min="9477" max="9477" width="8.5703125" style="16" bestFit="1" customWidth="1"/>
    <col min="9478" max="9480" width="8.42578125" style="16" customWidth="1"/>
    <col min="9481" max="9487" width="9"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8.85546875" style="16" customWidth="1"/>
    <col min="9731" max="9731" width="8.140625" style="16" customWidth="1"/>
    <col min="9732" max="9732" width="7.85546875" style="16" customWidth="1"/>
    <col min="9733" max="9733" width="8.5703125" style="16" bestFit="1" customWidth="1"/>
    <col min="9734" max="9736" width="8.42578125" style="16" customWidth="1"/>
    <col min="9737" max="9743" width="9"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8.85546875" style="16" customWidth="1"/>
    <col min="9987" max="9987" width="8.140625" style="16" customWidth="1"/>
    <col min="9988" max="9988" width="7.85546875" style="16" customWidth="1"/>
    <col min="9989" max="9989" width="8.5703125" style="16" bestFit="1" customWidth="1"/>
    <col min="9990" max="9992" width="8.42578125" style="16" customWidth="1"/>
    <col min="9993" max="9999" width="9"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8.85546875" style="16" customWidth="1"/>
    <col min="10243" max="10243" width="8.140625" style="16" customWidth="1"/>
    <col min="10244" max="10244" width="7.85546875" style="16" customWidth="1"/>
    <col min="10245" max="10245" width="8.5703125" style="16" bestFit="1" customWidth="1"/>
    <col min="10246" max="10248" width="8.42578125" style="16" customWidth="1"/>
    <col min="10249" max="10255" width="9"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8.85546875" style="16" customWidth="1"/>
    <col min="10499" max="10499" width="8.140625" style="16" customWidth="1"/>
    <col min="10500" max="10500" width="7.85546875" style="16" customWidth="1"/>
    <col min="10501" max="10501" width="8.5703125" style="16" bestFit="1" customWidth="1"/>
    <col min="10502" max="10504" width="8.42578125" style="16" customWidth="1"/>
    <col min="10505" max="10511" width="9"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8.85546875" style="16" customWidth="1"/>
    <col min="10755" max="10755" width="8.140625" style="16" customWidth="1"/>
    <col min="10756" max="10756" width="7.85546875" style="16" customWidth="1"/>
    <col min="10757" max="10757" width="8.5703125" style="16" bestFit="1" customWidth="1"/>
    <col min="10758" max="10760" width="8.42578125" style="16" customWidth="1"/>
    <col min="10761" max="10767" width="9"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8.85546875" style="16" customWidth="1"/>
    <col min="11011" max="11011" width="8.140625" style="16" customWidth="1"/>
    <col min="11012" max="11012" width="7.85546875" style="16" customWidth="1"/>
    <col min="11013" max="11013" width="8.5703125" style="16" bestFit="1" customWidth="1"/>
    <col min="11014" max="11016" width="8.42578125" style="16" customWidth="1"/>
    <col min="11017" max="11023" width="9"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8.85546875" style="16" customWidth="1"/>
    <col min="11267" max="11267" width="8.140625" style="16" customWidth="1"/>
    <col min="11268" max="11268" width="7.85546875" style="16" customWidth="1"/>
    <col min="11269" max="11269" width="8.5703125" style="16" bestFit="1" customWidth="1"/>
    <col min="11270" max="11272" width="8.42578125" style="16" customWidth="1"/>
    <col min="11273" max="11279" width="9"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8.85546875" style="16" customWidth="1"/>
    <col min="11523" max="11523" width="8.140625" style="16" customWidth="1"/>
    <col min="11524" max="11524" width="7.85546875" style="16" customWidth="1"/>
    <col min="11525" max="11525" width="8.5703125" style="16" bestFit="1" customWidth="1"/>
    <col min="11526" max="11528" width="8.42578125" style="16" customWidth="1"/>
    <col min="11529" max="11535" width="9"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8.85546875" style="16" customWidth="1"/>
    <col min="11779" max="11779" width="8.140625" style="16" customWidth="1"/>
    <col min="11780" max="11780" width="7.85546875" style="16" customWidth="1"/>
    <col min="11781" max="11781" width="8.5703125" style="16" bestFit="1" customWidth="1"/>
    <col min="11782" max="11784" width="8.42578125" style="16" customWidth="1"/>
    <col min="11785" max="11791" width="9"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8.85546875" style="16" customWidth="1"/>
    <col min="12035" max="12035" width="8.140625" style="16" customWidth="1"/>
    <col min="12036" max="12036" width="7.85546875" style="16" customWidth="1"/>
    <col min="12037" max="12037" width="8.5703125" style="16" bestFit="1" customWidth="1"/>
    <col min="12038" max="12040" width="8.42578125" style="16" customWidth="1"/>
    <col min="12041" max="12047" width="9"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8.85546875" style="16" customWidth="1"/>
    <col min="12291" max="12291" width="8.140625" style="16" customWidth="1"/>
    <col min="12292" max="12292" width="7.85546875" style="16" customWidth="1"/>
    <col min="12293" max="12293" width="8.5703125" style="16" bestFit="1" customWidth="1"/>
    <col min="12294" max="12296" width="8.42578125" style="16" customWidth="1"/>
    <col min="12297" max="12303" width="9"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8.85546875" style="16" customWidth="1"/>
    <col min="12547" max="12547" width="8.140625" style="16" customWidth="1"/>
    <col min="12548" max="12548" width="7.85546875" style="16" customWidth="1"/>
    <col min="12549" max="12549" width="8.5703125" style="16" bestFit="1" customWidth="1"/>
    <col min="12550" max="12552" width="8.42578125" style="16" customWidth="1"/>
    <col min="12553" max="12559" width="9"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8.85546875" style="16" customWidth="1"/>
    <col min="12803" max="12803" width="8.140625" style="16" customWidth="1"/>
    <col min="12804" max="12804" width="7.85546875" style="16" customWidth="1"/>
    <col min="12805" max="12805" width="8.5703125" style="16" bestFit="1" customWidth="1"/>
    <col min="12806" max="12808" width="8.42578125" style="16" customWidth="1"/>
    <col min="12809" max="12815" width="9"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8.85546875" style="16" customWidth="1"/>
    <col min="13059" max="13059" width="8.140625" style="16" customWidth="1"/>
    <col min="13060" max="13060" width="7.85546875" style="16" customWidth="1"/>
    <col min="13061" max="13061" width="8.5703125" style="16" bestFit="1" customWidth="1"/>
    <col min="13062" max="13064" width="8.42578125" style="16" customWidth="1"/>
    <col min="13065" max="13071" width="9"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8.85546875" style="16" customWidth="1"/>
    <col min="13315" max="13315" width="8.140625" style="16" customWidth="1"/>
    <col min="13316" max="13316" width="7.85546875" style="16" customWidth="1"/>
    <col min="13317" max="13317" width="8.5703125" style="16" bestFit="1" customWidth="1"/>
    <col min="13318" max="13320" width="8.42578125" style="16" customWidth="1"/>
    <col min="13321" max="13327" width="9"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8.85546875" style="16" customWidth="1"/>
    <col min="13571" max="13571" width="8.140625" style="16" customWidth="1"/>
    <col min="13572" max="13572" width="7.85546875" style="16" customWidth="1"/>
    <col min="13573" max="13573" width="8.5703125" style="16" bestFit="1" customWidth="1"/>
    <col min="13574" max="13576" width="8.42578125" style="16" customWidth="1"/>
    <col min="13577" max="13583" width="9"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8.85546875" style="16" customWidth="1"/>
    <col min="13827" max="13827" width="8.140625" style="16" customWidth="1"/>
    <col min="13828" max="13828" width="7.85546875" style="16" customWidth="1"/>
    <col min="13829" max="13829" width="8.5703125" style="16" bestFit="1" customWidth="1"/>
    <col min="13830" max="13832" width="8.42578125" style="16" customWidth="1"/>
    <col min="13833" max="13839" width="9"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8.85546875" style="16" customWidth="1"/>
    <col min="14083" max="14083" width="8.140625" style="16" customWidth="1"/>
    <col min="14084" max="14084" width="7.85546875" style="16" customWidth="1"/>
    <col min="14085" max="14085" width="8.5703125" style="16" bestFit="1" customWidth="1"/>
    <col min="14086" max="14088" width="8.42578125" style="16" customWidth="1"/>
    <col min="14089" max="14095" width="9"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8.85546875" style="16" customWidth="1"/>
    <col min="14339" max="14339" width="8.140625" style="16" customWidth="1"/>
    <col min="14340" max="14340" width="7.85546875" style="16" customWidth="1"/>
    <col min="14341" max="14341" width="8.5703125" style="16" bestFit="1" customWidth="1"/>
    <col min="14342" max="14344" width="8.42578125" style="16" customWidth="1"/>
    <col min="14345" max="14351" width="9"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8.85546875" style="16" customWidth="1"/>
    <col min="14595" max="14595" width="8.140625" style="16" customWidth="1"/>
    <col min="14596" max="14596" width="7.85546875" style="16" customWidth="1"/>
    <col min="14597" max="14597" width="8.5703125" style="16" bestFit="1" customWidth="1"/>
    <col min="14598" max="14600" width="8.42578125" style="16" customWidth="1"/>
    <col min="14601" max="14607" width="9"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8.85546875" style="16" customWidth="1"/>
    <col min="14851" max="14851" width="8.140625" style="16" customWidth="1"/>
    <col min="14852" max="14852" width="7.85546875" style="16" customWidth="1"/>
    <col min="14853" max="14853" width="8.5703125" style="16" bestFit="1" customWidth="1"/>
    <col min="14854" max="14856" width="8.42578125" style="16" customWidth="1"/>
    <col min="14857" max="14863" width="9"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8.85546875" style="16" customWidth="1"/>
    <col min="15107" max="15107" width="8.140625" style="16" customWidth="1"/>
    <col min="15108" max="15108" width="7.85546875" style="16" customWidth="1"/>
    <col min="15109" max="15109" width="8.5703125" style="16" bestFit="1" customWidth="1"/>
    <col min="15110" max="15112" width="8.42578125" style="16" customWidth="1"/>
    <col min="15113" max="15119" width="9"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8.85546875" style="16" customWidth="1"/>
    <col min="15363" max="15363" width="8.140625" style="16" customWidth="1"/>
    <col min="15364" max="15364" width="7.85546875" style="16" customWidth="1"/>
    <col min="15365" max="15365" width="8.5703125" style="16" bestFit="1" customWidth="1"/>
    <col min="15366" max="15368" width="8.42578125" style="16" customWidth="1"/>
    <col min="15369" max="15375" width="9"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8.85546875" style="16" customWidth="1"/>
    <col min="15619" max="15619" width="8.140625" style="16" customWidth="1"/>
    <col min="15620" max="15620" width="7.85546875" style="16" customWidth="1"/>
    <col min="15621" max="15621" width="8.5703125" style="16" bestFit="1" customWidth="1"/>
    <col min="15622" max="15624" width="8.42578125" style="16" customWidth="1"/>
    <col min="15625" max="15631" width="9"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8.85546875" style="16" customWidth="1"/>
    <col min="15875" max="15875" width="8.140625" style="16" customWidth="1"/>
    <col min="15876" max="15876" width="7.85546875" style="16" customWidth="1"/>
    <col min="15877" max="15877" width="8.5703125" style="16" bestFit="1" customWidth="1"/>
    <col min="15878" max="15880" width="8.42578125" style="16" customWidth="1"/>
    <col min="15881" max="15887" width="9"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8.85546875" style="16" customWidth="1"/>
    <col min="16131" max="16131" width="8.140625" style="16" customWidth="1"/>
    <col min="16132" max="16132" width="7.85546875" style="16" customWidth="1"/>
    <col min="16133" max="16133" width="8.5703125" style="16" bestFit="1" customWidth="1"/>
    <col min="16134" max="16136" width="8.42578125" style="16" customWidth="1"/>
    <col min="16137" max="16143" width="9"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67" t="s">
        <v>100</v>
      </c>
      <c r="B1" s="868"/>
      <c r="C1" s="868"/>
      <c r="D1" s="869"/>
      <c r="E1" s="868"/>
      <c r="F1" s="868"/>
      <c r="G1" s="867" t="s">
        <v>102</v>
      </c>
      <c r="H1" s="869"/>
      <c r="I1" s="869" t="s">
        <v>77</v>
      </c>
      <c r="J1" s="868"/>
      <c r="K1" s="868"/>
      <c r="L1" s="870"/>
      <c r="M1" s="870"/>
      <c r="N1" s="870"/>
      <c r="O1" s="870"/>
    </row>
    <row r="2" spans="1:15" s="1" customFormat="1" x14ac:dyDescent="0.2">
      <c r="A2" s="867" t="s">
        <v>103</v>
      </c>
      <c r="B2" s="868"/>
      <c r="C2" s="868"/>
      <c r="D2" s="869"/>
      <c r="E2" s="868"/>
      <c r="F2" s="868"/>
      <c r="G2" s="867" t="s">
        <v>104</v>
      </c>
      <c r="H2" s="869"/>
      <c r="I2" s="869" t="s">
        <v>105</v>
      </c>
      <c r="J2" s="868"/>
      <c r="K2" s="868"/>
      <c r="L2" s="870"/>
      <c r="M2" s="870"/>
      <c r="N2" s="870"/>
      <c r="O2" s="870"/>
    </row>
    <row r="3" spans="1:15" s="1" customFormat="1" x14ac:dyDescent="0.2">
      <c r="A3" s="867" t="s">
        <v>106</v>
      </c>
      <c r="B3" s="868"/>
      <c r="C3" s="868"/>
      <c r="D3" s="883" t="s">
        <v>290</v>
      </c>
      <c r="E3" s="868"/>
      <c r="F3" s="868"/>
      <c r="G3" s="867" t="s">
        <v>107</v>
      </c>
      <c r="H3" s="869"/>
      <c r="I3" s="869" t="s">
        <v>108</v>
      </c>
      <c r="J3" s="868"/>
      <c r="K3" s="868"/>
      <c r="L3" s="870"/>
      <c r="M3" s="870"/>
      <c r="N3" s="870"/>
      <c r="O3" s="870"/>
    </row>
    <row r="4" spans="1:15" s="1" customFormat="1" x14ac:dyDescent="0.2">
      <c r="A4" s="867" t="s">
        <v>109</v>
      </c>
      <c r="B4" s="868"/>
      <c r="C4" s="868"/>
      <c r="D4" s="869"/>
      <c r="E4" s="868"/>
      <c r="F4" s="868"/>
      <c r="G4" s="867" t="s">
        <v>110</v>
      </c>
      <c r="H4" s="869"/>
      <c r="I4" s="869" t="s">
        <v>272</v>
      </c>
      <c r="J4" s="868"/>
      <c r="K4" s="868"/>
      <c r="L4" s="870"/>
      <c r="M4" s="870"/>
      <c r="N4" s="870"/>
      <c r="O4" s="870"/>
    </row>
    <row r="5" spans="1:15" s="1" customFormat="1" x14ac:dyDescent="0.2">
      <c r="A5" s="867" t="s">
        <v>278</v>
      </c>
      <c r="B5" s="868"/>
      <c r="C5" s="868"/>
      <c r="D5" s="869" t="s">
        <v>291</v>
      </c>
      <c r="E5" s="868"/>
      <c r="F5" s="868"/>
      <c r="G5" s="867"/>
      <c r="H5" s="868"/>
      <c r="I5" s="869" t="s">
        <v>113</v>
      </c>
      <c r="J5" s="868"/>
      <c r="K5" s="868"/>
      <c r="L5" s="870"/>
      <c r="M5" s="870"/>
      <c r="N5" s="870"/>
      <c r="O5" s="870"/>
    </row>
    <row r="6" spans="1:15" s="1" customFormat="1" x14ac:dyDescent="0.2">
      <c r="A6" s="871" t="s">
        <v>114</v>
      </c>
      <c r="B6" s="872"/>
      <c r="C6" s="872"/>
      <c r="D6" s="868" t="s">
        <v>78</v>
      </c>
      <c r="E6" s="868"/>
      <c r="F6" s="868"/>
      <c r="G6" s="871" t="s">
        <v>115</v>
      </c>
      <c r="H6" s="871"/>
      <c r="I6" s="2" t="s">
        <v>116</v>
      </c>
      <c r="J6" s="888"/>
      <c r="K6" s="888"/>
      <c r="L6" s="888"/>
      <c r="M6" s="888"/>
      <c r="N6" s="888"/>
      <c r="O6" s="889"/>
    </row>
    <row r="7" spans="1:15" s="1" customFormat="1" ht="13.5" thickBot="1" x14ac:dyDescent="0.25">
      <c r="A7" s="3"/>
      <c r="B7" s="4"/>
      <c r="C7" s="5"/>
      <c r="D7" s="6"/>
      <c r="E7" s="6"/>
      <c r="F7" s="6"/>
      <c r="G7" s="6"/>
      <c r="H7" s="6"/>
      <c r="I7" s="6"/>
      <c r="J7" s="7"/>
      <c r="K7" s="8"/>
      <c r="L7" s="875" t="s">
        <v>223</v>
      </c>
      <c r="M7" s="875"/>
      <c r="N7" s="875"/>
      <c r="O7" s="875"/>
    </row>
    <row r="8" spans="1:15" s="11" customFormat="1" x14ac:dyDescent="0.2">
      <c r="A8" s="876" t="str">
        <f>I1</f>
        <v>Ajit M. Kamble</v>
      </c>
      <c r="B8" s="877"/>
      <c r="C8" s="144">
        <v>43160</v>
      </c>
      <c r="D8" s="144">
        <v>43191</v>
      </c>
      <c r="E8" s="144">
        <v>43221</v>
      </c>
      <c r="F8" s="144">
        <v>43252</v>
      </c>
      <c r="G8" s="144">
        <v>43282</v>
      </c>
      <c r="H8" s="144">
        <v>43313</v>
      </c>
      <c r="I8" s="144">
        <v>43344</v>
      </c>
      <c r="J8" s="144">
        <v>43374</v>
      </c>
      <c r="K8" s="144">
        <v>43405</v>
      </c>
      <c r="L8" s="144">
        <v>43435</v>
      </c>
      <c r="M8" s="144">
        <v>43466</v>
      </c>
      <c r="N8" s="144">
        <v>43497</v>
      </c>
      <c r="O8" s="10" t="s">
        <v>117</v>
      </c>
    </row>
    <row r="9" spans="1:15" ht="15" x14ac:dyDescent="0.2">
      <c r="A9" s="12"/>
      <c r="B9" s="13" t="s">
        <v>118</v>
      </c>
      <c r="C9" s="14">
        <v>34000</v>
      </c>
      <c r="D9" s="14">
        <v>34000</v>
      </c>
      <c r="E9" s="14">
        <v>34000</v>
      </c>
      <c r="F9" s="14">
        <v>34000</v>
      </c>
      <c r="G9" s="14">
        <v>35000</v>
      </c>
      <c r="H9" s="14">
        <v>35000</v>
      </c>
      <c r="I9" s="14">
        <v>35000</v>
      </c>
      <c r="J9" s="14">
        <v>35000</v>
      </c>
      <c r="K9" s="14">
        <v>35000</v>
      </c>
      <c r="L9" s="14">
        <v>35000</v>
      </c>
      <c r="M9" s="14">
        <v>35000</v>
      </c>
      <c r="N9" s="14">
        <v>35000</v>
      </c>
      <c r="O9" s="15">
        <f>SUM(C9:N9)</f>
        <v>416000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1700</v>
      </c>
      <c r="D11" s="17">
        <v>2380</v>
      </c>
      <c r="E11" s="17">
        <v>2380</v>
      </c>
      <c r="F11" s="17">
        <v>2380</v>
      </c>
      <c r="G11" s="17">
        <v>2450</v>
      </c>
      <c r="H11" s="17">
        <v>2450</v>
      </c>
      <c r="I11" s="17">
        <v>2450</v>
      </c>
      <c r="J11" s="17">
        <v>3150</v>
      </c>
      <c r="K11" s="17">
        <v>3150</v>
      </c>
      <c r="L11" s="17">
        <v>3150</v>
      </c>
      <c r="M11" s="17">
        <v>3150</v>
      </c>
      <c r="N11" s="17">
        <v>3150</v>
      </c>
      <c r="O11" s="18">
        <f>SUM(C11:N11)</f>
        <v>31940</v>
      </c>
    </row>
    <row r="12" spans="1:15"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x14ac:dyDescent="0.2">
      <c r="A14" s="12"/>
      <c r="B14" s="13" t="s">
        <v>123</v>
      </c>
      <c r="C14" s="17">
        <v>3780</v>
      </c>
      <c r="D14" s="17">
        <v>3852</v>
      </c>
      <c r="E14" s="17">
        <v>3852</v>
      </c>
      <c r="F14" s="17">
        <v>3852</v>
      </c>
      <c r="G14" s="17">
        <v>3852</v>
      </c>
      <c r="H14" s="17">
        <v>3852</v>
      </c>
      <c r="I14" s="17">
        <v>3852</v>
      </c>
      <c r="J14" s="17">
        <v>3924</v>
      </c>
      <c r="K14" s="17">
        <v>3924</v>
      </c>
      <c r="L14" s="17">
        <v>3924</v>
      </c>
      <c r="M14" s="17">
        <v>3924</v>
      </c>
      <c r="N14" s="17">
        <v>3924</v>
      </c>
      <c r="O14" s="18">
        <f t="shared" si="0"/>
        <v>46512</v>
      </c>
    </row>
    <row r="15" spans="1:15" ht="15" customHeight="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2.75" customHeight="1" x14ac:dyDescent="0.2">
      <c r="A16" s="12"/>
      <c r="B16" s="13" t="s">
        <v>125</v>
      </c>
      <c r="C16" s="17">
        <v>0</v>
      </c>
      <c r="D16" s="17">
        <v>0</v>
      </c>
      <c r="E16" s="17">
        <v>0</v>
      </c>
      <c r="F16" s="17">
        <v>0</v>
      </c>
      <c r="G16" s="17">
        <v>5000</v>
      </c>
      <c r="H16" s="17">
        <v>0</v>
      </c>
      <c r="I16" s="17">
        <v>0</v>
      </c>
      <c r="J16" s="17">
        <v>0</v>
      </c>
      <c r="K16" s="17">
        <v>0</v>
      </c>
      <c r="L16" s="17">
        <v>0</v>
      </c>
      <c r="M16" s="17">
        <v>0</v>
      </c>
      <c r="N16" s="17">
        <v>0</v>
      </c>
      <c r="O16" s="18">
        <f t="shared" si="0"/>
        <v>5000</v>
      </c>
    </row>
    <row r="17" spans="1:15" ht="15" customHeight="1" x14ac:dyDescent="0.2">
      <c r="A17" s="12"/>
      <c r="B17" s="13" t="s">
        <v>143</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0</v>
      </c>
      <c r="D19" s="17">
        <v>0</v>
      </c>
      <c r="E19" s="17">
        <v>0</v>
      </c>
      <c r="F19" s="17">
        <v>0</v>
      </c>
      <c r="G19" s="17">
        <v>0</v>
      </c>
      <c r="H19" s="17">
        <v>0</v>
      </c>
      <c r="I19" s="17">
        <v>0</v>
      </c>
      <c r="J19" s="17">
        <v>0</v>
      </c>
      <c r="K19" s="17">
        <v>0</v>
      </c>
      <c r="L19" s="17">
        <v>0</v>
      </c>
      <c r="M19" s="17">
        <v>0</v>
      </c>
      <c r="N19" s="17">
        <v>0</v>
      </c>
      <c r="O19" s="18">
        <f t="shared" si="0"/>
        <v>0</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78"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79"/>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5" ht="15" hidden="1" customHeight="1" x14ac:dyDescent="0.2">
      <c r="A23" s="879"/>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79"/>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79"/>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79"/>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79"/>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79"/>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79"/>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79"/>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customHeight="1" x14ac:dyDescent="0.2">
      <c r="A31" s="879"/>
      <c r="B31" s="167" t="s">
        <v>246</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79"/>
      <c r="B32" s="21" t="s">
        <v>142</v>
      </c>
      <c r="C32" s="17">
        <v>0</v>
      </c>
      <c r="D32" s="17">
        <v>0</v>
      </c>
      <c r="E32" s="17">
        <v>0</v>
      </c>
      <c r="F32" s="17">
        <v>0</v>
      </c>
      <c r="G32" s="17">
        <v>0</v>
      </c>
      <c r="H32" s="17">
        <v>0</v>
      </c>
      <c r="I32" s="17">
        <v>0</v>
      </c>
      <c r="J32" s="17">
        <v>0</v>
      </c>
      <c r="K32" s="17">
        <v>0</v>
      </c>
      <c r="L32" s="17">
        <v>0</v>
      </c>
      <c r="M32" s="17">
        <v>0</v>
      </c>
      <c r="N32" s="17">
        <v>0</v>
      </c>
      <c r="O32" s="18">
        <f t="shared" si="0"/>
        <v>0</v>
      </c>
    </row>
    <row r="33" spans="1:16" ht="15" hidden="1" customHeight="1" x14ac:dyDescent="0.2">
      <c r="A33" s="880"/>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865" t="s">
        <v>144</v>
      </c>
      <c r="B34" s="866"/>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865" t="s">
        <v>145</v>
      </c>
      <c r="B35" s="866"/>
      <c r="C35" s="17">
        <v>0</v>
      </c>
      <c r="D35" s="17">
        <v>216</v>
      </c>
      <c r="E35" s="17">
        <v>0</v>
      </c>
      <c r="F35" s="17">
        <v>0</v>
      </c>
      <c r="G35" s="17">
        <v>0</v>
      </c>
      <c r="H35" s="17">
        <v>0</v>
      </c>
      <c r="I35" s="17">
        <v>0</v>
      </c>
      <c r="J35" s="17">
        <v>216</v>
      </c>
      <c r="K35" s="17">
        <v>0</v>
      </c>
      <c r="L35" s="17">
        <v>0</v>
      </c>
      <c r="M35" s="17">
        <v>0</v>
      </c>
      <c r="N35" s="17">
        <v>0</v>
      </c>
      <c r="O35" s="18">
        <f t="shared" si="0"/>
        <v>432</v>
      </c>
    </row>
    <row r="36" spans="1:16" ht="15" customHeight="1" x14ac:dyDescent="0.2">
      <c r="A36" s="865" t="s">
        <v>146</v>
      </c>
      <c r="B36" s="866"/>
      <c r="C36" s="17">
        <v>0</v>
      </c>
      <c r="D36" s="17">
        <v>2040</v>
      </c>
      <c r="E36" s="17">
        <v>0</v>
      </c>
      <c r="F36" s="17">
        <v>0</v>
      </c>
      <c r="G36" s="17">
        <v>0</v>
      </c>
      <c r="H36" s="17">
        <v>0</v>
      </c>
      <c r="I36" s="17">
        <v>0</v>
      </c>
      <c r="J36" s="17">
        <v>2100</v>
      </c>
      <c r="K36" s="17">
        <v>0</v>
      </c>
      <c r="L36" s="17">
        <v>0</v>
      </c>
      <c r="M36" s="17">
        <v>0</v>
      </c>
      <c r="N36" s="17">
        <v>0</v>
      </c>
      <c r="O36" s="18">
        <f t="shared" si="0"/>
        <v>4140</v>
      </c>
    </row>
    <row r="37" spans="1:16" ht="15" customHeight="1" x14ac:dyDescent="0.2">
      <c r="A37" s="22"/>
      <c r="B37" s="23" t="s">
        <v>147</v>
      </c>
      <c r="C37" s="24">
        <f t="shared" ref="C37:N37" si="1">SUM(C9:C36)</f>
        <v>39480</v>
      </c>
      <c r="D37" s="24">
        <f t="shared" si="1"/>
        <v>42488</v>
      </c>
      <c r="E37" s="24">
        <f t="shared" si="1"/>
        <v>40232</v>
      </c>
      <c r="F37" s="24">
        <f t="shared" si="1"/>
        <v>40232</v>
      </c>
      <c r="G37" s="24">
        <f t="shared" si="1"/>
        <v>46302</v>
      </c>
      <c r="H37" s="24">
        <f t="shared" si="1"/>
        <v>41302</v>
      </c>
      <c r="I37" s="24">
        <f t="shared" si="1"/>
        <v>41302</v>
      </c>
      <c r="J37" s="24">
        <f t="shared" si="1"/>
        <v>51298</v>
      </c>
      <c r="K37" s="24">
        <f t="shared" si="1"/>
        <v>42074</v>
      </c>
      <c r="L37" s="24">
        <f t="shared" si="1"/>
        <v>42074</v>
      </c>
      <c r="M37" s="24">
        <f t="shared" si="1"/>
        <v>42074</v>
      </c>
      <c r="N37" s="24">
        <f t="shared" si="1"/>
        <v>42074</v>
      </c>
      <c r="O37" s="25">
        <f>SUM(C37:N37)</f>
        <v>510932</v>
      </c>
    </row>
    <row r="38" spans="1:16" ht="15" customHeight="1" x14ac:dyDescent="0.2">
      <c r="A38" s="853" t="s">
        <v>148</v>
      </c>
      <c r="B38" s="27" t="s">
        <v>149</v>
      </c>
      <c r="C38" s="147">
        <v>0</v>
      </c>
      <c r="D38" s="147">
        <v>0</v>
      </c>
      <c r="E38" s="147">
        <v>0</v>
      </c>
      <c r="F38" s="147">
        <v>0</v>
      </c>
      <c r="G38" s="147">
        <v>0</v>
      </c>
      <c r="H38" s="147">
        <v>0</v>
      </c>
      <c r="I38" s="147">
        <v>0</v>
      </c>
      <c r="J38" s="147">
        <v>500</v>
      </c>
      <c r="K38" s="147">
        <v>0</v>
      </c>
      <c r="L38" s="147">
        <v>0</v>
      </c>
      <c r="M38" s="147">
        <v>0</v>
      </c>
      <c r="N38" s="147">
        <v>0</v>
      </c>
      <c r="O38" s="18">
        <f>SUM(C38:N38)</f>
        <v>500</v>
      </c>
      <c r="P38" s="29"/>
    </row>
    <row r="39" spans="1:16" ht="15" x14ac:dyDescent="0.2">
      <c r="A39" s="854"/>
      <c r="B39" s="27" t="s">
        <v>150</v>
      </c>
      <c r="C39" s="147">
        <v>0</v>
      </c>
      <c r="D39" s="147">
        <v>0</v>
      </c>
      <c r="E39" s="147">
        <v>0</v>
      </c>
      <c r="F39" s="147">
        <v>0</v>
      </c>
      <c r="G39" s="147">
        <v>0</v>
      </c>
      <c r="H39" s="147">
        <v>0</v>
      </c>
      <c r="I39" s="147">
        <v>0</v>
      </c>
      <c r="J39" s="147">
        <v>0</v>
      </c>
      <c r="K39" s="147">
        <v>0</v>
      </c>
      <c r="L39" s="147">
        <v>0</v>
      </c>
      <c r="M39" s="147">
        <v>0</v>
      </c>
      <c r="N39" s="147">
        <v>0</v>
      </c>
      <c r="O39" s="18">
        <f>SUM(C39:N39)</f>
        <v>0</v>
      </c>
    </row>
    <row r="40" spans="1:16" ht="15" x14ac:dyDescent="0.2">
      <c r="A40" s="854"/>
      <c r="B40" s="27" t="s">
        <v>151</v>
      </c>
      <c r="C40" s="147">
        <v>30</v>
      </c>
      <c r="D40" s="147">
        <v>30</v>
      </c>
      <c r="E40" s="147">
        <v>30</v>
      </c>
      <c r="F40" s="147">
        <v>30</v>
      </c>
      <c r="G40" s="147">
        <v>30</v>
      </c>
      <c r="H40" s="147">
        <v>30</v>
      </c>
      <c r="I40" s="147">
        <v>30</v>
      </c>
      <c r="J40" s="147">
        <v>30</v>
      </c>
      <c r="K40" s="147">
        <v>30</v>
      </c>
      <c r="L40" s="147">
        <v>30</v>
      </c>
      <c r="M40" s="147">
        <v>30</v>
      </c>
      <c r="N40" s="147">
        <v>30</v>
      </c>
      <c r="O40" s="18">
        <f t="shared" ref="O40:O50" si="2">SUM(C40:N40)</f>
        <v>360</v>
      </c>
    </row>
    <row r="41" spans="1:16" ht="30" x14ac:dyDescent="0.2">
      <c r="A41" s="854"/>
      <c r="B41" s="27" t="s">
        <v>292</v>
      </c>
      <c r="C41" s="147">
        <v>1000</v>
      </c>
      <c r="D41" s="147">
        <v>1000</v>
      </c>
      <c r="E41" s="147">
        <v>1000</v>
      </c>
      <c r="F41" s="147">
        <v>1000</v>
      </c>
      <c r="G41" s="147">
        <v>1000</v>
      </c>
      <c r="H41" s="147">
        <v>1000</v>
      </c>
      <c r="I41" s="147">
        <v>1000</v>
      </c>
      <c r="J41" s="147">
        <v>1000</v>
      </c>
      <c r="K41" s="147">
        <v>456</v>
      </c>
      <c r="L41" s="147">
        <v>0</v>
      </c>
      <c r="M41" s="147">
        <v>0</v>
      </c>
      <c r="N41" s="147">
        <v>0</v>
      </c>
      <c r="O41" s="18">
        <f t="shared" si="2"/>
        <v>8456</v>
      </c>
    </row>
    <row r="42" spans="1:16" ht="15" x14ac:dyDescent="0.2">
      <c r="A42" s="854"/>
      <c r="B42" s="27" t="s">
        <v>153</v>
      </c>
      <c r="C42" s="147">
        <v>250</v>
      </c>
      <c r="D42" s="147">
        <v>250</v>
      </c>
      <c r="E42" s="147">
        <v>250</v>
      </c>
      <c r="F42" s="147">
        <v>250</v>
      </c>
      <c r="G42" s="147">
        <v>250</v>
      </c>
      <c r="H42" s="147">
        <v>250</v>
      </c>
      <c r="I42" s="147">
        <v>250</v>
      </c>
      <c r="J42" s="147">
        <v>250</v>
      </c>
      <c r="K42" s="147">
        <v>250</v>
      </c>
      <c r="L42" s="147">
        <v>250</v>
      </c>
      <c r="M42" s="147">
        <v>250</v>
      </c>
      <c r="N42" s="147">
        <v>250</v>
      </c>
      <c r="O42" s="18">
        <f t="shared" si="2"/>
        <v>3000</v>
      </c>
    </row>
    <row r="43" spans="1:16" ht="15" x14ac:dyDescent="0.2">
      <c r="A43" s="854"/>
      <c r="B43" s="27" t="s">
        <v>154</v>
      </c>
      <c r="C43" s="147">
        <v>7000</v>
      </c>
      <c r="D43" s="147">
        <v>7000</v>
      </c>
      <c r="E43" s="147">
        <v>7000</v>
      </c>
      <c r="F43" s="147">
        <v>7000</v>
      </c>
      <c r="G43" s="147">
        <v>7000</v>
      </c>
      <c r="H43" s="147">
        <v>7000</v>
      </c>
      <c r="I43" s="147">
        <v>7000</v>
      </c>
      <c r="J43" s="147">
        <v>7000</v>
      </c>
      <c r="K43" s="147">
        <v>7000</v>
      </c>
      <c r="L43" s="147">
        <v>7000</v>
      </c>
      <c r="M43" s="147">
        <v>7000</v>
      </c>
      <c r="N43" s="147">
        <v>7000</v>
      </c>
      <c r="O43" s="18">
        <f t="shared" si="2"/>
        <v>84000</v>
      </c>
    </row>
    <row r="44" spans="1:16" ht="15" x14ac:dyDescent="0.2">
      <c r="A44" s="854"/>
      <c r="B44" s="27" t="s">
        <v>155</v>
      </c>
      <c r="C44" s="147">
        <v>200</v>
      </c>
      <c r="D44" s="147">
        <v>200</v>
      </c>
      <c r="E44" s="147">
        <v>200</v>
      </c>
      <c r="F44" s="147">
        <v>200</v>
      </c>
      <c r="G44" s="147">
        <v>200</v>
      </c>
      <c r="H44" s="147">
        <v>200</v>
      </c>
      <c r="I44" s="147">
        <v>200</v>
      </c>
      <c r="J44" s="147">
        <v>200</v>
      </c>
      <c r="K44" s="147">
        <v>200</v>
      </c>
      <c r="L44" s="147">
        <v>200</v>
      </c>
      <c r="M44" s="147">
        <v>200</v>
      </c>
      <c r="N44" s="147">
        <v>300</v>
      </c>
      <c r="O44" s="18">
        <f t="shared" si="2"/>
        <v>2500</v>
      </c>
    </row>
    <row r="45" spans="1:16" ht="15" x14ac:dyDescent="0.2">
      <c r="A45" s="854"/>
      <c r="B45" s="27" t="s">
        <v>293</v>
      </c>
      <c r="C45" s="147">
        <v>363</v>
      </c>
      <c r="D45" s="147">
        <v>363</v>
      </c>
      <c r="E45" s="147">
        <v>363</v>
      </c>
      <c r="F45" s="147">
        <v>363</v>
      </c>
      <c r="G45" s="147">
        <v>363</v>
      </c>
      <c r="H45" s="147">
        <v>363</v>
      </c>
      <c r="I45" s="147">
        <v>363</v>
      </c>
      <c r="J45" s="147">
        <v>363</v>
      </c>
      <c r="K45" s="147">
        <v>363</v>
      </c>
      <c r="L45" s="147">
        <v>363</v>
      </c>
      <c r="M45" s="147">
        <v>363</v>
      </c>
      <c r="N45" s="147">
        <v>363</v>
      </c>
      <c r="O45" s="18">
        <f t="shared" si="2"/>
        <v>4356</v>
      </c>
    </row>
    <row r="46" spans="1:16" ht="15" x14ac:dyDescent="0.2">
      <c r="A46" s="854"/>
      <c r="B46" s="27" t="s">
        <v>157</v>
      </c>
      <c r="C46" s="147">
        <v>0</v>
      </c>
      <c r="D46" s="147">
        <v>0</v>
      </c>
      <c r="E46" s="147">
        <v>0</v>
      </c>
      <c r="F46" s="147">
        <v>0</v>
      </c>
      <c r="G46" s="147">
        <v>0</v>
      </c>
      <c r="H46" s="147">
        <v>0</v>
      </c>
      <c r="I46" s="147">
        <v>0</v>
      </c>
      <c r="J46" s="147">
        <v>0</v>
      </c>
      <c r="K46" s="147">
        <v>0</v>
      </c>
      <c r="L46" s="147">
        <v>0</v>
      </c>
      <c r="M46" s="147">
        <v>0</v>
      </c>
      <c r="N46" s="147">
        <v>0</v>
      </c>
      <c r="O46" s="18">
        <f t="shared" si="2"/>
        <v>0</v>
      </c>
    </row>
    <row r="47" spans="1:16" ht="28.5" customHeight="1" x14ac:dyDescent="0.2">
      <c r="A47" s="855"/>
      <c r="B47" s="30" t="s">
        <v>294</v>
      </c>
      <c r="C47" s="147">
        <v>1943</v>
      </c>
      <c r="D47" s="147">
        <v>1943</v>
      </c>
      <c r="E47" s="147">
        <v>1943</v>
      </c>
      <c r="F47" s="147">
        <v>1943</v>
      </c>
      <c r="G47" s="147">
        <v>1943</v>
      </c>
      <c r="H47" s="147">
        <v>1943</v>
      </c>
      <c r="I47" s="147">
        <v>1943</v>
      </c>
      <c r="J47" s="147">
        <v>1943</v>
      </c>
      <c r="K47" s="147">
        <v>1943</v>
      </c>
      <c r="L47" s="147">
        <v>1943</v>
      </c>
      <c r="M47" s="147">
        <v>1943</v>
      </c>
      <c r="N47" s="147">
        <v>1943</v>
      </c>
      <c r="O47" s="31">
        <f t="shared" si="2"/>
        <v>23316</v>
      </c>
    </row>
    <row r="48" spans="1:16" ht="15" x14ac:dyDescent="0.2">
      <c r="A48" s="856"/>
      <c r="B48" s="127" t="s">
        <v>295</v>
      </c>
      <c r="C48" s="147">
        <v>0</v>
      </c>
      <c r="D48" s="147">
        <v>0</v>
      </c>
      <c r="E48" s="147">
        <v>0</v>
      </c>
      <c r="F48" s="147">
        <v>0</v>
      </c>
      <c r="G48" s="147">
        <v>0</v>
      </c>
      <c r="H48" s="147">
        <v>0</v>
      </c>
      <c r="I48" s="147">
        <v>0</v>
      </c>
      <c r="J48" s="147">
        <v>0</v>
      </c>
      <c r="K48" s="147">
        <v>0</v>
      </c>
      <c r="L48" s="147">
        <v>0</v>
      </c>
      <c r="M48" s="147">
        <v>0</v>
      </c>
      <c r="N48" s="147">
        <v>0</v>
      </c>
      <c r="O48" s="31">
        <f t="shared" si="2"/>
        <v>0</v>
      </c>
    </row>
    <row r="49" spans="1:18" ht="15" x14ac:dyDescent="0.2">
      <c r="A49" s="857" t="s">
        <v>160</v>
      </c>
      <c r="B49" s="858"/>
      <c r="C49" s="33">
        <f>SUM(C38:C48)</f>
        <v>10786</v>
      </c>
      <c r="D49" s="33">
        <f t="shared" ref="D49:N49" si="3">SUM(D38:D48)</f>
        <v>10786</v>
      </c>
      <c r="E49" s="33">
        <f t="shared" si="3"/>
        <v>10786</v>
      </c>
      <c r="F49" s="33">
        <f t="shared" si="3"/>
        <v>10786</v>
      </c>
      <c r="G49" s="33">
        <f t="shared" si="3"/>
        <v>10786</v>
      </c>
      <c r="H49" s="33">
        <f t="shared" si="3"/>
        <v>10786</v>
      </c>
      <c r="I49" s="33">
        <f t="shared" si="3"/>
        <v>10786</v>
      </c>
      <c r="J49" s="33">
        <f t="shared" si="3"/>
        <v>11286</v>
      </c>
      <c r="K49" s="33">
        <f t="shared" si="3"/>
        <v>10242</v>
      </c>
      <c r="L49" s="33">
        <f t="shared" si="3"/>
        <v>9786</v>
      </c>
      <c r="M49" s="33">
        <f t="shared" si="3"/>
        <v>9786</v>
      </c>
      <c r="N49" s="33">
        <f t="shared" si="3"/>
        <v>9886</v>
      </c>
      <c r="O49" s="34">
        <f t="shared" si="2"/>
        <v>126488</v>
      </c>
    </row>
    <row r="50" spans="1:18" ht="15.75" thickBot="1" x14ac:dyDescent="0.25">
      <c r="A50" s="859" t="s">
        <v>161</v>
      </c>
      <c r="B50" s="860"/>
      <c r="C50" s="35">
        <f t="shared" ref="C50:N50" si="4">C37-C49</f>
        <v>28694</v>
      </c>
      <c r="D50" s="35">
        <f t="shared" si="4"/>
        <v>31702</v>
      </c>
      <c r="E50" s="35">
        <f t="shared" si="4"/>
        <v>29446</v>
      </c>
      <c r="F50" s="35">
        <f t="shared" si="4"/>
        <v>29446</v>
      </c>
      <c r="G50" s="35">
        <f t="shared" si="4"/>
        <v>35516</v>
      </c>
      <c r="H50" s="35">
        <f t="shared" si="4"/>
        <v>30516</v>
      </c>
      <c r="I50" s="35">
        <f t="shared" si="4"/>
        <v>30516</v>
      </c>
      <c r="J50" s="35">
        <f t="shared" si="4"/>
        <v>40012</v>
      </c>
      <c r="K50" s="35">
        <f t="shared" si="4"/>
        <v>31832</v>
      </c>
      <c r="L50" s="35">
        <f t="shared" si="4"/>
        <v>32288</v>
      </c>
      <c r="M50" s="35">
        <f t="shared" si="4"/>
        <v>32288</v>
      </c>
      <c r="N50" s="35">
        <f t="shared" si="4"/>
        <v>32188</v>
      </c>
      <c r="O50" s="36">
        <f t="shared" si="2"/>
        <v>384444</v>
      </c>
    </row>
    <row r="51" spans="1:18" x14ac:dyDescent="0.2">
      <c r="J51" s="128">
        <f>+J37-SUM(J22:J36)</f>
        <v>42074</v>
      </c>
    </row>
    <row r="52" spans="1:18" ht="13.5" thickBot="1" x14ac:dyDescent="0.25">
      <c r="J52" s="38">
        <f>+J51-J49</f>
        <v>30788</v>
      </c>
    </row>
    <row r="53" spans="1:18" ht="13.5" thickBot="1" x14ac:dyDescent="0.25">
      <c r="B53" s="789" t="s">
        <v>162</v>
      </c>
      <c r="C53" s="861"/>
      <c r="D53" s="861"/>
      <c r="E53" s="861"/>
      <c r="F53" s="862"/>
      <c r="G53" s="863">
        <f>O37</f>
        <v>510932</v>
      </c>
      <c r="H53" s="864"/>
    </row>
    <row r="54" spans="1:18" ht="13.5" thickBot="1" x14ac:dyDescent="0.25"/>
    <row r="55" spans="1:18" x14ac:dyDescent="0.2">
      <c r="B55" s="830" t="s">
        <v>163</v>
      </c>
      <c r="C55" s="833" t="s">
        <v>164</v>
      </c>
      <c r="D55" s="836" t="s">
        <v>229</v>
      </c>
      <c r="E55" s="837"/>
      <c r="F55" s="838"/>
      <c r="G55" s="839">
        <v>40000</v>
      </c>
      <c r="H55" s="840"/>
    </row>
    <row r="56" spans="1:18" x14ac:dyDescent="0.2">
      <c r="B56" s="831"/>
      <c r="C56" s="834"/>
      <c r="D56" s="841" t="s">
        <v>166</v>
      </c>
      <c r="E56" s="842"/>
      <c r="F56" s="843"/>
      <c r="G56" s="844">
        <f>+O44</f>
        <v>2500</v>
      </c>
      <c r="H56" s="845"/>
      <c r="I56" s="39"/>
      <c r="J56" s="846"/>
      <c r="K56" s="846"/>
      <c r="L56" s="846"/>
      <c r="M56" s="847"/>
      <c r="N56" s="847"/>
      <c r="O56" s="847"/>
    </row>
    <row r="57" spans="1:18" ht="13.5" thickBot="1" x14ac:dyDescent="0.25">
      <c r="B57" s="832"/>
      <c r="C57" s="835"/>
      <c r="D57" s="848" t="s">
        <v>296</v>
      </c>
      <c r="E57" s="849"/>
      <c r="F57" s="850"/>
      <c r="G57" s="851">
        <v>0</v>
      </c>
      <c r="H57" s="852"/>
      <c r="J57" s="47"/>
      <c r="K57" s="47"/>
      <c r="L57" s="47"/>
      <c r="M57" s="47"/>
      <c r="N57" s="47"/>
      <c r="O57" s="47"/>
    </row>
    <row r="58" spans="1:18" ht="13.5" thickBot="1" x14ac:dyDescent="0.25">
      <c r="B58" s="48"/>
      <c r="J58" s="47"/>
      <c r="K58" s="47"/>
      <c r="L58" s="47"/>
      <c r="M58" s="47"/>
      <c r="N58" s="47"/>
      <c r="O58" s="47"/>
    </row>
    <row r="59" spans="1:18" ht="13.5" thickBot="1" x14ac:dyDescent="0.25">
      <c r="B59" s="789" t="s">
        <v>168</v>
      </c>
      <c r="C59" s="790"/>
      <c r="D59" s="790"/>
      <c r="E59" s="790"/>
      <c r="F59" s="791"/>
      <c r="G59" s="825">
        <f>+G53-SUM(G55:H57)</f>
        <v>468432</v>
      </c>
      <c r="H59" s="826"/>
      <c r="J59" s="827" t="s">
        <v>169</v>
      </c>
      <c r="K59" s="828"/>
      <c r="L59" s="828"/>
      <c r="M59" s="828"/>
      <c r="N59" s="828"/>
      <c r="O59" s="829"/>
    </row>
    <row r="60" spans="1:18" ht="13.5" thickBot="1" x14ac:dyDescent="0.25">
      <c r="B60" s="49"/>
      <c r="C60" s="50"/>
      <c r="D60" s="50"/>
      <c r="E60" s="50"/>
      <c r="F60" s="50"/>
      <c r="G60" s="45"/>
      <c r="H60" s="50"/>
      <c r="J60" s="129"/>
      <c r="K60" s="130"/>
      <c r="L60" s="130"/>
      <c r="M60" s="130"/>
      <c r="N60" s="130"/>
      <c r="O60" s="131"/>
    </row>
    <row r="61" spans="1:18" ht="13.5" thickBot="1" x14ac:dyDescent="0.25">
      <c r="B61" s="789" t="s">
        <v>170</v>
      </c>
      <c r="C61" s="790"/>
      <c r="D61" s="790"/>
      <c r="E61" s="790"/>
      <c r="F61" s="791"/>
      <c r="G61" s="805"/>
      <c r="H61" s="791"/>
      <c r="J61" s="129"/>
      <c r="K61" s="130"/>
      <c r="L61" s="130"/>
      <c r="M61" s="130"/>
      <c r="N61" s="130"/>
      <c r="O61" s="131"/>
    </row>
    <row r="62" spans="1:18" ht="12.75" customHeight="1" x14ac:dyDescent="0.2">
      <c r="B62" s="57" t="s">
        <v>171</v>
      </c>
      <c r="C62" s="806" t="s">
        <v>172</v>
      </c>
      <c r="D62" s="807"/>
      <c r="E62" s="807"/>
      <c r="F62" s="808"/>
      <c r="G62" s="809">
        <v>38612</v>
      </c>
      <c r="H62" s="809"/>
      <c r="I62" s="58"/>
      <c r="J62" s="810" t="s">
        <v>173</v>
      </c>
      <c r="K62" s="811"/>
      <c r="L62" s="811"/>
      <c r="M62" s="811"/>
      <c r="N62" s="811"/>
      <c r="O62" s="812"/>
      <c r="Q62" s="59"/>
      <c r="R62" s="59"/>
    </row>
    <row r="63" spans="1:18" ht="13.5" thickBot="1" x14ac:dyDescent="0.25">
      <c r="D63" s="37"/>
      <c r="I63" s="58"/>
      <c r="J63" s="60" t="s">
        <v>297</v>
      </c>
      <c r="K63" s="132"/>
      <c r="L63" s="132"/>
      <c r="M63" s="133"/>
      <c r="N63" s="133"/>
      <c r="O63" s="134"/>
      <c r="P63" s="16">
        <f>829+5096+38+233</f>
        <v>6196</v>
      </c>
      <c r="Q63" s="59"/>
      <c r="R63" s="59"/>
    </row>
    <row r="64" spans="1:18" ht="13.5" thickBot="1" x14ac:dyDescent="0.25">
      <c r="B64" s="789" t="s">
        <v>175</v>
      </c>
      <c r="C64" s="790"/>
      <c r="D64" s="790"/>
      <c r="E64" s="790"/>
      <c r="F64" s="791"/>
      <c r="G64" s="805">
        <f>+G59-G62</f>
        <v>429820</v>
      </c>
      <c r="H64" s="791"/>
      <c r="I64" s="63"/>
      <c r="J64" s="75"/>
      <c r="K64" s="39"/>
      <c r="L64" s="39"/>
      <c r="M64" s="39"/>
      <c r="N64" s="39"/>
      <c r="O64" s="65"/>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6.25" customHeight="1" thickBot="1" x14ac:dyDescent="0.25">
      <c r="B67" s="66"/>
      <c r="C67" s="48"/>
      <c r="G67" s="70" t="s">
        <v>177</v>
      </c>
      <c r="H67" s="70" t="s">
        <v>178</v>
      </c>
      <c r="I67" s="63"/>
      <c r="J67" s="810" t="s">
        <v>179</v>
      </c>
      <c r="K67" s="811"/>
      <c r="L67" s="71"/>
      <c r="M67" s="71"/>
      <c r="N67" s="71"/>
      <c r="O67" s="72"/>
      <c r="Q67" s="59"/>
      <c r="R67" s="59"/>
    </row>
    <row r="68" spans="2:18" ht="12.75" customHeight="1" x14ac:dyDescent="0.2">
      <c r="B68" s="802" t="s">
        <v>180</v>
      </c>
      <c r="C68" s="821" t="s">
        <v>181</v>
      </c>
      <c r="D68" s="823" t="s">
        <v>182</v>
      </c>
      <c r="E68" s="824"/>
      <c r="F68" s="824"/>
      <c r="G68" s="73">
        <f>+O43</f>
        <v>84000</v>
      </c>
      <c r="H68" s="74">
        <f t="shared" ref="H68:H76" si="5">+G68</f>
        <v>84000</v>
      </c>
      <c r="I68" s="63"/>
      <c r="J68" s="75" t="s">
        <v>231</v>
      </c>
      <c r="K68" s="58"/>
      <c r="L68" s="58"/>
      <c r="M68" s="58" t="s">
        <v>232</v>
      </c>
      <c r="N68" s="58" t="s">
        <v>233</v>
      </c>
      <c r="O68" s="76"/>
      <c r="Q68" s="59"/>
      <c r="R68" s="59"/>
    </row>
    <row r="69" spans="2:18" ht="12.75" customHeight="1" x14ac:dyDescent="0.2">
      <c r="B69" s="803"/>
      <c r="C69" s="822"/>
      <c r="D69" s="782" t="s">
        <v>184</v>
      </c>
      <c r="E69" s="783"/>
      <c r="F69" s="783"/>
      <c r="G69" s="77">
        <f>+O47</f>
        <v>23316</v>
      </c>
      <c r="H69" s="78">
        <f t="shared" si="5"/>
        <v>23316</v>
      </c>
      <c r="I69" s="63"/>
      <c r="J69" s="79"/>
      <c r="K69" s="68"/>
      <c r="L69" s="68"/>
      <c r="M69" s="68"/>
      <c r="N69" s="68"/>
      <c r="O69" s="69"/>
      <c r="Q69" s="59"/>
      <c r="R69" s="59"/>
    </row>
    <row r="70" spans="2:18" ht="12.75" customHeight="1" x14ac:dyDescent="0.2">
      <c r="B70" s="803"/>
      <c r="C70" s="822"/>
      <c r="D70" s="819" t="s">
        <v>185</v>
      </c>
      <c r="E70" s="820"/>
      <c r="F70" s="820"/>
      <c r="G70" s="80">
        <f>O40</f>
        <v>360</v>
      </c>
      <c r="H70" s="78">
        <f t="shared" si="5"/>
        <v>360</v>
      </c>
      <c r="I70" s="63"/>
      <c r="J70" s="67"/>
      <c r="K70" s="68"/>
      <c r="L70" s="68"/>
      <c r="M70" s="68"/>
      <c r="N70" s="68"/>
      <c r="O70" s="69"/>
    </row>
    <row r="71" spans="2:18" x14ac:dyDescent="0.2">
      <c r="B71" s="803"/>
      <c r="C71" s="822"/>
      <c r="D71" s="782" t="s">
        <v>186</v>
      </c>
      <c r="E71" s="783"/>
      <c r="F71" s="783"/>
      <c r="G71" s="81">
        <v>0</v>
      </c>
      <c r="H71" s="78">
        <f t="shared" si="5"/>
        <v>0</v>
      </c>
      <c r="I71" s="63"/>
      <c r="J71" s="82" t="s">
        <v>187</v>
      </c>
      <c r="K71" s="71"/>
      <c r="L71" s="71"/>
      <c r="M71" s="71"/>
      <c r="N71" s="71"/>
      <c r="O71" s="72"/>
    </row>
    <row r="72" spans="2:18" ht="12.75" customHeight="1" x14ac:dyDescent="0.2">
      <c r="B72" s="803"/>
      <c r="C72" s="822"/>
      <c r="D72" s="784" t="s">
        <v>188</v>
      </c>
      <c r="E72" s="783"/>
      <c r="F72" s="783"/>
      <c r="G72" s="80">
        <v>0</v>
      </c>
      <c r="H72" s="78">
        <f t="shared" si="5"/>
        <v>0</v>
      </c>
      <c r="I72" s="63"/>
      <c r="J72" s="75" t="s">
        <v>189</v>
      </c>
      <c r="K72" s="50"/>
      <c r="L72" s="50"/>
      <c r="M72" s="50"/>
      <c r="N72" s="50"/>
      <c r="O72" s="83">
        <f>O42</f>
        <v>3000</v>
      </c>
    </row>
    <row r="73" spans="2:18" ht="14.25" customHeight="1" x14ac:dyDescent="0.2">
      <c r="B73" s="803"/>
      <c r="C73" s="822"/>
      <c r="D73" s="782" t="s">
        <v>190</v>
      </c>
      <c r="E73" s="783"/>
      <c r="F73" s="783"/>
      <c r="G73" s="84">
        <v>0</v>
      </c>
      <c r="H73" s="78">
        <f t="shared" si="5"/>
        <v>0</v>
      </c>
      <c r="I73" s="63"/>
      <c r="J73" s="64"/>
      <c r="K73" s="39"/>
      <c r="L73" s="39"/>
      <c r="M73" s="39"/>
      <c r="N73" s="39"/>
      <c r="O73" s="65"/>
    </row>
    <row r="74" spans="2:18" x14ac:dyDescent="0.2">
      <c r="B74" s="803"/>
      <c r="C74" s="822"/>
      <c r="D74" s="782" t="s">
        <v>191</v>
      </c>
      <c r="E74" s="783"/>
      <c r="F74" s="783"/>
      <c r="G74" s="81">
        <v>32492</v>
      </c>
      <c r="H74" s="78">
        <f t="shared" si="5"/>
        <v>32492</v>
      </c>
      <c r="I74" s="58"/>
      <c r="J74" s="150"/>
      <c r="K74" s="50"/>
      <c r="L74" s="50"/>
      <c r="M74" s="50"/>
      <c r="N74" s="50"/>
      <c r="O74" s="83"/>
    </row>
    <row r="75" spans="2:18" x14ac:dyDescent="0.2">
      <c r="B75" s="803"/>
      <c r="C75" s="88" t="s">
        <v>192</v>
      </c>
      <c r="D75" s="813" t="s">
        <v>193</v>
      </c>
      <c r="E75" s="814"/>
      <c r="F75" s="814"/>
      <c r="G75" s="80">
        <v>0</v>
      </c>
      <c r="H75" s="78">
        <f t="shared" si="5"/>
        <v>0</v>
      </c>
      <c r="I75" s="58"/>
      <c r="J75" s="79"/>
      <c r="K75" s="39"/>
      <c r="L75" s="39"/>
      <c r="M75" s="39"/>
      <c r="N75" s="39"/>
      <c r="O75" s="65"/>
    </row>
    <row r="76" spans="2:18" ht="13.5" customHeight="1" thickBot="1" x14ac:dyDescent="0.25">
      <c r="B76" s="803"/>
      <c r="C76" s="88" t="s">
        <v>194</v>
      </c>
      <c r="D76" s="815" t="s">
        <v>195</v>
      </c>
      <c r="E76" s="815"/>
      <c r="F76" s="815"/>
      <c r="G76" s="89">
        <v>0</v>
      </c>
      <c r="H76" s="90">
        <f t="shared" si="5"/>
        <v>0</v>
      </c>
      <c r="I76" s="63"/>
      <c r="J76" s="67"/>
      <c r="K76" s="68"/>
      <c r="L76" s="68"/>
      <c r="M76" s="91"/>
      <c r="N76" s="91"/>
      <c r="O76" s="92"/>
    </row>
    <row r="77" spans="2:18" ht="13.5" thickBot="1" x14ac:dyDescent="0.25">
      <c r="B77" s="803"/>
      <c r="C77" s="93"/>
      <c r="D77" s="94"/>
      <c r="E77" s="816" t="s">
        <v>117</v>
      </c>
      <c r="F77" s="817"/>
      <c r="G77" s="95">
        <f>SUM(G68:G76)</f>
        <v>140168</v>
      </c>
      <c r="H77" s="96">
        <f>IF(SUM(G68:G74)&lt;150000,SUM(G68:G74),150000)+IF(+G75&lt;20000,+G75,20000)</f>
        <v>140168</v>
      </c>
      <c r="I77" s="63"/>
      <c r="J77" s="140"/>
      <c r="K77" s="141"/>
      <c r="L77" s="141"/>
      <c r="M77" s="142"/>
      <c r="N77" s="142"/>
      <c r="O77" s="143"/>
    </row>
    <row r="78" spans="2:18" ht="12.75" customHeight="1" x14ac:dyDescent="0.2">
      <c r="B78" s="803"/>
      <c r="C78" s="100" t="s">
        <v>196</v>
      </c>
      <c r="D78" s="782" t="s">
        <v>187</v>
      </c>
      <c r="E78" s="783"/>
      <c r="F78" s="818"/>
      <c r="G78" s="73">
        <f>+O42</f>
        <v>3000</v>
      </c>
      <c r="H78" s="101">
        <f>+IF(+G78&lt;25000,+G78,25000)</f>
        <v>3000</v>
      </c>
      <c r="I78" s="87"/>
    </row>
    <row r="79" spans="2:18" x14ac:dyDescent="0.2">
      <c r="B79" s="803"/>
      <c r="C79" s="100" t="s">
        <v>197</v>
      </c>
      <c r="D79" s="784" t="s">
        <v>198</v>
      </c>
      <c r="E79" s="785"/>
      <c r="F79" s="786"/>
      <c r="G79" s="102"/>
      <c r="H79" s="103">
        <f>+IF(+G79&lt;40000,+G79,40000)</f>
        <v>0</v>
      </c>
      <c r="I79" s="63"/>
      <c r="J79" s="172"/>
      <c r="K79" s="172"/>
      <c r="L79" s="172"/>
    </row>
    <row r="80" spans="2:18" x14ac:dyDescent="0.2">
      <c r="B80" s="803"/>
      <c r="C80" s="100" t="s">
        <v>199</v>
      </c>
      <c r="D80" s="784" t="s">
        <v>200</v>
      </c>
      <c r="E80" s="785"/>
      <c r="F80" s="786"/>
      <c r="G80" s="81"/>
      <c r="H80" s="104">
        <v>0</v>
      </c>
      <c r="I80" s="63"/>
    </row>
    <row r="81" spans="2:12" x14ac:dyDescent="0.2">
      <c r="B81" s="803"/>
      <c r="C81" s="100" t="s">
        <v>201</v>
      </c>
      <c r="D81" s="784" t="s">
        <v>202</v>
      </c>
      <c r="E81" s="785"/>
      <c r="F81" s="786"/>
      <c r="G81" s="81"/>
      <c r="H81" s="104">
        <v>0</v>
      </c>
      <c r="I81" s="63"/>
      <c r="J81" s="106"/>
    </row>
    <row r="82" spans="2:12" ht="15" thickBot="1" x14ac:dyDescent="0.25">
      <c r="B82" s="804"/>
      <c r="C82" s="100" t="s">
        <v>203</v>
      </c>
      <c r="D82" s="784" t="s">
        <v>204</v>
      </c>
      <c r="E82" s="785"/>
      <c r="F82" s="786"/>
      <c r="G82" s="102"/>
      <c r="H82" s="103">
        <f>+IF(+G82&lt;100000,+G82,10000)</f>
        <v>0</v>
      </c>
      <c r="I82" s="63"/>
      <c r="K82" s="173"/>
    </row>
    <row r="83" spans="2:12" ht="13.5" thickBot="1" x14ac:dyDescent="0.25">
      <c r="B83" s="787" t="s">
        <v>205</v>
      </c>
      <c r="C83" s="788"/>
      <c r="D83" s="788"/>
      <c r="E83" s="788"/>
      <c r="F83" s="788"/>
      <c r="G83" s="107">
        <f>SUM(G78:G82)</f>
        <v>3000</v>
      </c>
      <c r="H83" s="108">
        <f>SUM(H77:H82)</f>
        <v>143168</v>
      </c>
    </row>
    <row r="84" spans="2:12" ht="13.5" thickBot="1" x14ac:dyDescent="0.25"/>
    <row r="85" spans="2:12" ht="13.5" thickBot="1" x14ac:dyDescent="0.25">
      <c r="B85" s="789" t="s">
        <v>206</v>
      </c>
      <c r="C85" s="790"/>
      <c r="D85" s="790"/>
      <c r="E85" s="790"/>
      <c r="F85" s="791"/>
      <c r="G85" s="792">
        <f>+G64-H83</f>
        <v>286652</v>
      </c>
      <c r="H85" s="791"/>
      <c r="J85" s="109">
        <f>C37+D37+E37+F37</f>
        <v>162432</v>
      </c>
      <c r="K85" s="16" t="s">
        <v>235</v>
      </c>
    </row>
    <row r="86" spans="2:12" x14ac:dyDescent="0.2">
      <c r="B86" s="110"/>
      <c r="F86" s="105"/>
      <c r="J86" s="109">
        <f>G37+H37+I37</f>
        <v>128906</v>
      </c>
      <c r="K86" s="16" t="s">
        <v>236</v>
      </c>
    </row>
    <row r="87" spans="2:12" x14ac:dyDescent="0.2">
      <c r="C87" s="793" t="s">
        <v>207</v>
      </c>
      <c r="D87" s="794"/>
      <c r="E87" s="111" t="s">
        <v>208</v>
      </c>
      <c r="F87" s="111" t="s">
        <v>209</v>
      </c>
      <c r="G87" s="111" t="s">
        <v>210</v>
      </c>
      <c r="H87" s="111" t="s">
        <v>211</v>
      </c>
      <c r="J87" s="109">
        <f>J37+K37+L37</f>
        <v>135446</v>
      </c>
      <c r="K87" s="47" t="s">
        <v>237</v>
      </c>
    </row>
    <row r="88" spans="2:12" x14ac:dyDescent="0.2">
      <c r="C88" s="795" t="str">
        <f>IF(I6="M","0          - 250000","0          -  250000")</f>
        <v>0          - 250000</v>
      </c>
      <c r="D88" s="796"/>
      <c r="E88" s="112">
        <v>0</v>
      </c>
      <c r="F88" s="113">
        <f>IF(I6="M",(IF(G85&lt;250000,G85,250000)),(IF(G85&lt;250000,G85,250000)))</f>
        <v>250000</v>
      </c>
      <c r="G88" s="113">
        <f>G85-F88</f>
        <v>36652</v>
      </c>
      <c r="H88" s="113">
        <f>E88*F88</f>
        <v>0</v>
      </c>
      <c r="J88" s="16">
        <f>M37+N37</f>
        <v>84148</v>
      </c>
      <c r="K88" s="1" t="s">
        <v>238</v>
      </c>
    </row>
    <row r="89" spans="2:12" x14ac:dyDescent="0.2">
      <c r="C89" s="795" t="str">
        <f>IF(I6="M","250001 - 500000","250001-500000")</f>
        <v>250001 - 500000</v>
      </c>
      <c r="D89" s="796"/>
      <c r="E89" s="112">
        <v>0.05</v>
      </c>
      <c r="F89" s="113">
        <f>IF(I6="M",(IF(G88&lt;250000,G88,250000)),(IF(G88&lt;250000,G88,250000)))</f>
        <v>36652</v>
      </c>
      <c r="G89" s="113">
        <f>G88-F89</f>
        <v>0</v>
      </c>
      <c r="H89" s="114">
        <f>ROUND(E89*F89,0.1)</f>
        <v>1833</v>
      </c>
      <c r="J89" s="115">
        <f>SUM(J85:J88)</f>
        <v>510932</v>
      </c>
    </row>
    <row r="90" spans="2:12" x14ac:dyDescent="0.2">
      <c r="C90" s="797" t="s">
        <v>212</v>
      </c>
      <c r="D90" s="798"/>
      <c r="E90" s="112">
        <v>0.2</v>
      </c>
      <c r="F90" s="113">
        <f>IF(G89&lt;500000,G89,500000)</f>
        <v>0</v>
      </c>
      <c r="G90" s="113">
        <f>G89-F90</f>
        <v>0</v>
      </c>
      <c r="H90" s="114">
        <f>ROUND(E90*F90,0.1)</f>
        <v>0</v>
      </c>
      <c r="J90" s="16">
        <f>+G85</f>
        <v>286652</v>
      </c>
    </row>
    <row r="91" spans="2:12" x14ac:dyDescent="0.2">
      <c r="C91" s="795" t="s">
        <v>213</v>
      </c>
      <c r="D91" s="796"/>
      <c r="E91" s="112">
        <v>0.3</v>
      </c>
      <c r="F91" s="113">
        <f>G90</f>
        <v>0</v>
      </c>
      <c r="G91" s="113">
        <f>G90-F91</f>
        <v>0</v>
      </c>
      <c r="H91" s="114">
        <f>ROUND(E91*F91,0.1)</f>
        <v>0</v>
      </c>
      <c r="J91" s="16">
        <f>+J89-J90</f>
        <v>224280</v>
      </c>
    </row>
    <row r="92" spans="2:12" ht="12.75" customHeight="1" thickBot="1" x14ac:dyDescent="0.25">
      <c r="B92" s="116"/>
      <c r="C92" s="117"/>
      <c r="D92" s="47"/>
      <c r="E92" s="47"/>
      <c r="F92" s="47"/>
      <c r="J92" s="87"/>
      <c r="K92" s="118"/>
    </row>
    <row r="93" spans="2:12" ht="13.5" thickBot="1" x14ac:dyDescent="0.25">
      <c r="B93" s="799" t="s">
        <v>239</v>
      </c>
      <c r="C93" s="800"/>
      <c r="D93" s="800"/>
      <c r="E93" s="800"/>
      <c r="F93" s="801"/>
      <c r="G93" s="771">
        <f>H88+H89+H90+H91</f>
        <v>1833</v>
      </c>
      <c r="H93" s="772"/>
      <c r="J93" s="87"/>
      <c r="K93" s="87"/>
    </row>
    <row r="94" spans="2:12" ht="13.5" thickBot="1" x14ac:dyDescent="0.25">
      <c r="B94" s="154" t="s">
        <v>215</v>
      </c>
      <c r="C94" s="174"/>
      <c r="D94" s="174"/>
      <c r="E94" s="174"/>
      <c r="F94" s="174"/>
      <c r="G94" s="1048">
        <f>IF((G85&lt;350000),2500,0)</f>
        <v>2500</v>
      </c>
      <c r="H94" s="1049">
        <f>IF(H92&lt;200000,0,IF(H92&lt;220000,((H92-200000)*10%),IF(H92&lt;=500000,2000,IF(H92&gt;=500000,0))))</f>
        <v>0</v>
      </c>
      <c r="J94" s="157"/>
      <c r="K94" s="159"/>
      <c r="L94" s="121"/>
    </row>
    <row r="95" spans="2:12" ht="13.5" thickBot="1" x14ac:dyDescent="0.25">
      <c r="B95" s="122" t="s">
        <v>216</v>
      </c>
      <c r="C95" s="123"/>
      <c r="D95" s="123"/>
      <c r="E95" s="123"/>
      <c r="F95" s="123"/>
      <c r="G95" s="771">
        <f>IF((G93-G94)&lt;0,0,(G93-G94))</f>
        <v>0</v>
      </c>
      <c r="H95" s="772"/>
      <c r="I95" s="37"/>
    </row>
    <row r="96" spans="2:12" ht="13.5" thickBot="1" x14ac:dyDescent="0.25">
      <c r="B96" s="773" t="s">
        <v>240</v>
      </c>
      <c r="C96" s="774"/>
      <c r="D96" s="774"/>
      <c r="E96" s="774"/>
      <c r="F96" s="775"/>
      <c r="G96" s="776">
        <f>ROUND((IF(G95&gt;0,(G95*4%),0)),0)</f>
        <v>0</v>
      </c>
      <c r="H96" s="777"/>
      <c r="I96" s="37"/>
    </row>
    <row r="97" spans="2:9" ht="13.5" thickBot="1" x14ac:dyDescent="0.25">
      <c r="B97" s="778" t="s">
        <v>218</v>
      </c>
      <c r="C97" s="779"/>
      <c r="D97" s="779"/>
      <c r="E97" s="779"/>
      <c r="F97" s="779"/>
      <c r="G97" s="780">
        <f>G95+G96</f>
        <v>0</v>
      </c>
      <c r="H97" s="781"/>
      <c r="I97" s="121"/>
    </row>
    <row r="98" spans="2:9" ht="13.5" thickBot="1" x14ac:dyDescent="0.25">
      <c r="B98" s="765" t="s">
        <v>219</v>
      </c>
      <c r="C98" s="766"/>
      <c r="D98" s="766"/>
      <c r="E98" s="766"/>
      <c r="F98" s="766"/>
      <c r="G98" s="767">
        <f>O38</f>
        <v>500</v>
      </c>
      <c r="H98" s="768"/>
      <c r="I98" s="121"/>
    </row>
    <row r="99" spans="2:9" ht="13.5" thickBot="1" x14ac:dyDescent="0.25">
      <c r="B99" s="765" t="str">
        <f>IF(G99&gt;0,"TAX PAYABLE","TAX REFUND")</f>
        <v>TAX REFUND</v>
      </c>
      <c r="C99" s="766"/>
      <c r="D99" s="766"/>
      <c r="E99" s="766"/>
      <c r="F99" s="766"/>
      <c r="G99" s="767">
        <f>+G97-G98</f>
        <v>-500</v>
      </c>
      <c r="H99" s="768"/>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0:F90 B99:F99 B93:F97">
    <cfRule type="cellIs" dxfId="2003" priority="3" stopIfTrue="1" operator="equal">
      <formula>"TAX PAYABLE"</formula>
    </cfRule>
    <cfRule type="cellIs" dxfId="2002" priority="4" stopIfTrue="1" operator="equal">
      <formula>"TAX REFUND"</formula>
    </cfRule>
  </conditionalFormatting>
  <conditionalFormatting sqref="G90:H90">
    <cfRule type="cellIs" dxfId="2001" priority="5" stopIfTrue="1" operator="lessThan">
      <formula>0</formula>
    </cfRule>
    <cfRule type="cellIs" dxfId="2000" priority="6" stopIfTrue="1" operator="greaterThan">
      <formula>0</formula>
    </cfRule>
  </conditionalFormatting>
  <conditionalFormatting sqref="G99:H99">
    <cfRule type="cellIs" dxfId="1999" priority="1" stopIfTrue="1" operator="greaterThan">
      <formula>0</formula>
    </cfRule>
    <cfRule type="cellIs" dxfId="1998" priority="2" stopIfTrue="1" operator="lessThanOrEqual">
      <formula>0</formula>
    </cfRule>
  </conditionalFormatting>
  <dataValidations disablePrompts="1"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8"/>
  <sheetViews>
    <sheetView workbookViewId="0">
      <selection activeCell="R22" sqref="R22"/>
    </sheetView>
  </sheetViews>
  <sheetFormatPr defaultRowHeight="12.75" x14ac:dyDescent="0.2"/>
  <cols>
    <col min="1" max="1" width="5" style="16" customWidth="1"/>
    <col min="2" max="2" width="20" style="37" customWidth="1"/>
    <col min="3" max="3" width="9.28515625" style="16" customWidth="1"/>
    <col min="4" max="4" width="7.85546875" style="16" customWidth="1"/>
    <col min="5" max="5" width="8.5703125" style="16" bestFit="1" customWidth="1"/>
    <col min="6" max="6" width="7.85546875" style="16" customWidth="1"/>
    <col min="7" max="15" width="8.8554687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20" style="16" customWidth="1"/>
    <col min="259" max="259" width="9.28515625" style="16" customWidth="1"/>
    <col min="260" max="260" width="7.85546875" style="16" customWidth="1"/>
    <col min="261" max="261" width="8.5703125" style="16" bestFit="1" customWidth="1"/>
    <col min="262" max="262" width="7.85546875" style="16" customWidth="1"/>
    <col min="263" max="271" width="8.8554687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20" style="16" customWidth="1"/>
    <col min="515" max="515" width="9.28515625" style="16" customWidth="1"/>
    <col min="516" max="516" width="7.85546875" style="16" customWidth="1"/>
    <col min="517" max="517" width="8.5703125" style="16" bestFit="1" customWidth="1"/>
    <col min="518" max="518" width="7.85546875" style="16" customWidth="1"/>
    <col min="519" max="527" width="8.8554687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20" style="16" customWidth="1"/>
    <col min="771" max="771" width="9.28515625" style="16" customWidth="1"/>
    <col min="772" max="772" width="7.85546875" style="16" customWidth="1"/>
    <col min="773" max="773" width="8.5703125" style="16" bestFit="1" customWidth="1"/>
    <col min="774" max="774" width="7.85546875" style="16" customWidth="1"/>
    <col min="775" max="783" width="8.8554687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20" style="16" customWidth="1"/>
    <col min="1027" max="1027" width="9.28515625" style="16" customWidth="1"/>
    <col min="1028" max="1028" width="7.85546875" style="16" customWidth="1"/>
    <col min="1029" max="1029" width="8.5703125" style="16" bestFit="1" customWidth="1"/>
    <col min="1030" max="1030" width="7.85546875" style="16" customWidth="1"/>
    <col min="1031" max="1039" width="8.8554687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20" style="16" customWidth="1"/>
    <col min="1283" max="1283" width="9.28515625" style="16" customWidth="1"/>
    <col min="1284" max="1284" width="7.85546875" style="16" customWidth="1"/>
    <col min="1285" max="1285" width="8.5703125" style="16" bestFit="1" customWidth="1"/>
    <col min="1286" max="1286" width="7.85546875" style="16" customWidth="1"/>
    <col min="1287" max="1295" width="8.8554687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20" style="16" customWidth="1"/>
    <col min="1539" max="1539" width="9.28515625" style="16" customWidth="1"/>
    <col min="1540" max="1540" width="7.85546875" style="16" customWidth="1"/>
    <col min="1541" max="1541" width="8.5703125" style="16" bestFit="1" customWidth="1"/>
    <col min="1542" max="1542" width="7.85546875" style="16" customWidth="1"/>
    <col min="1543" max="1551" width="8.8554687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20" style="16" customWidth="1"/>
    <col min="1795" max="1795" width="9.28515625" style="16" customWidth="1"/>
    <col min="1796" max="1796" width="7.85546875" style="16" customWidth="1"/>
    <col min="1797" max="1797" width="8.5703125" style="16" bestFit="1" customWidth="1"/>
    <col min="1798" max="1798" width="7.85546875" style="16" customWidth="1"/>
    <col min="1799" max="1807" width="8.8554687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20" style="16" customWidth="1"/>
    <col min="2051" max="2051" width="9.28515625" style="16" customWidth="1"/>
    <col min="2052" max="2052" width="7.85546875" style="16" customWidth="1"/>
    <col min="2053" max="2053" width="8.5703125" style="16" bestFit="1" customWidth="1"/>
    <col min="2054" max="2054" width="7.85546875" style="16" customWidth="1"/>
    <col min="2055" max="2063" width="8.8554687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20" style="16" customWidth="1"/>
    <col min="2307" max="2307" width="9.28515625" style="16" customWidth="1"/>
    <col min="2308" max="2308" width="7.85546875" style="16" customWidth="1"/>
    <col min="2309" max="2309" width="8.5703125" style="16" bestFit="1" customWidth="1"/>
    <col min="2310" max="2310" width="7.85546875" style="16" customWidth="1"/>
    <col min="2311" max="2319" width="8.8554687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20" style="16" customWidth="1"/>
    <col min="2563" max="2563" width="9.28515625" style="16" customWidth="1"/>
    <col min="2564" max="2564" width="7.85546875" style="16" customWidth="1"/>
    <col min="2565" max="2565" width="8.5703125" style="16" bestFit="1" customWidth="1"/>
    <col min="2566" max="2566" width="7.85546875" style="16" customWidth="1"/>
    <col min="2567" max="2575" width="8.8554687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20" style="16" customWidth="1"/>
    <col min="2819" max="2819" width="9.28515625" style="16" customWidth="1"/>
    <col min="2820" max="2820" width="7.85546875" style="16" customWidth="1"/>
    <col min="2821" max="2821" width="8.5703125" style="16" bestFit="1" customWidth="1"/>
    <col min="2822" max="2822" width="7.85546875" style="16" customWidth="1"/>
    <col min="2823" max="2831" width="8.8554687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20" style="16" customWidth="1"/>
    <col min="3075" max="3075" width="9.28515625" style="16" customWidth="1"/>
    <col min="3076" max="3076" width="7.85546875" style="16" customWidth="1"/>
    <col min="3077" max="3077" width="8.5703125" style="16" bestFit="1" customWidth="1"/>
    <col min="3078" max="3078" width="7.85546875" style="16" customWidth="1"/>
    <col min="3079" max="3087" width="8.8554687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20" style="16" customWidth="1"/>
    <col min="3331" max="3331" width="9.28515625" style="16" customWidth="1"/>
    <col min="3332" max="3332" width="7.85546875" style="16" customWidth="1"/>
    <col min="3333" max="3333" width="8.5703125" style="16" bestFit="1" customWidth="1"/>
    <col min="3334" max="3334" width="7.85546875" style="16" customWidth="1"/>
    <col min="3335" max="3343" width="8.8554687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20" style="16" customWidth="1"/>
    <col min="3587" max="3587" width="9.28515625" style="16" customWidth="1"/>
    <col min="3588" max="3588" width="7.85546875" style="16" customWidth="1"/>
    <col min="3589" max="3589" width="8.5703125" style="16" bestFit="1" customWidth="1"/>
    <col min="3590" max="3590" width="7.85546875" style="16" customWidth="1"/>
    <col min="3591" max="3599" width="8.8554687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20" style="16" customWidth="1"/>
    <col min="3843" max="3843" width="9.28515625" style="16" customWidth="1"/>
    <col min="3844" max="3844" width="7.85546875" style="16" customWidth="1"/>
    <col min="3845" max="3845" width="8.5703125" style="16" bestFit="1" customWidth="1"/>
    <col min="3846" max="3846" width="7.85546875" style="16" customWidth="1"/>
    <col min="3847" max="3855" width="8.8554687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20" style="16" customWidth="1"/>
    <col min="4099" max="4099" width="9.28515625" style="16" customWidth="1"/>
    <col min="4100" max="4100" width="7.85546875" style="16" customWidth="1"/>
    <col min="4101" max="4101" width="8.5703125" style="16" bestFit="1" customWidth="1"/>
    <col min="4102" max="4102" width="7.85546875" style="16" customWidth="1"/>
    <col min="4103" max="4111" width="8.8554687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20" style="16" customWidth="1"/>
    <col min="4355" max="4355" width="9.28515625" style="16" customWidth="1"/>
    <col min="4356" max="4356" width="7.85546875" style="16" customWidth="1"/>
    <col min="4357" max="4357" width="8.5703125" style="16" bestFit="1" customWidth="1"/>
    <col min="4358" max="4358" width="7.85546875" style="16" customWidth="1"/>
    <col min="4359" max="4367" width="8.8554687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20" style="16" customWidth="1"/>
    <col min="4611" max="4611" width="9.28515625" style="16" customWidth="1"/>
    <col min="4612" max="4612" width="7.85546875" style="16" customWidth="1"/>
    <col min="4613" max="4613" width="8.5703125" style="16" bestFit="1" customWidth="1"/>
    <col min="4614" max="4614" width="7.85546875" style="16" customWidth="1"/>
    <col min="4615" max="4623" width="8.8554687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20" style="16" customWidth="1"/>
    <col min="4867" max="4867" width="9.28515625" style="16" customWidth="1"/>
    <col min="4868" max="4868" width="7.85546875" style="16" customWidth="1"/>
    <col min="4869" max="4869" width="8.5703125" style="16" bestFit="1" customWidth="1"/>
    <col min="4870" max="4870" width="7.85546875" style="16" customWidth="1"/>
    <col min="4871" max="4879" width="8.8554687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20" style="16" customWidth="1"/>
    <col min="5123" max="5123" width="9.28515625" style="16" customWidth="1"/>
    <col min="5124" max="5124" width="7.85546875" style="16" customWidth="1"/>
    <col min="5125" max="5125" width="8.5703125" style="16" bestFit="1" customWidth="1"/>
    <col min="5126" max="5126" width="7.85546875" style="16" customWidth="1"/>
    <col min="5127" max="5135" width="8.8554687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20" style="16" customWidth="1"/>
    <col min="5379" max="5379" width="9.28515625" style="16" customWidth="1"/>
    <col min="5380" max="5380" width="7.85546875" style="16" customWidth="1"/>
    <col min="5381" max="5381" width="8.5703125" style="16" bestFit="1" customWidth="1"/>
    <col min="5382" max="5382" width="7.85546875" style="16" customWidth="1"/>
    <col min="5383" max="5391" width="8.8554687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20" style="16" customWidth="1"/>
    <col min="5635" max="5635" width="9.28515625" style="16" customWidth="1"/>
    <col min="5636" max="5636" width="7.85546875" style="16" customWidth="1"/>
    <col min="5637" max="5637" width="8.5703125" style="16" bestFit="1" customWidth="1"/>
    <col min="5638" max="5638" width="7.85546875" style="16" customWidth="1"/>
    <col min="5639" max="5647" width="8.8554687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20" style="16" customWidth="1"/>
    <col min="5891" max="5891" width="9.28515625" style="16" customWidth="1"/>
    <col min="5892" max="5892" width="7.85546875" style="16" customWidth="1"/>
    <col min="5893" max="5893" width="8.5703125" style="16" bestFit="1" customWidth="1"/>
    <col min="5894" max="5894" width="7.85546875" style="16" customWidth="1"/>
    <col min="5895" max="5903" width="8.8554687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20" style="16" customWidth="1"/>
    <col min="6147" max="6147" width="9.28515625" style="16" customWidth="1"/>
    <col min="6148" max="6148" width="7.85546875" style="16" customWidth="1"/>
    <col min="6149" max="6149" width="8.5703125" style="16" bestFit="1" customWidth="1"/>
    <col min="6150" max="6150" width="7.85546875" style="16" customWidth="1"/>
    <col min="6151" max="6159" width="8.8554687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20" style="16" customWidth="1"/>
    <col min="6403" max="6403" width="9.28515625" style="16" customWidth="1"/>
    <col min="6404" max="6404" width="7.85546875" style="16" customWidth="1"/>
    <col min="6405" max="6405" width="8.5703125" style="16" bestFit="1" customWidth="1"/>
    <col min="6406" max="6406" width="7.85546875" style="16" customWidth="1"/>
    <col min="6407" max="6415" width="8.8554687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20" style="16" customWidth="1"/>
    <col min="6659" max="6659" width="9.28515625" style="16" customWidth="1"/>
    <col min="6660" max="6660" width="7.85546875" style="16" customWidth="1"/>
    <col min="6661" max="6661" width="8.5703125" style="16" bestFit="1" customWidth="1"/>
    <col min="6662" max="6662" width="7.85546875" style="16" customWidth="1"/>
    <col min="6663" max="6671" width="8.8554687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20" style="16" customWidth="1"/>
    <col min="6915" max="6915" width="9.28515625" style="16" customWidth="1"/>
    <col min="6916" max="6916" width="7.85546875" style="16" customWidth="1"/>
    <col min="6917" max="6917" width="8.5703125" style="16" bestFit="1" customWidth="1"/>
    <col min="6918" max="6918" width="7.85546875" style="16" customWidth="1"/>
    <col min="6919" max="6927" width="8.8554687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20" style="16" customWidth="1"/>
    <col min="7171" max="7171" width="9.28515625" style="16" customWidth="1"/>
    <col min="7172" max="7172" width="7.85546875" style="16" customWidth="1"/>
    <col min="7173" max="7173" width="8.5703125" style="16" bestFit="1" customWidth="1"/>
    <col min="7174" max="7174" width="7.85546875" style="16" customWidth="1"/>
    <col min="7175" max="7183" width="8.8554687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20" style="16" customWidth="1"/>
    <col min="7427" max="7427" width="9.28515625" style="16" customWidth="1"/>
    <col min="7428" max="7428" width="7.85546875" style="16" customWidth="1"/>
    <col min="7429" max="7429" width="8.5703125" style="16" bestFit="1" customWidth="1"/>
    <col min="7430" max="7430" width="7.85546875" style="16" customWidth="1"/>
    <col min="7431" max="7439" width="8.8554687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20" style="16" customWidth="1"/>
    <col min="7683" max="7683" width="9.28515625" style="16" customWidth="1"/>
    <col min="7684" max="7684" width="7.85546875" style="16" customWidth="1"/>
    <col min="7685" max="7685" width="8.5703125" style="16" bestFit="1" customWidth="1"/>
    <col min="7686" max="7686" width="7.85546875" style="16" customWidth="1"/>
    <col min="7687" max="7695" width="8.8554687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20" style="16" customWidth="1"/>
    <col min="7939" max="7939" width="9.28515625" style="16" customWidth="1"/>
    <col min="7940" max="7940" width="7.85546875" style="16" customWidth="1"/>
    <col min="7941" max="7941" width="8.5703125" style="16" bestFit="1" customWidth="1"/>
    <col min="7942" max="7942" width="7.85546875" style="16" customWidth="1"/>
    <col min="7943" max="7951" width="8.8554687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20" style="16" customWidth="1"/>
    <col min="8195" max="8195" width="9.28515625" style="16" customWidth="1"/>
    <col min="8196" max="8196" width="7.85546875" style="16" customWidth="1"/>
    <col min="8197" max="8197" width="8.5703125" style="16" bestFit="1" customWidth="1"/>
    <col min="8198" max="8198" width="7.85546875" style="16" customWidth="1"/>
    <col min="8199" max="8207" width="8.8554687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20" style="16" customWidth="1"/>
    <col min="8451" max="8451" width="9.28515625" style="16" customWidth="1"/>
    <col min="8452" max="8452" width="7.85546875" style="16" customWidth="1"/>
    <col min="8453" max="8453" width="8.5703125" style="16" bestFit="1" customWidth="1"/>
    <col min="8454" max="8454" width="7.85546875" style="16" customWidth="1"/>
    <col min="8455" max="8463" width="8.8554687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20" style="16" customWidth="1"/>
    <col min="8707" max="8707" width="9.28515625" style="16" customWidth="1"/>
    <col min="8708" max="8708" width="7.85546875" style="16" customWidth="1"/>
    <col min="8709" max="8709" width="8.5703125" style="16" bestFit="1" customWidth="1"/>
    <col min="8710" max="8710" width="7.85546875" style="16" customWidth="1"/>
    <col min="8711" max="8719" width="8.8554687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20" style="16" customWidth="1"/>
    <col min="8963" max="8963" width="9.28515625" style="16" customWidth="1"/>
    <col min="8964" max="8964" width="7.85546875" style="16" customWidth="1"/>
    <col min="8965" max="8965" width="8.5703125" style="16" bestFit="1" customWidth="1"/>
    <col min="8966" max="8966" width="7.85546875" style="16" customWidth="1"/>
    <col min="8967" max="8975" width="8.8554687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20" style="16" customWidth="1"/>
    <col min="9219" max="9219" width="9.28515625" style="16" customWidth="1"/>
    <col min="9220" max="9220" width="7.85546875" style="16" customWidth="1"/>
    <col min="9221" max="9221" width="8.5703125" style="16" bestFit="1" customWidth="1"/>
    <col min="9222" max="9222" width="7.85546875" style="16" customWidth="1"/>
    <col min="9223" max="9231" width="8.8554687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20" style="16" customWidth="1"/>
    <col min="9475" max="9475" width="9.28515625" style="16" customWidth="1"/>
    <col min="9476" max="9476" width="7.85546875" style="16" customWidth="1"/>
    <col min="9477" max="9477" width="8.5703125" style="16" bestFit="1" customWidth="1"/>
    <col min="9478" max="9478" width="7.85546875" style="16" customWidth="1"/>
    <col min="9479" max="9487" width="8.8554687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20" style="16" customWidth="1"/>
    <col min="9731" max="9731" width="9.28515625" style="16" customWidth="1"/>
    <col min="9732" max="9732" width="7.85546875" style="16" customWidth="1"/>
    <col min="9733" max="9733" width="8.5703125" style="16" bestFit="1" customWidth="1"/>
    <col min="9734" max="9734" width="7.85546875" style="16" customWidth="1"/>
    <col min="9735" max="9743" width="8.8554687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20" style="16" customWidth="1"/>
    <col min="9987" max="9987" width="9.28515625" style="16" customWidth="1"/>
    <col min="9988" max="9988" width="7.85546875" style="16" customWidth="1"/>
    <col min="9989" max="9989" width="8.5703125" style="16" bestFit="1" customWidth="1"/>
    <col min="9990" max="9990" width="7.85546875" style="16" customWidth="1"/>
    <col min="9991" max="9999" width="8.8554687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20" style="16" customWidth="1"/>
    <col min="10243" max="10243" width="9.28515625" style="16" customWidth="1"/>
    <col min="10244" max="10244" width="7.85546875" style="16" customWidth="1"/>
    <col min="10245" max="10245" width="8.5703125" style="16" bestFit="1" customWidth="1"/>
    <col min="10246" max="10246" width="7.85546875" style="16" customWidth="1"/>
    <col min="10247" max="10255" width="8.8554687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20" style="16" customWidth="1"/>
    <col min="10499" max="10499" width="9.28515625" style="16" customWidth="1"/>
    <col min="10500" max="10500" width="7.85546875" style="16" customWidth="1"/>
    <col min="10501" max="10501" width="8.5703125" style="16" bestFit="1" customWidth="1"/>
    <col min="10502" max="10502" width="7.85546875" style="16" customWidth="1"/>
    <col min="10503" max="10511" width="8.8554687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20" style="16" customWidth="1"/>
    <col min="10755" max="10755" width="9.28515625" style="16" customWidth="1"/>
    <col min="10756" max="10756" width="7.85546875" style="16" customWidth="1"/>
    <col min="10757" max="10757" width="8.5703125" style="16" bestFit="1" customWidth="1"/>
    <col min="10758" max="10758" width="7.85546875" style="16" customWidth="1"/>
    <col min="10759" max="10767" width="8.8554687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20" style="16" customWidth="1"/>
    <col min="11011" max="11011" width="9.28515625" style="16" customWidth="1"/>
    <col min="11012" max="11012" width="7.85546875" style="16" customWidth="1"/>
    <col min="11013" max="11013" width="8.5703125" style="16" bestFit="1" customWidth="1"/>
    <col min="11014" max="11014" width="7.85546875" style="16" customWidth="1"/>
    <col min="11015" max="11023" width="8.8554687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20" style="16" customWidth="1"/>
    <col min="11267" max="11267" width="9.28515625" style="16" customWidth="1"/>
    <col min="11268" max="11268" width="7.85546875" style="16" customWidth="1"/>
    <col min="11269" max="11269" width="8.5703125" style="16" bestFit="1" customWidth="1"/>
    <col min="11270" max="11270" width="7.85546875" style="16" customWidth="1"/>
    <col min="11271" max="11279" width="8.8554687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20" style="16" customWidth="1"/>
    <col min="11523" max="11523" width="9.28515625" style="16" customWidth="1"/>
    <col min="11524" max="11524" width="7.85546875" style="16" customWidth="1"/>
    <col min="11525" max="11525" width="8.5703125" style="16" bestFit="1" customWidth="1"/>
    <col min="11526" max="11526" width="7.85546875" style="16" customWidth="1"/>
    <col min="11527" max="11535" width="8.8554687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20" style="16" customWidth="1"/>
    <col min="11779" max="11779" width="9.28515625" style="16" customWidth="1"/>
    <col min="11780" max="11780" width="7.85546875" style="16" customWidth="1"/>
    <col min="11781" max="11781" width="8.5703125" style="16" bestFit="1" customWidth="1"/>
    <col min="11782" max="11782" width="7.85546875" style="16" customWidth="1"/>
    <col min="11783" max="11791" width="8.8554687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20" style="16" customWidth="1"/>
    <col min="12035" max="12035" width="9.28515625" style="16" customWidth="1"/>
    <col min="12036" max="12036" width="7.85546875" style="16" customWidth="1"/>
    <col min="12037" max="12037" width="8.5703125" style="16" bestFit="1" customWidth="1"/>
    <col min="12038" max="12038" width="7.85546875" style="16" customWidth="1"/>
    <col min="12039" max="12047" width="8.8554687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20" style="16" customWidth="1"/>
    <col min="12291" max="12291" width="9.28515625" style="16" customWidth="1"/>
    <col min="12292" max="12292" width="7.85546875" style="16" customWidth="1"/>
    <col min="12293" max="12293" width="8.5703125" style="16" bestFit="1" customWidth="1"/>
    <col min="12294" max="12294" width="7.85546875" style="16" customWidth="1"/>
    <col min="12295" max="12303" width="8.8554687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20" style="16" customWidth="1"/>
    <col min="12547" max="12547" width="9.28515625" style="16" customWidth="1"/>
    <col min="12548" max="12548" width="7.85546875" style="16" customWidth="1"/>
    <col min="12549" max="12549" width="8.5703125" style="16" bestFit="1" customWidth="1"/>
    <col min="12550" max="12550" width="7.85546875" style="16" customWidth="1"/>
    <col min="12551" max="12559" width="8.8554687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20" style="16" customWidth="1"/>
    <col min="12803" max="12803" width="9.28515625" style="16" customWidth="1"/>
    <col min="12804" max="12804" width="7.85546875" style="16" customWidth="1"/>
    <col min="12805" max="12805" width="8.5703125" style="16" bestFit="1" customWidth="1"/>
    <col min="12806" max="12806" width="7.85546875" style="16" customWidth="1"/>
    <col min="12807" max="12815" width="8.8554687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20" style="16" customWidth="1"/>
    <col min="13059" max="13059" width="9.28515625" style="16" customWidth="1"/>
    <col min="13060" max="13060" width="7.85546875" style="16" customWidth="1"/>
    <col min="13061" max="13061" width="8.5703125" style="16" bestFit="1" customWidth="1"/>
    <col min="13062" max="13062" width="7.85546875" style="16" customWidth="1"/>
    <col min="13063" max="13071" width="8.8554687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20" style="16" customWidth="1"/>
    <col min="13315" max="13315" width="9.28515625" style="16" customWidth="1"/>
    <col min="13316" max="13316" width="7.85546875" style="16" customWidth="1"/>
    <col min="13317" max="13317" width="8.5703125" style="16" bestFit="1" customWidth="1"/>
    <col min="13318" max="13318" width="7.85546875" style="16" customWidth="1"/>
    <col min="13319" max="13327" width="8.8554687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20" style="16" customWidth="1"/>
    <col min="13571" max="13571" width="9.28515625" style="16" customWidth="1"/>
    <col min="13572" max="13572" width="7.85546875" style="16" customWidth="1"/>
    <col min="13573" max="13573" width="8.5703125" style="16" bestFit="1" customWidth="1"/>
    <col min="13574" max="13574" width="7.85546875" style="16" customWidth="1"/>
    <col min="13575" max="13583" width="8.8554687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20" style="16" customWidth="1"/>
    <col min="13827" max="13827" width="9.28515625" style="16" customWidth="1"/>
    <col min="13828" max="13828" width="7.85546875" style="16" customWidth="1"/>
    <col min="13829" max="13829" width="8.5703125" style="16" bestFit="1" customWidth="1"/>
    <col min="13830" max="13830" width="7.85546875" style="16" customWidth="1"/>
    <col min="13831" max="13839" width="8.8554687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20" style="16" customWidth="1"/>
    <col min="14083" max="14083" width="9.28515625" style="16" customWidth="1"/>
    <col min="14084" max="14084" width="7.85546875" style="16" customWidth="1"/>
    <col min="14085" max="14085" width="8.5703125" style="16" bestFit="1" customWidth="1"/>
    <col min="14086" max="14086" width="7.85546875" style="16" customWidth="1"/>
    <col min="14087" max="14095" width="8.8554687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20" style="16" customWidth="1"/>
    <col min="14339" max="14339" width="9.28515625" style="16" customWidth="1"/>
    <col min="14340" max="14340" width="7.85546875" style="16" customWidth="1"/>
    <col min="14341" max="14341" width="8.5703125" style="16" bestFit="1" customWidth="1"/>
    <col min="14342" max="14342" width="7.85546875" style="16" customWidth="1"/>
    <col min="14343" max="14351" width="8.8554687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20" style="16" customWidth="1"/>
    <col min="14595" max="14595" width="9.28515625" style="16" customWidth="1"/>
    <col min="14596" max="14596" width="7.85546875" style="16" customWidth="1"/>
    <col min="14597" max="14597" width="8.5703125" style="16" bestFit="1" customWidth="1"/>
    <col min="14598" max="14598" width="7.85546875" style="16" customWidth="1"/>
    <col min="14599" max="14607" width="8.8554687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20" style="16" customWidth="1"/>
    <col min="14851" max="14851" width="9.28515625" style="16" customWidth="1"/>
    <col min="14852" max="14852" width="7.85546875" style="16" customWidth="1"/>
    <col min="14853" max="14853" width="8.5703125" style="16" bestFit="1" customWidth="1"/>
    <col min="14854" max="14854" width="7.85546875" style="16" customWidth="1"/>
    <col min="14855" max="14863" width="8.8554687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20" style="16" customWidth="1"/>
    <col min="15107" max="15107" width="9.28515625" style="16" customWidth="1"/>
    <col min="15108" max="15108" width="7.85546875" style="16" customWidth="1"/>
    <col min="15109" max="15109" width="8.5703125" style="16" bestFit="1" customWidth="1"/>
    <col min="15110" max="15110" width="7.85546875" style="16" customWidth="1"/>
    <col min="15111" max="15119" width="8.8554687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20" style="16" customWidth="1"/>
    <col min="15363" max="15363" width="9.28515625" style="16" customWidth="1"/>
    <col min="15364" max="15364" width="7.85546875" style="16" customWidth="1"/>
    <col min="15365" max="15365" width="8.5703125" style="16" bestFit="1" customWidth="1"/>
    <col min="15366" max="15366" width="7.85546875" style="16" customWidth="1"/>
    <col min="15367" max="15375" width="8.8554687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20" style="16" customWidth="1"/>
    <col min="15619" max="15619" width="9.28515625" style="16" customWidth="1"/>
    <col min="15620" max="15620" width="7.85546875" style="16" customWidth="1"/>
    <col min="15621" max="15621" width="8.5703125" style="16" bestFit="1" customWidth="1"/>
    <col min="15622" max="15622" width="7.85546875" style="16" customWidth="1"/>
    <col min="15623" max="15631" width="8.8554687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20" style="16" customWidth="1"/>
    <col min="15875" max="15875" width="9.28515625" style="16" customWidth="1"/>
    <col min="15876" max="15876" width="7.85546875" style="16" customWidth="1"/>
    <col min="15877" max="15877" width="8.5703125" style="16" bestFit="1" customWidth="1"/>
    <col min="15878" max="15878" width="7.85546875" style="16" customWidth="1"/>
    <col min="15879" max="15887" width="8.8554687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20" style="16" customWidth="1"/>
    <col min="16131" max="16131" width="9.28515625" style="16" customWidth="1"/>
    <col min="16132" max="16132" width="7.85546875" style="16" customWidth="1"/>
    <col min="16133" max="16133" width="8.5703125" style="16" bestFit="1" customWidth="1"/>
    <col min="16134" max="16134" width="7.85546875" style="16" customWidth="1"/>
    <col min="16135" max="16143" width="8.8554687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67" t="s">
        <v>100</v>
      </c>
      <c r="B1" s="868"/>
      <c r="C1" s="868"/>
      <c r="D1" s="869"/>
      <c r="E1" s="868"/>
      <c r="F1" s="868"/>
      <c r="G1" s="867" t="s">
        <v>102</v>
      </c>
      <c r="H1" s="869"/>
      <c r="I1" s="869" t="s">
        <v>79</v>
      </c>
      <c r="J1" s="868"/>
      <c r="K1" s="868"/>
      <c r="L1" s="870"/>
      <c r="M1" s="870"/>
      <c r="N1" s="870"/>
      <c r="O1" s="870"/>
    </row>
    <row r="2" spans="1:15" s="1" customFormat="1" x14ac:dyDescent="0.2">
      <c r="A2" s="867" t="s">
        <v>103</v>
      </c>
      <c r="B2" s="868"/>
      <c r="C2" s="868"/>
      <c r="D2" s="869"/>
      <c r="E2" s="868"/>
      <c r="F2" s="868"/>
      <c r="G2" s="867" t="s">
        <v>104</v>
      </c>
      <c r="H2" s="869"/>
      <c r="I2" s="869" t="s">
        <v>105</v>
      </c>
      <c r="J2" s="868"/>
      <c r="K2" s="868"/>
      <c r="L2" s="870"/>
      <c r="M2" s="870"/>
      <c r="N2" s="870"/>
      <c r="O2" s="870"/>
    </row>
    <row r="3" spans="1:15" s="1" customFormat="1" x14ac:dyDescent="0.2">
      <c r="A3" s="867" t="s">
        <v>106</v>
      </c>
      <c r="B3" s="868"/>
      <c r="C3" s="868"/>
      <c r="D3" s="883" t="s">
        <v>287</v>
      </c>
      <c r="E3" s="868"/>
      <c r="F3" s="868"/>
      <c r="G3" s="867" t="s">
        <v>107</v>
      </c>
      <c r="H3" s="869"/>
      <c r="I3" s="869" t="s">
        <v>108</v>
      </c>
      <c r="J3" s="868"/>
      <c r="K3" s="868"/>
      <c r="L3" s="870"/>
      <c r="M3" s="870"/>
      <c r="N3" s="870"/>
      <c r="O3" s="870"/>
    </row>
    <row r="4" spans="1:15" s="1" customFormat="1" x14ac:dyDescent="0.2">
      <c r="A4" s="867" t="s">
        <v>109</v>
      </c>
      <c r="B4" s="868"/>
      <c r="C4" s="868"/>
      <c r="D4" s="869"/>
      <c r="E4" s="868"/>
      <c r="F4" s="868"/>
      <c r="G4" s="867" t="s">
        <v>110</v>
      </c>
      <c r="H4" s="869"/>
      <c r="I4" s="869" t="s">
        <v>272</v>
      </c>
      <c r="J4" s="868"/>
      <c r="K4" s="868"/>
      <c r="L4" s="870"/>
      <c r="M4" s="870"/>
      <c r="N4" s="870"/>
      <c r="O4" s="870"/>
    </row>
    <row r="5" spans="1:15" s="1" customFormat="1" x14ac:dyDescent="0.2">
      <c r="A5" s="867" t="s">
        <v>278</v>
      </c>
      <c r="B5" s="868"/>
      <c r="C5" s="868"/>
      <c r="D5" s="869" t="s">
        <v>288</v>
      </c>
      <c r="E5" s="868"/>
      <c r="F5" s="868"/>
      <c r="G5" s="867"/>
      <c r="H5" s="868"/>
      <c r="I5" s="869" t="s">
        <v>113</v>
      </c>
      <c r="J5" s="868"/>
      <c r="K5" s="868"/>
      <c r="L5" s="870"/>
      <c r="M5" s="870"/>
      <c r="N5" s="870"/>
      <c r="O5" s="870"/>
    </row>
    <row r="6" spans="1:15" s="1" customFormat="1" x14ac:dyDescent="0.2">
      <c r="A6" s="871" t="s">
        <v>114</v>
      </c>
      <c r="B6" s="872"/>
      <c r="C6" s="872"/>
      <c r="D6" s="868" t="s">
        <v>80</v>
      </c>
      <c r="E6" s="868"/>
      <c r="F6" s="868"/>
      <c r="G6" s="871" t="s">
        <v>115</v>
      </c>
      <c r="H6" s="871"/>
      <c r="I6" s="2" t="s">
        <v>116</v>
      </c>
      <c r="J6" s="888"/>
      <c r="K6" s="888"/>
      <c r="L6" s="888"/>
      <c r="M6" s="888"/>
      <c r="N6" s="888"/>
      <c r="O6" s="889"/>
    </row>
    <row r="7" spans="1:15" s="1" customFormat="1" ht="13.5" thickBot="1" x14ac:dyDescent="0.25">
      <c r="A7" s="3"/>
      <c r="B7" s="4"/>
      <c r="C7" s="5"/>
      <c r="D7" s="6"/>
      <c r="E7" s="6"/>
      <c r="F7" s="6"/>
      <c r="G7" s="6"/>
      <c r="H7" s="6"/>
      <c r="I7" s="6"/>
      <c r="J7" s="7"/>
      <c r="K7" s="8"/>
      <c r="L7" s="875" t="s">
        <v>223</v>
      </c>
      <c r="M7" s="875"/>
      <c r="N7" s="875"/>
      <c r="O7" s="875"/>
    </row>
    <row r="8" spans="1:15" s="11" customFormat="1" x14ac:dyDescent="0.2">
      <c r="A8" s="876" t="str">
        <f>I1</f>
        <v>Mr. V. B. Bhute</v>
      </c>
      <c r="B8" s="877"/>
      <c r="C8" s="144">
        <v>43160</v>
      </c>
      <c r="D8" s="144">
        <v>43191</v>
      </c>
      <c r="E8" s="144">
        <v>43221</v>
      </c>
      <c r="F8" s="144">
        <v>43252</v>
      </c>
      <c r="G8" s="144">
        <v>43282</v>
      </c>
      <c r="H8" s="144">
        <v>43313</v>
      </c>
      <c r="I8" s="144">
        <v>43344</v>
      </c>
      <c r="J8" s="144">
        <v>43374</v>
      </c>
      <c r="K8" s="144">
        <v>43405</v>
      </c>
      <c r="L8" s="144">
        <v>43435</v>
      </c>
      <c r="M8" s="144">
        <v>43466</v>
      </c>
      <c r="N8" s="144">
        <v>43497</v>
      </c>
      <c r="O8" s="10" t="s">
        <v>117</v>
      </c>
    </row>
    <row r="9" spans="1:15" ht="15" x14ac:dyDescent="0.2">
      <c r="A9" s="12"/>
      <c r="B9" s="13" t="s">
        <v>118</v>
      </c>
      <c r="C9" s="14">
        <v>34000</v>
      </c>
      <c r="D9" s="14">
        <v>34000</v>
      </c>
      <c r="E9" s="14">
        <v>34000</v>
      </c>
      <c r="F9" s="14">
        <v>34000</v>
      </c>
      <c r="G9" s="14">
        <v>35000</v>
      </c>
      <c r="H9" s="14">
        <v>35000</v>
      </c>
      <c r="I9" s="14">
        <v>35000</v>
      </c>
      <c r="J9" s="14">
        <v>35000</v>
      </c>
      <c r="K9" s="14">
        <v>35000</v>
      </c>
      <c r="L9" s="14">
        <v>35000</v>
      </c>
      <c r="M9" s="14">
        <v>35000</v>
      </c>
      <c r="N9" s="14">
        <v>35000</v>
      </c>
      <c r="O9" s="15">
        <f>SUM(C9:N9)</f>
        <v>416000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1700</v>
      </c>
      <c r="D11" s="17">
        <v>2380</v>
      </c>
      <c r="E11" s="17">
        <v>2380</v>
      </c>
      <c r="F11" s="17">
        <v>2380</v>
      </c>
      <c r="G11" s="17">
        <v>2450</v>
      </c>
      <c r="H11" s="17">
        <v>2450</v>
      </c>
      <c r="I11" s="17">
        <v>2450</v>
      </c>
      <c r="J11" s="17">
        <v>3150</v>
      </c>
      <c r="K11" s="17">
        <v>3150</v>
      </c>
      <c r="L11" s="17">
        <v>3150</v>
      </c>
      <c r="M11" s="17">
        <v>3150</v>
      </c>
      <c r="N11" s="17">
        <v>3150</v>
      </c>
      <c r="O11" s="18">
        <f>SUM(C11:N11)</f>
        <v>31940</v>
      </c>
    </row>
    <row r="12" spans="1:15"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x14ac:dyDescent="0.2">
      <c r="A14" s="12"/>
      <c r="B14" s="13" t="s">
        <v>123</v>
      </c>
      <c r="C14" s="17">
        <v>3780</v>
      </c>
      <c r="D14" s="17">
        <v>3852</v>
      </c>
      <c r="E14" s="17">
        <v>3852</v>
      </c>
      <c r="F14" s="17">
        <v>3852</v>
      </c>
      <c r="G14" s="17">
        <v>3852</v>
      </c>
      <c r="H14" s="17">
        <v>3852</v>
      </c>
      <c r="I14" s="17">
        <v>3852</v>
      </c>
      <c r="J14" s="17">
        <v>3924</v>
      </c>
      <c r="K14" s="17">
        <v>3924</v>
      </c>
      <c r="L14" s="17">
        <v>3924</v>
      </c>
      <c r="M14" s="17">
        <v>3924</v>
      </c>
      <c r="N14" s="17">
        <v>3924</v>
      </c>
      <c r="O14" s="18">
        <f t="shared" si="0"/>
        <v>46512</v>
      </c>
    </row>
    <row r="15" spans="1:15"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x14ac:dyDescent="0.2">
      <c r="A16" s="12"/>
      <c r="B16" s="13" t="s">
        <v>125</v>
      </c>
      <c r="C16" s="17">
        <v>0</v>
      </c>
      <c r="D16" s="17">
        <v>0</v>
      </c>
      <c r="E16" s="17">
        <v>0</v>
      </c>
      <c r="F16" s="17">
        <v>0</v>
      </c>
      <c r="G16" s="17">
        <v>5000</v>
      </c>
      <c r="H16" s="17">
        <v>0</v>
      </c>
      <c r="I16" s="17">
        <v>0</v>
      </c>
      <c r="J16" s="17">
        <v>0</v>
      </c>
      <c r="K16" s="17">
        <v>0</v>
      </c>
      <c r="L16" s="17">
        <v>0</v>
      </c>
      <c r="M16" s="17">
        <v>0</v>
      </c>
      <c r="N16" s="17">
        <v>0</v>
      </c>
      <c r="O16" s="18">
        <f t="shared" si="0"/>
        <v>5000</v>
      </c>
    </row>
    <row r="17" spans="1:15" x14ac:dyDescent="0.2">
      <c r="A17" s="12"/>
      <c r="B17" s="166" t="s">
        <v>280</v>
      </c>
      <c r="C17" s="17">
        <v>0</v>
      </c>
      <c r="D17" s="17">
        <v>0</v>
      </c>
      <c r="E17" s="17">
        <v>0</v>
      </c>
      <c r="F17" s="17">
        <v>0</v>
      </c>
      <c r="G17" s="17">
        <v>0</v>
      </c>
      <c r="H17" s="17">
        <v>0</v>
      </c>
      <c r="I17" s="17">
        <v>0</v>
      </c>
      <c r="J17" s="17">
        <v>0</v>
      </c>
      <c r="K17" s="17">
        <v>0</v>
      </c>
      <c r="L17" s="17">
        <v>0</v>
      </c>
      <c r="M17" s="17">
        <v>0</v>
      </c>
      <c r="N17" s="17">
        <v>0</v>
      </c>
      <c r="O17" s="18">
        <f>SUM(C17:N17)</f>
        <v>0</v>
      </c>
    </row>
    <row r="18" spans="1:15" ht="15" customHeight="1" x14ac:dyDescent="0.2">
      <c r="A18" s="12"/>
      <c r="B18" s="166" t="s">
        <v>224</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0</v>
      </c>
      <c r="D19" s="17">
        <v>0</v>
      </c>
      <c r="E19" s="17">
        <v>0</v>
      </c>
      <c r="F19" s="17">
        <v>0</v>
      </c>
      <c r="G19" s="17">
        <v>0</v>
      </c>
      <c r="H19" s="17">
        <v>0</v>
      </c>
      <c r="I19" s="17">
        <v>0</v>
      </c>
      <c r="J19" s="17">
        <v>0</v>
      </c>
      <c r="K19" s="17">
        <v>0</v>
      </c>
      <c r="L19" s="17">
        <v>0</v>
      </c>
      <c r="M19" s="17">
        <v>0</v>
      </c>
      <c r="N19" s="17">
        <v>0</v>
      </c>
      <c r="O19" s="18">
        <f t="shared" si="0"/>
        <v>0</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78"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79"/>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5" ht="15" hidden="1" customHeight="1" x14ac:dyDescent="0.2">
      <c r="A23" s="879"/>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79"/>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79"/>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79"/>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79"/>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79"/>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79"/>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79"/>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customHeight="1" x14ac:dyDescent="0.2">
      <c r="A31" s="879"/>
      <c r="B31" s="167" t="s">
        <v>246</v>
      </c>
      <c r="C31" s="17">
        <v>0</v>
      </c>
      <c r="D31" s="17">
        <v>0</v>
      </c>
      <c r="E31" s="17">
        <v>12127</v>
      </c>
      <c r="F31" s="17">
        <v>0</v>
      </c>
      <c r="G31" s="17">
        <v>0</v>
      </c>
      <c r="H31" s="17">
        <v>0</v>
      </c>
      <c r="I31" s="17">
        <v>0</v>
      </c>
      <c r="J31" s="17">
        <v>0</v>
      </c>
      <c r="K31" s="17">
        <v>0</v>
      </c>
      <c r="L31" s="17">
        <v>0</v>
      </c>
      <c r="M31" s="17">
        <v>0</v>
      </c>
      <c r="N31" s="17">
        <v>0</v>
      </c>
      <c r="O31" s="18">
        <f t="shared" si="0"/>
        <v>12127</v>
      </c>
    </row>
    <row r="32" spans="1:15" ht="15" customHeight="1" x14ac:dyDescent="0.2">
      <c r="A32" s="879"/>
      <c r="B32" s="21" t="s">
        <v>142</v>
      </c>
      <c r="C32" s="17">
        <v>0</v>
      </c>
      <c r="D32" s="17">
        <v>0</v>
      </c>
      <c r="E32" s="17">
        <v>0</v>
      </c>
      <c r="F32" s="17">
        <v>0</v>
      </c>
      <c r="G32" s="17">
        <v>0</v>
      </c>
      <c r="H32" s="17">
        <v>0</v>
      </c>
      <c r="I32" s="17">
        <v>0</v>
      </c>
      <c r="J32" s="17">
        <v>0</v>
      </c>
      <c r="K32" s="17">
        <v>0</v>
      </c>
      <c r="L32" s="17">
        <v>0</v>
      </c>
      <c r="M32" s="17">
        <v>0</v>
      </c>
      <c r="N32" s="17">
        <v>0</v>
      </c>
      <c r="O32" s="18">
        <f t="shared" si="0"/>
        <v>0</v>
      </c>
    </row>
    <row r="33" spans="1:17" ht="15" hidden="1" customHeight="1" x14ac:dyDescent="0.2">
      <c r="A33" s="880"/>
      <c r="B33" s="19" t="s">
        <v>226</v>
      </c>
      <c r="C33" s="17">
        <v>0</v>
      </c>
      <c r="D33" s="17">
        <v>0</v>
      </c>
      <c r="E33" s="17">
        <v>0</v>
      </c>
      <c r="F33" s="17">
        <v>0</v>
      </c>
      <c r="G33" s="17">
        <v>0</v>
      </c>
      <c r="H33" s="17">
        <v>0</v>
      </c>
      <c r="I33" s="17">
        <v>0</v>
      </c>
      <c r="J33" s="17">
        <v>0</v>
      </c>
      <c r="K33" s="17">
        <v>0</v>
      </c>
      <c r="L33" s="17">
        <v>0</v>
      </c>
      <c r="M33" s="17">
        <v>0</v>
      </c>
      <c r="N33" s="17">
        <v>0</v>
      </c>
      <c r="O33" s="18">
        <f t="shared" si="0"/>
        <v>0</v>
      </c>
    </row>
    <row r="34" spans="1:17" ht="15" customHeight="1" x14ac:dyDescent="0.2">
      <c r="A34" s="865" t="s">
        <v>144</v>
      </c>
      <c r="B34" s="866"/>
      <c r="C34" s="17">
        <v>0</v>
      </c>
      <c r="D34" s="17">
        <v>0</v>
      </c>
      <c r="E34" s="17">
        <v>0</v>
      </c>
      <c r="F34" s="17">
        <v>0</v>
      </c>
      <c r="G34" s="17">
        <v>0</v>
      </c>
      <c r="H34" s="17">
        <v>0</v>
      </c>
      <c r="I34" s="17">
        <v>0</v>
      </c>
      <c r="J34" s="17">
        <v>0</v>
      </c>
      <c r="K34" s="17">
        <v>0</v>
      </c>
      <c r="L34" s="17">
        <v>0</v>
      </c>
      <c r="M34" s="17">
        <v>0</v>
      </c>
      <c r="N34" s="17">
        <v>0</v>
      </c>
      <c r="O34" s="18">
        <f t="shared" si="0"/>
        <v>0</v>
      </c>
    </row>
    <row r="35" spans="1:17" ht="15" customHeight="1" x14ac:dyDescent="0.2">
      <c r="A35" s="865" t="s">
        <v>145</v>
      </c>
      <c r="B35" s="866"/>
      <c r="C35" s="17">
        <v>0</v>
      </c>
      <c r="D35" s="17">
        <v>216</v>
      </c>
      <c r="E35" s="17">
        <v>0</v>
      </c>
      <c r="F35" s="17">
        <v>0</v>
      </c>
      <c r="G35" s="17">
        <v>0</v>
      </c>
      <c r="H35" s="17">
        <v>0</v>
      </c>
      <c r="I35" s="17">
        <v>0</v>
      </c>
      <c r="J35" s="17">
        <v>216</v>
      </c>
      <c r="K35" s="17">
        <v>0</v>
      </c>
      <c r="L35" s="17">
        <v>0</v>
      </c>
      <c r="M35" s="17">
        <v>0</v>
      </c>
      <c r="N35" s="17">
        <v>0</v>
      </c>
      <c r="O35" s="18">
        <f t="shared" si="0"/>
        <v>432</v>
      </c>
    </row>
    <row r="36" spans="1:17" ht="15" customHeight="1" x14ac:dyDescent="0.2">
      <c r="A36" s="865" t="s">
        <v>146</v>
      </c>
      <c r="B36" s="866"/>
      <c r="C36" s="17">
        <v>0</v>
      </c>
      <c r="D36" s="17">
        <v>2040</v>
      </c>
      <c r="E36" s="17">
        <v>0</v>
      </c>
      <c r="F36" s="17">
        <v>0</v>
      </c>
      <c r="G36" s="17">
        <v>0</v>
      </c>
      <c r="H36" s="17">
        <v>0</v>
      </c>
      <c r="I36" s="17">
        <v>0</v>
      </c>
      <c r="J36" s="17">
        <v>2100</v>
      </c>
      <c r="K36" s="17">
        <v>0</v>
      </c>
      <c r="L36" s="17">
        <v>0</v>
      </c>
      <c r="M36" s="17">
        <v>0</v>
      </c>
      <c r="N36" s="17">
        <v>0</v>
      </c>
      <c r="O36" s="18">
        <f t="shared" si="0"/>
        <v>4140</v>
      </c>
    </row>
    <row r="37" spans="1:17" ht="15" customHeight="1" x14ac:dyDescent="0.2">
      <c r="A37" s="22"/>
      <c r="B37" s="23" t="s">
        <v>147</v>
      </c>
      <c r="C37" s="24">
        <f t="shared" ref="C37:N37" si="1">SUM(C9:C36)</f>
        <v>39480</v>
      </c>
      <c r="D37" s="24">
        <f t="shared" si="1"/>
        <v>42488</v>
      </c>
      <c r="E37" s="24">
        <f t="shared" si="1"/>
        <v>52359</v>
      </c>
      <c r="F37" s="24">
        <f t="shared" si="1"/>
        <v>40232</v>
      </c>
      <c r="G37" s="24">
        <f t="shared" si="1"/>
        <v>46302</v>
      </c>
      <c r="H37" s="24">
        <f t="shared" si="1"/>
        <v>41302</v>
      </c>
      <c r="I37" s="24">
        <f t="shared" si="1"/>
        <v>41302</v>
      </c>
      <c r="J37" s="24">
        <f t="shared" si="1"/>
        <v>51298</v>
      </c>
      <c r="K37" s="24">
        <f t="shared" si="1"/>
        <v>42074</v>
      </c>
      <c r="L37" s="24">
        <f t="shared" si="1"/>
        <v>42074</v>
      </c>
      <c r="M37" s="24">
        <f t="shared" si="1"/>
        <v>42074</v>
      </c>
      <c r="N37" s="24">
        <f t="shared" si="1"/>
        <v>42074</v>
      </c>
      <c r="O37" s="25">
        <f>SUM(C37:N37)</f>
        <v>523059</v>
      </c>
      <c r="Q37" s="16">
        <f>22022*2+4084+23043*2+23655*3+3930+3454+24965*5</f>
        <v>297388</v>
      </c>
    </row>
    <row r="38" spans="1:17" ht="15" customHeight="1" x14ac:dyDescent="0.2">
      <c r="A38" s="853" t="s">
        <v>148</v>
      </c>
      <c r="B38" s="27" t="s">
        <v>149</v>
      </c>
      <c r="C38" s="147">
        <v>270</v>
      </c>
      <c r="D38" s="147">
        <v>0</v>
      </c>
      <c r="E38" s="147">
        <v>0</v>
      </c>
      <c r="F38" s="147">
        <v>0</v>
      </c>
      <c r="G38" s="147">
        <v>0</v>
      </c>
      <c r="H38" s="147">
        <v>0</v>
      </c>
      <c r="I38" s="147">
        <v>0</v>
      </c>
      <c r="J38" s="147">
        <v>500</v>
      </c>
      <c r="K38" s="147">
        <v>1500</v>
      </c>
      <c r="L38" s="147">
        <v>875</v>
      </c>
      <c r="M38" s="147">
        <v>875</v>
      </c>
      <c r="N38" s="147">
        <v>0</v>
      </c>
      <c r="O38" s="18">
        <f>SUM(C38:N38)</f>
        <v>4020</v>
      </c>
      <c r="Q38" s="16">
        <f>+O17</f>
        <v>0</v>
      </c>
    </row>
    <row r="39" spans="1:17" ht="15" x14ac:dyDescent="0.2">
      <c r="A39" s="854"/>
      <c r="B39" s="27" t="s">
        <v>150</v>
      </c>
      <c r="C39" s="147">
        <v>0</v>
      </c>
      <c r="D39" s="147">
        <v>0</v>
      </c>
      <c r="E39" s="147">
        <v>0</v>
      </c>
      <c r="F39" s="147">
        <v>0</v>
      </c>
      <c r="G39" s="147">
        <v>0</v>
      </c>
      <c r="H39" s="147">
        <v>0</v>
      </c>
      <c r="I39" s="147">
        <v>0</v>
      </c>
      <c r="J39" s="147">
        <v>0</v>
      </c>
      <c r="K39" s="147">
        <v>0</v>
      </c>
      <c r="L39" s="147">
        <v>0</v>
      </c>
      <c r="M39" s="147">
        <v>0</v>
      </c>
      <c r="N39" s="147">
        <v>0</v>
      </c>
      <c r="O39" s="18">
        <f>SUM(C39:N39)</f>
        <v>0</v>
      </c>
      <c r="Q39" s="16">
        <f>+Q37+Q38</f>
        <v>297388</v>
      </c>
    </row>
    <row r="40" spans="1:17" ht="15" x14ac:dyDescent="0.2">
      <c r="A40" s="854"/>
      <c r="B40" s="27" t="s">
        <v>151</v>
      </c>
      <c r="C40" s="147">
        <v>30</v>
      </c>
      <c r="D40" s="147">
        <v>30</v>
      </c>
      <c r="E40" s="147">
        <v>30</v>
      </c>
      <c r="F40" s="147">
        <v>30</v>
      </c>
      <c r="G40" s="147">
        <v>30</v>
      </c>
      <c r="H40" s="147">
        <v>30</v>
      </c>
      <c r="I40" s="147">
        <v>30</v>
      </c>
      <c r="J40" s="147">
        <v>30</v>
      </c>
      <c r="K40" s="147">
        <v>30</v>
      </c>
      <c r="L40" s="147">
        <v>30</v>
      </c>
      <c r="M40" s="147">
        <v>30</v>
      </c>
      <c r="N40" s="147">
        <v>30</v>
      </c>
      <c r="O40" s="18">
        <f t="shared" ref="O40:O51" si="2">SUM(C40:N40)</f>
        <v>360</v>
      </c>
    </row>
    <row r="41" spans="1:17" ht="15" x14ac:dyDescent="0.2">
      <c r="A41" s="854"/>
      <c r="B41" s="27" t="s">
        <v>152</v>
      </c>
      <c r="C41" s="147">
        <v>0</v>
      </c>
      <c r="D41" s="147">
        <v>0</v>
      </c>
      <c r="E41" s="147">
        <v>0</v>
      </c>
      <c r="F41" s="147">
        <v>0</v>
      </c>
      <c r="G41" s="147">
        <v>0</v>
      </c>
      <c r="H41" s="147">
        <v>0</v>
      </c>
      <c r="I41" s="147">
        <v>0</v>
      </c>
      <c r="J41" s="147">
        <v>0</v>
      </c>
      <c r="K41" s="147">
        <v>0</v>
      </c>
      <c r="L41" s="147">
        <v>0</v>
      </c>
      <c r="M41" s="147">
        <v>0</v>
      </c>
      <c r="N41" s="147">
        <v>0</v>
      </c>
      <c r="O41" s="18">
        <f t="shared" si="2"/>
        <v>0</v>
      </c>
    </row>
    <row r="42" spans="1:17" ht="15" x14ac:dyDescent="0.2">
      <c r="A42" s="854"/>
      <c r="B42" s="27" t="s">
        <v>153</v>
      </c>
      <c r="C42" s="147">
        <v>250</v>
      </c>
      <c r="D42" s="147">
        <v>250</v>
      </c>
      <c r="E42" s="147">
        <v>250</v>
      </c>
      <c r="F42" s="147">
        <v>250</v>
      </c>
      <c r="G42" s="147">
        <v>250</v>
      </c>
      <c r="H42" s="147">
        <v>250</v>
      </c>
      <c r="I42" s="147">
        <v>250</v>
      </c>
      <c r="J42" s="147">
        <v>250</v>
      </c>
      <c r="K42" s="147">
        <v>250</v>
      </c>
      <c r="L42" s="147">
        <v>250</v>
      </c>
      <c r="M42" s="147">
        <v>250</v>
      </c>
      <c r="N42" s="147">
        <v>250</v>
      </c>
      <c r="O42" s="18">
        <f t="shared" si="2"/>
        <v>3000</v>
      </c>
    </row>
    <row r="43" spans="1:17" ht="15" x14ac:dyDescent="0.2">
      <c r="A43" s="854"/>
      <c r="B43" s="27" t="s">
        <v>154</v>
      </c>
      <c r="C43" s="147">
        <v>5000</v>
      </c>
      <c r="D43" s="147">
        <v>5000</v>
      </c>
      <c r="E43" s="147">
        <v>5000</v>
      </c>
      <c r="F43" s="147">
        <v>5000</v>
      </c>
      <c r="G43" s="147">
        <v>5000</v>
      </c>
      <c r="H43" s="147">
        <v>10000</v>
      </c>
      <c r="I43" s="147">
        <v>10000</v>
      </c>
      <c r="J43" s="147">
        <v>10000</v>
      </c>
      <c r="K43" s="147">
        <v>10000</v>
      </c>
      <c r="L43" s="147">
        <v>10000</v>
      </c>
      <c r="M43" s="147">
        <v>10000</v>
      </c>
      <c r="N43" s="147">
        <v>10000</v>
      </c>
      <c r="O43" s="18">
        <f>SUM(C43:N43)</f>
        <v>95000</v>
      </c>
      <c r="P43" s="170"/>
    </row>
    <row r="44" spans="1:17" ht="15" x14ac:dyDescent="0.2">
      <c r="A44" s="854"/>
      <c r="B44" s="27" t="s">
        <v>155</v>
      </c>
      <c r="C44" s="147">
        <v>200</v>
      </c>
      <c r="D44" s="147">
        <v>200</v>
      </c>
      <c r="E44" s="147">
        <v>200</v>
      </c>
      <c r="F44" s="147">
        <v>200</v>
      </c>
      <c r="G44" s="147">
        <v>200</v>
      </c>
      <c r="H44" s="147">
        <v>200</v>
      </c>
      <c r="I44" s="147">
        <v>200</v>
      </c>
      <c r="J44" s="147">
        <v>200</v>
      </c>
      <c r="K44" s="147">
        <v>200</v>
      </c>
      <c r="L44" s="147">
        <v>200</v>
      </c>
      <c r="M44" s="147">
        <v>200</v>
      </c>
      <c r="N44" s="147">
        <v>300</v>
      </c>
      <c r="O44" s="18">
        <f t="shared" si="2"/>
        <v>2500</v>
      </c>
    </row>
    <row r="45" spans="1:17" ht="15" x14ac:dyDescent="0.2">
      <c r="A45" s="854"/>
      <c r="B45" s="27" t="s">
        <v>281</v>
      </c>
      <c r="C45" s="147">
        <v>363</v>
      </c>
      <c r="D45" s="147">
        <v>363</v>
      </c>
      <c r="E45" s="147">
        <v>363</v>
      </c>
      <c r="F45" s="147">
        <v>363</v>
      </c>
      <c r="G45" s="147">
        <v>363</v>
      </c>
      <c r="H45" s="147">
        <v>363</v>
      </c>
      <c r="I45" s="147">
        <v>363</v>
      </c>
      <c r="J45" s="147">
        <v>363</v>
      </c>
      <c r="K45" s="147">
        <v>363</v>
      </c>
      <c r="L45" s="147">
        <v>363</v>
      </c>
      <c r="M45" s="147">
        <v>363</v>
      </c>
      <c r="N45" s="147">
        <v>363</v>
      </c>
      <c r="O45" s="18">
        <f t="shared" si="2"/>
        <v>4356</v>
      </c>
    </row>
    <row r="46" spans="1:17" ht="15" x14ac:dyDescent="0.2">
      <c r="A46" s="854"/>
      <c r="B46" s="27" t="s">
        <v>157</v>
      </c>
      <c r="C46" s="147">
        <v>0</v>
      </c>
      <c r="D46" s="147">
        <v>0</v>
      </c>
      <c r="E46" s="147">
        <v>0</v>
      </c>
      <c r="F46" s="147">
        <v>0</v>
      </c>
      <c r="G46" s="147">
        <v>0</v>
      </c>
      <c r="H46" s="147">
        <v>0</v>
      </c>
      <c r="I46" s="147">
        <v>0</v>
      </c>
      <c r="J46" s="147">
        <v>0</v>
      </c>
      <c r="K46" s="147">
        <v>0</v>
      </c>
      <c r="L46" s="147">
        <v>0</v>
      </c>
      <c r="M46" s="147">
        <v>0</v>
      </c>
      <c r="N46" s="147">
        <v>0</v>
      </c>
      <c r="O46" s="18">
        <f t="shared" si="2"/>
        <v>0</v>
      </c>
    </row>
    <row r="47" spans="1:17" ht="15" x14ac:dyDescent="0.2">
      <c r="A47" s="854"/>
      <c r="B47" s="27" t="s">
        <v>282</v>
      </c>
      <c r="C47" s="147">
        <v>1000</v>
      </c>
      <c r="D47" s="147">
        <v>0</v>
      </c>
      <c r="E47" s="147">
        <v>1000</v>
      </c>
      <c r="F47" s="147">
        <v>1000</v>
      </c>
      <c r="G47" s="147">
        <v>1000</v>
      </c>
      <c r="H47" s="147">
        <v>1000</v>
      </c>
      <c r="I47" s="147">
        <v>1000</v>
      </c>
      <c r="J47" s="147">
        <v>0</v>
      </c>
      <c r="K47" s="147">
        <v>0</v>
      </c>
      <c r="L47" s="147">
        <v>0</v>
      </c>
      <c r="M47" s="147">
        <v>0</v>
      </c>
      <c r="N47" s="147">
        <v>0</v>
      </c>
      <c r="O47" s="18">
        <f>SUM(C47:N47)</f>
        <v>6000</v>
      </c>
    </row>
    <row r="48" spans="1:17" ht="24.75" customHeight="1" x14ac:dyDescent="0.2">
      <c r="A48" s="855"/>
      <c r="B48" s="168" t="s">
        <v>158</v>
      </c>
      <c r="C48" s="147">
        <v>1854</v>
      </c>
      <c r="D48" s="147">
        <v>1854</v>
      </c>
      <c r="E48" s="147">
        <v>1854</v>
      </c>
      <c r="F48" s="147">
        <v>1854</v>
      </c>
      <c r="G48" s="147">
        <v>1854</v>
      </c>
      <c r="H48" s="147">
        <v>1854</v>
      </c>
      <c r="I48" s="147">
        <v>1854</v>
      </c>
      <c r="J48" s="147">
        <v>1854</v>
      </c>
      <c r="K48" s="147">
        <v>1854</v>
      </c>
      <c r="L48" s="147">
        <v>1854</v>
      </c>
      <c r="M48" s="147">
        <v>1854</v>
      </c>
      <c r="N48" s="147">
        <v>1854</v>
      </c>
      <c r="O48" s="31">
        <f t="shared" si="2"/>
        <v>22248</v>
      </c>
    </row>
    <row r="49" spans="1:18" x14ac:dyDescent="0.2">
      <c r="A49" s="856"/>
      <c r="B49" s="169" t="s">
        <v>283</v>
      </c>
      <c r="C49" s="147">
        <v>0</v>
      </c>
      <c r="D49" s="147">
        <v>0</v>
      </c>
      <c r="E49" s="147">
        <v>0</v>
      </c>
      <c r="F49" s="147">
        <v>0</v>
      </c>
      <c r="G49" s="147">
        <v>0</v>
      </c>
      <c r="H49" s="147">
        <v>0</v>
      </c>
      <c r="I49" s="147">
        <v>0</v>
      </c>
      <c r="J49" s="147">
        <v>0</v>
      </c>
      <c r="K49" s="147">
        <v>0</v>
      </c>
      <c r="L49" s="147">
        <v>0</v>
      </c>
      <c r="M49" s="147">
        <v>0</v>
      </c>
      <c r="N49" s="147">
        <v>0</v>
      </c>
      <c r="O49" s="31">
        <f t="shared" si="2"/>
        <v>0</v>
      </c>
    </row>
    <row r="50" spans="1:18" ht="15" x14ac:dyDescent="0.2">
      <c r="A50" s="857" t="s">
        <v>160</v>
      </c>
      <c r="B50" s="858"/>
      <c r="C50" s="33">
        <f t="shared" ref="C50:N50" si="3">SUM(C38:C49)</f>
        <v>8967</v>
      </c>
      <c r="D50" s="33">
        <f t="shared" si="3"/>
        <v>7697</v>
      </c>
      <c r="E50" s="33">
        <f t="shared" si="3"/>
        <v>8697</v>
      </c>
      <c r="F50" s="33">
        <f t="shared" si="3"/>
        <v>8697</v>
      </c>
      <c r="G50" s="33">
        <f t="shared" si="3"/>
        <v>8697</v>
      </c>
      <c r="H50" s="33">
        <f t="shared" si="3"/>
        <v>13697</v>
      </c>
      <c r="I50" s="33">
        <f t="shared" si="3"/>
        <v>13697</v>
      </c>
      <c r="J50" s="33">
        <f t="shared" si="3"/>
        <v>13197</v>
      </c>
      <c r="K50" s="33">
        <f t="shared" si="3"/>
        <v>14197</v>
      </c>
      <c r="L50" s="33">
        <f t="shared" si="3"/>
        <v>13572</v>
      </c>
      <c r="M50" s="33">
        <f t="shared" si="3"/>
        <v>13572</v>
      </c>
      <c r="N50" s="33">
        <f t="shared" si="3"/>
        <v>12797</v>
      </c>
      <c r="O50" s="34">
        <f t="shared" si="2"/>
        <v>137484</v>
      </c>
    </row>
    <row r="51" spans="1:18" ht="15.75" thickBot="1" x14ac:dyDescent="0.25">
      <c r="A51" s="859" t="s">
        <v>161</v>
      </c>
      <c r="B51" s="860"/>
      <c r="C51" s="35">
        <f t="shared" ref="C51:N51" si="4">C37-C50</f>
        <v>30513</v>
      </c>
      <c r="D51" s="35">
        <f t="shared" si="4"/>
        <v>34791</v>
      </c>
      <c r="E51" s="35">
        <f t="shared" si="4"/>
        <v>43662</v>
      </c>
      <c r="F51" s="35">
        <f t="shared" si="4"/>
        <v>31535</v>
      </c>
      <c r="G51" s="35">
        <f t="shared" si="4"/>
        <v>37605</v>
      </c>
      <c r="H51" s="35">
        <f t="shared" si="4"/>
        <v>27605</v>
      </c>
      <c r="I51" s="35">
        <f t="shared" si="4"/>
        <v>27605</v>
      </c>
      <c r="J51" s="35">
        <f t="shared" si="4"/>
        <v>38101</v>
      </c>
      <c r="K51" s="35">
        <f t="shared" si="4"/>
        <v>27877</v>
      </c>
      <c r="L51" s="35">
        <f t="shared" si="4"/>
        <v>28502</v>
      </c>
      <c r="M51" s="35">
        <f t="shared" si="4"/>
        <v>28502</v>
      </c>
      <c r="N51" s="35">
        <f t="shared" si="4"/>
        <v>29277</v>
      </c>
      <c r="O51" s="36">
        <f t="shared" si="2"/>
        <v>385575</v>
      </c>
      <c r="Q51" s="16">
        <f>14238+13888+4084+14799+14919+14636+16256+15881+3930+3454+17191*2+16105+15904+15681</f>
        <v>198157</v>
      </c>
    </row>
    <row r="52" spans="1:18" x14ac:dyDescent="0.2">
      <c r="G52" s="38"/>
      <c r="J52" s="128">
        <f>+J37-SUM(J22:J36)</f>
        <v>42074</v>
      </c>
    </row>
    <row r="53" spans="1:18" ht="13.5" thickBot="1" x14ac:dyDescent="0.25">
      <c r="J53" s="38">
        <f>+J52-J50</f>
        <v>28877</v>
      </c>
    </row>
    <row r="54" spans="1:18" ht="13.5" thickBot="1" x14ac:dyDescent="0.25">
      <c r="B54" s="789" t="s">
        <v>162</v>
      </c>
      <c r="C54" s="861"/>
      <c r="D54" s="861"/>
      <c r="E54" s="861"/>
      <c r="F54" s="862"/>
      <c r="G54" s="863">
        <f>O37</f>
        <v>523059</v>
      </c>
      <c r="H54" s="864"/>
    </row>
    <row r="55" spans="1:18" ht="13.5" thickBot="1" x14ac:dyDescent="0.25"/>
    <row r="56" spans="1:18" x14ac:dyDescent="0.2">
      <c r="B56" s="830" t="s">
        <v>163</v>
      </c>
      <c r="C56" s="833" t="s">
        <v>164</v>
      </c>
      <c r="D56" s="836" t="s">
        <v>229</v>
      </c>
      <c r="E56" s="837"/>
      <c r="F56" s="838"/>
      <c r="G56" s="839">
        <v>40000</v>
      </c>
      <c r="H56" s="840"/>
    </row>
    <row r="57" spans="1:18" x14ac:dyDescent="0.2">
      <c r="B57" s="831"/>
      <c r="C57" s="834"/>
      <c r="D57" s="841" t="s">
        <v>166</v>
      </c>
      <c r="E57" s="842"/>
      <c r="F57" s="843"/>
      <c r="G57" s="844">
        <f>+O44</f>
        <v>2500</v>
      </c>
      <c r="H57" s="845"/>
      <c r="I57" s="39"/>
      <c r="J57" s="846"/>
      <c r="K57" s="846"/>
      <c r="L57" s="846"/>
      <c r="M57" s="847"/>
      <c r="N57" s="847"/>
      <c r="O57" s="847"/>
    </row>
    <row r="58" spans="1:18" ht="13.5" thickBot="1" x14ac:dyDescent="0.25">
      <c r="B58" s="832"/>
      <c r="C58" s="835"/>
      <c r="D58" s="921" t="s">
        <v>167</v>
      </c>
      <c r="E58" s="849"/>
      <c r="F58" s="850"/>
      <c r="G58" s="851">
        <f>IF(O18&gt;15000,15000,+O18)</f>
        <v>0</v>
      </c>
      <c r="H58" s="852"/>
      <c r="J58" s="47"/>
      <c r="K58" s="47"/>
      <c r="L58" s="47"/>
      <c r="M58" s="47"/>
      <c r="N58" s="47"/>
      <c r="O58" s="47"/>
    </row>
    <row r="59" spans="1:18" ht="13.5" thickBot="1" x14ac:dyDescent="0.25">
      <c r="B59" s="48"/>
      <c r="J59" s="47"/>
      <c r="K59" s="47"/>
      <c r="L59" s="47"/>
      <c r="M59" s="47"/>
      <c r="N59" s="47"/>
      <c r="O59" s="47"/>
    </row>
    <row r="60" spans="1:18" ht="13.5" thickBot="1" x14ac:dyDescent="0.25">
      <c r="B60" s="789" t="s">
        <v>168</v>
      </c>
      <c r="C60" s="790"/>
      <c r="D60" s="790"/>
      <c r="E60" s="790"/>
      <c r="F60" s="791"/>
      <c r="G60" s="825">
        <f>+G54-SUM(G56:H58)</f>
        <v>480559</v>
      </c>
      <c r="H60" s="826"/>
      <c r="J60" s="827" t="s">
        <v>169</v>
      </c>
      <c r="K60" s="828"/>
      <c r="L60" s="828"/>
      <c r="M60" s="828"/>
      <c r="N60" s="828"/>
      <c r="O60" s="829"/>
    </row>
    <row r="61" spans="1:18" ht="13.5" thickBot="1" x14ac:dyDescent="0.25">
      <c r="B61" s="49"/>
      <c r="C61" s="50"/>
      <c r="D61" s="50"/>
      <c r="E61" s="50"/>
      <c r="F61" s="50"/>
      <c r="G61" s="45"/>
      <c r="H61" s="50"/>
      <c r="J61" s="129"/>
      <c r="K61" s="130"/>
      <c r="L61" s="130"/>
      <c r="M61" s="130"/>
      <c r="N61" s="130"/>
      <c r="O61" s="131"/>
    </row>
    <row r="62" spans="1:18" ht="13.5" thickBot="1" x14ac:dyDescent="0.25">
      <c r="B62" s="789" t="s">
        <v>170</v>
      </c>
      <c r="C62" s="790"/>
      <c r="D62" s="790"/>
      <c r="E62" s="790"/>
      <c r="F62" s="791"/>
      <c r="G62" s="805"/>
      <c r="H62" s="791"/>
      <c r="J62" s="129"/>
      <c r="K62" s="130"/>
      <c r="L62" s="130"/>
      <c r="M62" s="130"/>
      <c r="N62" s="130"/>
      <c r="O62" s="131"/>
    </row>
    <row r="63" spans="1:18" ht="12.75" customHeight="1" x14ac:dyDescent="0.2">
      <c r="B63" s="57" t="s">
        <v>171</v>
      </c>
      <c r="C63" s="806" t="s">
        <v>172</v>
      </c>
      <c r="D63" s="807"/>
      <c r="E63" s="807"/>
      <c r="F63" s="808"/>
      <c r="G63" s="809">
        <v>0</v>
      </c>
      <c r="H63" s="809"/>
      <c r="I63" s="58"/>
      <c r="J63" s="810" t="s">
        <v>173</v>
      </c>
      <c r="K63" s="811"/>
      <c r="L63" s="811"/>
      <c r="M63" s="811"/>
      <c r="N63" s="811"/>
      <c r="O63" s="812"/>
      <c r="Q63" s="59"/>
      <c r="R63" s="59"/>
    </row>
    <row r="64" spans="1:18" ht="13.5" thickBot="1" x14ac:dyDescent="0.25">
      <c r="D64" s="37"/>
      <c r="I64" s="58"/>
      <c r="J64" s="60" t="s">
        <v>254</v>
      </c>
      <c r="K64" s="132"/>
      <c r="L64" s="132"/>
      <c r="M64" s="133"/>
      <c r="N64" s="133"/>
      <c r="O64" s="134"/>
      <c r="Q64" s="59"/>
      <c r="R64" s="59"/>
    </row>
    <row r="65" spans="2:18" ht="13.5" thickBot="1" x14ac:dyDescent="0.25">
      <c r="B65" s="789" t="s">
        <v>175</v>
      </c>
      <c r="C65" s="790"/>
      <c r="D65" s="790"/>
      <c r="E65" s="790"/>
      <c r="F65" s="791"/>
      <c r="G65" s="805">
        <f>+G60-G63</f>
        <v>480559</v>
      </c>
      <c r="H65" s="791"/>
      <c r="I65" s="63"/>
      <c r="J65" s="75"/>
      <c r="K65" s="39"/>
      <c r="L65" s="39"/>
      <c r="M65" s="39"/>
      <c r="N65" s="39"/>
      <c r="O65" s="65"/>
      <c r="Q65" s="59"/>
      <c r="R65" s="59"/>
    </row>
    <row r="66" spans="2:18" ht="12.75" customHeight="1" x14ac:dyDescent="0.2">
      <c r="B66" s="48"/>
      <c r="C66" s="48"/>
      <c r="I66" s="63"/>
      <c r="J66" s="64"/>
      <c r="K66" s="39"/>
      <c r="L66" s="39"/>
      <c r="M66" s="39"/>
      <c r="N66" s="39"/>
      <c r="O66" s="65"/>
      <c r="Q66" s="59"/>
      <c r="R66" s="59"/>
    </row>
    <row r="67" spans="2:18" x14ac:dyDescent="0.2">
      <c r="B67" s="66" t="s">
        <v>176</v>
      </c>
      <c r="C67" s="48"/>
      <c r="I67" s="63"/>
      <c r="J67" s="67"/>
      <c r="K67" s="68"/>
      <c r="L67" s="68"/>
      <c r="M67" s="68"/>
      <c r="N67" s="68"/>
      <c r="O67" s="69"/>
      <c r="Q67" s="59"/>
      <c r="R67" s="59"/>
    </row>
    <row r="68" spans="2:18" ht="26.25" customHeight="1" thickBot="1" x14ac:dyDescent="0.25">
      <c r="B68" s="66"/>
      <c r="C68" s="48"/>
      <c r="G68" s="70" t="s">
        <v>177</v>
      </c>
      <c r="H68" s="70" t="s">
        <v>178</v>
      </c>
      <c r="I68" s="63"/>
      <c r="J68" s="810" t="s">
        <v>179</v>
      </c>
      <c r="K68" s="811"/>
      <c r="L68" s="71"/>
      <c r="M68" s="71"/>
      <c r="N68" s="71"/>
      <c r="O68" s="72"/>
      <c r="Q68" s="59"/>
      <c r="R68" s="59"/>
    </row>
    <row r="69" spans="2:18" ht="12.75" customHeight="1" x14ac:dyDescent="0.2">
      <c r="B69" s="802" t="s">
        <v>180</v>
      </c>
      <c r="C69" s="821" t="s">
        <v>181</v>
      </c>
      <c r="D69" s="823" t="s">
        <v>182</v>
      </c>
      <c r="E69" s="824"/>
      <c r="F69" s="824"/>
      <c r="G69" s="73">
        <f>+O43</f>
        <v>95000</v>
      </c>
      <c r="H69" s="74">
        <f t="shared" ref="H69:H77" si="5">+G69</f>
        <v>95000</v>
      </c>
      <c r="I69" s="63"/>
      <c r="J69" s="75" t="s">
        <v>231</v>
      </c>
      <c r="K69" s="58"/>
      <c r="L69" s="58"/>
      <c r="M69" s="58" t="s">
        <v>232</v>
      </c>
      <c r="N69" s="58" t="s">
        <v>233</v>
      </c>
      <c r="O69" s="76">
        <v>0</v>
      </c>
      <c r="Q69" s="59"/>
      <c r="R69" s="59"/>
    </row>
    <row r="70" spans="2:18" ht="12.75" customHeight="1" x14ac:dyDescent="0.2">
      <c r="B70" s="803"/>
      <c r="C70" s="822"/>
      <c r="D70" s="782" t="s">
        <v>184</v>
      </c>
      <c r="E70" s="783"/>
      <c r="F70" s="783"/>
      <c r="G70" s="77">
        <v>43591</v>
      </c>
      <c r="H70" s="78">
        <f t="shared" si="5"/>
        <v>43591</v>
      </c>
      <c r="I70" s="63"/>
      <c r="J70" s="79"/>
      <c r="K70" s="68"/>
      <c r="L70" s="68"/>
      <c r="M70" s="68"/>
      <c r="N70" s="68"/>
      <c r="O70" s="69"/>
      <c r="Q70" s="59"/>
      <c r="R70" s="59"/>
    </row>
    <row r="71" spans="2:18" ht="12.75" customHeight="1" x14ac:dyDescent="0.2">
      <c r="B71" s="803"/>
      <c r="C71" s="822"/>
      <c r="D71" s="819" t="s">
        <v>185</v>
      </c>
      <c r="E71" s="820"/>
      <c r="F71" s="820"/>
      <c r="G71" s="80">
        <f>O40</f>
        <v>360</v>
      </c>
      <c r="H71" s="78">
        <f t="shared" si="5"/>
        <v>360</v>
      </c>
      <c r="I71" s="63"/>
      <c r="J71" s="67"/>
      <c r="K71" s="68"/>
      <c r="L71" s="68"/>
      <c r="M71" s="68"/>
      <c r="N71" s="68"/>
      <c r="O71" s="69"/>
    </row>
    <row r="72" spans="2:18" x14ac:dyDescent="0.2">
      <c r="B72" s="803"/>
      <c r="C72" s="822"/>
      <c r="D72" s="782" t="s">
        <v>186</v>
      </c>
      <c r="E72" s="783"/>
      <c r="F72" s="783"/>
      <c r="G72" s="81">
        <v>0</v>
      </c>
      <c r="H72" s="78">
        <f t="shared" si="5"/>
        <v>0</v>
      </c>
      <c r="I72" s="63"/>
      <c r="J72" s="82" t="s">
        <v>187</v>
      </c>
      <c r="K72" s="71"/>
      <c r="L72" s="71"/>
      <c r="M72" s="71"/>
      <c r="N72" s="71"/>
      <c r="O72" s="72"/>
    </row>
    <row r="73" spans="2:18" ht="12.75" customHeight="1" x14ac:dyDescent="0.2">
      <c r="B73" s="803"/>
      <c r="C73" s="822"/>
      <c r="D73" s="784" t="s">
        <v>188</v>
      </c>
      <c r="E73" s="783"/>
      <c r="F73" s="783"/>
      <c r="G73" s="80">
        <v>0</v>
      </c>
      <c r="H73" s="78">
        <f t="shared" si="5"/>
        <v>0</v>
      </c>
      <c r="I73" s="63"/>
      <c r="J73" s="75" t="s">
        <v>189</v>
      </c>
      <c r="K73" s="50"/>
      <c r="L73" s="50"/>
      <c r="M73" s="50"/>
      <c r="N73" s="50"/>
      <c r="O73" s="83">
        <v>3000</v>
      </c>
    </row>
    <row r="74" spans="2:18" ht="14.25" customHeight="1" x14ac:dyDescent="0.2">
      <c r="B74" s="803"/>
      <c r="C74" s="822"/>
      <c r="D74" s="782" t="s">
        <v>190</v>
      </c>
      <c r="E74" s="783"/>
      <c r="F74" s="783"/>
      <c r="G74" s="84">
        <v>0</v>
      </c>
      <c r="H74" s="78">
        <f t="shared" si="5"/>
        <v>0</v>
      </c>
      <c r="I74" s="63"/>
      <c r="J74" s="75"/>
      <c r="K74" s="39"/>
      <c r="L74" s="39"/>
      <c r="M74" s="39"/>
      <c r="N74" s="39"/>
      <c r="O74" s="65"/>
    </row>
    <row r="75" spans="2:18" x14ac:dyDescent="0.2">
      <c r="B75" s="803"/>
      <c r="C75" s="822"/>
      <c r="D75" s="782" t="s">
        <v>191</v>
      </c>
      <c r="E75" s="783"/>
      <c r="F75" s="783"/>
      <c r="G75" s="81">
        <v>0</v>
      </c>
      <c r="H75" s="78">
        <f t="shared" si="5"/>
        <v>0</v>
      </c>
      <c r="I75" s="58"/>
      <c r="J75" s="137"/>
      <c r="K75" s="50"/>
      <c r="L75" s="50"/>
      <c r="M75" s="50"/>
      <c r="N75" s="50"/>
      <c r="O75" s="83"/>
    </row>
    <row r="76" spans="2:18" x14ac:dyDescent="0.2">
      <c r="B76" s="803"/>
      <c r="C76" s="88" t="s">
        <v>192</v>
      </c>
      <c r="D76" s="813" t="s">
        <v>193</v>
      </c>
      <c r="E76" s="814"/>
      <c r="F76" s="814"/>
      <c r="G76" s="80">
        <v>0</v>
      </c>
      <c r="H76" s="78">
        <f t="shared" si="5"/>
        <v>0</v>
      </c>
      <c r="I76" s="58"/>
      <c r="J76" s="85"/>
      <c r="K76" s="138"/>
      <c r="L76" s="138"/>
      <c r="M76" s="138"/>
      <c r="N76" s="138"/>
      <c r="O76" s="139"/>
    </row>
    <row r="77" spans="2:18" ht="13.5" customHeight="1" thickBot="1" x14ac:dyDescent="0.25">
      <c r="B77" s="803"/>
      <c r="C77" s="88" t="s">
        <v>194</v>
      </c>
      <c r="D77" s="815" t="s">
        <v>195</v>
      </c>
      <c r="E77" s="815"/>
      <c r="F77" s="815"/>
      <c r="G77" s="89">
        <v>0</v>
      </c>
      <c r="H77" s="90">
        <f t="shared" si="5"/>
        <v>0</v>
      </c>
      <c r="I77" s="63"/>
      <c r="J77" s="75"/>
      <c r="K77" s="68"/>
      <c r="L77" s="68"/>
      <c r="M77" s="91"/>
      <c r="N77" s="91"/>
      <c r="O77" s="92"/>
    </row>
    <row r="78" spans="2:18" ht="13.5" thickBot="1" x14ac:dyDescent="0.25">
      <c r="B78" s="803"/>
      <c r="C78" s="93"/>
      <c r="D78" s="94"/>
      <c r="E78" s="816" t="s">
        <v>117</v>
      </c>
      <c r="F78" s="817"/>
      <c r="G78" s="95">
        <f>SUM(G69:G77)</f>
        <v>138951</v>
      </c>
      <c r="H78" s="96">
        <f>IF(SUM(G69:G75)&lt;150000,SUM(G69:G75),150000)+IF(+G76&lt;20000,+G76,20000)</f>
        <v>138951</v>
      </c>
      <c r="I78" s="63"/>
      <c r="J78" s="140"/>
      <c r="K78" s="141"/>
      <c r="L78" s="141"/>
      <c r="M78" s="142"/>
      <c r="N78" s="142"/>
      <c r="O78" s="143"/>
    </row>
    <row r="79" spans="2:18" ht="12.75" customHeight="1" x14ac:dyDescent="0.2">
      <c r="B79" s="803"/>
      <c r="C79" s="100" t="s">
        <v>196</v>
      </c>
      <c r="D79" s="782" t="s">
        <v>187</v>
      </c>
      <c r="E79" s="783"/>
      <c r="F79" s="818"/>
      <c r="G79" s="73">
        <v>3000</v>
      </c>
      <c r="H79" s="101">
        <f>+IF(+G79&lt;25000,+G79,25000)</f>
        <v>3000</v>
      </c>
      <c r="I79" s="87"/>
    </row>
    <row r="80" spans="2:18" x14ac:dyDescent="0.2">
      <c r="B80" s="803"/>
      <c r="C80" s="100" t="s">
        <v>197</v>
      </c>
      <c r="D80" s="784" t="s">
        <v>198</v>
      </c>
      <c r="E80" s="785"/>
      <c r="F80" s="786"/>
      <c r="G80" s="102"/>
      <c r="H80" s="103">
        <f>+IF(+G80&lt;40000,+G80,40000)</f>
        <v>0</v>
      </c>
      <c r="I80" s="63"/>
    </row>
    <row r="81" spans="2:12" x14ac:dyDescent="0.2">
      <c r="B81" s="803"/>
      <c r="C81" s="100" t="s">
        <v>199</v>
      </c>
      <c r="D81" s="784" t="s">
        <v>200</v>
      </c>
      <c r="E81" s="785"/>
      <c r="F81" s="786"/>
      <c r="G81" s="81"/>
      <c r="H81" s="104">
        <v>0</v>
      </c>
      <c r="I81" s="63"/>
      <c r="J81" s="106"/>
    </row>
    <row r="82" spans="2:12" x14ac:dyDescent="0.2">
      <c r="B82" s="803"/>
      <c r="C82" s="100" t="s">
        <v>201</v>
      </c>
      <c r="D82" s="784" t="s">
        <v>202</v>
      </c>
      <c r="E82" s="785"/>
      <c r="F82" s="786"/>
      <c r="G82" s="81"/>
      <c r="H82" s="104">
        <v>0</v>
      </c>
      <c r="I82" s="63"/>
    </row>
    <row r="83" spans="2:12" ht="13.5" thickBot="1" x14ac:dyDescent="0.25">
      <c r="B83" s="804"/>
      <c r="C83" s="100" t="s">
        <v>203</v>
      </c>
      <c r="D83" s="784" t="s">
        <v>204</v>
      </c>
      <c r="E83" s="785"/>
      <c r="F83" s="786"/>
      <c r="G83" s="102"/>
      <c r="H83" s="103">
        <f>+IF(+G83&lt;100000,+G83,10000)</f>
        <v>0</v>
      </c>
      <c r="I83" s="63"/>
    </row>
    <row r="84" spans="2:12" ht="13.5" thickBot="1" x14ac:dyDescent="0.25">
      <c r="B84" s="787" t="s">
        <v>205</v>
      </c>
      <c r="C84" s="788"/>
      <c r="D84" s="788"/>
      <c r="E84" s="788"/>
      <c r="F84" s="788"/>
      <c r="G84" s="107">
        <f>SUM(G79:G83)</f>
        <v>3000</v>
      </c>
      <c r="H84" s="108">
        <f>SUM(H78:H83)</f>
        <v>141951</v>
      </c>
    </row>
    <row r="85" spans="2:12" ht="13.5" thickBot="1" x14ac:dyDescent="0.25"/>
    <row r="86" spans="2:12" ht="13.5" thickBot="1" x14ac:dyDescent="0.25">
      <c r="B86" s="789" t="s">
        <v>206</v>
      </c>
      <c r="C86" s="790"/>
      <c r="D86" s="790"/>
      <c r="E86" s="790"/>
      <c r="F86" s="791"/>
      <c r="G86" s="792">
        <f>+G65-H84</f>
        <v>338608</v>
      </c>
      <c r="H86" s="791"/>
      <c r="J86" s="109">
        <f>C37+D37+E37+F37</f>
        <v>174559</v>
      </c>
      <c r="K86" s="16" t="s">
        <v>235</v>
      </c>
    </row>
    <row r="87" spans="2:12" x14ac:dyDescent="0.2">
      <c r="B87" s="110"/>
      <c r="F87" s="105"/>
      <c r="J87" s="109">
        <f>G37+H37+I37</f>
        <v>128906</v>
      </c>
      <c r="K87" s="16" t="s">
        <v>236</v>
      </c>
    </row>
    <row r="88" spans="2:12" x14ac:dyDescent="0.2">
      <c r="C88" s="793" t="s">
        <v>207</v>
      </c>
      <c r="D88" s="794"/>
      <c r="E88" s="111" t="s">
        <v>208</v>
      </c>
      <c r="F88" s="111" t="s">
        <v>209</v>
      </c>
      <c r="G88" s="111" t="s">
        <v>210</v>
      </c>
      <c r="H88" s="111" t="s">
        <v>211</v>
      </c>
      <c r="J88" s="109">
        <f>J37+K37+L37</f>
        <v>135446</v>
      </c>
      <c r="K88" s="47" t="s">
        <v>237</v>
      </c>
      <c r="L88" s="16">
        <f>+J92/5</f>
        <v>36890.199999999997</v>
      </c>
    </row>
    <row r="89" spans="2:12" x14ac:dyDescent="0.2">
      <c r="C89" s="795" t="str">
        <f>IF(I6="M","0          - 250000","0          -  250000")</f>
        <v>0          - 250000</v>
      </c>
      <c r="D89" s="796"/>
      <c r="E89" s="112">
        <v>0</v>
      </c>
      <c r="F89" s="113">
        <f>IF(I6="M",(IF(G86&lt;250000,G86,250000)),(IF(G86&lt;250000,G86,250000)))</f>
        <v>250000</v>
      </c>
      <c r="G89" s="113">
        <f>G86-F89</f>
        <v>88608</v>
      </c>
      <c r="H89" s="113">
        <f>E89*F89</f>
        <v>0</v>
      </c>
      <c r="J89" s="16">
        <f>M37+N37</f>
        <v>84148</v>
      </c>
      <c r="K89" s="1" t="s">
        <v>238</v>
      </c>
    </row>
    <row r="90" spans="2:12" x14ac:dyDescent="0.2">
      <c r="C90" s="795" t="str">
        <f>IF(I6="M","250001 - 500000","250001-500000")</f>
        <v>250001 - 500000</v>
      </c>
      <c r="D90" s="796"/>
      <c r="E90" s="112">
        <v>0.05</v>
      </c>
      <c r="F90" s="113">
        <f>IF(I6="M",(IF(G89&lt;250000,G89,250000)),(IF(G89&lt;250000,G89,250000)))</f>
        <v>88608</v>
      </c>
      <c r="G90" s="113">
        <f>G89-F90</f>
        <v>0</v>
      </c>
      <c r="H90" s="114">
        <f>ROUND(E90*F90,0.1)</f>
        <v>4430</v>
      </c>
      <c r="J90" s="115">
        <f>SUM(J86:J89)</f>
        <v>523059</v>
      </c>
    </row>
    <row r="91" spans="2:12" x14ac:dyDescent="0.2">
      <c r="C91" s="797" t="s">
        <v>212</v>
      </c>
      <c r="D91" s="798"/>
      <c r="E91" s="112">
        <v>0.2</v>
      </c>
      <c r="F91" s="113">
        <f>IF(G90&lt;500000,G90,500000)</f>
        <v>0</v>
      </c>
      <c r="G91" s="113">
        <f>G90-F91</f>
        <v>0</v>
      </c>
      <c r="H91" s="114">
        <f>ROUND(E91*F91,0.1)</f>
        <v>0</v>
      </c>
      <c r="J91" s="16">
        <f>+G86</f>
        <v>338608</v>
      </c>
    </row>
    <row r="92" spans="2:12" x14ac:dyDescent="0.2">
      <c r="C92" s="795" t="s">
        <v>289</v>
      </c>
      <c r="D92" s="796"/>
      <c r="E92" s="112">
        <v>0.3</v>
      </c>
      <c r="F92" s="113">
        <f>G91</f>
        <v>0</v>
      </c>
      <c r="G92" s="113">
        <f>G91-F92</f>
        <v>0</v>
      </c>
      <c r="H92" s="114">
        <f>ROUND(E92*F92,0.1)</f>
        <v>0</v>
      </c>
      <c r="J92" s="16">
        <f>+J90-J91</f>
        <v>184451</v>
      </c>
    </row>
    <row r="93" spans="2:12" ht="12.75" customHeight="1" thickBot="1" x14ac:dyDescent="0.25">
      <c r="B93" s="116"/>
      <c r="C93" s="117"/>
      <c r="D93" s="47"/>
      <c r="E93" s="47"/>
      <c r="F93" s="47"/>
      <c r="J93" s="87">
        <f>+J92/3</f>
        <v>61483.666666666664</v>
      </c>
      <c r="K93" s="118"/>
    </row>
    <row r="94" spans="2:12" ht="13.5" thickBot="1" x14ac:dyDescent="0.25">
      <c r="B94" s="799" t="s">
        <v>239</v>
      </c>
      <c r="C94" s="800"/>
      <c r="D94" s="800"/>
      <c r="E94" s="800"/>
      <c r="F94" s="801"/>
      <c r="G94" s="771">
        <f>H89+H90+H91+H92</f>
        <v>4430</v>
      </c>
      <c r="H94" s="772"/>
      <c r="J94" s="87"/>
      <c r="K94" s="87"/>
    </row>
    <row r="95" spans="2:12" ht="15.75" customHeight="1" thickBot="1" x14ac:dyDescent="0.25">
      <c r="B95" s="716" t="s">
        <v>215</v>
      </c>
      <c r="C95" s="717"/>
      <c r="D95" s="717"/>
      <c r="E95" s="717"/>
      <c r="F95" s="717"/>
      <c r="G95" s="1052">
        <f>IF(G86&lt;350000,2500,0)</f>
        <v>2500</v>
      </c>
      <c r="H95" s="1053"/>
      <c r="J95" s="1"/>
      <c r="K95" s="121"/>
      <c r="L95" s="121"/>
    </row>
    <row r="96" spans="2:12" ht="13.5" thickBot="1" x14ac:dyDescent="0.25">
      <c r="B96" s="122" t="s">
        <v>216</v>
      </c>
      <c r="C96" s="123"/>
      <c r="D96" s="123"/>
      <c r="E96" s="123"/>
      <c r="F96" s="123"/>
      <c r="G96" s="771">
        <f>+G94-G95</f>
        <v>1930</v>
      </c>
      <c r="H96" s="772"/>
      <c r="I96" s="37"/>
    </row>
    <row r="97" spans="2:9" ht="13.5" thickBot="1" x14ac:dyDescent="0.25">
      <c r="B97" s="773" t="s">
        <v>240</v>
      </c>
      <c r="C97" s="774"/>
      <c r="D97" s="774"/>
      <c r="E97" s="774"/>
      <c r="F97" s="775"/>
      <c r="G97" s="776">
        <f>ROUND((IF(G96&gt;0,(G96*4%),0)),0)</f>
        <v>77</v>
      </c>
      <c r="H97" s="777"/>
      <c r="I97" s="37"/>
    </row>
    <row r="98" spans="2:9" ht="13.5" thickBot="1" x14ac:dyDescent="0.25">
      <c r="B98" s="778" t="s">
        <v>218</v>
      </c>
      <c r="C98" s="779"/>
      <c r="D98" s="779"/>
      <c r="E98" s="779"/>
      <c r="F98" s="779"/>
      <c r="G98" s="780">
        <f>G96+G97</f>
        <v>2007</v>
      </c>
      <c r="H98" s="781"/>
      <c r="I98" s="121"/>
    </row>
    <row r="99" spans="2:9" ht="13.5" thickBot="1" x14ac:dyDescent="0.25">
      <c r="B99" s="765" t="s">
        <v>219</v>
      </c>
      <c r="C99" s="766"/>
      <c r="D99" s="766"/>
      <c r="E99" s="766"/>
      <c r="F99" s="766"/>
      <c r="G99" s="767">
        <f>O38</f>
        <v>4020</v>
      </c>
      <c r="H99" s="768"/>
      <c r="I99" s="121"/>
    </row>
    <row r="100" spans="2:9" ht="13.5" thickBot="1" x14ac:dyDescent="0.25">
      <c r="B100" s="765" t="str">
        <f>IF(G100&gt;0,"TAX PAYABLE","TAX REFUND")</f>
        <v>TAX REFUND</v>
      </c>
      <c r="C100" s="766"/>
      <c r="D100" s="766"/>
      <c r="E100" s="766"/>
      <c r="F100" s="766"/>
      <c r="G100" s="767">
        <f>+G98-G99</f>
        <v>-2013</v>
      </c>
      <c r="H100" s="768"/>
      <c r="I100" s="37"/>
    </row>
    <row r="101" spans="2:9" x14ac:dyDescent="0.2">
      <c r="C101" s="124"/>
      <c r="D101" s="45"/>
      <c r="E101" s="118"/>
      <c r="F101" s="118"/>
      <c r="G101" s="118"/>
      <c r="H101" s="118"/>
      <c r="I101" s="125"/>
    </row>
    <row r="102" spans="2:9" x14ac:dyDescent="0.2">
      <c r="C102" s="47"/>
      <c r="D102" s="50"/>
      <c r="E102" s="117"/>
      <c r="F102" s="47"/>
      <c r="G102" s="47"/>
      <c r="H102" s="47"/>
      <c r="I102" s="125"/>
    </row>
    <row r="103" spans="2:9" x14ac:dyDescent="0.2">
      <c r="C103" s="39"/>
      <c r="D103" s="126"/>
      <c r="E103" s="126"/>
      <c r="F103" s="126"/>
      <c r="G103" s="39"/>
      <c r="H103" s="39"/>
      <c r="I103" s="37"/>
    </row>
    <row r="104" spans="2:9" x14ac:dyDescent="0.2">
      <c r="C104" s="39"/>
      <c r="D104" s="126"/>
      <c r="E104" s="126"/>
      <c r="F104" s="39"/>
      <c r="G104" s="39"/>
      <c r="H104" s="39"/>
      <c r="I104" s="37"/>
    </row>
    <row r="105" spans="2:9" x14ac:dyDescent="0.2">
      <c r="C105" s="39"/>
      <c r="D105" s="126"/>
      <c r="E105" s="126"/>
      <c r="F105" s="39"/>
      <c r="G105" s="39"/>
      <c r="H105" s="39"/>
      <c r="I105" s="37"/>
    </row>
    <row r="106" spans="2:9" x14ac:dyDescent="0.2">
      <c r="C106" s="39"/>
      <c r="D106" s="39"/>
      <c r="E106" s="39"/>
      <c r="F106" s="39"/>
      <c r="G106" s="39"/>
      <c r="H106" s="39"/>
      <c r="I106" s="37"/>
    </row>
    <row r="107" spans="2:9" x14ac:dyDescent="0.2">
      <c r="C107" s="39"/>
      <c r="D107" s="39"/>
      <c r="E107" s="39"/>
      <c r="F107" s="39"/>
      <c r="G107" s="39"/>
      <c r="H107" s="39"/>
    </row>
    <row r="108" spans="2:9" x14ac:dyDescent="0.2">
      <c r="C108" s="39"/>
      <c r="D108" s="39"/>
      <c r="E108" s="39"/>
      <c r="F108" s="39"/>
      <c r="G108" s="39"/>
      <c r="H108"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9"/>
    <mergeCell ref="A50:B50"/>
    <mergeCell ref="A51:B51"/>
    <mergeCell ref="B54:F54"/>
    <mergeCell ref="G54:H54"/>
    <mergeCell ref="B60:F60"/>
    <mergeCell ref="G60:H60"/>
    <mergeCell ref="J60:O60"/>
    <mergeCell ref="B56:B58"/>
    <mergeCell ref="C56:C58"/>
    <mergeCell ref="D56:F56"/>
    <mergeCell ref="G56:H56"/>
    <mergeCell ref="D57:F57"/>
    <mergeCell ref="G57:H57"/>
    <mergeCell ref="J57:L57"/>
    <mergeCell ref="M57:O57"/>
    <mergeCell ref="D58:F58"/>
    <mergeCell ref="G58:H58"/>
    <mergeCell ref="J63:O63"/>
    <mergeCell ref="D81:F81"/>
    <mergeCell ref="J68:K68"/>
    <mergeCell ref="B65:F65"/>
    <mergeCell ref="G65:H65"/>
    <mergeCell ref="D76:F76"/>
    <mergeCell ref="D77:F77"/>
    <mergeCell ref="E78:F78"/>
    <mergeCell ref="D79:F79"/>
    <mergeCell ref="D80:F80"/>
    <mergeCell ref="D71:F71"/>
    <mergeCell ref="D72:F72"/>
    <mergeCell ref="C69:C75"/>
    <mergeCell ref="D69:F69"/>
    <mergeCell ref="D70:F70"/>
    <mergeCell ref="D74:F74"/>
    <mergeCell ref="G62:H62"/>
    <mergeCell ref="C63:F63"/>
    <mergeCell ref="G63:H63"/>
    <mergeCell ref="B62:F62"/>
    <mergeCell ref="D73:F73"/>
    <mergeCell ref="D75:F75"/>
    <mergeCell ref="G94:H94"/>
    <mergeCell ref="D82:F82"/>
    <mergeCell ref="D83:F83"/>
    <mergeCell ref="B84:F84"/>
    <mergeCell ref="B86:F86"/>
    <mergeCell ref="G86:H86"/>
    <mergeCell ref="C88:D88"/>
    <mergeCell ref="C89:D89"/>
    <mergeCell ref="C90:D90"/>
    <mergeCell ref="C91:D91"/>
    <mergeCell ref="C92:D92"/>
    <mergeCell ref="B94:F94"/>
    <mergeCell ref="B69:B83"/>
    <mergeCell ref="B100:F100"/>
    <mergeCell ref="G100:H100"/>
    <mergeCell ref="G95:H95"/>
    <mergeCell ref="G96:H96"/>
    <mergeCell ref="B97:F97"/>
    <mergeCell ref="G97:H97"/>
    <mergeCell ref="B98:F98"/>
    <mergeCell ref="G98:H98"/>
    <mergeCell ref="B99:F99"/>
    <mergeCell ref="G99:H99"/>
  </mergeCells>
  <conditionalFormatting sqref="B91:F91 B100:F100 B94:F98">
    <cfRule type="cellIs" dxfId="1997" priority="3" stopIfTrue="1" operator="equal">
      <formula>"TAX PAYABLE"</formula>
    </cfRule>
    <cfRule type="cellIs" dxfId="1996" priority="4" stopIfTrue="1" operator="equal">
      <formula>"TAX REFUND"</formula>
    </cfRule>
  </conditionalFormatting>
  <conditionalFormatting sqref="G91:H91">
    <cfRule type="cellIs" dxfId="1995" priority="5" stopIfTrue="1" operator="lessThan">
      <formula>0</formula>
    </cfRule>
    <cfRule type="cellIs" dxfId="1994" priority="6" stopIfTrue="1" operator="greaterThan">
      <formula>0</formula>
    </cfRule>
  </conditionalFormatting>
  <conditionalFormatting sqref="G100:H100">
    <cfRule type="cellIs" dxfId="1993" priority="1" stopIfTrue="1" operator="greaterThan">
      <formula>0</formula>
    </cfRule>
    <cfRule type="cellIs" dxfId="1992" priority="2" stopIfTrue="1" operator="lessThanOrEqual">
      <formula>0</formula>
    </cfRule>
  </conditionalFormatting>
  <dataValidations disablePrompts="1"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8"/>
  <sheetViews>
    <sheetView topLeftCell="A59" workbookViewId="0">
      <selection activeCell="J81" sqref="J81"/>
    </sheetView>
  </sheetViews>
  <sheetFormatPr defaultRowHeight="12.75" x14ac:dyDescent="0.2"/>
  <cols>
    <col min="1" max="1" width="5" style="16" customWidth="1"/>
    <col min="2" max="2" width="17.85546875" style="37" customWidth="1"/>
    <col min="3" max="3" width="8.28515625" style="16" customWidth="1"/>
    <col min="4" max="4" width="6.7109375" style="16" bestFit="1" customWidth="1"/>
    <col min="5" max="5" width="8.5703125" style="16" bestFit="1" customWidth="1"/>
    <col min="6" max="6" width="9.28515625" style="16" bestFit="1" customWidth="1"/>
    <col min="7" max="8" width="8.28515625" style="16" customWidth="1"/>
    <col min="9" max="9" width="8.42578125" style="16" customWidth="1"/>
    <col min="10" max="10" width="8.140625" style="16" customWidth="1"/>
    <col min="11" max="14" width="7.7109375" style="16" customWidth="1"/>
    <col min="15" max="15" width="8.570312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7.85546875" style="16" customWidth="1"/>
    <col min="259" max="259" width="8.28515625" style="16" customWidth="1"/>
    <col min="260" max="260" width="6.7109375" style="16" bestFit="1" customWidth="1"/>
    <col min="261" max="261" width="8.5703125" style="16" bestFit="1" customWidth="1"/>
    <col min="262" max="262" width="9.28515625" style="16" bestFit="1" customWidth="1"/>
    <col min="263" max="264" width="8.28515625" style="16" customWidth="1"/>
    <col min="265" max="265" width="8.42578125" style="16" customWidth="1"/>
    <col min="266" max="266" width="8.140625" style="16" customWidth="1"/>
    <col min="267" max="270" width="7.7109375" style="16" customWidth="1"/>
    <col min="271" max="271" width="8.570312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7.85546875" style="16" customWidth="1"/>
    <col min="515" max="515" width="8.28515625" style="16" customWidth="1"/>
    <col min="516" max="516" width="6.7109375" style="16" bestFit="1" customWidth="1"/>
    <col min="517" max="517" width="8.5703125" style="16" bestFit="1" customWidth="1"/>
    <col min="518" max="518" width="9.28515625" style="16" bestFit="1" customWidth="1"/>
    <col min="519" max="520" width="8.28515625" style="16" customWidth="1"/>
    <col min="521" max="521" width="8.42578125" style="16" customWidth="1"/>
    <col min="522" max="522" width="8.140625" style="16" customWidth="1"/>
    <col min="523" max="526" width="7.7109375" style="16" customWidth="1"/>
    <col min="527" max="527" width="8.570312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7.85546875" style="16" customWidth="1"/>
    <col min="771" max="771" width="8.28515625" style="16" customWidth="1"/>
    <col min="772" max="772" width="6.7109375" style="16" bestFit="1" customWidth="1"/>
    <col min="773" max="773" width="8.5703125" style="16" bestFit="1" customWidth="1"/>
    <col min="774" max="774" width="9.28515625" style="16" bestFit="1" customWidth="1"/>
    <col min="775" max="776" width="8.28515625" style="16" customWidth="1"/>
    <col min="777" max="777" width="8.42578125" style="16" customWidth="1"/>
    <col min="778" max="778" width="8.140625" style="16" customWidth="1"/>
    <col min="779" max="782" width="7.7109375" style="16" customWidth="1"/>
    <col min="783" max="783" width="8.570312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7.85546875" style="16" customWidth="1"/>
    <col min="1027" max="1027" width="8.28515625" style="16" customWidth="1"/>
    <col min="1028" max="1028" width="6.7109375" style="16" bestFit="1" customWidth="1"/>
    <col min="1029" max="1029" width="8.5703125" style="16" bestFit="1" customWidth="1"/>
    <col min="1030" max="1030" width="9.28515625" style="16" bestFit="1" customWidth="1"/>
    <col min="1031" max="1032" width="8.28515625" style="16" customWidth="1"/>
    <col min="1033" max="1033" width="8.42578125" style="16" customWidth="1"/>
    <col min="1034" max="1034" width="8.140625" style="16" customWidth="1"/>
    <col min="1035" max="1038" width="7.7109375" style="16" customWidth="1"/>
    <col min="1039" max="1039" width="8.570312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7.85546875" style="16" customWidth="1"/>
    <col min="1283" max="1283" width="8.28515625" style="16" customWidth="1"/>
    <col min="1284" max="1284" width="6.7109375" style="16" bestFit="1" customWidth="1"/>
    <col min="1285" max="1285" width="8.5703125" style="16" bestFit="1" customWidth="1"/>
    <col min="1286" max="1286" width="9.28515625" style="16" bestFit="1" customWidth="1"/>
    <col min="1287" max="1288" width="8.28515625" style="16" customWidth="1"/>
    <col min="1289" max="1289" width="8.42578125" style="16" customWidth="1"/>
    <col min="1290" max="1290" width="8.140625" style="16" customWidth="1"/>
    <col min="1291" max="1294" width="7.7109375" style="16" customWidth="1"/>
    <col min="1295" max="1295" width="8.570312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7.85546875" style="16" customWidth="1"/>
    <col min="1539" max="1539" width="8.28515625" style="16" customWidth="1"/>
    <col min="1540" max="1540" width="6.7109375" style="16" bestFit="1" customWidth="1"/>
    <col min="1541" max="1541" width="8.5703125" style="16" bestFit="1" customWidth="1"/>
    <col min="1542" max="1542" width="9.28515625" style="16" bestFit="1" customWidth="1"/>
    <col min="1543" max="1544" width="8.28515625" style="16" customWidth="1"/>
    <col min="1545" max="1545" width="8.42578125" style="16" customWidth="1"/>
    <col min="1546" max="1546" width="8.140625" style="16" customWidth="1"/>
    <col min="1547" max="1550" width="7.7109375" style="16" customWidth="1"/>
    <col min="1551" max="1551" width="8.570312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7.85546875" style="16" customWidth="1"/>
    <col min="1795" max="1795" width="8.28515625" style="16" customWidth="1"/>
    <col min="1796" max="1796" width="6.7109375" style="16" bestFit="1" customWidth="1"/>
    <col min="1797" max="1797" width="8.5703125" style="16" bestFit="1" customWidth="1"/>
    <col min="1798" max="1798" width="9.28515625" style="16" bestFit="1" customWidth="1"/>
    <col min="1799" max="1800" width="8.28515625" style="16" customWidth="1"/>
    <col min="1801" max="1801" width="8.42578125" style="16" customWidth="1"/>
    <col min="1802" max="1802" width="8.140625" style="16" customWidth="1"/>
    <col min="1803" max="1806" width="7.7109375" style="16" customWidth="1"/>
    <col min="1807" max="1807" width="8.570312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7.85546875" style="16" customWidth="1"/>
    <col min="2051" max="2051" width="8.28515625" style="16" customWidth="1"/>
    <col min="2052" max="2052" width="6.7109375" style="16" bestFit="1" customWidth="1"/>
    <col min="2053" max="2053" width="8.5703125" style="16" bestFit="1" customWidth="1"/>
    <col min="2054" max="2054" width="9.28515625" style="16" bestFit="1" customWidth="1"/>
    <col min="2055" max="2056" width="8.28515625" style="16" customWidth="1"/>
    <col min="2057" max="2057" width="8.42578125" style="16" customWidth="1"/>
    <col min="2058" max="2058" width="8.140625" style="16" customWidth="1"/>
    <col min="2059" max="2062" width="7.7109375" style="16" customWidth="1"/>
    <col min="2063" max="2063" width="8.570312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7.85546875" style="16" customWidth="1"/>
    <col min="2307" max="2307" width="8.28515625" style="16" customWidth="1"/>
    <col min="2308" max="2308" width="6.7109375" style="16" bestFit="1" customWidth="1"/>
    <col min="2309" max="2309" width="8.5703125" style="16" bestFit="1" customWidth="1"/>
    <col min="2310" max="2310" width="9.28515625" style="16" bestFit="1" customWidth="1"/>
    <col min="2311" max="2312" width="8.28515625" style="16" customWidth="1"/>
    <col min="2313" max="2313" width="8.42578125" style="16" customWidth="1"/>
    <col min="2314" max="2314" width="8.140625" style="16" customWidth="1"/>
    <col min="2315" max="2318" width="7.7109375" style="16" customWidth="1"/>
    <col min="2319" max="2319" width="8.570312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7.85546875" style="16" customWidth="1"/>
    <col min="2563" max="2563" width="8.28515625" style="16" customWidth="1"/>
    <col min="2564" max="2564" width="6.7109375" style="16" bestFit="1" customWidth="1"/>
    <col min="2565" max="2565" width="8.5703125" style="16" bestFit="1" customWidth="1"/>
    <col min="2566" max="2566" width="9.28515625" style="16" bestFit="1" customWidth="1"/>
    <col min="2567" max="2568" width="8.28515625" style="16" customWidth="1"/>
    <col min="2569" max="2569" width="8.42578125" style="16" customWidth="1"/>
    <col min="2570" max="2570" width="8.140625" style="16" customWidth="1"/>
    <col min="2571" max="2574" width="7.7109375" style="16" customWidth="1"/>
    <col min="2575" max="2575" width="8.570312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7.85546875" style="16" customWidth="1"/>
    <col min="2819" max="2819" width="8.28515625" style="16" customWidth="1"/>
    <col min="2820" max="2820" width="6.7109375" style="16" bestFit="1" customWidth="1"/>
    <col min="2821" max="2821" width="8.5703125" style="16" bestFit="1" customWidth="1"/>
    <col min="2822" max="2822" width="9.28515625" style="16" bestFit="1" customWidth="1"/>
    <col min="2823" max="2824" width="8.28515625" style="16" customWidth="1"/>
    <col min="2825" max="2825" width="8.42578125" style="16" customWidth="1"/>
    <col min="2826" max="2826" width="8.140625" style="16" customWidth="1"/>
    <col min="2827" max="2830" width="7.7109375" style="16" customWidth="1"/>
    <col min="2831" max="2831" width="8.570312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7.85546875" style="16" customWidth="1"/>
    <col min="3075" max="3075" width="8.28515625" style="16" customWidth="1"/>
    <col min="3076" max="3076" width="6.7109375" style="16" bestFit="1" customWidth="1"/>
    <col min="3077" max="3077" width="8.5703125" style="16" bestFit="1" customWidth="1"/>
    <col min="3078" max="3078" width="9.28515625" style="16" bestFit="1" customWidth="1"/>
    <col min="3079" max="3080" width="8.28515625" style="16" customWidth="1"/>
    <col min="3081" max="3081" width="8.42578125" style="16" customWidth="1"/>
    <col min="3082" max="3082" width="8.140625" style="16" customWidth="1"/>
    <col min="3083" max="3086" width="7.7109375" style="16" customWidth="1"/>
    <col min="3087" max="3087" width="8.570312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7.85546875" style="16" customWidth="1"/>
    <col min="3331" max="3331" width="8.28515625" style="16" customWidth="1"/>
    <col min="3332" max="3332" width="6.7109375" style="16" bestFit="1" customWidth="1"/>
    <col min="3333" max="3333" width="8.5703125" style="16" bestFit="1" customWidth="1"/>
    <col min="3334" max="3334" width="9.28515625" style="16" bestFit="1" customWidth="1"/>
    <col min="3335" max="3336" width="8.28515625" style="16" customWidth="1"/>
    <col min="3337" max="3337" width="8.42578125" style="16" customWidth="1"/>
    <col min="3338" max="3338" width="8.140625" style="16" customWidth="1"/>
    <col min="3339" max="3342" width="7.7109375" style="16" customWidth="1"/>
    <col min="3343" max="3343" width="8.570312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7.85546875" style="16" customWidth="1"/>
    <col min="3587" max="3587" width="8.28515625" style="16" customWidth="1"/>
    <col min="3588" max="3588" width="6.7109375" style="16" bestFit="1" customWidth="1"/>
    <col min="3589" max="3589" width="8.5703125" style="16" bestFit="1" customWidth="1"/>
    <col min="3590" max="3590" width="9.28515625" style="16" bestFit="1" customWidth="1"/>
    <col min="3591" max="3592" width="8.28515625" style="16" customWidth="1"/>
    <col min="3593" max="3593" width="8.42578125" style="16" customWidth="1"/>
    <col min="3594" max="3594" width="8.140625" style="16" customWidth="1"/>
    <col min="3595" max="3598" width="7.7109375" style="16" customWidth="1"/>
    <col min="3599" max="3599" width="8.570312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7.85546875" style="16" customWidth="1"/>
    <col min="3843" max="3843" width="8.28515625" style="16" customWidth="1"/>
    <col min="3844" max="3844" width="6.7109375" style="16" bestFit="1" customWidth="1"/>
    <col min="3845" max="3845" width="8.5703125" style="16" bestFit="1" customWidth="1"/>
    <col min="3846" max="3846" width="9.28515625" style="16" bestFit="1" customWidth="1"/>
    <col min="3847" max="3848" width="8.28515625" style="16" customWidth="1"/>
    <col min="3849" max="3849" width="8.42578125" style="16" customWidth="1"/>
    <col min="3850" max="3850" width="8.140625" style="16" customWidth="1"/>
    <col min="3851" max="3854" width="7.7109375" style="16" customWidth="1"/>
    <col min="3855" max="3855" width="8.570312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7.85546875" style="16" customWidth="1"/>
    <col min="4099" max="4099" width="8.28515625" style="16" customWidth="1"/>
    <col min="4100" max="4100" width="6.7109375" style="16" bestFit="1" customWidth="1"/>
    <col min="4101" max="4101" width="8.5703125" style="16" bestFit="1" customWidth="1"/>
    <col min="4102" max="4102" width="9.28515625" style="16" bestFit="1" customWidth="1"/>
    <col min="4103" max="4104" width="8.28515625" style="16" customWidth="1"/>
    <col min="4105" max="4105" width="8.42578125" style="16" customWidth="1"/>
    <col min="4106" max="4106" width="8.140625" style="16" customWidth="1"/>
    <col min="4107" max="4110" width="7.7109375" style="16" customWidth="1"/>
    <col min="4111" max="4111" width="8.570312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7.85546875" style="16" customWidth="1"/>
    <col min="4355" max="4355" width="8.28515625" style="16" customWidth="1"/>
    <col min="4356" max="4356" width="6.7109375" style="16" bestFit="1" customWidth="1"/>
    <col min="4357" max="4357" width="8.5703125" style="16" bestFit="1" customWidth="1"/>
    <col min="4358" max="4358" width="9.28515625" style="16" bestFit="1" customWidth="1"/>
    <col min="4359" max="4360" width="8.28515625" style="16" customWidth="1"/>
    <col min="4361" max="4361" width="8.42578125" style="16" customWidth="1"/>
    <col min="4362" max="4362" width="8.140625" style="16" customWidth="1"/>
    <col min="4363" max="4366" width="7.7109375" style="16" customWidth="1"/>
    <col min="4367" max="4367" width="8.570312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7.85546875" style="16" customWidth="1"/>
    <col min="4611" max="4611" width="8.28515625" style="16" customWidth="1"/>
    <col min="4612" max="4612" width="6.7109375" style="16" bestFit="1" customWidth="1"/>
    <col min="4613" max="4613" width="8.5703125" style="16" bestFit="1" customWidth="1"/>
    <col min="4614" max="4614" width="9.28515625" style="16" bestFit="1" customWidth="1"/>
    <col min="4615" max="4616" width="8.28515625" style="16" customWidth="1"/>
    <col min="4617" max="4617" width="8.42578125" style="16" customWidth="1"/>
    <col min="4618" max="4618" width="8.140625" style="16" customWidth="1"/>
    <col min="4619" max="4622" width="7.7109375" style="16" customWidth="1"/>
    <col min="4623" max="4623" width="8.570312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7.85546875" style="16" customWidth="1"/>
    <col min="4867" max="4867" width="8.28515625" style="16" customWidth="1"/>
    <col min="4868" max="4868" width="6.7109375" style="16" bestFit="1" customWidth="1"/>
    <col min="4869" max="4869" width="8.5703125" style="16" bestFit="1" customWidth="1"/>
    <col min="4870" max="4870" width="9.28515625" style="16" bestFit="1" customWidth="1"/>
    <col min="4871" max="4872" width="8.28515625" style="16" customWidth="1"/>
    <col min="4873" max="4873" width="8.42578125" style="16" customWidth="1"/>
    <col min="4874" max="4874" width="8.140625" style="16" customWidth="1"/>
    <col min="4875" max="4878" width="7.7109375" style="16" customWidth="1"/>
    <col min="4879" max="4879" width="8.570312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7.85546875" style="16" customWidth="1"/>
    <col min="5123" max="5123" width="8.28515625" style="16" customWidth="1"/>
    <col min="5124" max="5124" width="6.7109375" style="16" bestFit="1" customWidth="1"/>
    <col min="5125" max="5125" width="8.5703125" style="16" bestFit="1" customWidth="1"/>
    <col min="5126" max="5126" width="9.28515625" style="16" bestFit="1" customWidth="1"/>
    <col min="5127" max="5128" width="8.28515625" style="16" customWidth="1"/>
    <col min="5129" max="5129" width="8.42578125" style="16" customWidth="1"/>
    <col min="5130" max="5130" width="8.140625" style="16" customWidth="1"/>
    <col min="5131" max="5134" width="7.7109375" style="16" customWidth="1"/>
    <col min="5135" max="5135" width="8.570312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7.85546875" style="16" customWidth="1"/>
    <col min="5379" max="5379" width="8.28515625" style="16" customWidth="1"/>
    <col min="5380" max="5380" width="6.7109375" style="16" bestFit="1" customWidth="1"/>
    <col min="5381" max="5381" width="8.5703125" style="16" bestFit="1" customWidth="1"/>
    <col min="5382" max="5382" width="9.28515625" style="16" bestFit="1" customWidth="1"/>
    <col min="5383" max="5384" width="8.28515625" style="16" customWidth="1"/>
    <col min="5385" max="5385" width="8.42578125" style="16" customWidth="1"/>
    <col min="5386" max="5386" width="8.140625" style="16" customWidth="1"/>
    <col min="5387" max="5390" width="7.7109375" style="16" customWidth="1"/>
    <col min="5391" max="5391" width="8.570312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7.85546875" style="16" customWidth="1"/>
    <col min="5635" max="5635" width="8.28515625" style="16" customWidth="1"/>
    <col min="5636" max="5636" width="6.7109375" style="16" bestFit="1" customWidth="1"/>
    <col min="5637" max="5637" width="8.5703125" style="16" bestFit="1" customWidth="1"/>
    <col min="5638" max="5638" width="9.28515625" style="16" bestFit="1" customWidth="1"/>
    <col min="5639" max="5640" width="8.28515625" style="16" customWidth="1"/>
    <col min="5641" max="5641" width="8.42578125" style="16" customWidth="1"/>
    <col min="5642" max="5642" width="8.140625" style="16" customWidth="1"/>
    <col min="5643" max="5646" width="7.7109375" style="16" customWidth="1"/>
    <col min="5647" max="5647" width="8.570312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7.85546875" style="16" customWidth="1"/>
    <col min="5891" max="5891" width="8.28515625" style="16" customWidth="1"/>
    <col min="5892" max="5892" width="6.7109375" style="16" bestFit="1" customWidth="1"/>
    <col min="5893" max="5893" width="8.5703125" style="16" bestFit="1" customWidth="1"/>
    <col min="5894" max="5894" width="9.28515625" style="16" bestFit="1" customWidth="1"/>
    <col min="5895" max="5896" width="8.28515625" style="16" customWidth="1"/>
    <col min="5897" max="5897" width="8.42578125" style="16" customWidth="1"/>
    <col min="5898" max="5898" width="8.140625" style="16" customWidth="1"/>
    <col min="5899" max="5902" width="7.7109375" style="16" customWidth="1"/>
    <col min="5903" max="5903" width="8.570312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7.85546875" style="16" customWidth="1"/>
    <col min="6147" max="6147" width="8.28515625" style="16" customWidth="1"/>
    <col min="6148" max="6148" width="6.7109375" style="16" bestFit="1" customWidth="1"/>
    <col min="6149" max="6149" width="8.5703125" style="16" bestFit="1" customWidth="1"/>
    <col min="6150" max="6150" width="9.28515625" style="16" bestFit="1" customWidth="1"/>
    <col min="6151" max="6152" width="8.28515625" style="16" customWidth="1"/>
    <col min="6153" max="6153" width="8.42578125" style="16" customWidth="1"/>
    <col min="6154" max="6154" width="8.140625" style="16" customWidth="1"/>
    <col min="6155" max="6158" width="7.7109375" style="16" customWidth="1"/>
    <col min="6159" max="6159" width="8.570312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7.85546875" style="16" customWidth="1"/>
    <col min="6403" max="6403" width="8.28515625" style="16" customWidth="1"/>
    <col min="6404" max="6404" width="6.7109375" style="16" bestFit="1" customWidth="1"/>
    <col min="6405" max="6405" width="8.5703125" style="16" bestFit="1" customWidth="1"/>
    <col min="6406" max="6406" width="9.28515625" style="16" bestFit="1" customWidth="1"/>
    <col min="6407" max="6408" width="8.28515625" style="16" customWidth="1"/>
    <col min="6409" max="6409" width="8.42578125" style="16" customWidth="1"/>
    <col min="6410" max="6410" width="8.140625" style="16" customWidth="1"/>
    <col min="6411" max="6414" width="7.7109375" style="16" customWidth="1"/>
    <col min="6415" max="6415" width="8.570312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7.85546875" style="16" customWidth="1"/>
    <col min="6659" max="6659" width="8.28515625" style="16" customWidth="1"/>
    <col min="6660" max="6660" width="6.7109375" style="16" bestFit="1" customWidth="1"/>
    <col min="6661" max="6661" width="8.5703125" style="16" bestFit="1" customWidth="1"/>
    <col min="6662" max="6662" width="9.28515625" style="16" bestFit="1" customWidth="1"/>
    <col min="6663" max="6664" width="8.28515625" style="16" customWidth="1"/>
    <col min="6665" max="6665" width="8.42578125" style="16" customWidth="1"/>
    <col min="6666" max="6666" width="8.140625" style="16" customWidth="1"/>
    <col min="6667" max="6670" width="7.7109375" style="16" customWidth="1"/>
    <col min="6671" max="6671" width="8.570312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7.85546875" style="16" customWidth="1"/>
    <col min="6915" max="6915" width="8.28515625" style="16" customWidth="1"/>
    <col min="6916" max="6916" width="6.7109375" style="16" bestFit="1" customWidth="1"/>
    <col min="6917" max="6917" width="8.5703125" style="16" bestFit="1" customWidth="1"/>
    <col min="6918" max="6918" width="9.28515625" style="16" bestFit="1" customWidth="1"/>
    <col min="6919" max="6920" width="8.28515625" style="16" customWidth="1"/>
    <col min="6921" max="6921" width="8.42578125" style="16" customWidth="1"/>
    <col min="6922" max="6922" width="8.140625" style="16" customWidth="1"/>
    <col min="6923" max="6926" width="7.7109375" style="16" customWidth="1"/>
    <col min="6927" max="6927" width="8.570312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7.85546875" style="16" customWidth="1"/>
    <col min="7171" max="7171" width="8.28515625" style="16" customWidth="1"/>
    <col min="7172" max="7172" width="6.7109375" style="16" bestFit="1" customWidth="1"/>
    <col min="7173" max="7173" width="8.5703125" style="16" bestFit="1" customWidth="1"/>
    <col min="7174" max="7174" width="9.28515625" style="16" bestFit="1" customWidth="1"/>
    <col min="7175" max="7176" width="8.28515625" style="16" customWidth="1"/>
    <col min="7177" max="7177" width="8.42578125" style="16" customWidth="1"/>
    <col min="7178" max="7178" width="8.140625" style="16" customWidth="1"/>
    <col min="7179" max="7182" width="7.7109375" style="16" customWidth="1"/>
    <col min="7183" max="7183" width="8.570312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7.85546875" style="16" customWidth="1"/>
    <col min="7427" max="7427" width="8.28515625" style="16" customWidth="1"/>
    <col min="7428" max="7428" width="6.7109375" style="16" bestFit="1" customWidth="1"/>
    <col min="7429" max="7429" width="8.5703125" style="16" bestFit="1" customWidth="1"/>
    <col min="7430" max="7430" width="9.28515625" style="16" bestFit="1" customWidth="1"/>
    <col min="7431" max="7432" width="8.28515625" style="16" customWidth="1"/>
    <col min="7433" max="7433" width="8.42578125" style="16" customWidth="1"/>
    <col min="7434" max="7434" width="8.140625" style="16" customWidth="1"/>
    <col min="7435" max="7438" width="7.7109375" style="16" customWidth="1"/>
    <col min="7439" max="7439" width="8.570312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7.85546875" style="16" customWidth="1"/>
    <col min="7683" max="7683" width="8.28515625" style="16" customWidth="1"/>
    <col min="7684" max="7684" width="6.7109375" style="16" bestFit="1" customWidth="1"/>
    <col min="7685" max="7685" width="8.5703125" style="16" bestFit="1" customWidth="1"/>
    <col min="7686" max="7686" width="9.28515625" style="16" bestFit="1" customWidth="1"/>
    <col min="7687" max="7688" width="8.28515625" style="16" customWidth="1"/>
    <col min="7689" max="7689" width="8.42578125" style="16" customWidth="1"/>
    <col min="7690" max="7690" width="8.140625" style="16" customWidth="1"/>
    <col min="7691" max="7694" width="7.7109375" style="16" customWidth="1"/>
    <col min="7695" max="7695" width="8.570312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7.85546875" style="16" customWidth="1"/>
    <col min="7939" max="7939" width="8.28515625" style="16" customWidth="1"/>
    <col min="7940" max="7940" width="6.7109375" style="16" bestFit="1" customWidth="1"/>
    <col min="7941" max="7941" width="8.5703125" style="16" bestFit="1" customWidth="1"/>
    <col min="7942" max="7942" width="9.28515625" style="16" bestFit="1" customWidth="1"/>
    <col min="7943" max="7944" width="8.28515625" style="16" customWidth="1"/>
    <col min="7945" max="7945" width="8.42578125" style="16" customWidth="1"/>
    <col min="7946" max="7946" width="8.140625" style="16" customWidth="1"/>
    <col min="7947" max="7950" width="7.7109375" style="16" customWidth="1"/>
    <col min="7951" max="7951" width="8.570312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7.85546875" style="16" customWidth="1"/>
    <col min="8195" max="8195" width="8.28515625" style="16" customWidth="1"/>
    <col min="8196" max="8196" width="6.7109375" style="16" bestFit="1" customWidth="1"/>
    <col min="8197" max="8197" width="8.5703125" style="16" bestFit="1" customWidth="1"/>
    <col min="8198" max="8198" width="9.28515625" style="16" bestFit="1" customWidth="1"/>
    <col min="8199" max="8200" width="8.28515625" style="16" customWidth="1"/>
    <col min="8201" max="8201" width="8.42578125" style="16" customWidth="1"/>
    <col min="8202" max="8202" width="8.140625" style="16" customWidth="1"/>
    <col min="8203" max="8206" width="7.7109375" style="16" customWidth="1"/>
    <col min="8207" max="8207" width="8.570312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7.85546875" style="16" customWidth="1"/>
    <col min="8451" max="8451" width="8.28515625" style="16" customWidth="1"/>
    <col min="8452" max="8452" width="6.7109375" style="16" bestFit="1" customWidth="1"/>
    <col min="8453" max="8453" width="8.5703125" style="16" bestFit="1" customWidth="1"/>
    <col min="8454" max="8454" width="9.28515625" style="16" bestFit="1" customWidth="1"/>
    <col min="8455" max="8456" width="8.28515625" style="16" customWidth="1"/>
    <col min="8457" max="8457" width="8.42578125" style="16" customWidth="1"/>
    <col min="8458" max="8458" width="8.140625" style="16" customWidth="1"/>
    <col min="8459" max="8462" width="7.7109375" style="16" customWidth="1"/>
    <col min="8463" max="8463" width="8.570312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7.85546875" style="16" customWidth="1"/>
    <col min="8707" max="8707" width="8.28515625" style="16" customWidth="1"/>
    <col min="8708" max="8708" width="6.7109375" style="16" bestFit="1" customWidth="1"/>
    <col min="8709" max="8709" width="8.5703125" style="16" bestFit="1" customWidth="1"/>
    <col min="8710" max="8710" width="9.28515625" style="16" bestFit="1" customWidth="1"/>
    <col min="8711" max="8712" width="8.28515625" style="16" customWidth="1"/>
    <col min="8713" max="8713" width="8.42578125" style="16" customWidth="1"/>
    <col min="8714" max="8714" width="8.140625" style="16" customWidth="1"/>
    <col min="8715" max="8718" width="7.7109375" style="16" customWidth="1"/>
    <col min="8719" max="8719" width="8.570312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7.85546875" style="16" customWidth="1"/>
    <col min="8963" max="8963" width="8.28515625" style="16" customWidth="1"/>
    <col min="8964" max="8964" width="6.7109375" style="16" bestFit="1" customWidth="1"/>
    <col min="8965" max="8965" width="8.5703125" style="16" bestFit="1" customWidth="1"/>
    <col min="8966" max="8966" width="9.28515625" style="16" bestFit="1" customWidth="1"/>
    <col min="8967" max="8968" width="8.28515625" style="16" customWidth="1"/>
    <col min="8969" max="8969" width="8.42578125" style="16" customWidth="1"/>
    <col min="8970" max="8970" width="8.140625" style="16" customWidth="1"/>
    <col min="8971" max="8974" width="7.7109375" style="16" customWidth="1"/>
    <col min="8975" max="8975" width="8.570312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7.85546875" style="16" customWidth="1"/>
    <col min="9219" max="9219" width="8.28515625" style="16" customWidth="1"/>
    <col min="9220" max="9220" width="6.7109375" style="16" bestFit="1" customWidth="1"/>
    <col min="9221" max="9221" width="8.5703125" style="16" bestFit="1" customWidth="1"/>
    <col min="9222" max="9222" width="9.28515625" style="16" bestFit="1" customWidth="1"/>
    <col min="9223" max="9224" width="8.28515625" style="16" customWidth="1"/>
    <col min="9225" max="9225" width="8.42578125" style="16" customWidth="1"/>
    <col min="9226" max="9226" width="8.140625" style="16" customWidth="1"/>
    <col min="9227" max="9230" width="7.7109375" style="16" customWidth="1"/>
    <col min="9231" max="9231" width="8.570312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7.85546875" style="16" customWidth="1"/>
    <col min="9475" max="9475" width="8.28515625" style="16" customWidth="1"/>
    <col min="9476" max="9476" width="6.7109375" style="16" bestFit="1" customWidth="1"/>
    <col min="9477" max="9477" width="8.5703125" style="16" bestFit="1" customWidth="1"/>
    <col min="9478" max="9478" width="9.28515625" style="16" bestFit="1" customWidth="1"/>
    <col min="9479" max="9480" width="8.28515625" style="16" customWidth="1"/>
    <col min="9481" max="9481" width="8.42578125" style="16" customWidth="1"/>
    <col min="9482" max="9482" width="8.140625" style="16" customWidth="1"/>
    <col min="9483" max="9486" width="7.7109375" style="16" customWidth="1"/>
    <col min="9487" max="9487" width="8.570312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7.85546875" style="16" customWidth="1"/>
    <col min="9731" max="9731" width="8.28515625" style="16" customWidth="1"/>
    <col min="9732" max="9732" width="6.7109375" style="16" bestFit="1" customWidth="1"/>
    <col min="9733" max="9733" width="8.5703125" style="16" bestFit="1" customWidth="1"/>
    <col min="9734" max="9734" width="9.28515625" style="16" bestFit="1" customWidth="1"/>
    <col min="9735" max="9736" width="8.28515625" style="16" customWidth="1"/>
    <col min="9737" max="9737" width="8.42578125" style="16" customWidth="1"/>
    <col min="9738" max="9738" width="8.140625" style="16" customWidth="1"/>
    <col min="9739" max="9742" width="7.7109375" style="16" customWidth="1"/>
    <col min="9743" max="9743" width="8.570312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7.85546875" style="16" customWidth="1"/>
    <col min="9987" max="9987" width="8.28515625" style="16" customWidth="1"/>
    <col min="9988" max="9988" width="6.7109375" style="16" bestFit="1" customWidth="1"/>
    <col min="9989" max="9989" width="8.5703125" style="16" bestFit="1" customWidth="1"/>
    <col min="9990" max="9990" width="9.28515625" style="16" bestFit="1" customWidth="1"/>
    <col min="9991" max="9992" width="8.28515625" style="16" customWidth="1"/>
    <col min="9993" max="9993" width="8.42578125" style="16" customWidth="1"/>
    <col min="9994" max="9994" width="8.140625" style="16" customWidth="1"/>
    <col min="9995" max="9998" width="7.7109375" style="16" customWidth="1"/>
    <col min="9999" max="9999" width="8.570312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7.85546875" style="16" customWidth="1"/>
    <col min="10243" max="10243" width="8.28515625" style="16" customWidth="1"/>
    <col min="10244" max="10244" width="6.7109375" style="16" bestFit="1" customWidth="1"/>
    <col min="10245" max="10245" width="8.5703125" style="16" bestFit="1" customWidth="1"/>
    <col min="10246" max="10246" width="9.28515625" style="16" bestFit="1" customWidth="1"/>
    <col min="10247" max="10248" width="8.28515625" style="16" customWidth="1"/>
    <col min="10249" max="10249" width="8.42578125" style="16" customWidth="1"/>
    <col min="10250" max="10250" width="8.140625" style="16" customWidth="1"/>
    <col min="10251" max="10254" width="7.7109375" style="16" customWidth="1"/>
    <col min="10255" max="10255" width="8.570312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7.85546875" style="16" customWidth="1"/>
    <col min="10499" max="10499" width="8.28515625" style="16" customWidth="1"/>
    <col min="10500" max="10500" width="6.7109375" style="16" bestFit="1" customWidth="1"/>
    <col min="10501" max="10501" width="8.5703125" style="16" bestFit="1" customWidth="1"/>
    <col min="10502" max="10502" width="9.28515625" style="16" bestFit="1" customWidth="1"/>
    <col min="10503" max="10504" width="8.28515625" style="16" customWidth="1"/>
    <col min="10505" max="10505" width="8.42578125" style="16" customWidth="1"/>
    <col min="10506" max="10506" width="8.140625" style="16" customWidth="1"/>
    <col min="10507" max="10510" width="7.7109375" style="16" customWidth="1"/>
    <col min="10511" max="10511" width="8.570312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7.85546875" style="16" customWidth="1"/>
    <col min="10755" max="10755" width="8.28515625" style="16" customWidth="1"/>
    <col min="10756" max="10756" width="6.7109375" style="16" bestFit="1" customWidth="1"/>
    <col min="10757" max="10757" width="8.5703125" style="16" bestFit="1" customWidth="1"/>
    <col min="10758" max="10758" width="9.28515625" style="16" bestFit="1" customWidth="1"/>
    <col min="10759" max="10760" width="8.28515625" style="16" customWidth="1"/>
    <col min="10761" max="10761" width="8.42578125" style="16" customWidth="1"/>
    <col min="10762" max="10762" width="8.140625" style="16" customWidth="1"/>
    <col min="10763" max="10766" width="7.7109375" style="16" customWidth="1"/>
    <col min="10767" max="10767" width="8.570312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7.85546875" style="16" customWidth="1"/>
    <col min="11011" max="11011" width="8.28515625" style="16" customWidth="1"/>
    <col min="11012" max="11012" width="6.7109375" style="16" bestFit="1" customWidth="1"/>
    <col min="11013" max="11013" width="8.5703125" style="16" bestFit="1" customWidth="1"/>
    <col min="11014" max="11014" width="9.28515625" style="16" bestFit="1" customWidth="1"/>
    <col min="11015" max="11016" width="8.28515625" style="16" customWidth="1"/>
    <col min="11017" max="11017" width="8.42578125" style="16" customWidth="1"/>
    <col min="11018" max="11018" width="8.140625" style="16" customWidth="1"/>
    <col min="11019" max="11022" width="7.7109375" style="16" customWidth="1"/>
    <col min="11023" max="11023" width="8.570312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7.85546875" style="16" customWidth="1"/>
    <col min="11267" max="11267" width="8.28515625" style="16" customWidth="1"/>
    <col min="11268" max="11268" width="6.7109375" style="16" bestFit="1" customWidth="1"/>
    <col min="11269" max="11269" width="8.5703125" style="16" bestFit="1" customWidth="1"/>
    <col min="11270" max="11270" width="9.28515625" style="16" bestFit="1" customWidth="1"/>
    <col min="11271" max="11272" width="8.28515625" style="16" customWidth="1"/>
    <col min="11273" max="11273" width="8.42578125" style="16" customWidth="1"/>
    <col min="11274" max="11274" width="8.140625" style="16" customWidth="1"/>
    <col min="11275" max="11278" width="7.7109375" style="16" customWidth="1"/>
    <col min="11279" max="11279" width="8.570312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7.85546875" style="16" customWidth="1"/>
    <col min="11523" max="11523" width="8.28515625" style="16" customWidth="1"/>
    <col min="11524" max="11524" width="6.7109375" style="16" bestFit="1" customWidth="1"/>
    <col min="11525" max="11525" width="8.5703125" style="16" bestFit="1" customWidth="1"/>
    <col min="11526" max="11526" width="9.28515625" style="16" bestFit="1" customWidth="1"/>
    <col min="11527" max="11528" width="8.28515625" style="16" customWidth="1"/>
    <col min="11529" max="11529" width="8.42578125" style="16" customWidth="1"/>
    <col min="11530" max="11530" width="8.140625" style="16" customWidth="1"/>
    <col min="11531" max="11534" width="7.7109375" style="16" customWidth="1"/>
    <col min="11535" max="11535" width="8.570312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7.85546875" style="16" customWidth="1"/>
    <col min="11779" max="11779" width="8.28515625" style="16" customWidth="1"/>
    <col min="11780" max="11780" width="6.7109375" style="16" bestFit="1" customWidth="1"/>
    <col min="11781" max="11781" width="8.5703125" style="16" bestFit="1" customWidth="1"/>
    <col min="11782" max="11782" width="9.28515625" style="16" bestFit="1" customWidth="1"/>
    <col min="11783" max="11784" width="8.28515625" style="16" customWidth="1"/>
    <col min="11785" max="11785" width="8.42578125" style="16" customWidth="1"/>
    <col min="11786" max="11786" width="8.140625" style="16" customWidth="1"/>
    <col min="11787" max="11790" width="7.7109375" style="16" customWidth="1"/>
    <col min="11791" max="11791" width="8.570312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7.85546875" style="16" customWidth="1"/>
    <col min="12035" max="12035" width="8.28515625" style="16" customWidth="1"/>
    <col min="12036" max="12036" width="6.7109375" style="16" bestFit="1" customWidth="1"/>
    <col min="12037" max="12037" width="8.5703125" style="16" bestFit="1" customWidth="1"/>
    <col min="12038" max="12038" width="9.28515625" style="16" bestFit="1" customWidth="1"/>
    <col min="12039" max="12040" width="8.28515625" style="16" customWidth="1"/>
    <col min="12041" max="12041" width="8.42578125" style="16" customWidth="1"/>
    <col min="12042" max="12042" width="8.140625" style="16" customWidth="1"/>
    <col min="12043" max="12046" width="7.7109375" style="16" customWidth="1"/>
    <col min="12047" max="12047" width="8.570312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7.85546875" style="16" customWidth="1"/>
    <col min="12291" max="12291" width="8.28515625" style="16" customWidth="1"/>
    <col min="12292" max="12292" width="6.7109375" style="16" bestFit="1" customWidth="1"/>
    <col min="12293" max="12293" width="8.5703125" style="16" bestFit="1" customWidth="1"/>
    <col min="12294" max="12294" width="9.28515625" style="16" bestFit="1" customWidth="1"/>
    <col min="12295" max="12296" width="8.28515625" style="16" customWidth="1"/>
    <col min="12297" max="12297" width="8.42578125" style="16" customWidth="1"/>
    <col min="12298" max="12298" width="8.140625" style="16" customWidth="1"/>
    <col min="12299" max="12302" width="7.7109375" style="16" customWidth="1"/>
    <col min="12303" max="12303" width="8.570312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7.85546875" style="16" customWidth="1"/>
    <col min="12547" max="12547" width="8.28515625" style="16" customWidth="1"/>
    <col min="12548" max="12548" width="6.7109375" style="16" bestFit="1" customWidth="1"/>
    <col min="12549" max="12549" width="8.5703125" style="16" bestFit="1" customWidth="1"/>
    <col min="12550" max="12550" width="9.28515625" style="16" bestFit="1" customWidth="1"/>
    <col min="12551" max="12552" width="8.28515625" style="16" customWidth="1"/>
    <col min="12553" max="12553" width="8.42578125" style="16" customWidth="1"/>
    <col min="12554" max="12554" width="8.140625" style="16" customWidth="1"/>
    <col min="12555" max="12558" width="7.7109375" style="16" customWidth="1"/>
    <col min="12559" max="12559" width="8.570312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7.85546875" style="16" customWidth="1"/>
    <col min="12803" max="12803" width="8.28515625" style="16" customWidth="1"/>
    <col min="12804" max="12804" width="6.7109375" style="16" bestFit="1" customWidth="1"/>
    <col min="12805" max="12805" width="8.5703125" style="16" bestFit="1" customWidth="1"/>
    <col min="12806" max="12806" width="9.28515625" style="16" bestFit="1" customWidth="1"/>
    <col min="12807" max="12808" width="8.28515625" style="16" customWidth="1"/>
    <col min="12809" max="12809" width="8.42578125" style="16" customWidth="1"/>
    <col min="12810" max="12810" width="8.140625" style="16" customWidth="1"/>
    <col min="12811" max="12814" width="7.7109375" style="16" customWidth="1"/>
    <col min="12815" max="12815" width="8.570312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7.85546875" style="16" customWidth="1"/>
    <col min="13059" max="13059" width="8.28515625" style="16" customWidth="1"/>
    <col min="13060" max="13060" width="6.7109375" style="16" bestFit="1" customWidth="1"/>
    <col min="13061" max="13061" width="8.5703125" style="16" bestFit="1" customWidth="1"/>
    <col min="13062" max="13062" width="9.28515625" style="16" bestFit="1" customWidth="1"/>
    <col min="13063" max="13064" width="8.28515625" style="16" customWidth="1"/>
    <col min="13065" max="13065" width="8.42578125" style="16" customWidth="1"/>
    <col min="13066" max="13066" width="8.140625" style="16" customWidth="1"/>
    <col min="13067" max="13070" width="7.7109375" style="16" customWidth="1"/>
    <col min="13071" max="13071" width="8.570312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7.85546875" style="16" customWidth="1"/>
    <col min="13315" max="13315" width="8.28515625" style="16" customWidth="1"/>
    <col min="13316" max="13316" width="6.7109375" style="16" bestFit="1" customWidth="1"/>
    <col min="13317" max="13317" width="8.5703125" style="16" bestFit="1" customWidth="1"/>
    <col min="13318" max="13318" width="9.28515625" style="16" bestFit="1" customWidth="1"/>
    <col min="13319" max="13320" width="8.28515625" style="16" customWidth="1"/>
    <col min="13321" max="13321" width="8.42578125" style="16" customWidth="1"/>
    <col min="13322" max="13322" width="8.140625" style="16" customWidth="1"/>
    <col min="13323" max="13326" width="7.7109375" style="16" customWidth="1"/>
    <col min="13327" max="13327" width="8.570312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7.85546875" style="16" customWidth="1"/>
    <col min="13571" max="13571" width="8.28515625" style="16" customWidth="1"/>
    <col min="13572" max="13572" width="6.7109375" style="16" bestFit="1" customWidth="1"/>
    <col min="13573" max="13573" width="8.5703125" style="16" bestFit="1" customWidth="1"/>
    <col min="13574" max="13574" width="9.28515625" style="16" bestFit="1" customWidth="1"/>
    <col min="13575" max="13576" width="8.28515625" style="16" customWidth="1"/>
    <col min="13577" max="13577" width="8.42578125" style="16" customWidth="1"/>
    <col min="13578" max="13578" width="8.140625" style="16" customWidth="1"/>
    <col min="13579" max="13582" width="7.7109375" style="16" customWidth="1"/>
    <col min="13583" max="13583" width="8.570312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7.85546875" style="16" customWidth="1"/>
    <col min="13827" max="13827" width="8.28515625" style="16" customWidth="1"/>
    <col min="13828" max="13828" width="6.7109375" style="16" bestFit="1" customWidth="1"/>
    <col min="13829" max="13829" width="8.5703125" style="16" bestFit="1" customWidth="1"/>
    <col min="13830" max="13830" width="9.28515625" style="16" bestFit="1" customWidth="1"/>
    <col min="13831" max="13832" width="8.28515625" style="16" customWidth="1"/>
    <col min="13833" max="13833" width="8.42578125" style="16" customWidth="1"/>
    <col min="13834" max="13834" width="8.140625" style="16" customWidth="1"/>
    <col min="13835" max="13838" width="7.7109375" style="16" customWidth="1"/>
    <col min="13839" max="13839" width="8.570312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7.85546875" style="16" customWidth="1"/>
    <col min="14083" max="14083" width="8.28515625" style="16" customWidth="1"/>
    <col min="14084" max="14084" width="6.7109375" style="16" bestFit="1" customWidth="1"/>
    <col min="14085" max="14085" width="8.5703125" style="16" bestFit="1" customWidth="1"/>
    <col min="14086" max="14086" width="9.28515625" style="16" bestFit="1" customWidth="1"/>
    <col min="14087" max="14088" width="8.28515625" style="16" customWidth="1"/>
    <col min="14089" max="14089" width="8.42578125" style="16" customWidth="1"/>
    <col min="14090" max="14090" width="8.140625" style="16" customWidth="1"/>
    <col min="14091" max="14094" width="7.7109375" style="16" customWidth="1"/>
    <col min="14095" max="14095" width="8.570312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7.85546875" style="16" customWidth="1"/>
    <col min="14339" max="14339" width="8.28515625" style="16" customWidth="1"/>
    <col min="14340" max="14340" width="6.7109375" style="16" bestFit="1" customWidth="1"/>
    <col min="14341" max="14341" width="8.5703125" style="16" bestFit="1" customWidth="1"/>
    <col min="14342" max="14342" width="9.28515625" style="16" bestFit="1" customWidth="1"/>
    <col min="14343" max="14344" width="8.28515625" style="16" customWidth="1"/>
    <col min="14345" max="14345" width="8.42578125" style="16" customWidth="1"/>
    <col min="14346" max="14346" width="8.140625" style="16" customWidth="1"/>
    <col min="14347" max="14350" width="7.7109375" style="16" customWidth="1"/>
    <col min="14351" max="14351" width="8.570312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7.85546875" style="16" customWidth="1"/>
    <col min="14595" max="14595" width="8.28515625" style="16" customWidth="1"/>
    <col min="14596" max="14596" width="6.7109375" style="16" bestFit="1" customWidth="1"/>
    <col min="14597" max="14597" width="8.5703125" style="16" bestFit="1" customWidth="1"/>
    <col min="14598" max="14598" width="9.28515625" style="16" bestFit="1" customWidth="1"/>
    <col min="14599" max="14600" width="8.28515625" style="16" customWidth="1"/>
    <col min="14601" max="14601" width="8.42578125" style="16" customWidth="1"/>
    <col min="14602" max="14602" width="8.140625" style="16" customWidth="1"/>
    <col min="14603" max="14606" width="7.7109375" style="16" customWidth="1"/>
    <col min="14607" max="14607" width="8.570312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7.85546875" style="16" customWidth="1"/>
    <col min="14851" max="14851" width="8.28515625" style="16" customWidth="1"/>
    <col min="14852" max="14852" width="6.7109375" style="16" bestFit="1" customWidth="1"/>
    <col min="14853" max="14853" width="8.5703125" style="16" bestFit="1" customWidth="1"/>
    <col min="14854" max="14854" width="9.28515625" style="16" bestFit="1" customWidth="1"/>
    <col min="14855" max="14856" width="8.28515625" style="16" customWidth="1"/>
    <col min="14857" max="14857" width="8.42578125" style="16" customWidth="1"/>
    <col min="14858" max="14858" width="8.140625" style="16" customWidth="1"/>
    <col min="14859" max="14862" width="7.7109375" style="16" customWidth="1"/>
    <col min="14863" max="14863" width="8.570312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7.85546875" style="16" customWidth="1"/>
    <col min="15107" max="15107" width="8.28515625" style="16" customWidth="1"/>
    <col min="15108" max="15108" width="6.7109375" style="16" bestFit="1" customWidth="1"/>
    <col min="15109" max="15109" width="8.5703125" style="16" bestFit="1" customWidth="1"/>
    <col min="15110" max="15110" width="9.28515625" style="16" bestFit="1" customWidth="1"/>
    <col min="15111" max="15112" width="8.28515625" style="16" customWidth="1"/>
    <col min="15113" max="15113" width="8.42578125" style="16" customWidth="1"/>
    <col min="15114" max="15114" width="8.140625" style="16" customWidth="1"/>
    <col min="15115" max="15118" width="7.7109375" style="16" customWidth="1"/>
    <col min="15119" max="15119" width="8.570312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7.85546875" style="16" customWidth="1"/>
    <col min="15363" max="15363" width="8.28515625" style="16" customWidth="1"/>
    <col min="15364" max="15364" width="6.7109375" style="16" bestFit="1" customWidth="1"/>
    <col min="15365" max="15365" width="8.5703125" style="16" bestFit="1" customWidth="1"/>
    <col min="15366" max="15366" width="9.28515625" style="16" bestFit="1" customWidth="1"/>
    <col min="15367" max="15368" width="8.28515625" style="16" customWidth="1"/>
    <col min="15369" max="15369" width="8.42578125" style="16" customWidth="1"/>
    <col min="15370" max="15370" width="8.140625" style="16" customWidth="1"/>
    <col min="15371" max="15374" width="7.7109375" style="16" customWidth="1"/>
    <col min="15375" max="15375" width="8.570312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7.85546875" style="16" customWidth="1"/>
    <col min="15619" max="15619" width="8.28515625" style="16" customWidth="1"/>
    <col min="15620" max="15620" width="6.7109375" style="16" bestFit="1" customWidth="1"/>
    <col min="15621" max="15621" width="8.5703125" style="16" bestFit="1" customWidth="1"/>
    <col min="15622" max="15622" width="9.28515625" style="16" bestFit="1" customWidth="1"/>
    <col min="15623" max="15624" width="8.28515625" style="16" customWidth="1"/>
    <col min="15625" max="15625" width="8.42578125" style="16" customWidth="1"/>
    <col min="15626" max="15626" width="8.140625" style="16" customWidth="1"/>
    <col min="15627" max="15630" width="7.7109375" style="16" customWidth="1"/>
    <col min="15631" max="15631" width="8.570312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7.85546875" style="16" customWidth="1"/>
    <col min="15875" max="15875" width="8.28515625" style="16" customWidth="1"/>
    <col min="15876" max="15876" width="6.7109375" style="16" bestFit="1" customWidth="1"/>
    <col min="15877" max="15877" width="8.5703125" style="16" bestFit="1" customWidth="1"/>
    <col min="15878" max="15878" width="9.28515625" style="16" bestFit="1" customWidth="1"/>
    <col min="15879" max="15880" width="8.28515625" style="16" customWidth="1"/>
    <col min="15881" max="15881" width="8.42578125" style="16" customWidth="1"/>
    <col min="15882" max="15882" width="8.140625" style="16" customWidth="1"/>
    <col min="15883" max="15886" width="7.7109375" style="16" customWidth="1"/>
    <col min="15887" max="15887" width="8.570312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7.85546875" style="16" customWidth="1"/>
    <col min="16131" max="16131" width="8.28515625" style="16" customWidth="1"/>
    <col min="16132" max="16132" width="6.7109375" style="16" bestFit="1" customWidth="1"/>
    <col min="16133" max="16133" width="8.5703125" style="16" bestFit="1" customWidth="1"/>
    <col min="16134" max="16134" width="9.28515625" style="16" bestFit="1" customWidth="1"/>
    <col min="16135" max="16136" width="8.28515625" style="16" customWidth="1"/>
    <col min="16137" max="16137" width="8.42578125" style="16" customWidth="1"/>
    <col min="16138" max="16138" width="8.140625" style="16" customWidth="1"/>
    <col min="16139" max="16142" width="7.7109375" style="16" customWidth="1"/>
    <col min="16143" max="16143" width="8.570312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67" t="s">
        <v>100</v>
      </c>
      <c r="B1" s="868"/>
      <c r="C1" s="868"/>
      <c r="D1" s="869"/>
      <c r="E1" s="868"/>
      <c r="F1" s="868"/>
      <c r="G1" s="867" t="s">
        <v>102</v>
      </c>
      <c r="H1" s="869"/>
      <c r="I1" s="869" t="s">
        <v>81</v>
      </c>
      <c r="J1" s="868"/>
      <c r="K1" s="868"/>
      <c r="L1" s="870"/>
      <c r="M1" s="870"/>
      <c r="N1" s="870"/>
      <c r="O1" s="870"/>
    </row>
    <row r="2" spans="1:15" s="1" customFormat="1" x14ac:dyDescent="0.2">
      <c r="A2" s="867" t="s">
        <v>103</v>
      </c>
      <c r="B2" s="868"/>
      <c r="C2" s="868"/>
      <c r="D2" s="869"/>
      <c r="E2" s="868"/>
      <c r="F2" s="868"/>
      <c r="G2" s="867" t="s">
        <v>104</v>
      </c>
      <c r="H2" s="869"/>
      <c r="I2" s="869" t="s">
        <v>105</v>
      </c>
      <c r="J2" s="868"/>
      <c r="K2" s="868"/>
      <c r="L2" s="870"/>
      <c r="M2" s="870"/>
      <c r="N2" s="870"/>
      <c r="O2" s="870"/>
    </row>
    <row r="3" spans="1:15" s="1" customFormat="1" x14ac:dyDescent="0.2">
      <c r="A3" s="867" t="s">
        <v>106</v>
      </c>
      <c r="B3" s="868"/>
      <c r="C3" s="868"/>
      <c r="D3" s="883" t="s">
        <v>277</v>
      </c>
      <c r="E3" s="868"/>
      <c r="F3" s="868"/>
      <c r="G3" s="867" t="s">
        <v>107</v>
      </c>
      <c r="H3" s="869"/>
      <c r="I3" s="869" t="s">
        <v>108</v>
      </c>
      <c r="J3" s="868"/>
      <c r="K3" s="868"/>
      <c r="L3" s="870"/>
      <c r="M3" s="870"/>
      <c r="N3" s="870"/>
      <c r="O3" s="870"/>
    </row>
    <row r="4" spans="1:15" s="1" customFormat="1" x14ac:dyDescent="0.2">
      <c r="A4" s="867" t="s">
        <v>109</v>
      </c>
      <c r="B4" s="868"/>
      <c r="C4" s="868"/>
      <c r="D4" s="869"/>
      <c r="E4" s="868"/>
      <c r="F4" s="868"/>
      <c r="G4" s="867" t="s">
        <v>110</v>
      </c>
      <c r="H4" s="869"/>
      <c r="I4" s="869" t="s">
        <v>272</v>
      </c>
      <c r="J4" s="868"/>
      <c r="K4" s="868"/>
      <c r="L4" s="870"/>
      <c r="M4" s="870"/>
      <c r="N4" s="870"/>
      <c r="O4" s="870"/>
    </row>
    <row r="5" spans="1:15" s="1" customFormat="1" x14ac:dyDescent="0.2">
      <c r="A5" s="867" t="s">
        <v>278</v>
      </c>
      <c r="B5" s="868"/>
      <c r="C5" s="868"/>
      <c r="D5" s="869" t="s">
        <v>279</v>
      </c>
      <c r="E5" s="868"/>
      <c r="F5" s="868"/>
      <c r="G5" s="867"/>
      <c r="H5" s="868"/>
      <c r="I5" s="869" t="s">
        <v>113</v>
      </c>
      <c r="J5" s="868"/>
      <c r="K5" s="868"/>
      <c r="L5" s="870"/>
      <c r="M5" s="870"/>
      <c r="N5" s="870"/>
      <c r="O5" s="870"/>
    </row>
    <row r="6" spans="1:15" s="1" customFormat="1" x14ac:dyDescent="0.2">
      <c r="A6" s="871" t="s">
        <v>114</v>
      </c>
      <c r="B6" s="872"/>
      <c r="C6" s="872"/>
      <c r="D6" s="868" t="s">
        <v>82</v>
      </c>
      <c r="E6" s="868"/>
      <c r="F6" s="868"/>
      <c r="G6" s="871" t="s">
        <v>115</v>
      </c>
      <c r="H6" s="871"/>
      <c r="I6" s="2" t="s">
        <v>116</v>
      </c>
      <c r="J6" s="888"/>
      <c r="K6" s="888"/>
      <c r="L6" s="888"/>
      <c r="M6" s="888"/>
      <c r="N6" s="888"/>
      <c r="O6" s="889"/>
    </row>
    <row r="7" spans="1:15" s="1" customFormat="1" ht="13.5" thickBot="1" x14ac:dyDescent="0.25">
      <c r="A7" s="3"/>
      <c r="B7" s="4"/>
      <c r="C7" s="5"/>
      <c r="D7" s="6"/>
      <c r="E7" s="6"/>
      <c r="F7" s="6"/>
      <c r="G7" s="6"/>
      <c r="H7" s="6"/>
      <c r="I7" s="6"/>
      <c r="J7" s="7"/>
      <c r="K7" s="8"/>
      <c r="L7" s="875" t="s">
        <v>223</v>
      </c>
      <c r="M7" s="875"/>
      <c r="N7" s="875"/>
      <c r="O7" s="875"/>
    </row>
    <row r="8" spans="1:15" s="11" customFormat="1" x14ac:dyDescent="0.2">
      <c r="A8" s="876" t="str">
        <f>I1</f>
        <v>Mr. S.P.Ahire</v>
      </c>
      <c r="B8" s="877"/>
      <c r="C8" s="144">
        <v>43160</v>
      </c>
      <c r="D8" s="144">
        <v>43191</v>
      </c>
      <c r="E8" s="144">
        <v>43221</v>
      </c>
      <c r="F8" s="144">
        <v>43252</v>
      </c>
      <c r="G8" s="144">
        <v>43282</v>
      </c>
      <c r="H8" s="144">
        <v>43313</v>
      </c>
      <c r="I8" s="144">
        <v>43344</v>
      </c>
      <c r="J8" s="144">
        <v>43374</v>
      </c>
      <c r="K8" s="144">
        <v>43405</v>
      </c>
      <c r="L8" s="144">
        <v>43435</v>
      </c>
      <c r="M8" s="144">
        <v>43466</v>
      </c>
      <c r="N8" s="144">
        <v>43497</v>
      </c>
      <c r="O8" s="10" t="s">
        <v>117</v>
      </c>
    </row>
    <row r="9" spans="1:15" ht="15" x14ac:dyDescent="0.2">
      <c r="A9" s="12"/>
      <c r="B9" s="13" t="s">
        <v>118</v>
      </c>
      <c r="C9" s="14">
        <v>34000</v>
      </c>
      <c r="D9" s="14">
        <v>34000</v>
      </c>
      <c r="E9" s="14">
        <v>34000</v>
      </c>
      <c r="F9" s="14">
        <v>34000</v>
      </c>
      <c r="G9" s="14">
        <v>35000</v>
      </c>
      <c r="H9" s="14">
        <v>35000</v>
      </c>
      <c r="I9" s="14">
        <v>35000</v>
      </c>
      <c r="J9" s="14">
        <v>35000</v>
      </c>
      <c r="K9" s="14">
        <v>35000</v>
      </c>
      <c r="L9" s="14">
        <v>35000</v>
      </c>
      <c r="M9" s="14">
        <v>35000</v>
      </c>
      <c r="N9" s="14">
        <v>35000</v>
      </c>
      <c r="O9" s="15">
        <f>SUM(C9:N9)</f>
        <v>416000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1700</v>
      </c>
      <c r="D11" s="17">
        <v>2380</v>
      </c>
      <c r="E11" s="17">
        <v>2380</v>
      </c>
      <c r="F11" s="17">
        <v>2380</v>
      </c>
      <c r="G11" s="17">
        <v>2450</v>
      </c>
      <c r="H11" s="17">
        <v>2450</v>
      </c>
      <c r="I11" s="17">
        <v>2450</v>
      </c>
      <c r="J11" s="17">
        <v>3150</v>
      </c>
      <c r="K11" s="17">
        <v>3150</v>
      </c>
      <c r="L11" s="17">
        <v>3150</v>
      </c>
      <c r="M11" s="17">
        <v>3150</v>
      </c>
      <c r="N11" s="17">
        <v>3150</v>
      </c>
      <c r="O11" s="18">
        <f>SUM(C11:N11)</f>
        <v>31940</v>
      </c>
    </row>
    <row r="12" spans="1:15" ht="15" hidden="1" customHeight="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5" hidden="1" customHeight="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x14ac:dyDescent="0.2">
      <c r="A14" s="12"/>
      <c r="B14" s="13" t="s">
        <v>123</v>
      </c>
      <c r="C14" s="17">
        <v>3780</v>
      </c>
      <c r="D14" s="17">
        <v>3852</v>
      </c>
      <c r="E14" s="17">
        <v>3852</v>
      </c>
      <c r="F14" s="17">
        <v>3852</v>
      </c>
      <c r="G14" s="17">
        <v>3852</v>
      </c>
      <c r="H14" s="17">
        <v>3852</v>
      </c>
      <c r="I14" s="17">
        <v>3852</v>
      </c>
      <c r="J14" s="17">
        <v>3924</v>
      </c>
      <c r="K14" s="17">
        <v>3924</v>
      </c>
      <c r="L14" s="17">
        <v>3924</v>
      </c>
      <c r="M14" s="17">
        <v>3924</v>
      </c>
      <c r="N14" s="17">
        <v>3924</v>
      </c>
      <c r="O14" s="18">
        <f t="shared" si="0"/>
        <v>46512</v>
      </c>
    </row>
    <row r="15" spans="1:15" ht="16.5" customHeight="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x14ac:dyDescent="0.2">
      <c r="A16" s="12"/>
      <c r="B16" s="13" t="s">
        <v>125</v>
      </c>
      <c r="C16" s="17">
        <v>0</v>
      </c>
      <c r="D16" s="17">
        <v>0</v>
      </c>
      <c r="E16" s="17">
        <v>0</v>
      </c>
      <c r="F16" s="17">
        <v>0</v>
      </c>
      <c r="G16" s="17">
        <v>5000</v>
      </c>
      <c r="H16" s="17">
        <v>0</v>
      </c>
      <c r="I16" s="17">
        <v>0</v>
      </c>
      <c r="J16" s="17">
        <v>0</v>
      </c>
      <c r="K16" s="17">
        <v>0</v>
      </c>
      <c r="L16" s="17">
        <v>0</v>
      </c>
      <c r="M16" s="17">
        <v>0</v>
      </c>
      <c r="N16" s="17">
        <v>0</v>
      </c>
      <c r="O16" s="18">
        <f t="shared" si="0"/>
        <v>5000</v>
      </c>
    </row>
    <row r="17" spans="1:15" ht="15" hidden="1" customHeight="1" x14ac:dyDescent="0.2">
      <c r="A17" s="12"/>
      <c r="B17" s="166" t="s">
        <v>280</v>
      </c>
      <c r="C17" s="17">
        <v>0</v>
      </c>
      <c r="D17" s="17">
        <v>0</v>
      </c>
      <c r="E17" s="17">
        <v>0</v>
      </c>
      <c r="F17" s="17">
        <v>0</v>
      </c>
      <c r="G17" s="17">
        <v>0</v>
      </c>
      <c r="H17" s="17">
        <v>0</v>
      </c>
      <c r="I17" s="17">
        <v>0</v>
      </c>
      <c r="J17" s="17">
        <v>0</v>
      </c>
      <c r="K17" s="17">
        <v>0</v>
      </c>
      <c r="L17" s="17">
        <v>0</v>
      </c>
      <c r="M17" s="17">
        <v>0</v>
      </c>
      <c r="N17" s="17">
        <v>0</v>
      </c>
      <c r="O17" s="18">
        <f>SUM(C17:N17)</f>
        <v>0</v>
      </c>
    </row>
    <row r="18" spans="1:15" x14ac:dyDescent="0.2">
      <c r="A18" s="12"/>
      <c r="B18" s="166" t="s">
        <v>224</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0</v>
      </c>
      <c r="D19" s="17">
        <v>0</v>
      </c>
      <c r="E19" s="17">
        <v>0</v>
      </c>
      <c r="F19" s="17">
        <v>0</v>
      </c>
      <c r="G19" s="17">
        <v>0</v>
      </c>
      <c r="H19" s="17">
        <v>0</v>
      </c>
      <c r="I19" s="17">
        <v>0</v>
      </c>
      <c r="J19" s="17">
        <v>0</v>
      </c>
      <c r="K19" s="17">
        <v>0</v>
      </c>
      <c r="L19" s="17">
        <v>0</v>
      </c>
      <c r="M19" s="17">
        <v>0</v>
      </c>
      <c r="N19" s="17">
        <v>0</v>
      </c>
      <c r="O19" s="18">
        <f t="shared" si="0"/>
        <v>0</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78"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79"/>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5" ht="15" hidden="1" customHeight="1" x14ac:dyDescent="0.2">
      <c r="A23" s="879"/>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79"/>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79"/>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79"/>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79"/>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79"/>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79"/>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79"/>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79"/>
      <c r="B31" s="167" t="s">
        <v>246</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79"/>
      <c r="B32" s="21" t="s">
        <v>142</v>
      </c>
      <c r="C32" s="17">
        <v>0</v>
      </c>
      <c r="D32" s="17">
        <v>0</v>
      </c>
      <c r="E32" s="17">
        <v>0</v>
      </c>
      <c r="F32" s="17">
        <v>0</v>
      </c>
      <c r="G32" s="17">
        <v>0</v>
      </c>
      <c r="H32" s="17">
        <v>0</v>
      </c>
      <c r="I32" s="17">
        <v>0</v>
      </c>
      <c r="J32" s="17">
        <v>0</v>
      </c>
      <c r="K32" s="17">
        <v>0</v>
      </c>
      <c r="L32" s="17">
        <v>0</v>
      </c>
      <c r="M32" s="17">
        <v>0</v>
      </c>
      <c r="N32" s="17">
        <v>0</v>
      </c>
      <c r="O32" s="18">
        <f t="shared" si="0"/>
        <v>0</v>
      </c>
    </row>
    <row r="33" spans="1:16" ht="15" hidden="1" customHeight="1" x14ac:dyDescent="0.2">
      <c r="A33" s="880"/>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865" t="s">
        <v>144</v>
      </c>
      <c r="B34" s="866"/>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865" t="s">
        <v>145</v>
      </c>
      <c r="B35" s="866"/>
      <c r="C35" s="17">
        <v>0</v>
      </c>
      <c r="D35" s="17">
        <v>216</v>
      </c>
      <c r="E35" s="17">
        <v>0</v>
      </c>
      <c r="F35" s="17">
        <v>0</v>
      </c>
      <c r="G35" s="17">
        <v>0</v>
      </c>
      <c r="H35" s="17">
        <v>0</v>
      </c>
      <c r="I35" s="17">
        <v>0</v>
      </c>
      <c r="J35" s="17">
        <v>216</v>
      </c>
      <c r="K35" s="17">
        <v>0</v>
      </c>
      <c r="L35" s="17">
        <v>0</v>
      </c>
      <c r="M35" s="17">
        <v>0</v>
      </c>
      <c r="N35" s="17">
        <v>0</v>
      </c>
      <c r="O35" s="18">
        <f t="shared" si="0"/>
        <v>432</v>
      </c>
    </row>
    <row r="36" spans="1:16" ht="15" customHeight="1" x14ac:dyDescent="0.2">
      <c r="A36" s="865" t="s">
        <v>146</v>
      </c>
      <c r="B36" s="866"/>
      <c r="C36" s="17">
        <v>0</v>
      </c>
      <c r="D36" s="17">
        <v>2040</v>
      </c>
      <c r="E36" s="17">
        <v>0</v>
      </c>
      <c r="F36" s="17">
        <v>0</v>
      </c>
      <c r="G36" s="17">
        <v>0</v>
      </c>
      <c r="H36" s="17">
        <v>0</v>
      </c>
      <c r="I36" s="17">
        <v>0</v>
      </c>
      <c r="J36" s="17">
        <v>2100</v>
      </c>
      <c r="K36" s="17">
        <v>0</v>
      </c>
      <c r="L36" s="17">
        <v>0</v>
      </c>
      <c r="M36" s="17">
        <v>0</v>
      </c>
      <c r="N36" s="17">
        <v>0</v>
      </c>
      <c r="O36" s="18">
        <f t="shared" si="0"/>
        <v>4140</v>
      </c>
    </row>
    <row r="37" spans="1:16" ht="15" customHeight="1" x14ac:dyDescent="0.2">
      <c r="A37" s="22"/>
      <c r="B37" s="23" t="s">
        <v>147</v>
      </c>
      <c r="C37" s="24">
        <f t="shared" ref="C37:N37" si="1">SUM(C9:C36)</f>
        <v>39480</v>
      </c>
      <c r="D37" s="24">
        <f t="shared" si="1"/>
        <v>42488</v>
      </c>
      <c r="E37" s="24">
        <f t="shared" si="1"/>
        <v>40232</v>
      </c>
      <c r="F37" s="24">
        <f t="shared" si="1"/>
        <v>40232</v>
      </c>
      <c r="G37" s="24">
        <f t="shared" si="1"/>
        <v>46302</v>
      </c>
      <c r="H37" s="24">
        <f t="shared" si="1"/>
        <v>41302</v>
      </c>
      <c r="I37" s="24">
        <f t="shared" si="1"/>
        <v>41302</v>
      </c>
      <c r="J37" s="24">
        <f t="shared" si="1"/>
        <v>51298</v>
      </c>
      <c r="K37" s="24">
        <f t="shared" si="1"/>
        <v>42074</v>
      </c>
      <c r="L37" s="24">
        <f t="shared" si="1"/>
        <v>42074</v>
      </c>
      <c r="M37" s="24">
        <f t="shared" si="1"/>
        <v>42074</v>
      </c>
      <c r="N37" s="24">
        <f t="shared" si="1"/>
        <v>42074</v>
      </c>
      <c r="O37" s="25">
        <f>SUM(C37:N37)</f>
        <v>510932</v>
      </c>
    </row>
    <row r="38" spans="1:16" ht="15" customHeight="1" x14ac:dyDescent="0.2">
      <c r="A38" s="853" t="s">
        <v>148</v>
      </c>
      <c r="B38" s="27" t="s">
        <v>149</v>
      </c>
      <c r="C38" s="147">
        <v>0</v>
      </c>
      <c r="D38" s="147">
        <v>0</v>
      </c>
      <c r="E38" s="147">
        <v>0</v>
      </c>
      <c r="F38" s="147">
        <v>0</v>
      </c>
      <c r="G38" s="147">
        <v>0</v>
      </c>
      <c r="H38" s="147">
        <v>0</v>
      </c>
      <c r="I38" s="147">
        <v>0</v>
      </c>
      <c r="J38" s="147">
        <v>500</v>
      </c>
      <c r="K38" s="147">
        <v>0</v>
      </c>
      <c r="L38" s="147">
        <v>0</v>
      </c>
      <c r="M38" s="147">
        <v>0</v>
      </c>
      <c r="N38" s="147">
        <v>800</v>
      </c>
      <c r="O38" s="18">
        <f>SUM(C38:N38)</f>
        <v>1300</v>
      </c>
    </row>
    <row r="39" spans="1:16" ht="15" customHeight="1" x14ac:dyDescent="0.2">
      <c r="A39" s="854"/>
      <c r="B39" s="27" t="s">
        <v>150</v>
      </c>
      <c r="C39" s="147">
        <v>0</v>
      </c>
      <c r="D39" s="147">
        <v>0</v>
      </c>
      <c r="E39" s="147">
        <v>0</v>
      </c>
      <c r="F39" s="147">
        <v>0</v>
      </c>
      <c r="G39" s="147">
        <v>0</v>
      </c>
      <c r="H39" s="147">
        <v>0</v>
      </c>
      <c r="I39" s="147">
        <v>0</v>
      </c>
      <c r="J39" s="147">
        <v>0</v>
      </c>
      <c r="K39" s="147">
        <v>0</v>
      </c>
      <c r="L39" s="147">
        <v>0</v>
      </c>
      <c r="M39" s="147">
        <v>0</v>
      </c>
      <c r="N39" s="147">
        <v>0</v>
      </c>
      <c r="O39" s="18">
        <f>SUM(C39:N39)</f>
        <v>0</v>
      </c>
      <c r="P39" s="29"/>
    </row>
    <row r="40" spans="1:16" ht="15" x14ac:dyDescent="0.2">
      <c r="A40" s="854"/>
      <c r="B40" s="27" t="s">
        <v>151</v>
      </c>
      <c r="C40" s="147">
        <v>30</v>
      </c>
      <c r="D40" s="147">
        <v>30</v>
      </c>
      <c r="E40" s="147">
        <v>30</v>
      </c>
      <c r="F40" s="147">
        <v>30</v>
      </c>
      <c r="G40" s="147">
        <v>30</v>
      </c>
      <c r="H40" s="147">
        <v>30</v>
      </c>
      <c r="I40" s="147">
        <v>30</v>
      </c>
      <c r="J40" s="147">
        <v>30</v>
      </c>
      <c r="K40" s="147">
        <v>30</v>
      </c>
      <c r="L40" s="147">
        <v>30</v>
      </c>
      <c r="M40" s="147">
        <v>30</v>
      </c>
      <c r="N40" s="147">
        <v>30</v>
      </c>
      <c r="O40" s="18">
        <f t="shared" ref="O40:O51" si="2">SUM(C40:N40)</f>
        <v>360</v>
      </c>
    </row>
    <row r="41" spans="1:16" ht="15" x14ac:dyDescent="0.2">
      <c r="A41" s="854"/>
      <c r="B41" s="27" t="s">
        <v>152</v>
      </c>
      <c r="C41" s="147">
        <v>0</v>
      </c>
      <c r="D41" s="147">
        <v>0</v>
      </c>
      <c r="E41" s="147">
        <v>0</v>
      </c>
      <c r="F41" s="147">
        <v>0</v>
      </c>
      <c r="G41" s="147">
        <v>0</v>
      </c>
      <c r="H41" s="147">
        <v>0</v>
      </c>
      <c r="I41" s="147">
        <v>0</v>
      </c>
      <c r="J41" s="147">
        <v>0</v>
      </c>
      <c r="K41" s="147">
        <v>0</v>
      </c>
      <c r="L41" s="147">
        <v>0</v>
      </c>
      <c r="M41" s="147">
        <v>0</v>
      </c>
      <c r="N41" s="147">
        <v>0</v>
      </c>
      <c r="O41" s="18">
        <f t="shared" si="2"/>
        <v>0</v>
      </c>
    </row>
    <row r="42" spans="1:16" ht="15" x14ac:dyDescent="0.2">
      <c r="A42" s="854"/>
      <c r="B42" s="27" t="s">
        <v>153</v>
      </c>
      <c r="C42" s="147">
        <v>250</v>
      </c>
      <c r="D42" s="147">
        <v>250</v>
      </c>
      <c r="E42" s="147">
        <v>250</v>
      </c>
      <c r="F42" s="147">
        <v>250</v>
      </c>
      <c r="G42" s="147">
        <v>250</v>
      </c>
      <c r="H42" s="147">
        <v>250</v>
      </c>
      <c r="I42" s="147">
        <v>250</v>
      </c>
      <c r="J42" s="147">
        <v>250</v>
      </c>
      <c r="K42" s="147">
        <v>250</v>
      </c>
      <c r="L42" s="147">
        <v>250</v>
      </c>
      <c r="M42" s="147">
        <v>250</v>
      </c>
      <c r="N42" s="147">
        <v>250</v>
      </c>
      <c r="O42" s="18">
        <f t="shared" si="2"/>
        <v>3000</v>
      </c>
    </row>
    <row r="43" spans="1:16" ht="15" x14ac:dyDescent="0.2">
      <c r="A43" s="854"/>
      <c r="B43" s="27" t="s">
        <v>154</v>
      </c>
      <c r="C43" s="147">
        <v>8000</v>
      </c>
      <c r="D43" s="147">
        <v>8000</v>
      </c>
      <c r="E43" s="147">
        <v>8000</v>
      </c>
      <c r="F43" s="147">
        <v>8000</v>
      </c>
      <c r="G43" s="147">
        <v>8000</v>
      </c>
      <c r="H43" s="147">
        <v>8000</v>
      </c>
      <c r="I43" s="147">
        <v>8000</v>
      </c>
      <c r="J43" s="147">
        <v>8000</v>
      </c>
      <c r="K43" s="147">
        <v>8000</v>
      </c>
      <c r="L43" s="147">
        <v>8000</v>
      </c>
      <c r="M43" s="147">
        <v>8000</v>
      </c>
      <c r="N43" s="147">
        <v>8000</v>
      </c>
      <c r="O43" s="18">
        <f>SUM(C43:N43)</f>
        <v>96000</v>
      </c>
    </row>
    <row r="44" spans="1:16" ht="15" x14ac:dyDescent="0.2">
      <c r="A44" s="854"/>
      <c r="B44" s="27" t="s">
        <v>155</v>
      </c>
      <c r="C44" s="147">
        <v>200</v>
      </c>
      <c r="D44" s="147">
        <v>200</v>
      </c>
      <c r="E44" s="147">
        <v>200</v>
      </c>
      <c r="F44" s="147">
        <v>200</v>
      </c>
      <c r="G44" s="147">
        <v>200</v>
      </c>
      <c r="H44" s="147">
        <v>200</v>
      </c>
      <c r="I44" s="147">
        <v>200</v>
      </c>
      <c r="J44" s="147">
        <v>200</v>
      </c>
      <c r="K44" s="147">
        <v>200</v>
      </c>
      <c r="L44" s="147">
        <v>200</v>
      </c>
      <c r="M44" s="147">
        <v>200</v>
      </c>
      <c r="N44" s="147">
        <v>300</v>
      </c>
      <c r="O44" s="18">
        <f t="shared" si="2"/>
        <v>2500</v>
      </c>
    </row>
    <row r="45" spans="1:16" ht="15" x14ac:dyDescent="0.2">
      <c r="A45" s="854"/>
      <c r="B45" s="27" t="s">
        <v>281</v>
      </c>
      <c r="C45" s="147">
        <v>363</v>
      </c>
      <c r="D45" s="147">
        <v>363</v>
      </c>
      <c r="E45" s="147">
        <v>363</v>
      </c>
      <c r="F45" s="147">
        <v>363</v>
      </c>
      <c r="G45" s="147">
        <v>363</v>
      </c>
      <c r="H45" s="147">
        <v>363</v>
      </c>
      <c r="I45" s="147">
        <v>363</v>
      </c>
      <c r="J45" s="147">
        <v>363</v>
      </c>
      <c r="K45" s="147">
        <v>363</v>
      </c>
      <c r="L45" s="147">
        <v>363</v>
      </c>
      <c r="M45" s="147">
        <v>363</v>
      </c>
      <c r="N45" s="147">
        <v>363</v>
      </c>
      <c r="O45" s="18">
        <f t="shared" si="2"/>
        <v>4356</v>
      </c>
    </row>
    <row r="46" spans="1:16" ht="15" x14ac:dyDescent="0.2">
      <c r="A46" s="854"/>
      <c r="B46" s="27" t="s">
        <v>157</v>
      </c>
      <c r="C46" s="147">
        <v>0</v>
      </c>
      <c r="D46" s="147">
        <v>0</v>
      </c>
      <c r="E46" s="147">
        <v>0</v>
      </c>
      <c r="F46" s="147">
        <v>0</v>
      </c>
      <c r="G46" s="147">
        <v>0</v>
      </c>
      <c r="H46" s="147">
        <v>0</v>
      </c>
      <c r="I46" s="147">
        <v>0</v>
      </c>
      <c r="J46" s="147">
        <v>0</v>
      </c>
      <c r="K46" s="147">
        <v>0</v>
      </c>
      <c r="L46" s="147">
        <v>0</v>
      </c>
      <c r="M46" s="147">
        <v>0</v>
      </c>
      <c r="N46" s="147">
        <v>0</v>
      </c>
      <c r="O46" s="18">
        <f t="shared" si="2"/>
        <v>0</v>
      </c>
    </row>
    <row r="47" spans="1:16" ht="15" x14ac:dyDescent="0.2">
      <c r="A47" s="854"/>
      <c r="B47" s="27" t="s">
        <v>282</v>
      </c>
      <c r="C47" s="147">
        <v>500</v>
      </c>
      <c r="D47" s="147">
        <v>500</v>
      </c>
      <c r="E47" s="147">
        <v>500</v>
      </c>
      <c r="F47" s="147">
        <v>500</v>
      </c>
      <c r="G47" s="147">
        <v>500</v>
      </c>
      <c r="H47" s="147">
        <v>500</v>
      </c>
      <c r="I47" s="147">
        <v>500</v>
      </c>
      <c r="J47" s="147">
        <v>500</v>
      </c>
      <c r="K47" s="147">
        <v>500</v>
      </c>
      <c r="L47" s="147">
        <v>500</v>
      </c>
      <c r="M47" s="147">
        <v>500</v>
      </c>
      <c r="N47" s="147">
        <v>500</v>
      </c>
      <c r="O47" s="18">
        <f>SUM(C47:N47)</f>
        <v>6000</v>
      </c>
    </row>
    <row r="48" spans="1:16" ht="28.5" customHeight="1" x14ac:dyDescent="0.2">
      <c r="A48" s="855"/>
      <c r="B48" s="168" t="s">
        <v>158</v>
      </c>
      <c r="C48" s="147">
        <v>300</v>
      </c>
      <c r="D48" s="147">
        <v>300</v>
      </c>
      <c r="E48" s="147">
        <v>300</v>
      </c>
      <c r="F48" s="147">
        <v>300</v>
      </c>
      <c r="G48" s="147">
        <v>300</v>
      </c>
      <c r="H48" s="147">
        <v>300</v>
      </c>
      <c r="I48" s="147">
        <v>300</v>
      </c>
      <c r="J48" s="147">
        <v>300</v>
      </c>
      <c r="K48" s="147">
        <v>300</v>
      </c>
      <c r="L48" s="147">
        <v>300</v>
      </c>
      <c r="M48" s="147">
        <v>300</v>
      </c>
      <c r="N48" s="147">
        <v>300</v>
      </c>
      <c r="O48" s="31">
        <f t="shared" si="2"/>
        <v>3600</v>
      </c>
    </row>
    <row r="49" spans="1:18" ht="15.75" customHeight="1" x14ac:dyDescent="0.2">
      <c r="A49" s="856"/>
      <c r="B49" s="169" t="s">
        <v>283</v>
      </c>
      <c r="C49" s="147">
        <v>0</v>
      </c>
      <c r="D49" s="147">
        <v>0</v>
      </c>
      <c r="E49" s="147">
        <v>0</v>
      </c>
      <c r="F49" s="147">
        <v>0</v>
      </c>
      <c r="G49" s="147">
        <v>0</v>
      </c>
      <c r="H49" s="147">
        <v>0</v>
      </c>
      <c r="I49" s="147">
        <v>0</v>
      </c>
      <c r="J49" s="147">
        <v>0</v>
      </c>
      <c r="K49" s="147">
        <v>0</v>
      </c>
      <c r="L49" s="147">
        <v>0</v>
      </c>
      <c r="M49" s="147">
        <v>0</v>
      </c>
      <c r="N49" s="147">
        <v>0</v>
      </c>
      <c r="O49" s="31">
        <f t="shared" si="2"/>
        <v>0</v>
      </c>
    </row>
    <row r="50" spans="1:18" ht="15" x14ac:dyDescent="0.2">
      <c r="A50" s="857" t="s">
        <v>160</v>
      </c>
      <c r="B50" s="858"/>
      <c r="C50" s="33">
        <f t="shared" ref="C50:N50" si="3">SUM(C38:C49)</f>
        <v>9643</v>
      </c>
      <c r="D50" s="33">
        <f t="shared" si="3"/>
        <v>9643</v>
      </c>
      <c r="E50" s="33">
        <f t="shared" si="3"/>
        <v>9643</v>
      </c>
      <c r="F50" s="33">
        <f t="shared" si="3"/>
        <v>9643</v>
      </c>
      <c r="G50" s="33">
        <f t="shared" si="3"/>
        <v>9643</v>
      </c>
      <c r="H50" s="33">
        <f t="shared" si="3"/>
        <v>9643</v>
      </c>
      <c r="I50" s="33">
        <f t="shared" si="3"/>
        <v>9643</v>
      </c>
      <c r="J50" s="33">
        <f t="shared" si="3"/>
        <v>10143</v>
      </c>
      <c r="K50" s="33">
        <f t="shared" si="3"/>
        <v>9643</v>
      </c>
      <c r="L50" s="33">
        <f t="shared" si="3"/>
        <v>9643</v>
      </c>
      <c r="M50" s="33">
        <f t="shared" si="3"/>
        <v>9643</v>
      </c>
      <c r="N50" s="33">
        <f t="shared" si="3"/>
        <v>10543</v>
      </c>
      <c r="O50" s="34">
        <f t="shared" si="2"/>
        <v>117116</v>
      </c>
    </row>
    <row r="51" spans="1:18" ht="15.75" thickBot="1" x14ac:dyDescent="0.25">
      <c r="A51" s="859" t="s">
        <v>161</v>
      </c>
      <c r="B51" s="860"/>
      <c r="C51" s="35">
        <f t="shared" ref="C51:N51" si="4">C37-C50</f>
        <v>29837</v>
      </c>
      <c r="D51" s="35">
        <f t="shared" si="4"/>
        <v>32845</v>
      </c>
      <c r="E51" s="35">
        <f t="shared" si="4"/>
        <v>30589</v>
      </c>
      <c r="F51" s="35">
        <f t="shared" si="4"/>
        <v>30589</v>
      </c>
      <c r="G51" s="35">
        <f t="shared" si="4"/>
        <v>36659</v>
      </c>
      <c r="H51" s="35">
        <f t="shared" si="4"/>
        <v>31659</v>
      </c>
      <c r="I51" s="35">
        <f t="shared" si="4"/>
        <v>31659</v>
      </c>
      <c r="J51" s="35">
        <f t="shared" si="4"/>
        <v>41155</v>
      </c>
      <c r="K51" s="35">
        <f t="shared" si="4"/>
        <v>32431</v>
      </c>
      <c r="L51" s="35">
        <f t="shared" si="4"/>
        <v>32431</v>
      </c>
      <c r="M51" s="35">
        <f t="shared" si="4"/>
        <v>32431</v>
      </c>
      <c r="N51" s="35">
        <f t="shared" si="4"/>
        <v>31531</v>
      </c>
      <c r="O51" s="36">
        <f t="shared" si="2"/>
        <v>393816</v>
      </c>
      <c r="Q51" s="16">
        <f>15520+15220+14504+4084+16131+16251+17538*2+14163+3930+3454+15473*4+15373</f>
        <v>215598</v>
      </c>
    </row>
    <row r="52" spans="1:18" x14ac:dyDescent="0.2">
      <c r="J52" s="128">
        <f>+J38-SUM(J22:J37)</f>
        <v>-60022</v>
      </c>
      <c r="L52" s="38"/>
    </row>
    <row r="53" spans="1:18" ht="13.5" thickBot="1" x14ac:dyDescent="0.25">
      <c r="J53" s="38">
        <f>+J52-J50</f>
        <v>-70165</v>
      </c>
    </row>
    <row r="54" spans="1:18" ht="13.5" thickBot="1" x14ac:dyDescent="0.25">
      <c r="B54" s="789" t="s">
        <v>162</v>
      </c>
      <c r="C54" s="861"/>
      <c r="D54" s="861"/>
      <c r="E54" s="861"/>
      <c r="F54" s="862"/>
      <c r="G54" s="863">
        <f>O37</f>
        <v>510932</v>
      </c>
      <c r="H54" s="864"/>
    </row>
    <row r="55" spans="1:18" ht="13.5" thickBot="1" x14ac:dyDescent="0.25">
      <c r="J55" s="38">
        <f>I51-I50</f>
        <v>22016</v>
      </c>
    </row>
    <row r="56" spans="1:18" x14ac:dyDescent="0.2">
      <c r="B56" s="830" t="s">
        <v>163</v>
      </c>
      <c r="C56" s="833" t="s">
        <v>164</v>
      </c>
      <c r="D56" s="836" t="s">
        <v>229</v>
      </c>
      <c r="E56" s="837"/>
      <c r="F56" s="838"/>
      <c r="G56" s="839">
        <v>40000</v>
      </c>
      <c r="H56" s="840"/>
      <c r="J56" s="16">
        <f>6518-6638</f>
        <v>-120</v>
      </c>
    </row>
    <row r="57" spans="1:18" x14ac:dyDescent="0.2">
      <c r="B57" s="831"/>
      <c r="C57" s="834"/>
      <c r="D57" s="841" t="s">
        <v>166</v>
      </c>
      <c r="E57" s="842"/>
      <c r="F57" s="843"/>
      <c r="G57" s="844">
        <f>+O45</f>
        <v>4356</v>
      </c>
      <c r="H57" s="845"/>
      <c r="I57" s="39"/>
      <c r="J57" s="1054">
        <f>I51-6638</f>
        <v>25021</v>
      </c>
      <c r="K57" s="846"/>
      <c r="L57" s="846"/>
      <c r="M57" s="847"/>
      <c r="N57" s="847"/>
      <c r="O57" s="847"/>
    </row>
    <row r="58" spans="1:18" ht="13.5" thickBot="1" x14ac:dyDescent="0.25">
      <c r="B58" s="832"/>
      <c r="C58" s="835"/>
      <c r="D58" s="848" t="s">
        <v>167</v>
      </c>
      <c r="E58" s="849"/>
      <c r="F58" s="850"/>
      <c r="G58" s="851">
        <f>IF(O18&gt;15000,15000,+O18)</f>
        <v>0</v>
      </c>
      <c r="H58" s="852"/>
      <c r="J58" s="47"/>
      <c r="K58" s="47"/>
      <c r="L58" s="47"/>
      <c r="M58" s="47"/>
      <c r="N58" s="47"/>
      <c r="O58" s="47"/>
    </row>
    <row r="59" spans="1:18" ht="13.5" thickBot="1" x14ac:dyDescent="0.25">
      <c r="B59" s="48"/>
      <c r="J59" s="47"/>
      <c r="K59" s="47"/>
      <c r="L59" s="47"/>
      <c r="M59" s="47"/>
      <c r="N59" s="47"/>
      <c r="O59" s="47"/>
    </row>
    <row r="60" spans="1:18" ht="13.5" thickBot="1" x14ac:dyDescent="0.25">
      <c r="B60" s="789" t="s">
        <v>168</v>
      </c>
      <c r="C60" s="790"/>
      <c r="D60" s="790"/>
      <c r="E60" s="790"/>
      <c r="F60" s="791"/>
      <c r="G60" s="825">
        <f>+G54-SUM(G56:H58)</f>
        <v>466576</v>
      </c>
      <c r="H60" s="826"/>
      <c r="J60" s="827" t="s">
        <v>169</v>
      </c>
      <c r="K60" s="828"/>
      <c r="L60" s="828"/>
      <c r="M60" s="828"/>
      <c r="N60" s="828"/>
      <c r="O60" s="829"/>
    </row>
    <row r="61" spans="1:18" ht="13.5" thickBot="1" x14ac:dyDescent="0.25">
      <c r="B61" s="49"/>
      <c r="C61" s="50"/>
      <c r="D61" s="50"/>
      <c r="E61" s="50"/>
      <c r="F61" s="50"/>
      <c r="G61" s="45"/>
      <c r="H61" s="50"/>
      <c r="J61" s="129"/>
      <c r="K61" s="130"/>
      <c r="L61" s="130"/>
      <c r="M61" s="130"/>
      <c r="N61" s="130"/>
      <c r="O61" s="131"/>
    </row>
    <row r="62" spans="1:18" ht="13.5" thickBot="1" x14ac:dyDescent="0.25">
      <c r="B62" s="789" t="s">
        <v>170</v>
      </c>
      <c r="C62" s="790"/>
      <c r="D62" s="790"/>
      <c r="E62" s="790"/>
      <c r="F62" s="791"/>
      <c r="G62" s="805"/>
      <c r="H62" s="791"/>
      <c r="J62" s="129"/>
      <c r="K62" s="130"/>
      <c r="L62" s="130"/>
      <c r="M62" s="130"/>
      <c r="N62" s="130"/>
      <c r="O62" s="131"/>
    </row>
    <row r="63" spans="1:18" ht="12.75" customHeight="1" x14ac:dyDescent="0.2">
      <c r="B63" s="57" t="s">
        <v>171</v>
      </c>
      <c r="C63" s="806" t="s">
        <v>172</v>
      </c>
      <c r="D63" s="807"/>
      <c r="E63" s="807"/>
      <c r="F63" s="808"/>
      <c r="G63" s="809">
        <v>0</v>
      </c>
      <c r="H63" s="809"/>
      <c r="I63" s="58"/>
      <c r="J63" s="810" t="s">
        <v>173</v>
      </c>
      <c r="K63" s="811"/>
      <c r="L63" s="811"/>
      <c r="M63" s="811"/>
      <c r="N63" s="811"/>
      <c r="O63" s="812"/>
      <c r="Q63" s="59"/>
      <c r="R63" s="59"/>
    </row>
    <row r="64" spans="1:18" ht="13.5" thickBot="1" x14ac:dyDescent="0.25">
      <c r="D64" s="37"/>
      <c r="I64" s="58"/>
      <c r="J64" s="60" t="s">
        <v>284</v>
      </c>
      <c r="K64" s="132"/>
      <c r="L64" s="132"/>
      <c r="M64" s="133"/>
      <c r="N64" s="133" t="s">
        <v>285</v>
      </c>
      <c r="O64" s="134">
        <v>0</v>
      </c>
      <c r="Q64" s="59"/>
      <c r="R64" s="59"/>
    </row>
    <row r="65" spans="2:18" ht="13.5" thickBot="1" x14ac:dyDescent="0.25">
      <c r="B65" s="789" t="s">
        <v>175</v>
      </c>
      <c r="C65" s="790"/>
      <c r="D65" s="790"/>
      <c r="E65" s="790"/>
      <c r="F65" s="791"/>
      <c r="G65" s="805">
        <f>+G60-G63</f>
        <v>466576</v>
      </c>
      <c r="H65" s="791"/>
      <c r="I65" s="63"/>
      <c r="J65" s="75" t="s">
        <v>286</v>
      </c>
      <c r="K65" s="39"/>
      <c r="L65" s="39"/>
      <c r="M65" s="39"/>
      <c r="N65" s="39"/>
      <c r="O65" s="65">
        <v>0</v>
      </c>
      <c r="Q65" s="59"/>
      <c r="R65" s="59"/>
    </row>
    <row r="66" spans="2:18" ht="12.75" customHeight="1" x14ac:dyDescent="0.2">
      <c r="B66" s="48"/>
      <c r="C66" s="48"/>
      <c r="I66" s="63"/>
      <c r="J66" s="64"/>
      <c r="K66" s="39"/>
      <c r="L66" s="39"/>
      <c r="M66" s="39"/>
      <c r="N66" s="39"/>
      <c r="O66" s="65"/>
      <c r="Q66" s="59"/>
      <c r="R66" s="59"/>
    </row>
    <row r="67" spans="2:18" x14ac:dyDescent="0.2">
      <c r="B67" s="66" t="s">
        <v>176</v>
      </c>
      <c r="C67" s="48"/>
      <c r="I67" s="63"/>
      <c r="J67" s="67"/>
      <c r="K67" s="68"/>
      <c r="L67" s="68"/>
      <c r="M67" s="68"/>
      <c r="N67" s="68"/>
      <c r="O67" s="69"/>
      <c r="Q67" s="59"/>
      <c r="R67" s="59"/>
    </row>
    <row r="68" spans="2:18" ht="26.25" customHeight="1" thickBot="1" x14ac:dyDescent="0.25">
      <c r="B68" s="66"/>
      <c r="C68" s="48"/>
      <c r="G68" s="70" t="s">
        <v>177</v>
      </c>
      <c r="H68" s="70" t="s">
        <v>178</v>
      </c>
      <c r="I68" s="63"/>
      <c r="J68" s="810" t="s">
        <v>179</v>
      </c>
      <c r="K68" s="811"/>
      <c r="L68" s="71"/>
      <c r="M68" s="71"/>
      <c r="N68" s="71"/>
      <c r="O68" s="72"/>
      <c r="Q68" s="59"/>
      <c r="R68" s="59"/>
    </row>
    <row r="69" spans="2:18" ht="12.75" customHeight="1" x14ac:dyDescent="0.2">
      <c r="B69" s="802" t="s">
        <v>180</v>
      </c>
      <c r="C69" s="821" t="s">
        <v>181</v>
      </c>
      <c r="D69" s="823" t="s">
        <v>182</v>
      </c>
      <c r="E69" s="824"/>
      <c r="F69" s="824"/>
      <c r="G69" s="73">
        <f>+O43</f>
        <v>96000</v>
      </c>
      <c r="H69" s="74">
        <f t="shared" ref="H69:H77" si="5">+G69</f>
        <v>96000</v>
      </c>
      <c r="I69" s="63"/>
      <c r="J69" s="75" t="s">
        <v>231</v>
      </c>
      <c r="K69" s="58"/>
      <c r="L69" s="58"/>
      <c r="M69" s="58" t="s">
        <v>232</v>
      </c>
      <c r="N69" s="58" t="s">
        <v>233</v>
      </c>
      <c r="O69" s="76">
        <f>O48</f>
        <v>3600</v>
      </c>
      <c r="Q69" s="59"/>
      <c r="R69" s="59"/>
    </row>
    <row r="70" spans="2:18" ht="12.75" customHeight="1" x14ac:dyDescent="0.2">
      <c r="B70" s="803"/>
      <c r="C70" s="822"/>
      <c r="D70" s="782" t="s">
        <v>184</v>
      </c>
      <c r="E70" s="783"/>
      <c r="F70" s="783"/>
      <c r="G70" s="77">
        <f>+O48</f>
        <v>3600</v>
      </c>
      <c r="H70" s="78">
        <f t="shared" si="5"/>
        <v>3600</v>
      </c>
      <c r="I70" s="63"/>
      <c r="J70" s="79"/>
      <c r="K70" s="68"/>
      <c r="L70" s="68"/>
      <c r="M70" s="68"/>
      <c r="N70" s="68"/>
      <c r="O70" s="69"/>
      <c r="Q70" s="59"/>
      <c r="R70" s="59"/>
    </row>
    <row r="71" spans="2:18" ht="12.75" customHeight="1" x14ac:dyDescent="0.2">
      <c r="B71" s="803"/>
      <c r="C71" s="822"/>
      <c r="D71" s="819" t="s">
        <v>185</v>
      </c>
      <c r="E71" s="820"/>
      <c r="F71" s="820"/>
      <c r="G71" s="80">
        <f>O41</f>
        <v>0</v>
      </c>
      <c r="H71" s="78">
        <f t="shared" si="5"/>
        <v>0</v>
      </c>
      <c r="I71" s="63"/>
      <c r="J71" s="67"/>
      <c r="K71" s="68"/>
      <c r="L71" s="68"/>
      <c r="M71" s="68"/>
      <c r="N71" s="68"/>
      <c r="O71" s="69"/>
    </row>
    <row r="72" spans="2:18" x14ac:dyDescent="0.2">
      <c r="B72" s="803"/>
      <c r="C72" s="822"/>
      <c r="D72" s="782" t="s">
        <v>186</v>
      </c>
      <c r="E72" s="783"/>
      <c r="F72" s="783"/>
      <c r="G72" s="81">
        <v>0</v>
      </c>
      <c r="H72" s="78">
        <f t="shared" si="5"/>
        <v>0</v>
      </c>
      <c r="I72" s="63"/>
      <c r="J72" s="82" t="s">
        <v>187</v>
      </c>
      <c r="K72" s="71"/>
      <c r="L72" s="71"/>
      <c r="M72" s="71"/>
      <c r="N72" s="71"/>
      <c r="O72" s="72"/>
    </row>
    <row r="73" spans="2:18" ht="12.75" customHeight="1" x14ac:dyDescent="0.2">
      <c r="B73" s="803"/>
      <c r="C73" s="822"/>
      <c r="D73" s="784" t="s">
        <v>188</v>
      </c>
      <c r="E73" s="783"/>
      <c r="F73" s="783"/>
      <c r="G73" s="80">
        <v>0</v>
      </c>
      <c r="H73" s="78">
        <f t="shared" si="5"/>
        <v>0</v>
      </c>
      <c r="I73" s="63"/>
      <c r="J73" s="75" t="s">
        <v>189</v>
      </c>
      <c r="K73" s="50"/>
      <c r="L73" s="50"/>
      <c r="M73" s="50"/>
      <c r="N73" s="50"/>
      <c r="O73" s="83">
        <f>O43</f>
        <v>96000</v>
      </c>
    </row>
    <row r="74" spans="2:18" ht="14.25" customHeight="1" x14ac:dyDescent="0.2">
      <c r="B74" s="803"/>
      <c r="C74" s="822"/>
      <c r="D74" s="782" t="s">
        <v>190</v>
      </c>
      <c r="E74" s="783"/>
      <c r="F74" s="783"/>
      <c r="G74" s="84">
        <v>0</v>
      </c>
      <c r="H74" s="78">
        <f t="shared" si="5"/>
        <v>0</v>
      </c>
      <c r="I74" s="63"/>
      <c r="J74" s="75"/>
      <c r="K74" s="39"/>
      <c r="L74" s="39"/>
      <c r="M74" s="39"/>
      <c r="N74" s="39"/>
      <c r="O74" s="65"/>
    </row>
    <row r="75" spans="2:18" x14ac:dyDescent="0.2">
      <c r="B75" s="803"/>
      <c r="C75" s="822"/>
      <c r="D75" s="782" t="s">
        <v>191</v>
      </c>
      <c r="E75" s="783"/>
      <c r="F75" s="783"/>
      <c r="G75" s="81">
        <v>32503</v>
      </c>
      <c r="H75" s="78">
        <f>+G75</f>
        <v>32503</v>
      </c>
      <c r="I75" s="58"/>
      <c r="J75" s="137"/>
      <c r="K75" s="50"/>
      <c r="L75" s="50"/>
      <c r="M75" s="50"/>
      <c r="N75" s="50"/>
      <c r="O75" s="83"/>
    </row>
    <row r="76" spans="2:18" x14ac:dyDescent="0.2">
      <c r="B76" s="803"/>
      <c r="C76" s="88" t="s">
        <v>192</v>
      </c>
      <c r="D76" s="813" t="s">
        <v>193</v>
      </c>
      <c r="E76" s="814"/>
      <c r="F76" s="814"/>
      <c r="G76" s="80">
        <v>0</v>
      </c>
      <c r="H76" s="78">
        <f>+G76</f>
        <v>0</v>
      </c>
      <c r="I76" s="58"/>
      <c r="J76" s="85"/>
      <c r="K76" s="138"/>
      <c r="L76" s="138"/>
      <c r="M76" s="138"/>
      <c r="N76" s="138"/>
      <c r="O76" s="139"/>
    </row>
    <row r="77" spans="2:18" ht="13.5" customHeight="1" thickBot="1" x14ac:dyDescent="0.25">
      <c r="B77" s="803"/>
      <c r="C77" s="88" t="s">
        <v>194</v>
      </c>
      <c r="D77" s="815" t="s">
        <v>195</v>
      </c>
      <c r="E77" s="815"/>
      <c r="F77" s="815"/>
      <c r="G77" s="89">
        <v>0</v>
      </c>
      <c r="H77" s="90">
        <f t="shared" si="5"/>
        <v>0</v>
      </c>
      <c r="I77" s="63"/>
      <c r="J77" s="75"/>
      <c r="K77" s="68"/>
      <c r="L77" s="68"/>
      <c r="M77" s="91"/>
      <c r="N77" s="91"/>
      <c r="O77" s="92"/>
    </row>
    <row r="78" spans="2:18" ht="13.5" thickBot="1" x14ac:dyDescent="0.25">
      <c r="B78" s="803"/>
      <c r="C78" s="93"/>
      <c r="D78" s="94"/>
      <c r="E78" s="816" t="s">
        <v>117</v>
      </c>
      <c r="F78" s="817"/>
      <c r="G78" s="95">
        <f>SUM(G69:G77)</f>
        <v>132103</v>
      </c>
      <c r="H78" s="96">
        <f>IF(SUM(G69:G75)&lt;150000,SUM(G69:G75),150000)+IF(+G76&lt;20000,+G76,20000)</f>
        <v>132103</v>
      </c>
      <c r="I78" s="63"/>
      <c r="J78" s="140"/>
      <c r="K78" s="141"/>
      <c r="L78" s="141"/>
      <c r="M78" s="142"/>
      <c r="N78" s="142"/>
      <c r="O78" s="143"/>
    </row>
    <row r="79" spans="2:18" ht="12.75" customHeight="1" x14ac:dyDescent="0.2">
      <c r="B79" s="803"/>
      <c r="C79" s="100" t="s">
        <v>196</v>
      </c>
      <c r="D79" s="782" t="s">
        <v>187</v>
      </c>
      <c r="E79" s="783"/>
      <c r="F79" s="818"/>
      <c r="G79" s="73">
        <v>9600</v>
      </c>
      <c r="H79" s="101">
        <f>+IF(+G79&lt;25000,+G79,25000)</f>
        <v>9600</v>
      </c>
      <c r="I79" s="87"/>
    </row>
    <row r="80" spans="2:18" x14ac:dyDescent="0.2">
      <c r="B80" s="803"/>
      <c r="C80" s="100" t="s">
        <v>197</v>
      </c>
      <c r="D80" s="784" t="s">
        <v>198</v>
      </c>
      <c r="E80" s="785"/>
      <c r="F80" s="786"/>
      <c r="G80" s="102"/>
      <c r="H80" s="103">
        <f>+IF(+G80&lt;40000,+G80,40000)</f>
        <v>0</v>
      </c>
      <c r="I80" s="63"/>
    </row>
    <row r="81" spans="2:12" x14ac:dyDescent="0.2">
      <c r="B81" s="803"/>
      <c r="C81" s="100" t="s">
        <v>199</v>
      </c>
      <c r="D81" s="784" t="s">
        <v>200</v>
      </c>
      <c r="E81" s="785"/>
      <c r="F81" s="786"/>
      <c r="G81" s="81"/>
      <c r="H81" s="104">
        <v>0</v>
      </c>
      <c r="I81" s="63"/>
      <c r="J81" s="106"/>
    </row>
    <row r="82" spans="2:12" x14ac:dyDescent="0.2">
      <c r="B82" s="803"/>
      <c r="C82" s="100" t="s">
        <v>201</v>
      </c>
      <c r="D82" s="784" t="s">
        <v>202</v>
      </c>
      <c r="E82" s="785"/>
      <c r="F82" s="786"/>
      <c r="G82" s="81"/>
      <c r="H82" s="104">
        <v>0</v>
      </c>
      <c r="I82" s="63"/>
    </row>
    <row r="83" spans="2:12" ht="13.5" thickBot="1" x14ac:dyDescent="0.25">
      <c r="B83" s="804"/>
      <c r="C83" s="100" t="s">
        <v>203</v>
      </c>
      <c r="D83" s="784" t="s">
        <v>204</v>
      </c>
      <c r="E83" s="785"/>
      <c r="F83" s="786"/>
      <c r="G83" s="102"/>
      <c r="H83" s="103">
        <f>+IF(+G83&lt;100000,+G83,10000)</f>
        <v>0</v>
      </c>
      <c r="I83" s="63"/>
    </row>
    <row r="84" spans="2:12" ht="13.5" thickBot="1" x14ac:dyDescent="0.25">
      <c r="B84" s="787" t="s">
        <v>205</v>
      </c>
      <c r="C84" s="788"/>
      <c r="D84" s="788"/>
      <c r="E84" s="788"/>
      <c r="F84" s="788"/>
      <c r="G84" s="107">
        <f>SUM(G79:G83)</f>
        <v>9600</v>
      </c>
      <c r="H84" s="108">
        <f>SUM(H78:H83)</f>
        <v>141703</v>
      </c>
    </row>
    <row r="85" spans="2:12" ht="13.5" thickBot="1" x14ac:dyDescent="0.25"/>
    <row r="86" spans="2:12" ht="13.5" thickBot="1" x14ac:dyDescent="0.25">
      <c r="B86" s="789" t="s">
        <v>206</v>
      </c>
      <c r="C86" s="790"/>
      <c r="D86" s="790"/>
      <c r="E86" s="790"/>
      <c r="F86" s="791"/>
      <c r="G86" s="792">
        <f>+G65-H84</f>
        <v>324873</v>
      </c>
      <c r="H86" s="791"/>
      <c r="J86" s="109">
        <f>C38+D38+E38+F38</f>
        <v>0</v>
      </c>
      <c r="K86" s="16" t="s">
        <v>235</v>
      </c>
      <c r="L86" s="87"/>
    </row>
    <row r="87" spans="2:12" x14ac:dyDescent="0.2">
      <c r="B87" s="110"/>
      <c r="F87" s="105"/>
      <c r="J87" s="109">
        <f>G38+H38+I38</f>
        <v>0</v>
      </c>
      <c r="K87" s="16" t="s">
        <v>236</v>
      </c>
      <c r="L87" s="87"/>
    </row>
    <row r="88" spans="2:12" x14ac:dyDescent="0.2">
      <c r="C88" s="793" t="s">
        <v>207</v>
      </c>
      <c r="D88" s="794"/>
      <c r="E88" s="111" t="s">
        <v>208</v>
      </c>
      <c r="F88" s="111" t="s">
        <v>209</v>
      </c>
      <c r="G88" s="111" t="s">
        <v>210</v>
      </c>
      <c r="H88" s="111" t="s">
        <v>211</v>
      </c>
      <c r="J88" s="109">
        <f>J38+K38+L38</f>
        <v>500</v>
      </c>
      <c r="K88" s="47" t="s">
        <v>237</v>
      </c>
      <c r="L88" s="87"/>
    </row>
    <row r="89" spans="2:12" x14ac:dyDescent="0.2">
      <c r="C89" s="795" t="str">
        <f>IF(I6="M","0          - 250000","0          -  250000")</f>
        <v>0          - 250000</v>
      </c>
      <c r="D89" s="796"/>
      <c r="E89" s="112">
        <v>0</v>
      </c>
      <c r="F89" s="113">
        <f>IF(I6="M",(IF(G86&lt;250000,G86,250000)),(IF(G86&lt;250000,G86,250000)))</f>
        <v>250000</v>
      </c>
      <c r="G89" s="113">
        <f>G86-F89</f>
        <v>74873</v>
      </c>
      <c r="H89" s="113">
        <f>E89*F89</f>
        <v>0</v>
      </c>
      <c r="J89" s="16">
        <f>M38+N38</f>
        <v>800</v>
      </c>
      <c r="K89" s="1" t="s">
        <v>238</v>
      </c>
      <c r="L89" s="87"/>
    </row>
    <row r="90" spans="2:12" x14ac:dyDescent="0.2">
      <c r="C90" s="795" t="str">
        <f>IF(I6="M","250001 - 500000","250001-500000")</f>
        <v>250001 - 500000</v>
      </c>
      <c r="D90" s="796"/>
      <c r="E90" s="112">
        <v>0.05</v>
      </c>
      <c r="F90" s="113">
        <f>IF(I6="M",(IF(G89&lt;250000,G89,250000)),(IF(G89&lt;250000,G89,250000)))</f>
        <v>74873</v>
      </c>
      <c r="G90" s="113">
        <f>G89-F90</f>
        <v>0</v>
      </c>
      <c r="H90" s="114">
        <f>ROUND(E90*F90,0.1)</f>
        <v>3744</v>
      </c>
      <c r="J90" s="115">
        <f>SUM(J86:J89)</f>
        <v>1300</v>
      </c>
      <c r="L90" s="87"/>
    </row>
    <row r="91" spans="2:12" x14ac:dyDescent="0.2">
      <c r="C91" s="797" t="s">
        <v>212</v>
      </c>
      <c r="D91" s="798"/>
      <c r="E91" s="112">
        <v>0.2</v>
      </c>
      <c r="F91" s="113">
        <f>IF(G90&lt;500000,G90,500000)</f>
        <v>0</v>
      </c>
      <c r="G91" s="113">
        <f>G90-F91</f>
        <v>0</v>
      </c>
      <c r="H91" s="114">
        <f>ROUND(E91*F91,0.1)</f>
        <v>0</v>
      </c>
      <c r="J91" s="16">
        <f>+G86</f>
        <v>324873</v>
      </c>
      <c r="L91" s="87"/>
    </row>
    <row r="92" spans="2:12" x14ac:dyDescent="0.2">
      <c r="C92" s="795" t="s">
        <v>213</v>
      </c>
      <c r="D92" s="796"/>
      <c r="E92" s="112">
        <v>0.3</v>
      </c>
      <c r="F92" s="113">
        <f>G91</f>
        <v>0</v>
      </c>
      <c r="G92" s="113">
        <f>G91-F92</f>
        <v>0</v>
      </c>
      <c r="H92" s="114">
        <f>ROUND(E92*F92,0.1)</f>
        <v>0</v>
      </c>
      <c r="J92" s="16">
        <f>+J90-J91</f>
        <v>-323573</v>
      </c>
      <c r="L92" s="87"/>
    </row>
    <row r="93" spans="2:12" ht="12.75" customHeight="1" thickBot="1" x14ac:dyDescent="0.25">
      <c r="B93" s="116"/>
      <c r="C93" s="117"/>
      <c r="D93" s="47"/>
      <c r="E93" s="47"/>
      <c r="F93" s="47"/>
      <c r="J93" s="87"/>
      <c r="K93" s="118"/>
      <c r="L93" s="87"/>
    </row>
    <row r="94" spans="2:12" ht="13.5" thickBot="1" x14ac:dyDescent="0.25">
      <c r="B94" s="799" t="s">
        <v>239</v>
      </c>
      <c r="C94" s="800"/>
      <c r="D94" s="800"/>
      <c r="E94" s="800"/>
      <c r="F94" s="801"/>
      <c r="G94" s="771">
        <f>H89+H90+H91+H92</f>
        <v>3744</v>
      </c>
      <c r="H94" s="772"/>
      <c r="J94" s="87"/>
      <c r="K94" s="87"/>
    </row>
    <row r="95" spans="2:12" ht="13.5" thickBot="1" x14ac:dyDescent="0.25">
      <c r="B95" s="154" t="s">
        <v>215</v>
      </c>
      <c r="C95" s="155"/>
      <c r="D95" s="155"/>
      <c r="E95" s="155"/>
      <c r="F95" s="155"/>
      <c r="G95" s="1048">
        <f>IF(G86&lt;350000,2500,0)</f>
        <v>2500</v>
      </c>
      <c r="H95" s="1049">
        <f>IF(H93&lt;200000,0,IF(H93&lt;220000,((H93-200000)*10%),IF(H93&lt;=500000,2000,IF(H93&gt;=500000,0))))</f>
        <v>0</v>
      </c>
      <c r="J95" s="1"/>
      <c r="K95" s="121"/>
      <c r="L95" s="121"/>
    </row>
    <row r="96" spans="2:12" ht="13.5" thickBot="1" x14ac:dyDescent="0.25">
      <c r="B96" s="122" t="s">
        <v>216</v>
      </c>
      <c r="C96" s="123"/>
      <c r="D96" s="123"/>
      <c r="E96" s="123"/>
      <c r="F96" s="123"/>
      <c r="G96" s="897">
        <f>IF((G94-G95)&lt;0,0,(G94-G95))</f>
        <v>1244</v>
      </c>
      <c r="H96" s="898"/>
      <c r="I96" s="37"/>
    </row>
    <row r="97" spans="2:9" ht="13.5" thickBot="1" x14ac:dyDescent="0.25">
      <c r="B97" s="773" t="s">
        <v>240</v>
      </c>
      <c r="C97" s="774"/>
      <c r="D97" s="774"/>
      <c r="E97" s="774"/>
      <c r="F97" s="775"/>
      <c r="G97" s="899">
        <f>ROUND((IF(G96&gt;0,(G96*4%),0)),0)</f>
        <v>50</v>
      </c>
      <c r="H97" s="900"/>
      <c r="I97" s="37"/>
    </row>
    <row r="98" spans="2:9" ht="13.5" thickBot="1" x14ac:dyDescent="0.25">
      <c r="B98" s="778" t="s">
        <v>218</v>
      </c>
      <c r="C98" s="779"/>
      <c r="D98" s="779"/>
      <c r="E98" s="779"/>
      <c r="F98" s="779"/>
      <c r="G98" s="901">
        <f>G96+G97</f>
        <v>1294</v>
      </c>
      <c r="H98" s="902"/>
      <c r="I98" s="121"/>
    </row>
    <row r="99" spans="2:9" ht="13.5" thickBot="1" x14ac:dyDescent="0.25">
      <c r="B99" s="765" t="s">
        <v>219</v>
      </c>
      <c r="C99" s="766"/>
      <c r="D99" s="766"/>
      <c r="E99" s="766"/>
      <c r="F99" s="766"/>
      <c r="G99" s="893">
        <f>O38</f>
        <v>1300</v>
      </c>
      <c r="H99" s="894"/>
      <c r="I99" s="121"/>
    </row>
    <row r="100" spans="2:9" ht="13.5" thickBot="1" x14ac:dyDescent="0.25">
      <c r="B100" s="765" t="str">
        <f>IF(G100&gt;0,"TAX PAYABLE","TAX REFUND")</f>
        <v>TAX REFUND</v>
      </c>
      <c r="C100" s="766"/>
      <c r="D100" s="766"/>
      <c r="E100" s="766"/>
      <c r="F100" s="766"/>
      <c r="G100" s="893">
        <f>+G98-G99</f>
        <v>-6</v>
      </c>
      <c r="H100" s="894"/>
      <c r="I100" s="37"/>
    </row>
    <row r="101" spans="2:9" x14ac:dyDescent="0.2">
      <c r="C101" s="124"/>
      <c r="D101" s="45"/>
      <c r="E101" s="118"/>
      <c r="F101" s="118"/>
      <c r="G101" s="118"/>
      <c r="H101" s="118"/>
      <c r="I101" s="125"/>
    </row>
    <row r="102" spans="2:9" x14ac:dyDescent="0.2">
      <c r="C102" s="47"/>
      <c r="D102" s="50"/>
      <c r="E102" s="117"/>
      <c r="F102" s="47"/>
      <c r="G102" s="47"/>
      <c r="H102" s="47"/>
      <c r="I102" s="125"/>
    </row>
    <row r="103" spans="2:9" x14ac:dyDescent="0.2">
      <c r="C103" s="39"/>
      <c r="D103" s="126"/>
      <c r="E103" s="126"/>
      <c r="F103" s="126"/>
      <c r="G103" s="39"/>
      <c r="H103" s="39"/>
      <c r="I103" s="37"/>
    </row>
    <row r="104" spans="2:9" x14ac:dyDescent="0.2">
      <c r="C104" s="39"/>
      <c r="D104" s="126"/>
      <c r="E104" s="126"/>
      <c r="F104" s="39"/>
      <c r="G104" s="39"/>
      <c r="H104" s="39"/>
      <c r="I104" s="37"/>
    </row>
    <row r="105" spans="2:9" x14ac:dyDescent="0.2">
      <c r="C105" s="39"/>
      <c r="D105" s="126"/>
      <c r="E105" s="126"/>
      <c r="F105" s="39"/>
      <c r="G105" s="39"/>
      <c r="H105" s="39"/>
      <c r="I105" s="37"/>
    </row>
    <row r="106" spans="2:9" x14ac:dyDescent="0.2">
      <c r="C106" s="39"/>
      <c r="D106" s="39"/>
      <c r="E106" s="39"/>
      <c r="F106" s="39"/>
      <c r="G106" s="39"/>
      <c r="H106" s="39"/>
      <c r="I106" s="37"/>
    </row>
    <row r="107" spans="2:9" x14ac:dyDescent="0.2">
      <c r="C107" s="39"/>
      <c r="D107" s="39"/>
      <c r="E107" s="39"/>
      <c r="F107" s="39"/>
      <c r="G107" s="39"/>
      <c r="H107" s="39"/>
    </row>
    <row r="108" spans="2:9" x14ac:dyDescent="0.2">
      <c r="C108" s="39"/>
      <c r="D108" s="39"/>
      <c r="E108" s="39"/>
      <c r="F108" s="39"/>
      <c r="G108" s="39"/>
      <c r="H108"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9"/>
    <mergeCell ref="A50:B50"/>
    <mergeCell ref="A51:B51"/>
    <mergeCell ref="B54:F54"/>
    <mergeCell ref="G54:H54"/>
    <mergeCell ref="B60:F60"/>
    <mergeCell ref="G60:H60"/>
    <mergeCell ref="J60:O60"/>
    <mergeCell ref="B56:B58"/>
    <mergeCell ref="C56:C58"/>
    <mergeCell ref="D56:F56"/>
    <mergeCell ref="G56:H56"/>
    <mergeCell ref="D57:F57"/>
    <mergeCell ref="G57:H57"/>
    <mergeCell ref="J57:L57"/>
    <mergeCell ref="M57:O57"/>
    <mergeCell ref="D58:F58"/>
    <mergeCell ref="G58:H58"/>
    <mergeCell ref="J63:O63"/>
    <mergeCell ref="D81:F81"/>
    <mergeCell ref="J68:K68"/>
    <mergeCell ref="B65:F65"/>
    <mergeCell ref="G65:H65"/>
    <mergeCell ref="D76:F76"/>
    <mergeCell ref="D77:F77"/>
    <mergeCell ref="E78:F78"/>
    <mergeCell ref="D79:F79"/>
    <mergeCell ref="D80:F80"/>
    <mergeCell ref="D71:F71"/>
    <mergeCell ref="D72:F72"/>
    <mergeCell ref="C69:C75"/>
    <mergeCell ref="D69:F69"/>
    <mergeCell ref="D70:F70"/>
    <mergeCell ref="D74:F74"/>
    <mergeCell ref="G62:H62"/>
    <mergeCell ref="C63:F63"/>
    <mergeCell ref="G63:H63"/>
    <mergeCell ref="B62:F62"/>
    <mergeCell ref="D73:F73"/>
    <mergeCell ref="D75:F75"/>
    <mergeCell ref="G94:H94"/>
    <mergeCell ref="D82:F82"/>
    <mergeCell ref="D83:F83"/>
    <mergeCell ref="B84:F84"/>
    <mergeCell ref="B86:F86"/>
    <mergeCell ref="G86:H86"/>
    <mergeCell ref="C88:D88"/>
    <mergeCell ref="C89:D89"/>
    <mergeCell ref="C90:D90"/>
    <mergeCell ref="C91:D91"/>
    <mergeCell ref="C92:D92"/>
    <mergeCell ref="B94:F94"/>
    <mergeCell ref="B69:B83"/>
    <mergeCell ref="B100:F100"/>
    <mergeCell ref="G100:H100"/>
    <mergeCell ref="G95:H95"/>
    <mergeCell ref="G96:H96"/>
    <mergeCell ref="B97:F97"/>
    <mergeCell ref="G97:H97"/>
    <mergeCell ref="B98:F98"/>
    <mergeCell ref="G98:H98"/>
    <mergeCell ref="B99:F99"/>
    <mergeCell ref="G99:H99"/>
  </mergeCells>
  <conditionalFormatting sqref="B91:F91 B100:F100 B94:F98">
    <cfRule type="cellIs" dxfId="1991" priority="3" stopIfTrue="1" operator="equal">
      <formula>"TAX PAYABLE"</formula>
    </cfRule>
    <cfRule type="cellIs" dxfId="1990" priority="4" stopIfTrue="1" operator="equal">
      <formula>"TAX REFUND"</formula>
    </cfRule>
  </conditionalFormatting>
  <conditionalFormatting sqref="G91:H91">
    <cfRule type="cellIs" dxfId="1989" priority="5" stopIfTrue="1" operator="lessThan">
      <formula>0</formula>
    </cfRule>
    <cfRule type="cellIs" dxfId="1988" priority="6" stopIfTrue="1" operator="greaterThan">
      <formula>0</formula>
    </cfRule>
  </conditionalFormatting>
  <conditionalFormatting sqref="G100:H100">
    <cfRule type="cellIs" dxfId="1987" priority="1" stopIfTrue="1" operator="greaterThan">
      <formula>0</formula>
    </cfRule>
    <cfRule type="cellIs" dxfId="1986" priority="2" stopIfTrue="1" operator="lessThanOrEqual">
      <formula>0</formula>
    </cfRule>
  </conditionalFormatting>
  <dataValidations disablePrompts="1"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3"/>
  <sheetViews>
    <sheetView workbookViewId="0">
      <selection activeCell="P53" sqref="P53"/>
    </sheetView>
  </sheetViews>
  <sheetFormatPr defaultRowHeight="12.75" x14ac:dyDescent="0.2"/>
  <cols>
    <col min="1" max="1" width="5" style="16" customWidth="1"/>
    <col min="2" max="2" width="19" style="37" customWidth="1"/>
    <col min="3" max="3" width="9.140625" style="16"/>
    <col min="4" max="4" width="8.28515625" style="16" customWidth="1"/>
    <col min="5" max="5" width="8.5703125" style="16" bestFit="1" customWidth="1"/>
    <col min="6" max="6" width="8.7109375" style="16" customWidth="1"/>
    <col min="7" max="7" width="8.140625" style="16" customWidth="1"/>
    <col min="8" max="8" width="9" style="16" customWidth="1"/>
    <col min="9" max="14" width="7.7109375" style="16" customWidth="1"/>
    <col min="15" max="15" width="8.710937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9" style="16" customWidth="1"/>
    <col min="259" max="259" width="9.140625" style="16"/>
    <col min="260" max="260" width="8.28515625" style="16" customWidth="1"/>
    <col min="261" max="261" width="8.5703125" style="16" bestFit="1" customWidth="1"/>
    <col min="262" max="262" width="8.7109375" style="16" customWidth="1"/>
    <col min="263" max="263" width="8.140625" style="16" customWidth="1"/>
    <col min="264" max="264" width="9" style="16" customWidth="1"/>
    <col min="265" max="270" width="7.7109375" style="16" customWidth="1"/>
    <col min="271" max="271" width="8.710937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9" style="16" customWidth="1"/>
    <col min="515" max="515" width="9.140625" style="16"/>
    <col min="516" max="516" width="8.28515625" style="16" customWidth="1"/>
    <col min="517" max="517" width="8.5703125" style="16" bestFit="1" customWidth="1"/>
    <col min="518" max="518" width="8.7109375" style="16" customWidth="1"/>
    <col min="519" max="519" width="8.140625" style="16" customWidth="1"/>
    <col min="520" max="520" width="9" style="16" customWidth="1"/>
    <col min="521" max="526" width="7.7109375" style="16" customWidth="1"/>
    <col min="527" max="527" width="8.710937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9" style="16" customWidth="1"/>
    <col min="771" max="771" width="9.140625" style="16"/>
    <col min="772" max="772" width="8.28515625" style="16" customWidth="1"/>
    <col min="773" max="773" width="8.5703125" style="16" bestFit="1" customWidth="1"/>
    <col min="774" max="774" width="8.7109375" style="16" customWidth="1"/>
    <col min="775" max="775" width="8.140625" style="16" customWidth="1"/>
    <col min="776" max="776" width="9" style="16" customWidth="1"/>
    <col min="777" max="782" width="7.7109375" style="16" customWidth="1"/>
    <col min="783" max="783" width="8.710937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9" style="16" customWidth="1"/>
    <col min="1027" max="1027" width="9.140625" style="16"/>
    <col min="1028" max="1028" width="8.28515625" style="16" customWidth="1"/>
    <col min="1029" max="1029" width="8.5703125" style="16" bestFit="1" customWidth="1"/>
    <col min="1030" max="1030" width="8.7109375" style="16" customWidth="1"/>
    <col min="1031" max="1031" width="8.140625" style="16" customWidth="1"/>
    <col min="1032" max="1032" width="9" style="16" customWidth="1"/>
    <col min="1033" max="1038" width="7.7109375" style="16" customWidth="1"/>
    <col min="1039" max="1039" width="8.710937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9" style="16" customWidth="1"/>
    <col min="1283" max="1283" width="9.140625" style="16"/>
    <col min="1284" max="1284" width="8.28515625" style="16" customWidth="1"/>
    <col min="1285" max="1285" width="8.5703125" style="16" bestFit="1" customWidth="1"/>
    <col min="1286" max="1286" width="8.7109375" style="16" customWidth="1"/>
    <col min="1287" max="1287" width="8.140625" style="16" customWidth="1"/>
    <col min="1288" max="1288" width="9" style="16" customWidth="1"/>
    <col min="1289" max="1294" width="7.7109375" style="16" customWidth="1"/>
    <col min="1295" max="1295" width="8.710937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9" style="16" customWidth="1"/>
    <col min="1539" max="1539" width="9.140625" style="16"/>
    <col min="1540" max="1540" width="8.28515625" style="16" customWidth="1"/>
    <col min="1541" max="1541" width="8.5703125" style="16" bestFit="1" customWidth="1"/>
    <col min="1542" max="1542" width="8.7109375" style="16" customWidth="1"/>
    <col min="1543" max="1543" width="8.140625" style="16" customWidth="1"/>
    <col min="1544" max="1544" width="9" style="16" customWidth="1"/>
    <col min="1545" max="1550" width="7.7109375" style="16" customWidth="1"/>
    <col min="1551" max="1551" width="8.710937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9" style="16" customWidth="1"/>
    <col min="1795" max="1795" width="9.140625" style="16"/>
    <col min="1796" max="1796" width="8.28515625" style="16" customWidth="1"/>
    <col min="1797" max="1797" width="8.5703125" style="16" bestFit="1" customWidth="1"/>
    <col min="1798" max="1798" width="8.7109375" style="16" customWidth="1"/>
    <col min="1799" max="1799" width="8.140625" style="16" customWidth="1"/>
    <col min="1800" max="1800" width="9" style="16" customWidth="1"/>
    <col min="1801" max="1806" width="7.7109375" style="16" customWidth="1"/>
    <col min="1807" max="1807" width="8.710937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9" style="16" customWidth="1"/>
    <col min="2051" max="2051" width="9.140625" style="16"/>
    <col min="2052" max="2052" width="8.28515625" style="16" customWidth="1"/>
    <col min="2053" max="2053" width="8.5703125" style="16" bestFit="1" customWidth="1"/>
    <col min="2054" max="2054" width="8.7109375" style="16" customWidth="1"/>
    <col min="2055" max="2055" width="8.140625" style="16" customWidth="1"/>
    <col min="2056" max="2056" width="9" style="16" customWidth="1"/>
    <col min="2057" max="2062" width="7.7109375" style="16" customWidth="1"/>
    <col min="2063" max="2063" width="8.710937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9" style="16" customWidth="1"/>
    <col min="2307" max="2307" width="9.140625" style="16"/>
    <col min="2308" max="2308" width="8.28515625" style="16" customWidth="1"/>
    <col min="2309" max="2309" width="8.5703125" style="16" bestFit="1" customWidth="1"/>
    <col min="2310" max="2310" width="8.7109375" style="16" customWidth="1"/>
    <col min="2311" max="2311" width="8.140625" style="16" customWidth="1"/>
    <col min="2312" max="2312" width="9" style="16" customWidth="1"/>
    <col min="2313" max="2318" width="7.7109375" style="16" customWidth="1"/>
    <col min="2319" max="2319" width="8.710937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9" style="16" customWidth="1"/>
    <col min="2563" max="2563" width="9.140625" style="16"/>
    <col min="2564" max="2564" width="8.28515625" style="16" customWidth="1"/>
    <col min="2565" max="2565" width="8.5703125" style="16" bestFit="1" customWidth="1"/>
    <col min="2566" max="2566" width="8.7109375" style="16" customWidth="1"/>
    <col min="2567" max="2567" width="8.140625" style="16" customWidth="1"/>
    <col min="2568" max="2568" width="9" style="16" customWidth="1"/>
    <col min="2569" max="2574" width="7.7109375" style="16" customWidth="1"/>
    <col min="2575" max="2575" width="8.710937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9" style="16" customWidth="1"/>
    <col min="2819" max="2819" width="9.140625" style="16"/>
    <col min="2820" max="2820" width="8.28515625" style="16" customWidth="1"/>
    <col min="2821" max="2821" width="8.5703125" style="16" bestFit="1" customWidth="1"/>
    <col min="2822" max="2822" width="8.7109375" style="16" customWidth="1"/>
    <col min="2823" max="2823" width="8.140625" style="16" customWidth="1"/>
    <col min="2824" max="2824" width="9" style="16" customWidth="1"/>
    <col min="2825" max="2830" width="7.7109375" style="16" customWidth="1"/>
    <col min="2831" max="2831" width="8.710937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9" style="16" customWidth="1"/>
    <col min="3075" max="3075" width="9.140625" style="16"/>
    <col min="3076" max="3076" width="8.28515625" style="16" customWidth="1"/>
    <col min="3077" max="3077" width="8.5703125" style="16" bestFit="1" customWidth="1"/>
    <col min="3078" max="3078" width="8.7109375" style="16" customWidth="1"/>
    <col min="3079" max="3079" width="8.140625" style="16" customWidth="1"/>
    <col min="3080" max="3080" width="9" style="16" customWidth="1"/>
    <col min="3081" max="3086" width="7.7109375" style="16" customWidth="1"/>
    <col min="3087" max="3087" width="8.710937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9" style="16" customWidth="1"/>
    <col min="3331" max="3331" width="9.140625" style="16"/>
    <col min="3332" max="3332" width="8.28515625" style="16" customWidth="1"/>
    <col min="3333" max="3333" width="8.5703125" style="16" bestFit="1" customWidth="1"/>
    <col min="3334" max="3334" width="8.7109375" style="16" customWidth="1"/>
    <col min="3335" max="3335" width="8.140625" style="16" customWidth="1"/>
    <col min="3336" max="3336" width="9" style="16" customWidth="1"/>
    <col min="3337" max="3342" width="7.7109375" style="16" customWidth="1"/>
    <col min="3343" max="3343" width="8.710937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9" style="16" customWidth="1"/>
    <col min="3587" max="3587" width="9.140625" style="16"/>
    <col min="3588" max="3588" width="8.28515625" style="16" customWidth="1"/>
    <col min="3589" max="3589" width="8.5703125" style="16" bestFit="1" customWidth="1"/>
    <col min="3590" max="3590" width="8.7109375" style="16" customWidth="1"/>
    <col min="3591" max="3591" width="8.140625" style="16" customWidth="1"/>
    <col min="3592" max="3592" width="9" style="16" customWidth="1"/>
    <col min="3593" max="3598" width="7.7109375" style="16" customWidth="1"/>
    <col min="3599" max="3599" width="8.710937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9" style="16" customWidth="1"/>
    <col min="3843" max="3843" width="9.140625" style="16"/>
    <col min="3844" max="3844" width="8.28515625" style="16" customWidth="1"/>
    <col min="3845" max="3845" width="8.5703125" style="16" bestFit="1" customWidth="1"/>
    <col min="3846" max="3846" width="8.7109375" style="16" customWidth="1"/>
    <col min="3847" max="3847" width="8.140625" style="16" customWidth="1"/>
    <col min="3848" max="3848" width="9" style="16" customWidth="1"/>
    <col min="3849" max="3854" width="7.7109375" style="16" customWidth="1"/>
    <col min="3855" max="3855" width="8.710937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9" style="16" customWidth="1"/>
    <col min="4099" max="4099" width="9.140625" style="16"/>
    <col min="4100" max="4100" width="8.28515625" style="16" customWidth="1"/>
    <col min="4101" max="4101" width="8.5703125" style="16" bestFit="1" customWidth="1"/>
    <col min="4102" max="4102" width="8.7109375" style="16" customWidth="1"/>
    <col min="4103" max="4103" width="8.140625" style="16" customWidth="1"/>
    <col min="4104" max="4104" width="9" style="16" customWidth="1"/>
    <col min="4105" max="4110" width="7.7109375" style="16" customWidth="1"/>
    <col min="4111" max="4111" width="8.710937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9" style="16" customWidth="1"/>
    <col min="4355" max="4355" width="9.140625" style="16"/>
    <col min="4356" max="4356" width="8.28515625" style="16" customWidth="1"/>
    <col min="4357" max="4357" width="8.5703125" style="16" bestFit="1" customWidth="1"/>
    <col min="4358" max="4358" width="8.7109375" style="16" customWidth="1"/>
    <col min="4359" max="4359" width="8.140625" style="16" customWidth="1"/>
    <col min="4360" max="4360" width="9" style="16" customWidth="1"/>
    <col min="4361" max="4366" width="7.7109375" style="16" customWidth="1"/>
    <col min="4367" max="4367" width="8.710937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9" style="16" customWidth="1"/>
    <col min="4611" max="4611" width="9.140625" style="16"/>
    <col min="4612" max="4612" width="8.28515625" style="16" customWidth="1"/>
    <col min="4613" max="4613" width="8.5703125" style="16" bestFit="1" customWidth="1"/>
    <col min="4614" max="4614" width="8.7109375" style="16" customWidth="1"/>
    <col min="4615" max="4615" width="8.140625" style="16" customWidth="1"/>
    <col min="4616" max="4616" width="9" style="16" customWidth="1"/>
    <col min="4617" max="4622" width="7.7109375" style="16" customWidth="1"/>
    <col min="4623" max="4623" width="8.710937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9" style="16" customWidth="1"/>
    <col min="4867" max="4867" width="9.140625" style="16"/>
    <col min="4868" max="4868" width="8.28515625" style="16" customWidth="1"/>
    <col min="4869" max="4869" width="8.5703125" style="16" bestFit="1" customWidth="1"/>
    <col min="4870" max="4870" width="8.7109375" style="16" customWidth="1"/>
    <col min="4871" max="4871" width="8.140625" style="16" customWidth="1"/>
    <col min="4872" max="4872" width="9" style="16" customWidth="1"/>
    <col min="4873" max="4878" width="7.7109375" style="16" customWidth="1"/>
    <col min="4879" max="4879" width="8.710937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9" style="16" customWidth="1"/>
    <col min="5123" max="5123" width="9.140625" style="16"/>
    <col min="5124" max="5124" width="8.28515625" style="16" customWidth="1"/>
    <col min="5125" max="5125" width="8.5703125" style="16" bestFit="1" customWidth="1"/>
    <col min="5126" max="5126" width="8.7109375" style="16" customWidth="1"/>
    <col min="5127" max="5127" width="8.140625" style="16" customWidth="1"/>
    <col min="5128" max="5128" width="9" style="16" customWidth="1"/>
    <col min="5129" max="5134" width="7.7109375" style="16" customWidth="1"/>
    <col min="5135" max="5135" width="8.710937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9" style="16" customWidth="1"/>
    <col min="5379" max="5379" width="9.140625" style="16"/>
    <col min="5380" max="5380" width="8.28515625" style="16" customWidth="1"/>
    <col min="5381" max="5381" width="8.5703125" style="16" bestFit="1" customWidth="1"/>
    <col min="5382" max="5382" width="8.7109375" style="16" customWidth="1"/>
    <col min="5383" max="5383" width="8.140625" style="16" customWidth="1"/>
    <col min="5384" max="5384" width="9" style="16" customWidth="1"/>
    <col min="5385" max="5390" width="7.7109375" style="16" customWidth="1"/>
    <col min="5391" max="5391" width="8.710937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9" style="16" customWidth="1"/>
    <col min="5635" max="5635" width="9.140625" style="16"/>
    <col min="5636" max="5636" width="8.28515625" style="16" customWidth="1"/>
    <col min="5637" max="5637" width="8.5703125" style="16" bestFit="1" customWidth="1"/>
    <col min="5638" max="5638" width="8.7109375" style="16" customWidth="1"/>
    <col min="5639" max="5639" width="8.140625" style="16" customWidth="1"/>
    <col min="5640" max="5640" width="9" style="16" customWidth="1"/>
    <col min="5641" max="5646" width="7.7109375" style="16" customWidth="1"/>
    <col min="5647" max="5647" width="8.710937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9" style="16" customWidth="1"/>
    <col min="5891" max="5891" width="9.140625" style="16"/>
    <col min="5892" max="5892" width="8.28515625" style="16" customWidth="1"/>
    <col min="5893" max="5893" width="8.5703125" style="16" bestFit="1" customWidth="1"/>
    <col min="5894" max="5894" width="8.7109375" style="16" customWidth="1"/>
    <col min="5895" max="5895" width="8.140625" style="16" customWidth="1"/>
    <col min="5896" max="5896" width="9" style="16" customWidth="1"/>
    <col min="5897" max="5902" width="7.7109375" style="16" customWidth="1"/>
    <col min="5903" max="5903" width="8.710937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9" style="16" customWidth="1"/>
    <col min="6147" max="6147" width="9.140625" style="16"/>
    <col min="6148" max="6148" width="8.28515625" style="16" customWidth="1"/>
    <col min="6149" max="6149" width="8.5703125" style="16" bestFit="1" customWidth="1"/>
    <col min="6150" max="6150" width="8.7109375" style="16" customWidth="1"/>
    <col min="6151" max="6151" width="8.140625" style="16" customWidth="1"/>
    <col min="6152" max="6152" width="9" style="16" customWidth="1"/>
    <col min="6153" max="6158" width="7.7109375" style="16" customWidth="1"/>
    <col min="6159" max="6159" width="8.710937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9" style="16" customWidth="1"/>
    <col min="6403" max="6403" width="9.140625" style="16"/>
    <col min="6404" max="6404" width="8.28515625" style="16" customWidth="1"/>
    <col min="6405" max="6405" width="8.5703125" style="16" bestFit="1" customWidth="1"/>
    <col min="6406" max="6406" width="8.7109375" style="16" customWidth="1"/>
    <col min="6407" max="6407" width="8.140625" style="16" customWidth="1"/>
    <col min="6408" max="6408" width="9" style="16" customWidth="1"/>
    <col min="6409" max="6414" width="7.7109375" style="16" customWidth="1"/>
    <col min="6415" max="6415" width="8.710937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9" style="16" customWidth="1"/>
    <col min="6659" max="6659" width="9.140625" style="16"/>
    <col min="6660" max="6660" width="8.28515625" style="16" customWidth="1"/>
    <col min="6661" max="6661" width="8.5703125" style="16" bestFit="1" customWidth="1"/>
    <col min="6662" max="6662" width="8.7109375" style="16" customWidth="1"/>
    <col min="6663" max="6663" width="8.140625" style="16" customWidth="1"/>
    <col min="6664" max="6664" width="9" style="16" customWidth="1"/>
    <col min="6665" max="6670" width="7.7109375" style="16" customWidth="1"/>
    <col min="6671" max="6671" width="8.710937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9" style="16" customWidth="1"/>
    <col min="6915" max="6915" width="9.140625" style="16"/>
    <col min="6916" max="6916" width="8.28515625" style="16" customWidth="1"/>
    <col min="6917" max="6917" width="8.5703125" style="16" bestFit="1" customWidth="1"/>
    <col min="6918" max="6918" width="8.7109375" style="16" customWidth="1"/>
    <col min="6919" max="6919" width="8.140625" style="16" customWidth="1"/>
    <col min="6920" max="6920" width="9" style="16" customWidth="1"/>
    <col min="6921" max="6926" width="7.7109375" style="16" customWidth="1"/>
    <col min="6927" max="6927" width="8.710937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9" style="16" customWidth="1"/>
    <col min="7171" max="7171" width="9.140625" style="16"/>
    <col min="7172" max="7172" width="8.28515625" style="16" customWidth="1"/>
    <col min="7173" max="7173" width="8.5703125" style="16" bestFit="1" customWidth="1"/>
    <col min="7174" max="7174" width="8.7109375" style="16" customWidth="1"/>
    <col min="7175" max="7175" width="8.140625" style="16" customWidth="1"/>
    <col min="7176" max="7176" width="9" style="16" customWidth="1"/>
    <col min="7177" max="7182" width="7.7109375" style="16" customWidth="1"/>
    <col min="7183" max="7183" width="8.710937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9" style="16" customWidth="1"/>
    <col min="7427" max="7427" width="9.140625" style="16"/>
    <col min="7428" max="7428" width="8.28515625" style="16" customWidth="1"/>
    <col min="7429" max="7429" width="8.5703125" style="16" bestFit="1" customWidth="1"/>
    <col min="7430" max="7430" width="8.7109375" style="16" customWidth="1"/>
    <col min="7431" max="7431" width="8.140625" style="16" customWidth="1"/>
    <col min="7432" max="7432" width="9" style="16" customWidth="1"/>
    <col min="7433" max="7438" width="7.7109375" style="16" customWidth="1"/>
    <col min="7439" max="7439" width="8.710937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9" style="16" customWidth="1"/>
    <col min="7683" max="7683" width="9.140625" style="16"/>
    <col min="7684" max="7684" width="8.28515625" style="16" customWidth="1"/>
    <col min="7685" max="7685" width="8.5703125" style="16" bestFit="1" customWidth="1"/>
    <col min="7686" max="7686" width="8.7109375" style="16" customWidth="1"/>
    <col min="7687" max="7687" width="8.140625" style="16" customWidth="1"/>
    <col min="7688" max="7688" width="9" style="16" customWidth="1"/>
    <col min="7689" max="7694" width="7.7109375" style="16" customWidth="1"/>
    <col min="7695" max="7695" width="8.710937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9" style="16" customWidth="1"/>
    <col min="7939" max="7939" width="9.140625" style="16"/>
    <col min="7940" max="7940" width="8.28515625" style="16" customWidth="1"/>
    <col min="7941" max="7941" width="8.5703125" style="16" bestFit="1" customWidth="1"/>
    <col min="7942" max="7942" width="8.7109375" style="16" customWidth="1"/>
    <col min="7943" max="7943" width="8.140625" style="16" customWidth="1"/>
    <col min="7944" max="7944" width="9" style="16" customWidth="1"/>
    <col min="7945" max="7950" width="7.7109375" style="16" customWidth="1"/>
    <col min="7951" max="7951" width="8.710937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9" style="16" customWidth="1"/>
    <col min="8195" max="8195" width="9.140625" style="16"/>
    <col min="8196" max="8196" width="8.28515625" style="16" customWidth="1"/>
    <col min="8197" max="8197" width="8.5703125" style="16" bestFit="1" customWidth="1"/>
    <col min="8198" max="8198" width="8.7109375" style="16" customWidth="1"/>
    <col min="8199" max="8199" width="8.140625" style="16" customWidth="1"/>
    <col min="8200" max="8200" width="9" style="16" customWidth="1"/>
    <col min="8201" max="8206" width="7.7109375" style="16" customWidth="1"/>
    <col min="8207" max="8207" width="8.710937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9" style="16" customWidth="1"/>
    <col min="8451" max="8451" width="9.140625" style="16"/>
    <col min="8452" max="8452" width="8.28515625" style="16" customWidth="1"/>
    <col min="8453" max="8453" width="8.5703125" style="16" bestFit="1" customWidth="1"/>
    <col min="8454" max="8454" width="8.7109375" style="16" customWidth="1"/>
    <col min="8455" max="8455" width="8.140625" style="16" customWidth="1"/>
    <col min="8456" max="8456" width="9" style="16" customWidth="1"/>
    <col min="8457" max="8462" width="7.7109375" style="16" customWidth="1"/>
    <col min="8463" max="8463" width="8.710937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9" style="16" customWidth="1"/>
    <col min="8707" max="8707" width="9.140625" style="16"/>
    <col min="8708" max="8708" width="8.28515625" style="16" customWidth="1"/>
    <col min="8709" max="8709" width="8.5703125" style="16" bestFit="1" customWidth="1"/>
    <col min="8710" max="8710" width="8.7109375" style="16" customWidth="1"/>
    <col min="8711" max="8711" width="8.140625" style="16" customWidth="1"/>
    <col min="8712" max="8712" width="9" style="16" customWidth="1"/>
    <col min="8713" max="8718" width="7.7109375" style="16" customWidth="1"/>
    <col min="8719" max="8719" width="8.710937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9" style="16" customWidth="1"/>
    <col min="8963" max="8963" width="9.140625" style="16"/>
    <col min="8964" max="8964" width="8.28515625" style="16" customWidth="1"/>
    <col min="8965" max="8965" width="8.5703125" style="16" bestFit="1" customWidth="1"/>
    <col min="8966" max="8966" width="8.7109375" style="16" customWidth="1"/>
    <col min="8967" max="8967" width="8.140625" style="16" customWidth="1"/>
    <col min="8968" max="8968" width="9" style="16" customWidth="1"/>
    <col min="8969" max="8974" width="7.7109375" style="16" customWidth="1"/>
    <col min="8975" max="8975" width="8.710937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9" style="16" customWidth="1"/>
    <col min="9219" max="9219" width="9.140625" style="16"/>
    <col min="9220" max="9220" width="8.28515625" style="16" customWidth="1"/>
    <col min="9221" max="9221" width="8.5703125" style="16" bestFit="1" customWidth="1"/>
    <col min="9222" max="9222" width="8.7109375" style="16" customWidth="1"/>
    <col min="9223" max="9223" width="8.140625" style="16" customWidth="1"/>
    <col min="9224" max="9224" width="9" style="16" customWidth="1"/>
    <col min="9225" max="9230" width="7.7109375" style="16" customWidth="1"/>
    <col min="9231" max="9231" width="8.710937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9" style="16" customWidth="1"/>
    <col min="9475" max="9475" width="9.140625" style="16"/>
    <col min="9476" max="9476" width="8.28515625" style="16" customWidth="1"/>
    <col min="9477" max="9477" width="8.5703125" style="16" bestFit="1" customWidth="1"/>
    <col min="9478" max="9478" width="8.7109375" style="16" customWidth="1"/>
    <col min="9479" max="9479" width="8.140625" style="16" customWidth="1"/>
    <col min="9480" max="9480" width="9" style="16" customWidth="1"/>
    <col min="9481" max="9486" width="7.7109375" style="16" customWidth="1"/>
    <col min="9487" max="9487" width="8.710937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9" style="16" customWidth="1"/>
    <col min="9731" max="9731" width="9.140625" style="16"/>
    <col min="9732" max="9732" width="8.28515625" style="16" customWidth="1"/>
    <col min="9733" max="9733" width="8.5703125" style="16" bestFit="1" customWidth="1"/>
    <col min="9734" max="9734" width="8.7109375" style="16" customWidth="1"/>
    <col min="9735" max="9735" width="8.140625" style="16" customWidth="1"/>
    <col min="9736" max="9736" width="9" style="16" customWidth="1"/>
    <col min="9737" max="9742" width="7.7109375" style="16" customWidth="1"/>
    <col min="9743" max="9743" width="8.710937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9" style="16" customWidth="1"/>
    <col min="9987" max="9987" width="9.140625" style="16"/>
    <col min="9988" max="9988" width="8.28515625" style="16" customWidth="1"/>
    <col min="9989" max="9989" width="8.5703125" style="16" bestFit="1" customWidth="1"/>
    <col min="9990" max="9990" width="8.7109375" style="16" customWidth="1"/>
    <col min="9991" max="9991" width="8.140625" style="16" customWidth="1"/>
    <col min="9992" max="9992" width="9" style="16" customWidth="1"/>
    <col min="9993" max="9998" width="7.7109375" style="16" customWidth="1"/>
    <col min="9999" max="9999" width="8.710937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9" style="16" customWidth="1"/>
    <col min="10243" max="10243" width="9.140625" style="16"/>
    <col min="10244" max="10244" width="8.28515625" style="16" customWidth="1"/>
    <col min="10245" max="10245" width="8.5703125" style="16" bestFit="1" customWidth="1"/>
    <col min="10246" max="10246" width="8.7109375" style="16" customWidth="1"/>
    <col min="10247" max="10247" width="8.140625" style="16" customWidth="1"/>
    <col min="10248" max="10248" width="9" style="16" customWidth="1"/>
    <col min="10249" max="10254" width="7.7109375" style="16" customWidth="1"/>
    <col min="10255" max="10255" width="8.710937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9" style="16" customWidth="1"/>
    <col min="10499" max="10499" width="9.140625" style="16"/>
    <col min="10500" max="10500" width="8.28515625" style="16" customWidth="1"/>
    <col min="10501" max="10501" width="8.5703125" style="16" bestFit="1" customWidth="1"/>
    <col min="10502" max="10502" width="8.7109375" style="16" customWidth="1"/>
    <col min="10503" max="10503" width="8.140625" style="16" customWidth="1"/>
    <col min="10504" max="10504" width="9" style="16" customWidth="1"/>
    <col min="10505" max="10510" width="7.7109375" style="16" customWidth="1"/>
    <col min="10511" max="10511" width="8.710937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9" style="16" customWidth="1"/>
    <col min="10755" max="10755" width="9.140625" style="16"/>
    <col min="10756" max="10756" width="8.28515625" style="16" customWidth="1"/>
    <col min="10757" max="10757" width="8.5703125" style="16" bestFit="1" customWidth="1"/>
    <col min="10758" max="10758" width="8.7109375" style="16" customWidth="1"/>
    <col min="10759" max="10759" width="8.140625" style="16" customWidth="1"/>
    <col min="10760" max="10760" width="9" style="16" customWidth="1"/>
    <col min="10761" max="10766" width="7.7109375" style="16" customWidth="1"/>
    <col min="10767" max="10767" width="8.710937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9" style="16" customWidth="1"/>
    <col min="11011" max="11011" width="9.140625" style="16"/>
    <col min="11012" max="11012" width="8.28515625" style="16" customWidth="1"/>
    <col min="11013" max="11013" width="8.5703125" style="16" bestFit="1" customWidth="1"/>
    <col min="11014" max="11014" width="8.7109375" style="16" customWidth="1"/>
    <col min="11015" max="11015" width="8.140625" style="16" customWidth="1"/>
    <col min="11016" max="11016" width="9" style="16" customWidth="1"/>
    <col min="11017" max="11022" width="7.7109375" style="16" customWidth="1"/>
    <col min="11023" max="11023" width="8.710937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9" style="16" customWidth="1"/>
    <col min="11267" max="11267" width="9.140625" style="16"/>
    <col min="11268" max="11268" width="8.28515625" style="16" customWidth="1"/>
    <col min="11269" max="11269" width="8.5703125" style="16" bestFit="1" customWidth="1"/>
    <col min="11270" max="11270" width="8.7109375" style="16" customWidth="1"/>
    <col min="11271" max="11271" width="8.140625" style="16" customWidth="1"/>
    <col min="11272" max="11272" width="9" style="16" customWidth="1"/>
    <col min="11273" max="11278" width="7.7109375" style="16" customWidth="1"/>
    <col min="11279" max="11279" width="8.710937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9" style="16" customWidth="1"/>
    <col min="11523" max="11523" width="9.140625" style="16"/>
    <col min="11524" max="11524" width="8.28515625" style="16" customWidth="1"/>
    <col min="11525" max="11525" width="8.5703125" style="16" bestFit="1" customWidth="1"/>
    <col min="11526" max="11526" width="8.7109375" style="16" customWidth="1"/>
    <col min="11527" max="11527" width="8.140625" style="16" customWidth="1"/>
    <col min="11528" max="11528" width="9" style="16" customWidth="1"/>
    <col min="11529" max="11534" width="7.7109375" style="16" customWidth="1"/>
    <col min="11535" max="11535" width="8.710937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9" style="16" customWidth="1"/>
    <col min="11779" max="11779" width="9.140625" style="16"/>
    <col min="11780" max="11780" width="8.28515625" style="16" customWidth="1"/>
    <col min="11781" max="11781" width="8.5703125" style="16" bestFit="1" customWidth="1"/>
    <col min="11782" max="11782" width="8.7109375" style="16" customWidth="1"/>
    <col min="11783" max="11783" width="8.140625" style="16" customWidth="1"/>
    <col min="11784" max="11784" width="9" style="16" customWidth="1"/>
    <col min="11785" max="11790" width="7.7109375" style="16" customWidth="1"/>
    <col min="11791" max="11791" width="8.710937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9" style="16" customWidth="1"/>
    <col min="12035" max="12035" width="9.140625" style="16"/>
    <col min="12036" max="12036" width="8.28515625" style="16" customWidth="1"/>
    <col min="12037" max="12037" width="8.5703125" style="16" bestFit="1" customWidth="1"/>
    <col min="12038" max="12038" width="8.7109375" style="16" customWidth="1"/>
    <col min="12039" max="12039" width="8.140625" style="16" customWidth="1"/>
    <col min="12040" max="12040" width="9" style="16" customWidth="1"/>
    <col min="12041" max="12046" width="7.7109375" style="16" customWidth="1"/>
    <col min="12047" max="12047" width="8.710937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9" style="16" customWidth="1"/>
    <col min="12291" max="12291" width="9.140625" style="16"/>
    <col min="12292" max="12292" width="8.28515625" style="16" customWidth="1"/>
    <col min="12293" max="12293" width="8.5703125" style="16" bestFit="1" customWidth="1"/>
    <col min="12294" max="12294" width="8.7109375" style="16" customWidth="1"/>
    <col min="12295" max="12295" width="8.140625" style="16" customWidth="1"/>
    <col min="12296" max="12296" width="9" style="16" customWidth="1"/>
    <col min="12297" max="12302" width="7.7109375" style="16" customWidth="1"/>
    <col min="12303" max="12303" width="8.710937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9" style="16" customWidth="1"/>
    <col min="12547" max="12547" width="9.140625" style="16"/>
    <col min="12548" max="12548" width="8.28515625" style="16" customWidth="1"/>
    <col min="12549" max="12549" width="8.5703125" style="16" bestFit="1" customWidth="1"/>
    <col min="12550" max="12550" width="8.7109375" style="16" customWidth="1"/>
    <col min="12551" max="12551" width="8.140625" style="16" customWidth="1"/>
    <col min="12552" max="12552" width="9" style="16" customWidth="1"/>
    <col min="12553" max="12558" width="7.7109375" style="16" customWidth="1"/>
    <col min="12559" max="12559" width="8.710937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9" style="16" customWidth="1"/>
    <col min="12803" max="12803" width="9.140625" style="16"/>
    <col min="12804" max="12804" width="8.28515625" style="16" customWidth="1"/>
    <col min="12805" max="12805" width="8.5703125" style="16" bestFit="1" customWidth="1"/>
    <col min="12806" max="12806" width="8.7109375" style="16" customWidth="1"/>
    <col min="12807" max="12807" width="8.140625" style="16" customWidth="1"/>
    <col min="12808" max="12808" width="9" style="16" customWidth="1"/>
    <col min="12809" max="12814" width="7.7109375" style="16" customWidth="1"/>
    <col min="12815" max="12815" width="8.710937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9" style="16" customWidth="1"/>
    <col min="13059" max="13059" width="9.140625" style="16"/>
    <col min="13060" max="13060" width="8.28515625" style="16" customWidth="1"/>
    <col min="13061" max="13061" width="8.5703125" style="16" bestFit="1" customWidth="1"/>
    <col min="13062" max="13062" width="8.7109375" style="16" customWidth="1"/>
    <col min="13063" max="13063" width="8.140625" style="16" customWidth="1"/>
    <col min="13064" max="13064" width="9" style="16" customWidth="1"/>
    <col min="13065" max="13070" width="7.7109375" style="16" customWidth="1"/>
    <col min="13071" max="13071" width="8.710937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9" style="16" customWidth="1"/>
    <col min="13315" max="13315" width="9.140625" style="16"/>
    <col min="13316" max="13316" width="8.28515625" style="16" customWidth="1"/>
    <col min="13317" max="13317" width="8.5703125" style="16" bestFit="1" customWidth="1"/>
    <col min="13318" max="13318" width="8.7109375" style="16" customWidth="1"/>
    <col min="13319" max="13319" width="8.140625" style="16" customWidth="1"/>
    <col min="13320" max="13320" width="9" style="16" customWidth="1"/>
    <col min="13321" max="13326" width="7.7109375" style="16" customWidth="1"/>
    <col min="13327" max="13327" width="8.710937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9" style="16" customWidth="1"/>
    <col min="13571" max="13571" width="9.140625" style="16"/>
    <col min="13572" max="13572" width="8.28515625" style="16" customWidth="1"/>
    <col min="13573" max="13573" width="8.5703125" style="16" bestFit="1" customWidth="1"/>
    <col min="13574" max="13574" width="8.7109375" style="16" customWidth="1"/>
    <col min="13575" max="13575" width="8.140625" style="16" customWidth="1"/>
    <col min="13576" max="13576" width="9" style="16" customWidth="1"/>
    <col min="13577" max="13582" width="7.7109375" style="16" customWidth="1"/>
    <col min="13583" max="13583" width="8.710937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9" style="16" customWidth="1"/>
    <col min="13827" max="13827" width="9.140625" style="16"/>
    <col min="13828" max="13828" width="8.28515625" style="16" customWidth="1"/>
    <col min="13829" max="13829" width="8.5703125" style="16" bestFit="1" customWidth="1"/>
    <col min="13830" max="13830" width="8.7109375" style="16" customWidth="1"/>
    <col min="13831" max="13831" width="8.140625" style="16" customWidth="1"/>
    <col min="13832" max="13832" width="9" style="16" customWidth="1"/>
    <col min="13833" max="13838" width="7.7109375" style="16" customWidth="1"/>
    <col min="13839" max="13839" width="8.710937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9" style="16" customWidth="1"/>
    <col min="14083" max="14083" width="9.140625" style="16"/>
    <col min="14084" max="14084" width="8.28515625" style="16" customWidth="1"/>
    <col min="14085" max="14085" width="8.5703125" style="16" bestFit="1" customWidth="1"/>
    <col min="14086" max="14086" width="8.7109375" style="16" customWidth="1"/>
    <col min="14087" max="14087" width="8.140625" style="16" customWidth="1"/>
    <col min="14088" max="14088" width="9" style="16" customWidth="1"/>
    <col min="14089" max="14094" width="7.7109375" style="16" customWidth="1"/>
    <col min="14095" max="14095" width="8.710937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9" style="16" customWidth="1"/>
    <col min="14339" max="14339" width="9.140625" style="16"/>
    <col min="14340" max="14340" width="8.28515625" style="16" customWidth="1"/>
    <col min="14341" max="14341" width="8.5703125" style="16" bestFit="1" customWidth="1"/>
    <col min="14342" max="14342" width="8.7109375" style="16" customWidth="1"/>
    <col min="14343" max="14343" width="8.140625" style="16" customWidth="1"/>
    <col min="14344" max="14344" width="9" style="16" customWidth="1"/>
    <col min="14345" max="14350" width="7.7109375" style="16" customWidth="1"/>
    <col min="14351" max="14351" width="8.710937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9" style="16" customWidth="1"/>
    <col min="14595" max="14595" width="9.140625" style="16"/>
    <col min="14596" max="14596" width="8.28515625" style="16" customWidth="1"/>
    <col min="14597" max="14597" width="8.5703125" style="16" bestFit="1" customWidth="1"/>
    <col min="14598" max="14598" width="8.7109375" style="16" customWidth="1"/>
    <col min="14599" max="14599" width="8.140625" style="16" customWidth="1"/>
    <col min="14600" max="14600" width="9" style="16" customWidth="1"/>
    <col min="14601" max="14606" width="7.7109375" style="16" customWidth="1"/>
    <col min="14607" max="14607" width="8.710937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9" style="16" customWidth="1"/>
    <col min="14851" max="14851" width="9.140625" style="16"/>
    <col min="14852" max="14852" width="8.28515625" style="16" customWidth="1"/>
    <col min="14853" max="14853" width="8.5703125" style="16" bestFit="1" customWidth="1"/>
    <col min="14854" max="14854" width="8.7109375" style="16" customWidth="1"/>
    <col min="14855" max="14855" width="8.140625" style="16" customWidth="1"/>
    <col min="14856" max="14856" width="9" style="16" customWidth="1"/>
    <col min="14857" max="14862" width="7.7109375" style="16" customWidth="1"/>
    <col min="14863" max="14863" width="8.710937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9" style="16" customWidth="1"/>
    <col min="15107" max="15107" width="9.140625" style="16"/>
    <col min="15108" max="15108" width="8.28515625" style="16" customWidth="1"/>
    <col min="15109" max="15109" width="8.5703125" style="16" bestFit="1" customWidth="1"/>
    <col min="15110" max="15110" width="8.7109375" style="16" customWidth="1"/>
    <col min="15111" max="15111" width="8.140625" style="16" customWidth="1"/>
    <col min="15112" max="15112" width="9" style="16" customWidth="1"/>
    <col min="15113" max="15118" width="7.7109375" style="16" customWidth="1"/>
    <col min="15119" max="15119" width="8.710937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9" style="16" customWidth="1"/>
    <col min="15363" max="15363" width="9.140625" style="16"/>
    <col min="15364" max="15364" width="8.28515625" style="16" customWidth="1"/>
    <col min="15365" max="15365" width="8.5703125" style="16" bestFit="1" customWidth="1"/>
    <col min="15366" max="15366" width="8.7109375" style="16" customWidth="1"/>
    <col min="15367" max="15367" width="8.140625" style="16" customWidth="1"/>
    <col min="15368" max="15368" width="9" style="16" customWidth="1"/>
    <col min="15369" max="15374" width="7.7109375" style="16" customWidth="1"/>
    <col min="15375" max="15375" width="8.710937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9" style="16" customWidth="1"/>
    <col min="15619" max="15619" width="9.140625" style="16"/>
    <col min="15620" max="15620" width="8.28515625" style="16" customWidth="1"/>
    <col min="15621" max="15621" width="8.5703125" style="16" bestFit="1" customWidth="1"/>
    <col min="15622" max="15622" width="8.7109375" style="16" customWidth="1"/>
    <col min="15623" max="15623" width="8.140625" style="16" customWidth="1"/>
    <col min="15624" max="15624" width="9" style="16" customWidth="1"/>
    <col min="15625" max="15630" width="7.7109375" style="16" customWidth="1"/>
    <col min="15631" max="15631" width="8.710937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9" style="16" customWidth="1"/>
    <col min="15875" max="15875" width="9.140625" style="16"/>
    <col min="15876" max="15876" width="8.28515625" style="16" customWidth="1"/>
    <col min="15877" max="15877" width="8.5703125" style="16" bestFit="1" customWidth="1"/>
    <col min="15878" max="15878" width="8.7109375" style="16" customWidth="1"/>
    <col min="15879" max="15879" width="8.140625" style="16" customWidth="1"/>
    <col min="15880" max="15880" width="9" style="16" customWidth="1"/>
    <col min="15881" max="15886" width="7.7109375" style="16" customWidth="1"/>
    <col min="15887" max="15887" width="8.710937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9" style="16" customWidth="1"/>
    <col min="16131" max="16131" width="9.140625" style="16"/>
    <col min="16132" max="16132" width="8.28515625" style="16" customWidth="1"/>
    <col min="16133" max="16133" width="8.5703125" style="16" bestFit="1" customWidth="1"/>
    <col min="16134" max="16134" width="8.7109375" style="16" customWidth="1"/>
    <col min="16135" max="16135" width="8.140625" style="16" customWidth="1"/>
    <col min="16136" max="16136" width="9" style="16" customWidth="1"/>
    <col min="16137" max="16142" width="7.7109375" style="16" customWidth="1"/>
    <col min="16143" max="16143" width="8.710937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67" t="s">
        <v>100</v>
      </c>
      <c r="B1" s="868"/>
      <c r="C1" s="868"/>
      <c r="D1" s="869">
        <v>77</v>
      </c>
      <c r="E1" s="868"/>
      <c r="F1" s="868"/>
      <c r="G1" s="867" t="s">
        <v>102</v>
      </c>
      <c r="H1" s="869"/>
      <c r="I1" s="869" t="s">
        <v>721</v>
      </c>
      <c r="J1" s="868"/>
      <c r="K1" s="868"/>
      <c r="L1" s="870"/>
      <c r="M1" s="870"/>
      <c r="N1" s="870"/>
      <c r="O1" s="870"/>
    </row>
    <row r="2" spans="1:15" s="1" customFormat="1" x14ac:dyDescent="0.2">
      <c r="A2" s="867" t="s">
        <v>103</v>
      </c>
      <c r="B2" s="868"/>
      <c r="C2" s="868"/>
      <c r="D2" s="869"/>
      <c r="E2" s="868"/>
      <c r="F2" s="868"/>
      <c r="G2" s="867" t="s">
        <v>104</v>
      </c>
      <c r="H2" s="869"/>
      <c r="I2" s="869" t="s">
        <v>722</v>
      </c>
      <c r="J2" s="868"/>
      <c r="K2" s="868"/>
      <c r="L2" s="870"/>
      <c r="M2" s="870"/>
      <c r="N2" s="870"/>
      <c r="O2" s="870"/>
    </row>
    <row r="3" spans="1:15" s="1" customFormat="1" x14ac:dyDescent="0.2">
      <c r="A3" s="867" t="s">
        <v>106</v>
      </c>
      <c r="B3" s="868"/>
      <c r="C3" s="868"/>
      <c r="D3" s="890">
        <v>24624</v>
      </c>
      <c r="E3" s="891"/>
      <c r="F3" s="891"/>
      <c r="G3" s="867" t="s">
        <v>107</v>
      </c>
      <c r="H3" s="869"/>
      <c r="I3" s="869" t="s">
        <v>108</v>
      </c>
      <c r="J3" s="868"/>
      <c r="K3" s="868"/>
      <c r="L3" s="870"/>
      <c r="M3" s="870"/>
      <c r="N3" s="870"/>
      <c r="O3" s="870"/>
    </row>
    <row r="4" spans="1:15" s="1" customFormat="1" x14ac:dyDescent="0.2">
      <c r="A4" s="867" t="s">
        <v>109</v>
      </c>
      <c r="B4" s="868"/>
      <c r="C4" s="868"/>
      <c r="D4" s="869"/>
      <c r="E4" s="868"/>
      <c r="F4" s="868"/>
      <c r="G4" s="867" t="s">
        <v>110</v>
      </c>
      <c r="H4" s="869"/>
      <c r="I4" s="869" t="s">
        <v>684</v>
      </c>
      <c r="J4" s="868"/>
      <c r="K4" s="868"/>
      <c r="L4" s="870"/>
      <c r="M4" s="870"/>
      <c r="N4" s="870"/>
      <c r="O4" s="870"/>
    </row>
    <row r="5" spans="1:15" s="1" customFormat="1" x14ac:dyDescent="0.2">
      <c r="A5" s="867" t="s">
        <v>112</v>
      </c>
      <c r="B5" s="868"/>
      <c r="C5" s="868"/>
      <c r="D5" s="883"/>
      <c r="E5" s="868"/>
      <c r="F5" s="868"/>
      <c r="G5" s="867"/>
      <c r="H5" s="868"/>
      <c r="I5" s="869" t="s">
        <v>113</v>
      </c>
      <c r="J5" s="868"/>
      <c r="K5" s="868"/>
      <c r="L5" s="870"/>
      <c r="M5" s="870"/>
      <c r="N5" s="870"/>
      <c r="O5" s="870"/>
    </row>
    <row r="6" spans="1:15" s="1" customFormat="1" x14ac:dyDescent="0.2">
      <c r="A6" s="871" t="s">
        <v>114</v>
      </c>
      <c r="B6" s="872"/>
      <c r="C6" s="872"/>
      <c r="D6" s="868" t="s">
        <v>723</v>
      </c>
      <c r="E6" s="868"/>
      <c r="F6" s="868"/>
      <c r="G6" s="871" t="s">
        <v>115</v>
      </c>
      <c r="H6" s="871"/>
      <c r="I6" s="2" t="s">
        <v>222</v>
      </c>
      <c r="J6" s="873"/>
      <c r="K6" s="873"/>
      <c r="L6" s="873"/>
      <c r="M6" s="873"/>
      <c r="N6" s="873"/>
      <c r="O6" s="874"/>
    </row>
    <row r="7" spans="1:15" s="1" customFormat="1" ht="13.5" thickBot="1" x14ac:dyDescent="0.25">
      <c r="A7" s="3"/>
      <c r="B7" s="4"/>
      <c r="C7" s="1061" t="s">
        <v>724</v>
      </c>
      <c r="D7" s="1062"/>
      <c r="E7" s="1062"/>
      <c r="F7" s="1062"/>
      <c r="G7" s="1063"/>
      <c r="H7" s="6"/>
      <c r="I7" s="6"/>
      <c r="J7" s="7"/>
      <c r="K7" s="8"/>
      <c r="L7" s="875"/>
      <c r="M7" s="875"/>
      <c r="N7" s="875"/>
      <c r="O7" s="875"/>
    </row>
    <row r="8" spans="1:15" s="11" customFormat="1" x14ac:dyDescent="0.2">
      <c r="A8" s="876" t="str">
        <f>I1</f>
        <v>Smt. Sumati A. Shingade</v>
      </c>
      <c r="B8" s="877"/>
      <c r="C8" s="9">
        <v>43160</v>
      </c>
      <c r="D8" s="9">
        <v>43191</v>
      </c>
      <c r="E8" s="9">
        <v>43221</v>
      </c>
      <c r="F8" s="9">
        <v>43252</v>
      </c>
      <c r="G8" s="9">
        <v>43282</v>
      </c>
      <c r="H8" s="9">
        <v>43313</v>
      </c>
      <c r="I8" s="9">
        <v>43344</v>
      </c>
      <c r="J8" s="9">
        <v>43374</v>
      </c>
      <c r="K8" s="9">
        <v>43405</v>
      </c>
      <c r="L8" s="9">
        <v>43435</v>
      </c>
      <c r="M8" s="9">
        <v>43466</v>
      </c>
      <c r="N8" s="9">
        <v>43497</v>
      </c>
      <c r="O8" s="10" t="s">
        <v>117</v>
      </c>
    </row>
    <row r="9" spans="1:15" ht="15" customHeight="1" x14ac:dyDescent="0.2">
      <c r="A9" s="12"/>
      <c r="B9" s="13" t="s">
        <v>118</v>
      </c>
      <c r="C9" s="14">
        <v>70000</v>
      </c>
      <c r="D9" s="14">
        <v>70000</v>
      </c>
      <c r="E9" s="14">
        <v>70000</v>
      </c>
      <c r="F9" s="14">
        <v>70000</v>
      </c>
      <c r="G9" s="14">
        <v>72100</v>
      </c>
      <c r="H9" s="14">
        <v>72100</v>
      </c>
      <c r="I9" s="14">
        <v>72100</v>
      </c>
      <c r="J9" s="14">
        <v>72100</v>
      </c>
      <c r="K9" s="14">
        <v>72100</v>
      </c>
      <c r="L9" s="14">
        <v>72100</v>
      </c>
      <c r="M9" s="14">
        <v>72100</v>
      </c>
      <c r="N9" s="14">
        <v>72100</v>
      </c>
      <c r="O9" s="15">
        <f>SUM(C9:N9)</f>
        <v>856800</v>
      </c>
    </row>
    <row r="10" spans="1:15" ht="15" customHeight="1"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customHeight="1" x14ac:dyDescent="0.2">
      <c r="A11" s="12"/>
      <c r="B11" s="13" t="s">
        <v>120</v>
      </c>
      <c r="C11" s="17">
        <v>3500</v>
      </c>
      <c r="D11" s="17">
        <v>4900</v>
      </c>
      <c r="E11" s="17">
        <v>4900</v>
      </c>
      <c r="F11" s="17">
        <v>4900</v>
      </c>
      <c r="G11" s="17">
        <v>5047</v>
      </c>
      <c r="H11" s="17">
        <v>5047</v>
      </c>
      <c r="I11" s="17">
        <v>5047</v>
      </c>
      <c r="J11" s="17">
        <v>6489</v>
      </c>
      <c r="K11" s="17">
        <v>6489</v>
      </c>
      <c r="L11" s="17">
        <v>6489</v>
      </c>
      <c r="M11" s="17">
        <v>6489</v>
      </c>
      <c r="N11" s="17">
        <v>6489</v>
      </c>
      <c r="O11" s="18">
        <f>SUM(C11:N11)</f>
        <v>65786</v>
      </c>
    </row>
    <row r="12" spans="1:15" ht="15" customHeight="1" x14ac:dyDescent="0.2">
      <c r="A12" s="12"/>
      <c r="B12" s="13" t="s">
        <v>710</v>
      </c>
      <c r="C12" s="17">
        <v>0</v>
      </c>
      <c r="D12" s="17">
        <v>0</v>
      </c>
      <c r="E12" s="17">
        <v>0</v>
      </c>
      <c r="F12" s="17">
        <v>0</v>
      </c>
      <c r="G12" s="17">
        <v>0</v>
      </c>
      <c r="H12" s="17">
        <v>0</v>
      </c>
      <c r="I12" s="17">
        <v>0</v>
      </c>
      <c r="J12" s="17">
        <v>0</v>
      </c>
      <c r="K12" s="17">
        <v>0</v>
      </c>
      <c r="L12" s="17">
        <v>0</v>
      </c>
      <c r="M12" s="17">
        <v>0</v>
      </c>
      <c r="N12" s="17">
        <v>0</v>
      </c>
      <c r="O12" s="18">
        <f>SUM(C12:N12)</f>
        <v>0</v>
      </c>
    </row>
    <row r="13" spans="1:15" ht="15" hidden="1" customHeight="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customHeight="1" x14ac:dyDescent="0.2">
      <c r="A14" s="12"/>
      <c r="B14" s="13" t="s">
        <v>123</v>
      </c>
      <c r="C14" s="17">
        <v>3780</v>
      </c>
      <c r="D14" s="17">
        <v>3852</v>
      </c>
      <c r="E14" s="17">
        <v>3852</v>
      </c>
      <c r="F14" s="17">
        <v>3852</v>
      </c>
      <c r="G14" s="17">
        <v>3852</v>
      </c>
      <c r="H14" s="17">
        <v>3852</v>
      </c>
      <c r="I14" s="17">
        <v>3852</v>
      </c>
      <c r="J14" s="17">
        <v>3924</v>
      </c>
      <c r="K14" s="17">
        <v>3924</v>
      </c>
      <c r="L14" s="17">
        <v>3924</v>
      </c>
      <c r="M14" s="17">
        <v>3924</v>
      </c>
      <c r="N14" s="17">
        <v>3924</v>
      </c>
      <c r="O14" s="18">
        <f t="shared" si="0"/>
        <v>46512</v>
      </c>
    </row>
    <row r="15" spans="1:15" ht="15" customHeight="1" x14ac:dyDescent="0.2">
      <c r="A15" s="12"/>
      <c r="B15" s="13" t="s">
        <v>725</v>
      </c>
      <c r="C15" s="17">
        <v>0</v>
      </c>
      <c r="D15" s="17">
        <v>0</v>
      </c>
      <c r="E15" s="17">
        <v>0</v>
      </c>
      <c r="F15" s="17">
        <v>0</v>
      </c>
      <c r="G15" s="17">
        <v>0</v>
      </c>
      <c r="H15" s="17">
        <v>0</v>
      </c>
      <c r="I15" s="17">
        <v>0</v>
      </c>
      <c r="J15" s="17">
        <v>6922</v>
      </c>
      <c r="K15" s="17">
        <v>6922</v>
      </c>
      <c r="L15" s="17">
        <v>6922</v>
      </c>
      <c r="M15" s="17">
        <v>6922</v>
      </c>
      <c r="N15" s="17">
        <v>0</v>
      </c>
      <c r="O15" s="18">
        <f t="shared" si="0"/>
        <v>27688</v>
      </c>
    </row>
    <row r="16" spans="1:15" ht="15" hidden="1" customHeight="1" x14ac:dyDescent="0.2">
      <c r="A16" s="12"/>
      <c r="B16" s="13" t="s">
        <v>405</v>
      </c>
      <c r="C16" s="17">
        <v>0</v>
      </c>
      <c r="D16" s="17">
        <v>0</v>
      </c>
      <c r="E16" s="17">
        <v>0</v>
      </c>
      <c r="F16" s="17">
        <v>0</v>
      </c>
      <c r="G16" s="17">
        <v>0</v>
      </c>
      <c r="H16" s="17">
        <v>0</v>
      </c>
      <c r="I16" s="17">
        <v>0</v>
      </c>
      <c r="J16" s="17">
        <v>0</v>
      </c>
      <c r="K16" s="17">
        <v>0</v>
      </c>
      <c r="L16" s="17">
        <v>0</v>
      </c>
      <c r="M16" s="17">
        <v>0</v>
      </c>
      <c r="N16" s="17">
        <v>0</v>
      </c>
      <c r="O16" s="18">
        <f t="shared" si="0"/>
        <v>0</v>
      </c>
    </row>
    <row r="17" spans="1:15" ht="15" hidden="1" customHeight="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customHeight="1"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15" ht="15" customHeight="1" x14ac:dyDescent="0.2">
      <c r="A19" s="12"/>
      <c r="B19" s="13" t="s">
        <v>128</v>
      </c>
      <c r="C19" s="17">
        <v>16800</v>
      </c>
      <c r="D19" s="17">
        <v>16800</v>
      </c>
      <c r="E19" s="17">
        <v>16800</v>
      </c>
      <c r="F19" s="17">
        <v>16800</v>
      </c>
      <c r="G19" s="17">
        <v>17304</v>
      </c>
      <c r="H19" s="17">
        <v>17304</v>
      </c>
      <c r="I19" s="17">
        <v>17304</v>
      </c>
      <c r="J19" s="17">
        <v>17304</v>
      </c>
      <c r="K19" s="17">
        <v>17304</v>
      </c>
      <c r="L19" s="17">
        <v>17304</v>
      </c>
      <c r="M19" s="17">
        <v>17304</v>
      </c>
      <c r="N19" s="17">
        <v>17304</v>
      </c>
      <c r="O19" s="18">
        <f t="shared" si="0"/>
        <v>205632</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78"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79"/>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5" ht="15" hidden="1" customHeight="1" x14ac:dyDescent="0.2">
      <c r="A23" s="879"/>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79"/>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79"/>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79"/>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79"/>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79"/>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79"/>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79"/>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79"/>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79"/>
      <c r="B32" s="21" t="s">
        <v>142</v>
      </c>
      <c r="C32" s="17">
        <v>0</v>
      </c>
      <c r="D32" s="17">
        <v>0</v>
      </c>
      <c r="E32" s="17">
        <v>0</v>
      </c>
      <c r="F32" s="17">
        <v>0</v>
      </c>
      <c r="G32" s="17">
        <v>0</v>
      </c>
      <c r="H32" s="17">
        <v>0</v>
      </c>
      <c r="I32" s="17">
        <v>0</v>
      </c>
      <c r="J32" s="17">
        <v>0</v>
      </c>
      <c r="K32" s="17">
        <v>0</v>
      </c>
      <c r="L32" s="17">
        <v>0</v>
      </c>
      <c r="M32" s="17">
        <v>0</v>
      </c>
      <c r="N32" s="17">
        <v>0</v>
      </c>
      <c r="O32" s="18">
        <f t="shared" si="0"/>
        <v>0</v>
      </c>
    </row>
    <row r="33" spans="1:16" ht="15" hidden="1" customHeight="1" x14ac:dyDescent="0.2">
      <c r="A33" s="880"/>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219"/>
      <c r="B34" s="220" t="s">
        <v>144</v>
      </c>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865" t="s">
        <v>145</v>
      </c>
      <c r="B35" s="866"/>
      <c r="C35" s="17">
        <v>0</v>
      </c>
      <c r="D35" s="17">
        <v>216</v>
      </c>
      <c r="E35" s="17">
        <v>0</v>
      </c>
      <c r="F35" s="17">
        <v>0</v>
      </c>
      <c r="G35" s="17">
        <v>0</v>
      </c>
      <c r="H35" s="17">
        <v>0</v>
      </c>
      <c r="I35" s="17">
        <v>0</v>
      </c>
      <c r="J35" s="17">
        <v>216</v>
      </c>
      <c r="K35" s="17">
        <v>0</v>
      </c>
      <c r="L35" s="17">
        <v>0</v>
      </c>
      <c r="M35" s="17">
        <v>0</v>
      </c>
      <c r="N35" s="17">
        <v>0</v>
      </c>
      <c r="O35" s="18">
        <f t="shared" si="0"/>
        <v>432</v>
      </c>
    </row>
    <row r="36" spans="1:16" ht="15" customHeight="1" x14ac:dyDescent="0.2">
      <c r="A36" s="865" t="s">
        <v>146</v>
      </c>
      <c r="B36" s="866"/>
      <c r="C36" s="17">
        <v>0</v>
      </c>
      <c r="D36" s="17">
        <v>4200</v>
      </c>
      <c r="E36" s="17">
        <v>0</v>
      </c>
      <c r="F36" s="17">
        <v>0</v>
      </c>
      <c r="G36" s="17">
        <v>0</v>
      </c>
      <c r="H36" s="17">
        <v>0</v>
      </c>
      <c r="I36" s="17">
        <v>0</v>
      </c>
      <c r="J36" s="17">
        <v>4326</v>
      </c>
      <c r="K36" s="17">
        <v>0</v>
      </c>
      <c r="L36" s="17">
        <v>0</v>
      </c>
      <c r="M36" s="17">
        <v>0</v>
      </c>
      <c r="N36" s="17">
        <v>0</v>
      </c>
      <c r="O36" s="18">
        <f t="shared" si="0"/>
        <v>8526</v>
      </c>
    </row>
    <row r="37" spans="1:16" ht="15" customHeight="1" x14ac:dyDescent="0.2">
      <c r="A37" s="22"/>
      <c r="B37" s="23" t="s">
        <v>147</v>
      </c>
      <c r="C37" s="24">
        <f t="shared" ref="C37:N37" si="1">SUM(C9:C36)</f>
        <v>94080</v>
      </c>
      <c r="D37" s="24">
        <f t="shared" si="1"/>
        <v>99968</v>
      </c>
      <c r="E37" s="24">
        <f t="shared" si="1"/>
        <v>95552</v>
      </c>
      <c r="F37" s="24">
        <f t="shared" si="1"/>
        <v>95552</v>
      </c>
      <c r="G37" s="24">
        <f t="shared" si="1"/>
        <v>98303</v>
      </c>
      <c r="H37" s="24">
        <f t="shared" si="1"/>
        <v>98303</v>
      </c>
      <c r="I37" s="24">
        <f t="shared" si="1"/>
        <v>98303</v>
      </c>
      <c r="J37" s="24">
        <f t="shared" si="1"/>
        <v>118189</v>
      </c>
      <c r="K37" s="24">
        <f t="shared" si="1"/>
        <v>106739</v>
      </c>
      <c r="L37" s="24">
        <f t="shared" si="1"/>
        <v>106739</v>
      </c>
      <c r="M37" s="24">
        <f t="shared" si="1"/>
        <v>106739</v>
      </c>
      <c r="N37" s="24">
        <f t="shared" si="1"/>
        <v>99817</v>
      </c>
      <c r="O37" s="25">
        <f t="shared" ref="O37:O50" si="2">SUM(C37:N37)</f>
        <v>1218284</v>
      </c>
    </row>
    <row r="38" spans="1:16" ht="15" customHeight="1" x14ac:dyDescent="0.2">
      <c r="A38" s="853" t="s">
        <v>148</v>
      </c>
      <c r="B38" s="27" t="s">
        <v>149</v>
      </c>
      <c r="C38" s="28">
        <v>6700</v>
      </c>
      <c r="D38" s="28">
        <v>6700</v>
      </c>
      <c r="E38" s="28">
        <v>6700</v>
      </c>
      <c r="F38" s="28">
        <v>6700</v>
      </c>
      <c r="G38" s="28">
        <v>6700</v>
      </c>
      <c r="H38" s="28">
        <v>6700</v>
      </c>
      <c r="I38" s="28">
        <v>6700</v>
      </c>
      <c r="J38" s="28">
        <v>6700</v>
      </c>
      <c r="K38" s="28">
        <v>15000</v>
      </c>
      <c r="L38" s="28">
        <v>17600</v>
      </c>
      <c r="M38" s="28">
        <v>8795</v>
      </c>
      <c r="N38" s="28">
        <v>9805</v>
      </c>
      <c r="O38" s="18">
        <f t="shared" si="2"/>
        <v>104800</v>
      </c>
      <c r="P38" s="29"/>
    </row>
    <row r="39" spans="1:16" ht="15" customHeight="1" x14ac:dyDescent="0.2">
      <c r="A39" s="854"/>
      <c r="B39" s="27" t="s">
        <v>150</v>
      </c>
      <c r="C39" s="28">
        <v>0</v>
      </c>
      <c r="D39" s="28">
        <v>0</v>
      </c>
      <c r="E39" s="28">
        <v>0</v>
      </c>
      <c r="F39" s="28">
        <v>0</v>
      </c>
      <c r="G39" s="28">
        <v>0</v>
      </c>
      <c r="H39" s="28">
        <v>0</v>
      </c>
      <c r="I39" s="28">
        <v>0</v>
      </c>
      <c r="J39" s="28">
        <v>0</v>
      </c>
      <c r="K39" s="28">
        <v>0</v>
      </c>
      <c r="L39" s="28">
        <v>0</v>
      </c>
      <c r="M39" s="28">
        <v>0</v>
      </c>
      <c r="N39" s="28">
        <v>0</v>
      </c>
      <c r="O39" s="18">
        <f t="shared" si="2"/>
        <v>0</v>
      </c>
    </row>
    <row r="40" spans="1:16" ht="15" customHeight="1" x14ac:dyDescent="0.2">
      <c r="A40" s="854"/>
      <c r="B40" s="27" t="s">
        <v>151</v>
      </c>
      <c r="C40" s="28">
        <v>60</v>
      </c>
      <c r="D40" s="28">
        <v>60</v>
      </c>
      <c r="E40" s="28">
        <v>60</v>
      </c>
      <c r="F40" s="28">
        <v>60</v>
      </c>
      <c r="G40" s="28">
        <v>60</v>
      </c>
      <c r="H40" s="28">
        <v>60</v>
      </c>
      <c r="I40" s="28">
        <v>60</v>
      </c>
      <c r="J40" s="28">
        <v>60</v>
      </c>
      <c r="K40" s="28">
        <v>60</v>
      </c>
      <c r="L40" s="28">
        <v>60</v>
      </c>
      <c r="M40" s="28">
        <v>60</v>
      </c>
      <c r="N40" s="28">
        <v>60</v>
      </c>
      <c r="O40" s="18">
        <f t="shared" si="2"/>
        <v>720</v>
      </c>
    </row>
    <row r="41" spans="1:16" ht="15" customHeight="1" x14ac:dyDescent="0.2">
      <c r="A41" s="854"/>
      <c r="B41" s="27" t="s">
        <v>152</v>
      </c>
      <c r="C41" s="28">
        <v>0</v>
      </c>
      <c r="D41" s="28">
        <v>0</v>
      </c>
      <c r="E41" s="28">
        <v>0</v>
      </c>
      <c r="F41" s="28">
        <v>0</v>
      </c>
      <c r="G41" s="28">
        <v>0</v>
      </c>
      <c r="H41" s="28">
        <v>0</v>
      </c>
      <c r="I41" s="28">
        <v>0</v>
      </c>
      <c r="J41" s="28">
        <v>0</v>
      </c>
      <c r="K41" s="28">
        <v>0</v>
      </c>
      <c r="L41" s="28">
        <v>0</v>
      </c>
      <c r="M41" s="28">
        <v>0</v>
      </c>
      <c r="N41" s="28">
        <v>0</v>
      </c>
      <c r="O41" s="18">
        <f t="shared" si="2"/>
        <v>0</v>
      </c>
    </row>
    <row r="42" spans="1:16" ht="15" customHeight="1" x14ac:dyDescent="0.2">
      <c r="A42" s="854"/>
      <c r="B42" s="27" t="s">
        <v>153</v>
      </c>
      <c r="C42" s="28">
        <v>650</v>
      </c>
      <c r="D42" s="28">
        <v>650</v>
      </c>
      <c r="E42" s="28">
        <v>650</v>
      </c>
      <c r="F42" s="28">
        <v>650</v>
      </c>
      <c r="G42" s="28">
        <v>650</v>
      </c>
      <c r="H42" s="28">
        <v>650</v>
      </c>
      <c r="I42" s="28">
        <v>650</v>
      </c>
      <c r="J42" s="28">
        <v>650</v>
      </c>
      <c r="K42" s="28">
        <v>650</v>
      </c>
      <c r="L42" s="28">
        <v>650</v>
      </c>
      <c r="M42" s="28">
        <v>650</v>
      </c>
      <c r="N42" s="28">
        <v>650</v>
      </c>
      <c r="O42" s="18">
        <f t="shared" si="2"/>
        <v>7800</v>
      </c>
    </row>
    <row r="43" spans="1:16" ht="15" customHeight="1" x14ac:dyDescent="0.2">
      <c r="A43" s="854"/>
      <c r="B43" s="27" t="s">
        <v>154</v>
      </c>
      <c r="C43" s="28">
        <v>20000</v>
      </c>
      <c r="D43" s="28">
        <v>20000</v>
      </c>
      <c r="E43" s="28">
        <v>20000</v>
      </c>
      <c r="F43" s="28">
        <v>20000</v>
      </c>
      <c r="G43" s="28">
        <v>20000</v>
      </c>
      <c r="H43" s="28">
        <v>20000</v>
      </c>
      <c r="I43" s="28">
        <v>25000</v>
      </c>
      <c r="J43" s="28">
        <v>25000</v>
      </c>
      <c r="K43" s="28">
        <v>35000</v>
      </c>
      <c r="L43" s="28">
        <v>35000</v>
      </c>
      <c r="M43" s="28">
        <v>35000</v>
      </c>
      <c r="N43" s="28">
        <v>35000</v>
      </c>
      <c r="O43" s="18">
        <f t="shared" si="2"/>
        <v>310000</v>
      </c>
    </row>
    <row r="44" spans="1:16" ht="15" customHeight="1" x14ac:dyDescent="0.2">
      <c r="A44" s="854"/>
      <c r="B44" s="27" t="s">
        <v>155</v>
      </c>
      <c r="C44" s="28">
        <v>200</v>
      </c>
      <c r="D44" s="28">
        <v>200</v>
      </c>
      <c r="E44" s="28">
        <v>200</v>
      </c>
      <c r="F44" s="28">
        <v>200</v>
      </c>
      <c r="G44" s="28">
        <v>200</v>
      </c>
      <c r="H44" s="28">
        <v>200</v>
      </c>
      <c r="I44" s="28">
        <v>200</v>
      </c>
      <c r="J44" s="28">
        <v>200</v>
      </c>
      <c r="K44" s="28">
        <v>200</v>
      </c>
      <c r="L44" s="28">
        <v>200</v>
      </c>
      <c r="M44" s="28">
        <v>200</v>
      </c>
      <c r="N44" s="28">
        <v>300</v>
      </c>
      <c r="O44" s="18">
        <f t="shared" si="2"/>
        <v>2500</v>
      </c>
    </row>
    <row r="45" spans="1:16" ht="15" customHeight="1" x14ac:dyDescent="0.2">
      <c r="A45" s="854"/>
      <c r="B45" s="27" t="s">
        <v>371</v>
      </c>
      <c r="C45" s="28">
        <v>0</v>
      </c>
      <c r="D45" s="28">
        <v>0</v>
      </c>
      <c r="E45" s="28">
        <v>0</v>
      </c>
      <c r="F45" s="28">
        <v>0</v>
      </c>
      <c r="G45" s="28">
        <v>0</v>
      </c>
      <c r="H45" s="28">
        <v>0</v>
      </c>
      <c r="I45" s="28">
        <v>0</v>
      </c>
      <c r="J45" s="28">
        <v>0</v>
      </c>
      <c r="K45" s="28">
        <v>0</v>
      </c>
      <c r="L45" s="28">
        <v>0</v>
      </c>
      <c r="M45" s="28">
        <v>0</v>
      </c>
      <c r="N45" s="28">
        <v>0</v>
      </c>
      <c r="O45" s="18">
        <f t="shared" si="2"/>
        <v>0</v>
      </c>
    </row>
    <row r="46" spans="1:16" ht="15" customHeight="1" x14ac:dyDescent="0.2">
      <c r="A46" s="854"/>
      <c r="B46" s="27" t="s">
        <v>157</v>
      </c>
      <c r="C46" s="28">
        <v>0</v>
      </c>
      <c r="D46" s="28">
        <v>0</v>
      </c>
      <c r="E46" s="28">
        <v>0</v>
      </c>
      <c r="F46" s="28">
        <v>0</v>
      </c>
      <c r="G46" s="28">
        <v>0</v>
      </c>
      <c r="H46" s="28">
        <v>0</v>
      </c>
      <c r="I46" s="28">
        <v>0</v>
      </c>
      <c r="J46" s="28">
        <v>0</v>
      </c>
      <c r="K46" s="28">
        <v>0</v>
      </c>
      <c r="L46" s="28">
        <v>0</v>
      </c>
      <c r="M46" s="28">
        <v>0</v>
      </c>
      <c r="N46" s="28">
        <v>0</v>
      </c>
      <c r="O46" s="18">
        <f t="shared" si="2"/>
        <v>0</v>
      </c>
    </row>
    <row r="47" spans="1:16" ht="30" customHeight="1" x14ac:dyDescent="0.2">
      <c r="A47" s="855"/>
      <c r="B47" s="30" t="s">
        <v>158</v>
      </c>
      <c r="C47" s="28">
        <v>0</v>
      </c>
      <c r="D47" s="28">
        <v>0</v>
      </c>
      <c r="E47" s="28">
        <v>0</v>
      </c>
      <c r="F47" s="28">
        <v>0</v>
      </c>
      <c r="G47" s="28">
        <v>0</v>
      </c>
      <c r="H47" s="28">
        <v>0</v>
      </c>
      <c r="I47" s="28">
        <v>0</v>
      </c>
      <c r="J47" s="28">
        <v>0</v>
      </c>
      <c r="K47" s="28">
        <v>0</v>
      </c>
      <c r="L47" s="28">
        <v>0</v>
      </c>
      <c r="M47" s="28">
        <v>0</v>
      </c>
      <c r="N47" s="28">
        <v>0</v>
      </c>
      <c r="O47" s="31">
        <f t="shared" si="2"/>
        <v>0</v>
      </c>
    </row>
    <row r="48" spans="1:16" ht="15" x14ac:dyDescent="0.2">
      <c r="A48" s="856"/>
      <c r="B48" s="127" t="s">
        <v>726</v>
      </c>
      <c r="C48" s="28">
        <v>0</v>
      </c>
      <c r="D48" s="28">
        <v>0</v>
      </c>
      <c r="E48" s="28">
        <v>0</v>
      </c>
      <c r="F48" s="28">
        <v>0</v>
      </c>
      <c r="G48" s="28">
        <v>0</v>
      </c>
      <c r="H48" s="28">
        <v>0</v>
      </c>
      <c r="I48" s="28">
        <v>0</v>
      </c>
      <c r="J48" s="28">
        <v>0</v>
      </c>
      <c r="K48" s="28">
        <v>0</v>
      </c>
      <c r="L48" s="28">
        <v>0</v>
      </c>
      <c r="M48" s="28">
        <v>0</v>
      </c>
      <c r="N48" s="28">
        <v>0</v>
      </c>
      <c r="O48" s="31">
        <f t="shared" si="2"/>
        <v>0</v>
      </c>
    </row>
    <row r="49" spans="1:18" ht="15" customHeight="1" x14ac:dyDescent="0.2">
      <c r="A49" s="857" t="s">
        <v>160</v>
      </c>
      <c r="B49" s="858"/>
      <c r="C49" s="33">
        <f t="shared" ref="C49:N49" si="3">SUM(C38:C48)</f>
        <v>27610</v>
      </c>
      <c r="D49" s="33">
        <f t="shared" si="3"/>
        <v>27610</v>
      </c>
      <c r="E49" s="33">
        <f t="shared" si="3"/>
        <v>27610</v>
      </c>
      <c r="F49" s="33">
        <f t="shared" si="3"/>
        <v>27610</v>
      </c>
      <c r="G49" s="33">
        <f t="shared" si="3"/>
        <v>27610</v>
      </c>
      <c r="H49" s="33">
        <f t="shared" si="3"/>
        <v>27610</v>
      </c>
      <c r="I49" s="33">
        <f t="shared" si="3"/>
        <v>32610</v>
      </c>
      <c r="J49" s="33">
        <f t="shared" si="3"/>
        <v>32610</v>
      </c>
      <c r="K49" s="33">
        <f t="shared" si="3"/>
        <v>50910</v>
      </c>
      <c r="L49" s="33">
        <f t="shared" si="3"/>
        <v>53510</v>
      </c>
      <c r="M49" s="33">
        <f t="shared" si="3"/>
        <v>44705</v>
      </c>
      <c r="N49" s="33">
        <f t="shared" si="3"/>
        <v>45815</v>
      </c>
      <c r="O49" s="34">
        <f t="shared" si="2"/>
        <v>425820</v>
      </c>
    </row>
    <row r="50" spans="1:18" ht="15" customHeight="1" thickBot="1" x14ac:dyDescent="0.25">
      <c r="A50" s="859" t="s">
        <v>161</v>
      </c>
      <c r="B50" s="860"/>
      <c r="C50" s="35">
        <f t="shared" ref="C50:N50" si="4">C37-C49</f>
        <v>66470</v>
      </c>
      <c r="D50" s="35">
        <f t="shared" si="4"/>
        <v>72358</v>
      </c>
      <c r="E50" s="35">
        <f t="shared" si="4"/>
        <v>67942</v>
      </c>
      <c r="F50" s="35">
        <f t="shared" si="4"/>
        <v>67942</v>
      </c>
      <c r="G50" s="35">
        <f t="shared" si="4"/>
        <v>70693</v>
      </c>
      <c r="H50" s="35">
        <f t="shared" si="4"/>
        <v>70693</v>
      </c>
      <c r="I50" s="35">
        <f t="shared" si="4"/>
        <v>65693</v>
      </c>
      <c r="J50" s="35">
        <f t="shared" si="4"/>
        <v>85579</v>
      </c>
      <c r="K50" s="35">
        <f t="shared" si="4"/>
        <v>55829</v>
      </c>
      <c r="L50" s="35">
        <f t="shared" si="4"/>
        <v>53229</v>
      </c>
      <c r="M50" s="35">
        <f t="shared" si="4"/>
        <v>62034</v>
      </c>
      <c r="N50" s="35">
        <f t="shared" si="4"/>
        <v>54002</v>
      </c>
      <c r="O50" s="36">
        <f t="shared" si="2"/>
        <v>792464</v>
      </c>
      <c r="Q50" s="16">
        <f>14148+15790+770+631+15317+16560+16560+17946+6662+17846</f>
        <v>122230</v>
      </c>
    </row>
    <row r="51" spans="1:18" x14ac:dyDescent="0.2">
      <c r="J51" s="229">
        <f>+J37-SUM(J22:J36)</f>
        <v>106739</v>
      </c>
    </row>
    <row r="52" spans="1:18" ht="13.5" thickBot="1" x14ac:dyDescent="0.25">
      <c r="J52" s="38">
        <f>+J51-J49</f>
        <v>74129</v>
      </c>
    </row>
    <row r="53" spans="1:18" ht="13.5" thickBot="1" x14ac:dyDescent="0.25">
      <c r="B53" s="789" t="s">
        <v>162</v>
      </c>
      <c r="C53" s="861"/>
      <c r="D53" s="861"/>
      <c r="E53" s="861"/>
      <c r="F53" s="862"/>
      <c r="G53" s="863">
        <f>O37</f>
        <v>1218284</v>
      </c>
      <c r="H53" s="864"/>
      <c r="M53" s="16">
        <f>18146+6662</f>
        <v>24808</v>
      </c>
    </row>
    <row r="54" spans="1:18" ht="13.5" thickBot="1" x14ac:dyDescent="0.25">
      <c r="M54" s="16">
        <f>+M53-200</f>
        <v>24608</v>
      </c>
    </row>
    <row r="55" spans="1:18" x14ac:dyDescent="0.2">
      <c r="B55" s="830" t="s">
        <v>163</v>
      </c>
      <c r="C55" s="833" t="s">
        <v>164</v>
      </c>
      <c r="D55" s="836" t="s">
        <v>229</v>
      </c>
      <c r="E55" s="837"/>
      <c r="F55" s="838"/>
      <c r="G55" s="839">
        <v>40000</v>
      </c>
      <c r="H55" s="840"/>
    </row>
    <row r="56" spans="1:18" x14ac:dyDescent="0.2">
      <c r="B56" s="831"/>
      <c r="C56" s="834"/>
      <c r="D56" s="841" t="s">
        <v>166</v>
      </c>
      <c r="E56" s="842"/>
      <c r="F56" s="843"/>
      <c r="G56" s="844">
        <f>+O44</f>
        <v>2500</v>
      </c>
      <c r="H56" s="845"/>
      <c r="I56" s="39"/>
      <c r="J56" s="846"/>
      <c r="K56" s="846"/>
      <c r="L56" s="846"/>
      <c r="M56" s="847"/>
      <c r="N56" s="847"/>
      <c r="O56" s="847"/>
    </row>
    <row r="57" spans="1:18" ht="13.5" thickBot="1" x14ac:dyDescent="0.25">
      <c r="B57" s="832"/>
      <c r="C57" s="835"/>
      <c r="D57" s="926" t="s">
        <v>243</v>
      </c>
      <c r="E57" s="927"/>
      <c r="F57" s="928"/>
      <c r="G57" s="851">
        <f>IF(O18&gt;15000,15000,+O18)</f>
        <v>0</v>
      </c>
      <c r="H57" s="852"/>
      <c r="J57" s="47"/>
      <c r="K57" s="47"/>
      <c r="L57" s="47"/>
      <c r="M57" s="47"/>
      <c r="N57" s="47"/>
      <c r="O57" s="47"/>
    </row>
    <row r="58" spans="1:18" ht="13.5" thickBot="1" x14ac:dyDescent="0.25">
      <c r="B58" s="48"/>
      <c r="J58" s="47"/>
      <c r="K58" s="47"/>
      <c r="L58" s="47"/>
      <c r="M58" s="47"/>
      <c r="N58" s="47"/>
      <c r="O58" s="47"/>
    </row>
    <row r="59" spans="1:18" ht="13.5" thickBot="1" x14ac:dyDescent="0.25">
      <c r="B59" s="789" t="s">
        <v>168</v>
      </c>
      <c r="C59" s="790"/>
      <c r="D59" s="790"/>
      <c r="E59" s="790"/>
      <c r="F59" s="791"/>
      <c r="G59" s="825">
        <f>+G53-SUM(G55:H57)</f>
        <v>1175784</v>
      </c>
      <c r="H59" s="826"/>
      <c r="J59" s="827" t="s">
        <v>169</v>
      </c>
      <c r="K59" s="828"/>
      <c r="L59" s="828"/>
      <c r="M59" s="828"/>
      <c r="N59" s="828"/>
      <c r="O59" s="829"/>
    </row>
    <row r="60" spans="1:18" ht="13.5" thickBot="1" x14ac:dyDescent="0.25">
      <c r="B60" s="49"/>
      <c r="C60" s="50"/>
      <c r="D60" s="50"/>
      <c r="E60" s="50"/>
      <c r="F60" s="50"/>
      <c r="G60" s="45"/>
      <c r="H60" s="50"/>
      <c r="J60" s="129"/>
      <c r="K60" s="130"/>
      <c r="L60" s="130"/>
      <c r="M60" s="130"/>
      <c r="N60" s="130"/>
      <c r="O60" s="131"/>
    </row>
    <row r="61" spans="1:18" ht="13.5" thickBot="1" x14ac:dyDescent="0.25">
      <c r="B61" s="789" t="s">
        <v>170</v>
      </c>
      <c r="C61" s="790"/>
      <c r="D61" s="790"/>
      <c r="E61" s="790"/>
      <c r="F61" s="791"/>
      <c r="G61" s="805"/>
      <c r="H61" s="791"/>
      <c r="J61" s="129"/>
      <c r="K61" s="130"/>
      <c r="L61" s="130"/>
      <c r="M61" s="130"/>
      <c r="N61" s="130"/>
      <c r="O61" s="131"/>
    </row>
    <row r="62" spans="1:18" ht="12.75" customHeight="1" x14ac:dyDescent="0.2">
      <c r="B62" s="57" t="s">
        <v>171</v>
      </c>
      <c r="C62" s="806" t="s">
        <v>172</v>
      </c>
      <c r="D62" s="807"/>
      <c r="E62" s="807"/>
      <c r="F62" s="808"/>
      <c r="G62" s="809">
        <v>76671</v>
      </c>
      <c r="H62" s="809"/>
      <c r="I62" s="58"/>
      <c r="J62" s="810" t="s">
        <v>173</v>
      </c>
      <c r="K62" s="811"/>
      <c r="L62" s="811"/>
      <c r="M62" s="811"/>
      <c r="N62" s="811"/>
      <c r="O62" s="812"/>
      <c r="Q62" s="59"/>
      <c r="R62" s="59"/>
    </row>
    <row r="63" spans="1:18" ht="13.5" thickBot="1" x14ac:dyDescent="0.25">
      <c r="D63" s="37"/>
      <c r="I63" s="58"/>
      <c r="J63" s="60" t="s">
        <v>727</v>
      </c>
      <c r="K63" s="132"/>
      <c r="L63" s="132"/>
      <c r="M63" s="133"/>
      <c r="N63" s="133"/>
      <c r="O63" s="134"/>
      <c r="Q63" s="59"/>
      <c r="R63" s="59"/>
    </row>
    <row r="64" spans="1:18" ht="13.5" thickBot="1" x14ac:dyDescent="0.25">
      <c r="B64" s="789" t="s">
        <v>175</v>
      </c>
      <c r="C64" s="790"/>
      <c r="D64" s="790"/>
      <c r="E64" s="790"/>
      <c r="F64" s="791"/>
      <c r="G64" s="805">
        <f>+G59-G62</f>
        <v>1099113</v>
      </c>
      <c r="H64" s="791"/>
      <c r="I64" s="63"/>
      <c r="J64" s="64"/>
      <c r="K64" s="39"/>
      <c r="L64" s="39"/>
      <c r="M64" s="39"/>
      <c r="N64" s="39"/>
      <c r="O64" s="65"/>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7" customHeight="1" thickBot="1" x14ac:dyDescent="0.25">
      <c r="B67" s="66"/>
      <c r="C67" s="48"/>
      <c r="G67" s="70" t="s">
        <v>177</v>
      </c>
      <c r="H67" s="70" t="s">
        <v>178</v>
      </c>
      <c r="I67" s="63"/>
      <c r="J67" s="810" t="s">
        <v>179</v>
      </c>
      <c r="K67" s="811"/>
      <c r="L67" s="71"/>
      <c r="M67" s="71"/>
      <c r="N67" s="71"/>
      <c r="O67" s="72"/>
      <c r="Q67" s="59"/>
      <c r="R67" s="59"/>
    </row>
    <row r="68" spans="2:18" ht="12.75" customHeight="1" x14ac:dyDescent="0.2">
      <c r="B68" s="802" t="s">
        <v>180</v>
      </c>
      <c r="C68" s="821" t="s">
        <v>181</v>
      </c>
      <c r="D68" s="823" t="s">
        <v>182</v>
      </c>
      <c r="E68" s="824"/>
      <c r="F68" s="824"/>
      <c r="G68" s="73">
        <f>+O43</f>
        <v>310000</v>
      </c>
      <c r="H68" s="74">
        <f>+G68</f>
        <v>310000</v>
      </c>
      <c r="I68" s="63"/>
      <c r="J68" s="915"/>
      <c r="K68" s="916"/>
      <c r="L68" s="58"/>
      <c r="M68" s="135"/>
      <c r="N68" s="58"/>
      <c r="O68" s="76"/>
      <c r="Q68" s="59"/>
      <c r="R68" s="59"/>
    </row>
    <row r="69" spans="2:18" ht="12.75" customHeight="1" x14ac:dyDescent="0.2">
      <c r="B69" s="803"/>
      <c r="C69" s="822"/>
      <c r="D69" s="782" t="s">
        <v>184</v>
      </c>
      <c r="E69" s="783"/>
      <c r="F69" s="783"/>
      <c r="G69" s="77">
        <v>0</v>
      </c>
      <c r="H69" s="78">
        <f t="shared" ref="H69:H75" si="5">+G69</f>
        <v>0</v>
      </c>
      <c r="I69" s="63"/>
      <c r="J69" s="1057"/>
      <c r="K69" s="1058"/>
      <c r="L69" s="68"/>
      <c r="M69" s="68"/>
      <c r="N69" s="68"/>
      <c r="O69" s="136"/>
      <c r="Q69" s="59"/>
      <c r="R69" s="59"/>
    </row>
    <row r="70" spans="2:18" ht="12.75" customHeight="1" x14ac:dyDescent="0.2">
      <c r="B70" s="803"/>
      <c r="C70" s="822"/>
      <c r="D70" s="819" t="s">
        <v>185</v>
      </c>
      <c r="E70" s="820"/>
      <c r="F70" s="820"/>
      <c r="G70" s="80">
        <f>O40</f>
        <v>720</v>
      </c>
      <c r="H70" s="78">
        <f t="shared" si="5"/>
        <v>720</v>
      </c>
      <c r="I70" s="63"/>
      <c r="J70" s="1059"/>
      <c r="K70" s="1060"/>
      <c r="L70" s="68"/>
      <c r="M70" s="135"/>
      <c r="N70" s="68"/>
      <c r="O70" s="136"/>
    </row>
    <row r="71" spans="2:18" x14ac:dyDescent="0.2">
      <c r="B71" s="803"/>
      <c r="C71" s="822"/>
      <c r="D71" s="782" t="s">
        <v>186</v>
      </c>
      <c r="E71" s="783"/>
      <c r="F71" s="783"/>
      <c r="G71" s="81">
        <v>0</v>
      </c>
      <c r="H71" s="78">
        <f t="shared" si="5"/>
        <v>0</v>
      </c>
      <c r="I71" s="63"/>
      <c r="J71" s="82" t="s">
        <v>187</v>
      </c>
      <c r="K71" s="71"/>
      <c r="L71" s="71"/>
      <c r="M71" s="71"/>
      <c r="N71" s="71"/>
      <c r="O71" s="72"/>
    </row>
    <row r="72" spans="2:18" ht="12.75" customHeight="1" x14ac:dyDescent="0.2">
      <c r="B72" s="803"/>
      <c r="C72" s="822"/>
      <c r="D72" s="784" t="s">
        <v>188</v>
      </c>
      <c r="E72" s="783"/>
      <c r="F72" s="783"/>
      <c r="G72" s="80">
        <v>0</v>
      </c>
      <c r="H72" s="78">
        <f t="shared" si="5"/>
        <v>0</v>
      </c>
      <c r="I72" s="63"/>
      <c r="J72" s="75" t="s">
        <v>189</v>
      </c>
      <c r="K72" s="50"/>
      <c r="L72" s="50"/>
      <c r="M72" s="50"/>
      <c r="N72" s="50"/>
      <c r="O72" s="83">
        <f>O42</f>
        <v>7800</v>
      </c>
    </row>
    <row r="73" spans="2:18" ht="14.25" customHeight="1" x14ac:dyDescent="0.2">
      <c r="B73" s="803"/>
      <c r="C73" s="822"/>
      <c r="D73" s="784" t="s">
        <v>270</v>
      </c>
      <c r="E73" s="783"/>
      <c r="F73" s="783"/>
      <c r="G73" s="84">
        <v>0</v>
      </c>
      <c r="H73" s="78">
        <f t="shared" si="5"/>
        <v>0</v>
      </c>
      <c r="I73" s="63"/>
      <c r="J73" s="64"/>
      <c r="K73" s="39"/>
      <c r="L73" s="39"/>
      <c r="M73" s="39"/>
      <c r="N73" s="39"/>
      <c r="O73" s="65"/>
    </row>
    <row r="74" spans="2:18" x14ac:dyDescent="0.2">
      <c r="B74" s="803"/>
      <c r="C74" s="822"/>
      <c r="D74" s="782" t="s">
        <v>191</v>
      </c>
      <c r="E74" s="783"/>
      <c r="F74" s="783"/>
      <c r="G74" s="81">
        <v>0</v>
      </c>
      <c r="H74" s="78">
        <f t="shared" si="5"/>
        <v>0</v>
      </c>
      <c r="I74" s="58"/>
      <c r="J74" s="150"/>
      <c r="K74" s="50"/>
      <c r="L74" s="50"/>
      <c r="M74" s="50"/>
      <c r="N74" s="50"/>
      <c r="O74" s="83"/>
    </row>
    <row r="75" spans="2:18" x14ac:dyDescent="0.2">
      <c r="B75" s="803"/>
      <c r="C75" s="88" t="s">
        <v>192</v>
      </c>
      <c r="D75" s="813" t="s">
        <v>193</v>
      </c>
      <c r="E75" s="814"/>
      <c r="F75" s="814"/>
      <c r="G75" s="80">
        <v>0</v>
      </c>
      <c r="H75" s="78">
        <f t="shared" si="5"/>
        <v>0</v>
      </c>
      <c r="I75" s="58"/>
      <c r="J75" s="79"/>
      <c r="K75" s="39"/>
      <c r="L75" s="39"/>
      <c r="M75" s="39"/>
      <c r="N75" s="39"/>
      <c r="O75" s="65"/>
    </row>
    <row r="76" spans="2:18" ht="13.5" customHeight="1" thickBot="1" x14ac:dyDescent="0.25">
      <c r="B76" s="803"/>
      <c r="C76" s="88" t="s">
        <v>194</v>
      </c>
      <c r="D76" s="815" t="s">
        <v>195</v>
      </c>
      <c r="E76" s="815"/>
      <c r="F76" s="815"/>
      <c r="G76" s="89">
        <v>0</v>
      </c>
      <c r="H76" s="90">
        <f>+G76</f>
        <v>0</v>
      </c>
      <c r="I76" s="63"/>
      <c r="J76" s="67"/>
      <c r="K76" s="68"/>
      <c r="L76" s="68"/>
      <c r="M76" s="91"/>
      <c r="N76" s="91"/>
      <c r="O76" s="92"/>
    </row>
    <row r="77" spans="2:18" ht="13.5" thickBot="1" x14ac:dyDescent="0.25">
      <c r="B77" s="803"/>
      <c r="C77" s="93"/>
      <c r="D77" s="94"/>
      <c r="E77" s="816" t="s">
        <v>117</v>
      </c>
      <c r="F77" s="817"/>
      <c r="G77" s="95">
        <f>SUM(G68:G76)</f>
        <v>310720</v>
      </c>
      <c r="H77" s="96">
        <f>IF(SUM(G68:G74)&lt;150000,SUM(G68:G74),150000)+IF(+G75&lt;20000,+G75,20000)</f>
        <v>150000</v>
      </c>
      <c r="I77" s="63"/>
      <c r="J77" s="140"/>
      <c r="K77" s="141"/>
      <c r="L77" s="141"/>
      <c r="M77" s="142"/>
      <c r="N77" s="142"/>
      <c r="O77" s="143"/>
    </row>
    <row r="78" spans="2:18" ht="12.75" customHeight="1" x14ac:dyDescent="0.2">
      <c r="B78" s="803"/>
      <c r="C78" s="100" t="s">
        <v>196</v>
      </c>
      <c r="D78" s="782" t="s">
        <v>187</v>
      </c>
      <c r="E78" s="783"/>
      <c r="F78" s="818"/>
      <c r="G78" s="73">
        <v>7800</v>
      </c>
      <c r="H78" s="221">
        <f>+IF(+G78&lt;25000,+G78,25000)</f>
        <v>7800</v>
      </c>
      <c r="I78" s="87"/>
    </row>
    <row r="79" spans="2:18" x14ac:dyDescent="0.2">
      <c r="B79" s="803"/>
      <c r="C79" s="100" t="s">
        <v>197</v>
      </c>
      <c r="D79" s="784" t="s">
        <v>198</v>
      </c>
      <c r="E79" s="785"/>
      <c r="F79" s="786"/>
      <c r="G79" s="102"/>
      <c r="H79" s="222">
        <f>+IF(+G79&lt;40000,+G79,40000)</f>
        <v>0</v>
      </c>
      <c r="I79" s="63"/>
    </row>
    <row r="80" spans="2:18" x14ac:dyDescent="0.2">
      <c r="B80" s="803"/>
      <c r="C80" s="100" t="s">
        <v>199</v>
      </c>
      <c r="D80" s="784" t="s">
        <v>200</v>
      </c>
      <c r="E80" s="785"/>
      <c r="F80" s="786"/>
      <c r="G80" s="81"/>
      <c r="H80" s="104">
        <v>0</v>
      </c>
      <c r="I80" s="63"/>
      <c r="J80" s="106"/>
    </row>
    <row r="81" spans="2:14" x14ac:dyDescent="0.2">
      <c r="B81" s="803"/>
      <c r="C81" s="100" t="s">
        <v>201</v>
      </c>
      <c r="D81" s="784" t="s">
        <v>202</v>
      </c>
      <c r="E81" s="785"/>
      <c r="F81" s="786"/>
      <c r="G81" s="81"/>
      <c r="H81" s="104">
        <v>0</v>
      </c>
      <c r="I81" s="63"/>
    </row>
    <row r="82" spans="2:14" ht="13.5" thickBot="1" x14ac:dyDescent="0.25">
      <c r="B82" s="804"/>
      <c r="C82" s="100" t="s">
        <v>203</v>
      </c>
      <c r="D82" s="784" t="s">
        <v>204</v>
      </c>
      <c r="E82" s="785"/>
      <c r="F82" s="786"/>
      <c r="G82" s="102"/>
      <c r="H82" s="222">
        <f>+IF(+G82&lt;100000,+G82,10000)</f>
        <v>0</v>
      </c>
      <c r="I82" s="63"/>
    </row>
    <row r="83" spans="2:14" ht="13.5" thickBot="1" x14ac:dyDescent="0.25">
      <c r="B83" s="787" t="s">
        <v>205</v>
      </c>
      <c r="C83" s="788"/>
      <c r="D83" s="788"/>
      <c r="E83" s="788"/>
      <c r="F83" s="788"/>
      <c r="G83" s="107">
        <f>SUM(G78:G82)</f>
        <v>7800</v>
      </c>
      <c r="H83" s="108">
        <f>SUM(H77:H82)</f>
        <v>157800</v>
      </c>
    </row>
    <row r="84" spans="2:14" ht="13.5" thickBot="1" x14ac:dyDescent="0.25">
      <c r="N84" s="16" t="s">
        <v>728</v>
      </c>
    </row>
    <row r="85" spans="2:14" ht="13.5" thickBot="1" x14ac:dyDescent="0.25">
      <c r="B85" s="789" t="s">
        <v>206</v>
      </c>
      <c r="C85" s="790"/>
      <c r="D85" s="790"/>
      <c r="E85" s="790"/>
      <c r="F85" s="791"/>
      <c r="G85" s="1055">
        <f>ROUND(+G64-H83,-1)</f>
        <v>941310</v>
      </c>
      <c r="H85" s="1056"/>
      <c r="J85" s="87"/>
      <c r="K85" s="87"/>
      <c r="L85" s="87"/>
      <c r="M85" s="87"/>
    </row>
    <row r="86" spans="2:14" x14ac:dyDescent="0.2">
      <c r="B86" s="110"/>
      <c r="F86" s="105"/>
      <c r="J86" s="87"/>
      <c r="K86" s="87"/>
      <c r="L86" s="87"/>
      <c r="M86" s="87"/>
    </row>
    <row r="87" spans="2:14" x14ac:dyDescent="0.2">
      <c r="C87" s="793" t="s">
        <v>207</v>
      </c>
      <c r="D87" s="794"/>
      <c r="E87" s="111" t="s">
        <v>208</v>
      </c>
      <c r="F87" s="111" t="s">
        <v>209</v>
      </c>
      <c r="G87" s="111" t="s">
        <v>210</v>
      </c>
      <c r="H87" s="111" t="s">
        <v>211</v>
      </c>
      <c r="J87" s="87"/>
      <c r="K87" s="47"/>
      <c r="L87" s="87"/>
      <c r="M87" s="87"/>
    </row>
    <row r="88" spans="2:14" x14ac:dyDescent="0.2">
      <c r="C88" s="795" t="str">
        <f>IF(I6="M","0          - 250000","0          -  250000")</f>
        <v>0          -  250000</v>
      </c>
      <c r="D88" s="796"/>
      <c r="E88" s="112">
        <v>0</v>
      </c>
      <c r="F88" s="113">
        <f>IF(I6="M",(IF(G85&lt;250000,G85,250000)),(IF(G85&lt;250000,G85,250000)))</f>
        <v>250000</v>
      </c>
      <c r="G88" s="113">
        <f>G85-F88</f>
        <v>691310</v>
      </c>
      <c r="H88" s="113">
        <f>E88*F88</f>
        <v>0</v>
      </c>
      <c r="J88" s="87"/>
      <c r="K88" s="157"/>
      <c r="L88" s="87"/>
      <c r="M88" s="87"/>
    </row>
    <row r="89" spans="2:14" x14ac:dyDescent="0.2">
      <c r="C89" s="795" t="str">
        <f>IF(I6="M","250001 - 500000","250001-500000")</f>
        <v>250001-500000</v>
      </c>
      <c r="D89" s="796"/>
      <c r="E89" s="112">
        <v>0.05</v>
      </c>
      <c r="F89" s="113">
        <f>IF(I6="M",(IF(G88&lt;250000,G88,250000)),(IF(G88&lt;250000,G88,250000)))</f>
        <v>250000</v>
      </c>
      <c r="G89" s="113">
        <f>G88-F89</f>
        <v>441310</v>
      </c>
      <c r="H89" s="114">
        <f>ROUND(E89*F89,0.1)</f>
        <v>12500</v>
      </c>
      <c r="J89" s="87"/>
      <c r="K89" s="87"/>
      <c r="L89" s="87"/>
      <c r="M89" s="87"/>
    </row>
    <row r="90" spans="2:14" x14ac:dyDescent="0.2">
      <c r="C90" s="797" t="s">
        <v>212</v>
      </c>
      <c r="D90" s="798"/>
      <c r="E90" s="112">
        <v>0.2</v>
      </c>
      <c r="F90" s="113">
        <f>IF(G89&lt;500000,G89,500000)</f>
        <v>441310</v>
      </c>
      <c r="G90" s="113">
        <f>G89-F90</f>
        <v>0</v>
      </c>
      <c r="H90" s="114">
        <f>ROUND(E90*F90,0.1)</f>
        <v>88262</v>
      </c>
      <c r="J90" s="87"/>
      <c r="K90" s="87"/>
      <c r="L90" s="87"/>
      <c r="M90" s="87"/>
    </row>
    <row r="91" spans="2:14" x14ac:dyDescent="0.2">
      <c r="C91" s="795" t="s">
        <v>213</v>
      </c>
      <c r="D91" s="796"/>
      <c r="E91" s="112">
        <v>0.3</v>
      </c>
      <c r="F91" s="113">
        <f>G90</f>
        <v>0</v>
      </c>
      <c r="G91" s="113">
        <f>G90-F91</f>
        <v>0</v>
      </c>
      <c r="H91" s="114">
        <f>ROUND(E91*F91,0.1)</f>
        <v>0</v>
      </c>
      <c r="J91" s="87"/>
      <c r="K91" s="157"/>
      <c r="L91" s="87"/>
      <c r="M91" s="87"/>
    </row>
    <row r="92" spans="2:14" ht="12.75" customHeight="1" thickBot="1" x14ac:dyDescent="0.25">
      <c r="B92" s="116"/>
      <c r="C92" s="117"/>
      <c r="D92" s="47"/>
      <c r="E92" s="47"/>
      <c r="F92" s="47"/>
      <c r="J92" s="87"/>
      <c r="K92" s="118"/>
      <c r="L92" s="87"/>
      <c r="M92" s="87"/>
    </row>
    <row r="93" spans="2:14" ht="14.25" customHeight="1" thickBot="1" x14ac:dyDescent="0.25">
      <c r="B93" s="799" t="s">
        <v>239</v>
      </c>
      <c r="C93" s="800"/>
      <c r="D93" s="800"/>
      <c r="E93" s="800"/>
      <c r="F93" s="801"/>
      <c r="G93" s="771">
        <f>H88+H89+H90+H91</f>
        <v>100762</v>
      </c>
      <c r="H93" s="772"/>
      <c r="J93" s="87"/>
      <c r="K93" s="87"/>
      <c r="L93" s="87"/>
      <c r="M93" s="87"/>
    </row>
    <row r="94" spans="2:14" ht="14.25" customHeight="1" thickBot="1" x14ac:dyDescent="0.25">
      <c r="B94" s="119" t="s">
        <v>215</v>
      </c>
      <c r="C94" s="120"/>
      <c r="D94" s="120"/>
      <c r="E94" s="120"/>
      <c r="F94" s="120"/>
      <c r="G94" s="884">
        <f>IF((G64&lt;500000),5000,0)</f>
        <v>0</v>
      </c>
      <c r="H94" s="885">
        <f>IF(H92&lt;200000,0,IF(H92&lt;220000,((H92-200000)*10%),IF(H92&lt;=500000,2000,IF(H92&gt;=500000,0))))</f>
        <v>0</v>
      </c>
    </row>
    <row r="95" spans="2:14" ht="14.25" customHeight="1" thickBot="1" x14ac:dyDescent="0.25">
      <c r="B95" s="122" t="s">
        <v>216</v>
      </c>
      <c r="C95" s="123"/>
      <c r="D95" s="123"/>
      <c r="E95" s="123"/>
      <c r="F95" s="123"/>
      <c r="G95" s="771">
        <f>IF((G93-G94)&lt;0,0,(G93-G94))</f>
        <v>100762</v>
      </c>
      <c r="H95" s="772"/>
    </row>
    <row r="96" spans="2:14" ht="14.25" customHeight="1" thickBot="1" x14ac:dyDescent="0.25">
      <c r="B96" s="773" t="s">
        <v>240</v>
      </c>
      <c r="C96" s="774"/>
      <c r="D96" s="774"/>
      <c r="E96" s="774"/>
      <c r="F96" s="775"/>
      <c r="G96" s="776">
        <f>ROUND((IF(G95&gt;0,(G95*4%),0)),0)</f>
        <v>4030</v>
      </c>
      <c r="H96" s="777"/>
    </row>
    <row r="97" spans="2:8" ht="14.25" customHeight="1" thickBot="1" x14ac:dyDescent="0.25">
      <c r="B97" s="778" t="s">
        <v>218</v>
      </c>
      <c r="C97" s="779"/>
      <c r="D97" s="779"/>
      <c r="E97" s="779"/>
      <c r="F97" s="779"/>
      <c r="G97" s="780">
        <f>+G95+G96</f>
        <v>104792</v>
      </c>
      <c r="H97" s="781"/>
    </row>
    <row r="98" spans="2:8" ht="13.5" thickBot="1" x14ac:dyDescent="0.25">
      <c r="B98" s="765" t="s">
        <v>219</v>
      </c>
      <c r="C98" s="766"/>
      <c r="D98" s="766"/>
      <c r="E98" s="766"/>
      <c r="F98" s="766"/>
      <c r="G98" s="767">
        <f>O38</f>
        <v>104800</v>
      </c>
      <c r="H98" s="768"/>
    </row>
    <row r="99" spans="2:8" ht="13.5" thickBot="1" x14ac:dyDescent="0.25">
      <c r="B99" s="765" t="str">
        <f>IF(G99&gt;0,"TAX PAYABLE","TAX REFUND")</f>
        <v>TAX REFUND</v>
      </c>
      <c r="C99" s="766"/>
      <c r="D99" s="766"/>
      <c r="E99" s="766"/>
      <c r="F99" s="766"/>
      <c r="G99" s="767">
        <f>+G97-G98</f>
        <v>-8</v>
      </c>
      <c r="H99" s="768"/>
    </row>
    <row r="100" spans="2:8" x14ac:dyDescent="0.2">
      <c r="C100" s="39"/>
      <c r="D100" s="126"/>
      <c r="E100" s="126"/>
      <c r="F100" s="39"/>
      <c r="G100" s="39"/>
      <c r="H100" s="39"/>
    </row>
    <row r="101" spans="2:8" x14ac:dyDescent="0.2">
      <c r="C101" s="39"/>
      <c r="D101" s="39"/>
      <c r="E101" s="39"/>
      <c r="F101" s="39"/>
      <c r="G101" s="39"/>
      <c r="H101" s="39"/>
    </row>
    <row r="102" spans="2:8" x14ac:dyDescent="0.2">
      <c r="C102" s="39"/>
      <c r="D102" s="39"/>
      <c r="E102" s="39"/>
      <c r="F102" s="39"/>
      <c r="G102" s="39"/>
      <c r="H102" s="39"/>
    </row>
    <row r="103" spans="2:8" x14ac:dyDescent="0.2">
      <c r="C103" s="39"/>
      <c r="D103" s="39"/>
      <c r="E103" s="39"/>
      <c r="F103" s="39"/>
      <c r="G103" s="39"/>
      <c r="H103" s="39"/>
    </row>
  </sheetData>
  <mergeCells count="96">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C7:G7"/>
    <mergeCell ref="L7:O7"/>
    <mergeCell ref="A8:B8"/>
    <mergeCell ref="A21:A33"/>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G61:H61"/>
    <mergeCell ref="C62:F62"/>
    <mergeCell ref="G62:H62"/>
    <mergeCell ref="J62:O62"/>
    <mergeCell ref="J67:K67"/>
    <mergeCell ref="B64:F64"/>
    <mergeCell ref="G64:H64"/>
    <mergeCell ref="B61:F61"/>
    <mergeCell ref="J68:K68"/>
    <mergeCell ref="D69:F69"/>
    <mergeCell ref="J69:K69"/>
    <mergeCell ref="D70:F70"/>
    <mergeCell ref="J70:K70"/>
    <mergeCell ref="B83:F83"/>
    <mergeCell ref="D72:F72"/>
    <mergeCell ref="D73:F73"/>
    <mergeCell ref="D74:F74"/>
    <mergeCell ref="D75:F75"/>
    <mergeCell ref="D76:F76"/>
    <mergeCell ref="E77:F77"/>
    <mergeCell ref="D78:F78"/>
    <mergeCell ref="D79:F79"/>
    <mergeCell ref="D80:F80"/>
    <mergeCell ref="D81:F81"/>
    <mergeCell ref="D82:F82"/>
    <mergeCell ref="B68:B82"/>
    <mergeCell ref="C68:C74"/>
    <mergeCell ref="D68:F68"/>
    <mergeCell ref="D71:F71"/>
    <mergeCell ref="B96:F96"/>
    <mergeCell ref="G96:H96"/>
    <mergeCell ref="B85:F85"/>
    <mergeCell ref="G85:H85"/>
    <mergeCell ref="C87:D87"/>
    <mergeCell ref="C88:D88"/>
    <mergeCell ref="C89:D89"/>
    <mergeCell ref="C90:D90"/>
    <mergeCell ref="C91:D91"/>
    <mergeCell ref="B93:F93"/>
    <mergeCell ref="G93:H93"/>
    <mergeCell ref="G94:H94"/>
    <mergeCell ref="G95:H95"/>
    <mergeCell ref="B97:F97"/>
    <mergeCell ref="G97:H97"/>
    <mergeCell ref="B98:F98"/>
    <mergeCell ref="G98:H98"/>
    <mergeCell ref="B99:F99"/>
    <mergeCell ref="G99:H99"/>
  </mergeCells>
  <conditionalFormatting sqref="B99:F99 B90:F90 B93:F97">
    <cfRule type="cellIs" dxfId="1985" priority="1" stopIfTrue="1" operator="equal">
      <formula>"TAX PAYABLE"</formula>
    </cfRule>
    <cfRule type="cellIs" dxfId="1984" priority="2" stopIfTrue="1" operator="equal">
      <formula>"TAX REFUND"</formula>
    </cfRule>
  </conditionalFormatting>
  <conditionalFormatting sqref="G99:H99">
    <cfRule type="cellIs" dxfId="1983" priority="3" stopIfTrue="1" operator="greaterThan">
      <formula>0</formula>
    </cfRule>
    <cfRule type="cellIs" dxfId="1982" priority="4" stopIfTrue="1" operator="lessThanOrEqual">
      <formula>0</formula>
    </cfRule>
  </conditionalFormatting>
  <conditionalFormatting sqref="G90:H90">
    <cfRule type="cellIs" dxfId="1981" priority="5" stopIfTrue="1" operator="lessThan">
      <formula>0</formula>
    </cfRule>
    <cfRule type="cellIs" dxfId="1980" priority="6" stopIfTrue="1" operator="greaterThan">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$Q$8:$Q$9</formula1>
    </dataValidation>
  </dataValidations>
  <pageMargins left="0.7" right="0.7" top="0.75" bottom="0.75" header="0.3" footer="0.3"/>
  <pageSetup paperSize="5" orientation="landscape" horizontalDpi="300" verticalDpi="300"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7"/>
  <sheetViews>
    <sheetView topLeftCell="A59" workbookViewId="0">
      <selection activeCell="Q70" sqref="Q70"/>
    </sheetView>
  </sheetViews>
  <sheetFormatPr defaultRowHeight="12.75" x14ac:dyDescent="0.2"/>
  <cols>
    <col min="1" max="1" width="5" style="16" customWidth="1"/>
    <col min="2" max="2" width="19" style="37" customWidth="1"/>
    <col min="3" max="3" width="9.140625" style="16"/>
    <col min="4" max="4" width="7.42578125" style="16" customWidth="1"/>
    <col min="5" max="5" width="8.5703125" style="16" bestFit="1" customWidth="1"/>
    <col min="6" max="8" width="8.140625" style="16" customWidth="1"/>
    <col min="9" max="9" width="7.140625" style="16" bestFit="1" customWidth="1"/>
    <col min="10" max="10" width="8.42578125" style="16" customWidth="1"/>
    <col min="11" max="15" width="7.8554687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9" style="16" customWidth="1"/>
    <col min="259" max="259" width="9.140625" style="16"/>
    <col min="260" max="260" width="7.42578125" style="16" customWidth="1"/>
    <col min="261" max="261" width="8.5703125" style="16" bestFit="1" customWidth="1"/>
    <col min="262" max="264" width="8.140625" style="16" customWidth="1"/>
    <col min="265" max="265" width="7.140625" style="16" bestFit="1" customWidth="1"/>
    <col min="266" max="266" width="8.42578125" style="16" customWidth="1"/>
    <col min="267" max="271" width="7.8554687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9" style="16" customWidth="1"/>
    <col min="515" max="515" width="9.140625" style="16"/>
    <col min="516" max="516" width="7.42578125" style="16" customWidth="1"/>
    <col min="517" max="517" width="8.5703125" style="16" bestFit="1" customWidth="1"/>
    <col min="518" max="520" width="8.140625" style="16" customWidth="1"/>
    <col min="521" max="521" width="7.140625" style="16" bestFit="1" customWidth="1"/>
    <col min="522" max="522" width="8.42578125" style="16" customWidth="1"/>
    <col min="523" max="527" width="7.8554687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9" style="16" customWidth="1"/>
    <col min="771" max="771" width="9.140625" style="16"/>
    <col min="772" max="772" width="7.42578125" style="16" customWidth="1"/>
    <col min="773" max="773" width="8.5703125" style="16" bestFit="1" customWidth="1"/>
    <col min="774" max="776" width="8.140625" style="16" customWidth="1"/>
    <col min="777" max="777" width="7.140625" style="16" bestFit="1" customWidth="1"/>
    <col min="778" max="778" width="8.42578125" style="16" customWidth="1"/>
    <col min="779" max="783" width="7.8554687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9" style="16" customWidth="1"/>
    <col min="1027" max="1027" width="9.140625" style="16"/>
    <col min="1028" max="1028" width="7.42578125" style="16" customWidth="1"/>
    <col min="1029" max="1029" width="8.5703125" style="16" bestFit="1" customWidth="1"/>
    <col min="1030" max="1032" width="8.140625" style="16" customWidth="1"/>
    <col min="1033" max="1033" width="7.140625" style="16" bestFit="1" customWidth="1"/>
    <col min="1034" max="1034" width="8.42578125" style="16" customWidth="1"/>
    <col min="1035" max="1039" width="7.8554687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9" style="16" customWidth="1"/>
    <col min="1283" max="1283" width="9.140625" style="16"/>
    <col min="1284" max="1284" width="7.42578125" style="16" customWidth="1"/>
    <col min="1285" max="1285" width="8.5703125" style="16" bestFit="1" customWidth="1"/>
    <col min="1286" max="1288" width="8.140625" style="16" customWidth="1"/>
    <col min="1289" max="1289" width="7.140625" style="16" bestFit="1" customWidth="1"/>
    <col min="1290" max="1290" width="8.42578125" style="16" customWidth="1"/>
    <col min="1291" max="1295" width="7.8554687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9" style="16" customWidth="1"/>
    <col min="1539" max="1539" width="9.140625" style="16"/>
    <col min="1540" max="1540" width="7.42578125" style="16" customWidth="1"/>
    <col min="1541" max="1541" width="8.5703125" style="16" bestFit="1" customWidth="1"/>
    <col min="1542" max="1544" width="8.140625" style="16" customWidth="1"/>
    <col min="1545" max="1545" width="7.140625" style="16" bestFit="1" customWidth="1"/>
    <col min="1546" max="1546" width="8.42578125" style="16" customWidth="1"/>
    <col min="1547" max="1551" width="7.8554687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9" style="16" customWidth="1"/>
    <col min="1795" max="1795" width="9.140625" style="16"/>
    <col min="1796" max="1796" width="7.42578125" style="16" customWidth="1"/>
    <col min="1797" max="1797" width="8.5703125" style="16" bestFit="1" customWidth="1"/>
    <col min="1798" max="1800" width="8.140625" style="16" customWidth="1"/>
    <col min="1801" max="1801" width="7.140625" style="16" bestFit="1" customWidth="1"/>
    <col min="1802" max="1802" width="8.42578125" style="16" customWidth="1"/>
    <col min="1803" max="1807" width="7.8554687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9" style="16" customWidth="1"/>
    <col min="2051" max="2051" width="9.140625" style="16"/>
    <col min="2052" max="2052" width="7.42578125" style="16" customWidth="1"/>
    <col min="2053" max="2053" width="8.5703125" style="16" bestFit="1" customWidth="1"/>
    <col min="2054" max="2056" width="8.140625" style="16" customWidth="1"/>
    <col min="2057" max="2057" width="7.140625" style="16" bestFit="1" customWidth="1"/>
    <col min="2058" max="2058" width="8.42578125" style="16" customWidth="1"/>
    <col min="2059" max="2063" width="7.8554687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9" style="16" customWidth="1"/>
    <col min="2307" max="2307" width="9.140625" style="16"/>
    <col min="2308" max="2308" width="7.42578125" style="16" customWidth="1"/>
    <col min="2309" max="2309" width="8.5703125" style="16" bestFit="1" customWidth="1"/>
    <col min="2310" max="2312" width="8.140625" style="16" customWidth="1"/>
    <col min="2313" max="2313" width="7.140625" style="16" bestFit="1" customWidth="1"/>
    <col min="2314" max="2314" width="8.42578125" style="16" customWidth="1"/>
    <col min="2315" max="2319" width="7.8554687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9" style="16" customWidth="1"/>
    <col min="2563" max="2563" width="9.140625" style="16"/>
    <col min="2564" max="2564" width="7.42578125" style="16" customWidth="1"/>
    <col min="2565" max="2565" width="8.5703125" style="16" bestFit="1" customWidth="1"/>
    <col min="2566" max="2568" width="8.140625" style="16" customWidth="1"/>
    <col min="2569" max="2569" width="7.140625" style="16" bestFit="1" customWidth="1"/>
    <col min="2570" max="2570" width="8.42578125" style="16" customWidth="1"/>
    <col min="2571" max="2575" width="7.8554687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9" style="16" customWidth="1"/>
    <col min="2819" max="2819" width="9.140625" style="16"/>
    <col min="2820" max="2820" width="7.42578125" style="16" customWidth="1"/>
    <col min="2821" max="2821" width="8.5703125" style="16" bestFit="1" customWidth="1"/>
    <col min="2822" max="2824" width="8.140625" style="16" customWidth="1"/>
    <col min="2825" max="2825" width="7.140625" style="16" bestFit="1" customWidth="1"/>
    <col min="2826" max="2826" width="8.42578125" style="16" customWidth="1"/>
    <col min="2827" max="2831" width="7.8554687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9" style="16" customWidth="1"/>
    <col min="3075" max="3075" width="9.140625" style="16"/>
    <col min="3076" max="3076" width="7.42578125" style="16" customWidth="1"/>
    <col min="3077" max="3077" width="8.5703125" style="16" bestFit="1" customWidth="1"/>
    <col min="3078" max="3080" width="8.140625" style="16" customWidth="1"/>
    <col min="3081" max="3081" width="7.140625" style="16" bestFit="1" customWidth="1"/>
    <col min="3082" max="3082" width="8.42578125" style="16" customWidth="1"/>
    <col min="3083" max="3087" width="7.8554687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9" style="16" customWidth="1"/>
    <col min="3331" max="3331" width="9.140625" style="16"/>
    <col min="3332" max="3332" width="7.42578125" style="16" customWidth="1"/>
    <col min="3333" max="3333" width="8.5703125" style="16" bestFit="1" customWidth="1"/>
    <col min="3334" max="3336" width="8.140625" style="16" customWidth="1"/>
    <col min="3337" max="3337" width="7.140625" style="16" bestFit="1" customWidth="1"/>
    <col min="3338" max="3338" width="8.42578125" style="16" customWidth="1"/>
    <col min="3339" max="3343" width="7.8554687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9" style="16" customWidth="1"/>
    <col min="3587" max="3587" width="9.140625" style="16"/>
    <col min="3588" max="3588" width="7.42578125" style="16" customWidth="1"/>
    <col min="3589" max="3589" width="8.5703125" style="16" bestFit="1" customWidth="1"/>
    <col min="3590" max="3592" width="8.140625" style="16" customWidth="1"/>
    <col min="3593" max="3593" width="7.140625" style="16" bestFit="1" customWidth="1"/>
    <col min="3594" max="3594" width="8.42578125" style="16" customWidth="1"/>
    <col min="3595" max="3599" width="7.8554687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9" style="16" customWidth="1"/>
    <col min="3843" max="3843" width="9.140625" style="16"/>
    <col min="3844" max="3844" width="7.42578125" style="16" customWidth="1"/>
    <col min="3845" max="3845" width="8.5703125" style="16" bestFit="1" customWidth="1"/>
    <col min="3846" max="3848" width="8.140625" style="16" customWidth="1"/>
    <col min="3849" max="3849" width="7.140625" style="16" bestFit="1" customWidth="1"/>
    <col min="3850" max="3850" width="8.42578125" style="16" customWidth="1"/>
    <col min="3851" max="3855" width="7.8554687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9" style="16" customWidth="1"/>
    <col min="4099" max="4099" width="9.140625" style="16"/>
    <col min="4100" max="4100" width="7.42578125" style="16" customWidth="1"/>
    <col min="4101" max="4101" width="8.5703125" style="16" bestFit="1" customWidth="1"/>
    <col min="4102" max="4104" width="8.140625" style="16" customWidth="1"/>
    <col min="4105" max="4105" width="7.140625" style="16" bestFit="1" customWidth="1"/>
    <col min="4106" max="4106" width="8.42578125" style="16" customWidth="1"/>
    <col min="4107" max="4111" width="7.8554687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9" style="16" customWidth="1"/>
    <col min="4355" max="4355" width="9.140625" style="16"/>
    <col min="4356" max="4356" width="7.42578125" style="16" customWidth="1"/>
    <col min="4357" max="4357" width="8.5703125" style="16" bestFit="1" customWidth="1"/>
    <col min="4358" max="4360" width="8.140625" style="16" customWidth="1"/>
    <col min="4361" max="4361" width="7.140625" style="16" bestFit="1" customWidth="1"/>
    <col min="4362" max="4362" width="8.42578125" style="16" customWidth="1"/>
    <col min="4363" max="4367" width="7.8554687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9" style="16" customWidth="1"/>
    <col min="4611" max="4611" width="9.140625" style="16"/>
    <col min="4612" max="4612" width="7.42578125" style="16" customWidth="1"/>
    <col min="4613" max="4613" width="8.5703125" style="16" bestFit="1" customWidth="1"/>
    <col min="4614" max="4616" width="8.140625" style="16" customWidth="1"/>
    <col min="4617" max="4617" width="7.140625" style="16" bestFit="1" customWidth="1"/>
    <col min="4618" max="4618" width="8.42578125" style="16" customWidth="1"/>
    <col min="4619" max="4623" width="7.8554687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9" style="16" customWidth="1"/>
    <col min="4867" max="4867" width="9.140625" style="16"/>
    <col min="4868" max="4868" width="7.42578125" style="16" customWidth="1"/>
    <col min="4869" max="4869" width="8.5703125" style="16" bestFit="1" customWidth="1"/>
    <col min="4870" max="4872" width="8.140625" style="16" customWidth="1"/>
    <col min="4873" max="4873" width="7.140625" style="16" bestFit="1" customWidth="1"/>
    <col min="4874" max="4874" width="8.42578125" style="16" customWidth="1"/>
    <col min="4875" max="4879" width="7.8554687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9" style="16" customWidth="1"/>
    <col min="5123" max="5123" width="9.140625" style="16"/>
    <col min="5124" max="5124" width="7.42578125" style="16" customWidth="1"/>
    <col min="5125" max="5125" width="8.5703125" style="16" bestFit="1" customWidth="1"/>
    <col min="5126" max="5128" width="8.140625" style="16" customWidth="1"/>
    <col min="5129" max="5129" width="7.140625" style="16" bestFit="1" customWidth="1"/>
    <col min="5130" max="5130" width="8.42578125" style="16" customWidth="1"/>
    <col min="5131" max="5135" width="7.8554687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9" style="16" customWidth="1"/>
    <col min="5379" max="5379" width="9.140625" style="16"/>
    <col min="5380" max="5380" width="7.42578125" style="16" customWidth="1"/>
    <col min="5381" max="5381" width="8.5703125" style="16" bestFit="1" customWidth="1"/>
    <col min="5382" max="5384" width="8.140625" style="16" customWidth="1"/>
    <col min="5385" max="5385" width="7.140625" style="16" bestFit="1" customWidth="1"/>
    <col min="5386" max="5386" width="8.42578125" style="16" customWidth="1"/>
    <col min="5387" max="5391" width="7.8554687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9" style="16" customWidth="1"/>
    <col min="5635" max="5635" width="9.140625" style="16"/>
    <col min="5636" max="5636" width="7.42578125" style="16" customWidth="1"/>
    <col min="5637" max="5637" width="8.5703125" style="16" bestFit="1" customWidth="1"/>
    <col min="5638" max="5640" width="8.140625" style="16" customWidth="1"/>
    <col min="5641" max="5641" width="7.140625" style="16" bestFit="1" customWidth="1"/>
    <col min="5642" max="5642" width="8.42578125" style="16" customWidth="1"/>
    <col min="5643" max="5647" width="7.8554687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9" style="16" customWidth="1"/>
    <col min="5891" max="5891" width="9.140625" style="16"/>
    <col min="5892" max="5892" width="7.42578125" style="16" customWidth="1"/>
    <col min="5893" max="5893" width="8.5703125" style="16" bestFit="1" customWidth="1"/>
    <col min="5894" max="5896" width="8.140625" style="16" customWidth="1"/>
    <col min="5897" max="5897" width="7.140625" style="16" bestFit="1" customWidth="1"/>
    <col min="5898" max="5898" width="8.42578125" style="16" customWidth="1"/>
    <col min="5899" max="5903" width="7.8554687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9" style="16" customWidth="1"/>
    <col min="6147" max="6147" width="9.140625" style="16"/>
    <col min="6148" max="6148" width="7.42578125" style="16" customWidth="1"/>
    <col min="6149" max="6149" width="8.5703125" style="16" bestFit="1" customWidth="1"/>
    <col min="6150" max="6152" width="8.140625" style="16" customWidth="1"/>
    <col min="6153" max="6153" width="7.140625" style="16" bestFit="1" customWidth="1"/>
    <col min="6154" max="6154" width="8.42578125" style="16" customWidth="1"/>
    <col min="6155" max="6159" width="7.8554687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9" style="16" customWidth="1"/>
    <col min="6403" max="6403" width="9.140625" style="16"/>
    <col min="6404" max="6404" width="7.42578125" style="16" customWidth="1"/>
    <col min="6405" max="6405" width="8.5703125" style="16" bestFit="1" customWidth="1"/>
    <col min="6406" max="6408" width="8.140625" style="16" customWidth="1"/>
    <col min="6409" max="6409" width="7.140625" style="16" bestFit="1" customWidth="1"/>
    <col min="6410" max="6410" width="8.42578125" style="16" customWidth="1"/>
    <col min="6411" max="6415" width="7.8554687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9" style="16" customWidth="1"/>
    <col min="6659" max="6659" width="9.140625" style="16"/>
    <col min="6660" max="6660" width="7.42578125" style="16" customWidth="1"/>
    <col min="6661" max="6661" width="8.5703125" style="16" bestFit="1" customWidth="1"/>
    <col min="6662" max="6664" width="8.140625" style="16" customWidth="1"/>
    <col min="6665" max="6665" width="7.140625" style="16" bestFit="1" customWidth="1"/>
    <col min="6666" max="6666" width="8.42578125" style="16" customWidth="1"/>
    <col min="6667" max="6671" width="7.8554687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9" style="16" customWidth="1"/>
    <col min="6915" max="6915" width="9.140625" style="16"/>
    <col min="6916" max="6916" width="7.42578125" style="16" customWidth="1"/>
    <col min="6917" max="6917" width="8.5703125" style="16" bestFit="1" customWidth="1"/>
    <col min="6918" max="6920" width="8.140625" style="16" customWidth="1"/>
    <col min="6921" max="6921" width="7.140625" style="16" bestFit="1" customWidth="1"/>
    <col min="6922" max="6922" width="8.42578125" style="16" customWidth="1"/>
    <col min="6923" max="6927" width="7.8554687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9" style="16" customWidth="1"/>
    <col min="7171" max="7171" width="9.140625" style="16"/>
    <col min="7172" max="7172" width="7.42578125" style="16" customWidth="1"/>
    <col min="7173" max="7173" width="8.5703125" style="16" bestFit="1" customWidth="1"/>
    <col min="7174" max="7176" width="8.140625" style="16" customWidth="1"/>
    <col min="7177" max="7177" width="7.140625" style="16" bestFit="1" customWidth="1"/>
    <col min="7178" max="7178" width="8.42578125" style="16" customWidth="1"/>
    <col min="7179" max="7183" width="7.8554687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9" style="16" customWidth="1"/>
    <col min="7427" max="7427" width="9.140625" style="16"/>
    <col min="7428" max="7428" width="7.42578125" style="16" customWidth="1"/>
    <col min="7429" max="7429" width="8.5703125" style="16" bestFit="1" customWidth="1"/>
    <col min="7430" max="7432" width="8.140625" style="16" customWidth="1"/>
    <col min="7433" max="7433" width="7.140625" style="16" bestFit="1" customWidth="1"/>
    <col min="7434" max="7434" width="8.42578125" style="16" customWidth="1"/>
    <col min="7435" max="7439" width="7.8554687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9" style="16" customWidth="1"/>
    <col min="7683" max="7683" width="9.140625" style="16"/>
    <col min="7684" max="7684" width="7.42578125" style="16" customWidth="1"/>
    <col min="7685" max="7685" width="8.5703125" style="16" bestFit="1" customWidth="1"/>
    <col min="7686" max="7688" width="8.140625" style="16" customWidth="1"/>
    <col min="7689" max="7689" width="7.140625" style="16" bestFit="1" customWidth="1"/>
    <col min="7690" max="7690" width="8.42578125" style="16" customWidth="1"/>
    <col min="7691" max="7695" width="7.8554687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9" style="16" customWidth="1"/>
    <col min="7939" max="7939" width="9.140625" style="16"/>
    <col min="7940" max="7940" width="7.42578125" style="16" customWidth="1"/>
    <col min="7941" max="7941" width="8.5703125" style="16" bestFit="1" customWidth="1"/>
    <col min="7942" max="7944" width="8.140625" style="16" customWidth="1"/>
    <col min="7945" max="7945" width="7.140625" style="16" bestFit="1" customWidth="1"/>
    <col min="7946" max="7946" width="8.42578125" style="16" customWidth="1"/>
    <col min="7947" max="7951" width="7.8554687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9" style="16" customWidth="1"/>
    <col min="8195" max="8195" width="9.140625" style="16"/>
    <col min="8196" max="8196" width="7.42578125" style="16" customWidth="1"/>
    <col min="8197" max="8197" width="8.5703125" style="16" bestFit="1" customWidth="1"/>
    <col min="8198" max="8200" width="8.140625" style="16" customWidth="1"/>
    <col min="8201" max="8201" width="7.140625" style="16" bestFit="1" customWidth="1"/>
    <col min="8202" max="8202" width="8.42578125" style="16" customWidth="1"/>
    <col min="8203" max="8207" width="7.8554687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9" style="16" customWidth="1"/>
    <col min="8451" max="8451" width="9.140625" style="16"/>
    <col min="8452" max="8452" width="7.42578125" style="16" customWidth="1"/>
    <col min="8453" max="8453" width="8.5703125" style="16" bestFit="1" customWidth="1"/>
    <col min="8454" max="8456" width="8.140625" style="16" customWidth="1"/>
    <col min="8457" max="8457" width="7.140625" style="16" bestFit="1" customWidth="1"/>
    <col min="8458" max="8458" width="8.42578125" style="16" customWidth="1"/>
    <col min="8459" max="8463" width="7.8554687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9" style="16" customWidth="1"/>
    <col min="8707" max="8707" width="9.140625" style="16"/>
    <col min="8708" max="8708" width="7.42578125" style="16" customWidth="1"/>
    <col min="8709" max="8709" width="8.5703125" style="16" bestFit="1" customWidth="1"/>
    <col min="8710" max="8712" width="8.140625" style="16" customWidth="1"/>
    <col min="8713" max="8713" width="7.140625" style="16" bestFit="1" customWidth="1"/>
    <col min="8714" max="8714" width="8.42578125" style="16" customWidth="1"/>
    <col min="8715" max="8719" width="7.8554687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9" style="16" customWidth="1"/>
    <col min="8963" max="8963" width="9.140625" style="16"/>
    <col min="8964" max="8964" width="7.42578125" style="16" customWidth="1"/>
    <col min="8965" max="8965" width="8.5703125" style="16" bestFit="1" customWidth="1"/>
    <col min="8966" max="8968" width="8.140625" style="16" customWidth="1"/>
    <col min="8969" max="8969" width="7.140625" style="16" bestFit="1" customWidth="1"/>
    <col min="8970" max="8970" width="8.42578125" style="16" customWidth="1"/>
    <col min="8971" max="8975" width="7.8554687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9" style="16" customWidth="1"/>
    <col min="9219" max="9219" width="9.140625" style="16"/>
    <col min="9220" max="9220" width="7.42578125" style="16" customWidth="1"/>
    <col min="9221" max="9221" width="8.5703125" style="16" bestFit="1" customWidth="1"/>
    <col min="9222" max="9224" width="8.140625" style="16" customWidth="1"/>
    <col min="9225" max="9225" width="7.140625" style="16" bestFit="1" customWidth="1"/>
    <col min="9226" max="9226" width="8.42578125" style="16" customWidth="1"/>
    <col min="9227" max="9231" width="7.8554687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9" style="16" customWidth="1"/>
    <col min="9475" max="9475" width="9.140625" style="16"/>
    <col min="9476" max="9476" width="7.42578125" style="16" customWidth="1"/>
    <col min="9477" max="9477" width="8.5703125" style="16" bestFit="1" customWidth="1"/>
    <col min="9478" max="9480" width="8.140625" style="16" customWidth="1"/>
    <col min="9481" max="9481" width="7.140625" style="16" bestFit="1" customWidth="1"/>
    <col min="9482" max="9482" width="8.42578125" style="16" customWidth="1"/>
    <col min="9483" max="9487" width="7.8554687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9" style="16" customWidth="1"/>
    <col min="9731" max="9731" width="9.140625" style="16"/>
    <col min="9732" max="9732" width="7.42578125" style="16" customWidth="1"/>
    <col min="9733" max="9733" width="8.5703125" style="16" bestFit="1" customWidth="1"/>
    <col min="9734" max="9736" width="8.140625" style="16" customWidth="1"/>
    <col min="9737" max="9737" width="7.140625" style="16" bestFit="1" customWidth="1"/>
    <col min="9738" max="9738" width="8.42578125" style="16" customWidth="1"/>
    <col min="9739" max="9743" width="7.8554687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9" style="16" customWidth="1"/>
    <col min="9987" max="9987" width="9.140625" style="16"/>
    <col min="9988" max="9988" width="7.42578125" style="16" customWidth="1"/>
    <col min="9989" max="9989" width="8.5703125" style="16" bestFit="1" customWidth="1"/>
    <col min="9990" max="9992" width="8.140625" style="16" customWidth="1"/>
    <col min="9993" max="9993" width="7.140625" style="16" bestFit="1" customWidth="1"/>
    <col min="9994" max="9994" width="8.42578125" style="16" customWidth="1"/>
    <col min="9995" max="9999" width="7.8554687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9" style="16" customWidth="1"/>
    <col min="10243" max="10243" width="9.140625" style="16"/>
    <col min="10244" max="10244" width="7.42578125" style="16" customWidth="1"/>
    <col min="10245" max="10245" width="8.5703125" style="16" bestFit="1" customWidth="1"/>
    <col min="10246" max="10248" width="8.140625" style="16" customWidth="1"/>
    <col min="10249" max="10249" width="7.140625" style="16" bestFit="1" customWidth="1"/>
    <col min="10250" max="10250" width="8.42578125" style="16" customWidth="1"/>
    <col min="10251" max="10255" width="7.8554687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9" style="16" customWidth="1"/>
    <col min="10499" max="10499" width="9.140625" style="16"/>
    <col min="10500" max="10500" width="7.42578125" style="16" customWidth="1"/>
    <col min="10501" max="10501" width="8.5703125" style="16" bestFit="1" customWidth="1"/>
    <col min="10502" max="10504" width="8.140625" style="16" customWidth="1"/>
    <col min="10505" max="10505" width="7.140625" style="16" bestFit="1" customWidth="1"/>
    <col min="10506" max="10506" width="8.42578125" style="16" customWidth="1"/>
    <col min="10507" max="10511" width="7.8554687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9" style="16" customWidth="1"/>
    <col min="10755" max="10755" width="9.140625" style="16"/>
    <col min="10756" max="10756" width="7.42578125" style="16" customWidth="1"/>
    <col min="10757" max="10757" width="8.5703125" style="16" bestFit="1" customWidth="1"/>
    <col min="10758" max="10760" width="8.140625" style="16" customWidth="1"/>
    <col min="10761" max="10761" width="7.140625" style="16" bestFit="1" customWidth="1"/>
    <col min="10762" max="10762" width="8.42578125" style="16" customWidth="1"/>
    <col min="10763" max="10767" width="7.8554687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9" style="16" customWidth="1"/>
    <col min="11011" max="11011" width="9.140625" style="16"/>
    <col min="11012" max="11012" width="7.42578125" style="16" customWidth="1"/>
    <col min="11013" max="11013" width="8.5703125" style="16" bestFit="1" customWidth="1"/>
    <col min="11014" max="11016" width="8.140625" style="16" customWidth="1"/>
    <col min="11017" max="11017" width="7.140625" style="16" bestFit="1" customWidth="1"/>
    <col min="11018" max="11018" width="8.42578125" style="16" customWidth="1"/>
    <col min="11019" max="11023" width="7.8554687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9" style="16" customWidth="1"/>
    <col min="11267" max="11267" width="9.140625" style="16"/>
    <col min="11268" max="11268" width="7.42578125" style="16" customWidth="1"/>
    <col min="11269" max="11269" width="8.5703125" style="16" bestFit="1" customWidth="1"/>
    <col min="11270" max="11272" width="8.140625" style="16" customWidth="1"/>
    <col min="11273" max="11273" width="7.140625" style="16" bestFit="1" customWidth="1"/>
    <col min="11274" max="11274" width="8.42578125" style="16" customWidth="1"/>
    <col min="11275" max="11279" width="7.8554687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9" style="16" customWidth="1"/>
    <col min="11523" max="11523" width="9.140625" style="16"/>
    <col min="11524" max="11524" width="7.42578125" style="16" customWidth="1"/>
    <col min="11525" max="11525" width="8.5703125" style="16" bestFit="1" customWidth="1"/>
    <col min="11526" max="11528" width="8.140625" style="16" customWidth="1"/>
    <col min="11529" max="11529" width="7.140625" style="16" bestFit="1" customWidth="1"/>
    <col min="11530" max="11530" width="8.42578125" style="16" customWidth="1"/>
    <col min="11531" max="11535" width="7.8554687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9" style="16" customWidth="1"/>
    <col min="11779" max="11779" width="9.140625" style="16"/>
    <col min="11780" max="11780" width="7.42578125" style="16" customWidth="1"/>
    <col min="11781" max="11781" width="8.5703125" style="16" bestFit="1" customWidth="1"/>
    <col min="11782" max="11784" width="8.140625" style="16" customWidth="1"/>
    <col min="11785" max="11785" width="7.140625" style="16" bestFit="1" customWidth="1"/>
    <col min="11786" max="11786" width="8.42578125" style="16" customWidth="1"/>
    <col min="11787" max="11791" width="7.8554687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9" style="16" customWidth="1"/>
    <col min="12035" max="12035" width="9.140625" style="16"/>
    <col min="12036" max="12036" width="7.42578125" style="16" customWidth="1"/>
    <col min="12037" max="12037" width="8.5703125" style="16" bestFit="1" customWidth="1"/>
    <col min="12038" max="12040" width="8.140625" style="16" customWidth="1"/>
    <col min="12041" max="12041" width="7.140625" style="16" bestFit="1" customWidth="1"/>
    <col min="12042" max="12042" width="8.42578125" style="16" customWidth="1"/>
    <col min="12043" max="12047" width="7.8554687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9" style="16" customWidth="1"/>
    <col min="12291" max="12291" width="9.140625" style="16"/>
    <col min="12292" max="12292" width="7.42578125" style="16" customWidth="1"/>
    <col min="12293" max="12293" width="8.5703125" style="16" bestFit="1" customWidth="1"/>
    <col min="12294" max="12296" width="8.140625" style="16" customWidth="1"/>
    <col min="12297" max="12297" width="7.140625" style="16" bestFit="1" customWidth="1"/>
    <col min="12298" max="12298" width="8.42578125" style="16" customWidth="1"/>
    <col min="12299" max="12303" width="7.8554687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9" style="16" customWidth="1"/>
    <col min="12547" max="12547" width="9.140625" style="16"/>
    <col min="12548" max="12548" width="7.42578125" style="16" customWidth="1"/>
    <col min="12549" max="12549" width="8.5703125" style="16" bestFit="1" customWidth="1"/>
    <col min="12550" max="12552" width="8.140625" style="16" customWidth="1"/>
    <col min="12553" max="12553" width="7.140625" style="16" bestFit="1" customWidth="1"/>
    <col min="12554" max="12554" width="8.42578125" style="16" customWidth="1"/>
    <col min="12555" max="12559" width="7.8554687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9" style="16" customWidth="1"/>
    <col min="12803" max="12803" width="9.140625" style="16"/>
    <col min="12804" max="12804" width="7.42578125" style="16" customWidth="1"/>
    <col min="12805" max="12805" width="8.5703125" style="16" bestFit="1" customWidth="1"/>
    <col min="12806" max="12808" width="8.140625" style="16" customWidth="1"/>
    <col min="12809" max="12809" width="7.140625" style="16" bestFit="1" customWidth="1"/>
    <col min="12810" max="12810" width="8.42578125" style="16" customWidth="1"/>
    <col min="12811" max="12815" width="7.8554687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9" style="16" customWidth="1"/>
    <col min="13059" max="13059" width="9.140625" style="16"/>
    <col min="13060" max="13060" width="7.42578125" style="16" customWidth="1"/>
    <col min="13061" max="13061" width="8.5703125" style="16" bestFit="1" customWidth="1"/>
    <col min="13062" max="13064" width="8.140625" style="16" customWidth="1"/>
    <col min="13065" max="13065" width="7.140625" style="16" bestFit="1" customWidth="1"/>
    <col min="13066" max="13066" width="8.42578125" style="16" customWidth="1"/>
    <col min="13067" max="13071" width="7.8554687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9" style="16" customWidth="1"/>
    <col min="13315" max="13315" width="9.140625" style="16"/>
    <col min="13316" max="13316" width="7.42578125" style="16" customWidth="1"/>
    <col min="13317" max="13317" width="8.5703125" style="16" bestFit="1" customWidth="1"/>
    <col min="13318" max="13320" width="8.140625" style="16" customWidth="1"/>
    <col min="13321" max="13321" width="7.140625" style="16" bestFit="1" customWidth="1"/>
    <col min="13322" max="13322" width="8.42578125" style="16" customWidth="1"/>
    <col min="13323" max="13327" width="7.8554687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9" style="16" customWidth="1"/>
    <col min="13571" max="13571" width="9.140625" style="16"/>
    <col min="13572" max="13572" width="7.42578125" style="16" customWidth="1"/>
    <col min="13573" max="13573" width="8.5703125" style="16" bestFit="1" customWidth="1"/>
    <col min="13574" max="13576" width="8.140625" style="16" customWidth="1"/>
    <col min="13577" max="13577" width="7.140625" style="16" bestFit="1" customWidth="1"/>
    <col min="13578" max="13578" width="8.42578125" style="16" customWidth="1"/>
    <col min="13579" max="13583" width="7.8554687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9" style="16" customWidth="1"/>
    <col min="13827" max="13827" width="9.140625" style="16"/>
    <col min="13828" max="13828" width="7.42578125" style="16" customWidth="1"/>
    <col min="13829" max="13829" width="8.5703125" style="16" bestFit="1" customWidth="1"/>
    <col min="13830" max="13832" width="8.140625" style="16" customWidth="1"/>
    <col min="13833" max="13833" width="7.140625" style="16" bestFit="1" customWidth="1"/>
    <col min="13834" max="13834" width="8.42578125" style="16" customWidth="1"/>
    <col min="13835" max="13839" width="7.8554687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9" style="16" customWidth="1"/>
    <col min="14083" max="14083" width="9.140625" style="16"/>
    <col min="14084" max="14084" width="7.42578125" style="16" customWidth="1"/>
    <col min="14085" max="14085" width="8.5703125" style="16" bestFit="1" customWidth="1"/>
    <col min="14086" max="14088" width="8.140625" style="16" customWidth="1"/>
    <col min="14089" max="14089" width="7.140625" style="16" bestFit="1" customWidth="1"/>
    <col min="14090" max="14090" width="8.42578125" style="16" customWidth="1"/>
    <col min="14091" max="14095" width="7.8554687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9" style="16" customWidth="1"/>
    <col min="14339" max="14339" width="9.140625" style="16"/>
    <col min="14340" max="14340" width="7.42578125" style="16" customWidth="1"/>
    <col min="14341" max="14341" width="8.5703125" style="16" bestFit="1" customWidth="1"/>
    <col min="14342" max="14344" width="8.140625" style="16" customWidth="1"/>
    <col min="14345" max="14345" width="7.140625" style="16" bestFit="1" customWidth="1"/>
    <col min="14346" max="14346" width="8.42578125" style="16" customWidth="1"/>
    <col min="14347" max="14351" width="7.8554687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9" style="16" customWidth="1"/>
    <col min="14595" max="14595" width="9.140625" style="16"/>
    <col min="14596" max="14596" width="7.42578125" style="16" customWidth="1"/>
    <col min="14597" max="14597" width="8.5703125" style="16" bestFit="1" customWidth="1"/>
    <col min="14598" max="14600" width="8.140625" style="16" customWidth="1"/>
    <col min="14601" max="14601" width="7.140625" style="16" bestFit="1" customWidth="1"/>
    <col min="14602" max="14602" width="8.42578125" style="16" customWidth="1"/>
    <col min="14603" max="14607" width="7.8554687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9" style="16" customWidth="1"/>
    <col min="14851" max="14851" width="9.140625" style="16"/>
    <col min="14852" max="14852" width="7.42578125" style="16" customWidth="1"/>
    <col min="14853" max="14853" width="8.5703125" style="16" bestFit="1" customWidth="1"/>
    <col min="14854" max="14856" width="8.140625" style="16" customWidth="1"/>
    <col min="14857" max="14857" width="7.140625" style="16" bestFit="1" customWidth="1"/>
    <col min="14858" max="14858" width="8.42578125" style="16" customWidth="1"/>
    <col min="14859" max="14863" width="7.8554687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9" style="16" customWidth="1"/>
    <col min="15107" max="15107" width="9.140625" style="16"/>
    <col min="15108" max="15108" width="7.42578125" style="16" customWidth="1"/>
    <col min="15109" max="15109" width="8.5703125" style="16" bestFit="1" customWidth="1"/>
    <col min="15110" max="15112" width="8.140625" style="16" customWidth="1"/>
    <col min="15113" max="15113" width="7.140625" style="16" bestFit="1" customWidth="1"/>
    <col min="15114" max="15114" width="8.42578125" style="16" customWidth="1"/>
    <col min="15115" max="15119" width="7.8554687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9" style="16" customWidth="1"/>
    <col min="15363" max="15363" width="9.140625" style="16"/>
    <col min="15364" max="15364" width="7.42578125" style="16" customWidth="1"/>
    <col min="15365" max="15365" width="8.5703125" style="16" bestFit="1" customWidth="1"/>
    <col min="15366" max="15368" width="8.140625" style="16" customWidth="1"/>
    <col min="15369" max="15369" width="7.140625" style="16" bestFit="1" customWidth="1"/>
    <col min="15370" max="15370" width="8.42578125" style="16" customWidth="1"/>
    <col min="15371" max="15375" width="7.8554687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9" style="16" customWidth="1"/>
    <col min="15619" max="15619" width="9.140625" style="16"/>
    <col min="15620" max="15620" width="7.42578125" style="16" customWidth="1"/>
    <col min="15621" max="15621" width="8.5703125" style="16" bestFit="1" customWidth="1"/>
    <col min="15622" max="15624" width="8.140625" style="16" customWidth="1"/>
    <col min="15625" max="15625" width="7.140625" style="16" bestFit="1" customWidth="1"/>
    <col min="15626" max="15626" width="8.42578125" style="16" customWidth="1"/>
    <col min="15627" max="15631" width="7.8554687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9" style="16" customWidth="1"/>
    <col min="15875" max="15875" width="9.140625" style="16"/>
    <col min="15876" max="15876" width="7.42578125" style="16" customWidth="1"/>
    <col min="15877" max="15877" width="8.5703125" style="16" bestFit="1" customWidth="1"/>
    <col min="15878" max="15880" width="8.140625" style="16" customWidth="1"/>
    <col min="15881" max="15881" width="7.140625" style="16" bestFit="1" customWidth="1"/>
    <col min="15882" max="15882" width="8.42578125" style="16" customWidth="1"/>
    <col min="15883" max="15887" width="7.8554687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9" style="16" customWidth="1"/>
    <col min="16131" max="16131" width="9.140625" style="16"/>
    <col min="16132" max="16132" width="7.42578125" style="16" customWidth="1"/>
    <col min="16133" max="16133" width="8.5703125" style="16" bestFit="1" customWidth="1"/>
    <col min="16134" max="16136" width="8.140625" style="16" customWidth="1"/>
    <col min="16137" max="16137" width="7.140625" style="16" bestFit="1" customWidth="1"/>
    <col min="16138" max="16138" width="8.42578125" style="16" customWidth="1"/>
    <col min="16139" max="16143" width="7.8554687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67" t="s">
        <v>100</v>
      </c>
      <c r="B1" s="868"/>
      <c r="C1" s="868"/>
      <c r="D1" s="869"/>
      <c r="E1" s="868"/>
      <c r="F1" s="868"/>
      <c r="G1" s="867" t="s">
        <v>102</v>
      </c>
      <c r="H1" s="869"/>
      <c r="I1" s="869" t="s">
        <v>84</v>
      </c>
      <c r="J1" s="868"/>
      <c r="K1" s="868"/>
      <c r="L1" s="870"/>
      <c r="M1" s="870"/>
      <c r="N1" s="870"/>
      <c r="O1" s="870"/>
    </row>
    <row r="2" spans="1:15" s="1" customFormat="1" x14ac:dyDescent="0.2">
      <c r="A2" s="867" t="s">
        <v>103</v>
      </c>
      <c r="B2" s="868"/>
      <c r="C2" s="868"/>
      <c r="D2" s="869"/>
      <c r="E2" s="868"/>
      <c r="F2" s="868"/>
      <c r="G2" s="867" t="s">
        <v>104</v>
      </c>
      <c r="H2" s="869"/>
      <c r="I2" s="869" t="s">
        <v>105</v>
      </c>
      <c r="J2" s="868"/>
      <c r="K2" s="868"/>
      <c r="L2" s="870"/>
      <c r="M2" s="870"/>
      <c r="N2" s="870"/>
      <c r="O2" s="870"/>
    </row>
    <row r="3" spans="1:15" s="1" customFormat="1" x14ac:dyDescent="0.2">
      <c r="A3" s="867" t="s">
        <v>106</v>
      </c>
      <c r="B3" s="868"/>
      <c r="C3" s="868"/>
      <c r="D3" s="883" t="s">
        <v>1154</v>
      </c>
      <c r="E3" s="868"/>
      <c r="F3" s="868"/>
      <c r="G3" s="867" t="s">
        <v>107</v>
      </c>
      <c r="H3" s="869"/>
      <c r="I3" s="869" t="s">
        <v>108</v>
      </c>
      <c r="J3" s="868"/>
      <c r="K3" s="868"/>
      <c r="L3" s="870"/>
      <c r="M3" s="870"/>
      <c r="N3" s="870"/>
      <c r="O3" s="870"/>
    </row>
    <row r="4" spans="1:15" s="1" customFormat="1" x14ac:dyDescent="0.2">
      <c r="A4" s="867" t="s">
        <v>109</v>
      </c>
      <c r="B4" s="868"/>
      <c r="C4" s="868"/>
      <c r="D4" s="869"/>
      <c r="E4" s="868"/>
      <c r="F4" s="868"/>
      <c r="G4" s="867" t="s">
        <v>110</v>
      </c>
      <c r="H4" s="869"/>
      <c r="I4" s="869" t="s">
        <v>272</v>
      </c>
      <c r="J4" s="868"/>
      <c r="K4" s="868"/>
      <c r="L4" s="870"/>
      <c r="M4" s="870"/>
      <c r="N4" s="870"/>
      <c r="O4" s="870"/>
    </row>
    <row r="5" spans="1:15" s="1" customFormat="1" x14ac:dyDescent="0.2">
      <c r="A5" s="867" t="s">
        <v>112</v>
      </c>
      <c r="B5" s="868"/>
      <c r="C5" s="868"/>
      <c r="D5" s="869" t="s">
        <v>1155</v>
      </c>
      <c r="E5" s="868"/>
      <c r="F5" s="868"/>
      <c r="G5" s="867"/>
      <c r="H5" s="868"/>
      <c r="I5" s="869" t="s">
        <v>113</v>
      </c>
      <c r="J5" s="868"/>
      <c r="K5" s="868"/>
      <c r="L5" s="870"/>
      <c r="M5" s="870"/>
      <c r="N5" s="870"/>
      <c r="O5" s="870"/>
    </row>
    <row r="6" spans="1:15" s="1" customFormat="1" x14ac:dyDescent="0.2">
      <c r="A6" s="871" t="s">
        <v>114</v>
      </c>
      <c r="B6" s="872"/>
      <c r="C6" s="872"/>
      <c r="D6" s="868" t="s">
        <v>85</v>
      </c>
      <c r="E6" s="868"/>
      <c r="F6" s="868"/>
      <c r="G6" s="871" t="s">
        <v>115</v>
      </c>
      <c r="H6" s="871"/>
      <c r="I6" s="2" t="s">
        <v>116</v>
      </c>
      <c r="J6" s="888"/>
      <c r="K6" s="888"/>
      <c r="L6" s="888"/>
      <c r="M6" s="888"/>
      <c r="N6" s="888"/>
      <c r="O6" s="889"/>
    </row>
    <row r="7" spans="1:15" s="1" customFormat="1" ht="13.5" thickBot="1" x14ac:dyDescent="0.25">
      <c r="A7" s="3"/>
      <c r="B7" s="4"/>
      <c r="C7" s="5"/>
      <c r="D7" s="6"/>
      <c r="E7" s="6"/>
      <c r="F7" s="6"/>
      <c r="G7" s="6"/>
      <c r="H7" s="6"/>
      <c r="I7" s="6"/>
      <c r="J7" s="7"/>
      <c r="K7" s="8"/>
      <c r="L7" s="875" t="s">
        <v>223</v>
      </c>
      <c r="M7" s="875"/>
      <c r="N7" s="875"/>
      <c r="O7" s="875"/>
    </row>
    <row r="8" spans="1:15" s="11" customFormat="1" x14ac:dyDescent="0.2">
      <c r="A8" s="876" t="str">
        <f>I1</f>
        <v>Mr. Paresh Ghate</v>
      </c>
      <c r="B8" s="877"/>
      <c r="C8" s="144">
        <v>43160</v>
      </c>
      <c r="D8" s="144">
        <v>43191</v>
      </c>
      <c r="E8" s="144">
        <v>43221</v>
      </c>
      <c r="F8" s="144">
        <v>43252</v>
      </c>
      <c r="G8" s="144">
        <v>43282</v>
      </c>
      <c r="H8" s="144">
        <v>43313</v>
      </c>
      <c r="I8" s="144">
        <v>43344</v>
      </c>
      <c r="J8" s="144">
        <v>43374</v>
      </c>
      <c r="K8" s="144">
        <v>43405</v>
      </c>
      <c r="L8" s="144">
        <v>43435</v>
      </c>
      <c r="M8" s="144">
        <v>43466</v>
      </c>
      <c r="N8" s="144">
        <v>43497</v>
      </c>
      <c r="O8" s="10" t="s">
        <v>117</v>
      </c>
    </row>
    <row r="9" spans="1:15" ht="15" x14ac:dyDescent="0.2">
      <c r="A9" s="12"/>
      <c r="B9" s="13" t="s">
        <v>118</v>
      </c>
      <c r="C9" s="14">
        <v>31100</v>
      </c>
      <c r="D9" s="14">
        <v>31100</v>
      </c>
      <c r="E9" s="14">
        <v>31100</v>
      </c>
      <c r="F9" s="14">
        <v>31100</v>
      </c>
      <c r="G9" s="14">
        <v>32000</v>
      </c>
      <c r="H9" s="14">
        <v>32000</v>
      </c>
      <c r="I9" s="14">
        <v>32000</v>
      </c>
      <c r="J9" s="14">
        <v>32000</v>
      </c>
      <c r="K9" s="14">
        <v>32000</v>
      </c>
      <c r="L9" s="14">
        <v>32000</v>
      </c>
      <c r="M9" s="14">
        <v>32000</v>
      </c>
      <c r="N9" s="14">
        <v>32000</v>
      </c>
      <c r="O9" s="15">
        <f>SUM(C9:N9)</f>
        <v>380400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1555</v>
      </c>
      <c r="D11" s="17">
        <v>2177</v>
      </c>
      <c r="E11" s="17">
        <v>2177</v>
      </c>
      <c r="F11" s="17">
        <v>2177</v>
      </c>
      <c r="G11" s="17">
        <v>2240</v>
      </c>
      <c r="H11" s="17">
        <v>2240</v>
      </c>
      <c r="I11" s="17">
        <v>2240</v>
      </c>
      <c r="J11" s="17">
        <v>2880</v>
      </c>
      <c r="K11" s="17">
        <v>2880</v>
      </c>
      <c r="L11" s="17">
        <v>2880</v>
      </c>
      <c r="M11" s="17">
        <v>2880</v>
      </c>
      <c r="N11" s="17">
        <v>2880</v>
      </c>
      <c r="O11" s="18">
        <f>SUM(C11:N11)</f>
        <v>29206</v>
      </c>
    </row>
    <row r="12" spans="1:15"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x14ac:dyDescent="0.2">
      <c r="A14" s="12"/>
      <c r="B14" s="13" t="s">
        <v>123</v>
      </c>
      <c r="C14" s="17">
        <v>3780</v>
      </c>
      <c r="D14" s="17">
        <v>3852</v>
      </c>
      <c r="E14" s="17">
        <v>3852</v>
      </c>
      <c r="F14" s="17">
        <v>3852</v>
      </c>
      <c r="G14" s="17">
        <v>3852</v>
      </c>
      <c r="H14" s="17">
        <v>3852</v>
      </c>
      <c r="I14" s="17">
        <v>3852</v>
      </c>
      <c r="J14" s="17">
        <v>3924</v>
      </c>
      <c r="K14" s="17">
        <v>3924</v>
      </c>
      <c r="L14" s="17">
        <v>3924</v>
      </c>
      <c r="M14" s="17">
        <v>3924</v>
      </c>
      <c r="N14" s="17">
        <v>3924</v>
      </c>
      <c r="O14" s="18">
        <f t="shared" si="0"/>
        <v>46512</v>
      </c>
    </row>
    <row r="15" spans="1:15"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x14ac:dyDescent="0.2">
      <c r="A16" s="12"/>
      <c r="B16" s="13" t="s">
        <v>125</v>
      </c>
      <c r="C16" s="17">
        <v>0</v>
      </c>
      <c r="D16" s="17">
        <v>0</v>
      </c>
      <c r="E16" s="17">
        <v>0</v>
      </c>
      <c r="F16" s="17">
        <v>0</v>
      </c>
      <c r="G16" s="17">
        <v>5000</v>
      </c>
      <c r="H16" s="17">
        <v>0</v>
      </c>
      <c r="I16" s="17">
        <v>0</v>
      </c>
      <c r="J16" s="17">
        <v>0</v>
      </c>
      <c r="K16" s="17">
        <v>0</v>
      </c>
      <c r="L16" s="17">
        <v>0</v>
      </c>
      <c r="M16" s="17">
        <v>0</v>
      </c>
      <c r="N16" s="17">
        <v>0</v>
      </c>
      <c r="O16" s="18">
        <f t="shared" si="0"/>
        <v>5000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7464</v>
      </c>
      <c r="D19" s="17">
        <v>7464</v>
      </c>
      <c r="E19" s="17">
        <v>7464</v>
      </c>
      <c r="F19" s="17">
        <v>7464</v>
      </c>
      <c r="G19" s="17">
        <v>7680</v>
      </c>
      <c r="H19" s="17">
        <v>7680</v>
      </c>
      <c r="I19" s="17">
        <v>7680</v>
      </c>
      <c r="J19" s="17">
        <v>7680</v>
      </c>
      <c r="K19" s="17">
        <v>7680</v>
      </c>
      <c r="L19" s="17">
        <v>7680</v>
      </c>
      <c r="M19" s="17">
        <v>7680</v>
      </c>
      <c r="N19" s="17">
        <v>7680</v>
      </c>
      <c r="O19" s="18">
        <f t="shared" si="0"/>
        <v>91296</v>
      </c>
    </row>
    <row r="20" spans="1:15" ht="15" customHeight="1" x14ac:dyDescent="0.2">
      <c r="A20" s="12"/>
      <c r="B20" s="13" t="s">
        <v>141</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78"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79"/>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5" ht="15" hidden="1" customHeight="1" x14ac:dyDescent="0.2">
      <c r="A23" s="879"/>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79"/>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79"/>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79"/>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79"/>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79"/>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79"/>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79"/>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79"/>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79"/>
      <c r="B32" s="21" t="s">
        <v>142</v>
      </c>
      <c r="C32" s="17">
        <v>0</v>
      </c>
      <c r="D32" s="17">
        <v>0</v>
      </c>
      <c r="E32" s="17">
        <v>0</v>
      </c>
      <c r="F32" s="17">
        <v>0</v>
      </c>
      <c r="G32" s="17">
        <v>0</v>
      </c>
      <c r="H32" s="17">
        <v>0</v>
      </c>
      <c r="I32" s="17">
        <v>0</v>
      </c>
      <c r="J32" s="17">
        <v>0</v>
      </c>
      <c r="K32" s="17">
        <v>0</v>
      </c>
      <c r="L32" s="17">
        <v>0</v>
      </c>
      <c r="M32" s="17">
        <v>0</v>
      </c>
      <c r="N32" s="17">
        <v>0</v>
      </c>
      <c r="O32" s="18">
        <f t="shared" si="0"/>
        <v>0</v>
      </c>
    </row>
    <row r="33" spans="1:16" ht="15" hidden="1" customHeight="1" x14ac:dyDescent="0.2">
      <c r="A33" s="880"/>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865" t="s">
        <v>144</v>
      </c>
      <c r="B34" s="866"/>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865" t="s">
        <v>145</v>
      </c>
      <c r="B35" s="866"/>
      <c r="C35" s="17">
        <v>0</v>
      </c>
      <c r="D35" s="17">
        <v>216</v>
      </c>
      <c r="E35" s="17">
        <v>0</v>
      </c>
      <c r="F35" s="17">
        <v>0</v>
      </c>
      <c r="G35" s="17">
        <v>0</v>
      </c>
      <c r="H35" s="17">
        <v>0</v>
      </c>
      <c r="I35" s="17">
        <v>0</v>
      </c>
      <c r="J35" s="17">
        <v>216</v>
      </c>
      <c r="K35" s="17">
        <v>0</v>
      </c>
      <c r="L35" s="17">
        <v>0</v>
      </c>
      <c r="M35" s="17">
        <v>0</v>
      </c>
      <c r="N35" s="17">
        <v>0</v>
      </c>
      <c r="O35" s="18">
        <f t="shared" si="0"/>
        <v>432</v>
      </c>
    </row>
    <row r="36" spans="1:16" ht="15" customHeight="1" x14ac:dyDescent="0.2">
      <c r="A36" s="865" t="s">
        <v>146</v>
      </c>
      <c r="B36" s="866"/>
      <c r="C36" s="17">
        <v>0</v>
      </c>
      <c r="D36" s="17">
        <v>1866</v>
      </c>
      <c r="E36" s="17">
        <v>0</v>
      </c>
      <c r="F36" s="17">
        <v>0</v>
      </c>
      <c r="G36" s="17">
        <v>0</v>
      </c>
      <c r="H36" s="17">
        <v>0</v>
      </c>
      <c r="I36" s="17">
        <v>0</v>
      </c>
      <c r="J36" s="17">
        <v>1920</v>
      </c>
      <c r="K36" s="17">
        <v>0</v>
      </c>
      <c r="L36" s="17">
        <v>0</v>
      </c>
      <c r="M36" s="17">
        <v>0</v>
      </c>
      <c r="N36" s="17">
        <v>0</v>
      </c>
      <c r="O36" s="18">
        <f t="shared" si="0"/>
        <v>3786</v>
      </c>
    </row>
    <row r="37" spans="1:16" ht="15" customHeight="1" x14ac:dyDescent="0.2">
      <c r="A37" s="22"/>
      <c r="B37" s="23" t="s">
        <v>147</v>
      </c>
      <c r="C37" s="24">
        <f t="shared" ref="C37:N37" si="1">SUM(C9:C36)</f>
        <v>43899</v>
      </c>
      <c r="D37" s="24">
        <f t="shared" si="1"/>
        <v>46675</v>
      </c>
      <c r="E37" s="24">
        <f t="shared" si="1"/>
        <v>44593</v>
      </c>
      <c r="F37" s="24">
        <f t="shared" si="1"/>
        <v>44593</v>
      </c>
      <c r="G37" s="24">
        <f t="shared" si="1"/>
        <v>50772</v>
      </c>
      <c r="H37" s="24">
        <f t="shared" si="1"/>
        <v>45772</v>
      </c>
      <c r="I37" s="24">
        <f t="shared" si="1"/>
        <v>45772</v>
      </c>
      <c r="J37" s="24">
        <f t="shared" si="1"/>
        <v>55528</v>
      </c>
      <c r="K37" s="24">
        <f t="shared" si="1"/>
        <v>46484</v>
      </c>
      <c r="L37" s="24">
        <f t="shared" si="1"/>
        <v>46484</v>
      </c>
      <c r="M37" s="24">
        <f t="shared" si="1"/>
        <v>46484</v>
      </c>
      <c r="N37" s="24">
        <f t="shared" si="1"/>
        <v>46484</v>
      </c>
      <c r="O37" s="25">
        <f>SUM(C37:N37)</f>
        <v>563540</v>
      </c>
    </row>
    <row r="38" spans="1:16" ht="15" customHeight="1" x14ac:dyDescent="0.2">
      <c r="A38" s="853" t="s">
        <v>148</v>
      </c>
      <c r="B38" s="27" t="s">
        <v>149</v>
      </c>
      <c r="C38" s="147">
        <v>0</v>
      </c>
      <c r="D38" s="147">
        <v>0</v>
      </c>
      <c r="E38" s="147">
        <v>0</v>
      </c>
      <c r="F38" s="147">
        <v>0</v>
      </c>
      <c r="G38" s="147">
        <v>0</v>
      </c>
      <c r="H38" s="147">
        <v>0</v>
      </c>
      <c r="I38" s="147">
        <v>0</v>
      </c>
      <c r="J38" s="147">
        <v>0</v>
      </c>
      <c r="K38" s="147">
        <v>2000</v>
      </c>
      <c r="L38" s="147">
        <v>1362</v>
      </c>
      <c r="M38" s="147">
        <v>1362</v>
      </c>
      <c r="N38" s="147">
        <v>1420</v>
      </c>
      <c r="O38" s="18">
        <f>SUM(C38:N38)</f>
        <v>6144</v>
      </c>
      <c r="P38" s="29"/>
    </row>
    <row r="39" spans="1:16" ht="15" x14ac:dyDescent="0.2">
      <c r="A39" s="854"/>
      <c r="B39" s="27" t="s">
        <v>150</v>
      </c>
      <c r="C39" s="147">
        <v>0</v>
      </c>
      <c r="D39" s="147">
        <v>0</v>
      </c>
      <c r="E39" s="147">
        <v>0</v>
      </c>
      <c r="F39" s="147">
        <v>0</v>
      </c>
      <c r="G39" s="147">
        <v>0</v>
      </c>
      <c r="H39" s="147">
        <v>0</v>
      </c>
      <c r="I39" s="147">
        <v>0</v>
      </c>
      <c r="J39" s="147">
        <v>0</v>
      </c>
      <c r="K39" s="147">
        <v>0</v>
      </c>
      <c r="L39" s="147">
        <v>0</v>
      </c>
      <c r="M39" s="147">
        <v>0</v>
      </c>
      <c r="N39" s="147">
        <v>0</v>
      </c>
      <c r="O39" s="18">
        <f>SUM(C39:N39)</f>
        <v>0</v>
      </c>
    </row>
    <row r="40" spans="1:16" ht="15" x14ac:dyDescent="0.2">
      <c r="A40" s="854"/>
      <c r="B40" s="27" t="s">
        <v>151</v>
      </c>
      <c r="C40" s="147">
        <v>30</v>
      </c>
      <c r="D40" s="147">
        <v>30</v>
      </c>
      <c r="E40" s="147">
        <v>30</v>
      </c>
      <c r="F40" s="147">
        <v>30</v>
      </c>
      <c r="G40" s="147">
        <v>30</v>
      </c>
      <c r="H40" s="147">
        <v>30</v>
      </c>
      <c r="I40" s="147">
        <v>30</v>
      </c>
      <c r="J40" s="147">
        <v>30</v>
      </c>
      <c r="K40" s="147">
        <v>30</v>
      </c>
      <c r="L40" s="147">
        <v>30</v>
      </c>
      <c r="M40" s="147">
        <v>30</v>
      </c>
      <c r="N40" s="147">
        <v>30</v>
      </c>
      <c r="O40" s="18">
        <f t="shared" ref="O40:O50" si="2">SUM(C40:N40)</f>
        <v>360</v>
      </c>
    </row>
    <row r="41" spans="1:16" ht="15" x14ac:dyDescent="0.2">
      <c r="A41" s="854"/>
      <c r="B41" s="27" t="s">
        <v>152</v>
      </c>
      <c r="C41" s="147">
        <v>0</v>
      </c>
      <c r="D41" s="147">
        <v>0</v>
      </c>
      <c r="E41" s="147">
        <v>0</v>
      </c>
      <c r="F41" s="147">
        <v>0</v>
      </c>
      <c r="G41" s="147">
        <v>0</v>
      </c>
      <c r="H41" s="147">
        <v>0</v>
      </c>
      <c r="I41" s="147">
        <v>0</v>
      </c>
      <c r="J41" s="147">
        <v>0</v>
      </c>
      <c r="K41" s="147">
        <v>0</v>
      </c>
      <c r="L41" s="147">
        <v>0</v>
      </c>
      <c r="M41" s="147">
        <v>0</v>
      </c>
      <c r="N41" s="147">
        <v>0</v>
      </c>
      <c r="O41" s="18">
        <f t="shared" si="2"/>
        <v>0</v>
      </c>
    </row>
    <row r="42" spans="1:16" ht="15" x14ac:dyDescent="0.2">
      <c r="A42" s="854"/>
      <c r="B42" s="27" t="s">
        <v>153</v>
      </c>
      <c r="C42" s="147">
        <v>250</v>
      </c>
      <c r="D42" s="147">
        <v>250</v>
      </c>
      <c r="E42" s="147">
        <v>250</v>
      </c>
      <c r="F42" s="147">
        <v>250</v>
      </c>
      <c r="G42" s="147">
        <v>250</v>
      </c>
      <c r="H42" s="147">
        <v>250</v>
      </c>
      <c r="I42" s="147">
        <v>250</v>
      </c>
      <c r="J42" s="147">
        <v>250</v>
      </c>
      <c r="K42" s="147">
        <v>250</v>
      </c>
      <c r="L42" s="147">
        <v>250</v>
      </c>
      <c r="M42" s="147">
        <v>250</v>
      </c>
      <c r="N42" s="147">
        <v>250</v>
      </c>
      <c r="O42" s="18">
        <f t="shared" si="2"/>
        <v>3000</v>
      </c>
    </row>
    <row r="43" spans="1:16" ht="15" x14ac:dyDescent="0.2">
      <c r="A43" s="854"/>
      <c r="B43" s="27" t="s">
        <v>154</v>
      </c>
      <c r="C43" s="147">
        <v>12000</v>
      </c>
      <c r="D43" s="147">
        <v>12000</v>
      </c>
      <c r="E43" s="147">
        <v>12000</v>
      </c>
      <c r="F43" s="147">
        <v>12000</v>
      </c>
      <c r="G43" s="147">
        <v>12000</v>
      </c>
      <c r="H43" s="147">
        <v>12000</v>
      </c>
      <c r="I43" s="147">
        <v>12000</v>
      </c>
      <c r="J43" s="147">
        <v>12000</v>
      </c>
      <c r="K43" s="147">
        <v>12000</v>
      </c>
      <c r="L43" s="147">
        <v>12000</v>
      </c>
      <c r="M43" s="147">
        <v>12000</v>
      </c>
      <c r="N43" s="147">
        <v>12000</v>
      </c>
      <c r="O43" s="18">
        <f>SUM(C43:N43)</f>
        <v>144000</v>
      </c>
      <c r="P43" s="170"/>
    </row>
    <row r="44" spans="1:16" ht="15" x14ac:dyDescent="0.2">
      <c r="A44" s="854"/>
      <c r="B44" s="27" t="s">
        <v>155</v>
      </c>
      <c r="C44" s="147">
        <v>200</v>
      </c>
      <c r="D44" s="147">
        <v>200</v>
      </c>
      <c r="E44" s="147">
        <v>200</v>
      </c>
      <c r="F44" s="147">
        <v>200</v>
      </c>
      <c r="G44" s="147">
        <v>200</v>
      </c>
      <c r="H44" s="147">
        <v>200</v>
      </c>
      <c r="I44" s="147">
        <v>200</v>
      </c>
      <c r="J44" s="147">
        <v>200</v>
      </c>
      <c r="K44" s="147">
        <v>200</v>
      </c>
      <c r="L44" s="147">
        <v>200</v>
      </c>
      <c r="M44" s="147">
        <v>200</v>
      </c>
      <c r="N44" s="147">
        <v>300</v>
      </c>
      <c r="O44" s="18">
        <f t="shared" si="2"/>
        <v>2500</v>
      </c>
    </row>
    <row r="45" spans="1:16" ht="15" x14ac:dyDescent="0.2">
      <c r="A45" s="854"/>
      <c r="B45" s="27" t="s">
        <v>156</v>
      </c>
      <c r="C45" s="147">
        <v>0</v>
      </c>
      <c r="D45" s="147">
        <v>0</v>
      </c>
      <c r="E45" s="147">
        <v>0</v>
      </c>
      <c r="F45" s="147">
        <v>0</v>
      </c>
      <c r="G45" s="147">
        <v>0</v>
      </c>
      <c r="H45" s="147">
        <v>0</v>
      </c>
      <c r="I45" s="147">
        <v>0</v>
      </c>
      <c r="J45" s="147">
        <v>0</v>
      </c>
      <c r="K45" s="147">
        <v>0</v>
      </c>
      <c r="L45" s="147">
        <v>0</v>
      </c>
      <c r="M45" s="147">
        <v>0</v>
      </c>
      <c r="N45" s="147">
        <v>0</v>
      </c>
      <c r="O45" s="18">
        <f t="shared" si="2"/>
        <v>0</v>
      </c>
    </row>
    <row r="46" spans="1:16" ht="15" x14ac:dyDescent="0.2">
      <c r="A46" s="854"/>
      <c r="B46" s="27" t="s">
        <v>157</v>
      </c>
      <c r="C46" s="147">
        <v>0</v>
      </c>
      <c r="D46" s="147">
        <v>0</v>
      </c>
      <c r="E46" s="147">
        <v>0</v>
      </c>
      <c r="F46" s="147">
        <v>0</v>
      </c>
      <c r="G46" s="147">
        <v>0</v>
      </c>
      <c r="H46" s="147">
        <v>0</v>
      </c>
      <c r="I46" s="147">
        <v>0</v>
      </c>
      <c r="J46" s="147">
        <v>0</v>
      </c>
      <c r="K46" s="147">
        <v>0</v>
      </c>
      <c r="L46" s="147">
        <v>0</v>
      </c>
      <c r="M46" s="147">
        <v>0</v>
      </c>
      <c r="N46" s="147">
        <v>0</v>
      </c>
      <c r="O46" s="18">
        <f t="shared" si="2"/>
        <v>0</v>
      </c>
    </row>
    <row r="47" spans="1:16" ht="28.5" customHeight="1" x14ac:dyDescent="0.2">
      <c r="A47" s="855"/>
      <c r="B47" s="30" t="s">
        <v>158</v>
      </c>
      <c r="C47" s="147">
        <v>749</v>
      </c>
      <c r="D47" s="147">
        <v>749</v>
      </c>
      <c r="E47" s="147">
        <v>749</v>
      </c>
      <c r="F47" s="147">
        <v>749</v>
      </c>
      <c r="G47" s="147">
        <v>749</v>
      </c>
      <c r="H47" s="147">
        <v>749</v>
      </c>
      <c r="I47" s="147">
        <v>749</v>
      </c>
      <c r="J47" s="147">
        <v>749</v>
      </c>
      <c r="K47" s="147">
        <v>749</v>
      </c>
      <c r="L47" s="147">
        <v>749</v>
      </c>
      <c r="M47" s="147">
        <v>749</v>
      </c>
      <c r="N47" s="147">
        <v>749</v>
      </c>
      <c r="O47" s="31">
        <f t="shared" si="2"/>
        <v>8988</v>
      </c>
    </row>
    <row r="48" spans="1:16" ht="23.25" x14ac:dyDescent="0.2">
      <c r="A48" s="856"/>
      <c r="B48" s="160" t="s">
        <v>1156</v>
      </c>
      <c r="C48" s="147">
        <v>0</v>
      </c>
      <c r="D48" s="147">
        <v>0</v>
      </c>
      <c r="E48" s="147">
        <v>0</v>
      </c>
      <c r="F48" s="147">
        <v>0</v>
      </c>
      <c r="G48" s="147">
        <v>0</v>
      </c>
      <c r="H48" s="147">
        <v>0</v>
      </c>
      <c r="I48" s="147">
        <v>0</v>
      </c>
      <c r="J48" s="147">
        <v>0</v>
      </c>
      <c r="K48" s="147">
        <v>0</v>
      </c>
      <c r="L48" s="147">
        <v>0</v>
      </c>
      <c r="M48" s="147">
        <v>0</v>
      </c>
      <c r="N48" s="147">
        <v>0</v>
      </c>
      <c r="O48" s="31">
        <f t="shared" si="2"/>
        <v>0</v>
      </c>
    </row>
    <row r="49" spans="1:18" ht="15" x14ac:dyDescent="0.2">
      <c r="A49" s="857" t="s">
        <v>160</v>
      </c>
      <c r="B49" s="858"/>
      <c r="C49" s="33">
        <f>SUM(C38:C48)</f>
        <v>13229</v>
      </c>
      <c r="D49" s="33">
        <f t="shared" ref="D49:N49" si="3">SUM(D38:D48)</f>
        <v>13229</v>
      </c>
      <c r="E49" s="33">
        <f t="shared" si="3"/>
        <v>13229</v>
      </c>
      <c r="F49" s="33">
        <f t="shared" si="3"/>
        <v>13229</v>
      </c>
      <c r="G49" s="33">
        <f t="shared" si="3"/>
        <v>13229</v>
      </c>
      <c r="H49" s="33">
        <f t="shared" si="3"/>
        <v>13229</v>
      </c>
      <c r="I49" s="33">
        <f t="shared" si="3"/>
        <v>13229</v>
      </c>
      <c r="J49" s="33">
        <f t="shared" si="3"/>
        <v>13229</v>
      </c>
      <c r="K49" s="33">
        <f t="shared" si="3"/>
        <v>15229</v>
      </c>
      <c r="L49" s="33">
        <f t="shared" si="3"/>
        <v>14591</v>
      </c>
      <c r="M49" s="33">
        <f t="shared" si="3"/>
        <v>14591</v>
      </c>
      <c r="N49" s="33">
        <f t="shared" si="3"/>
        <v>14749</v>
      </c>
      <c r="O49" s="34">
        <f t="shared" si="2"/>
        <v>164992</v>
      </c>
    </row>
    <row r="50" spans="1:18" ht="15.75" thickBot="1" x14ac:dyDescent="0.25">
      <c r="A50" s="859" t="s">
        <v>161</v>
      </c>
      <c r="B50" s="860"/>
      <c r="C50" s="35">
        <f>C37-C49</f>
        <v>30670</v>
      </c>
      <c r="D50" s="35">
        <f t="shared" ref="D50:N50" si="4">D37-D49</f>
        <v>33446</v>
      </c>
      <c r="E50" s="35">
        <f t="shared" si="4"/>
        <v>31364</v>
      </c>
      <c r="F50" s="35">
        <f t="shared" si="4"/>
        <v>31364</v>
      </c>
      <c r="G50" s="35">
        <f t="shared" si="4"/>
        <v>37543</v>
      </c>
      <c r="H50" s="35">
        <f t="shared" si="4"/>
        <v>32543</v>
      </c>
      <c r="I50" s="35">
        <f t="shared" si="4"/>
        <v>32543</v>
      </c>
      <c r="J50" s="35">
        <f t="shared" si="4"/>
        <v>42299</v>
      </c>
      <c r="K50" s="35">
        <f t="shared" si="4"/>
        <v>31255</v>
      </c>
      <c r="L50" s="35">
        <f t="shared" si="4"/>
        <v>31893</v>
      </c>
      <c r="M50" s="35">
        <f t="shared" si="4"/>
        <v>31893</v>
      </c>
      <c r="N50" s="35">
        <f t="shared" si="4"/>
        <v>31735</v>
      </c>
      <c r="O50" s="36">
        <f t="shared" si="2"/>
        <v>398548</v>
      </c>
      <c r="Q50" s="16">
        <f>15681+15381+3832+16229+16349+17321*2+2300+17321+3690+3454+18551+18176*3+18076</f>
        <v>220034</v>
      </c>
    </row>
    <row r="51" spans="1:18" x14ac:dyDescent="0.2">
      <c r="J51" s="295">
        <f>+J37-SUM(J22:J36)</f>
        <v>46484</v>
      </c>
    </row>
    <row r="52" spans="1:18" ht="13.5" thickBot="1" x14ac:dyDescent="0.25">
      <c r="J52" s="38">
        <f>+J51-J49</f>
        <v>33255</v>
      </c>
    </row>
    <row r="53" spans="1:18" ht="13.5" thickBot="1" x14ac:dyDescent="0.25">
      <c r="B53" s="789" t="s">
        <v>162</v>
      </c>
      <c r="C53" s="861"/>
      <c r="D53" s="861"/>
      <c r="E53" s="861"/>
      <c r="F53" s="862"/>
      <c r="G53" s="863">
        <f>O37</f>
        <v>563540</v>
      </c>
      <c r="H53" s="864"/>
    </row>
    <row r="54" spans="1:18" ht="13.5" thickBot="1" x14ac:dyDescent="0.25"/>
    <row r="55" spans="1:18" x14ac:dyDescent="0.2">
      <c r="B55" s="830" t="s">
        <v>163</v>
      </c>
      <c r="C55" s="833" t="s">
        <v>164</v>
      </c>
      <c r="D55" s="836" t="s">
        <v>229</v>
      </c>
      <c r="E55" s="837"/>
      <c r="F55" s="838"/>
      <c r="G55" s="839">
        <v>40000</v>
      </c>
      <c r="H55" s="840"/>
    </row>
    <row r="56" spans="1:18" x14ac:dyDescent="0.2">
      <c r="B56" s="831"/>
      <c r="C56" s="834"/>
      <c r="D56" s="841" t="s">
        <v>166</v>
      </c>
      <c r="E56" s="842"/>
      <c r="F56" s="843"/>
      <c r="G56" s="844">
        <f>+O44</f>
        <v>2500</v>
      </c>
      <c r="H56" s="845"/>
      <c r="I56" s="39"/>
      <c r="J56" s="846"/>
      <c r="K56" s="846"/>
      <c r="L56" s="846"/>
      <c r="M56" s="847"/>
      <c r="N56" s="847"/>
      <c r="O56" s="847"/>
    </row>
    <row r="57" spans="1:18" ht="13.5" thickBot="1" x14ac:dyDescent="0.25">
      <c r="B57" s="832"/>
      <c r="C57" s="835"/>
      <c r="D57" s="848" t="s">
        <v>266</v>
      </c>
      <c r="E57" s="849"/>
      <c r="F57" s="850"/>
      <c r="G57" s="851">
        <v>0</v>
      </c>
      <c r="H57" s="852"/>
      <c r="J57" s="47"/>
      <c r="K57" s="47"/>
      <c r="L57" s="47"/>
      <c r="M57" s="47"/>
      <c r="N57" s="47"/>
      <c r="O57" s="47"/>
    </row>
    <row r="58" spans="1:18" ht="13.5" thickBot="1" x14ac:dyDescent="0.25">
      <c r="B58" s="48"/>
      <c r="J58" s="47"/>
      <c r="K58" s="47"/>
      <c r="L58" s="47"/>
      <c r="M58" s="47"/>
      <c r="N58" s="47"/>
      <c r="O58" s="47"/>
    </row>
    <row r="59" spans="1:18" ht="13.5" thickBot="1" x14ac:dyDescent="0.25">
      <c r="B59" s="789" t="s">
        <v>168</v>
      </c>
      <c r="C59" s="790"/>
      <c r="D59" s="790"/>
      <c r="E59" s="790"/>
      <c r="F59" s="791"/>
      <c r="G59" s="825">
        <f>+G53-SUM(G55:H57)</f>
        <v>521040</v>
      </c>
      <c r="H59" s="826"/>
      <c r="J59" s="827" t="s">
        <v>169</v>
      </c>
      <c r="K59" s="828"/>
      <c r="L59" s="828"/>
      <c r="M59" s="828"/>
      <c r="N59" s="828"/>
      <c r="O59" s="829"/>
    </row>
    <row r="60" spans="1:18" ht="13.5" thickBot="1" x14ac:dyDescent="0.25">
      <c r="B60" s="49"/>
      <c r="C60" s="50"/>
      <c r="D60" s="50"/>
      <c r="E60" s="50"/>
      <c r="F60" s="50"/>
      <c r="G60" s="45"/>
      <c r="H60" s="50"/>
      <c r="J60" s="129"/>
      <c r="K60" s="130"/>
      <c r="L60" s="130"/>
      <c r="M60" s="130"/>
      <c r="N60" s="130"/>
      <c r="O60" s="131"/>
    </row>
    <row r="61" spans="1:18" ht="13.5" thickBot="1" x14ac:dyDescent="0.25">
      <c r="B61" s="789" t="s">
        <v>170</v>
      </c>
      <c r="C61" s="790"/>
      <c r="D61" s="790"/>
      <c r="E61" s="790"/>
      <c r="F61" s="791"/>
      <c r="G61" s="805"/>
      <c r="H61" s="791"/>
      <c r="J61" s="129"/>
      <c r="K61" s="130"/>
      <c r="L61" s="130"/>
      <c r="M61" s="130"/>
      <c r="N61" s="130"/>
      <c r="O61" s="131"/>
    </row>
    <row r="62" spans="1:18" ht="12.75" customHeight="1" x14ac:dyDescent="0.2">
      <c r="B62" s="57" t="s">
        <v>171</v>
      </c>
      <c r="C62" s="806" t="s">
        <v>172</v>
      </c>
      <c r="D62" s="807"/>
      <c r="E62" s="807"/>
      <c r="F62" s="808"/>
      <c r="G62" s="809">
        <v>0</v>
      </c>
      <c r="H62" s="809"/>
      <c r="I62" s="58"/>
      <c r="J62" s="810" t="s">
        <v>173</v>
      </c>
      <c r="K62" s="811"/>
      <c r="L62" s="811"/>
      <c r="M62" s="811"/>
      <c r="N62" s="811"/>
      <c r="O62" s="812"/>
      <c r="Q62" s="59"/>
      <c r="R62" s="59"/>
    </row>
    <row r="63" spans="1:18" ht="13.5" thickBot="1" x14ac:dyDescent="0.25">
      <c r="D63" s="37"/>
      <c r="I63" s="58"/>
      <c r="J63" s="60" t="s">
        <v>254</v>
      </c>
      <c r="K63" s="132"/>
      <c r="L63" s="132"/>
      <c r="M63" s="133"/>
      <c r="N63" s="133"/>
      <c r="O63" s="134"/>
      <c r="Q63" s="59"/>
      <c r="R63" s="59"/>
    </row>
    <row r="64" spans="1:18" ht="13.5" thickBot="1" x14ac:dyDescent="0.25">
      <c r="B64" s="789" t="s">
        <v>175</v>
      </c>
      <c r="C64" s="790"/>
      <c r="D64" s="790"/>
      <c r="E64" s="790"/>
      <c r="F64" s="791"/>
      <c r="G64" s="805">
        <f>+G59-G62</f>
        <v>521040</v>
      </c>
      <c r="H64" s="791"/>
      <c r="I64" s="63"/>
      <c r="J64" s="75"/>
      <c r="K64" s="39"/>
      <c r="L64" s="39"/>
      <c r="M64" s="39"/>
      <c r="N64" s="39"/>
      <c r="O64" s="65"/>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6.25" customHeight="1" thickBot="1" x14ac:dyDescent="0.25">
      <c r="B67" s="66"/>
      <c r="C67" s="48"/>
      <c r="G67" s="70" t="s">
        <v>177</v>
      </c>
      <c r="H67" s="70" t="s">
        <v>178</v>
      </c>
      <c r="I67" s="63"/>
      <c r="J67" s="810" t="s">
        <v>179</v>
      </c>
      <c r="K67" s="811"/>
      <c r="L67" s="71"/>
      <c r="M67" s="71"/>
      <c r="N67" s="71"/>
      <c r="O67" s="72"/>
      <c r="Q67" s="59"/>
      <c r="R67" s="59"/>
    </row>
    <row r="68" spans="2:18" ht="12.75" customHeight="1" x14ac:dyDescent="0.2">
      <c r="B68" s="802" t="s">
        <v>180</v>
      </c>
      <c r="C68" s="821" t="s">
        <v>181</v>
      </c>
      <c r="D68" s="823" t="s">
        <v>182</v>
      </c>
      <c r="E68" s="824"/>
      <c r="F68" s="824"/>
      <c r="G68" s="73">
        <f>+O43</f>
        <v>144000</v>
      </c>
      <c r="H68" s="74">
        <f>+G68</f>
        <v>144000</v>
      </c>
      <c r="I68" s="63"/>
      <c r="J68" s="75" t="s">
        <v>231</v>
      </c>
      <c r="K68" s="58"/>
      <c r="L68" s="58"/>
      <c r="M68" s="58" t="s">
        <v>232</v>
      </c>
      <c r="N68" s="58" t="s">
        <v>233</v>
      </c>
      <c r="O68" s="76">
        <v>8988</v>
      </c>
      <c r="Q68" s="59"/>
      <c r="R68" s="59"/>
    </row>
    <row r="69" spans="2:18" ht="12.75" customHeight="1" x14ac:dyDescent="0.2">
      <c r="B69" s="803"/>
      <c r="C69" s="822"/>
      <c r="D69" s="782" t="s">
        <v>184</v>
      </c>
      <c r="E69" s="783"/>
      <c r="F69" s="783"/>
      <c r="G69" s="77">
        <f>+O47</f>
        <v>8988</v>
      </c>
      <c r="H69" s="78">
        <f t="shared" ref="H69:H76" si="5">+G69</f>
        <v>8988</v>
      </c>
      <c r="I69" s="63"/>
      <c r="J69" s="79"/>
      <c r="K69" s="68"/>
      <c r="L69" s="68"/>
      <c r="M69" s="68"/>
      <c r="N69" s="68"/>
      <c r="O69" s="69"/>
      <c r="Q69" s="59"/>
      <c r="R69" s="59"/>
    </row>
    <row r="70" spans="2:18" ht="12.75" customHeight="1" x14ac:dyDescent="0.2">
      <c r="B70" s="803"/>
      <c r="C70" s="822"/>
      <c r="D70" s="819" t="s">
        <v>185</v>
      </c>
      <c r="E70" s="820"/>
      <c r="F70" s="820"/>
      <c r="G70" s="80">
        <f>O40</f>
        <v>360</v>
      </c>
      <c r="H70" s="78">
        <f t="shared" si="5"/>
        <v>360</v>
      </c>
      <c r="I70" s="63"/>
      <c r="J70" s="67"/>
      <c r="K70" s="68"/>
      <c r="L70" s="68"/>
      <c r="M70" s="68"/>
      <c r="N70" s="68"/>
      <c r="O70" s="69"/>
    </row>
    <row r="71" spans="2:18" x14ac:dyDescent="0.2">
      <c r="B71" s="803"/>
      <c r="C71" s="822"/>
      <c r="D71" s="782" t="s">
        <v>186</v>
      </c>
      <c r="E71" s="783"/>
      <c r="F71" s="783"/>
      <c r="G71" s="81">
        <v>0</v>
      </c>
      <c r="H71" s="78">
        <f t="shared" si="5"/>
        <v>0</v>
      </c>
      <c r="I71" s="63"/>
      <c r="J71" s="82" t="s">
        <v>187</v>
      </c>
      <c r="K71" s="71"/>
      <c r="L71" s="71"/>
      <c r="M71" s="71"/>
      <c r="N71" s="71"/>
      <c r="O71" s="72"/>
    </row>
    <row r="72" spans="2:18" ht="12.75" customHeight="1" x14ac:dyDescent="0.2">
      <c r="B72" s="803"/>
      <c r="C72" s="822"/>
      <c r="D72" s="784" t="s">
        <v>188</v>
      </c>
      <c r="E72" s="783"/>
      <c r="F72" s="783"/>
      <c r="G72" s="80">
        <v>0</v>
      </c>
      <c r="H72" s="78">
        <f t="shared" si="5"/>
        <v>0</v>
      </c>
      <c r="I72" s="63"/>
      <c r="J72" s="75" t="s">
        <v>189</v>
      </c>
      <c r="K72" s="50"/>
      <c r="L72" s="50"/>
      <c r="M72" s="50"/>
      <c r="N72" s="50"/>
      <c r="O72" s="83">
        <f>O42</f>
        <v>3000</v>
      </c>
    </row>
    <row r="73" spans="2:18" ht="14.25" customHeight="1" x14ac:dyDescent="0.2">
      <c r="B73" s="803"/>
      <c r="C73" s="822"/>
      <c r="D73" s="782" t="s">
        <v>190</v>
      </c>
      <c r="E73" s="783"/>
      <c r="F73" s="783"/>
      <c r="G73" s="84">
        <v>0</v>
      </c>
      <c r="H73" s="78">
        <f t="shared" si="5"/>
        <v>0</v>
      </c>
      <c r="I73" s="63"/>
      <c r="J73" s="75" t="s">
        <v>1157</v>
      </c>
      <c r="K73" s="39"/>
      <c r="L73" s="39"/>
      <c r="M73" s="39"/>
      <c r="N73" s="39"/>
      <c r="O73" s="65"/>
    </row>
    <row r="74" spans="2:18" x14ac:dyDescent="0.2">
      <c r="B74" s="803"/>
      <c r="C74" s="822"/>
      <c r="D74" s="782" t="s">
        <v>191</v>
      </c>
      <c r="E74" s="783"/>
      <c r="F74" s="783"/>
      <c r="G74" s="81">
        <v>0</v>
      </c>
      <c r="H74" s="78">
        <f t="shared" si="5"/>
        <v>0</v>
      </c>
      <c r="I74" s="58"/>
      <c r="J74" s="137" t="s">
        <v>1158</v>
      </c>
      <c r="K74" s="50"/>
      <c r="L74" s="50"/>
      <c r="M74" s="50"/>
      <c r="N74" s="50"/>
      <c r="O74" s="83"/>
    </row>
    <row r="75" spans="2:18" x14ac:dyDescent="0.2">
      <c r="B75" s="803"/>
      <c r="C75" s="88" t="s">
        <v>192</v>
      </c>
      <c r="D75" s="813" t="s">
        <v>193</v>
      </c>
      <c r="E75" s="814"/>
      <c r="F75" s="814"/>
      <c r="G75" s="80">
        <v>0</v>
      </c>
      <c r="H75" s="78">
        <f t="shared" si="5"/>
        <v>0</v>
      </c>
      <c r="I75" s="58"/>
      <c r="J75" s="85"/>
      <c r="K75" s="138"/>
      <c r="L75" s="138"/>
      <c r="M75" s="138"/>
      <c r="N75" s="138"/>
      <c r="O75" s="139"/>
    </row>
    <row r="76" spans="2:18" ht="13.5" customHeight="1" thickBot="1" x14ac:dyDescent="0.25">
      <c r="B76" s="803"/>
      <c r="C76" s="88" t="s">
        <v>194</v>
      </c>
      <c r="D76" s="815" t="s">
        <v>195</v>
      </c>
      <c r="E76" s="815"/>
      <c r="F76" s="815"/>
      <c r="G76" s="89">
        <v>0</v>
      </c>
      <c r="H76" s="90">
        <f t="shared" si="5"/>
        <v>0</v>
      </c>
      <c r="I76" s="63"/>
      <c r="J76" s="75"/>
      <c r="K76" s="68"/>
      <c r="L76" s="68"/>
      <c r="M76" s="91"/>
      <c r="N76" s="91"/>
      <c r="O76" s="92"/>
    </row>
    <row r="77" spans="2:18" ht="13.5" thickBot="1" x14ac:dyDescent="0.25">
      <c r="B77" s="803"/>
      <c r="C77" s="93"/>
      <c r="D77" s="94"/>
      <c r="E77" s="816" t="s">
        <v>117</v>
      </c>
      <c r="F77" s="817"/>
      <c r="G77" s="95">
        <f>SUM(G68:G76)</f>
        <v>153348</v>
      </c>
      <c r="H77" s="96">
        <f>IF(SUM(G68:G74)&lt;150000,SUM(G68:G74),150000)+IF(+G75&lt;20000,+G75,20000)</f>
        <v>150000</v>
      </c>
      <c r="I77" s="63"/>
      <c r="J77" s="140"/>
      <c r="K77" s="141"/>
      <c r="L77" s="141"/>
      <c r="M77" s="142"/>
      <c r="N77" s="142"/>
      <c r="O77" s="143"/>
    </row>
    <row r="78" spans="2:18" ht="12.75" customHeight="1" x14ac:dyDescent="0.2">
      <c r="B78" s="803"/>
      <c r="C78" s="100" t="s">
        <v>196</v>
      </c>
      <c r="D78" s="782" t="s">
        <v>187</v>
      </c>
      <c r="E78" s="783"/>
      <c r="F78" s="818"/>
      <c r="G78" s="73">
        <f>+O42+O73</f>
        <v>3000</v>
      </c>
      <c r="H78" s="101">
        <f>+IF(+G78&lt;25000,+G78,25000)</f>
        <v>3000</v>
      </c>
      <c r="I78" s="87"/>
    </row>
    <row r="79" spans="2:18" x14ac:dyDescent="0.2">
      <c r="B79" s="803"/>
      <c r="C79" s="100" t="s">
        <v>197</v>
      </c>
      <c r="D79" s="784" t="s">
        <v>198</v>
      </c>
      <c r="E79" s="785"/>
      <c r="F79" s="786"/>
      <c r="G79" s="102"/>
      <c r="H79" s="103">
        <f>+IF(+G79&lt;40000,+G79,40000)</f>
        <v>0</v>
      </c>
      <c r="I79" s="63"/>
    </row>
    <row r="80" spans="2:18" x14ac:dyDescent="0.2">
      <c r="B80" s="803"/>
      <c r="C80" s="100" t="s">
        <v>199</v>
      </c>
      <c r="D80" s="784" t="s">
        <v>200</v>
      </c>
      <c r="E80" s="785"/>
      <c r="F80" s="786"/>
      <c r="G80" s="81"/>
      <c r="H80" s="104">
        <v>0</v>
      </c>
      <c r="I80" s="63"/>
      <c r="J80" s="106"/>
    </row>
    <row r="81" spans="2:12" x14ac:dyDescent="0.2">
      <c r="B81" s="803"/>
      <c r="C81" s="100" t="s">
        <v>201</v>
      </c>
      <c r="D81" s="784" t="s">
        <v>202</v>
      </c>
      <c r="E81" s="785"/>
      <c r="F81" s="786"/>
      <c r="G81" s="81"/>
      <c r="H81" s="104">
        <v>0</v>
      </c>
      <c r="I81" s="63"/>
    </row>
    <row r="82" spans="2:12" ht="13.5" thickBot="1" x14ac:dyDescent="0.25">
      <c r="B82" s="804"/>
      <c r="C82" s="100" t="s">
        <v>203</v>
      </c>
      <c r="D82" s="784" t="s">
        <v>204</v>
      </c>
      <c r="E82" s="785"/>
      <c r="F82" s="786"/>
      <c r="G82" s="102"/>
      <c r="H82" s="103">
        <f>+IF(+G82&lt;100000,+G82,10000)</f>
        <v>0</v>
      </c>
      <c r="I82" s="63"/>
    </row>
    <row r="83" spans="2:12" ht="13.5" thickBot="1" x14ac:dyDescent="0.25">
      <c r="B83" s="787" t="s">
        <v>205</v>
      </c>
      <c r="C83" s="788"/>
      <c r="D83" s="788"/>
      <c r="E83" s="788"/>
      <c r="F83" s="788"/>
      <c r="G83" s="107">
        <f>SUM(G78:G82)</f>
        <v>3000</v>
      </c>
      <c r="H83" s="108">
        <f>SUM(H77:H82)</f>
        <v>153000</v>
      </c>
    </row>
    <row r="84" spans="2:12" ht="13.5" thickBot="1" x14ac:dyDescent="0.25"/>
    <row r="85" spans="2:12" ht="13.5" thickBot="1" x14ac:dyDescent="0.25">
      <c r="B85" s="789" t="s">
        <v>206</v>
      </c>
      <c r="C85" s="790"/>
      <c r="D85" s="790"/>
      <c r="E85" s="790"/>
      <c r="F85" s="791"/>
      <c r="G85" s="792">
        <f>+G64-H83</f>
        <v>368040</v>
      </c>
      <c r="H85" s="791"/>
      <c r="J85" s="109">
        <f>C37+D37+E37+F37</f>
        <v>179760</v>
      </c>
      <c r="K85" s="16" t="s">
        <v>235</v>
      </c>
    </row>
    <row r="86" spans="2:12" x14ac:dyDescent="0.2">
      <c r="B86" s="110"/>
      <c r="F86" s="105"/>
      <c r="J86" s="109">
        <f>G37+H37+I37</f>
        <v>142316</v>
      </c>
      <c r="K86" s="16" t="s">
        <v>236</v>
      </c>
    </row>
    <row r="87" spans="2:12" x14ac:dyDescent="0.2">
      <c r="C87" s="793" t="s">
        <v>207</v>
      </c>
      <c r="D87" s="794"/>
      <c r="E87" s="111" t="s">
        <v>208</v>
      </c>
      <c r="F87" s="111" t="s">
        <v>209</v>
      </c>
      <c r="G87" s="111" t="s">
        <v>210</v>
      </c>
      <c r="H87" s="111" t="s">
        <v>211</v>
      </c>
      <c r="J87" s="109">
        <f>J37+K37+L37</f>
        <v>148496</v>
      </c>
      <c r="K87" s="47" t="s">
        <v>237</v>
      </c>
    </row>
    <row r="88" spans="2:12" x14ac:dyDescent="0.2">
      <c r="C88" s="795" t="str">
        <f>IF(I6="M","0          - 250000","0          -  250000")</f>
        <v>0          - 250000</v>
      </c>
      <c r="D88" s="796"/>
      <c r="E88" s="112">
        <v>0</v>
      </c>
      <c r="F88" s="113">
        <f>IF(I6="M",(IF(G85&lt;250000,G85,250000)),(IF(G85&lt;250000,G85,250000)))</f>
        <v>250000</v>
      </c>
      <c r="G88" s="113">
        <f>G85-F88</f>
        <v>118040</v>
      </c>
      <c r="H88" s="113">
        <f>E88*F88</f>
        <v>0</v>
      </c>
      <c r="J88" s="16">
        <f>M37+N37</f>
        <v>92968</v>
      </c>
      <c r="K88" s="1" t="s">
        <v>238</v>
      </c>
    </row>
    <row r="89" spans="2:12" x14ac:dyDescent="0.2">
      <c r="C89" s="795" t="str">
        <f>IF(I6="M","250001 - 500000","250001-500000")</f>
        <v>250001 - 500000</v>
      </c>
      <c r="D89" s="796"/>
      <c r="E89" s="112">
        <v>0.05</v>
      </c>
      <c r="F89" s="113">
        <f>IF(I6="M",(IF(G88&lt;250000,G88,250000)),(IF(G88&lt;250000,G88,250000)))</f>
        <v>118040</v>
      </c>
      <c r="G89" s="113">
        <f>G88-F89</f>
        <v>0</v>
      </c>
      <c r="H89" s="114">
        <f>ROUND(E89*F89,0.1)</f>
        <v>5902</v>
      </c>
      <c r="J89" s="115">
        <f>SUM(J85:J88)</f>
        <v>563540</v>
      </c>
    </row>
    <row r="90" spans="2:12" x14ac:dyDescent="0.2">
      <c r="C90" s="797" t="s">
        <v>212</v>
      </c>
      <c r="D90" s="798"/>
      <c r="E90" s="112">
        <v>0.2</v>
      </c>
      <c r="F90" s="113">
        <f>IF(G89&lt;500000,G89,500000)</f>
        <v>0</v>
      </c>
      <c r="G90" s="113">
        <f>G89-F90</f>
        <v>0</v>
      </c>
      <c r="H90" s="114">
        <f>ROUND(E90*F90,0.1)</f>
        <v>0</v>
      </c>
      <c r="J90" s="16">
        <f>+G85</f>
        <v>368040</v>
      </c>
    </row>
    <row r="91" spans="2:12" x14ac:dyDescent="0.2">
      <c r="C91" s="795" t="s">
        <v>213</v>
      </c>
      <c r="D91" s="796"/>
      <c r="E91" s="112">
        <v>0.3</v>
      </c>
      <c r="F91" s="113">
        <f>G90</f>
        <v>0</v>
      </c>
      <c r="G91" s="113">
        <f>G90-F91</f>
        <v>0</v>
      </c>
      <c r="H91" s="114">
        <f>ROUND(E91*F91,0.1)</f>
        <v>0</v>
      </c>
      <c r="J91" s="16">
        <f>+J89-J90</f>
        <v>195500</v>
      </c>
    </row>
    <row r="92" spans="2:12" ht="12.75" customHeight="1" thickBot="1" x14ac:dyDescent="0.25">
      <c r="B92" s="116"/>
      <c r="C92" s="117"/>
      <c r="D92" s="47"/>
      <c r="E92" s="47"/>
      <c r="F92" s="47"/>
      <c r="J92" s="87"/>
      <c r="K92" s="118"/>
    </row>
    <row r="93" spans="2:12" ht="13.5" thickBot="1" x14ac:dyDescent="0.25">
      <c r="B93" s="799" t="s">
        <v>239</v>
      </c>
      <c r="C93" s="800"/>
      <c r="D93" s="800"/>
      <c r="E93" s="800"/>
      <c r="F93" s="801"/>
      <c r="G93" s="771">
        <f>H88+H89+H90+H91</f>
        <v>5902</v>
      </c>
      <c r="H93" s="772"/>
      <c r="J93" s="87"/>
      <c r="K93" s="87"/>
    </row>
    <row r="94" spans="2:12" ht="13.5" thickBot="1" x14ac:dyDescent="0.25">
      <c r="B94" s="119" t="s">
        <v>215</v>
      </c>
      <c r="C94" s="120"/>
      <c r="D94" s="120"/>
      <c r="E94" s="120"/>
      <c r="F94" s="120"/>
      <c r="G94" s="895">
        <f>IF((G64&lt;500000),5000,0)</f>
        <v>0</v>
      </c>
      <c r="H94" s="896">
        <f>IF(H92&lt;200000,0,IF(H92&lt;220000,((H92-200000)*10%),IF(H92&lt;=500000,2000,IF(H92&gt;=500000,0))))</f>
        <v>0</v>
      </c>
      <c r="J94" s="1"/>
      <c r="K94" s="121"/>
      <c r="L94" s="121"/>
    </row>
    <row r="95" spans="2:12" ht="13.5" thickBot="1" x14ac:dyDescent="0.25">
      <c r="B95" s="122" t="s">
        <v>216</v>
      </c>
      <c r="C95" s="123"/>
      <c r="D95" s="123"/>
      <c r="E95" s="123"/>
      <c r="F95" s="123"/>
      <c r="G95" s="897">
        <f>IF((G93-G94)&lt;0,0,(G93-G94))</f>
        <v>5902</v>
      </c>
      <c r="H95" s="898"/>
      <c r="I95" s="37"/>
    </row>
    <row r="96" spans="2:12" ht="13.5" thickBot="1" x14ac:dyDescent="0.25">
      <c r="B96" s="773" t="s">
        <v>240</v>
      </c>
      <c r="C96" s="774"/>
      <c r="D96" s="774"/>
      <c r="E96" s="774"/>
      <c r="F96" s="775"/>
      <c r="G96" s="899">
        <f>ROUND((IF(G95&gt;0,(G95*4%),0)),0)</f>
        <v>236</v>
      </c>
      <c r="H96" s="900"/>
      <c r="I96" s="37"/>
    </row>
    <row r="97" spans="2:9" ht="13.5" thickBot="1" x14ac:dyDescent="0.25">
      <c r="B97" s="778" t="s">
        <v>218</v>
      </c>
      <c r="C97" s="779"/>
      <c r="D97" s="779"/>
      <c r="E97" s="779"/>
      <c r="F97" s="779"/>
      <c r="G97" s="901">
        <f>G95+G96</f>
        <v>6138</v>
      </c>
      <c r="H97" s="902"/>
      <c r="I97" s="121"/>
    </row>
    <row r="98" spans="2:9" ht="13.5" thickBot="1" x14ac:dyDescent="0.25">
      <c r="B98" s="765" t="s">
        <v>219</v>
      </c>
      <c r="C98" s="766"/>
      <c r="D98" s="766"/>
      <c r="E98" s="766"/>
      <c r="F98" s="766"/>
      <c r="G98" s="893">
        <f>O38</f>
        <v>6144</v>
      </c>
      <c r="H98" s="894"/>
      <c r="I98" s="121"/>
    </row>
    <row r="99" spans="2:9" ht="13.5" thickBot="1" x14ac:dyDescent="0.25">
      <c r="B99" s="765" t="str">
        <f>IF(G99&gt;0,"TAX PAYABLE","TAX REFUND")</f>
        <v>TAX REFUND</v>
      </c>
      <c r="C99" s="766"/>
      <c r="D99" s="766"/>
      <c r="E99" s="766"/>
      <c r="F99" s="766"/>
      <c r="G99" s="893">
        <f>+G97-G98</f>
        <v>-6</v>
      </c>
      <c r="H99" s="894"/>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0:F90 B99:F99 B93:F97">
    <cfRule type="cellIs" dxfId="1979" priority="1" stopIfTrue="1" operator="equal">
      <formula>"TAX PAYABLE"</formula>
    </cfRule>
    <cfRule type="cellIs" dxfId="1978" priority="2" stopIfTrue="1" operator="equal">
      <formula>"TAX REFUND"</formula>
    </cfRule>
  </conditionalFormatting>
  <conditionalFormatting sqref="G90:H90">
    <cfRule type="cellIs" dxfId="1977" priority="3" stopIfTrue="1" operator="lessThan">
      <formula>0</formula>
    </cfRule>
    <cfRule type="cellIs" dxfId="1976" priority="4" stopIfTrue="1" operator="greaterThan">
      <formula>0</formula>
    </cfRule>
  </conditionalFormatting>
  <conditionalFormatting sqref="G99:H99">
    <cfRule type="cellIs" dxfId="1975" priority="5" stopIfTrue="1" operator="greaterThan">
      <formula>0</formula>
    </cfRule>
    <cfRule type="cellIs" dxfId="1974" priority="6"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5" right="0.75" top="1" bottom="1" header="0.5" footer="0.5"/>
  <headerFooter alignWithMargins="0"/>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07"/>
  <sheetViews>
    <sheetView topLeftCell="A58" workbookViewId="0">
      <selection activeCell="G68" sqref="G68:G70"/>
    </sheetView>
  </sheetViews>
  <sheetFormatPr defaultRowHeight="12.75" x14ac:dyDescent="0.2"/>
  <cols>
    <col min="1" max="1" width="5" style="16" customWidth="1"/>
    <col min="2" max="2" width="19.140625" style="37" customWidth="1"/>
    <col min="3" max="3" width="9.5703125" style="16" customWidth="1"/>
    <col min="4" max="4" width="8" style="16" customWidth="1"/>
    <col min="5" max="5" width="7.5703125" style="16" customWidth="1"/>
    <col min="6" max="6" width="8.28515625" style="16" customWidth="1"/>
    <col min="7" max="8" width="8.5703125" style="16" customWidth="1"/>
    <col min="9" max="9" width="8.140625" style="16" customWidth="1"/>
    <col min="10" max="10" width="10" style="16" bestFit="1" customWidth="1"/>
    <col min="11" max="15" width="8.140625" style="16" customWidth="1"/>
    <col min="16" max="16" width="8.140625" style="16" bestFit="1" customWidth="1"/>
    <col min="17" max="19" width="9.140625" style="16"/>
    <col min="20" max="20" width="12.42578125" style="16" customWidth="1"/>
    <col min="21" max="21" width="9.140625" style="16"/>
    <col min="22" max="22" width="12" style="16" customWidth="1"/>
    <col min="23" max="256" width="9.140625" style="16"/>
    <col min="257" max="257" width="5" style="16" customWidth="1"/>
    <col min="258" max="258" width="19.140625" style="16" customWidth="1"/>
    <col min="259" max="259" width="9.5703125" style="16" customWidth="1"/>
    <col min="260" max="260" width="8" style="16" customWidth="1"/>
    <col min="261" max="261" width="7.5703125" style="16" customWidth="1"/>
    <col min="262" max="262" width="8.28515625" style="16" customWidth="1"/>
    <col min="263" max="264" width="8.5703125" style="16" customWidth="1"/>
    <col min="265" max="265" width="8.140625" style="16" customWidth="1"/>
    <col min="266" max="266" width="10" style="16" bestFit="1" customWidth="1"/>
    <col min="267" max="271" width="8.140625" style="16" customWidth="1"/>
    <col min="272" max="272" width="8.140625" style="16" bestFit="1" customWidth="1"/>
    <col min="273" max="275" width="9.140625" style="16"/>
    <col min="276" max="276" width="12.42578125" style="16" customWidth="1"/>
    <col min="277" max="277" width="9.140625" style="16"/>
    <col min="278" max="278" width="12" style="16" customWidth="1"/>
    <col min="279" max="512" width="9.140625" style="16"/>
    <col min="513" max="513" width="5" style="16" customWidth="1"/>
    <col min="514" max="514" width="19.140625" style="16" customWidth="1"/>
    <col min="515" max="515" width="9.5703125" style="16" customWidth="1"/>
    <col min="516" max="516" width="8" style="16" customWidth="1"/>
    <col min="517" max="517" width="7.5703125" style="16" customWidth="1"/>
    <col min="518" max="518" width="8.28515625" style="16" customWidth="1"/>
    <col min="519" max="520" width="8.5703125" style="16" customWidth="1"/>
    <col min="521" max="521" width="8.140625" style="16" customWidth="1"/>
    <col min="522" max="522" width="10" style="16" bestFit="1" customWidth="1"/>
    <col min="523" max="527" width="8.140625" style="16" customWidth="1"/>
    <col min="528" max="528" width="8.140625" style="16" bestFit="1" customWidth="1"/>
    <col min="529" max="531" width="9.140625" style="16"/>
    <col min="532" max="532" width="12.42578125" style="16" customWidth="1"/>
    <col min="533" max="533" width="9.140625" style="16"/>
    <col min="534" max="534" width="12" style="16" customWidth="1"/>
    <col min="535" max="768" width="9.140625" style="16"/>
    <col min="769" max="769" width="5" style="16" customWidth="1"/>
    <col min="770" max="770" width="19.140625" style="16" customWidth="1"/>
    <col min="771" max="771" width="9.5703125" style="16" customWidth="1"/>
    <col min="772" max="772" width="8" style="16" customWidth="1"/>
    <col min="773" max="773" width="7.5703125" style="16" customWidth="1"/>
    <col min="774" max="774" width="8.28515625" style="16" customWidth="1"/>
    <col min="775" max="776" width="8.5703125" style="16" customWidth="1"/>
    <col min="777" max="777" width="8.140625" style="16" customWidth="1"/>
    <col min="778" max="778" width="10" style="16" bestFit="1" customWidth="1"/>
    <col min="779" max="783" width="8.140625" style="16" customWidth="1"/>
    <col min="784" max="784" width="8.140625" style="16" bestFit="1" customWidth="1"/>
    <col min="785"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9.140625" style="16" customWidth="1"/>
    <col min="1027" max="1027" width="9.5703125" style="16" customWidth="1"/>
    <col min="1028" max="1028" width="8" style="16" customWidth="1"/>
    <col min="1029" max="1029" width="7.5703125" style="16" customWidth="1"/>
    <col min="1030" max="1030" width="8.28515625" style="16" customWidth="1"/>
    <col min="1031" max="1032" width="8.5703125" style="16" customWidth="1"/>
    <col min="1033" max="1033" width="8.140625" style="16" customWidth="1"/>
    <col min="1034" max="1034" width="10" style="16" bestFit="1" customWidth="1"/>
    <col min="1035" max="1039" width="8.140625" style="16" customWidth="1"/>
    <col min="1040" max="1040" width="8.140625" style="16" bestFit="1" customWidth="1"/>
    <col min="1041"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9.140625" style="16" customWidth="1"/>
    <col min="1283" max="1283" width="9.5703125" style="16" customWidth="1"/>
    <col min="1284" max="1284" width="8" style="16" customWidth="1"/>
    <col min="1285" max="1285" width="7.5703125" style="16" customWidth="1"/>
    <col min="1286" max="1286" width="8.28515625" style="16" customWidth="1"/>
    <col min="1287" max="1288" width="8.5703125" style="16" customWidth="1"/>
    <col min="1289" max="1289" width="8.140625" style="16" customWidth="1"/>
    <col min="1290" max="1290" width="10" style="16" bestFit="1" customWidth="1"/>
    <col min="1291" max="1295" width="8.140625" style="16" customWidth="1"/>
    <col min="1296" max="1296" width="8.140625" style="16" bestFit="1" customWidth="1"/>
    <col min="1297"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9.140625" style="16" customWidth="1"/>
    <col min="1539" max="1539" width="9.5703125" style="16" customWidth="1"/>
    <col min="1540" max="1540" width="8" style="16" customWidth="1"/>
    <col min="1541" max="1541" width="7.5703125" style="16" customWidth="1"/>
    <col min="1542" max="1542" width="8.28515625" style="16" customWidth="1"/>
    <col min="1543" max="1544" width="8.5703125" style="16" customWidth="1"/>
    <col min="1545" max="1545" width="8.140625" style="16" customWidth="1"/>
    <col min="1546" max="1546" width="10" style="16" bestFit="1" customWidth="1"/>
    <col min="1547" max="1551" width="8.140625" style="16" customWidth="1"/>
    <col min="1552" max="1552" width="8.140625" style="16" bestFit="1" customWidth="1"/>
    <col min="1553"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9.140625" style="16" customWidth="1"/>
    <col min="1795" max="1795" width="9.5703125" style="16" customWidth="1"/>
    <col min="1796" max="1796" width="8" style="16" customWidth="1"/>
    <col min="1797" max="1797" width="7.5703125" style="16" customWidth="1"/>
    <col min="1798" max="1798" width="8.28515625" style="16" customWidth="1"/>
    <col min="1799" max="1800" width="8.5703125" style="16" customWidth="1"/>
    <col min="1801" max="1801" width="8.140625" style="16" customWidth="1"/>
    <col min="1802" max="1802" width="10" style="16" bestFit="1" customWidth="1"/>
    <col min="1803" max="1807" width="8.140625" style="16" customWidth="1"/>
    <col min="1808" max="1808" width="8.140625" style="16" bestFit="1" customWidth="1"/>
    <col min="1809"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9.140625" style="16" customWidth="1"/>
    <col min="2051" max="2051" width="9.5703125" style="16" customWidth="1"/>
    <col min="2052" max="2052" width="8" style="16" customWidth="1"/>
    <col min="2053" max="2053" width="7.5703125" style="16" customWidth="1"/>
    <col min="2054" max="2054" width="8.28515625" style="16" customWidth="1"/>
    <col min="2055" max="2056" width="8.5703125" style="16" customWidth="1"/>
    <col min="2057" max="2057" width="8.140625" style="16" customWidth="1"/>
    <col min="2058" max="2058" width="10" style="16" bestFit="1" customWidth="1"/>
    <col min="2059" max="2063" width="8.140625" style="16" customWidth="1"/>
    <col min="2064" max="2064" width="8.140625" style="16" bestFit="1" customWidth="1"/>
    <col min="2065"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9.140625" style="16" customWidth="1"/>
    <col min="2307" max="2307" width="9.5703125" style="16" customWidth="1"/>
    <col min="2308" max="2308" width="8" style="16" customWidth="1"/>
    <col min="2309" max="2309" width="7.5703125" style="16" customWidth="1"/>
    <col min="2310" max="2310" width="8.28515625" style="16" customWidth="1"/>
    <col min="2311" max="2312" width="8.5703125" style="16" customWidth="1"/>
    <col min="2313" max="2313" width="8.140625" style="16" customWidth="1"/>
    <col min="2314" max="2314" width="10" style="16" bestFit="1" customWidth="1"/>
    <col min="2315" max="2319" width="8.140625" style="16" customWidth="1"/>
    <col min="2320" max="2320" width="8.140625" style="16" bestFit="1" customWidth="1"/>
    <col min="2321"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9.140625" style="16" customWidth="1"/>
    <col min="2563" max="2563" width="9.5703125" style="16" customWidth="1"/>
    <col min="2564" max="2564" width="8" style="16" customWidth="1"/>
    <col min="2565" max="2565" width="7.5703125" style="16" customWidth="1"/>
    <col min="2566" max="2566" width="8.28515625" style="16" customWidth="1"/>
    <col min="2567" max="2568" width="8.5703125" style="16" customWidth="1"/>
    <col min="2569" max="2569" width="8.140625" style="16" customWidth="1"/>
    <col min="2570" max="2570" width="10" style="16" bestFit="1" customWidth="1"/>
    <col min="2571" max="2575" width="8.140625" style="16" customWidth="1"/>
    <col min="2576" max="2576" width="8.140625" style="16" bestFit="1" customWidth="1"/>
    <col min="2577"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9.140625" style="16" customWidth="1"/>
    <col min="2819" max="2819" width="9.5703125" style="16" customWidth="1"/>
    <col min="2820" max="2820" width="8" style="16" customWidth="1"/>
    <col min="2821" max="2821" width="7.5703125" style="16" customWidth="1"/>
    <col min="2822" max="2822" width="8.28515625" style="16" customWidth="1"/>
    <col min="2823" max="2824" width="8.5703125" style="16" customWidth="1"/>
    <col min="2825" max="2825" width="8.140625" style="16" customWidth="1"/>
    <col min="2826" max="2826" width="10" style="16" bestFit="1" customWidth="1"/>
    <col min="2827" max="2831" width="8.140625" style="16" customWidth="1"/>
    <col min="2832" max="2832" width="8.140625" style="16" bestFit="1" customWidth="1"/>
    <col min="2833"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9.140625" style="16" customWidth="1"/>
    <col min="3075" max="3075" width="9.5703125" style="16" customWidth="1"/>
    <col min="3076" max="3076" width="8" style="16" customWidth="1"/>
    <col min="3077" max="3077" width="7.5703125" style="16" customWidth="1"/>
    <col min="3078" max="3078" width="8.28515625" style="16" customWidth="1"/>
    <col min="3079" max="3080" width="8.5703125" style="16" customWidth="1"/>
    <col min="3081" max="3081" width="8.140625" style="16" customWidth="1"/>
    <col min="3082" max="3082" width="10" style="16" bestFit="1" customWidth="1"/>
    <col min="3083" max="3087" width="8.140625" style="16" customWidth="1"/>
    <col min="3088" max="3088" width="8.140625" style="16" bestFit="1" customWidth="1"/>
    <col min="3089"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9.140625" style="16" customWidth="1"/>
    <col min="3331" max="3331" width="9.5703125" style="16" customWidth="1"/>
    <col min="3332" max="3332" width="8" style="16" customWidth="1"/>
    <col min="3333" max="3333" width="7.5703125" style="16" customWidth="1"/>
    <col min="3334" max="3334" width="8.28515625" style="16" customWidth="1"/>
    <col min="3335" max="3336" width="8.5703125" style="16" customWidth="1"/>
    <col min="3337" max="3337" width="8.140625" style="16" customWidth="1"/>
    <col min="3338" max="3338" width="10" style="16" bestFit="1" customWidth="1"/>
    <col min="3339" max="3343" width="8.140625" style="16" customWidth="1"/>
    <col min="3344" max="3344" width="8.140625" style="16" bestFit="1" customWidth="1"/>
    <col min="3345"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9.140625" style="16" customWidth="1"/>
    <col min="3587" max="3587" width="9.5703125" style="16" customWidth="1"/>
    <col min="3588" max="3588" width="8" style="16" customWidth="1"/>
    <col min="3589" max="3589" width="7.5703125" style="16" customWidth="1"/>
    <col min="3590" max="3590" width="8.28515625" style="16" customWidth="1"/>
    <col min="3591" max="3592" width="8.5703125" style="16" customWidth="1"/>
    <col min="3593" max="3593" width="8.140625" style="16" customWidth="1"/>
    <col min="3594" max="3594" width="10" style="16" bestFit="1" customWidth="1"/>
    <col min="3595" max="3599" width="8.140625" style="16" customWidth="1"/>
    <col min="3600" max="3600" width="8.140625" style="16" bestFit="1" customWidth="1"/>
    <col min="3601"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9.140625" style="16" customWidth="1"/>
    <col min="3843" max="3843" width="9.5703125" style="16" customWidth="1"/>
    <col min="3844" max="3844" width="8" style="16" customWidth="1"/>
    <col min="3845" max="3845" width="7.5703125" style="16" customWidth="1"/>
    <col min="3846" max="3846" width="8.28515625" style="16" customWidth="1"/>
    <col min="3847" max="3848" width="8.5703125" style="16" customWidth="1"/>
    <col min="3849" max="3849" width="8.140625" style="16" customWidth="1"/>
    <col min="3850" max="3850" width="10" style="16" bestFit="1" customWidth="1"/>
    <col min="3851" max="3855" width="8.140625" style="16" customWidth="1"/>
    <col min="3856" max="3856" width="8.140625" style="16" bestFit="1" customWidth="1"/>
    <col min="3857"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9.140625" style="16" customWidth="1"/>
    <col min="4099" max="4099" width="9.5703125" style="16" customWidth="1"/>
    <col min="4100" max="4100" width="8" style="16" customWidth="1"/>
    <col min="4101" max="4101" width="7.5703125" style="16" customWidth="1"/>
    <col min="4102" max="4102" width="8.28515625" style="16" customWidth="1"/>
    <col min="4103" max="4104" width="8.5703125" style="16" customWidth="1"/>
    <col min="4105" max="4105" width="8.140625" style="16" customWidth="1"/>
    <col min="4106" max="4106" width="10" style="16" bestFit="1" customWidth="1"/>
    <col min="4107" max="4111" width="8.140625" style="16" customWidth="1"/>
    <col min="4112" max="4112" width="8.140625" style="16" bestFit="1" customWidth="1"/>
    <col min="4113"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9.140625" style="16" customWidth="1"/>
    <col min="4355" max="4355" width="9.5703125" style="16" customWidth="1"/>
    <col min="4356" max="4356" width="8" style="16" customWidth="1"/>
    <col min="4357" max="4357" width="7.5703125" style="16" customWidth="1"/>
    <col min="4358" max="4358" width="8.28515625" style="16" customWidth="1"/>
    <col min="4359" max="4360" width="8.5703125" style="16" customWidth="1"/>
    <col min="4361" max="4361" width="8.140625" style="16" customWidth="1"/>
    <col min="4362" max="4362" width="10" style="16" bestFit="1" customWidth="1"/>
    <col min="4363" max="4367" width="8.140625" style="16" customWidth="1"/>
    <col min="4368" max="4368" width="8.140625" style="16" bestFit="1" customWidth="1"/>
    <col min="4369"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9.140625" style="16" customWidth="1"/>
    <col min="4611" max="4611" width="9.5703125" style="16" customWidth="1"/>
    <col min="4612" max="4612" width="8" style="16" customWidth="1"/>
    <col min="4613" max="4613" width="7.5703125" style="16" customWidth="1"/>
    <col min="4614" max="4614" width="8.28515625" style="16" customWidth="1"/>
    <col min="4615" max="4616" width="8.5703125" style="16" customWidth="1"/>
    <col min="4617" max="4617" width="8.140625" style="16" customWidth="1"/>
    <col min="4618" max="4618" width="10" style="16" bestFit="1" customWidth="1"/>
    <col min="4619" max="4623" width="8.140625" style="16" customWidth="1"/>
    <col min="4624" max="4624" width="8.140625" style="16" bestFit="1" customWidth="1"/>
    <col min="4625"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9.140625" style="16" customWidth="1"/>
    <col min="4867" max="4867" width="9.5703125" style="16" customWidth="1"/>
    <col min="4868" max="4868" width="8" style="16" customWidth="1"/>
    <col min="4869" max="4869" width="7.5703125" style="16" customWidth="1"/>
    <col min="4870" max="4870" width="8.28515625" style="16" customWidth="1"/>
    <col min="4871" max="4872" width="8.5703125" style="16" customWidth="1"/>
    <col min="4873" max="4873" width="8.140625" style="16" customWidth="1"/>
    <col min="4874" max="4874" width="10" style="16" bestFit="1" customWidth="1"/>
    <col min="4875" max="4879" width="8.140625" style="16" customWidth="1"/>
    <col min="4880" max="4880" width="8.140625" style="16" bestFit="1" customWidth="1"/>
    <col min="4881"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9.140625" style="16" customWidth="1"/>
    <col min="5123" max="5123" width="9.5703125" style="16" customWidth="1"/>
    <col min="5124" max="5124" width="8" style="16" customWidth="1"/>
    <col min="5125" max="5125" width="7.5703125" style="16" customWidth="1"/>
    <col min="5126" max="5126" width="8.28515625" style="16" customWidth="1"/>
    <col min="5127" max="5128" width="8.5703125" style="16" customWidth="1"/>
    <col min="5129" max="5129" width="8.140625" style="16" customWidth="1"/>
    <col min="5130" max="5130" width="10" style="16" bestFit="1" customWidth="1"/>
    <col min="5131" max="5135" width="8.140625" style="16" customWidth="1"/>
    <col min="5136" max="5136" width="8.140625" style="16" bestFit="1" customWidth="1"/>
    <col min="5137"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9.140625" style="16" customWidth="1"/>
    <col min="5379" max="5379" width="9.5703125" style="16" customWidth="1"/>
    <col min="5380" max="5380" width="8" style="16" customWidth="1"/>
    <col min="5381" max="5381" width="7.5703125" style="16" customWidth="1"/>
    <col min="5382" max="5382" width="8.28515625" style="16" customWidth="1"/>
    <col min="5383" max="5384" width="8.5703125" style="16" customWidth="1"/>
    <col min="5385" max="5385" width="8.140625" style="16" customWidth="1"/>
    <col min="5386" max="5386" width="10" style="16" bestFit="1" customWidth="1"/>
    <col min="5387" max="5391" width="8.140625" style="16" customWidth="1"/>
    <col min="5392" max="5392" width="8.140625" style="16" bestFit="1" customWidth="1"/>
    <col min="5393"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9.140625" style="16" customWidth="1"/>
    <col min="5635" max="5635" width="9.5703125" style="16" customWidth="1"/>
    <col min="5636" max="5636" width="8" style="16" customWidth="1"/>
    <col min="5637" max="5637" width="7.5703125" style="16" customWidth="1"/>
    <col min="5638" max="5638" width="8.28515625" style="16" customWidth="1"/>
    <col min="5639" max="5640" width="8.5703125" style="16" customWidth="1"/>
    <col min="5641" max="5641" width="8.140625" style="16" customWidth="1"/>
    <col min="5642" max="5642" width="10" style="16" bestFit="1" customWidth="1"/>
    <col min="5643" max="5647" width="8.140625" style="16" customWidth="1"/>
    <col min="5648" max="5648" width="8.140625" style="16" bestFit="1" customWidth="1"/>
    <col min="5649"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9.140625" style="16" customWidth="1"/>
    <col min="5891" max="5891" width="9.5703125" style="16" customWidth="1"/>
    <col min="5892" max="5892" width="8" style="16" customWidth="1"/>
    <col min="5893" max="5893" width="7.5703125" style="16" customWidth="1"/>
    <col min="5894" max="5894" width="8.28515625" style="16" customWidth="1"/>
    <col min="5895" max="5896" width="8.5703125" style="16" customWidth="1"/>
    <col min="5897" max="5897" width="8.140625" style="16" customWidth="1"/>
    <col min="5898" max="5898" width="10" style="16" bestFit="1" customWidth="1"/>
    <col min="5899" max="5903" width="8.140625" style="16" customWidth="1"/>
    <col min="5904" max="5904" width="8.140625" style="16" bestFit="1" customWidth="1"/>
    <col min="5905"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9.140625" style="16" customWidth="1"/>
    <col min="6147" max="6147" width="9.5703125" style="16" customWidth="1"/>
    <col min="6148" max="6148" width="8" style="16" customWidth="1"/>
    <col min="6149" max="6149" width="7.5703125" style="16" customWidth="1"/>
    <col min="6150" max="6150" width="8.28515625" style="16" customWidth="1"/>
    <col min="6151" max="6152" width="8.5703125" style="16" customWidth="1"/>
    <col min="6153" max="6153" width="8.140625" style="16" customWidth="1"/>
    <col min="6154" max="6154" width="10" style="16" bestFit="1" customWidth="1"/>
    <col min="6155" max="6159" width="8.140625" style="16" customWidth="1"/>
    <col min="6160" max="6160" width="8.140625" style="16" bestFit="1" customWidth="1"/>
    <col min="6161"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9.140625" style="16" customWidth="1"/>
    <col min="6403" max="6403" width="9.5703125" style="16" customWidth="1"/>
    <col min="6404" max="6404" width="8" style="16" customWidth="1"/>
    <col min="6405" max="6405" width="7.5703125" style="16" customWidth="1"/>
    <col min="6406" max="6406" width="8.28515625" style="16" customWidth="1"/>
    <col min="6407" max="6408" width="8.5703125" style="16" customWidth="1"/>
    <col min="6409" max="6409" width="8.140625" style="16" customWidth="1"/>
    <col min="6410" max="6410" width="10" style="16" bestFit="1" customWidth="1"/>
    <col min="6411" max="6415" width="8.140625" style="16" customWidth="1"/>
    <col min="6416" max="6416" width="8.140625" style="16" bestFit="1" customWidth="1"/>
    <col min="6417"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9.140625" style="16" customWidth="1"/>
    <col min="6659" max="6659" width="9.5703125" style="16" customWidth="1"/>
    <col min="6660" max="6660" width="8" style="16" customWidth="1"/>
    <col min="6661" max="6661" width="7.5703125" style="16" customWidth="1"/>
    <col min="6662" max="6662" width="8.28515625" style="16" customWidth="1"/>
    <col min="6663" max="6664" width="8.5703125" style="16" customWidth="1"/>
    <col min="6665" max="6665" width="8.140625" style="16" customWidth="1"/>
    <col min="6666" max="6666" width="10" style="16" bestFit="1" customWidth="1"/>
    <col min="6667" max="6671" width="8.140625" style="16" customWidth="1"/>
    <col min="6672" max="6672" width="8.140625" style="16" bestFit="1" customWidth="1"/>
    <col min="6673"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9.140625" style="16" customWidth="1"/>
    <col min="6915" max="6915" width="9.5703125" style="16" customWidth="1"/>
    <col min="6916" max="6916" width="8" style="16" customWidth="1"/>
    <col min="6917" max="6917" width="7.5703125" style="16" customWidth="1"/>
    <col min="6918" max="6918" width="8.28515625" style="16" customWidth="1"/>
    <col min="6919" max="6920" width="8.5703125" style="16" customWidth="1"/>
    <col min="6921" max="6921" width="8.140625" style="16" customWidth="1"/>
    <col min="6922" max="6922" width="10" style="16" bestFit="1" customWidth="1"/>
    <col min="6923" max="6927" width="8.140625" style="16" customWidth="1"/>
    <col min="6928" max="6928" width="8.140625" style="16" bestFit="1" customWidth="1"/>
    <col min="6929"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9.140625" style="16" customWidth="1"/>
    <col min="7171" max="7171" width="9.5703125" style="16" customWidth="1"/>
    <col min="7172" max="7172" width="8" style="16" customWidth="1"/>
    <col min="7173" max="7173" width="7.5703125" style="16" customWidth="1"/>
    <col min="7174" max="7174" width="8.28515625" style="16" customWidth="1"/>
    <col min="7175" max="7176" width="8.5703125" style="16" customWidth="1"/>
    <col min="7177" max="7177" width="8.140625" style="16" customWidth="1"/>
    <col min="7178" max="7178" width="10" style="16" bestFit="1" customWidth="1"/>
    <col min="7179" max="7183" width="8.140625" style="16" customWidth="1"/>
    <col min="7184" max="7184" width="8.140625" style="16" bestFit="1" customWidth="1"/>
    <col min="7185"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9.140625" style="16" customWidth="1"/>
    <col min="7427" max="7427" width="9.5703125" style="16" customWidth="1"/>
    <col min="7428" max="7428" width="8" style="16" customWidth="1"/>
    <col min="7429" max="7429" width="7.5703125" style="16" customWidth="1"/>
    <col min="7430" max="7430" width="8.28515625" style="16" customWidth="1"/>
    <col min="7431" max="7432" width="8.5703125" style="16" customWidth="1"/>
    <col min="7433" max="7433" width="8.140625" style="16" customWidth="1"/>
    <col min="7434" max="7434" width="10" style="16" bestFit="1" customWidth="1"/>
    <col min="7435" max="7439" width="8.140625" style="16" customWidth="1"/>
    <col min="7440" max="7440" width="8.140625" style="16" bestFit="1" customWidth="1"/>
    <col min="7441"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9.140625" style="16" customWidth="1"/>
    <col min="7683" max="7683" width="9.5703125" style="16" customWidth="1"/>
    <col min="7684" max="7684" width="8" style="16" customWidth="1"/>
    <col min="7685" max="7685" width="7.5703125" style="16" customWidth="1"/>
    <col min="7686" max="7686" width="8.28515625" style="16" customWidth="1"/>
    <col min="7687" max="7688" width="8.5703125" style="16" customWidth="1"/>
    <col min="7689" max="7689" width="8.140625" style="16" customWidth="1"/>
    <col min="7690" max="7690" width="10" style="16" bestFit="1" customWidth="1"/>
    <col min="7691" max="7695" width="8.140625" style="16" customWidth="1"/>
    <col min="7696" max="7696" width="8.140625" style="16" bestFit="1" customWidth="1"/>
    <col min="7697"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9.140625" style="16" customWidth="1"/>
    <col min="7939" max="7939" width="9.5703125" style="16" customWidth="1"/>
    <col min="7940" max="7940" width="8" style="16" customWidth="1"/>
    <col min="7941" max="7941" width="7.5703125" style="16" customWidth="1"/>
    <col min="7942" max="7942" width="8.28515625" style="16" customWidth="1"/>
    <col min="7943" max="7944" width="8.5703125" style="16" customWidth="1"/>
    <col min="7945" max="7945" width="8.140625" style="16" customWidth="1"/>
    <col min="7946" max="7946" width="10" style="16" bestFit="1" customWidth="1"/>
    <col min="7947" max="7951" width="8.140625" style="16" customWidth="1"/>
    <col min="7952" max="7952" width="8.140625" style="16" bestFit="1" customWidth="1"/>
    <col min="7953"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9.140625" style="16" customWidth="1"/>
    <col min="8195" max="8195" width="9.5703125" style="16" customWidth="1"/>
    <col min="8196" max="8196" width="8" style="16" customWidth="1"/>
    <col min="8197" max="8197" width="7.5703125" style="16" customWidth="1"/>
    <col min="8198" max="8198" width="8.28515625" style="16" customWidth="1"/>
    <col min="8199" max="8200" width="8.5703125" style="16" customWidth="1"/>
    <col min="8201" max="8201" width="8.140625" style="16" customWidth="1"/>
    <col min="8202" max="8202" width="10" style="16" bestFit="1" customWidth="1"/>
    <col min="8203" max="8207" width="8.140625" style="16" customWidth="1"/>
    <col min="8208" max="8208" width="8.140625" style="16" bestFit="1" customWidth="1"/>
    <col min="8209"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9.140625" style="16" customWidth="1"/>
    <col min="8451" max="8451" width="9.5703125" style="16" customWidth="1"/>
    <col min="8452" max="8452" width="8" style="16" customWidth="1"/>
    <col min="8453" max="8453" width="7.5703125" style="16" customWidth="1"/>
    <col min="8454" max="8454" width="8.28515625" style="16" customWidth="1"/>
    <col min="8455" max="8456" width="8.5703125" style="16" customWidth="1"/>
    <col min="8457" max="8457" width="8.140625" style="16" customWidth="1"/>
    <col min="8458" max="8458" width="10" style="16" bestFit="1" customWidth="1"/>
    <col min="8459" max="8463" width="8.140625" style="16" customWidth="1"/>
    <col min="8464" max="8464" width="8.140625" style="16" bestFit="1" customWidth="1"/>
    <col min="8465"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9.140625" style="16" customWidth="1"/>
    <col min="8707" max="8707" width="9.5703125" style="16" customWidth="1"/>
    <col min="8708" max="8708" width="8" style="16" customWidth="1"/>
    <col min="8709" max="8709" width="7.5703125" style="16" customWidth="1"/>
    <col min="8710" max="8710" width="8.28515625" style="16" customWidth="1"/>
    <col min="8711" max="8712" width="8.5703125" style="16" customWidth="1"/>
    <col min="8713" max="8713" width="8.140625" style="16" customWidth="1"/>
    <col min="8714" max="8714" width="10" style="16" bestFit="1" customWidth="1"/>
    <col min="8715" max="8719" width="8.140625" style="16" customWidth="1"/>
    <col min="8720" max="8720" width="8.140625" style="16" bestFit="1" customWidth="1"/>
    <col min="8721"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9.140625" style="16" customWidth="1"/>
    <col min="8963" max="8963" width="9.5703125" style="16" customWidth="1"/>
    <col min="8964" max="8964" width="8" style="16" customWidth="1"/>
    <col min="8965" max="8965" width="7.5703125" style="16" customWidth="1"/>
    <col min="8966" max="8966" width="8.28515625" style="16" customWidth="1"/>
    <col min="8967" max="8968" width="8.5703125" style="16" customWidth="1"/>
    <col min="8969" max="8969" width="8.140625" style="16" customWidth="1"/>
    <col min="8970" max="8970" width="10" style="16" bestFit="1" customWidth="1"/>
    <col min="8971" max="8975" width="8.140625" style="16" customWidth="1"/>
    <col min="8976" max="8976" width="8.140625" style="16" bestFit="1" customWidth="1"/>
    <col min="8977"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9.140625" style="16" customWidth="1"/>
    <col min="9219" max="9219" width="9.5703125" style="16" customWidth="1"/>
    <col min="9220" max="9220" width="8" style="16" customWidth="1"/>
    <col min="9221" max="9221" width="7.5703125" style="16" customWidth="1"/>
    <col min="9222" max="9222" width="8.28515625" style="16" customWidth="1"/>
    <col min="9223" max="9224" width="8.5703125" style="16" customWidth="1"/>
    <col min="9225" max="9225" width="8.140625" style="16" customWidth="1"/>
    <col min="9226" max="9226" width="10" style="16" bestFit="1" customWidth="1"/>
    <col min="9227" max="9231" width="8.140625" style="16" customWidth="1"/>
    <col min="9232" max="9232" width="8.140625" style="16" bestFit="1" customWidth="1"/>
    <col min="9233"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9.140625" style="16" customWidth="1"/>
    <col min="9475" max="9475" width="9.5703125" style="16" customWidth="1"/>
    <col min="9476" max="9476" width="8" style="16" customWidth="1"/>
    <col min="9477" max="9477" width="7.5703125" style="16" customWidth="1"/>
    <col min="9478" max="9478" width="8.28515625" style="16" customWidth="1"/>
    <col min="9479" max="9480" width="8.5703125" style="16" customWidth="1"/>
    <col min="9481" max="9481" width="8.140625" style="16" customWidth="1"/>
    <col min="9482" max="9482" width="10" style="16" bestFit="1" customWidth="1"/>
    <col min="9483" max="9487" width="8.140625" style="16" customWidth="1"/>
    <col min="9488" max="9488" width="8.140625" style="16" bestFit="1" customWidth="1"/>
    <col min="9489"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9.140625" style="16" customWidth="1"/>
    <col min="9731" max="9731" width="9.5703125" style="16" customWidth="1"/>
    <col min="9732" max="9732" width="8" style="16" customWidth="1"/>
    <col min="9733" max="9733" width="7.5703125" style="16" customWidth="1"/>
    <col min="9734" max="9734" width="8.28515625" style="16" customWidth="1"/>
    <col min="9735" max="9736" width="8.5703125" style="16" customWidth="1"/>
    <col min="9737" max="9737" width="8.140625" style="16" customWidth="1"/>
    <col min="9738" max="9738" width="10" style="16" bestFit="1" customWidth="1"/>
    <col min="9739" max="9743" width="8.140625" style="16" customWidth="1"/>
    <col min="9744" max="9744" width="8.140625" style="16" bestFit="1" customWidth="1"/>
    <col min="9745"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9.140625" style="16" customWidth="1"/>
    <col min="9987" max="9987" width="9.5703125" style="16" customWidth="1"/>
    <col min="9988" max="9988" width="8" style="16" customWidth="1"/>
    <col min="9989" max="9989" width="7.5703125" style="16" customWidth="1"/>
    <col min="9990" max="9990" width="8.28515625" style="16" customWidth="1"/>
    <col min="9991" max="9992" width="8.5703125" style="16" customWidth="1"/>
    <col min="9993" max="9993" width="8.140625" style="16" customWidth="1"/>
    <col min="9994" max="9994" width="10" style="16" bestFit="1" customWidth="1"/>
    <col min="9995" max="9999" width="8.140625" style="16" customWidth="1"/>
    <col min="10000" max="10000" width="8.140625" style="16" bestFit="1" customWidth="1"/>
    <col min="10001"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9.140625" style="16" customWidth="1"/>
    <col min="10243" max="10243" width="9.5703125" style="16" customWidth="1"/>
    <col min="10244" max="10244" width="8" style="16" customWidth="1"/>
    <col min="10245" max="10245" width="7.5703125" style="16" customWidth="1"/>
    <col min="10246" max="10246" width="8.28515625" style="16" customWidth="1"/>
    <col min="10247" max="10248" width="8.5703125" style="16" customWidth="1"/>
    <col min="10249" max="10249" width="8.140625" style="16" customWidth="1"/>
    <col min="10250" max="10250" width="10" style="16" bestFit="1" customWidth="1"/>
    <col min="10251" max="10255" width="8.140625" style="16" customWidth="1"/>
    <col min="10256" max="10256" width="8.140625" style="16" bestFit="1" customWidth="1"/>
    <col min="10257"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9.140625" style="16" customWidth="1"/>
    <col min="10499" max="10499" width="9.5703125" style="16" customWidth="1"/>
    <col min="10500" max="10500" width="8" style="16" customWidth="1"/>
    <col min="10501" max="10501" width="7.5703125" style="16" customWidth="1"/>
    <col min="10502" max="10502" width="8.28515625" style="16" customWidth="1"/>
    <col min="10503" max="10504" width="8.5703125" style="16" customWidth="1"/>
    <col min="10505" max="10505" width="8.140625" style="16" customWidth="1"/>
    <col min="10506" max="10506" width="10" style="16" bestFit="1" customWidth="1"/>
    <col min="10507" max="10511" width="8.140625" style="16" customWidth="1"/>
    <col min="10512" max="10512" width="8.140625" style="16" bestFit="1" customWidth="1"/>
    <col min="10513"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9.140625" style="16" customWidth="1"/>
    <col min="10755" max="10755" width="9.5703125" style="16" customWidth="1"/>
    <col min="10756" max="10756" width="8" style="16" customWidth="1"/>
    <col min="10757" max="10757" width="7.5703125" style="16" customWidth="1"/>
    <col min="10758" max="10758" width="8.28515625" style="16" customWidth="1"/>
    <col min="10759" max="10760" width="8.5703125" style="16" customWidth="1"/>
    <col min="10761" max="10761" width="8.140625" style="16" customWidth="1"/>
    <col min="10762" max="10762" width="10" style="16" bestFit="1" customWidth="1"/>
    <col min="10763" max="10767" width="8.140625" style="16" customWidth="1"/>
    <col min="10768" max="10768" width="8.140625" style="16" bestFit="1" customWidth="1"/>
    <col min="10769"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9.140625" style="16" customWidth="1"/>
    <col min="11011" max="11011" width="9.5703125" style="16" customWidth="1"/>
    <col min="11012" max="11012" width="8" style="16" customWidth="1"/>
    <col min="11013" max="11013" width="7.5703125" style="16" customWidth="1"/>
    <col min="11014" max="11014" width="8.28515625" style="16" customWidth="1"/>
    <col min="11015" max="11016" width="8.5703125" style="16" customWidth="1"/>
    <col min="11017" max="11017" width="8.140625" style="16" customWidth="1"/>
    <col min="11018" max="11018" width="10" style="16" bestFit="1" customWidth="1"/>
    <col min="11019" max="11023" width="8.140625" style="16" customWidth="1"/>
    <col min="11024" max="11024" width="8.140625" style="16" bestFit="1" customWidth="1"/>
    <col min="11025"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9.140625" style="16" customWidth="1"/>
    <col min="11267" max="11267" width="9.5703125" style="16" customWidth="1"/>
    <col min="11268" max="11268" width="8" style="16" customWidth="1"/>
    <col min="11269" max="11269" width="7.5703125" style="16" customWidth="1"/>
    <col min="11270" max="11270" width="8.28515625" style="16" customWidth="1"/>
    <col min="11271" max="11272" width="8.5703125" style="16" customWidth="1"/>
    <col min="11273" max="11273" width="8.140625" style="16" customWidth="1"/>
    <col min="11274" max="11274" width="10" style="16" bestFit="1" customWidth="1"/>
    <col min="11275" max="11279" width="8.140625" style="16" customWidth="1"/>
    <col min="11280" max="11280" width="8.140625" style="16" bestFit="1" customWidth="1"/>
    <col min="11281"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9.140625" style="16" customWidth="1"/>
    <col min="11523" max="11523" width="9.5703125" style="16" customWidth="1"/>
    <col min="11524" max="11524" width="8" style="16" customWidth="1"/>
    <col min="11525" max="11525" width="7.5703125" style="16" customWidth="1"/>
    <col min="11526" max="11526" width="8.28515625" style="16" customWidth="1"/>
    <col min="11527" max="11528" width="8.5703125" style="16" customWidth="1"/>
    <col min="11529" max="11529" width="8.140625" style="16" customWidth="1"/>
    <col min="11530" max="11530" width="10" style="16" bestFit="1" customWidth="1"/>
    <col min="11531" max="11535" width="8.140625" style="16" customWidth="1"/>
    <col min="11536" max="11536" width="8.140625" style="16" bestFit="1" customWidth="1"/>
    <col min="11537"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9.140625" style="16" customWidth="1"/>
    <col min="11779" max="11779" width="9.5703125" style="16" customWidth="1"/>
    <col min="11780" max="11780" width="8" style="16" customWidth="1"/>
    <col min="11781" max="11781" width="7.5703125" style="16" customWidth="1"/>
    <col min="11782" max="11782" width="8.28515625" style="16" customWidth="1"/>
    <col min="11783" max="11784" width="8.5703125" style="16" customWidth="1"/>
    <col min="11785" max="11785" width="8.140625" style="16" customWidth="1"/>
    <col min="11786" max="11786" width="10" style="16" bestFit="1" customWidth="1"/>
    <col min="11787" max="11791" width="8.140625" style="16" customWidth="1"/>
    <col min="11792" max="11792" width="8.140625" style="16" bestFit="1" customWidth="1"/>
    <col min="11793"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9.140625" style="16" customWidth="1"/>
    <col min="12035" max="12035" width="9.5703125" style="16" customWidth="1"/>
    <col min="12036" max="12036" width="8" style="16" customWidth="1"/>
    <col min="12037" max="12037" width="7.5703125" style="16" customWidth="1"/>
    <col min="12038" max="12038" width="8.28515625" style="16" customWidth="1"/>
    <col min="12039" max="12040" width="8.5703125" style="16" customWidth="1"/>
    <col min="12041" max="12041" width="8.140625" style="16" customWidth="1"/>
    <col min="12042" max="12042" width="10" style="16" bestFit="1" customWidth="1"/>
    <col min="12043" max="12047" width="8.140625" style="16" customWidth="1"/>
    <col min="12048" max="12048" width="8.140625" style="16" bestFit="1" customWidth="1"/>
    <col min="12049"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9.140625" style="16" customWidth="1"/>
    <col min="12291" max="12291" width="9.5703125" style="16" customWidth="1"/>
    <col min="12292" max="12292" width="8" style="16" customWidth="1"/>
    <col min="12293" max="12293" width="7.5703125" style="16" customWidth="1"/>
    <col min="12294" max="12294" width="8.28515625" style="16" customWidth="1"/>
    <col min="12295" max="12296" width="8.5703125" style="16" customWidth="1"/>
    <col min="12297" max="12297" width="8.140625" style="16" customWidth="1"/>
    <col min="12298" max="12298" width="10" style="16" bestFit="1" customWidth="1"/>
    <col min="12299" max="12303" width="8.140625" style="16" customWidth="1"/>
    <col min="12304" max="12304" width="8.140625" style="16" bestFit="1" customWidth="1"/>
    <col min="12305"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9.140625" style="16" customWidth="1"/>
    <col min="12547" max="12547" width="9.5703125" style="16" customWidth="1"/>
    <col min="12548" max="12548" width="8" style="16" customWidth="1"/>
    <col min="12549" max="12549" width="7.5703125" style="16" customWidth="1"/>
    <col min="12550" max="12550" width="8.28515625" style="16" customWidth="1"/>
    <col min="12551" max="12552" width="8.5703125" style="16" customWidth="1"/>
    <col min="12553" max="12553" width="8.140625" style="16" customWidth="1"/>
    <col min="12554" max="12554" width="10" style="16" bestFit="1" customWidth="1"/>
    <col min="12555" max="12559" width="8.140625" style="16" customWidth="1"/>
    <col min="12560" max="12560" width="8.140625" style="16" bestFit="1" customWidth="1"/>
    <col min="12561"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9.140625" style="16" customWidth="1"/>
    <col min="12803" max="12803" width="9.5703125" style="16" customWidth="1"/>
    <col min="12804" max="12804" width="8" style="16" customWidth="1"/>
    <col min="12805" max="12805" width="7.5703125" style="16" customWidth="1"/>
    <col min="12806" max="12806" width="8.28515625" style="16" customWidth="1"/>
    <col min="12807" max="12808" width="8.5703125" style="16" customWidth="1"/>
    <col min="12809" max="12809" width="8.140625" style="16" customWidth="1"/>
    <col min="12810" max="12810" width="10" style="16" bestFit="1" customWidth="1"/>
    <col min="12811" max="12815" width="8.140625" style="16" customWidth="1"/>
    <col min="12816" max="12816" width="8.140625" style="16" bestFit="1" customWidth="1"/>
    <col min="12817"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9.140625" style="16" customWidth="1"/>
    <col min="13059" max="13059" width="9.5703125" style="16" customWidth="1"/>
    <col min="13060" max="13060" width="8" style="16" customWidth="1"/>
    <col min="13061" max="13061" width="7.5703125" style="16" customWidth="1"/>
    <col min="13062" max="13062" width="8.28515625" style="16" customWidth="1"/>
    <col min="13063" max="13064" width="8.5703125" style="16" customWidth="1"/>
    <col min="13065" max="13065" width="8.140625" style="16" customWidth="1"/>
    <col min="13066" max="13066" width="10" style="16" bestFit="1" customWidth="1"/>
    <col min="13067" max="13071" width="8.140625" style="16" customWidth="1"/>
    <col min="13072" max="13072" width="8.140625" style="16" bestFit="1" customWidth="1"/>
    <col min="13073"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9.140625" style="16" customWidth="1"/>
    <col min="13315" max="13315" width="9.5703125" style="16" customWidth="1"/>
    <col min="13316" max="13316" width="8" style="16" customWidth="1"/>
    <col min="13317" max="13317" width="7.5703125" style="16" customWidth="1"/>
    <col min="13318" max="13318" width="8.28515625" style="16" customWidth="1"/>
    <col min="13319" max="13320" width="8.5703125" style="16" customWidth="1"/>
    <col min="13321" max="13321" width="8.140625" style="16" customWidth="1"/>
    <col min="13322" max="13322" width="10" style="16" bestFit="1" customWidth="1"/>
    <col min="13323" max="13327" width="8.140625" style="16" customWidth="1"/>
    <col min="13328" max="13328" width="8.140625" style="16" bestFit="1" customWidth="1"/>
    <col min="13329"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9.140625" style="16" customWidth="1"/>
    <col min="13571" max="13571" width="9.5703125" style="16" customWidth="1"/>
    <col min="13572" max="13572" width="8" style="16" customWidth="1"/>
    <col min="13573" max="13573" width="7.5703125" style="16" customWidth="1"/>
    <col min="13574" max="13574" width="8.28515625" style="16" customWidth="1"/>
    <col min="13575" max="13576" width="8.5703125" style="16" customWidth="1"/>
    <col min="13577" max="13577" width="8.140625" style="16" customWidth="1"/>
    <col min="13578" max="13578" width="10" style="16" bestFit="1" customWidth="1"/>
    <col min="13579" max="13583" width="8.140625" style="16" customWidth="1"/>
    <col min="13584" max="13584" width="8.140625" style="16" bestFit="1" customWidth="1"/>
    <col min="13585"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9.140625" style="16" customWidth="1"/>
    <col min="13827" max="13827" width="9.5703125" style="16" customWidth="1"/>
    <col min="13828" max="13828" width="8" style="16" customWidth="1"/>
    <col min="13829" max="13829" width="7.5703125" style="16" customWidth="1"/>
    <col min="13830" max="13830" width="8.28515625" style="16" customWidth="1"/>
    <col min="13831" max="13832" width="8.5703125" style="16" customWidth="1"/>
    <col min="13833" max="13833" width="8.140625" style="16" customWidth="1"/>
    <col min="13834" max="13834" width="10" style="16" bestFit="1" customWidth="1"/>
    <col min="13835" max="13839" width="8.140625" style="16" customWidth="1"/>
    <col min="13840" max="13840" width="8.140625" style="16" bestFit="1" customWidth="1"/>
    <col min="13841"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9.140625" style="16" customWidth="1"/>
    <col min="14083" max="14083" width="9.5703125" style="16" customWidth="1"/>
    <col min="14084" max="14084" width="8" style="16" customWidth="1"/>
    <col min="14085" max="14085" width="7.5703125" style="16" customWidth="1"/>
    <col min="14086" max="14086" width="8.28515625" style="16" customWidth="1"/>
    <col min="14087" max="14088" width="8.5703125" style="16" customWidth="1"/>
    <col min="14089" max="14089" width="8.140625" style="16" customWidth="1"/>
    <col min="14090" max="14090" width="10" style="16" bestFit="1" customWidth="1"/>
    <col min="14091" max="14095" width="8.140625" style="16" customWidth="1"/>
    <col min="14096" max="14096" width="8.140625" style="16" bestFit="1" customWidth="1"/>
    <col min="14097"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9.140625" style="16" customWidth="1"/>
    <col min="14339" max="14339" width="9.5703125" style="16" customWidth="1"/>
    <col min="14340" max="14340" width="8" style="16" customWidth="1"/>
    <col min="14341" max="14341" width="7.5703125" style="16" customWidth="1"/>
    <col min="14342" max="14342" width="8.28515625" style="16" customWidth="1"/>
    <col min="14343" max="14344" width="8.5703125" style="16" customWidth="1"/>
    <col min="14345" max="14345" width="8.140625" style="16" customWidth="1"/>
    <col min="14346" max="14346" width="10" style="16" bestFit="1" customWidth="1"/>
    <col min="14347" max="14351" width="8.140625" style="16" customWidth="1"/>
    <col min="14352" max="14352" width="8.140625" style="16" bestFit="1" customWidth="1"/>
    <col min="14353"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9.140625" style="16" customWidth="1"/>
    <col min="14595" max="14595" width="9.5703125" style="16" customWidth="1"/>
    <col min="14596" max="14596" width="8" style="16" customWidth="1"/>
    <col min="14597" max="14597" width="7.5703125" style="16" customWidth="1"/>
    <col min="14598" max="14598" width="8.28515625" style="16" customWidth="1"/>
    <col min="14599" max="14600" width="8.5703125" style="16" customWidth="1"/>
    <col min="14601" max="14601" width="8.140625" style="16" customWidth="1"/>
    <col min="14602" max="14602" width="10" style="16" bestFit="1" customWidth="1"/>
    <col min="14603" max="14607" width="8.140625" style="16" customWidth="1"/>
    <col min="14608" max="14608" width="8.140625" style="16" bestFit="1" customWidth="1"/>
    <col min="14609"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9.140625" style="16" customWidth="1"/>
    <col min="14851" max="14851" width="9.5703125" style="16" customWidth="1"/>
    <col min="14852" max="14852" width="8" style="16" customWidth="1"/>
    <col min="14853" max="14853" width="7.5703125" style="16" customWidth="1"/>
    <col min="14854" max="14854" width="8.28515625" style="16" customWidth="1"/>
    <col min="14855" max="14856" width="8.5703125" style="16" customWidth="1"/>
    <col min="14857" max="14857" width="8.140625" style="16" customWidth="1"/>
    <col min="14858" max="14858" width="10" style="16" bestFit="1" customWidth="1"/>
    <col min="14859" max="14863" width="8.140625" style="16" customWidth="1"/>
    <col min="14864" max="14864" width="8.140625" style="16" bestFit="1" customWidth="1"/>
    <col min="14865"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9.140625" style="16" customWidth="1"/>
    <col min="15107" max="15107" width="9.5703125" style="16" customWidth="1"/>
    <col min="15108" max="15108" width="8" style="16" customWidth="1"/>
    <col min="15109" max="15109" width="7.5703125" style="16" customWidth="1"/>
    <col min="15110" max="15110" width="8.28515625" style="16" customWidth="1"/>
    <col min="15111" max="15112" width="8.5703125" style="16" customWidth="1"/>
    <col min="15113" max="15113" width="8.140625" style="16" customWidth="1"/>
    <col min="15114" max="15114" width="10" style="16" bestFit="1" customWidth="1"/>
    <col min="15115" max="15119" width="8.140625" style="16" customWidth="1"/>
    <col min="15120" max="15120" width="8.140625" style="16" bestFit="1" customWidth="1"/>
    <col min="15121"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9.140625" style="16" customWidth="1"/>
    <col min="15363" max="15363" width="9.5703125" style="16" customWidth="1"/>
    <col min="15364" max="15364" width="8" style="16" customWidth="1"/>
    <col min="15365" max="15365" width="7.5703125" style="16" customWidth="1"/>
    <col min="15366" max="15366" width="8.28515625" style="16" customWidth="1"/>
    <col min="15367" max="15368" width="8.5703125" style="16" customWidth="1"/>
    <col min="15369" max="15369" width="8.140625" style="16" customWidth="1"/>
    <col min="15370" max="15370" width="10" style="16" bestFit="1" customWidth="1"/>
    <col min="15371" max="15375" width="8.140625" style="16" customWidth="1"/>
    <col min="15376" max="15376" width="8.140625" style="16" bestFit="1" customWidth="1"/>
    <col min="15377"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9.140625" style="16" customWidth="1"/>
    <col min="15619" max="15619" width="9.5703125" style="16" customWidth="1"/>
    <col min="15620" max="15620" width="8" style="16" customWidth="1"/>
    <col min="15621" max="15621" width="7.5703125" style="16" customWidth="1"/>
    <col min="15622" max="15622" width="8.28515625" style="16" customWidth="1"/>
    <col min="15623" max="15624" width="8.5703125" style="16" customWidth="1"/>
    <col min="15625" max="15625" width="8.140625" style="16" customWidth="1"/>
    <col min="15626" max="15626" width="10" style="16" bestFit="1" customWidth="1"/>
    <col min="15627" max="15631" width="8.140625" style="16" customWidth="1"/>
    <col min="15632" max="15632" width="8.140625" style="16" bestFit="1" customWidth="1"/>
    <col min="15633"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9.140625" style="16" customWidth="1"/>
    <col min="15875" max="15875" width="9.5703125" style="16" customWidth="1"/>
    <col min="15876" max="15876" width="8" style="16" customWidth="1"/>
    <col min="15877" max="15877" width="7.5703125" style="16" customWidth="1"/>
    <col min="15878" max="15878" width="8.28515625" style="16" customWidth="1"/>
    <col min="15879" max="15880" width="8.5703125" style="16" customWidth="1"/>
    <col min="15881" max="15881" width="8.140625" style="16" customWidth="1"/>
    <col min="15882" max="15882" width="10" style="16" bestFit="1" customWidth="1"/>
    <col min="15883" max="15887" width="8.140625" style="16" customWidth="1"/>
    <col min="15888" max="15888" width="8.140625" style="16" bestFit="1" customWidth="1"/>
    <col min="15889"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9.140625" style="16" customWidth="1"/>
    <col min="16131" max="16131" width="9.5703125" style="16" customWidth="1"/>
    <col min="16132" max="16132" width="8" style="16" customWidth="1"/>
    <col min="16133" max="16133" width="7.5703125" style="16" customWidth="1"/>
    <col min="16134" max="16134" width="8.28515625" style="16" customWidth="1"/>
    <col min="16135" max="16136" width="8.5703125" style="16" customWidth="1"/>
    <col min="16137" max="16137" width="8.140625" style="16" customWidth="1"/>
    <col min="16138" max="16138" width="10" style="16" bestFit="1" customWidth="1"/>
    <col min="16139" max="16143" width="8.140625" style="16" customWidth="1"/>
    <col min="16144" max="16144" width="8.140625" style="16" bestFit="1" customWidth="1"/>
    <col min="16145"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67" t="s">
        <v>100</v>
      </c>
      <c r="B1" s="868"/>
      <c r="C1" s="868"/>
      <c r="D1" s="869"/>
      <c r="E1" s="868"/>
      <c r="F1" s="868"/>
      <c r="G1" s="867" t="s">
        <v>102</v>
      </c>
      <c r="H1" s="869"/>
      <c r="I1" s="869" t="s">
        <v>86</v>
      </c>
      <c r="J1" s="868"/>
      <c r="K1" s="868"/>
      <c r="L1" s="870"/>
      <c r="M1" s="870"/>
      <c r="N1" s="870"/>
      <c r="O1" s="870"/>
    </row>
    <row r="2" spans="1:15" s="1" customFormat="1" x14ac:dyDescent="0.2">
      <c r="A2" s="867" t="s">
        <v>103</v>
      </c>
      <c r="B2" s="868"/>
      <c r="C2" s="868"/>
      <c r="D2" s="869"/>
      <c r="E2" s="868"/>
      <c r="F2" s="868"/>
      <c r="G2" s="867" t="s">
        <v>104</v>
      </c>
      <c r="H2" s="869"/>
      <c r="I2" s="869" t="s">
        <v>105</v>
      </c>
      <c r="J2" s="868"/>
      <c r="K2" s="868"/>
      <c r="L2" s="870"/>
      <c r="M2" s="870"/>
      <c r="N2" s="870"/>
      <c r="O2" s="870"/>
    </row>
    <row r="3" spans="1:15" s="1" customFormat="1" x14ac:dyDescent="0.2">
      <c r="A3" s="867" t="s">
        <v>106</v>
      </c>
      <c r="B3" s="868"/>
      <c r="C3" s="868"/>
      <c r="D3" s="883" t="s">
        <v>271</v>
      </c>
      <c r="E3" s="868"/>
      <c r="F3" s="868"/>
      <c r="G3" s="867" t="s">
        <v>107</v>
      </c>
      <c r="H3" s="869"/>
      <c r="I3" s="869" t="s">
        <v>108</v>
      </c>
      <c r="J3" s="868"/>
      <c r="K3" s="868"/>
      <c r="L3" s="870"/>
      <c r="M3" s="870"/>
      <c r="N3" s="870"/>
      <c r="O3" s="870"/>
    </row>
    <row r="4" spans="1:15" s="1" customFormat="1" x14ac:dyDescent="0.2">
      <c r="A4" s="867" t="s">
        <v>109</v>
      </c>
      <c r="B4" s="868"/>
      <c r="C4" s="868"/>
      <c r="D4" s="869"/>
      <c r="E4" s="868"/>
      <c r="F4" s="868"/>
      <c r="G4" s="867" t="s">
        <v>110</v>
      </c>
      <c r="H4" s="869"/>
      <c r="I4" s="869" t="s">
        <v>272</v>
      </c>
      <c r="J4" s="868"/>
      <c r="K4" s="868"/>
      <c r="L4" s="870"/>
      <c r="M4" s="870"/>
      <c r="N4" s="870"/>
      <c r="O4" s="870"/>
    </row>
    <row r="5" spans="1:15" s="1" customFormat="1" x14ac:dyDescent="0.2">
      <c r="A5" s="867" t="s">
        <v>112</v>
      </c>
      <c r="B5" s="868"/>
      <c r="C5" s="868"/>
      <c r="D5" s="869" t="s">
        <v>273</v>
      </c>
      <c r="E5" s="868"/>
      <c r="F5" s="868"/>
      <c r="G5" s="867"/>
      <c r="H5" s="868"/>
      <c r="I5" s="869" t="s">
        <v>113</v>
      </c>
      <c r="J5" s="868"/>
      <c r="K5" s="868"/>
      <c r="L5" s="870"/>
      <c r="M5" s="870"/>
      <c r="N5" s="870"/>
      <c r="O5" s="870"/>
    </row>
    <row r="6" spans="1:15" s="1" customFormat="1" x14ac:dyDescent="0.2">
      <c r="A6" s="871" t="s">
        <v>114</v>
      </c>
      <c r="B6" s="872"/>
      <c r="C6" s="872"/>
      <c r="D6" s="868" t="s">
        <v>87</v>
      </c>
      <c r="E6" s="868"/>
      <c r="F6" s="868"/>
      <c r="G6" s="871" t="s">
        <v>115</v>
      </c>
      <c r="H6" s="871"/>
      <c r="I6" s="2" t="s">
        <v>116</v>
      </c>
      <c r="J6" s="888"/>
      <c r="K6" s="888"/>
      <c r="L6" s="888"/>
      <c r="M6" s="888"/>
      <c r="N6" s="888"/>
      <c r="O6" s="889"/>
    </row>
    <row r="7" spans="1:15" s="1" customFormat="1" ht="13.5" thickBot="1" x14ac:dyDescent="0.25">
      <c r="A7" s="3"/>
      <c r="B7" s="4"/>
      <c r="C7" s="5"/>
      <c r="D7" s="6"/>
      <c r="E7" s="6"/>
      <c r="F7" s="6"/>
      <c r="G7" s="6"/>
      <c r="H7" s="6"/>
      <c r="I7" s="6"/>
      <c r="J7" s="7"/>
      <c r="K7" s="8"/>
      <c r="L7" s="875" t="s">
        <v>223</v>
      </c>
      <c r="M7" s="875"/>
      <c r="N7" s="875"/>
      <c r="O7" s="875"/>
    </row>
    <row r="8" spans="1:15" s="11" customFormat="1" x14ac:dyDescent="0.2">
      <c r="A8" s="876" t="str">
        <f>I1</f>
        <v>Mr. Santosh J. Jadhav</v>
      </c>
      <c r="B8" s="877"/>
      <c r="C8" s="144">
        <v>43160</v>
      </c>
      <c r="D8" s="144">
        <v>43191</v>
      </c>
      <c r="E8" s="144">
        <v>43221</v>
      </c>
      <c r="F8" s="144">
        <v>43252</v>
      </c>
      <c r="G8" s="144">
        <v>43282</v>
      </c>
      <c r="H8" s="144">
        <v>43313</v>
      </c>
      <c r="I8" s="144">
        <v>43344</v>
      </c>
      <c r="J8" s="144">
        <v>43374</v>
      </c>
      <c r="K8" s="144">
        <v>43405</v>
      </c>
      <c r="L8" s="144">
        <v>43435</v>
      </c>
      <c r="M8" s="144">
        <v>43466</v>
      </c>
      <c r="N8" s="144">
        <v>43497</v>
      </c>
      <c r="O8" s="10" t="s">
        <v>117</v>
      </c>
    </row>
    <row r="9" spans="1:15" ht="15" x14ac:dyDescent="0.2">
      <c r="A9" s="12"/>
      <c r="B9" s="13" t="s">
        <v>118</v>
      </c>
      <c r="C9" s="14">
        <v>31100</v>
      </c>
      <c r="D9" s="14">
        <v>31100</v>
      </c>
      <c r="E9" s="14">
        <v>31100</v>
      </c>
      <c r="F9" s="14">
        <v>31100</v>
      </c>
      <c r="G9" s="14">
        <v>32000</v>
      </c>
      <c r="H9" s="14">
        <v>32000</v>
      </c>
      <c r="I9" s="14">
        <v>32000</v>
      </c>
      <c r="J9" s="14">
        <v>32000</v>
      </c>
      <c r="K9" s="14">
        <v>32000</v>
      </c>
      <c r="L9" s="14">
        <v>32000</v>
      </c>
      <c r="M9" s="14">
        <v>32000</v>
      </c>
      <c r="N9" s="14">
        <v>32000</v>
      </c>
      <c r="O9" s="15">
        <f>SUM(C9:N9)</f>
        <v>380400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1555</v>
      </c>
      <c r="D11" s="17">
        <v>2177</v>
      </c>
      <c r="E11" s="17">
        <v>2177</v>
      </c>
      <c r="F11" s="17">
        <v>2177</v>
      </c>
      <c r="G11" s="17">
        <v>2240</v>
      </c>
      <c r="H11" s="17">
        <v>2240</v>
      </c>
      <c r="I11" s="17">
        <v>2240</v>
      </c>
      <c r="J11" s="17">
        <v>2880</v>
      </c>
      <c r="K11" s="17">
        <v>2880</v>
      </c>
      <c r="L11" s="17">
        <v>2880</v>
      </c>
      <c r="M11" s="17">
        <v>2880</v>
      </c>
      <c r="N11" s="17">
        <v>2880</v>
      </c>
      <c r="O11" s="18">
        <f>SUM(C11:N11)</f>
        <v>29206</v>
      </c>
    </row>
    <row r="12" spans="1:15"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x14ac:dyDescent="0.2">
      <c r="A14" s="12"/>
      <c r="B14" s="13" t="s">
        <v>123</v>
      </c>
      <c r="C14" s="17">
        <v>3780</v>
      </c>
      <c r="D14" s="17">
        <v>3852</v>
      </c>
      <c r="E14" s="17">
        <v>3852</v>
      </c>
      <c r="F14" s="17">
        <v>3852</v>
      </c>
      <c r="G14" s="17">
        <v>3852</v>
      </c>
      <c r="H14" s="17">
        <v>3852</v>
      </c>
      <c r="I14" s="17">
        <v>3852</v>
      </c>
      <c r="J14" s="17">
        <v>3924</v>
      </c>
      <c r="K14" s="17">
        <v>3924</v>
      </c>
      <c r="L14" s="17">
        <v>3924</v>
      </c>
      <c r="M14" s="17">
        <v>3924</v>
      </c>
      <c r="N14" s="17">
        <v>3924</v>
      </c>
      <c r="O14" s="18">
        <f t="shared" si="0"/>
        <v>46512</v>
      </c>
    </row>
    <row r="15" spans="1:15"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x14ac:dyDescent="0.2">
      <c r="A16" s="12"/>
      <c r="B16" s="13" t="s">
        <v>125</v>
      </c>
      <c r="C16" s="17">
        <v>0</v>
      </c>
      <c r="D16" s="17">
        <v>0</v>
      </c>
      <c r="E16" s="17">
        <v>0</v>
      </c>
      <c r="F16" s="17">
        <v>0</v>
      </c>
      <c r="G16" s="17">
        <v>5000</v>
      </c>
      <c r="H16" s="17">
        <v>0</v>
      </c>
      <c r="I16" s="17">
        <v>0</v>
      </c>
      <c r="J16" s="17">
        <v>0</v>
      </c>
      <c r="K16" s="17">
        <v>0</v>
      </c>
      <c r="L16" s="17">
        <v>0</v>
      </c>
      <c r="M16" s="17">
        <v>0</v>
      </c>
      <c r="N16" s="17">
        <v>0</v>
      </c>
      <c r="O16" s="18">
        <f t="shared" si="0"/>
        <v>5000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7464</v>
      </c>
      <c r="D19" s="17">
        <v>7464</v>
      </c>
      <c r="E19" s="17">
        <v>7464</v>
      </c>
      <c r="F19" s="17">
        <v>7464</v>
      </c>
      <c r="G19" s="17">
        <v>7680</v>
      </c>
      <c r="H19" s="17">
        <v>7680</v>
      </c>
      <c r="I19" s="17">
        <v>7680</v>
      </c>
      <c r="J19" s="17">
        <v>7680</v>
      </c>
      <c r="K19" s="17">
        <v>7680</v>
      </c>
      <c r="L19" s="17">
        <v>7680</v>
      </c>
      <c r="M19" s="17">
        <v>7680</v>
      </c>
      <c r="N19" s="17">
        <v>7680</v>
      </c>
      <c r="O19" s="18">
        <f t="shared" si="0"/>
        <v>91296</v>
      </c>
    </row>
    <row r="20" spans="1:15" ht="15" customHeight="1" x14ac:dyDescent="0.2">
      <c r="A20" s="12"/>
      <c r="B20" s="13" t="s">
        <v>129</v>
      </c>
      <c r="C20" s="17">
        <v>0</v>
      </c>
      <c r="D20" s="17">
        <v>0</v>
      </c>
      <c r="E20" s="17">
        <v>0</v>
      </c>
      <c r="F20" s="17">
        <v>52500</v>
      </c>
      <c r="G20" s="17">
        <v>0</v>
      </c>
      <c r="H20" s="17">
        <v>0</v>
      </c>
      <c r="I20" s="17">
        <v>0</v>
      </c>
      <c r="J20" s="17">
        <v>0</v>
      </c>
      <c r="K20" s="17">
        <v>0</v>
      </c>
      <c r="L20" s="17">
        <v>0</v>
      </c>
      <c r="M20" s="17">
        <v>0</v>
      </c>
      <c r="N20" s="17">
        <v>0</v>
      </c>
      <c r="O20" s="18">
        <f t="shared" si="0"/>
        <v>52500</v>
      </c>
    </row>
    <row r="21" spans="1:15" ht="15" hidden="1" customHeight="1" x14ac:dyDescent="0.2">
      <c r="A21" s="878"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79"/>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5" ht="15" hidden="1" customHeight="1" x14ac:dyDescent="0.2">
      <c r="A23" s="879"/>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79"/>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79"/>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79"/>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79"/>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79"/>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79"/>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79"/>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customHeight="1" x14ac:dyDescent="0.2">
      <c r="A31" s="879"/>
      <c r="B31" s="21" t="s">
        <v>246</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79"/>
      <c r="B32" s="21" t="s">
        <v>142</v>
      </c>
      <c r="C32" s="17">
        <v>0</v>
      </c>
      <c r="D32" s="17">
        <v>0</v>
      </c>
      <c r="E32" s="17">
        <v>0</v>
      </c>
      <c r="F32" s="17">
        <v>0</v>
      </c>
      <c r="G32" s="17">
        <v>0</v>
      </c>
      <c r="H32" s="17">
        <v>0</v>
      </c>
      <c r="I32" s="17">
        <v>0</v>
      </c>
      <c r="J32" s="17">
        <v>0</v>
      </c>
      <c r="K32" s="17">
        <v>0</v>
      </c>
      <c r="L32" s="17">
        <v>0</v>
      </c>
      <c r="M32" s="17">
        <v>0</v>
      </c>
      <c r="N32" s="17">
        <v>0</v>
      </c>
      <c r="O32" s="18">
        <f t="shared" si="0"/>
        <v>0</v>
      </c>
    </row>
    <row r="33" spans="1:16" ht="15" hidden="1" customHeight="1" x14ac:dyDescent="0.2">
      <c r="A33" s="880"/>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865" t="s">
        <v>143</v>
      </c>
      <c r="B34" s="866"/>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865" t="s">
        <v>145</v>
      </c>
      <c r="B35" s="866"/>
      <c r="C35" s="17">
        <v>0</v>
      </c>
      <c r="D35" s="17">
        <v>216</v>
      </c>
      <c r="E35" s="17">
        <v>0</v>
      </c>
      <c r="F35" s="17">
        <v>0</v>
      </c>
      <c r="G35" s="17">
        <v>0</v>
      </c>
      <c r="H35" s="17">
        <v>0</v>
      </c>
      <c r="I35" s="17">
        <v>0</v>
      </c>
      <c r="J35" s="17">
        <v>216</v>
      </c>
      <c r="K35" s="17">
        <v>0</v>
      </c>
      <c r="L35" s="17">
        <v>0</v>
      </c>
      <c r="M35" s="17">
        <v>0</v>
      </c>
      <c r="N35" s="17">
        <v>0</v>
      </c>
      <c r="O35" s="18">
        <f t="shared" si="0"/>
        <v>432</v>
      </c>
    </row>
    <row r="36" spans="1:16" ht="15" customHeight="1" x14ac:dyDescent="0.2">
      <c r="A36" s="865" t="s">
        <v>146</v>
      </c>
      <c r="B36" s="866"/>
      <c r="C36" s="17">
        <v>0</v>
      </c>
      <c r="D36" s="17">
        <v>1866</v>
      </c>
      <c r="E36" s="17">
        <v>0</v>
      </c>
      <c r="F36" s="17">
        <v>0</v>
      </c>
      <c r="G36" s="17">
        <v>0</v>
      </c>
      <c r="H36" s="17">
        <v>0</v>
      </c>
      <c r="I36" s="17">
        <v>0</v>
      </c>
      <c r="J36" s="17">
        <v>1920</v>
      </c>
      <c r="K36" s="17">
        <v>0</v>
      </c>
      <c r="L36" s="17">
        <v>0</v>
      </c>
      <c r="M36" s="17">
        <v>0</v>
      </c>
      <c r="N36" s="17">
        <v>0</v>
      </c>
      <c r="O36" s="18">
        <f t="shared" si="0"/>
        <v>3786</v>
      </c>
    </row>
    <row r="37" spans="1:16" ht="15" customHeight="1" x14ac:dyDescent="0.2">
      <c r="A37" s="22"/>
      <c r="B37" s="23" t="s">
        <v>147</v>
      </c>
      <c r="C37" s="24">
        <f t="shared" ref="C37:N37" si="1">SUM(C9:C36)</f>
        <v>43899</v>
      </c>
      <c r="D37" s="24">
        <f t="shared" si="1"/>
        <v>46675</v>
      </c>
      <c r="E37" s="24">
        <f t="shared" si="1"/>
        <v>44593</v>
      </c>
      <c r="F37" s="24">
        <f t="shared" si="1"/>
        <v>97093</v>
      </c>
      <c r="G37" s="24">
        <f t="shared" si="1"/>
        <v>50772</v>
      </c>
      <c r="H37" s="24">
        <f t="shared" si="1"/>
        <v>45772</v>
      </c>
      <c r="I37" s="24">
        <f t="shared" si="1"/>
        <v>45772</v>
      </c>
      <c r="J37" s="24">
        <f t="shared" si="1"/>
        <v>55528</v>
      </c>
      <c r="K37" s="24">
        <f t="shared" si="1"/>
        <v>46484</v>
      </c>
      <c r="L37" s="24">
        <f t="shared" si="1"/>
        <v>46484</v>
      </c>
      <c r="M37" s="24">
        <f t="shared" si="1"/>
        <v>46484</v>
      </c>
      <c r="N37" s="24">
        <f t="shared" si="1"/>
        <v>46484</v>
      </c>
      <c r="O37" s="25">
        <f>SUM(C37:N37)</f>
        <v>616040</v>
      </c>
    </row>
    <row r="38" spans="1:16" ht="15" customHeight="1" x14ac:dyDescent="0.2">
      <c r="A38" s="853" t="s">
        <v>148</v>
      </c>
      <c r="B38" s="27" t="s">
        <v>149</v>
      </c>
      <c r="C38" s="147">
        <v>750</v>
      </c>
      <c r="D38" s="147">
        <v>0</v>
      </c>
      <c r="E38" s="147">
        <v>0</v>
      </c>
      <c r="F38" s="147">
        <v>0</v>
      </c>
      <c r="G38" s="147">
        <v>0</v>
      </c>
      <c r="H38" s="147">
        <v>0</v>
      </c>
      <c r="I38" s="147">
        <v>0</v>
      </c>
      <c r="J38" s="147">
        <v>0</v>
      </c>
      <c r="K38" s="147">
        <v>2500</v>
      </c>
      <c r="L38" s="147">
        <v>2425</v>
      </c>
      <c r="M38" s="147">
        <v>2425</v>
      </c>
      <c r="N38" s="147">
        <v>2425</v>
      </c>
      <c r="O38" s="18">
        <f>SUM(C38:N38)</f>
        <v>10525</v>
      </c>
      <c r="P38" s="29"/>
    </row>
    <row r="39" spans="1:16" ht="15" x14ac:dyDescent="0.2">
      <c r="A39" s="854"/>
      <c r="B39" s="27" t="s">
        <v>150</v>
      </c>
      <c r="C39" s="147">
        <v>0</v>
      </c>
      <c r="D39" s="147">
        <v>0</v>
      </c>
      <c r="E39" s="147">
        <v>0</v>
      </c>
      <c r="F39" s="147">
        <v>0</v>
      </c>
      <c r="G39" s="147">
        <v>0</v>
      </c>
      <c r="H39" s="147">
        <v>0</v>
      </c>
      <c r="I39" s="147">
        <v>0</v>
      </c>
      <c r="J39" s="147">
        <v>0</v>
      </c>
      <c r="K39" s="147">
        <v>0</v>
      </c>
      <c r="L39" s="147">
        <v>0</v>
      </c>
      <c r="M39" s="147">
        <v>0</v>
      </c>
      <c r="N39" s="147">
        <v>0</v>
      </c>
      <c r="O39" s="18">
        <f>SUM(C39:N39)</f>
        <v>0</v>
      </c>
    </row>
    <row r="40" spans="1:16" ht="15" x14ac:dyDescent="0.2">
      <c r="A40" s="854"/>
      <c r="B40" s="27" t="s">
        <v>151</v>
      </c>
      <c r="C40" s="147">
        <v>30</v>
      </c>
      <c r="D40" s="147">
        <v>30</v>
      </c>
      <c r="E40" s="147">
        <v>30</v>
      </c>
      <c r="F40" s="147">
        <v>30</v>
      </c>
      <c r="G40" s="147">
        <v>30</v>
      </c>
      <c r="H40" s="147">
        <v>30</v>
      </c>
      <c r="I40" s="147">
        <v>30</v>
      </c>
      <c r="J40" s="147">
        <v>30</v>
      </c>
      <c r="K40" s="147">
        <v>30</v>
      </c>
      <c r="L40" s="147">
        <v>30</v>
      </c>
      <c r="M40" s="147">
        <v>30</v>
      </c>
      <c r="N40" s="147">
        <v>30</v>
      </c>
      <c r="O40" s="18">
        <f t="shared" ref="O40:O50" si="2">SUM(C40:N40)</f>
        <v>360</v>
      </c>
    </row>
    <row r="41" spans="1:16" ht="15" x14ac:dyDescent="0.2">
      <c r="A41" s="854"/>
      <c r="B41" s="27" t="s">
        <v>152</v>
      </c>
      <c r="C41" s="147">
        <v>0</v>
      </c>
      <c r="D41" s="147">
        <v>0</v>
      </c>
      <c r="E41" s="147">
        <v>0</v>
      </c>
      <c r="F41" s="147">
        <v>0</v>
      </c>
      <c r="G41" s="147">
        <v>0</v>
      </c>
      <c r="H41" s="147">
        <v>0</v>
      </c>
      <c r="I41" s="147">
        <v>0</v>
      </c>
      <c r="J41" s="147">
        <v>0</v>
      </c>
      <c r="K41" s="147">
        <v>0</v>
      </c>
      <c r="L41" s="147">
        <v>0</v>
      </c>
      <c r="M41" s="147">
        <v>0</v>
      </c>
      <c r="N41" s="147">
        <v>0</v>
      </c>
      <c r="O41" s="18">
        <f t="shared" si="2"/>
        <v>0</v>
      </c>
    </row>
    <row r="42" spans="1:16" ht="15" x14ac:dyDescent="0.2">
      <c r="A42" s="854"/>
      <c r="B42" s="27" t="s">
        <v>153</v>
      </c>
      <c r="C42" s="147">
        <v>0</v>
      </c>
      <c r="D42" s="147">
        <v>0</v>
      </c>
      <c r="E42" s="147">
        <v>0</v>
      </c>
      <c r="F42" s="147">
        <v>0</v>
      </c>
      <c r="G42" s="147">
        <v>0</v>
      </c>
      <c r="H42" s="147">
        <v>0</v>
      </c>
      <c r="I42" s="147">
        <v>0</v>
      </c>
      <c r="J42" s="147">
        <v>0</v>
      </c>
      <c r="K42" s="147">
        <v>0</v>
      </c>
      <c r="L42" s="147">
        <v>0</v>
      </c>
      <c r="M42" s="147">
        <v>0</v>
      </c>
      <c r="N42" s="147">
        <v>0</v>
      </c>
      <c r="O42" s="18">
        <f t="shared" si="2"/>
        <v>0</v>
      </c>
    </row>
    <row r="43" spans="1:16" ht="15" x14ac:dyDescent="0.2">
      <c r="A43" s="854"/>
      <c r="B43" s="27" t="s">
        <v>154</v>
      </c>
      <c r="C43" s="147">
        <v>5000</v>
      </c>
      <c r="D43" s="147">
        <v>5000</v>
      </c>
      <c r="E43" s="147">
        <v>5000</v>
      </c>
      <c r="F43" s="147">
        <v>5000</v>
      </c>
      <c r="G43" s="147">
        <v>5000</v>
      </c>
      <c r="H43" s="147">
        <v>5000</v>
      </c>
      <c r="I43" s="147">
        <v>5000</v>
      </c>
      <c r="J43" s="147">
        <v>5000</v>
      </c>
      <c r="K43" s="147">
        <v>5000</v>
      </c>
      <c r="L43" s="147">
        <v>5000</v>
      </c>
      <c r="M43" s="147">
        <v>5000</v>
      </c>
      <c r="N43" s="147">
        <v>5000</v>
      </c>
      <c r="O43" s="18">
        <f>SUM(C43:N43)</f>
        <v>60000</v>
      </c>
    </row>
    <row r="44" spans="1:16" ht="15" x14ac:dyDescent="0.2">
      <c r="A44" s="854"/>
      <c r="B44" s="27" t="s">
        <v>155</v>
      </c>
      <c r="C44" s="147">
        <v>200</v>
      </c>
      <c r="D44" s="147">
        <v>200</v>
      </c>
      <c r="E44" s="147">
        <v>200</v>
      </c>
      <c r="F44" s="147">
        <v>200</v>
      </c>
      <c r="G44" s="147">
        <v>200</v>
      </c>
      <c r="H44" s="147">
        <v>200</v>
      </c>
      <c r="I44" s="147">
        <v>200</v>
      </c>
      <c r="J44" s="147">
        <v>200</v>
      </c>
      <c r="K44" s="147">
        <v>200</v>
      </c>
      <c r="L44" s="147">
        <v>200</v>
      </c>
      <c r="M44" s="147">
        <v>200</v>
      </c>
      <c r="N44" s="147">
        <v>300</v>
      </c>
      <c r="O44" s="18">
        <f t="shared" si="2"/>
        <v>2500</v>
      </c>
    </row>
    <row r="45" spans="1:16" ht="15" x14ac:dyDescent="0.2">
      <c r="A45" s="854"/>
      <c r="B45" s="27" t="s">
        <v>156</v>
      </c>
      <c r="C45" s="147">
        <v>0</v>
      </c>
      <c r="D45" s="147">
        <v>0</v>
      </c>
      <c r="E45" s="147">
        <v>0</v>
      </c>
      <c r="F45" s="147">
        <v>0</v>
      </c>
      <c r="G45" s="147">
        <v>0</v>
      </c>
      <c r="H45" s="147">
        <v>0</v>
      </c>
      <c r="I45" s="147">
        <v>0</v>
      </c>
      <c r="J45" s="147">
        <v>0</v>
      </c>
      <c r="K45" s="147">
        <v>0</v>
      </c>
      <c r="L45" s="147">
        <v>0</v>
      </c>
      <c r="M45" s="147">
        <v>0</v>
      </c>
      <c r="N45" s="147">
        <v>0</v>
      </c>
      <c r="O45" s="18">
        <f t="shared" si="2"/>
        <v>0</v>
      </c>
    </row>
    <row r="46" spans="1:16" ht="15" x14ac:dyDescent="0.2">
      <c r="A46" s="854"/>
      <c r="B46" s="27" t="s">
        <v>157</v>
      </c>
      <c r="C46" s="147">
        <v>0</v>
      </c>
      <c r="D46" s="147">
        <v>0</v>
      </c>
      <c r="E46" s="147">
        <v>0</v>
      </c>
      <c r="F46" s="147">
        <v>0</v>
      </c>
      <c r="G46" s="147">
        <v>0</v>
      </c>
      <c r="H46" s="147">
        <v>0</v>
      </c>
      <c r="I46" s="147">
        <v>0</v>
      </c>
      <c r="J46" s="147">
        <v>0</v>
      </c>
      <c r="K46" s="147">
        <v>0</v>
      </c>
      <c r="L46" s="147">
        <v>0</v>
      </c>
      <c r="M46" s="147">
        <v>0</v>
      </c>
      <c r="N46" s="147">
        <v>0</v>
      </c>
      <c r="O46" s="18">
        <f t="shared" si="2"/>
        <v>0</v>
      </c>
    </row>
    <row r="47" spans="1:16" ht="28.5" customHeight="1" x14ac:dyDescent="0.2">
      <c r="A47" s="855"/>
      <c r="B47" s="30" t="s">
        <v>158</v>
      </c>
      <c r="C47" s="147">
        <v>4318</v>
      </c>
      <c r="D47" s="147">
        <v>4318</v>
      </c>
      <c r="E47" s="147">
        <v>4318</v>
      </c>
      <c r="F47" s="147">
        <v>4318</v>
      </c>
      <c r="G47" s="147">
        <v>4318</v>
      </c>
      <c r="H47" s="147">
        <v>4318</v>
      </c>
      <c r="I47" s="147">
        <v>4318</v>
      </c>
      <c r="J47" s="147">
        <v>4318</v>
      </c>
      <c r="K47" s="147">
        <v>4318</v>
      </c>
      <c r="L47" s="147">
        <v>4318</v>
      </c>
      <c r="M47" s="147">
        <v>4318</v>
      </c>
      <c r="N47" s="147">
        <v>4318</v>
      </c>
      <c r="O47" s="31">
        <f t="shared" si="2"/>
        <v>51816</v>
      </c>
    </row>
    <row r="48" spans="1:16" x14ac:dyDescent="0.2">
      <c r="A48" s="856"/>
      <c r="B48" s="160" t="s">
        <v>274</v>
      </c>
      <c r="C48" s="147">
        <v>0</v>
      </c>
      <c r="D48" s="147">
        <v>0</v>
      </c>
      <c r="E48" s="147">
        <v>0</v>
      </c>
      <c r="F48" s="147">
        <v>0</v>
      </c>
      <c r="G48" s="147">
        <v>0</v>
      </c>
      <c r="H48" s="147">
        <v>0</v>
      </c>
      <c r="I48" s="147">
        <v>0</v>
      </c>
      <c r="J48" s="147">
        <v>0</v>
      </c>
      <c r="K48" s="147">
        <v>0</v>
      </c>
      <c r="L48" s="147">
        <v>0</v>
      </c>
      <c r="M48" s="147">
        <v>0</v>
      </c>
      <c r="N48" s="147">
        <v>0</v>
      </c>
      <c r="O48" s="31">
        <f t="shared" si="2"/>
        <v>0</v>
      </c>
    </row>
    <row r="49" spans="1:18" ht="15" x14ac:dyDescent="0.2">
      <c r="A49" s="857" t="s">
        <v>160</v>
      </c>
      <c r="B49" s="858"/>
      <c r="C49" s="33">
        <f>SUM(C38:C48)</f>
        <v>10298</v>
      </c>
      <c r="D49" s="33">
        <f t="shared" ref="D49:N49" si="3">SUM(D38:D48)</f>
        <v>9548</v>
      </c>
      <c r="E49" s="33">
        <f t="shared" si="3"/>
        <v>9548</v>
      </c>
      <c r="F49" s="33">
        <f t="shared" si="3"/>
        <v>9548</v>
      </c>
      <c r="G49" s="33">
        <f t="shared" si="3"/>
        <v>9548</v>
      </c>
      <c r="H49" s="33">
        <f t="shared" si="3"/>
        <v>9548</v>
      </c>
      <c r="I49" s="33">
        <f t="shared" si="3"/>
        <v>9548</v>
      </c>
      <c r="J49" s="33">
        <f t="shared" si="3"/>
        <v>9548</v>
      </c>
      <c r="K49" s="33">
        <f t="shared" si="3"/>
        <v>12048</v>
      </c>
      <c r="L49" s="33">
        <f t="shared" si="3"/>
        <v>11973</v>
      </c>
      <c r="M49" s="33">
        <f t="shared" si="3"/>
        <v>11973</v>
      </c>
      <c r="N49" s="33">
        <f t="shared" si="3"/>
        <v>12073</v>
      </c>
      <c r="O49" s="34">
        <f t="shared" si="2"/>
        <v>125201</v>
      </c>
    </row>
    <row r="50" spans="1:18" ht="15.75" thickBot="1" x14ac:dyDescent="0.25">
      <c r="A50" s="859" t="s">
        <v>161</v>
      </c>
      <c r="B50" s="860"/>
      <c r="C50" s="35">
        <f t="shared" ref="C50:N50" si="4">C37-C49</f>
        <v>33601</v>
      </c>
      <c r="D50" s="35">
        <f t="shared" si="4"/>
        <v>37127</v>
      </c>
      <c r="E50" s="35">
        <f t="shared" si="4"/>
        <v>35045</v>
      </c>
      <c r="F50" s="35">
        <f t="shared" si="4"/>
        <v>87545</v>
      </c>
      <c r="G50" s="35">
        <f t="shared" si="4"/>
        <v>41224</v>
      </c>
      <c r="H50" s="35">
        <f t="shared" si="4"/>
        <v>36224</v>
      </c>
      <c r="I50" s="35">
        <f t="shared" si="4"/>
        <v>36224</v>
      </c>
      <c r="J50" s="35">
        <f t="shared" si="4"/>
        <v>45980</v>
      </c>
      <c r="K50" s="35">
        <f t="shared" si="4"/>
        <v>34436</v>
      </c>
      <c r="L50" s="35">
        <f t="shared" si="4"/>
        <v>34511</v>
      </c>
      <c r="M50" s="35">
        <f t="shared" si="4"/>
        <v>34511</v>
      </c>
      <c r="N50" s="35">
        <f t="shared" si="4"/>
        <v>34411</v>
      </c>
      <c r="O50" s="36">
        <f t="shared" si="2"/>
        <v>490839</v>
      </c>
      <c r="Q50" s="16">
        <f>15586+15786+30000+3744+16612+16732+17683*2+18058+3603+3454+18884*2+14866+16875+16775</f>
        <v>245225</v>
      </c>
    </row>
    <row r="51" spans="1:18" x14ac:dyDescent="0.2">
      <c r="J51" s="128">
        <f>+J37-SUM(J22:J36)</f>
        <v>46484</v>
      </c>
    </row>
    <row r="52" spans="1:18" ht="13.5" thickBot="1" x14ac:dyDescent="0.25">
      <c r="J52" s="38">
        <f>+J51-J49</f>
        <v>36936</v>
      </c>
    </row>
    <row r="53" spans="1:18" ht="13.5" thickBot="1" x14ac:dyDescent="0.25">
      <c r="B53" s="789" t="s">
        <v>162</v>
      </c>
      <c r="C53" s="861"/>
      <c r="D53" s="861"/>
      <c r="E53" s="861"/>
      <c r="F53" s="862"/>
      <c r="G53" s="863">
        <f>O37</f>
        <v>616040</v>
      </c>
      <c r="H53" s="864"/>
    </row>
    <row r="54" spans="1:18" ht="16.5" thickBot="1" x14ac:dyDescent="0.3">
      <c r="K54" s="161"/>
      <c r="L54" s="161"/>
      <c r="M54" s="162"/>
      <c r="N54" s="162"/>
    </row>
    <row r="55" spans="1:18" x14ac:dyDescent="0.2">
      <c r="B55" s="830" t="s">
        <v>163</v>
      </c>
      <c r="C55" s="833" t="s">
        <v>164</v>
      </c>
      <c r="D55" s="836" t="s">
        <v>229</v>
      </c>
      <c r="E55" s="837"/>
      <c r="F55" s="838"/>
      <c r="G55" s="839">
        <v>40000</v>
      </c>
      <c r="H55" s="840"/>
    </row>
    <row r="56" spans="1:18" x14ac:dyDescent="0.2">
      <c r="B56" s="831"/>
      <c r="C56" s="834"/>
      <c r="D56" s="841" t="s">
        <v>166</v>
      </c>
      <c r="E56" s="842"/>
      <c r="F56" s="843"/>
      <c r="G56" s="844">
        <f>+O44</f>
        <v>2500</v>
      </c>
      <c r="H56" s="845"/>
      <c r="I56" s="39"/>
      <c r="J56" s="846"/>
      <c r="K56" s="846"/>
      <c r="L56" s="846"/>
      <c r="M56" s="847"/>
      <c r="N56" s="847"/>
      <c r="O56" s="847"/>
    </row>
    <row r="57" spans="1:18" ht="13.5" thickBot="1" x14ac:dyDescent="0.25">
      <c r="B57" s="832"/>
      <c r="C57" s="835"/>
      <c r="D57" s="921" t="s">
        <v>129</v>
      </c>
      <c r="E57" s="849"/>
      <c r="F57" s="850"/>
      <c r="G57" s="851">
        <v>0</v>
      </c>
      <c r="H57" s="852"/>
      <c r="J57" s="47"/>
      <c r="K57" s="47"/>
      <c r="L57" s="47"/>
      <c r="M57" s="47"/>
      <c r="N57" s="47"/>
      <c r="O57" s="47"/>
    </row>
    <row r="58" spans="1:18" ht="13.5" thickBot="1" x14ac:dyDescent="0.25">
      <c r="B58" s="48"/>
      <c r="J58" s="47"/>
      <c r="K58" s="47"/>
      <c r="L58" s="47"/>
      <c r="M58" s="47"/>
      <c r="N58" s="47"/>
      <c r="O58" s="47"/>
    </row>
    <row r="59" spans="1:18" ht="13.5" thickBot="1" x14ac:dyDescent="0.25">
      <c r="B59" s="789" t="s">
        <v>168</v>
      </c>
      <c r="C59" s="790"/>
      <c r="D59" s="790"/>
      <c r="E59" s="790"/>
      <c r="F59" s="791"/>
      <c r="G59" s="825">
        <f>+G53-SUM(G55:H57)</f>
        <v>573540</v>
      </c>
      <c r="H59" s="826"/>
      <c r="J59" s="827" t="s">
        <v>169</v>
      </c>
      <c r="K59" s="828"/>
      <c r="L59" s="828"/>
      <c r="M59" s="828"/>
      <c r="N59" s="828"/>
      <c r="O59" s="829"/>
    </row>
    <row r="60" spans="1:18" ht="13.5" thickBot="1" x14ac:dyDescent="0.25">
      <c r="B60" s="49"/>
      <c r="C60" s="50"/>
      <c r="D60" s="50"/>
      <c r="E60" s="50"/>
      <c r="F60" s="50"/>
      <c r="G60" s="45"/>
      <c r="H60" s="50"/>
      <c r="J60" s="129"/>
      <c r="K60" s="130"/>
      <c r="L60" s="130"/>
      <c r="M60" s="130"/>
      <c r="N60" s="130"/>
      <c r="O60" s="131"/>
    </row>
    <row r="61" spans="1:18" ht="13.5" thickBot="1" x14ac:dyDescent="0.25">
      <c r="B61" s="789" t="s">
        <v>170</v>
      </c>
      <c r="C61" s="790"/>
      <c r="D61" s="790"/>
      <c r="E61" s="790"/>
      <c r="F61" s="791"/>
      <c r="G61" s="805"/>
      <c r="H61" s="791"/>
      <c r="J61" s="129"/>
      <c r="K61" s="130"/>
      <c r="L61" s="130"/>
      <c r="M61" s="130"/>
      <c r="N61" s="130"/>
      <c r="O61" s="131"/>
    </row>
    <row r="62" spans="1:18" ht="12.75" customHeight="1" x14ac:dyDescent="0.2">
      <c r="B62" s="57" t="s">
        <v>171</v>
      </c>
      <c r="C62" s="806" t="s">
        <v>172</v>
      </c>
      <c r="D62" s="807"/>
      <c r="E62" s="807"/>
      <c r="F62" s="808"/>
      <c r="G62" s="809">
        <v>0</v>
      </c>
      <c r="H62" s="809"/>
      <c r="I62" s="58"/>
      <c r="J62" s="810" t="s">
        <v>173</v>
      </c>
      <c r="K62" s="811"/>
      <c r="L62" s="811"/>
      <c r="M62" s="811"/>
      <c r="N62" s="811"/>
      <c r="O62" s="812"/>
      <c r="Q62" s="59"/>
      <c r="R62" s="59"/>
    </row>
    <row r="63" spans="1:18" ht="13.5" thickBot="1" x14ac:dyDescent="0.25">
      <c r="D63" s="37"/>
      <c r="I63" s="58"/>
      <c r="J63" s="60"/>
      <c r="K63" s="132"/>
      <c r="L63" s="132"/>
      <c r="M63" s="133"/>
      <c r="N63" s="133"/>
      <c r="O63" s="134"/>
      <c r="Q63" s="59"/>
      <c r="R63" s="59"/>
    </row>
    <row r="64" spans="1:18" ht="13.5" thickBot="1" x14ac:dyDescent="0.25">
      <c r="B64" s="789" t="s">
        <v>175</v>
      </c>
      <c r="C64" s="790"/>
      <c r="D64" s="790"/>
      <c r="E64" s="790"/>
      <c r="F64" s="791"/>
      <c r="G64" s="805">
        <f>+G59-G62</f>
        <v>573540</v>
      </c>
      <c r="H64" s="791"/>
      <c r="I64" s="63"/>
      <c r="J64" s="75"/>
      <c r="K64" s="39"/>
      <c r="L64" s="39"/>
      <c r="M64" s="39"/>
      <c r="N64" s="39"/>
      <c r="O64" s="65"/>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6.25" customHeight="1" thickBot="1" x14ac:dyDescent="0.25">
      <c r="B67" s="66"/>
      <c r="C67" s="48"/>
      <c r="G67" s="70" t="s">
        <v>177</v>
      </c>
      <c r="H67" s="70" t="s">
        <v>178</v>
      </c>
      <c r="I67" s="63"/>
      <c r="J67" s="810" t="s">
        <v>179</v>
      </c>
      <c r="K67" s="811"/>
      <c r="L67" s="71"/>
      <c r="M67" s="71"/>
      <c r="N67" s="71"/>
      <c r="O67" s="72"/>
      <c r="Q67" s="59"/>
      <c r="R67" s="59"/>
    </row>
    <row r="68" spans="2:18" ht="12.75" customHeight="1" x14ac:dyDescent="0.2">
      <c r="B68" s="802" t="s">
        <v>180</v>
      </c>
      <c r="C68" s="821" t="s">
        <v>181</v>
      </c>
      <c r="D68" s="823" t="s">
        <v>182</v>
      </c>
      <c r="E68" s="824"/>
      <c r="F68" s="824"/>
      <c r="G68" s="73">
        <f>+O43</f>
        <v>60000</v>
      </c>
      <c r="H68" s="74">
        <f t="shared" ref="H68:H76" si="5">+G68</f>
        <v>60000</v>
      </c>
      <c r="I68" s="63"/>
      <c r="J68" s="75" t="s">
        <v>275</v>
      </c>
      <c r="K68" s="58"/>
      <c r="L68" s="58"/>
      <c r="M68" s="135"/>
      <c r="N68" s="135"/>
      <c r="O68" s="76"/>
      <c r="Q68" s="59"/>
      <c r="R68" s="59"/>
    </row>
    <row r="69" spans="2:18" ht="12.75" customHeight="1" x14ac:dyDescent="0.2">
      <c r="B69" s="803"/>
      <c r="C69" s="822"/>
      <c r="D69" s="782" t="s">
        <v>184</v>
      </c>
      <c r="E69" s="783"/>
      <c r="F69" s="783"/>
      <c r="G69" s="77">
        <v>60892</v>
      </c>
      <c r="H69" s="78">
        <f t="shared" si="5"/>
        <v>60892</v>
      </c>
      <c r="I69" s="63"/>
      <c r="J69" s="79">
        <v>902749135</v>
      </c>
      <c r="K69" s="68"/>
      <c r="L69" s="68"/>
      <c r="M69" s="135" t="s">
        <v>232</v>
      </c>
      <c r="N69" s="135" t="s">
        <v>276</v>
      </c>
      <c r="O69" s="136"/>
      <c r="P69" s="163"/>
      <c r="Q69" s="59"/>
      <c r="R69" s="59"/>
    </row>
    <row r="70" spans="2:18" ht="12.75" customHeight="1" x14ac:dyDescent="0.2">
      <c r="B70" s="803"/>
      <c r="C70" s="822"/>
      <c r="D70" s="819" t="s">
        <v>185</v>
      </c>
      <c r="E70" s="820"/>
      <c r="F70" s="820"/>
      <c r="G70" s="80">
        <f>O40</f>
        <v>360</v>
      </c>
      <c r="H70" s="78">
        <f t="shared" si="5"/>
        <v>360</v>
      </c>
      <c r="I70" s="63"/>
      <c r="J70" s="164">
        <v>921145992</v>
      </c>
      <c r="K70" s="68"/>
      <c r="L70" s="68"/>
      <c r="M70" s="135" t="s">
        <v>232</v>
      </c>
      <c r="N70" s="135" t="s">
        <v>276</v>
      </c>
      <c r="O70" s="136"/>
      <c r="P70" s="163"/>
    </row>
    <row r="71" spans="2:18" x14ac:dyDescent="0.2">
      <c r="B71" s="803"/>
      <c r="C71" s="822"/>
      <c r="D71" s="782" t="s">
        <v>186</v>
      </c>
      <c r="E71" s="783"/>
      <c r="F71" s="783"/>
      <c r="G71" s="81">
        <v>0</v>
      </c>
      <c r="H71" s="78">
        <f t="shared" si="5"/>
        <v>0</v>
      </c>
      <c r="I71" s="63"/>
      <c r="J71" s="165"/>
      <c r="K71" s="39"/>
      <c r="L71" s="39"/>
      <c r="M71" s="135"/>
      <c r="N71" s="135"/>
      <c r="O71" s="65">
        <v>0</v>
      </c>
    </row>
    <row r="72" spans="2:18" ht="12.75" customHeight="1" x14ac:dyDescent="0.2">
      <c r="B72" s="803"/>
      <c r="C72" s="822"/>
      <c r="D72" s="784" t="s">
        <v>188</v>
      </c>
      <c r="E72" s="783"/>
      <c r="F72" s="783"/>
      <c r="G72" s="80">
        <v>0</v>
      </c>
      <c r="H72" s="78">
        <f t="shared" si="5"/>
        <v>0</v>
      </c>
      <c r="I72" s="63"/>
      <c r="J72" s="79"/>
      <c r="K72" s="39"/>
      <c r="L72" s="39"/>
      <c r="M72" s="39"/>
      <c r="N72" s="39"/>
      <c r="O72" s="65">
        <v>0</v>
      </c>
    </row>
    <row r="73" spans="2:18" ht="14.25" customHeight="1" x14ac:dyDescent="0.2">
      <c r="B73" s="803"/>
      <c r="C73" s="822"/>
      <c r="D73" s="782" t="s">
        <v>190</v>
      </c>
      <c r="E73" s="783"/>
      <c r="F73" s="783"/>
      <c r="G73" s="84">
        <v>0</v>
      </c>
      <c r="H73" s="78">
        <f t="shared" si="5"/>
        <v>0</v>
      </c>
      <c r="I73" s="63"/>
      <c r="J73" s="75"/>
      <c r="K73" s="39"/>
      <c r="L73" s="39"/>
      <c r="M73" s="39"/>
      <c r="N73" s="39"/>
      <c r="O73" s="65"/>
    </row>
    <row r="74" spans="2:18" x14ac:dyDescent="0.2">
      <c r="B74" s="803"/>
      <c r="C74" s="822"/>
      <c r="D74" s="782" t="s">
        <v>191</v>
      </c>
      <c r="E74" s="783"/>
      <c r="F74" s="783"/>
      <c r="G74" s="81">
        <v>0</v>
      </c>
      <c r="H74" s="78">
        <f t="shared" si="5"/>
        <v>0</v>
      </c>
      <c r="I74" s="58"/>
      <c r="J74" s="137"/>
      <c r="K74" s="50"/>
      <c r="L74" s="50"/>
      <c r="M74" s="50"/>
      <c r="N74" s="50"/>
      <c r="O74" s="83"/>
    </row>
    <row r="75" spans="2:18" x14ac:dyDescent="0.2">
      <c r="B75" s="803"/>
      <c r="C75" s="88" t="s">
        <v>192</v>
      </c>
      <c r="D75" s="813" t="s">
        <v>193</v>
      </c>
      <c r="E75" s="814"/>
      <c r="F75" s="814"/>
      <c r="G75" s="80">
        <v>0</v>
      </c>
      <c r="H75" s="78">
        <f t="shared" si="5"/>
        <v>0</v>
      </c>
      <c r="I75" s="58"/>
      <c r="J75" s="82" t="s">
        <v>187</v>
      </c>
      <c r="K75" s="71"/>
      <c r="L75" s="71"/>
      <c r="M75" s="71"/>
      <c r="N75" s="71"/>
      <c r="O75" s="72"/>
    </row>
    <row r="76" spans="2:18" ht="13.5" customHeight="1" thickBot="1" x14ac:dyDescent="0.25">
      <c r="B76" s="803"/>
      <c r="C76" s="88" t="s">
        <v>194</v>
      </c>
      <c r="D76" s="815" t="s">
        <v>195</v>
      </c>
      <c r="E76" s="815"/>
      <c r="F76" s="815"/>
      <c r="G76" s="89">
        <v>0</v>
      </c>
      <c r="H76" s="90">
        <f t="shared" si="5"/>
        <v>0</v>
      </c>
      <c r="I76" s="63"/>
      <c r="J76" s="75" t="s">
        <v>189</v>
      </c>
      <c r="K76" s="50"/>
      <c r="L76" s="50"/>
      <c r="M76" s="50"/>
      <c r="N76" s="50"/>
      <c r="O76" s="83">
        <v>0</v>
      </c>
    </row>
    <row r="77" spans="2:18" ht="13.5" thickBot="1" x14ac:dyDescent="0.25">
      <c r="B77" s="803"/>
      <c r="C77" s="93"/>
      <c r="D77" s="94"/>
      <c r="E77" s="816" t="s">
        <v>117</v>
      </c>
      <c r="F77" s="817"/>
      <c r="G77" s="95">
        <f>SUM(G68:G76)</f>
        <v>121252</v>
      </c>
      <c r="H77" s="96">
        <f>IF(SUM(G68:G74)&lt;150000,SUM(G68:G74),150000)+IF(+G75&lt;20000,+G75,20000)</f>
        <v>121252</v>
      </c>
      <c r="I77" s="63"/>
      <c r="J77" s="140"/>
      <c r="K77" s="141"/>
      <c r="L77" s="141"/>
      <c r="M77" s="142"/>
      <c r="N77" s="142"/>
      <c r="O77" s="143"/>
    </row>
    <row r="78" spans="2:18" ht="12.75" customHeight="1" x14ac:dyDescent="0.2">
      <c r="B78" s="803"/>
      <c r="C78" s="100" t="s">
        <v>196</v>
      </c>
      <c r="D78" s="782" t="s">
        <v>187</v>
      </c>
      <c r="E78" s="783"/>
      <c r="F78" s="818"/>
      <c r="G78" s="73">
        <f>+O42</f>
        <v>0</v>
      </c>
      <c r="H78" s="101">
        <f>+IF(+G78&lt;25000,+G78,25000)</f>
        <v>0</v>
      </c>
      <c r="I78" s="87"/>
    </row>
    <row r="79" spans="2:18" x14ac:dyDescent="0.2">
      <c r="B79" s="803"/>
      <c r="C79" s="100" t="s">
        <v>197</v>
      </c>
      <c r="D79" s="784" t="s">
        <v>198</v>
      </c>
      <c r="E79" s="785"/>
      <c r="F79" s="786"/>
      <c r="G79" s="102"/>
      <c r="H79" s="103">
        <f>+IF(+G79&lt;40000,+G79,40000)</f>
        <v>0</v>
      </c>
      <c r="I79" s="63"/>
    </row>
    <row r="80" spans="2:18" x14ac:dyDescent="0.2">
      <c r="B80" s="803"/>
      <c r="C80" s="100" t="s">
        <v>199</v>
      </c>
      <c r="D80" s="784" t="s">
        <v>200</v>
      </c>
      <c r="E80" s="785"/>
      <c r="F80" s="786"/>
      <c r="G80" s="81"/>
      <c r="H80" s="104">
        <v>0</v>
      </c>
      <c r="I80" s="63"/>
      <c r="J80" s="106"/>
    </row>
    <row r="81" spans="2:12" x14ac:dyDescent="0.2">
      <c r="B81" s="803"/>
      <c r="C81" s="100" t="s">
        <v>201</v>
      </c>
      <c r="D81" s="784" t="s">
        <v>202</v>
      </c>
      <c r="E81" s="785"/>
      <c r="F81" s="786"/>
      <c r="G81" s="81"/>
      <c r="H81" s="104">
        <v>0</v>
      </c>
      <c r="I81" s="63"/>
    </row>
    <row r="82" spans="2:12" ht="13.5" thickBot="1" x14ac:dyDescent="0.25">
      <c r="B82" s="804"/>
      <c r="C82" s="100" t="s">
        <v>203</v>
      </c>
      <c r="D82" s="784" t="s">
        <v>204</v>
      </c>
      <c r="E82" s="785"/>
      <c r="F82" s="786"/>
      <c r="G82" s="102"/>
      <c r="H82" s="103">
        <f>+IF(+G82&lt;100000,+G82,10000)</f>
        <v>0</v>
      </c>
      <c r="I82" s="63"/>
    </row>
    <row r="83" spans="2:12" ht="13.5" thickBot="1" x14ac:dyDescent="0.25">
      <c r="B83" s="787" t="s">
        <v>205</v>
      </c>
      <c r="C83" s="788"/>
      <c r="D83" s="788"/>
      <c r="E83" s="788"/>
      <c r="F83" s="788"/>
      <c r="G83" s="107">
        <f>SUM(G78:G82)</f>
        <v>0</v>
      </c>
      <c r="H83" s="108">
        <f>SUM(H77:H82)</f>
        <v>121252</v>
      </c>
    </row>
    <row r="84" spans="2:12" ht="13.5" thickBot="1" x14ac:dyDescent="0.25"/>
    <row r="85" spans="2:12" ht="13.5" thickBot="1" x14ac:dyDescent="0.25">
      <c r="B85" s="789" t="s">
        <v>206</v>
      </c>
      <c r="C85" s="790"/>
      <c r="D85" s="790"/>
      <c r="E85" s="790"/>
      <c r="F85" s="791"/>
      <c r="G85" s="792">
        <f>+G64-H83</f>
        <v>452288</v>
      </c>
      <c r="H85" s="791"/>
      <c r="J85" s="109">
        <f>C37+D37+E37+F37</f>
        <v>232260</v>
      </c>
      <c r="K85" s="16" t="s">
        <v>235</v>
      </c>
      <c r="L85" s="87"/>
    </row>
    <row r="86" spans="2:12" x14ac:dyDescent="0.2">
      <c r="B86" s="110"/>
      <c r="F86" s="105"/>
      <c r="J86" s="109">
        <f>G37+H37+I37</f>
        <v>142316</v>
      </c>
      <c r="K86" s="16" t="s">
        <v>236</v>
      </c>
      <c r="L86" s="87"/>
    </row>
    <row r="87" spans="2:12" x14ac:dyDescent="0.2">
      <c r="C87" s="793" t="s">
        <v>207</v>
      </c>
      <c r="D87" s="794"/>
      <c r="E87" s="111" t="s">
        <v>208</v>
      </c>
      <c r="F87" s="111" t="s">
        <v>209</v>
      </c>
      <c r="G87" s="111" t="s">
        <v>210</v>
      </c>
      <c r="H87" s="111" t="s">
        <v>211</v>
      </c>
      <c r="J87" s="109">
        <f>J37+K37+L37</f>
        <v>148496</v>
      </c>
      <c r="K87" s="47" t="s">
        <v>237</v>
      </c>
      <c r="L87" s="87"/>
    </row>
    <row r="88" spans="2:12" x14ac:dyDescent="0.2">
      <c r="C88" s="795" t="str">
        <f>IF(I6="M","0          - 250000","0          -  250000")</f>
        <v>0          - 250000</v>
      </c>
      <c r="D88" s="796"/>
      <c r="E88" s="112">
        <v>0</v>
      </c>
      <c r="F88" s="113">
        <f>IF(I6="M",(IF(G85&lt;250000,G85,250000)),(IF(G85&lt;250000,G85,250000)))</f>
        <v>250000</v>
      </c>
      <c r="G88" s="113">
        <f>G85-F88</f>
        <v>202288</v>
      </c>
      <c r="H88" s="113">
        <f>E88*F88</f>
        <v>0</v>
      </c>
      <c r="J88" s="16">
        <f>M37+N37</f>
        <v>92968</v>
      </c>
      <c r="K88" s="1" t="s">
        <v>238</v>
      </c>
      <c r="L88" s="87"/>
    </row>
    <row r="89" spans="2:12" x14ac:dyDescent="0.2">
      <c r="C89" s="795" t="str">
        <f>IF(I6="M","250001 - 500000","250001-500000")</f>
        <v>250001 - 500000</v>
      </c>
      <c r="D89" s="796"/>
      <c r="E89" s="112">
        <v>0.05</v>
      </c>
      <c r="F89" s="113">
        <f>IF(I6="M",(IF(G88&lt;250000,G88,250000)),(IF(G88&lt;250000,G88,250000)))</f>
        <v>202288</v>
      </c>
      <c r="G89" s="113">
        <f>G88-F89</f>
        <v>0</v>
      </c>
      <c r="H89" s="114">
        <f>ROUND(E89*F89,0.1)</f>
        <v>10114</v>
      </c>
      <c r="J89" s="115">
        <f>SUM(J85:J88)</f>
        <v>616040</v>
      </c>
      <c r="L89" s="87"/>
    </row>
    <row r="90" spans="2:12" x14ac:dyDescent="0.2">
      <c r="C90" s="797" t="s">
        <v>212</v>
      </c>
      <c r="D90" s="798"/>
      <c r="E90" s="112">
        <v>0.2</v>
      </c>
      <c r="F90" s="113">
        <f>IF(G89&lt;500000,G89,500000)</f>
        <v>0</v>
      </c>
      <c r="G90" s="113">
        <f>G89-F90</f>
        <v>0</v>
      </c>
      <c r="H90" s="114">
        <f>ROUND(E90*F90,0.1)</f>
        <v>0</v>
      </c>
      <c r="J90" s="16">
        <f>+G85</f>
        <v>452288</v>
      </c>
      <c r="L90" s="87"/>
    </row>
    <row r="91" spans="2:12" x14ac:dyDescent="0.2">
      <c r="C91" s="795" t="s">
        <v>213</v>
      </c>
      <c r="D91" s="796"/>
      <c r="E91" s="112">
        <v>0.3</v>
      </c>
      <c r="F91" s="113">
        <f>G90</f>
        <v>0</v>
      </c>
      <c r="G91" s="113">
        <f>G90-F91</f>
        <v>0</v>
      </c>
      <c r="H91" s="114">
        <f>ROUND(E91*F91,0.1)</f>
        <v>0</v>
      </c>
      <c r="J91" s="16">
        <f>+J89-J90</f>
        <v>163752</v>
      </c>
      <c r="L91" s="87"/>
    </row>
    <row r="92" spans="2:12" ht="12.75" customHeight="1" thickBot="1" x14ac:dyDescent="0.25">
      <c r="B92" s="116"/>
      <c r="C92" s="117"/>
      <c r="D92" s="47"/>
      <c r="E92" s="47"/>
      <c r="F92" s="47"/>
      <c r="J92" s="87"/>
      <c r="K92" s="118"/>
      <c r="L92" s="87"/>
    </row>
    <row r="93" spans="2:12" ht="13.5" thickBot="1" x14ac:dyDescent="0.25">
      <c r="B93" s="799" t="s">
        <v>239</v>
      </c>
      <c r="C93" s="800"/>
      <c r="D93" s="800"/>
      <c r="E93" s="800"/>
      <c r="F93" s="801"/>
      <c r="G93" s="771">
        <f>H88+H89+H90+H91</f>
        <v>10114</v>
      </c>
      <c r="H93" s="772"/>
      <c r="J93" s="87"/>
      <c r="K93" s="87"/>
      <c r="L93" s="87"/>
    </row>
    <row r="94" spans="2:12" ht="13.5" thickBot="1" x14ac:dyDescent="0.25">
      <c r="B94" s="119" t="s">
        <v>215</v>
      </c>
      <c r="C94" s="120"/>
      <c r="D94" s="120"/>
      <c r="E94" s="120"/>
      <c r="F94" s="120"/>
      <c r="G94" s="895">
        <f>IF((G64&lt;500000),5000,0)</f>
        <v>0</v>
      </c>
      <c r="H94" s="896">
        <f>IF(H92&lt;200000,0,IF(H92&lt;220000,((H92-200000)*10%),IF(H92&lt;=500000,2000,IF(H92&gt;=500000,0))))</f>
        <v>0</v>
      </c>
      <c r="J94" s="157"/>
      <c r="K94" s="159"/>
      <c r="L94" s="159"/>
    </row>
    <row r="95" spans="2:12" ht="13.5" thickBot="1" x14ac:dyDescent="0.25">
      <c r="B95" s="122" t="s">
        <v>216</v>
      </c>
      <c r="C95" s="123"/>
      <c r="D95" s="123"/>
      <c r="E95" s="123"/>
      <c r="F95" s="123"/>
      <c r="G95" s="897">
        <f>IF((G93-G94)&lt;0,0,(G93-G94))</f>
        <v>10114</v>
      </c>
      <c r="H95" s="898"/>
      <c r="I95" s="37"/>
    </row>
    <row r="96" spans="2:12" ht="13.5" thickBot="1" x14ac:dyDescent="0.25">
      <c r="B96" s="773" t="s">
        <v>240</v>
      </c>
      <c r="C96" s="774"/>
      <c r="D96" s="774"/>
      <c r="E96" s="774"/>
      <c r="F96" s="775"/>
      <c r="G96" s="899">
        <f>ROUND((IF(G95&gt;0,(G95*4%),0)),0)</f>
        <v>405</v>
      </c>
      <c r="H96" s="900"/>
      <c r="I96" s="37"/>
    </row>
    <row r="97" spans="2:9" ht="13.5" thickBot="1" x14ac:dyDescent="0.25">
      <c r="B97" s="778" t="s">
        <v>218</v>
      </c>
      <c r="C97" s="779"/>
      <c r="D97" s="779"/>
      <c r="E97" s="779"/>
      <c r="F97" s="779"/>
      <c r="G97" s="901">
        <f>G95+G96</f>
        <v>10519</v>
      </c>
      <c r="H97" s="902"/>
      <c r="I97" s="121"/>
    </row>
    <row r="98" spans="2:9" ht="13.5" thickBot="1" x14ac:dyDescent="0.25">
      <c r="B98" s="765" t="s">
        <v>219</v>
      </c>
      <c r="C98" s="766"/>
      <c r="D98" s="766"/>
      <c r="E98" s="766"/>
      <c r="F98" s="766"/>
      <c r="G98" s="893">
        <f>O38</f>
        <v>10525</v>
      </c>
      <c r="H98" s="894"/>
      <c r="I98" s="121"/>
    </row>
    <row r="99" spans="2:9" ht="13.5" thickBot="1" x14ac:dyDescent="0.25">
      <c r="B99" s="765" t="str">
        <f>IF(G99&gt;0,"TAX PAYABLE","TAX REFUND")</f>
        <v>TAX REFUND</v>
      </c>
      <c r="C99" s="766"/>
      <c r="D99" s="766"/>
      <c r="E99" s="766"/>
      <c r="F99" s="766"/>
      <c r="G99" s="893">
        <f>+G97-G98</f>
        <v>-6</v>
      </c>
      <c r="H99" s="894"/>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0:F90 B99:F99 B93:F97">
    <cfRule type="cellIs" dxfId="1973" priority="3" stopIfTrue="1" operator="equal">
      <formula>"TAX PAYABLE"</formula>
    </cfRule>
    <cfRule type="cellIs" dxfId="1972" priority="4" stopIfTrue="1" operator="equal">
      <formula>"TAX REFUND"</formula>
    </cfRule>
  </conditionalFormatting>
  <conditionalFormatting sqref="G90:H90">
    <cfRule type="cellIs" dxfId="1971" priority="5" stopIfTrue="1" operator="lessThan">
      <formula>0</formula>
    </cfRule>
    <cfRule type="cellIs" dxfId="1970" priority="6" stopIfTrue="1" operator="greaterThan">
      <formula>0</formula>
    </cfRule>
  </conditionalFormatting>
  <conditionalFormatting sqref="G99:H99">
    <cfRule type="cellIs" dxfId="1969" priority="1" stopIfTrue="1" operator="greaterThan">
      <formula>0</formula>
    </cfRule>
    <cfRule type="cellIs" dxfId="1968"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legacy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7"/>
  <sheetViews>
    <sheetView topLeftCell="A62" workbookViewId="0">
      <selection activeCell="R35" sqref="R35"/>
    </sheetView>
  </sheetViews>
  <sheetFormatPr defaultRowHeight="12.75" x14ac:dyDescent="0.2"/>
  <cols>
    <col min="1" max="1" width="5" style="16" customWidth="1"/>
    <col min="2" max="2" width="19.42578125" style="37" customWidth="1"/>
    <col min="3" max="3" width="10.7109375" style="16" bestFit="1" customWidth="1"/>
    <col min="4" max="4" width="6.7109375" style="16" bestFit="1" customWidth="1"/>
    <col min="5" max="5" width="8.5703125" style="16" bestFit="1" customWidth="1"/>
    <col min="6" max="6" width="8.28515625" style="16" customWidth="1"/>
    <col min="7" max="7" width="9" style="16" customWidth="1"/>
    <col min="8" max="8" width="8.42578125" style="16" customWidth="1"/>
    <col min="9" max="15" width="8"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9.42578125" style="16" customWidth="1"/>
    <col min="259" max="259" width="10.7109375" style="16" bestFit="1" customWidth="1"/>
    <col min="260" max="260" width="6.7109375" style="16" bestFit="1" customWidth="1"/>
    <col min="261" max="261" width="8.5703125" style="16" bestFit="1" customWidth="1"/>
    <col min="262" max="262" width="8.28515625" style="16" customWidth="1"/>
    <col min="263" max="263" width="9" style="16" customWidth="1"/>
    <col min="264" max="264" width="8.42578125" style="16" customWidth="1"/>
    <col min="265" max="271" width="8"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9.42578125" style="16" customWidth="1"/>
    <col min="515" max="515" width="10.7109375" style="16" bestFit="1" customWidth="1"/>
    <col min="516" max="516" width="6.7109375" style="16" bestFit="1" customWidth="1"/>
    <col min="517" max="517" width="8.5703125" style="16" bestFit="1" customWidth="1"/>
    <col min="518" max="518" width="8.28515625" style="16" customWidth="1"/>
    <col min="519" max="519" width="9" style="16" customWidth="1"/>
    <col min="520" max="520" width="8.42578125" style="16" customWidth="1"/>
    <col min="521" max="527" width="8"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9.42578125" style="16" customWidth="1"/>
    <col min="771" max="771" width="10.7109375" style="16" bestFit="1" customWidth="1"/>
    <col min="772" max="772" width="6.7109375" style="16" bestFit="1" customWidth="1"/>
    <col min="773" max="773" width="8.5703125" style="16" bestFit="1" customWidth="1"/>
    <col min="774" max="774" width="8.28515625" style="16" customWidth="1"/>
    <col min="775" max="775" width="9" style="16" customWidth="1"/>
    <col min="776" max="776" width="8.42578125" style="16" customWidth="1"/>
    <col min="777" max="783" width="8"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9.42578125" style="16" customWidth="1"/>
    <col min="1027" max="1027" width="10.7109375" style="16" bestFit="1" customWidth="1"/>
    <col min="1028" max="1028" width="6.7109375" style="16" bestFit="1" customWidth="1"/>
    <col min="1029" max="1029" width="8.5703125" style="16" bestFit="1" customWidth="1"/>
    <col min="1030" max="1030" width="8.28515625" style="16" customWidth="1"/>
    <col min="1031" max="1031" width="9" style="16" customWidth="1"/>
    <col min="1032" max="1032" width="8.42578125" style="16" customWidth="1"/>
    <col min="1033" max="1039" width="8"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9.42578125" style="16" customWidth="1"/>
    <col min="1283" max="1283" width="10.7109375" style="16" bestFit="1" customWidth="1"/>
    <col min="1284" max="1284" width="6.7109375" style="16" bestFit="1" customWidth="1"/>
    <col min="1285" max="1285" width="8.5703125" style="16" bestFit="1" customWidth="1"/>
    <col min="1286" max="1286" width="8.28515625" style="16" customWidth="1"/>
    <col min="1287" max="1287" width="9" style="16" customWidth="1"/>
    <col min="1288" max="1288" width="8.42578125" style="16" customWidth="1"/>
    <col min="1289" max="1295" width="8"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9.42578125" style="16" customWidth="1"/>
    <col min="1539" max="1539" width="10.7109375" style="16" bestFit="1" customWidth="1"/>
    <col min="1540" max="1540" width="6.7109375" style="16" bestFit="1" customWidth="1"/>
    <col min="1541" max="1541" width="8.5703125" style="16" bestFit="1" customWidth="1"/>
    <col min="1542" max="1542" width="8.28515625" style="16" customWidth="1"/>
    <col min="1543" max="1543" width="9" style="16" customWidth="1"/>
    <col min="1544" max="1544" width="8.42578125" style="16" customWidth="1"/>
    <col min="1545" max="1551" width="8"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9.42578125" style="16" customWidth="1"/>
    <col min="1795" max="1795" width="10.7109375" style="16" bestFit="1" customWidth="1"/>
    <col min="1796" max="1796" width="6.7109375" style="16" bestFit="1" customWidth="1"/>
    <col min="1797" max="1797" width="8.5703125" style="16" bestFit="1" customWidth="1"/>
    <col min="1798" max="1798" width="8.28515625" style="16" customWidth="1"/>
    <col min="1799" max="1799" width="9" style="16" customWidth="1"/>
    <col min="1800" max="1800" width="8.42578125" style="16" customWidth="1"/>
    <col min="1801" max="1807" width="8"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9.42578125" style="16" customWidth="1"/>
    <col min="2051" max="2051" width="10.7109375" style="16" bestFit="1" customWidth="1"/>
    <col min="2052" max="2052" width="6.7109375" style="16" bestFit="1" customWidth="1"/>
    <col min="2053" max="2053" width="8.5703125" style="16" bestFit="1" customWidth="1"/>
    <col min="2054" max="2054" width="8.28515625" style="16" customWidth="1"/>
    <col min="2055" max="2055" width="9" style="16" customWidth="1"/>
    <col min="2056" max="2056" width="8.42578125" style="16" customWidth="1"/>
    <col min="2057" max="2063" width="8"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9.42578125" style="16" customWidth="1"/>
    <col min="2307" max="2307" width="10.7109375" style="16" bestFit="1" customWidth="1"/>
    <col min="2308" max="2308" width="6.7109375" style="16" bestFit="1" customWidth="1"/>
    <col min="2309" max="2309" width="8.5703125" style="16" bestFit="1" customWidth="1"/>
    <col min="2310" max="2310" width="8.28515625" style="16" customWidth="1"/>
    <col min="2311" max="2311" width="9" style="16" customWidth="1"/>
    <col min="2312" max="2312" width="8.42578125" style="16" customWidth="1"/>
    <col min="2313" max="2319" width="8"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9.42578125" style="16" customWidth="1"/>
    <col min="2563" max="2563" width="10.7109375" style="16" bestFit="1" customWidth="1"/>
    <col min="2564" max="2564" width="6.7109375" style="16" bestFit="1" customWidth="1"/>
    <col min="2565" max="2565" width="8.5703125" style="16" bestFit="1" customWidth="1"/>
    <col min="2566" max="2566" width="8.28515625" style="16" customWidth="1"/>
    <col min="2567" max="2567" width="9" style="16" customWidth="1"/>
    <col min="2568" max="2568" width="8.42578125" style="16" customWidth="1"/>
    <col min="2569" max="2575" width="8"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9.42578125" style="16" customWidth="1"/>
    <col min="2819" max="2819" width="10.7109375" style="16" bestFit="1" customWidth="1"/>
    <col min="2820" max="2820" width="6.7109375" style="16" bestFit="1" customWidth="1"/>
    <col min="2821" max="2821" width="8.5703125" style="16" bestFit="1" customWidth="1"/>
    <col min="2822" max="2822" width="8.28515625" style="16" customWidth="1"/>
    <col min="2823" max="2823" width="9" style="16" customWidth="1"/>
    <col min="2824" max="2824" width="8.42578125" style="16" customWidth="1"/>
    <col min="2825" max="2831" width="8"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9.42578125" style="16" customWidth="1"/>
    <col min="3075" max="3075" width="10.7109375" style="16" bestFit="1" customWidth="1"/>
    <col min="3076" max="3076" width="6.7109375" style="16" bestFit="1" customWidth="1"/>
    <col min="3077" max="3077" width="8.5703125" style="16" bestFit="1" customWidth="1"/>
    <col min="3078" max="3078" width="8.28515625" style="16" customWidth="1"/>
    <col min="3079" max="3079" width="9" style="16" customWidth="1"/>
    <col min="3080" max="3080" width="8.42578125" style="16" customWidth="1"/>
    <col min="3081" max="3087" width="8"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9.42578125" style="16" customWidth="1"/>
    <col min="3331" max="3331" width="10.7109375" style="16" bestFit="1" customWidth="1"/>
    <col min="3332" max="3332" width="6.7109375" style="16" bestFit="1" customWidth="1"/>
    <col min="3333" max="3333" width="8.5703125" style="16" bestFit="1" customWidth="1"/>
    <col min="3334" max="3334" width="8.28515625" style="16" customWidth="1"/>
    <col min="3335" max="3335" width="9" style="16" customWidth="1"/>
    <col min="3336" max="3336" width="8.42578125" style="16" customWidth="1"/>
    <col min="3337" max="3343" width="8"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9.42578125" style="16" customWidth="1"/>
    <col min="3587" max="3587" width="10.7109375" style="16" bestFit="1" customWidth="1"/>
    <col min="3588" max="3588" width="6.7109375" style="16" bestFit="1" customWidth="1"/>
    <col min="3589" max="3589" width="8.5703125" style="16" bestFit="1" customWidth="1"/>
    <col min="3590" max="3590" width="8.28515625" style="16" customWidth="1"/>
    <col min="3591" max="3591" width="9" style="16" customWidth="1"/>
    <col min="3592" max="3592" width="8.42578125" style="16" customWidth="1"/>
    <col min="3593" max="3599" width="8"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9.42578125" style="16" customWidth="1"/>
    <col min="3843" max="3843" width="10.7109375" style="16" bestFit="1" customWidth="1"/>
    <col min="3844" max="3844" width="6.7109375" style="16" bestFit="1" customWidth="1"/>
    <col min="3845" max="3845" width="8.5703125" style="16" bestFit="1" customWidth="1"/>
    <col min="3846" max="3846" width="8.28515625" style="16" customWidth="1"/>
    <col min="3847" max="3847" width="9" style="16" customWidth="1"/>
    <col min="3848" max="3848" width="8.42578125" style="16" customWidth="1"/>
    <col min="3849" max="3855" width="8"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9.42578125" style="16" customWidth="1"/>
    <col min="4099" max="4099" width="10.7109375" style="16" bestFit="1" customWidth="1"/>
    <col min="4100" max="4100" width="6.7109375" style="16" bestFit="1" customWidth="1"/>
    <col min="4101" max="4101" width="8.5703125" style="16" bestFit="1" customWidth="1"/>
    <col min="4102" max="4102" width="8.28515625" style="16" customWidth="1"/>
    <col min="4103" max="4103" width="9" style="16" customWidth="1"/>
    <col min="4104" max="4104" width="8.42578125" style="16" customWidth="1"/>
    <col min="4105" max="4111" width="8"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9.42578125" style="16" customWidth="1"/>
    <col min="4355" max="4355" width="10.7109375" style="16" bestFit="1" customWidth="1"/>
    <col min="4356" max="4356" width="6.7109375" style="16" bestFit="1" customWidth="1"/>
    <col min="4357" max="4357" width="8.5703125" style="16" bestFit="1" customWidth="1"/>
    <col min="4358" max="4358" width="8.28515625" style="16" customWidth="1"/>
    <col min="4359" max="4359" width="9" style="16" customWidth="1"/>
    <col min="4360" max="4360" width="8.42578125" style="16" customWidth="1"/>
    <col min="4361" max="4367" width="8"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9.42578125" style="16" customWidth="1"/>
    <col min="4611" max="4611" width="10.7109375" style="16" bestFit="1" customWidth="1"/>
    <col min="4612" max="4612" width="6.7109375" style="16" bestFit="1" customWidth="1"/>
    <col min="4613" max="4613" width="8.5703125" style="16" bestFit="1" customWidth="1"/>
    <col min="4614" max="4614" width="8.28515625" style="16" customWidth="1"/>
    <col min="4615" max="4615" width="9" style="16" customWidth="1"/>
    <col min="4616" max="4616" width="8.42578125" style="16" customWidth="1"/>
    <col min="4617" max="4623" width="8"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9.42578125" style="16" customWidth="1"/>
    <col min="4867" max="4867" width="10.7109375" style="16" bestFit="1" customWidth="1"/>
    <col min="4868" max="4868" width="6.7109375" style="16" bestFit="1" customWidth="1"/>
    <col min="4869" max="4869" width="8.5703125" style="16" bestFit="1" customWidth="1"/>
    <col min="4870" max="4870" width="8.28515625" style="16" customWidth="1"/>
    <col min="4871" max="4871" width="9" style="16" customWidth="1"/>
    <col min="4872" max="4872" width="8.42578125" style="16" customWidth="1"/>
    <col min="4873" max="4879" width="8"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9.42578125" style="16" customWidth="1"/>
    <col min="5123" max="5123" width="10.7109375" style="16" bestFit="1" customWidth="1"/>
    <col min="5124" max="5124" width="6.7109375" style="16" bestFit="1" customWidth="1"/>
    <col min="5125" max="5125" width="8.5703125" style="16" bestFit="1" customWidth="1"/>
    <col min="5126" max="5126" width="8.28515625" style="16" customWidth="1"/>
    <col min="5127" max="5127" width="9" style="16" customWidth="1"/>
    <col min="5128" max="5128" width="8.42578125" style="16" customWidth="1"/>
    <col min="5129" max="5135" width="8"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9.42578125" style="16" customWidth="1"/>
    <col min="5379" max="5379" width="10.7109375" style="16" bestFit="1" customWidth="1"/>
    <col min="5380" max="5380" width="6.7109375" style="16" bestFit="1" customWidth="1"/>
    <col min="5381" max="5381" width="8.5703125" style="16" bestFit="1" customWidth="1"/>
    <col min="5382" max="5382" width="8.28515625" style="16" customWidth="1"/>
    <col min="5383" max="5383" width="9" style="16" customWidth="1"/>
    <col min="5384" max="5384" width="8.42578125" style="16" customWidth="1"/>
    <col min="5385" max="5391" width="8"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9.42578125" style="16" customWidth="1"/>
    <col min="5635" max="5635" width="10.7109375" style="16" bestFit="1" customWidth="1"/>
    <col min="5636" max="5636" width="6.7109375" style="16" bestFit="1" customWidth="1"/>
    <col min="5637" max="5637" width="8.5703125" style="16" bestFit="1" customWidth="1"/>
    <col min="5638" max="5638" width="8.28515625" style="16" customWidth="1"/>
    <col min="5639" max="5639" width="9" style="16" customWidth="1"/>
    <col min="5640" max="5640" width="8.42578125" style="16" customWidth="1"/>
    <col min="5641" max="5647" width="8"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9.42578125" style="16" customWidth="1"/>
    <col min="5891" max="5891" width="10.7109375" style="16" bestFit="1" customWidth="1"/>
    <col min="5892" max="5892" width="6.7109375" style="16" bestFit="1" customWidth="1"/>
    <col min="5893" max="5893" width="8.5703125" style="16" bestFit="1" customWidth="1"/>
    <col min="5894" max="5894" width="8.28515625" style="16" customWidth="1"/>
    <col min="5895" max="5895" width="9" style="16" customWidth="1"/>
    <col min="5896" max="5896" width="8.42578125" style="16" customWidth="1"/>
    <col min="5897" max="5903" width="8"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9.42578125" style="16" customWidth="1"/>
    <col min="6147" max="6147" width="10.7109375" style="16" bestFit="1" customWidth="1"/>
    <col min="6148" max="6148" width="6.7109375" style="16" bestFit="1" customWidth="1"/>
    <col min="6149" max="6149" width="8.5703125" style="16" bestFit="1" customWidth="1"/>
    <col min="6150" max="6150" width="8.28515625" style="16" customWidth="1"/>
    <col min="6151" max="6151" width="9" style="16" customWidth="1"/>
    <col min="6152" max="6152" width="8.42578125" style="16" customWidth="1"/>
    <col min="6153" max="6159" width="8"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9.42578125" style="16" customWidth="1"/>
    <col min="6403" max="6403" width="10.7109375" style="16" bestFit="1" customWidth="1"/>
    <col min="6404" max="6404" width="6.7109375" style="16" bestFit="1" customWidth="1"/>
    <col min="6405" max="6405" width="8.5703125" style="16" bestFit="1" customWidth="1"/>
    <col min="6406" max="6406" width="8.28515625" style="16" customWidth="1"/>
    <col min="6407" max="6407" width="9" style="16" customWidth="1"/>
    <col min="6408" max="6408" width="8.42578125" style="16" customWidth="1"/>
    <col min="6409" max="6415" width="8"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9.42578125" style="16" customWidth="1"/>
    <col min="6659" max="6659" width="10.7109375" style="16" bestFit="1" customWidth="1"/>
    <col min="6660" max="6660" width="6.7109375" style="16" bestFit="1" customWidth="1"/>
    <col min="6661" max="6661" width="8.5703125" style="16" bestFit="1" customWidth="1"/>
    <col min="6662" max="6662" width="8.28515625" style="16" customWidth="1"/>
    <col min="6663" max="6663" width="9" style="16" customWidth="1"/>
    <col min="6664" max="6664" width="8.42578125" style="16" customWidth="1"/>
    <col min="6665" max="6671" width="8"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9.42578125" style="16" customWidth="1"/>
    <col min="6915" max="6915" width="10.7109375" style="16" bestFit="1" customWidth="1"/>
    <col min="6916" max="6916" width="6.7109375" style="16" bestFit="1" customWidth="1"/>
    <col min="6917" max="6917" width="8.5703125" style="16" bestFit="1" customWidth="1"/>
    <col min="6918" max="6918" width="8.28515625" style="16" customWidth="1"/>
    <col min="6919" max="6919" width="9" style="16" customWidth="1"/>
    <col min="6920" max="6920" width="8.42578125" style="16" customWidth="1"/>
    <col min="6921" max="6927" width="8"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9.42578125" style="16" customWidth="1"/>
    <col min="7171" max="7171" width="10.7109375" style="16" bestFit="1" customWidth="1"/>
    <col min="7172" max="7172" width="6.7109375" style="16" bestFit="1" customWidth="1"/>
    <col min="7173" max="7173" width="8.5703125" style="16" bestFit="1" customWidth="1"/>
    <col min="7174" max="7174" width="8.28515625" style="16" customWidth="1"/>
    <col min="7175" max="7175" width="9" style="16" customWidth="1"/>
    <col min="7176" max="7176" width="8.42578125" style="16" customWidth="1"/>
    <col min="7177" max="7183" width="8"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9.42578125" style="16" customWidth="1"/>
    <col min="7427" max="7427" width="10.7109375" style="16" bestFit="1" customWidth="1"/>
    <col min="7428" max="7428" width="6.7109375" style="16" bestFit="1" customWidth="1"/>
    <col min="7429" max="7429" width="8.5703125" style="16" bestFit="1" customWidth="1"/>
    <col min="7430" max="7430" width="8.28515625" style="16" customWidth="1"/>
    <col min="7431" max="7431" width="9" style="16" customWidth="1"/>
    <col min="7432" max="7432" width="8.42578125" style="16" customWidth="1"/>
    <col min="7433" max="7439" width="8"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9.42578125" style="16" customWidth="1"/>
    <col min="7683" max="7683" width="10.7109375" style="16" bestFit="1" customWidth="1"/>
    <col min="7684" max="7684" width="6.7109375" style="16" bestFit="1" customWidth="1"/>
    <col min="7685" max="7685" width="8.5703125" style="16" bestFit="1" customWidth="1"/>
    <col min="7686" max="7686" width="8.28515625" style="16" customWidth="1"/>
    <col min="7687" max="7687" width="9" style="16" customWidth="1"/>
    <col min="7688" max="7688" width="8.42578125" style="16" customWidth="1"/>
    <col min="7689" max="7695" width="8"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9.42578125" style="16" customWidth="1"/>
    <col min="7939" max="7939" width="10.7109375" style="16" bestFit="1" customWidth="1"/>
    <col min="7940" max="7940" width="6.7109375" style="16" bestFit="1" customWidth="1"/>
    <col min="7941" max="7941" width="8.5703125" style="16" bestFit="1" customWidth="1"/>
    <col min="7942" max="7942" width="8.28515625" style="16" customWidth="1"/>
    <col min="7943" max="7943" width="9" style="16" customWidth="1"/>
    <col min="7944" max="7944" width="8.42578125" style="16" customWidth="1"/>
    <col min="7945" max="7951" width="8"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9.42578125" style="16" customWidth="1"/>
    <col min="8195" max="8195" width="10.7109375" style="16" bestFit="1" customWidth="1"/>
    <col min="8196" max="8196" width="6.7109375" style="16" bestFit="1" customWidth="1"/>
    <col min="8197" max="8197" width="8.5703125" style="16" bestFit="1" customWidth="1"/>
    <col min="8198" max="8198" width="8.28515625" style="16" customWidth="1"/>
    <col min="8199" max="8199" width="9" style="16" customWidth="1"/>
    <col min="8200" max="8200" width="8.42578125" style="16" customWidth="1"/>
    <col min="8201" max="8207" width="8"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9.42578125" style="16" customWidth="1"/>
    <col min="8451" max="8451" width="10.7109375" style="16" bestFit="1" customWidth="1"/>
    <col min="8452" max="8452" width="6.7109375" style="16" bestFit="1" customWidth="1"/>
    <col min="8453" max="8453" width="8.5703125" style="16" bestFit="1" customWidth="1"/>
    <col min="8454" max="8454" width="8.28515625" style="16" customWidth="1"/>
    <col min="8455" max="8455" width="9" style="16" customWidth="1"/>
    <col min="8456" max="8456" width="8.42578125" style="16" customWidth="1"/>
    <col min="8457" max="8463" width="8"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9.42578125" style="16" customWidth="1"/>
    <col min="8707" max="8707" width="10.7109375" style="16" bestFit="1" customWidth="1"/>
    <col min="8708" max="8708" width="6.7109375" style="16" bestFit="1" customWidth="1"/>
    <col min="8709" max="8709" width="8.5703125" style="16" bestFit="1" customWidth="1"/>
    <col min="8710" max="8710" width="8.28515625" style="16" customWidth="1"/>
    <col min="8711" max="8711" width="9" style="16" customWidth="1"/>
    <col min="8712" max="8712" width="8.42578125" style="16" customWidth="1"/>
    <col min="8713" max="8719" width="8"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9.42578125" style="16" customWidth="1"/>
    <col min="8963" max="8963" width="10.7109375" style="16" bestFit="1" customWidth="1"/>
    <col min="8964" max="8964" width="6.7109375" style="16" bestFit="1" customWidth="1"/>
    <col min="8965" max="8965" width="8.5703125" style="16" bestFit="1" customWidth="1"/>
    <col min="8966" max="8966" width="8.28515625" style="16" customWidth="1"/>
    <col min="8967" max="8967" width="9" style="16" customWidth="1"/>
    <col min="8968" max="8968" width="8.42578125" style="16" customWidth="1"/>
    <col min="8969" max="8975" width="8"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9.42578125" style="16" customWidth="1"/>
    <col min="9219" max="9219" width="10.7109375" style="16" bestFit="1" customWidth="1"/>
    <col min="9220" max="9220" width="6.7109375" style="16" bestFit="1" customWidth="1"/>
    <col min="9221" max="9221" width="8.5703125" style="16" bestFit="1" customWidth="1"/>
    <col min="9222" max="9222" width="8.28515625" style="16" customWidth="1"/>
    <col min="9223" max="9223" width="9" style="16" customWidth="1"/>
    <col min="9224" max="9224" width="8.42578125" style="16" customWidth="1"/>
    <col min="9225" max="9231" width="8"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9.42578125" style="16" customWidth="1"/>
    <col min="9475" max="9475" width="10.7109375" style="16" bestFit="1" customWidth="1"/>
    <col min="9476" max="9476" width="6.7109375" style="16" bestFit="1" customWidth="1"/>
    <col min="9477" max="9477" width="8.5703125" style="16" bestFit="1" customWidth="1"/>
    <col min="9478" max="9478" width="8.28515625" style="16" customWidth="1"/>
    <col min="9479" max="9479" width="9" style="16" customWidth="1"/>
    <col min="9480" max="9480" width="8.42578125" style="16" customWidth="1"/>
    <col min="9481" max="9487" width="8"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9.42578125" style="16" customWidth="1"/>
    <col min="9731" max="9731" width="10.7109375" style="16" bestFit="1" customWidth="1"/>
    <col min="9732" max="9732" width="6.7109375" style="16" bestFit="1" customWidth="1"/>
    <col min="9733" max="9733" width="8.5703125" style="16" bestFit="1" customWidth="1"/>
    <col min="9734" max="9734" width="8.28515625" style="16" customWidth="1"/>
    <col min="9735" max="9735" width="9" style="16" customWidth="1"/>
    <col min="9736" max="9736" width="8.42578125" style="16" customWidth="1"/>
    <col min="9737" max="9743" width="8"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9.42578125" style="16" customWidth="1"/>
    <col min="9987" max="9987" width="10.7109375" style="16" bestFit="1" customWidth="1"/>
    <col min="9988" max="9988" width="6.7109375" style="16" bestFit="1" customWidth="1"/>
    <col min="9989" max="9989" width="8.5703125" style="16" bestFit="1" customWidth="1"/>
    <col min="9990" max="9990" width="8.28515625" style="16" customWidth="1"/>
    <col min="9991" max="9991" width="9" style="16" customWidth="1"/>
    <col min="9992" max="9992" width="8.42578125" style="16" customWidth="1"/>
    <col min="9993" max="9999" width="8"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9.42578125" style="16" customWidth="1"/>
    <col min="10243" max="10243" width="10.7109375" style="16" bestFit="1" customWidth="1"/>
    <col min="10244" max="10244" width="6.7109375" style="16" bestFit="1" customWidth="1"/>
    <col min="10245" max="10245" width="8.5703125" style="16" bestFit="1" customWidth="1"/>
    <col min="10246" max="10246" width="8.28515625" style="16" customWidth="1"/>
    <col min="10247" max="10247" width="9" style="16" customWidth="1"/>
    <col min="10248" max="10248" width="8.42578125" style="16" customWidth="1"/>
    <col min="10249" max="10255" width="8"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9.42578125" style="16" customWidth="1"/>
    <col min="10499" max="10499" width="10.7109375" style="16" bestFit="1" customWidth="1"/>
    <col min="10500" max="10500" width="6.7109375" style="16" bestFit="1" customWidth="1"/>
    <col min="10501" max="10501" width="8.5703125" style="16" bestFit="1" customWidth="1"/>
    <col min="10502" max="10502" width="8.28515625" style="16" customWidth="1"/>
    <col min="10503" max="10503" width="9" style="16" customWidth="1"/>
    <col min="10504" max="10504" width="8.42578125" style="16" customWidth="1"/>
    <col min="10505" max="10511" width="8"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9.42578125" style="16" customWidth="1"/>
    <col min="10755" max="10755" width="10.7109375" style="16" bestFit="1" customWidth="1"/>
    <col min="10756" max="10756" width="6.7109375" style="16" bestFit="1" customWidth="1"/>
    <col min="10757" max="10757" width="8.5703125" style="16" bestFit="1" customWidth="1"/>
    <col min="10758" max="10758" width="8.28515625" style="16" customWidth="1"/>
    <col min="10759" max="10759" width="9" style="16" customWidth="1"/>
    <col min="10760" max="10760" width="8.42578125" style="16" customWidth="1"/>
    <col min="10761" max="10767" width="8"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9.42578125" style="16" customWidth="1"/>
    <col min="11011" max="11011" width="10.7109375" style="16" bestFit="1" customWidth="1"/>
    <col min="11012" max="11012" width="6.7109375" style="16" bestFit="1" customWidth="1"/>
    <col min="11013" max="11013" width="8.5703125" style="16" bestFit="1" customWidth="1"/>
    <col min="11014" max="11014" width="8.28515625" style="16" customWidth="1"/>
    <col min="11015" max="11015" width="9" style="16" customWidth="1"/>
    <col min="11016" max="11016" width="8.42578125" style="16" customWidth="1"/>
    <col min="11017" max="11023" width="8"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9.42578125" style="16" customWidth="1"/>
    <col min="11267" max="11267" width="10.7109375" style="16" bestFit="1" customWidth="1"/>
    <col min="11268" max="11268" width="6.7109375" style="16" bestFit="1" customWidth="1"/>
    <col min="11269" max="11269" width="8.5703125" style="16" bestFit="1" customWidth="1"/>
    <col min="11270" max="11270" width="8.28515625" style="16" customWidth="1"/>
    <col min="11271" max="11271" width="9" style="16" customWidth="1"/>
    <col min="11272" max="11272" width="8.42578125" style="16" customWidth="1"/>
    <col min="11273" max="11279" width="8"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9.42578125" style="16" customWidth="1"/>
    <col min="11523" max="11523" width="10.7109375" style="16" bestFit="1" customWidth="1"/>
    <col min="11524" max="11524" width="6.7109375" style="16" bestFit="1" customWidth="1"/>
    <col min="11525" max="11525" width="8.5703125" style="16" bestFit="1" customWidth="1"/>
    <col min="11526" max="11526" width="8.28515625" style="16" customWidth="1"/>
    <col min="11527" max="11527" width="9" style="16" customWidth="1"/>
    <col min="11528" max="11528" width="8.42578125" style="16" customWidth="1"/>
    <col min="11529" max="11535" width="8"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9.42578125" style="16" customWidth="1"/>
    <col min="11779" max="11779" width="10.7109375" style="16" bestFit="1" customWidth="1"/>
    <col min="11780" max="11780" width="6.7109375" style="16" bestFit="1" customWidth="1"/>
    <col min="11781" max="11781" width="8.5703125" style="16" bestFit="1" customWidth="1"/>
    <col min="11782" max="11782" width="8.28515625" style="16" customWidth="1"/>
    <col min="11783" max="11783" width="9" style="16" customWidth="1"/>
    <col min="11784" max="11784" width="8.42578125" style="16" customWidth="1"/>
    <col min="11785" max="11791" width="8"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9.42578125" style="16" customWidth="1"/>
    <col min="12035" max="12035" width="10.7109375" style="16" bestFit="1" customWidth="1"/>
    <col min="12036" max="12036" width="6.7109375" style="16" bestFit="1" customWidth="1"/>
    <col min="12037" max="12037" width="8.5703125" style="16" bestFit="1" customWidth="1"/>
    <col min="12038" max="12038" width="8.28515625" style="16" customWidth="1"/>
    <col min="12039" max="12039" width="9" style="16" customWidth="1"/>
    <col min="12040" max="12040" width="8.42578125" style="16" customWidth="1"/>
    <col min="12041" max="12047" width="8"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9.42578125" style="16" customWidth="1"/>
    <col min="12291" max="12291" width="10.7109375" style="16" bestFit="1" customWidth="1"/>
    <col min="12292" max="12292" width="6.7109375" style="16" bestFit="1" customWidth="1"/>
    <col min="12293" max="12293" width="8.5703125" style="16" bestFit="1" customWidth="1"/>
    <col min="12294" max="12294" width="8.28515625" style="16" customWidth="1"/>
    <col min="12295" max="12295" width="9" style="16" customWidth="1"/>
    <col min="12296" max="12296" width="8.42578125" style="16" customWidth="1"/>
    <col min="12297" max="12303" width="8"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9.42578125" style="16" customWidth="1"/>
    <col min="12547" max="12547" width="10.7109375" style="16" bestFit="1" customWidth="1"/>
    <col min="12548" max="12548" width="6.7109375" style="16" bestFit="1" customWidth="1"/>
    <col min="12549" max="12549" width="8.5703125" style="16" bestFit="1" customWidth="1"/>
    <col min="12550" max="12550" width="8.28515625" style="16" customWidth="1"/>
    <col min="12551" max="12551" width="9" style="16" customWidth="1"/>
    <col min="12552" max="12552" width="8.42578125" style="16" customWidth="1"/>
    <col min="12553" max="12559" width="8"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9.42578125" style="16" customWidth="1"/>
    <col min="12803" max="12803" width="10.7109375" style="16" bestFit="1" customWidth="1"/>
    <col min="12804" max="12804" width="6.7109375" style="16" bestFit="1" customWidth="1"/>
    <col min="12805" max="12805" width="8.5703125" style="16" bestFit="1" customWidth="1"/>
    <col min="12806" max="12806" width="8.28515625" style="16" customWidth="1"/>
    <col min="12807" max="12807" width="9" style="16" customWidth="1"/>
    <col min="12808" max="12808" width="8.42578125" style="16" customWidth="1"/>
    <col min="12809" max="12815" width="8"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9.42578125" style="16" customWidth="1"/>
    <col min="13059" max="13059" width="10.7109375" style="16" bestFit="1" customWidth="1"/>
    <col min="13060" max="13060" width="6.7109375" style="16" bestFit="1" customWidth="1"/>
    <col min="13061" max="13061" width="8.5703125" style="16" bestFit="1" customWidth="1"/>
    <col min="13062" max="13062" width="8.28515625" style="16" customWidth="1"/>
    <col min="13063" max="13063" width="9" style="16" customWidth="1"/>
    <col min="13064" max="13064" width="8.42578125" style="16" customWidth="1"/>
    <col min="13065" max="13071" width="8"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9.42578125" style="16" customWidth="1"/>
    <col min="13315" max="13315" width="10.7109375" style="16" bestFit="1" customWidth="1"/>
    <col min="13316" max="13316" width="6.7109375" style="16" bestFit="1" customWidth="1"/>
    <col min="13317" max="13317" width="8.5703125" style="16" bestFit="1" customWidth="1"/>
    <col min="13318" max="13318" width="8.28515625" style="16" customWidth="1"/>
    <col min="13319" max="13319" width="9" style="16" customWidth="1"/>
    <col min="13320" max="13320" width="8.42578125" style="16" customWidth="1"/>
    <col min="13321" max="13327" width="8"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9.42578125" style="16" customWidth="1"/>
    <col min="13571" max="13571" width="10.7109375" style="16" bestFit="1" customWidth="1"/>
    <col min="13572" max="13572" width="6.7109375" style="16" bestFit="1" customWidth="1"/>
    <col min="13573" max="13573" width="8.5703125" style="16" bestFit="1" customWidth="1"/>
    <col min="13574" max="13574" width="8.28515625" style="16" customWidth="1"/>
    <col min="13575" max="13575" width="9" style="16" customWidth="1"/>
    <col min="13576" max="13576" width="8.42578125" style="16" customWidth="1"/>
    <col min="13577" max="13583" width="8"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9.42578125" style="16" customWidth="1"/>
    <col min="13827" max="13827" width="10.7109375" style="16" bestFit="1" customWidth="1"/>
    <col min="13828" max="13828" width="6.7109375" style="16" bestFit="1" customWidth="1"/>
    <col min="13829" max="13829" width="8.5703125" style="16" bestFit="1" customWidth="1"/>
    <col min="13830" max="13830" width="8.28515625" style="16" customWidth="1"/>
    <col min="13831" max="13831" width="9" style="16" customWidth="1"/>
    <col min="13832" max="13832" width="8.42578125" style="16" customWidth="1"/>
    <col min="13833" max="13839" width="8"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9.42578125" style="16" customWidth="1"/>
    <col min="14083" max="14083" width="10.7109375" style="16" bestFit="1" customWidth="1"/>
    <col min="14084" max="14084" width="6.7109375" style="16" bestFit="1" customWidth="1"/>
    <col min="14085" max="14085" width="8.5703125" style="16" bestFit="1" customWidth="1"/>
    <col min="14086" max="14086" width="8.28515625" style="16" customWidth="1"/>
    <col min="14087" max="14087" width="9" style="16" customWidth="1"/>
    <col min="14088" max="14088" width="8.42578125" style="16" customWidth="1"/>
    <col min="14089" max="14095" width="8"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9.42578125" style="16" customWidth="1"/>
    <col min="14339" max="14339" width="10.7109375" style="16" bestFit="1" customWidth="1"/>
    <col min="14340" max="14340" width="6.7109375" style="16" bestFit="1" customWidth="1"/>
    <col min="14341" max="14341" width="8.5703125" style="16" bestFit="1" customWidth="1"/>
    <col min="14342" max="14342" width="8.28515625" style="16" customWidth="1"/>
    <col min="14343" max="14343" width="9" style="16" customWidth="1"/>
    <col min="14344" max="14344" width="8.42578125" style="16" customWidth="1"/>
    <col min="14345" max="14351" width="8"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9.42578125" style="16" customWidth="1"/>
    <col min="14595" max="14595" width="10.7109375" style="16" bestFit="1" customWidth="1"/>
    <col min="14596" max="14596" width="6.7109375" style="16" bestFit="1" customWidth="1"/>
    <col min="14597" max="14597" width="8.5703125" style="16" bestFit="1" customWidth="1"/>
    <col min="14598" max="14598" width="8.28515625" style="16" customWidth="1"/>
    <col min="14599" max="14599" width="9" style="16" customWidth="1"/>
    <col min="14600" max="14600" width="8.42578125" style="16" customWidth="1"/>
    <col min="14601" max="14607" width="8"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9.42578125" style="16" customWidth="1"/>
    <col min="14851" max="14851" width="10.7109375" style="16" bestFit="1" customWidth="1"/>
    <col min="14852" max="14852" width="6.7109375" style="16" bestFit="1" customWidth="1"/>
    <col min="14853" max="14853" width="8.5703125" style="16" bestFit="1" customWidth="1"/>
    <col min="14854" max="14854" width="8.28515625" style="16" customWidth="1"/>
    <col min="14855" max="14855" width="9" style="16" customWidth="1"/>
    <col min="14856" max="14856" width="8.42578125" style="16" customWidth="1"/>
    <col min="14857" max="14863" width="8"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9.42578125" style="16" customWidth="1"/>
    <col min="15107" max="15107" width="10.7109375" style="16" bestFit="1" customWidth="1"/>
    <col min="15108" max="15108" width="6.7109375" style="16" bestFit="1" customWidth="1"/>
    <col min="15109" max="15109" width="8.5703125" style="16" bestFit="1" customWidth="1"/>
    <col min="15110" max="15110" width="8.28515625" style="16" customWidth="1"/>
    <col min="15111" max="15111" width="9" style="16" customWidth="1"/>
    <col min="15112" max="15112" width="8.42578125" style="16" customWidth="1"/>
    <col min="15113" max="15119" width="8"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9.42578125" style="16" customWidth="1"/>
    <col min="15363" max="15363" width="10.7109375" style="16" bestFit="1" customWidth="1"/>
    <col min="15364" max="15364" width="6.7109375" style="16" bestFit="1" customWidth="1"/>
    <col min="15365" max="15365" width="8.5703125" style="16" bestFit="1" customWidth="1"/>
    <col min="15366" max="15366" width="8.28515625" style="16" customWidth="1"/>
    <col min="15367" max="15367" width="9" style="16" customWidth="1"/>
    <col min="15368" max="15368" width="8.42578125" style="16" customWidth="1"/>
    <col min="15369" max="15375" width="8"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9.42578125" style="16" customWidth="1"/>
    <col min="15619" max="15619" width="10.7109375" style="16" bestFit="1" customWidth="1"/>
    <col min="15620" max="15620" width="6.7109375" style="16" bestFit="1" customWidth="1"/>
    <col min="15621" max="15621" width="8.5703125" style="16" bestFit="1" customWidth="1"/>
    <col min="15622" max="15622" width="8.28515625" style="16" customWidth="1"/>
    <col min="15623" max="15623" width="9" style="16" customWidth="1"/>
    <col min="15624" max="15624" width="8.42578125" style="16" customWidth="1"/>
    <col min="15625" max="15631" width="8"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9.42578125" style="16" customWidth="1"/>
    <col min="15875" max="15875" width="10.7109375" style="16" bestFit="1" customWidth="1"/>
    <col min="15876" max="15876" width="6.7109375" style="16" bestFit="1" customWidth="1"/>
    <col min="15877" max="15877" width="8.5703125" style="16" bestFit="1" customWidth="1"/>
    <col min="15878" max="15878" width="8.28515625" style="16" customWidth="1"/>
    <col min="15879" max="15879" width="9" style="16" customWidth="1"/>
    <col min="15880" max="15880" width="8.42578125" style="16" customWidth="1"/>
    <col min="15881" max="15887" width="8"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9.42578125" style="16" customWidth="1"/>
    <col min="16131" max="16131" width="10.7109375" style="16" bestFit="1" customWidth="1"/>
    <col min="16132" max="16132" width="6.7109375" style="16" bestFit="1" customWidth="1"/>
    <col min="16133" max="16133" width="8.5703125" style="16" bestFit="1" customWidth="1"/>
    <col min="16134" max="16134" width="8.28515625" style="16" customWidth="1"/>
    <col min="16135" max="16135" width="9" style="16" customWidth="1"/>
    <col min="16136" max="16136" width="8.42578125" style="16" customWidth="1"/>
    <col min="16137" max="16143" width="8"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67" t="s">
        <v>100</v>
      </c>
      <c r="B1" s="868"/>
      <c r="C1" s="868"/>
      <c r="D1" s="869"/>
      <c r="E1" s="868"/>
      <c r="F1" s="868"/>
      <c r="G1" s="867" t="s">
        <v>102</v>
      </c>
      <c r="H1" s="869"/>
      <c r="I1" s="869" t="s">
        <v>88</v>
      </c>
      <c r="J1" s="868"/>
      <c r="K1" s="868"/>
      <c r="L1" s="870"/>
      <c r="M1" s="870"/>
      <c r="N1" s="870"/>
      <c r="O1" s="870"/>
    </row>
    <row r="2" spans="1:15" s="1" customFormat="1" x14ac:dyDescent="0.2">
      <c r="A2" s="867" t="s">
        <v>103</v>
      </c>
      <c r="B2" s="868"/>
      <c r="C2" s="868"/>
      <c r="D2" s="869"/>
      <c r="E2" s="868"/>
      <c r="F2" s="868"/>
      <c r="G2" s="867" t="s">
        <v>104</v>
      </c>
      <c r="H2" s="869"/>
      <c r="I2" s="869" t="s">
        <v>105</v>
      </c>
      <c r="J2" s="868"/>
      <c r="K2" s="868"/>
      <c r="L2" s="870"/>
      <c r="M2" s="870"/>
      <c r="N2" s="870"/>
      <c r="O2" s="870"/>
    </row>
    <row r="3" spans="1:15" s="1" customFormat="1" x14ac:dyDescent="0.2">
      <c r="A3" s="867" t="s">
        <v>106</v>
      </c>
      <c r="B3" s="868"/>
      <c r="C3" s="868"/>
      <c r="D3" s="883" t="s">
        <v>264</v>
      </c>
      <c r="E3" s="868"/>
      <c r="F3" s="868"/>
      <c r="G3" s="867" t="s">
        <v>107</v>
      </c>
      <c r="H3" s="869"/>
      <c r="I3" s="869" t="s">
        <v>108</v>
      </c>
      <c r="J3" s="868"/>
      <c r="K3" s="868"/>
      <c r="L3" s="870"/>
      <c r="M3" s="870"/>
      <c r="N3" s="870"/>
      <c r="O3" s="870"/>
    </row>
    <row r="4" spans="1:15" s="1" customFormat="1" x14ac:dyDescent="0.2">
      <c r="A4" s="867" t="s">
        <v>109</v>
      </c>
      <c r="B4" s="868"/>
      <c r="C4" s="868"/>
      <c r="D4" s="869"/>
      <c r="E4" s="868"/>
      <c r="F4" s="868"/>
      <c r="G4" s="867" t="s">
        <v>110</v>
      </c>
      <c r="H4" s="869"/>
      <c r="I4" s="869" t="s">
        <v>251</v>
      </c>
      <c r="J4" s="868"/>
      <c r="K4" s="868"/>
      <c r="L4" s="870"/>
      <c r="M4" s="870"/>
      <c r="N4" s="870"/>
      <c r="O4" s="870"/>
    </row>
    <row r="5" spans="1:15" s="1" customFormat="1" x14ac:dyDescent="0.2">
      <c r="A5" s="867" t="s">
        <v>112</v>
      </c>
      <c r="B5" s="868"/>
      <c r="C5" s="868"/>
      <c r="D5" s="869"/>
      <c r="E5" s="868"/>
      <c r="F5" s="868"/>
      <c r="G5" s="867"/>
      <c r="H5" s="868"/>
      <c r="I5" s="869" t="s">
        <v>113</v>
      </c>
      <c r="J5" s="868"/>
      <c r="K5" s="868"/>
      <c r="L5" s="870"/>
      <c r="M5" s="870"/>
      <c r="N5" s="870"/>
      <c r="O5" s="870"/>
    </row>
    <row r="6" spans="1:15" s="1" customFormat="1" x14ac:dyDescent="0.2">
      <c r="A6" s="871" t="s">
        <v>114</v>
      </c>
      <c r="B6" s="872"/>
      <c r="C6" s="872"/>
      <c r="D6" s="868" t="s">
        <v>89</v>
      </c>
      <c r="E6" s="868"/>
      <c r="F6" s="868"/>
      <c r="G6" s="871" t="s">
        <v>115</v>
      </c>
      <c r="H6" s="871"/>
      <c r="I6" s="2" t="s">
        <v>116</v>
      </c>
      <c r="J6" s="888"/>
      <c r="K6" s="888"/>
      <c r="L6" s="888"/>
      <c r="M6" s="888"/>
      <c r="N6" s="888"/>
      <c r="O6" s="889"/>
    </row>
    <row r="7" spans="1:15" s="1" customFormat="1" ht="13.5" thickBot="1" x14ac:dyDescent="0.25">
      <c r="A7" s="3"/>
      <c r="B7" s="4"/>
      <c r="C7" s="5"/>
      <c r="D7" s="6"/>
      <c r="E7" s="6"/>
      <c r="F7" s="6"/>
      <c r="G7" s="6"/>
      <c r="H7" s="6"/>
      <c r="I7" s="6"/>
      <c r="J7" s="7"/>
      <c r="K7" s="8"/>
      <c r="L7" s="875" t="s">
        <v>223</v>
      </c>
      <c r="M7" s="875"/>
      <c r="N7" s="875"/>
      <c r="O7" s="875"/>
    </row>
    <row r="8" spans="1:15" s="11" customFormat="1" x14ac:dyDescent="0.2">
      <c r="A8" s="876" t="str">
        <f>I1</f>
        <v>Mr. V.K.Parab</v>
      </c>
      <c r="B8" s="877"/>
      <c r="C8" s="144">
        <v>43160</v>
      </c>
      <c r="D8" s="144">
        <v>43191</v>
      </c>
      <c r="E8" s="144">
        <v>43221</v>
      </c>
      <c r="F8" s="144">
        <v>43252</v>
      </c>
      <c r="G8" s="144">
        <v>43282</v>
      </c>
      <c r="H8" s="144">
        <v>43313</v>
      </c>
      <c r="I8" s="144">
        <v>43344</v>
      </c>
      <c r="J8" s="144">
        <v>43374</v>
      </c>
      <c r="K8" s="144">
        <v>43405</v>
      </c>
      <c r="L8" s="144">
        <v>43435</v>
      </c>
      <c r="M8" s="144">
        <v>43466</v>
      </c>
      <c r="N8" s="144">
        <v>43497</v>
      </c>
      <c r="O8" s="10" t="s">
        <v>117</v>
      </c>
    </row>
    <row r="9" spans="1:15" ht="15" x14ac:dyDescent="0.2">
      <c r="A9" s="12"/>
      <c r="B9" s="13" t="s">
        <v>118</v>
      </c>
      <c r="C9" s="14">
        <v>37500</v>
      </c>
      <c r="D9" s="14">
        <v>37500</v>
      </c>
      <c r="E9" s="14">
        <v>37500</v>
      </c>
      <c r="F9" s="14">
        <v>37500</v>
      </c>
      <c r="G9" s="14">
        <v>38600</v>
      </c>
      <c r="H9" s="14">
        <v>38600</v>
      </c>
      <c r="I9" s="14">
        <v>38600</v>
      </c>
      <c r="J9" s="14">
        <v>38600</v>
      </c>
      <c r="K9" s="14">
        <v>38600</v>
      </c>
      <c r="L9" s="14">
        <v>38600</v>
      </c>
      <c r="M9" s="14">
        <v>38600</v>
      </c>
      <c r="N9" s="14">
        <v>38600</v>
      </c>
      <c r="O9" s="15">
        <f>SUM(C9:N9)</f>
        <v>458800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1875</v>
      </c>
      <c r="D11" s="17">
        <v>2625</v>
      </c>
      <c r="E11" s="17">
        <v>2625</v>
      </c>
      <c r="F11" s="17">
        <v>2625</v>
      </c>
      <c r="G11" s="17">
        <v>2702</v>
      </c>
      <c r="H11" s="17">
        <v>2702</v>
      </c>
      <c r="I11" s="17">
        <v>2702</v>
      </c>
      <c r="J11" s="17">
        <v>3474</v>
      </c>
      <c r="K11" s="17">
        <v>3474</v>
      </c>
      <c r="L11" s="17">
        <v>3474</v>
      </c>
      <c r="M11" s="17">
        <v>3474</v>
      </c>
      <c r="N11" s="17">
        <v>3474</v>
      </c>
      <c r="O11" s="18">
        <f>SUM(C11:N11)</f>
        <v>35226</v>
      </c>
    </row>
    <row r="12" spans="1:15" ht="15" x14ac:dyDescent="0.2">
      <c r="A12" s="12"/>
      <c r="B12" s="13" t="s">
        <v>124</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x14ac:dyDescent="0.2">
      <c r="A14" s="12"/>
      <c r="B14" s="13" t="s">
        <v>123</v>
      </c>
      <c r="C14" s="17">
        <v>3780</v>
      </c>
      <c r="D14" s="17">
        <v>3852</v>
      </c>
      <c r="E14" s="17">
        <v>3852</v>
      </c>
      <c r="F14" s="17">
        <v>3852</v>
      </c>
      <c r="G14" s="17">
        <v>3852</v>
      </c>
      <c r="H14" s="17">
        <v>3852</v>
      </c>
      <c r="I14" s="17">
        <v>3852</v>
      </c>
      <c r="J14" s="17">
        <v>3924</v>
      </c>
      <c r="K14" s="17">
        <v>3924</v>
      </c>
      <c r="L14" s="17">
        <v>3924</v>
      </c>
      <c r="M14" s="17">
        <v>3924</v>
      </c>
      <c r="N14" s="17">
        <v>3924</v>
      </c>
      <c r="O14" s="18">
        <f t="shared" si="0"/>
        <v>46512</v>
      </c>
    </row>
    <row r="15" spans="1:15"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x14ac:dyDescent="0.2">
      <c r="A16" s="12"/>
      <c r="B16" s="13" t="s">
        <v>125</v>
      </c>
      <c r="C16" s="17">
        <v>0</v>
      </c>
      <c r="D16" s="17">
        <v>0</v>
      </c>
      <c r="E16" s="17">
        <v>0</v>
      </c>
      <c r="F16" s="17">
        <v>0</v>
      </c>
      <c r="G16" s="17">
        <v>5000</v>
      </c>
      <c r="H16" s="17">
        <v>0</v>
      </c>
      <c r="I16" s="17">
        <v>0</v>
      </c>
      <c r="J16" s="17">
        <v>0</v>
      </c>
      <c r="K16" s="17">
        <v>0</v>
      </c>
      <c r="L16" s="17">
        <v>0</v>
      </c>
      <c r="M16" s="17">
        <v>0</v>
      </c>
      <c r="N16" s="17">
        <v>0</v>
      </c>
      <c r="O16" s="18">
        <f t="shared" si="0"/>
        <v>5000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9000</v>
      </c>
      <c r="D19" s="17">
        <v>9000</v>
      </c>
      <c r="E19" s="17">
        <v>9000</v>
      </c>
      <c r="F19" s="17">
        <v>9000</v>
      </c>
      <c r="G19" s="17">
        <v>9264</v>
      </c>
      <c r="H19" s="17">
        <v>9264</v>
      </c>
      <c r="I19" s="17">
        <v>9264</v>
      </c>
      <c r="J19" s="17">
        <v>9264</v>
      </c>
      <c r="K19" s="17">
        <v>9264</v>
      </c>
      <c r="L19" s="17">
        <v>9264</v>
      </c>
      <c r="M19" s="17">
        <v>9264</v>
      </c>
      <c r="N19" s="17">
        <v>9264</v>
      </c>
      <c r="O19" s="18">
        <f t="shared" si="0"/>
        <v>110112</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78"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79"/>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5" ht="15" hidden="1" customHeight="1" x14ac:dyDescent="0.2">
      <c r="A23" s="879"/>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79"/>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79"/>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79"/>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79"/>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79"/>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79"/>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79"/>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79"/>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79"/>
      <c r="B32" s="21" t="s">
        <v>142</v>
      </c>
      <c r="C32" s="17">
        <v>0</v>
      </c>
      <c r="D32" s="17">
        <v>0</v>
      </c>
      <c r="E32" s="17">
        <v>0</v>
      </c>
      <c r="F32" s="17">
        <v>0</v>
      </c>
      <c r="G32" s="17">
        <v>0</v>
      </c>
      <c r="H32" s="17">
        <v>0</v>
      </c>
      <c r="I32" s="17">
        <v>0</v>
      </c>
      <c r="J32" s="17">
        <v>0</v>
      </c>
      <c r="K32" s="17">
        <v>0</v>
      </c>
      <c r="L32" s="17">
        <v>0</v>
      </c>
      <c r="M32" s="17">
        <v>0</v>
      </c>
      <c r="N32" s="17">
        <v>0</v>
      </c>
      <c r="O32" s="18">
        <f t="shared" si="0"/>
        <v>0</v>
      </c>
    </row>
    <row r="33" spans="1:16" ht="15" hidden="1" customHeight="1" x14ac:dyDescent="0.2">
      <c r="A33" s="880"/>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865" t="s">
        <v>252</v>
      </c>
      <c r="B34" s="866"/>
      <c r="C34" s="17">
        <v>0</v>
      </c>
      <c r="D34" s="17">
        <v>0</v>
      </c>
      <c r="E34" s="17">
        <v>13375</v>
      </c>
      <c r="F34" s="17">
        <v>0</v>
      </c>
      <c r="G34" s="17">
        <v>0</v>
      </c>
      <c r="H34" s="17">
        <v>0</v>
      </c>
      <c r="I34" s="17">
        <v>0</v>
      </c>
      <c r="J34" s="17">
        <v>0</v>
      </c>
      <c r="K34" s="17">
        <v>0</v>
      </c>
      <c r="L34" s="17">
        <v>0</v>
      </c>
      <c r="M34" s="17">
        <v>0</v>
      </c>
      <c r="N34" s="17">
        <v>0</v>
      </c>
      <c r="O34" s="18">
        <f t="shared" si="0"/>
        <v>13375</v>
      </c>
    </row>
    <row r="35" spans="1:16" ht="15" customHeight="1" x14ac:dyDescent="0.2">
      <c r="A35" s="865" t="s">
        <v>145</v>
      </c>
      <c r="B35" s="866"/>
      <c r="C35" s="17">
        <v>0</v>
      </c>
      <c r="D35" s="17">
        <v>216</v>
      </c>
      <c r="E35" s="17">
        <v>0</v>
      </c>
      <c r="F35" s="17">
        <v>0</v>
      </c>
      <c r="G35" s="17">
        <v>0</v>
      </c>
      <c r="H35" s="17">
        <v>0</v>
      </c>
      <c r="I35" s="17">
        <v>0</v>
      </c>
      <c r="J35" s="17">
        <v>216</v>
      </c>
      <c r="K35" s="17">
        <v>0</v>
      </c>
      <c r="L35" s="17">
        <v>0</v>
      </c>
      <c r="M35" s="17">
        <v>0</v>
      </c>
      <c r="N35" s="17">
        <v>0</v>
      </c>
      <c r="O35" s="18">
        <f t="shared" si="0"/>
        <v>432</v>
      </c>
    </row>
    <row r="36" spans="1:16" ht="15" customHeight="1" x14ac:dyDescent="0.2">
      <c r="A36" s="865" t="s">
        <v>146</v>
      </c>
      <c r="B36" s="866"/>
      <c r="C36" s="17">
        <v>0</v>
      </c>
      <c r="D36" s="17">
        <v>2250</v>
      </c>
      <c r="E36" s="17">
        <v>0</v>
      </c>
      <c r="F36" s="17">
        <v>0</v>
      </c>
      <c r="G36" s="17">
        <v>0</v>
      </c>
      <c r="H36" s="17">
        <v>0</v>
      </c>
      <c r="I36" s="17">
        <v>0</v>
      </c>
      <c r="J36" s="17">
        <v>2316</v>
      </c>
      <c r="K36" s="17">
        <v>0</v>
      </c>
      <c r="L36" s="17">
        <v>0</v>
      </c>
      <c r="M36" s="17">
        <v>0</v>
      </c>
      <c r="N36" s="17">
        <v>0</v>
      </c>
      <c r="O36" s="18">
        <f t="shared" si="0"/>
        <v>4566</v>
      </c>
    </row>
    <row r="37" spans="1:16" ht="15" customHeight="1" x14ac:dyDescent="0.2">
      <c r="A37" s="22"/>
      <c r="B37" s="23" t="s">
        <v>147</v>
      </c>
      <c r="C37" s="24">
        <f t="shared" ref="C37:N37" si="1">SUM(C9:C36)</f>
        <v>52155</v>
      </c>
      <c r="D37" s="24">
        <f t="shared" si="1"/>
        <v>55443</v>
      </c>
      <c r="E37" s="24">
        <f t="shared" si="1"/>
        <v>66352</v>
      </c>
      <c r="F37" s="24">
        <f t="shared" si="1"/>
        <v>52977</v>
      </c>
      <c r="G37" s="24">
        <f t="shared" si="1"/>
        <v>59418</v>
      </c>
      <c r="H37" s="24">
        <f t="shared" si="1"/>
        <v>54418</v>
      </c>
      <c r="I37" s="24">
        <f t="shared" si="1"/>
        <v>54418</v>
      </c>
      <c r="J37" s="24">
        <f t="shared" si="1"/>
        <v>64702</v>
      </c>
      <c r="K37" s="24">
        <f t="shared" si="1"/>
        <v>55262</v>
      </c>
      <c r="L37" s="24">
        <f t="shared" si="1"/>
        <v>55262</v>
      </c>
      <c r="M37" s="24">
        <f t="shared" si="1"/>
        <v>55262</v>
      </c>
      <c r="N37" s="24">
        <f t="shared" si="1"/>
        <v>55262</v>
      </c>
      <c r="O37" s="25">
        <f>SUM(C37:N37)</f>
        <v>680931</v>
      </c>
    </row>
    <row r="38" spans="1:16" ht="15" customHeight="1" x14ac:dyDescent="0.2">
      <c r="A38" s="853" t="s">
        <v>148</v>
      </c>
      <c r="B38" s="27" t="s">
        <v>149</v>
      </c>
      <c r="C38" s="147">
        <v>900</v>
      </c>
      <c r="D38" s="147">
        <v>0</v>
      </c>
      <c r="E38" s="147">
        <v>0</v>
      </c>
      <c r="F38" s="147">
        <v>0</v>
      </c>
      <c r="G38" s="147">
        <v>1000</v>
      </c>
      <c r="H38" s="147">
        <v>1000</v>
      </c>
      <c r="I38" s="147">
        <v>2000</v>
      </c>
      <c r="J38" s="147">
        <v>2000</v>
      </c>
      <c r="K38" s="147">
        <v>1350</v>
      </c>
      <c r="L38" s="147">
        <v>1333</v>
      </c>
      <c r="M38" s="147">
        <v>1333</v>
      </c>
      <c r="N38" s="147">
        <v>1333</v>
      </c>
      <c r="O38" s="18">
        <f>SUM(C38:N38)</f>
        <v>12249</v>
      </c>
      <c r="P38" s="29"/>
    </row>
    <row r="39" spans="1:16" ht="15" x14ac:dyDescent="0.2">
      <c r="A39" s="854"/>
      <c r="B39" s="27" t="s">
        <v>150</v>
      </c>
      <c r="C39" s="147">
        <v>0</v>
      </c>
      <c r="D39" s="147">
        <v>0</v>
      </c>
      <c r="E39" s="147">
        <v>0</v>
      </c>
      <c r="F39" s="147">
        <v>0</v>
      </c>
      <c r="G39" s="147">
        <v>0</v>
      </c>
      <c r="H39" s="147">
        <v>0</v>
      </c>
      <c r="I39" s="147">
        <v>0</v>
      </c>
      <c r="J39" s="147">
        <v>0</v>
      </c>
      <c r="K39" s="147">
        <v>0</v>
      </c>
      <c r="L39" s="147">
        <v>0</v>
      </c>
      <c r="M39" s="147">
        <v>0</v>
      </c>
      <c r="N39" s="147">
        <v>0</v>
      </c>
      <c r="O39" s="18">
        <f>SUM(C39:N39)</f>
        <v>0</v>
      </c>
    </row>
    <row r="40" spans="1:16" ht="15" x14ac:dyDescent="0.2">
      <c r="A40" s="854"/>
      <c r="B40" s="27" t="s">
        <v>151</v>
      </c>
      <c r="C40" s="147">
        <v>30</v>
      </c>
      <c r="D40" s="147">
        <v>30</v>
      </c>
      <c r="E40" s="147">
        <v>30</v>
      </c>
      <c r="F40" s="147">
        <v>30</v>
      </c>
      <c r="G40" s="147">
        <v>30</v>
      </c>
      <c r="H40" s="147">
        <v>30</v>
      </c>
      <c r="I40" s="147">
        <v>30</v>
      </c>
      <c r="J40" s="147">
        <v>30</v>
      </c>
      <c r="K40" s="147">
        <v>30</v>
      </c>
      <c r="L40" s="147">
        <v>30</v>
      </c>
      <c r="M40" s="147">
        <v>30</v>
      </c>
      <c r="N40" s="147">
        <v>30</v>
      </c>
      <c r="O40" s="18">
        <f t="shared" ref="O40:O50" si="2">SUM(C40:N40)</f>
        <v>360</v>
      </c>
    </row>
    <row r="41" spans="1:16" ht="15" x14ac:dyDescent="0.2">
      <c r="A41" s="854"/>
      <c r="B41" s="27" t="s">
        <v>152</v>
      </c>
      <c r="C41" s="147">
        <v>0</v>
      </c>
      <c r="D41" s="147">
        <v>0</v>
      </c>
      <c r="E41" s="147">
        <v>0</v>
      </c>
      <c r="F41" s="147">
        <v>0</v>
      </c>
      <c r="G41" s="147">
        <v>0</v>
      </c>
      <c r="H41" s="147">
        <v>0</v>
      </c>
      <c r="I41" s="147">
        <v>0</v>
      </c>
      <c r="J41" s="147">
        <v>0</v>
      </c>
      <c r="K41" s="147">
        <v>0</v>
      </c>
      <c r="L41" s="147">
        <v>0</v>
      </c>
      <c r="M41" s="147">
        <v>0</v>
      </c>
      <c r="N41" s="147">
        <v>0</v>
      </c>
      <c r="O41" s="18">
        <f t="shared" si="2"/>
        <v>0</v>
      </c>
    </row>
    <row r="42" spans="1:16" ht="15" x14ac:dyDescent="0.2">
      <c r="A42" s="854"/>
      <c r="B42" s="27" t="s">
        <v>153</v>
      </c>
      <c r="C42" s="147">
        <v>250</v>
      </c>
      <c r="D42" s="147">
        <v>250</v>
      </c>
      <c r="E42" s="147">
        <v>250</v>
      </c>
      <c r="F42" s="147">
        <v>250</v>
      </c>
      <c r="G42" s="147">
        <v>250</v>
      </c>
      <c r="H42" s="147">
        <v>250</v>
      </c>
      <c r="I42" s="147">
        <v>250</v>
      </c>
      <c r="J42" s="147">
        <v>250</v>
      </c>
      <c r="K42" s="147">
        <v>250</v>
      </c>
      <c r="L42" s="147">
        <v>250</v>
      </c>
      <c r="M42" s="147">
        <v>250</v>
      </c>
      <c r="N42" s="147">
        <v>250</v>
      </c>
      <c r="O42" s="18">
        <f t="shared" si="2"/>
        <v>3000</v>
      </c>
    </row>
    <row r="43" spans="1:16" ht="15" x14ac:dyDescent="0.2">
      <c r="A43" s="854"/>
      <c r="B43" s="27" t="s">
        <v>154</v>
      </c>
      <c r="C43" s="147">
        <v>13500</v>
      </c>
      <c r="D43" s="147">
        <v>13500</v>
      </c>
      <c r="E43" s="147">
        <v>13500</v>
      </c>
      <c r="F43" s="147">
        <v>13500</v>
      </c>
      <c r="G43" s="147">
        <v>13500</v>
      </c>
      <c r="H43" s="147">
        <v>13500</v>
      </c>
      <c r="I43" s="147">
        <v>13500</v>
      </c>
      <c r="J43" s="147">
        <v>13500</v>
      </c>
      <c r="K43" s="147">
        <v>13500</v>
      </c>
      <c r="L43" s="147">
        <v>13500</v>
      </c>
      <c r="M43" s="147">
        <v>13500</v>
      </c>
      <c r="N43" s="147">
        <v>13500</v>
      </c>
      <c r="O43" s="18">
        <f>SUM(C43:N43)</f>
        <v>162000</v>
      </c>
    </row>
    <row r="44" spans="1:16" ht="15" x14ac:dyDescent="0.2">
      <c r="A44" s="854"/>
      <c r="B44" s="27" t="s">
        <v>155</v>
      </c>
      <c r="C44" s="147">
        <v>200</v>
      </c>
      <c r="D44" s="147">
        <v>200</v>
      </c>
      <c r="E44" s="147">
        <v>200</v>
      </c>
      <c r="F44" s="147">
        <v>200</v>
      </c>
      <c r="G44" s="147">
        <v>200</v>
      </c>
      <c r="H44" s="147">
        <v>200</v>
      </c>
      <c r="I44" s="147">
        <v>200</v>
      </c>
      <c r="J44" s="147">
        <v>200</v>
      </c>
      <c r="K44" s="147">
        <v>200</v>
      </c>
      <c r="L44" s="147">
        <v>200</v>
      </c>
      <c r="M44" s="147">
        <v>200</v>
      </c>
      <c r="N44" s="147">
        <v>300</v>
      </c>
      <c r="O44" s="18">
        <f t="shared" si="2"/>
        <v>2500</v>
      </c>
    </row>
    <row r="45" spans="1:16" ht="15" x14ac:dyDescent="0.2">
      <c r="A45" s="854"/>
      <c r="B45" s="27" t="s">
        <v>156</v>
      </c>
      <c r="C45" s="147">
        <v>0</v>
      </c>
      <c r="D45" s="147">
        <v>0</v>
      </c>
      <c r="E45" s="147">
        <v>0</v>
      </c>
      <c r="F45" s="147">
        <v>0</v>
      </c>
      <c r="G45" s="147">
        <v>0</v>
      </c>
      <c r="H45" s="147">
        <v>0</v>
      </c>
      <c r="I45" s="147">
        <v>0</v>
      </c>
      <c r="J45" s="147">
        <v>0</v>
      </c>
      <c r="K45" s="147">
        <v>0</v>
      </c>
      <c r="L45" s="147">
        <v>0</v>
      </c>
      <c r="M45" s="147">
        <v>0</v>
      </c>
      <c r="N45" s="147">
        <v>0</v>
      </c>
      <c r="O45" s="18">
        <f t="shared" si="2"/>
        <v>0</v>
      </c>
    </row>
    <row r="46" spans="1:16" ht="15" x14ac:dyDescent="0.2">
      <c r="A46" s="854"/>
      <c r="B46" s="27" t="s">
        <v>157</v>
      </c>
      <c r="C46" s="147">
        <v>0</v>
      </c>
      <c r="D46" s="147">
        <v>0</v>
      </c>
      <c r="E46" s="147">
        <v>0</v>
      </c>
      <c r="F46" s="147">
        <v>0</v>
      </c>
      <c r="G46" s="147">
        <v>0</v>
      </c>
      <c r="H46" s="147">
        <v>0</v>
      </c>
      <c r="I46" s="147">
        <v>0</v>
      </c>
      <c r="J46" s="147">
        <v>0</v>
      </c>
      <c r="K46" s="147">
        <v>0</v>
      </c>
      <c r="L46" s="147">
        <v>0</v>
      </c>
      <c r="M46" s="147">
        <v>0</v>
      </c>
      <c r="N46" s="147">
        <v>0</v>
      </c>
      <c r="O46" s="18">
        <f t="shared" si="2"/>
        <v>0</v>
      </c>
    </row>
    <row r="47" spans="1:16" ht="28.5" customHeight="1" x14ac:dyDescent="0.2">
      <c r="A47" s="855"/>
      <c r="B47" s="30" t="s">
        <v>158</v>
      </c>
      <c r="C47" s="147">
        <v>285</v>
      </c>
      <c r="D47" s="147">
        <v>285</v>
      </c>
      <c r="E47" s="147">
        <v>285</v>
      </c>
      <c r="F47" s="147">
        <v>285</v>
      </c>
      <c r="G47" s="147">
        <v>285</v>
      </c>
      <c r="H47" s="147">
        <v>285</v>
      </c>
      <c r="I47" s="147">
        <v>285</v>
      </c>
      <c r="J47" s="147">
        <v>285</v>
      </c>
      <c r="K47" s="147">
        <v>285</v>
      </c>
      <c r="L47" s="147">
        <v>285</v>
      </c>
      <c r="M47" s="147">
        <v>285</v>
      </c>
      <c r="N47" s="147">
        <v>285</v>
      </c>
      <c r="O47" s="31">
        <f t="shared" si="2"/>
        <v>3420</v>
      </c>
    </row>
    <row r="48" spans="1:16" ht="28.5" customHeight="1" x14ac:dyDescent="0.2">
      <c r="A48" s="856"/>
      <c r="B48" s="127" t="s">
        <v>265</v>
      </c>
      <c r="C48" s="147">
        <v>0</v>
      </c>
      <c r="D48" s="147">
        <v>0</v>
      </c>
      <c r="E48" s="147">
        <v>0</v>
      </c>
      <c r="F48" s="147">
        <v>0</v>
      </c>
      <c r="G48" s="147">
        <v>0</v>
      </c>
      <c r="H48" s="147">
        <v>0</v>
      </c>
      <c r="I48" s="147">
        <v>0</v>
      </c>
      <c r="J48" s="147">
        <v>0</v>
      </c>
      <c r="K48" s="147">
        <v>0</v>
      </c>
      <c r="L48" s="147">
        <v>0</v>
      </c>
      <c r="M48" s="147">
        <v>0</v>
      </c>
      <c r="N48" s="147">
        <v>0</v>
      </c>
      <c r="O48" s="31">
        <f t="shared" si="2"/>
        <v>0</v>
      </c>
    </row>
    <row r="49" spans="1:18" ht="15" x14ac:dyDescent="0.2">
      <c r="A49" s="857" t="s">
        <v>160</v>
      </c>
      <c r="B49" s="858"/>
      <c r="C49" s="33">
        <f>SUM(C38:C48)</f>
        <v>15165</v>
      </c>
      <c r="D49" s="33">
        <f t="shared" ref="D49:N49" si="3">SUM(D38:D48)</f>
        <v>14265</v>
      </c>
      <c r="E49" s="33">
        <f t="shared" si="3"/>
        <v>14265</v>
      </c>
      <c r="F49" s="33">
        <f t="shared" si="3"/>
        <v>14265</v>
      </c>
      <c r="G49" s="33">
        <f t="shared" si="3"/>
        <v>15265</v>
      </c>
      <c r="H49" s="33">
        <f t="shared" si="3"/>
        <v>15265</v>
      </c>
      <c r="I49" s="33">
        <f t="shared" si="3"/>
        <v>16265</v>
      </c>
      <c r="J49" s="33">
        <f t="shared" si="3"/>
        <v>16265</v>
      </c>
      <c r="K49" s="33">
        <f t="shared" si="3"/>
        <v>15615</v>
      </c>
      <c r="L49" s="33">
        <f t="shared" si="3"/>
        <v>15598</v>
      </c>
      <c r="M49" s="33">
        <f t="shared" si="3"/>
        <v>15598</v>
      </c>
      <c r="N49" s="33">
        <f t="shared" si="3"/>
        <v>15698</v>
      </c>
      <c r="O49" s="34">
        <f>SUM(C49:N49)</f>
        <v>183529</v>
      </c>
    </row>
    <row r="50" spans="1:18" ht="15.75" thickBot="1" x14ac:dyDescent="0.25">
      <c r="A50" s="859" t="s">
        <v>161</v>
      </c>
      <c r="B50" s="860"/>
      <c r="C50" s="35">
        <f t="shared" ref="C50:N50" si="4">C37-C49</f>
        <v>36990</v>
      </c>
      <c r="D50" s="35">
        <f t="shared" si="4"/>
        <v>41178</v>
      </c>
      <c r="E50" s="35">
        <f t="shared" si="4"/>
        <v>52087</v>
      </c>
      <c r="F50" s="35">
        <f t="shared" si="4"/>
        <v>38712</v>
      </c>
      <c r="G50" s="35">
        <f t="shared" si="4"/>
        <v>44153</v>
      </c>
      <c r="H50" s="35">
        <f t="shared" si="4"/>
        <v>39153</v>
      </c>
      <c r="I50" s="35">
        <f t="shared" si="4"/>
        <v>38153</v>
      </c>
      <c r="J50" s="35">
        <f t="shared" si="4"/>
        <v>48437</v>
      </c>
      <c r="K50" s="35">
        <f t="shared" si="4"/>
        <v>39647</v>
      </c>
      <c r="L50" s="35">
        <f t="shared" si="4"/>
        <v>39664</v>
      </c>
      <c r="M50" s="35">
        <f t="shared" si="4"/>
        <v>39664</v>
      </c>
      <c r="N50" s="35">
        <f t="shared" si="4"/>
        <v>39564</v>
      </c>
      <c r="O50" s="36">
        <f t="shared" si="2"/>
        <v>497402</v>
      </c>
      <c r="Q50" s="16">
        <f>18607+18307+4188+19354*2+20389*3+4032+3454+21733+21358+21108*2+20999</f>
        <v>254769</v>
      </c>
    </row>
    <row r="51" spans="1:18" x14ac:dyDescent="0.2">
      <c r="J51" s="128">
        <f>+J37-SUM(J22:J36)</f>
        <v>55262</v>
      </c>
    </row>
    <row r="52" spans="1:18" ht="13.5" thickBot="1" x14ac:dyDescent="0.25">
      <c r="J52" s="38">
        <f>+J51-J49</f>
        <v>38997</v>
      </c>
    </row>
    <row r="53" spans="1:18" ht="13.5" thickBot="1" x14ac:dyDescent="0.25">
      <c r="B53" s="789" t="s">
        <v>162</v>
      </c>
      <c r="C53" s="861"/>
      <c r="D53" s="861"/>
      <c r="E53" s="861"/>
      <c r="F53" s="862"/>
      <c r="G53" s="863">
        <f>O37</f>
        <v>680931</v>
      </c>
      <c r="H53" s="864"/>
    </row>
    <row r="54" spans="1:18" ht="13.5" thickBot="1" x14ac:dyDescent="0.25"/>
    <row r="55" spans="1:18" x14ac:dyDescent="0.2">
      <c r="B55" s="830" t="s">
        <v>163</v>
      </c>
      <c r="C55" s="833" t="s">
        <v>164</v>
      </c>
      <c r="D55" s="836" t="s">
        <v>229</v>
      </c>
      <c r="E55" s="837"/>
      <c r="F55" s="838"/>
      <c r="G55" s="839">
        <v>40000</v>
      </c>
      <c r="H55" s="840"/>
    </row>
    <row r="56" spans="1:18" x14ac:dyDescent="0.2">
      <c r="B56" s="831"/>
      <c r="C56" s="834"/>
      <c r="D56" s="841" t="s">
        <v>166</v>
      </c>
      <c r="E56" s="842"/>
      <c r="F56" s="843"/>
      <c r="G56" s="844">
        <f>+O44</f>
        <v>2500</v>
      </c>
      <c r="H56" s="845"/>
      <c r="I56" s="39"/>
      <c r="J56" s="846"/>
      <c r="K56" s="846"/>
      <c r="L56" s="846"/>
      <c r="M56" s="847"/>
      <c r="N56" s="847"/>
      <c r="O56" s="847"/>
    </row>
    <row r="57" spans="1:18" ht="13.5" thickBot="1" x14ac:dyDescent="0.25">
      <c r="B57" s="832"/>
      <c r="C57" s="835"/>
      <c r="D57" s="848" t="s">
        <v>266</v>
      </c>
      <c r="E57" s="849"/>
      <c r="F57" s="850"/>
      <c r="G57" s="851">
        <v>0</v>
      </c>
      <c r="H57" s="852"/>
      <c r="J57" s="47"/>
      <c r="K57" s="47"/>
      <c r="L57" s="47"/>
      <c r="M57" s="47"/>
      <c r="N57" s="47"/>
      <c r="O57" s="47"/>
    </row>
    <row r="58" spans="1:18" ht="13.5" thickBot="1" x14ac:dyDescent="0.25">
      <c r="B58" s="48"/>
      <c r="J58" s="47"/>
      <c r="K58" s="47"/>
      <c r="L58" s="47"/>
      <c r="M58" s="47"/>
      <c r="N58" s="47"/>
      <c r="O58" s="47"/>
    </row>
    <row r="59" spans="1:18" ht="13.5" thickBot="1" x14ac:dyDescent="0.25">
      <c r="B59" s="789" t="s">
        <v>168</v>
      </c>
      <c r="C59" s="790"/>
      <c r="D59" s="790"/>
      <c r="E59" s="790"/>
      <c r="F59" s="791"/>
      <c r="G59" s="825">
        <f>+G53-SUM(G55:H57)</f>
        <v>638431</v>
      </c>
      <c r="H59" s="826"/>
      <c r="J59" s="827" t="s">
        <v>169</v>
      </c>
      <c r="K59" s="828"/>
      <c r="L59" s="828"/>
      <c r="M59" s="828"/>
      <c r="N59" s="828"/>
      <c r="O59" s="829"/>
    </row>
    <row r="60" spans="1:18" ht="13.5" thickBot="1" x14ac:dyDescent="0.25">
      <c r="B60" s="49"/>
      <c r="C60" s="50"/>
      <c r="D60" s="50"/>
      <c r="E60" s="50"/>
      <c r="F60" s="50"/>
      <c r="G60" s="45"/>
      <c r="H60" s="50"/>
      <c r="J60" s="129"/>
      <c r="K60" s="130"/>
      <c r="L60" s="130"/>
      <c r="M60" s="130"/>
      <c r="N60" s="130"/>
      <c r="O60" s="131"/>
    </row>
    <row r="61" spans="1:18" ht="13.5" thickBot="1" x14ac:dyDescent="0.25">
      <c r="B61" s="789" t="s">
        <v>170</v>
      </c>
      <c r="C61" s="790"/>
      <c r="D61" s="790"/>
      <c r="E61" s="790"/>
      <c r="F61" s="791"/>
      <c r="G61" s="805"/>
      <c r="H61" s="791"/>
      <c r="J61" s="129"/>
      <c r="K61" s="130"/>
      <c r="L61" s="130"/>
      <c r="M61" s="130"/>
      <c r="N61" s="130"/>
      <c r="O61" s="131"/>
    </row>
    <row r="62" spans="1:18" ht="12.75" customHeight="1" x14ac:dyDescent="0.2">
      <c r="B62" s="57" t="s">
        <v>171</v>
      </c>
      <c r="C62" s="806" t="s">
        <v>172</v>
      </c>
      <c r="D62" s="807"/>
      <c r="E62" s="807"/>
      <c r="F62" s="808"/>
      <c r="G62" s="809">
        <v>0</v>
      </c>
      <c r="H62" s="809"/>
      <c r="I62" s="58"/>
      <c r="J62" s="810" t="s">
        <v>173</v>
      </c>
      <c r="K62" s="811"/>
      <c r="L62" s="811"/>
      <c r="M62" s="811"/>
      <c r="N62" s="811"/>
      <c r="O62" s="812"/>
      <c r="Q62" s="59"/>
      <c r="R62" s="59"/>
    </row>
    <row r="63" spans="1:18" ht="13.5" thickBot="1" x14ac:dyDescent="0.25">
      <c r="D63" s="37"/>
      <c r="I63" s="58"/>
      <c r="J63" s="60" t="s">
        <v>254</v>
      </c>
      <c r="K63" s="132"/>
      <c r="L63" s="132"/>
      <c r="M63" s="133"/>
      <c r="N63" s="133"/>
      <c r="O63" s="134"/>
      <c r="Q63" s="59"/>
      <c r="R63" s="59"/>
    </row>
    <row r="64" spans="1:18" ht="13.5" thickBot="1" x14ac:dyDescent="0.25">
      <c r="B64" s="789" t="s">
        <v>175</v>
      </c>
      <c r="C64" s="790"/>
      <c r="D64" s="790"/>
      <c r="E64" s="790"/>
      <c r="F64" s="791"/>
      <c r="G64" s="805">
        <f>+G59-G62</f>
        <v>638431</v>
      </c>
      <c r="H64" s="791"/>
      <c r="I64" s="63"/>
      <c r="J64" s="64"/>
      <c r="K64" s="39"/>
      <c r="L64" s="39"/>
      <c r="M64" s="39"/>
      <c r="N64" s="39"/>
      <c r="O64" s="65"/>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6.25" customHeight="1" thickBot="1" x14ac:dyDescent="0.25">
      <c r="B67" s="66"/>
      <c r="C67" s="48"/>
      <c r="G67" s="70" t="s">
        <v>177</v>
      </c>
      <c r="H67" s="70" t="s">
        <v>178</v>
      </c>
      <c r="I67" s="63"/>
      <c r="J67" s="810" t="s">
        <v>179</v>
      </c>
      <c r="K67" s="811"/>
      <c r="L67" s="71"/>
      <c r="M67" s="71"/>
      <c r="N67" s="71"/>
      <c r="O67" s="158" t="s">
        <v>267</v>
      </c>
      <c r="Q67" s="59"/>
      <c r="R67" s="59"/>
    </row>
    <row r="68" spans="2:18" ht="12.75" customHeight="1" x14ac:dyDescent="0.2">
      <c r="B68" s="802" t="s">
        <v>180</v>
      </c>
      <c r="C68" s="821" t="s">
        <v>181</v>
      </c>
      <c r="D68" s="823" t="s">
        <v>182</v>
      </c>
      <c r="E68" s="824"/>
      <c r="F68" s="824"/>
      <c r="G68" s="73">
        <f>+O43</f>
        <v>162000</v>
      </c>
      <c r="H68" s="74">
        <f t="shared" ref="H68:H76" si="5">+G68</f>
        <v>162000</v>
      </c>
      <c r="I68" s="63"/>
      <c r="J68" s="75" t="s">
        <v>231</v>
      </c>
      <c r="K68" s="58"/>
      <c r="L68" s="58"/>
      <c r="M68" s="58" t="s">
        <v>232</v>
      </c>
      <c r="N68" s="58" t="s">
        <v>233</v>
      </c>
      <c r="O68" s="76">
        <v>3420</v>
      </c>
      <c r="Q68" s="59"/>
      <c r="R68" s="59"/>
    </row>
    <row r="69" spans="2:18" ht="12.75" customHeight="1" x14ac:dyDescent="0.2">
      <c r="B69" s="803"/>
      <c r="C69" s="822"/>
      <c r="D69" s="782" t="s">
        <v>184</v>
      </c>
      <c r="E69" s="783"/>
      <c r="F69" s="783"/>
      <c r="G69" s="77">
        <f>+O47</f>
        <v>3420</v>
      </c>
      <c r="H69" s="78">
        <f t="shared" si="5"/>
        <v>3420</v>
      </c>
      <c r="I69" s="63"/>
      <c r="J69" s="79" t="s">
        <v>268</v>
      </c>
      <c r="K69" s="68"/>
      <c r="L69" s="68"/>
      <c r="M69" s="135" t="s">
        <v>269</v>
      </c>
      <c r="N69" s="135" t="s">
        <v>233</v>
      </c>
      <c r="O69" s="136">
        <v>19080</v>
      </c>
      <c r="Q69" s="59"/>
      <c r="R69" s="59"/>
    </row>
    <row r="70" spans="2:18" ht="12.75" customHeight="1" x14ac:dyDescent="0.2">
      <c r="B70" s="803"/>
      <c r="C70" s="822"/>
      <c r="D70" s="819" t="s">
        <v>185</v>
      </c>
      <c r="E70" s="820"/>
      <c r="F70" s="820"/>
      <c r="G70" s="80">
        <f>O40</f>
        <v>360</v>
      </c>
      <c r="H70" s="78">
        <f t="shared" si="5"/>
        <v>360</v>
      </c>
      <c r="I70" s="63"/>
      <c r="K70" s="68"/>
      <c r="L70" s="68"/>
      <c r="M70" s="68"/>
      <c r="N70" s="68"/>
      <c r="O70" s="69"/>
    </row>
    <row r="71" spans="2:18" x14ac:dyDescent="0.2">
      <c r="B71" s="803"/>
      <c r="C71" s="822"/>
      <c r="D71" s="784" t="s">
        <v>270</v>
      </c>
      <c r="E71" s="783"/>
      <c r="F71" s="783"/>
      <c r="G71" s="81">
        <v>19080</v>
      </c>
      <c r="H71" s="78">
        <f t="shared" si="5"/>
        <v>19080</v>
      </c>
      <c r="I71" s="63"/>
      <c r="J71" s="82" t="s">
        <v>187</v>
      </c>
      <c r="K71" s="71"/>
      <c r="L71" s="71"/>
      <c r="M71" s="71"/>
      <c r="N71" s="71"/>
      <c r="O71" s="72"/>
    </row>
    <row r="72" spans="2:18" ht="12.75" customHeight="1" x14ac:dyDescent="0.2">
      <c r="B72" s="803"/>
      <c r="C72" s="822"/>
      <c r="D72" s="784" t="s">
        <v>188</v>
      </c>
      <c r="E72" s="783"/>
      <c r="F72" s="783"/>
      <c r="G72" s="80">
        <v>0</v>
      </c>
      <c r="H72" s="78">
        <f t="shared" si="5"/>
        <v>0</v>
      </c>
      <c r="I72" s="63"/>
      <c r="J72" s="75" t="s">
        <v>189</v>
      </c>
      <c r="K72" s="50"/>
      <c r="L72" s="50"/>
      <c r="M72" s="50"/>
      <c r="N72" s="50"/>
      <c r="O72" s="83">
        <f>O42</f>
        <v>3000</v>
      </c>
    </row>
    <row r="73" spans="2:18" ht="14.25" customHeight="1" x14ac:dyDescent="0.2">
      <c r="B73" s="803"/>
      <c r="C73" s="822"/>
      <c r="D73" s="782" t="s">
        <v>190</v>
      </c>
      <c r="E73" s="783"/>
      <c r="F73" s="783"/>
      <c r="G73" s="84">
        <v>0</v>
      </c>
      <c r="H73" s="78">
        <f t="shared" si="5"/>
        <v>0</v>
      </c>
      <c r="I73" s="63"/>
      <c r="J73" s="64"/>
      <c r="K73" s="39"/>
      <c r="L73" s="39"/>
      <c r="M73" s="39"/>
      <c r="N73" s="39"/>
      <c r="O73" s="65"/>
    </row>
    <row r="74" spans="2:18" x14ac:dyDescent="0.2">
      <c r="B74" s="803"/>
      <c r="C74" s="822"/>
      <c r="D74" s="782" t="s">
        <v>191</v>
      </c>
      <c r="E74" s="783"/>
      <c r="F74" s="783"/>
      <c r="G74" s="81">
        <v>0</v>
      </c>
      <c r="H74" s="78">
        <f t="shared" si="5"/>
        <v>0</v>
      </c>
      <c r="I74" s="58"/>
      <c r="J74" s="150"/>
      <c r="K74" s="50"/>
      <c r="L74" s="50"/>
      <c r="M74" s="50"/>
      <c r="N74" s="50"/>
      <c r="O74" s="83"/>
    </row>
    <row r="75" spans="2:18" x14ac:dyDescent="0.2">
      <c r="B75" s="803"/>
      <c r="C75" s="88" t="s">
        <v>192</v>
      </c>
      <c r="D75" s="813" t="s">
        <v>193</v>
      </c>
      <c r="E75" s="814"/>
      <c r="F75" s="814"/>
      <c r="G75" s="80">
        <v>0</v>
      </c>
      <c r="H75" s="78">
        <f t="shared" si="5"/>
        <v>0</v>
      </c>
      <c r="I75" s="58"/>
      <c r="J75" s="79"/>
      <c r="K75" s="39"/>
      <c r="L75" s="39"/>
      <c r="M75" s="39"/>
      <c r="N75" s="39"/>
      <c r="O75" s="65"/>
    </row>
    <row r="76" spans="2:18" ht="13.5" customHeight="1" thickBot="1" x14ac:dyDescent="0.25">
      <c r="B76" s="803"/>
      <c r="C76" s="88" t="s">
        <v>194</v>
      </c>
      <c r="D76" s="815" t="s">
        <v>195</v>
      </c>
      <c r="E76" s="815"/>
      <c r="F76" s="815"/>
      <c r="G76" s="89">
        <v>0</v>
      </c>
      <c r="H76" s="90">
        <f t="shared" si="5"/>
        <v>0</v>
      </c>
      <c r="I76" s="63"/>
      <c r="J76" s="67"/>
      <c r="K76" s="68"/>
      <c r="L76" s="68"/>
      <c r="M76" s="91"/>
      <c r="N76" s="91"/>
      <c r="O76" s="92"/>
    </row>
    <row r="77" spans="2:18" ht="13.5" thickBot="1" x14ac:dyDescent="0.25">
      <c r="B77" s="803"/>
      <c r="C77" s="93"/>
      <c r="D77" s="94"/>
      <c r="E77" s="816" t="s">
        <v>117</v>
      </c>
      <c r="F77" s="817"/>
      <c r="G77" s="95">
        <f>SUM(G68:G76)</f>
        <v>184860</v>
      </c>
      <c r="H77" s="96">
        <f>IF(SUM(G68:G74)&lt;150000,SUM(G68:G74),150000)+IF(+G75&lt;20000,+G75,20000)</f>
        <v>150000</v>
      </c>
      <c r="I77" s="63"/>
      <c r="J77" s="140"/>
      <c r="K77" s="141"/>
      <c r="L77" s="141"/>
      <c r="M77" s="142"/>
      <c r="N77" s="142"/>
      <c r="O77" s="143"/>
    </row>
    <row r="78" spans="2:18" ht="12.75" customHeight="1" x14ac:dyDescent="0.2">
      <c r="B78" s="803"/>
      <c r="C78" s="100" t="s">
        <v>196</v>
      </c>
      <c r="D78" s="782" t="s">
        <v>187</v>
      </c>
      <c r="E78" s="783"/>
      <c r="F78" s="818"/>
      <c r="G78" s="73">
        <f>+O42</f>
        <v>3000</v>
      </c>
      <c r="H78" s="101">
        <f>+IF(+G78&lt;25000,+G78,25000)</f>
        <v>3000</v>
      </c>
      <c r="I78" s="87"/>
    </row>
    <row r="79" spans="2:18" x14ac:dyDescent="0.2">
      <c r="B79" s="803"/>
      <c r="C79" s="100" t="s">
        <v>197</v>
      </c>
      <c r="D79" s="784" t="s">
        <v>198</v>
      </c>
      <c r="E79" s="785"/>
      <c r="F79" s="786"/>
      <c r="G79" s="102"/>
      <c r="H79" s="103">
        <f>+IF(+G79&lt;40000,+G79,40000)</f>
        <v>0</v>
      </c>
      <c r="I79" s="63"/>
    </row>
    <row r="80" spans="2:18" x14ac:dyDescent="0.2">
      <c r="B80" s="803"/>
      <c r="C80" s="100" t="s">
        <v>199</v>
      </c>
      <c r="D80" s="784" t="s">
        <v>200</v>
      </c>
      <c r="E80" s="785"/>
      <c r="F80" s="786"/>
      <c r="G80" s="81"/>
      <c r="H80" s="104">
        <v>0</v>
      </c>
      <c r="I80" s="63"/>
      <c r="J80" s="106"/>
    </row>
    <row r="81" spans="2:12" x14ac:dyDescent="0.2">
      <c r="B81" s="803"/>
      <c r="C81" s="100" t="s">
        <v>201</v>
      </c>
      <c r="D81" s="784" t="s">
        <v>202</v>
      </c>
      <c r="E81" s="785"/>
      <c r="F81" s="786"/>
      <c r="G81" s="81"/>
      <c r="H81" s="104">
        <v>0</v>
      </c>
      <c r="I81" s="63"/>
    </row>
    <row r="82" spans="2:12" ht="13.5" thickBot="1" x14ac:dyDescent="0.25">
      <c r="B82" s="804"/>
      <c r="C82" s="100" t="s">
        <v>203</v>
      </c>
      <c r="D82" s="784" t="s">
        <v>204</v>
      </c>
      <c r="E82" s="785"/>
      <c r="F82" s="786"/>
      <c r="G82" s="102"/>
      <c r="H82" s="103">
        <f>+IF(+G82&lt;100000,+G82,10000)</f>
        <v>0</v>
      </c>
      <c r="I82" s="63"/>
    </row>
    <row r="83" spans="2:12" ht="13.5" thickBot="1" x14ac:dyDescent="0.25">
      <c r="B83" s="787" t="s">
        <v>205</v>
      </c>
      <c r="C83" s="788"/>
      <c r="D83" s="788"/>
      <c r="E83" s="788"/>
      <c r="F83" s="788"/>
      <c r="G83" s="107">
        <f>SUM(G78:G82)</f>
        <v>3000</v>
      </c>
      <c r="H83" s="108">
        <f>SUM(H77:H82)</f>
        <v>153000</v>
      </c>
    </row>
    <row r="84" spans="2:12" ht="13.5" thickBot="1" x14ac:dyDescent="0.25"/>
    <row r="85" spans="2:12" ht="13.5" thickBot="1" x14ac:dyDescent="0.25">
      <c r="B85" s="789" t="s">
        <v>206</v>
      </c>
      <c r="C85" s="790"/>
      <c r="D85" s="790"/>
      <c r="E85" s="790"/>
      <c r="F85" s="791"/>
      <c r="G85" s="792">
        <f>+G64-H83</f>
        <v>485431</v>
      </c>
      <c r="H85" s="791"/>
      <c r="J85" s="109">
        <f>C37+D37+E37+F37</f>
        <v>226927</v>
      </c>
      <c r="K85" s="16" t="s">
        <v>235</v>
      </c>
    </row>
    <row r="86" spans="2:12" x14ac:dyDescent="0.2">
      <c r="B86" s="110"/>
      <c r="F86" s="105"/>
      <c r="J86" s="109">
        <f>G37+H37+I37</f>
        <v>168254</v>
      </c>
      <c r="K86" s="16" t="s">
        <v>236</v>
      </c>
    </row>
    <row r="87" spans="2:12" x14ac:dyDescent="0.2">
      <c r="C87" s="793" t="s">
        <v>207</v>
      </c>
      <c r="D87" s="794"/>
      <c r="E87" s="111" t="s">
        <v>208</v>
      </c>
      <c r="F87" s="111" t="s">
        <v>209</v>
      </c>
      <c r="G87" s="111" t="s">
        <v>210</v>
      </c>
      <c r="H87" s="111" t="s">
        <v>211</v>
      </c>
      <c r="J87" s="109">
        <f>J37+K37+L37</f>
        <v>175226</v>
      </c>
      <c r="K87" s="47" t="s">
        <v>237</v>
      </c>
    </row>
    <row r="88" spans="2:12" x14ac:dyDescent="0.2">
      <c r="C88" s="795" t="str">
        <f>IF(I6="M","0          - 250000","0          -  250000")</f>
        <v>0          - 250000</v>
      </c>
      <c r="D88" s="796"/>
      <c r="E88" s="112">
        <v>0</v>
      </c>
      <c r="F88" s="113">
        <f>IF(I6="M",(IF(G85&lt;250000,G85,250000)),(IF(G85&lt;250000,G85,250000)))</f>
        <v>250000</v>
      </c>
      <c r="G88" s="113">
        <f>G85-F88</f>
        <v>235431</v>
      </c>
      <c r="H88" s="113">
        <f>E88*F88</f>
        <v>0</v>
      </c>
      <c r="J88" s="16">
        <f>M37+N37</f>
        <v>110524</v>
      </c>
      <c r="K88" s="1" t="s">
        <v>238</v>
      </c>
    </row>
    <row r="89" spans="2:12" x14ac:dyDescent="0.2">
      <c r="C89" s="795" t="str">
        <f>IF(I6="M","250001 - 500000","250001-500000")</f>
        <v>250001 - 500000</v>
      </c>
      <c r="D89" s="796"/>
      <c r="E89" s="112">
        <v>0.05</v>
      </c>
      <c r="F89" s="113">
        <f>IF(I6="M",(IF(G88&lt;250000,G88,250000)),(IF(G88&lt;250000,G88,250000)))</f>
        <v>235431</v>
      </c>
      <c r="G89" s="113">
        <f>G88-F89</f>
        <v>0</v>
      </c>
      <c r="H89" s="114">
        <f>ROUND(E89*F89,0.1)</f>
        <v>11772</v>
      </c>
      <c r="J89" s="115">
        <f>SUM(J85:J88)</f>
        <v>680931</v>
      </c>
    </row>
    <row r="90" spans="2:12" x14ac:dyDescent="0.2">
      <c r="C90" s="797" t="s">
        <v>212</v>
      </c>
      <c r="D90" s="798"/>
      <c r="E90" s="112">
        <v>0.2</v>
      </c>
      <c r="F90" s="113">
        <f>IF(G89&lt;500000,G89,500000)</f>
        <v>0</v>
      </c>
      <c r="G90" s="113">
        <f>G89-F90</f>
        <v>0</v>
      </c>
      <c r="H90" s="114">
        <f>ROUND(E90*F90,0.1)</f>
        <v>0</v>
      </c>
      <c r="J90" s="16">
        <f>+G85</f>
        <v>485431</v>
      </c>
    </row>
    <row r="91" spans="2:12" x14ac:dyDescent="0.2">
      <c r="C91" s="795" t="s">
        <v>213</v>
      </c>
      <c r="D91" s="796"/>
      <c r="E91" s="112">
        <v>0.3</v>
      </c>
      <c r="F91" s="113">
        <f>G90</f>
        <v>0</v>
      </c>
      <c r="G91" s="113">
        <f>G90-F91</f>
        <v>0</v>
      </c>
      <c r="H91" s="114">
        <f>ROUND(E91*F91,0.1)</f>
        <v>0</v>
      </c>
      <c r="J91" s="16">
        <f>+J89-J90</f>
        <v>195500</v>
      </c>
    </row>
    <row r="92" spans="2:12" ht="12.75" customHeight="1" thickBot="1" x14ac:dyDescent="0.25">
      <c r="B92" s="116"/>
      <c r="C92" s="117"/>
      <c r="D92" s="47"/>
      <c r="E92" s="47"/>
      <c r="F92" s="47"/>
      <c r="J92" s="87">
        <f>+J91/3</f>
        <v>65166.666666666664</v>
      </c>
      <c r="K92" s="118"/>
    </row>
    <row r="93" spans="2:12" ht="13.5" thickBot="1" x14ac:dyDescent="0.25">
      <c r="B93" s="799" t="s">
        <v>239</v>
      </c>
      <c r="C93" s="800"/>
      <c r="D93" s="800"/>
      <c r="E93" s="800"/>
      <c r="F93" s="801"/>
      <c r="G93" s="771">
        <f>H88+H89+H90+H91</f>
        <v>11772</v>
      </c>
      <c r="H93" s="772"/>
      <c r="J93" s="87"/>
      <c r="K93" s="87"/>
      <c r="L93" s="87"/>
    </row>
    <row r="94" spans="2:12" ht="13.5" thickBot="1" x14ac:dyDescent="0.25">
      <c r="B94" s="119" t="s">
        <v>215</v>
      </c>
      <c r="C94" s="120"/>
      <c r="D94" s="120"/>
      <c r="E94" s="120"/>
      <c r="F94" s="120"/>
      <c r="G94" s="895">
        <f>IF((G64&lt;500000),5000,0)</f>
        <v>0</v>
      </c>
      <c r="H94" s="896">
        <f>IF(H92&lt;200000,0,IF(H92&lt;220000,((H92-200000)*10%),IF(H92&lt;=500000,2000,IF(H92&gt;=500000,0))))</f>
        <v>0</v>
      </c>
      <c r="J94" s="157"/>
      <c r="K94" s="159"/>
      <c r="L94" s="159"/>
    </row>
    <row r="95" spans="2:12" ht="13.5" thickBot="1" x14ac:dyDescent="0.25">
      <c r="B95" s="122" t="s">
        <v>216</v>
      </c>
      <c r="C95" s="123"/>
      <c r="D95" s="123"/>
      <c r="E95" s="123"/>
      <c r="F95" s="123"/>
      <c r="G95" s="771">
        <f>IF((G93-G94)&lt;0,0,(G93-G94))</f>
        <v>11772</v>
      </c>
      <c r="H95" s="772"/>
      <c r="I95" s="37"/>
    </row>
    <row r="96" spans="2:12" ht="13.5" thickBot="1" x14ac:dyDescent="0.25">
      <c r="B96" s="773" t="s">
        <v>240</v>
      </c>
      <c r="C96" s="774"/>
      <c r="D96" s="774"/>
      <c r="E96" s="774"/>
      <c r="F96" s="775"/>
      <c r="G96" s="776">
        <f>ROUND((IF(G95&gt;0,(G95*4%),0)),0)</f>
        <v>471</v>
      </c>
      <c r="H96" s="777"/>
      <c r="I96" s="37"/>
    </row>
    <row r="97" spans="2:9" ht="13.5" thickBot="1" x14ac:dyDescent="0.25">
      <c r="B97" s="778" t="s">
        <v>218</v>
      </c>
      <c r="C97" s="779"/>
      <c r="D97" s="779"/>
      <c r="E97" s="779"/>
      <c r="F97" s="779"/>
      <c r="G97" s="780">
        <f>G95+G96</f>
        <v>12243</v>
      </c>
      <c r="H97" s="781"/>
      <c r="I97" s="121"/>
    </row>
    <row r="98" spans="2:9" ht="13.5" thickBot="1" x14ac:dyDescent="0.25">
      <c r="B98" s="765" t="s">
        <v>219</v>
      </c>
      <c r="C98" s="766"/>
      <c r="D98" s="766"/>
      <c r="E98" s="766"/>
      <c r="F98" s="766"/>
      <c r="G98" s="767">
        <f>O38</f>
        <v>12249</v>
      </c>
      <c r="H98" s="768"/>
      <c r="I98" s="121"/>
    </row>
    <row r="99" spans="2:9" ht="13.5" thickBot="1" x14ac:dyDescent="0.25">
      <c r="B99" s="765" t="str">
        <f>IF(G99&gt;0,"TAX PAYABLE","TAX REFUND")</f>
        <v>TAX REFUND</v>
      </c>
      <c r="C99" s="766"/>
      <c r="D99" s="766"/>
      <c r="E99" s="766"/>
      <c r="F99" s="766"/>
      <c r="G99" s="767">
        <f>+G97-G98</f>
        <v>-6</v>
      </c>
      <c r="H99" s="768"/>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0:F90 B99:F99 B93:F97">
    <cfRule type="cellIs" dxfId="1967" priority="3" stopIfTrue="1" operator="equal">
      <formula>"TAX PAYABLE"</formula>
    </cfRule>
    <cfRule type="cellIs" dxfId="1966" priority="4" stopIfTrue="1" operator="equal">
      <formula>"TAX REFUND"</formula>
    </cfRule>
  </conditionalFormatting>
  <conditionalFormatting sqref="G90:H90">
    <cfRule type="cellIs" dxfId="1965" priority="5" stopIfTrue="1" operator="lessThan">
      <formula>0</formula>
    </cfRule>
    <cfRule type="cellIs" dxfId="1964" priority="6" stopIfTrue="1" operator="greaterThan">
      <formula>0</formula>
    </cfRule>
  </conditionalFormatting>
  <conditionalFormatting sqref="G99:H99">
    <cfRule type="cellIs" dxfId="1963" priority="1" stopIfTrue="1" operator="greaterThan">
      <formula>0</formula>
    </cfRule>
    <cfRule type="cellIs" dxfId="1962"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109"/>
  <sheetViews>
    <sheetView topLeftCell="A65" workbookViewId="0">
      <selection activeCell="Q32" sqref="Q32"/>
    </sheetView>
  </sheetViews>
  <sheetFormatPr defaultRowHeight="12.75" x14ac:dyDescent="0.2"/>
  <cols>
    <col min="1" max="1" width="5" style="16" customWidth="1"/>
    <col min="2" max="2" width="21.85546875" style="37" customWidth="1"/>
    <col min="3" max="3" width="8.5703125" style="16" customWidth="1"/>
    <col min="4" max="4" width="6.7109375" style="16" bestFit="1" customWidth="1"/>
    <col min="5" max="5" width="8.5703125" style="16" bestFit="1" customWidth="1"/>
    <col min="6" max="6" width="9.28515625" style="16" bestFit="1" customWidth="1"/>
    <col min="7" max="8" width="9.5703125" style="16" customWidth="1"/>
    <col min="9" max="9" width="7.140625" style="16" bestFit="1" customWidth="1"/>
    <col min="10" max="10" width="7.28515625" style="16" customWidth="1"/>
    <col min="11" max="12" width="7" style="16" bestFit="1" customWidth="1"/>
    <col min="13" max="13" width="6.85546875" style="16" bestFit="1" customWidth="1"/>
    <col min="14" max="14" width="7" style="16" bestFit="1" customWidth="1"/>
    <col min="15" max="15" width="8.4257812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21.85546875" style="16" customWidth="1"/>
    <col min="259" max="259" width="8.5703125" style="16" customWidth="1"/>
    <col min="260" max="260" width="6.7109375" style="16" bestFit="1" customWidth="1"/>
    <col min="261" max="261" width="8.5703125" style="16" bestFit="1" customWidth="1"/>
    <col min="262" max="262" width="9.28515625" style="16" bestFit="1" customWidth="1"/>
    <col min="263" max="264" width="9.5703125" style="16" customWidth="1"/>
    <col min="265" max="265" width="7.140625" style="16" bestFit="1" customWidth="1"/>
    <col min="266" max="266" width="7.28515625" style="16" customWidth="1"/>
    <col min="267" max="268" width="7" style="16" bestFit="1" customWidth="1"/>
    <col min="269" max="269" width="6.85546875" style="16" bestFit="1" customWidth="1"/>
    <col min="270" max="270" width="7" style="16" bestFit="1" customWidth="1"/>
    <col min="271" max="271" width="8.4257812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21.85546875" style="16" customWidth="1"/>
    <col min="515" max="515" width="8.5703125" style="16" customWidth="1"/>
    <col min="516" max="516" width="6.7109375" style="16" bestFit="1" customWidth="1"/>
    <col min="517" max="517" width="8.5703125" style="16" bestFit="1" customWidth="1"/>
    <col min="518" max="518" width="9.28515625" style="16" bestFit="1" customWidth="1"/>
    <col min="519" max="520" width="9.5703125" style="16" customWidth="1"/>
    <col min="521" max="521" width="7.140625" style="16" bestFit="1" customWidth="1"/>
    <col min="522" max="522" width="7.28515625" style="16" customWidth="1"/>
    <col min="523" max="524" width="7" style="16" bestFit="1" customWidth="1"/>
    <col min="525" max="525" width="6.85546875" style="16" bestFit="1" customWidth="1"/>
    <col min="526" max="526" width="7" style="16" bestFit="1" customWidth="1"/>
    <col min="527" max="527" width="8.4257812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21.85546875" style="16" customWidth="1"/>
    <col min="771" max="771" width="8.5703125" style="16" customWidth="1"/>
    <col min="772" max="772" width="6.7109375" style="16" bestFit="1" customWidth="1"/>
    <col min="773" max="773" width="8.5703125" style="16" bestFit="1" customWidth="1"/>
    <col min="774" max="774" width="9.28515625" style="16" bestFit="1" customWidth="1"/>
    <col min="775" max="776" width="9.5703125" style="16" customWidth="1"/>
    <col min="777" max="777" width="7.140625" style="16" bestFit="1" customWidth="1"/>
    <col min="778" max="778" width="7.28515625" style="16" customWidth="1"/>
    <col min="779" max="780" width="7" style="16" bestFit="1" customWidth="1"/>
    <col min="781" max="781" width="6.85546875" style="16" bestFit="1" customWidth="1"/>
    <col min="782" max="782" width="7" style="16" bestFit="1" customWidth="1"/>
    <col min="783" max="783" width="8.4257812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21.85546875" style="16" customWidth="1"/>
    <col min="1027" max="1027" width="8.5703125" style="16" customWidth="1"/>
    <col min="1028" max="1028" width="6.7109375" style="16" bestFit="1" customWidth="1"/>
    <col min="1029" max="1029" width="8.5703125" style="16" bestFit="1" customWidth="1"/>
    <col min="1030" max="1030" width="9.28515625" style="16" bestFit="1" customWidth="1"/>
    <col min="1031" max="1032" width="9.5703125" style="16" customWidth="1"/>
    <col min="1033" max="1033" width="7.140625" style="16" bestFit="1" customWidth="1"/>
    <col min="1034" max="1034" width="7.28515625" style="16" customWidth="1"/>
    <col min="1035" max="1036" width="7" style="16" bestFit="1" customWidth="1"/>
    <col min="1037" max="1037" width="6.85546875" style="16" bestFit="1" customWidth="1"/>
    <col min="1038" max="1038" width="7" style="16" bestFit="1" customWidth="1"/>
    <col min="1039" max="1039" width="8.4257812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21.85546875" style="16" customWidth="1"/>
    <col min="1283" max="1283" width="8.5703125" style="16" customWidth="1"/>
    <col min="1284" max="1284" width="6.7109375" style="16" bestFit="1" customWidth="1"/>
    <col min="1285" max="1285" width="8.5703125" style="16" bestFit="1" customWidth="1"/>
    <col min="1286" max="1286" width="9.28515625" style="16" bestFit="1" customWidth="1"/>
    <col min="1287" max="1288" width="9.5703125" style="16" customWidth="1"/>
    <col min="1289" max="1289" width="7.140625" style="16" bestFit="1" customWidth="1"/>
    <col min="1290" max="1290" width="7.28515625" style="16" customWidth="1"/>
    <col min="1291" max="1292" width="7" style="16" bestFit="1" customWidth="1"/>
    <col min="1293" max="1293" width="6.85546875" style="16" bestFit="1" customWidth="1"/>
    <col min="1294" max="1294" width="7" style="16" bestFit="1" customWidth="1"/>
    <col min="1295" max="1295" width="8.4257812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21.85546875" style="16" customWidth="1"/>
    <col min="1539" max="1539" width="8.5703125" style="16" customWidth="1"/>
    <col min="1540" max="1540" width="6.7109375" style="16" bestFit="1" customWidth="1"/>
    <col min="1541" max="1541" width="8.5703125" style="16" bestFit="1" customWidth="1"/>
    <col min="1542" max="1542" width="9.28515625" style="16" bestFit="1" customWidth="1"/>
    <col min="1543" max="1544" width="9.5703125" style="16" customWidth="1"/>
    <col min="1545" max="1545" width="7.140625" style="16" bestFit="1" customWidth="1"/>
    <col min="1546" max="1546" width="7.28515625" style="16" customWidth="1"/>
    <col min="1547" max="1548" width="7" style="16" bestFit="1" customWidth="1"/>
    <col min="1549" max="1549" width="6.85546875" style="16" bestFit="1" customWidth="1"/>
    <col min="1550" max="1550" width="7" style="16" bestFit="1" customWidth="1"/>
    <col min="1551" max="1551" width="8.4257812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21.85546875" style="16" customWidth="1"/>
    <col min="1795" max="1795" width="8.5703125" style="16" customWidth="1"/>
    <col min="1796" max="1796" width="6.7109375" style="16" bestFit="1" customWidth="1"/>
    <col min="1797" max="1797" width="8.5703125" style="16" bestFit="1" customWidth="1"/>
    <col min="1798" max="1798" width="9.28515625" style="16" bestFit="1" customWidth="1"/>
    <col min="1799" max="1800" width="9.5703125" style="16" customWidth="1"/>
    <col min="1801" max="1801" width="7.140625" style="16" bestFit="1" customWidth="1"/>
    <col min="1802" max="1802" width="7.28515625" style="16" customWidth="1"/>
    <col min="1803" max="1804" width="7" style="16" bestFit="1" customWidth="1"/>
    <col min="1805" max="1805" width="6.85546875" style="16" bestFit="1" customWidth="1"/>
    <col min="1806" max="1806" width="7" style="16" bestFit="1" customWidth="1"/>
    <col min="1807" max="1807" width="8.4257812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21.85546875" style="16" customWidth="1"/>
    <col min="2051" max="2051" width="8.5703125" style="16" customWidth="1"/>
    <col min="2052" max="2052" width="6.7109375" style="16" bestFit="1" customWidth="1"/>
    <col min="2053" max="2053" width="8.5703125" style="16" bestFit="1" customWidth="1"/>
    <col min="2054" max="2054" width="9.28515625" style="16" bestFit="1" customWidth="1"/>
    <col min="2055" max="2056" width="9.5703125" style="16" customWidth="1"/>
    <col min="2057" max="2057" width="7.140625" style="16" bestFit="1" customWidth="1"/>
    <col min="2058" max="2058" width="7.28515625" style="16" customWidth="1"/>
    <col min="2059" max="2060" width="7" style="16" bestFit="1" customWidth="1"/>
    <col min="2061" max="2061" width="6.85546875" style="16" bestFit="1" customWidth="1"/>
    <col min="2062" max="2062" width="7" style="16" bestFit="1" customWidth="1"/>
    <col min="2063" max="2063" width="8.4257812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21.85546875" style="16" customWidth="1"/>
    <col min="2307" max="2307" width="8.5703125" style="16" customWidth="1"/>
    <col min="2308" max="2308" width="6.7109375" style="16" bestFit="1" customWidth="1"/>
    <col min="2309" max="2309" width="8.5703125" style="16" bestFit="1" customWidth="1"/>
    <col min="2310" max="2310" width="9.28515625" style="16" bestFit="1" customWidth="1"/>
    <col min="2311" max="2312" width="9.5703125" style="16" customWidth="1"/>
    <col min="2313" max="2313" width="7.140625" style="16" bestFit="1" customWidth="1"/>
    <col min="2314" max="2314" width="7.28515625" style="16" customWidth="1"/>
    <col min="2315" max="2316" width="7" style="16" bestFit="1" customWidth="1"/>
    <col min="2317" max="2317" width="6.85546875" style="16" bestFit="1" customWidth="1"/>
    <col min="2318" max="2318" width="7" style="16" bestFit="1" customWidth="1"/>
    <col min="2319" max="2319" width="8.4257812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21.85546875" style="16" customWidth="1"/>
    <col min="2563" max="2563" width="8.5703125" style="16" customWidth="1"/>
    <col min="2564" max="2564" width="6.7109375" style="16" bestFit="1" customWidth="1"/>
    <col min="2565" max="2565" width="8.5703125" style="16" bestFit="1" customWidth="1"/>
    <col min="2566" max="2566" width="9.28515625" style="16" bestFit="1" customWidth="1"/>
    <col min="2567" max="2568" width="9.5703125" style="16" customWidth="1"/>
    <col min="2569" max="2569" width="7.140625" style="16" bestFit="1" customWidth="1"/>
    <col min="2570" max="2570" width="7.28515625" style="16" customWidth="1"/>
    <col min="2571" max="2572" width="7" style="16" bestFit="1" customWidth="1"/>
    <col min="2573" max="2573" width="6.85546875" style="16" bestFit="1" customWidth="1"/>
    <col min="2574" max="2574" width="7" style="16" bestFit="1" customWidth="1"/>
    <col min="2575" max="2575" width="8.4257812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21.85546875" style="16" customWidth="1"/>
    <col min="2819" max="2819" width="8.5703125" style="16" customWidth="1"/>
    <col min="2820" max="2820" width="6.7109375" style="16" bestFit="1" customWidth="1"/>
    <col min="2821" max="2821" width="8.5703125" style="16" bestFit="1" customWidth="1"/>
    <col min="2822" max="2822" width="9.28515625" style="16" bestFit="1" customWidth="1"/>
    <col min="2823" max="2824" width="9.5703125" style="16" customWidth="1"/>
    <col min="2825" max="2825" width="7.140625" style="16" bestFit="1" customWidth="1"/>
    <col min="2826" max="2826" width="7.28515625" style="16" customWidth="1"/>
    <col min="2827" max="2828" width="7" style="16" bestFit="1" customWidth="1"/>
    <col min="2829" max="2829" width="6.85546875" style="16" bestFit="1" customWidth="1"/>
    <col min="2830" max="2830" width="7" style="16" bestFit="1" customWidth="1"/>
    <col min="2831" max="2831" width="8.4257812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21.85546875" style="16" customWidth="1"/>
    <col min="3075" max="3075" width="8.5703125" style="16" customWidth="1"/>
    <col min="3076" max="3076" width="6.7109375" style="16" bestFit="1" customWidth="1"/>
    <col min="3077" max="3077" width="8.5703125" style="16" bestFit="1" customWidth="1"/>
    <col min="3078" max="3078" width="9.28515625" style="16" bestFit="1" customWidth="1"/>
    <col min="3079" max="3080" width="9.5703125" style="16" customWidth="1"/>
    <col min="3081" max="3081" width="7.140625" style="16" bestFit="1" customWidth="1"/>
    <col min="3082" max="3082" width="7.28515625" style="16" customWidth="1"/>
    <col min="3083" max="3084" width="7" style="16" bestFit="1" customWidth="1"/>
    <col min="3085" max="3085" width="6.85546875" style="16" bestFit="1" customWidth="1"/>
    <col min="3086" max="3086" width="7" style="16" bestFit="1" customWidth="1"/>
    <col min="3087" max="3087" width="8.4257812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21.85546875" style="16" customWidth="1"/>
    <col min="3331" max="3331" width="8.5703125" style="16" customWidth="1"/>
    <col min="3332" max="3332" width="6.7109375" style="16" bestFit="1" customWidth="1"/>
    <col min="3333" max="3333" width="8.5703125" style="16" bestFit="1" customWidth="1"/>
    <col min="3334" max="3334" width="9.28515625" style="16" bestFit="1" customWidth="1"/>
    <col min="3335" max="3336" width="9.5703125" style="16" customWidth="1"/>
    <col min="3337" max="3337" width="7.140625" style="16" bestFit="1" customWidth="1"/>
    <col min="3338" max="3338" width="7.28515625" style="16" customWidth="1"/>
    <col min="3339" max="3340" width="7" style="16" bestFit="1" customWidth="1"/>
    <col min="3341" max="3341" width="6.85546875" style="16" bestFit="1" customWidth="1"/>
    <col min="3342" max="3342" width="7" style="16" bestFit="1" customWidth="1"/>
    <col min="3343" max="3343" width="8.4257812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21.85546875" style="16" customWidth="1"/>
    <col min="3587" max="3587" width="8.5703125" style="16" customWidth="1"/>
    <col min="3588" max="3588" width="6.7109375" style="16" bestFit="1" customWidth="1"/>
    <col min="3589" max="3589" width="8.5703125" style="16" bestFit="1" customWidth="1"/>
    <col min="3590" max="3590" width="9.28515625" style="16" bestFit="1" customWidth="1"/>
    <col min="3591" max="3592" width="9.5703125" style="16" customWidth="1"/>
    <col min="3593" max="3593" width="7.140625" style="16" bestFit="1" customWidth="1"/>
    <col min="3594" max="3594" width="7.28515625" style="16" customWidth="1"/>
    <col min="3595" max="3596" width="7" style="16" bestFit="1" customWidth="1"/>
    <col min="3597" max="3597" width="6.85546875" style="16" bestFit="1" customWidth="1"/>
    <col min="3598" max="3598" width="7" style="16" bestFit="1" customWidth="1"/>
    <col min="3599" max="3599" width="8.4257812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21.85546875" style="16" customWidth="1"/>
    <col min="3843" max="3843" width="8.5703125" style="16" customWidth="1"/>
    <col min="3844" max="3844" width="6.7109375" style="16" bestFit="1" customWidth="1"/>
    <col min="3845" max="3845" width="8.5703125" style="16" bestFit="1" customWidth="1"/>
    <col min="3846" max="3846" width="9.28515625" style="16" bestFit="1" customWidth="1"/>
    <col min="3847" max="3848" width="9.5703125" style="16" customWidth="1"/>
    <col min="3849" max="3849" width="7.140625" style="16" bestFit="1" customWidth="1"/>
    <col min="3850" max="3850" width="7.28515625" style="16" customWidth="1"/>
    <col min="3851" max="3852" width="7" style="16" bestFit="1" customWidth="1"/>
    <col min="3853" max="3853" width="6.85546875" style="16" bestFit="1" customWidth="1"/>
    <col min="3854" max="3854" width="7" style="16" bestFit="1" customWidth="1"/>
    <col min="3855" max="3855" width="8.4257812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21.85546875" style="16" customWidth="1"/>
    <col min="4099" max="4099" width="8.5703125" style="16" customWidth="1"/>
    <col min="4100" max="4100" width="6.7109375" style="16" bestFit="1" customWidth="1"/>
    <col min="4101" max="4101" width="8.5703125" style="16" bestFit="1" customWidth="1"/>
    <col min="4102" max="4102" width="9.28515625" style="16" bestFit="1" customWidth="1"/>
    <col min="4103" max="4104" width="9.5703125" style="16" customWidth="1"/>
    <col min="4105" max="4105" width="7.140625" style="16" bestFit="1" customWidth="1"/>
    <col min="4106" max="4106" width="7.28515625" style="16" customWidth="1"/>
    <col min="4107" max="4108" width="7" style="16" bestFit="1" customWidth="1"/>
    <col min="4109" max="4109" width="6.85546875" style="16" bestFit="1" customWidth="1"/>
    <col min="4110" max="4110" width="7" style="16" bestFit="1" customWidth="1"/>
    <col min="4111" max="4111" width="8.4257812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21.85546875" style="16" customWidth="1"/>
    <col min="4355" max="4355" width="8.5703125" style="16" customWidth="1"/>
    <col min="4356" max="4356" width="6.7109375" style="16" bestFit="1" customWidth="1"/>
    <col min="4357" max="4357" width="8.5703125" style="16" bestFit="1" customWidth="1"/>
    <col min="4358" max="4358" width="9.28515625" style="16" bestFit="1" customWidth="1"/>
    <col min="4359" max="4360" width="9.5703125" style="16" customWidth="1"/>
    <col min="4361" max="4361" width="7.140625" style="16" bestFit="1" customWidth="1"/>
    <col min="4362" max="4362" width="7.28515625" style="16" customWidth="1"/>
    <col min="4363" max="4364" width="7" style="16" bestFit="1" customWidth="1"/>
    <col min="4365" max="4365" width="6.85546875" style="16" bestFit="1" customWidth="1"/>
    <col min="4366" max="4366" width="7" style="16" bestFit="1" customWidth="1"/>
    <col min="4367" max="4367" width="8.4257812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21.85546875" style="16" customWidth="1"/>
    <col min="4611" max="4611" width="8.5703125" style="16" customWidth="1"/>
    <col min="4612" max="4612" width="6.7109375" style="16" bestFit="1" customWidth="1"/>
    <col min="4613" max="4613" width="8.5703125" style="16" bestFit="1" customWidth="1"/>
    <col min="4614" max="4614" width="9.28515625" style="16" bestFit="1" customWidth="1"/>
    <col min="4615" max="4616" width="9.5703125" style="16" customWidth="1"/>
    <col min="4617" max="4617" width="7.140625" style="16" bestFit="1" customWidth="1"/>
    <col min="4618" max="4618" width="7.28515625" style="16" customWidth="1"/>
    <col min="4619" max="4620" width="7" style="16" bestFit="1" customWidth="1"/>
    <col min="4621" max="4621" width="6.85546875" style="16" bestFit="1" customWidth="1"/>
    <col min="4622" max="4622" width="7" style="16" bestFit="1" customWidth="1"/>
    <col min="4623" max="4623" width="8.4257812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21.85546875" style="16" customWidth="1"/>
    <col min="4867" max="4867" width="8.5703125" style="16" customWidth="1"/>
    <col min="4868" max="4868" width="6.7109375" style="16" bestFit="1" customWidth="1"/>
    <col min="4869" max="4869" width="8.5703125" style="16" bestFit="1" customWidth="1"/>
    <col min="4870" max="4870" width="9.28515625" style="16" bestFit="1" customWidth="1"/>
    <col min="4871" max="4872" width="9.5703125" style="16" customWidth="1"/>
    <col min="4873" max="4873" width="7.140625" style="16" bestFit="1" customWidth="1"/>
    <col min="4874" max="4874" width="7.28515625" style="16" customWidth="1"/>
    <col min="4875" max="4876" width="7" style="16" bestFit="1" customWidth="1"/>
    <col min="4877" max="4877" width="6.85546875" style="16" bestFit="1" customWidth="1"/>
    <col min="4878" max="4878" width="7" style="16" bestFit="1" customWidth="1"/>
    <col min="4879" max="4879" width="8.4257812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21.85546875" style="16" customWidth="1"/>
    <col min="5123" max="5123" width="8.5703125" style="16" customWidth="1"/>
    <col min="5124" max="5124" width="6.7109375" style="16" bestFit="1" customWidth="1"/>
    <col min="5125" max="5125" width="8.5703125" style="16" bestFit="1" customWidth="1"/>
    <col min="5126" max="5126" width="9.28515625" style="16" bestFit="1" customWidth="1"/>
    <col min="5127" max="5128" width="9.5703125" style="16" customWidth="1"/>
    <col min="5129" max="5129" width="7.140625" style="16" bestFit="1" customWidth="1"/>
    <col min="5130" max="5130" width="7.28515625" style="16" customWidth="1"/>
    <col min="5131" max="5132" width="7" style="16" bestFit="1" customWidth="1"/>
    <col min="5133" max="5133" width="6.85546875" style="16" bestFit="1" customWidth="1"/>
    <col min="5134" max="5134" width="7" style="16" bestFit="1" customWidth="1"/>
    <col min="5135" max="5135" width="8.4257812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21.85546875" style="16" customWidth="1"/>
    <col min="5379" max="5379" width="8.5703125" style="16" customWidth="1"/>
    <col min="5380" max="5380" width="6.7109375" style="16" bestFit="1" customWidth="1"/>
    <col min="5381" max="5381" width="8.5703125" style="16" bestFit="1" customWidth="1"/>
    <col min="5382" max="5382" width="9.28515625" style="16" bestFit="1" customWidth="1"/>
    <col min="5383" max="5384" width="9.5703125" style="16" customWidth="1"/>
    <col min="5385" max="5385" width="7.140625" style="16" bestFit="1" customWidth="1"/>
    <col min="5386" max="5386" width="7.28515625" style="16" customWidth="1"/>
    <col min="5387" max="5388" width="7" style="16" bestFit="1" customWidth="1"/>
    <col min="5389" max="5389" width="6.85546875" style="16" bestFit="1" customWidth="1"/>
    <col min="5390" max="5390" width="7" style="16" bestFit="1" customWidth="1"/>
    <col min="5391" max="5391" width="8.4257812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21.85546875" style="16" customWidth="1"/>
    <col min="5635" max="5635" width="8.5703125" style="16" customWidth="1"/>
    <col min="5636" max="5636" width="6.7109375" style="16" bestFit="1" customWidth="1"/>
    <col min="5637" max="5637" width="8.5703125" style="16" bestFit="1" customWidth="1"/>
    <col min="5638" max="5638" width="9.28515625" style="16" bestFit="1" customWidth="1"/>
    <col min="5639" max="5640" width="9.5703125" style="16" customWidth="1"/>
    <col min="5641" max="5641" width="7.140625" style="16" bestFit="1" customWidth="1"/>
    <col min="5642" max="5642" width="7.28515625" style="16" customWidth="1"/>
    <col min="5643" max="5644" width="7" style="16" bestFit="1" customWidth="1"/>
    <col min="5645" max="5645" width="6.85546875" style="16" bestFit="1" customWidth="1"/>
    <col min="5646" max="5646" width="7" style="16" bestFit="1" customWidth="1"/>
    <col min="5647" max="5647" width="8.4257812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21.85546875" style="16" customWidth="1"/>
    <col min="5891" max="5891" width="8.5703125" style="16" customWidth="1"/>
    <col min="5892" max="5892" width="6.7109375" style="16" bestFit="1" customWidth="1"/>
    <col min="5893" max="5893" width="8.5703125" style="16" bestFit="1" customWidth="1"/>
    <col min="5894" max="5894" width="9.28515625" style="16" bestFit="1" customWidth="1"/>
    <col min="5895" max="5896" width="9.5703125" style="16" customWidth="1"/>
    <col min="5897" max="5897" width="7.140625" style="16" bestFit="1" customWidth="1"/>
    <col min="5898" max="5898" width="7.28515625" style="16" customWidth="1"/>
    <col min="5899" max="5900" width="7" style="16" bestFit="1" customWidth="1"/>
    <col min="5901" max="5901" width="6.85546875" style="16" bestFit="1" customWidth="1"/>
    <col min="5902" max="5902" width="7" style="16" bestFit="1" customWidth="1"/>
    <col min="5903" max="5903" width="8.4257812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21.85546875" style="16" customWidth="1"/>
    <col min="6147" max="6147" width="8.5703125" style="16" customWidth="1"/>
    <col min="6148" max="6148" width="6.7109375" style="16" bestFit="1" customWidth="1"/>
    <col min="6149" max="6149" width="8.5703125" style="16" bestFit="1" customWidth="1"/>
    <col min="6150" max="6150" width="9.28515625" style="16" bestFit="1" customWidth="1"/>
    <col min="6151" max="6152" width="9.5703125" style="16" customWidth="1"/>
    <col min="6153" max="6153" width="7.140625" style="16" bestFit="1" customWidth="1"/>
    <col min="6154" max="6154" width="7.28515625" style="16" customWidth="1"/>
    <col min="6155" max="6156" width="7" style="16" bestFit="1" customWidth="1"/>
    <col min="6157" max="6157" width="6.85546875" style="16" bestFit="1" customWidth="1"/>
    <col min="6158" max="6158" width="7" style="16" bestFit="1" customWidth="1"/>
    <col min="6159" max="6159" width="8.4257812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21.85546875" style="16" customWidth="1"/>
    <col min="6403" max="6403" width="8.5703125" style="16" customWidth="1"/>
    <col min="6404" max="6404" width="6.7109375" style="16" bestFit="1" customWidth="1"/>
    <col min="6405" max="6405" width="8.5703125" style="16" bestFit="1" customWidth="1"/>
    <col min="6406" max="6406" width="9.28515625" style="16" bestFit="1" customWidth="1"/>
    <col min="6407" max="6408" width="9.5703125" style="16" customWidth="1"/>
    <col min="6409" max="6409" width="7.140625" style="16" bestFit="1" customWidth="1"/>
    <col min="6410" max="6410" width="7.28515625" style="16" customWidth="1"/>
    <col min="6411" max="6412" width="7" style="16" bestFit="1" customWidth="1"/>
    <col min="6413" max="6413" width="6.85546875" style="16" bestFit="1" customWidth="1"/>
    <col min="6414" max="6414" width="7" style="16" bestFit="1" customWidth="1"/>
    <col min="6415" max="6415" width="8.4257812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21.85546875" style="16" customWidth="1"/>
    <col min="6659" max="6659" width="8.5703125" style="16" customWidth="1"/>
    <col min="6660" max="6660" width="6.7109375" style="16" bestFit="1" customWidth="1"/>
    <col min="6661" max="6661" width="8.5703125" style="16" bestFit="1" customWidth="1"/>
    <col min="6662" max="6662" width="9.28515625" style="16" bestFit="1" customWidth="1"/>
    <col min="6663" max="6664" width="9.5703125" style="16" customWidth="1"/>
    <col min="6665" max="6665" width="7.140625" style="16" bestFit="1" customWidth="1"/>
    <col min="6666" max="6666" width="7.28515625" style="16" customWidth="1"/>
    <col min="6667" max="6668" width="7" style="16" bestFit="1" customWidth="1"/>
    <col min="6669" max="6669" width="6.85546875" style="16" bestFit="1" customWidth="1"/>
    <col min="6670" max="6670" width="7" style="16" bestFit="1" customWidth="1"/>
    <col min="6671" max="6671" width="8.4257812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21.85546875" style="16" customWidth="1"/>
    <col min="6915" max="6915" width="8.5703125" style="16" customWidth="1"/>
    <col min="6916" max="6916" width="6.7109375" style="16" bestFit="1" customWidth="1"/>
    <col min="6917" max="6917" width="8.5703125" style="16" bestFit="1" customWidth="1"/>
    <col min="6918" max="6918" width="9.28515625" style="16" bestFit="1" customWidth="1"/>
    <col min="6919" max="6920" width="9.5703125" style="16" customWidth="1"/>
    <col min="6921" max="6921" width="7.140625" style="16" bestFit="1" customWidth="1"/>
    <col min="6922" max="6922" width="7.28515625" style="16" customWidth="1"/>
    <col min="6923" max="6924" width="7" style="16" bestFit="1" customWidth="1"/>
    <col min="6925" max="6925" width="6.85546875" style="16" bestFit="1" customWidth="1"/>
    <col min="6926" max="6926" width="7" style="16" bestFit="1" customWidth="1"/>
    <col min="6927" max="6927" width="8.4257812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21.85546875" style="16" customWidth="1"/>
    <col min="7171" max="7171" width="8.5703125" style="16" customWidth="1"/>
    <col min="7172" max="7172" width="6.7109375" style="16" bestFit="1" customWidth="1"/>
    <col min="7173" max="7173" width="8.5703125" style="16" bestFit="1" customWidth="1"/>
    <col min="7174" max="7174" width="9.28515625" style="16" bestFit="1" customWidth="1"/>
    <col min="7175" max="7176" width="9.5703125" style="16" customWidth="1"/>
    <col min="7177" max="7177" width="7.140625" style="16" bestFit="1" customWidth="1"/>
    <col min="7178" max="7178" width="7.28515625" style="16" customWidth="1"/>
    <col min="7179" max="7180" width="7" style="16" bestFit="1" customWidth="1"/>
    <col min="7181" max="7181" width="6.85546875" style="16" bestFit="1" customWidth="1"/>
    <col min="7182" max="7182" width="7" style="16" bestFit="1" customWidth="1"/>
    <col min="7183" max="7183" width="8.4257812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21.85546875" style="16" customWidth="1"/>
    <col min="7427" max="7427" width="8.5703125" style="16" customWidth="1"/>
    <col min="7428" max="7428" width="6.7109375" style="16" bestFit="1" customWidth="1"/>
    <col min="7429" max="7429" width="8.5703125" style="16" bestFit="1" customWidth="1"/>
    <col min="7430" max="7430" width="9.28515625" style="16" bestFit="1" customWidth="1"/>
    <col min="7431" max="7432" width="9.5703125" style="16" customWidth="1"/>
    <col min="7433" max="7433" width="7.140625" style="16" bestFit="1" customWidth="1"/>
    <col min="7434" max="7434" width="7.28515625" style="16" customWidth="1"/>
    <col min="7435" max="7436" width="7" style="16" bestFit="1" customWidth="1"/>
    <col min="7437" max="7437" width="6.85546875" style="16" bestFit="1" customWidth="1"/>
    <col min="7438" max="7438" width="7" style="16" bestFit="1" customWidth="1"/>
    <col min="7439" max="7439" width="8.4257812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21.85546875" style="16" customWidth="1"/>
    <col min="7683" max="7683" width="8.5703125" style="16" customWidth="1"/>
    <col min="7684" max="7684" width="6.7109375" style="16" bestFit="1" customWidth="1"/>
    <col min="7685" max="7685" width="8.5703125" style="16" bestFit="1" customWidth="1"/>
    <col min="7686" max="7686" width="9.28515625" style="16" bestFit="1" customWidth="1"/>
    <col min="7687" max="7688" width="9.5703125" style="16" customWidth="1"/>
    <col min="7689" max="7689" width="7.140625" style="16" bestFit="1" customWidth="1"/>
    <col min="7690" max="7690" width="7.28515625" style="16" customWidth="1"/>
    <col min="7691" max="7692" width="7" style="16" bestFit="1" customWidth="1"/>
    <col min="7693" max="7693" width="6.85546875" style="16" bestFit="1" customWidth="1"/>
    <col min="7694" max="7694" width="7" style="16" bestFit="1" customWidth="1"/>
    <col min="7695" max="7695" width="8.4257812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21.85546875" style="16" customWidth="1"/>
    <col min="7939" max="7939" width="8.5703125" style="16" customWidth="1"/>
    <col min="7940" max="7940" width="6.7109375" style="16" bestFit="1" customWidth="1"/>
    <col min="7941" max="7941" width="8.5703125" style="16" bestFit="1" customWidth="1"/>
    <col min="7942" max="7942" width="9.28515625" style="16" bestFit="1" customWidth="1"/>
    <col min="7943" max="7944" width="9.5703125" style="16" customWidth="1"/>
    <col min="7945" max="7945" width="7.140625" style="16" bestFit="1" customWidth="1"/>
    <col min="7946" max="7946" width="7.28515625" style="16" customWidth="1"/>
    <col min="7947" max="7948" width="7" style="16" bestFit="1" customWidth="1"/>
    <col min="7949" max="7949" width="6.85546875" style="16" bestFit="1" customWidth="1"/>
    <col min="7950" max="7950" width="7" style="16" bestFit="1" customWidth="1"/>
    <col min="7951" max="7951" width="8.4257812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21.85546875" style="16" customWidth="1"/>
    <col min="8195" max="8195" width="8.5703125" style="16" customWidth="1"/>
    <col min="8196" max="8196" width="6.7109375" style="16" bestFit="1" customWidth="1"/>
    <col min="8197" max="8197" width="8.5703125" style="16" bestFit="1" customWidth="1"/>
    <col min="8198" max="8198" width="9.28515625" style="16" bestFit="1" customWidth="1"/>
    <col min="8199" max="8200" width="9.5703125" style="16" customWidth="1"/>
    <col min="8201" max="8201" width="7.140625" style="16" bestFit="1" customWidth="1"/>
    <col min="8202" max="8202" width="7.28515625" style="16" customWidth="1"/>
    <col min="8203" max="8204" width="7" style="16" bestFit="1" customWidth="1"/>
    <col min="8205" max="8205" width="6.85546875" style="16" bestFit="1" customWidth="1"/>
    <col min="8206" max="8206" width="7" style="16" bestFit="1" customWidth="1"/>
    <col min="8207" max="8207" width="8.4257812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21.85546875" style="16" customWidth="1"/>
    <col min="8451" max="8451" width="8.5703125" style="16" customWidth="1"/>
    <col min="8452" max="8452" width="6.7109375" style="16" bestFit="1" customWidth="1"/>
    <col min="8453" max="8453" width="8.5703125" style="16" bestFit="1" customWidth="1"/>
    <col min="8454" max="8454" width="9.28515625" style="16" bestFit="1" customWidth="1"/>
    <col min="8455" max="8456" width="9.5703125" style="16" customWidth="1"/>
    <col min="8457" max="8457" width="7.140625" style="16" bestFit="1" customWidth="1"/>
    <col min="8458" max="8458" width="7.28515625" style="16" customWidth="1"/>
    <col min="8459" max="8460" width="7" style="16" bestFit="1" customWidth="1"/>
    <col min="8461" max="8461" width="6.85546875" style="16" bestFit="1" customWidth="1"/>
    <col min="8462" max="8462" width="7" style="16" bestFit="1" customWidth="1"/>
    <col min="8463" max="8463" width="8.4257812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21.85546875" style="16" customWidth="1"/>
    <col min="8707" max="8707" width="8.5703125" style="16" customWidth="1"/>
    <col min="8708" max="8708" width="6.7109375" style="16" bestFit="1" customWidth="1"/>
    <col min="8709" max="8709" width="8.5703125" style="16" bestFit="1" customWidth="1"/>
    <col min="8710" max="8710" width="9.28515625" style="16" bestFit="1" customWidth="1"/>
    <col min="8711" max="8712" width="9.5703125" style="16" customWidth="1"/>
    <col min="8713" max="8713" width="7.140625" style="16" bestFit="1" customWidth="1"/>
    <col min="8714" max="8714" width="7.28515625" style="16" customWidth="1"/>
    <col min="8715" max="8716" width="7" style="16" bestFit="1" customWidth="1"/>
    <col min="8717" max="8717" width="6.85546875" style="16" bestFit="1" customWidth="1"/>
    <col min="8718" max="8718" width="7" style="16" bestFit="1" customWidth="1"/>
    <col min="8719" max="8719" width="8.4257812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21.85546875" style="16" customWidth="1"/>
    <col min="8963" max="8963" width="8.5703125" style="16" customWidth="1"/>
    <col min="8964" max="8964" width="6.7109375" style="16" bestFit="1" customWidth="1"/>
    <col min="8965" max="8965" width="8.5703125" style="16" bestFit="1" customWidth="1"/>
    <col min="8966" max="8966" width="9.28515625" style="16" bestFit="1" customWidth="1"/>
    <col min="8967" max="8968" width="9.5703125" style="16" customWidth="1"/>
    <col min="8969" max="8969" width="7.140625" style="16" bestFit="1" customWidth="1"/>
    <col min="8970" max="8970" width="7.28515625" style="16" customWidth="1"/>
    <col min="8971" max="8972" width="7" style="16" bestFit="1" customWidth="1"/>
    <col min="8973" max="8973" width="6.85546875" style="16" bestFit="1" customWidth="1"/>
    <col min="8974" max="8974" width="7" style="16" bestFit="1" customWidth="1"/>
    <col min="8975" max="8975" width="8.4257812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21.85546875" style="16" customWidth="1"/>
    <col min="9219" max="9219" width="8.5703125" style="16" customWidth="1"/>
    <col min="9220" max="9220" width="6.7109375" style="16" bestFit="1" customWidth="1"/>
    <col min="9221" max="9221" width="8.5703125" style="16" bestFit="1" customWidth="1"/>
    <col min="9222" max="9222" width="9.28515625" style="16" bestFit="1" customWidth="1"/>
    <col min="9223" max="9224" width="9.5703125" style="16" customWidth="1"/>
    <col min="9225" max="9225" width="7.140625" style="16" bestFit="1" customWidth="1"/>
    <col min="9226" max="9226" width="7.28515625" style="16" customWidth="1"/>
    <col min="9227" max="9228" width="7" style="16" bestFit="1" customWidth="1"/>
    <col min="9229" max="9229" width="6.85546875" style="16" bestFit="1" customWidth="1"/>
    <col min="9230" max="9230" width="7" style="16" bestFit="1" customWidth="1"/>
    <col min="9231" max="9231" width="8.4257812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21.85546875" style="16" customWidth="1"/>
    <col min="9475" max="9475" width="8.5703125" style="16" customWidth="1"/>
    <col min="9476" max="9476" width="6.7109375" style="16" bestFit="1" customWidth="1"/>
    <col min="9477" max="9477" width="8.5703125" style="16" bestFit="1" customWidth="1"/>
    <col min="9478" max="9478" width="9.28515625" style="16" bestFit="1" customWidth="1"/>
    <col min="9479" max="9480" width="9.5703125" style="16" customWidth="1"/>
    <col min="9481" max="9481" width="7.140625" style="16" bestFit="1" customWidth="1"/>
    <col min="9482" max="9482" width="7.28515625" style="16" customWidth="1"/>
    <col min="9483" max="9484" width="7" style="16" bestFit="1" customWidth="1"/>
    <col min="9485" max="9485" width="6.85546875" style="16" bestFit="1" customWidth="1"/>
    <col min="9486" max="9486" width="7" style="16" bestFit="1" customWidth="1"/>
    <col min="9487" max="9487" width="8.4257812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21.85546875" style="16" customWidth="1"/>
    <col min="9731" max="9731" width="8.5703125" style="16" customWidth="1"/>
    <col min="9732" max="9732" width="6.7109375" style="16" bestFit="1" customWidth="1"/>
    <col min="9733" max="9733" width="8.5703125" style="16" bestFit="1" customWidth="1"/>
    <col min="9734" max="9734" width="9.28515625" style="16" bestFit="1" customWidth="1"/>
    <col min="9735" max="9736" width="9.5703125" style="16" customWidth="1"/>
    <col min="9737" max="9737" width="7.140625" style="16" bestFit="1" customWidth="1"/>
    <col min="9738" max="9738" width="7.28515625" style="16" customWidth="1"/>
    <col min="9739" max="9740" width="7" style="16" bestFit="1" customWidth="1"/>
    <col min="9741" max="9741" width="6.85546875" style="16" bestFit="1" customWidth="1"/>
    <col min="9742" max="9742" width="7" style="16" bestFit="1" customWidth="1"/>
    <col min="9743" max="9743" width="8.4257812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21.85546875" style="16" customWidth="1"/>
    <col min="9987" max="9987" width="8.5703125" style="16" customWidth="1"/>
    <col min="9988" max="9988" width="6.7109375" style="16" bestFit="1" customWidth="1"/>
    <col min="9989" max="9989" width="8.5703125" style="16" bestFit="1" customWidth="1"/>
    <col min="9990" max="9990" width="9.28515625" style="16" bestFit="1" customWidth="1"/>
    <col min="9991" max="9992" width="9.5703125" style="16" customWidth="1"/>
    <col min="9993" max="9993" width="7.140625" style="16" bestFit="1" customWidth="1"/>
    <col min="9994" max="9994" width="7.28515625" style="16" customWidth="1"/>
    <col min="9995" max="9996" width="7" style="16" bestFit="1" customWidth="1"/>
    <col min="9997" max="9997" width="6.85546875" style="16" bestFit="1" customWidth="1"/>
    <col min="9998" max="9998" width="7" style="16" bestFit="1" customWidth="1"/>
    <col min="9999" max="9999" width="8.4257812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21.85546875" style="16" customWidth="1"/>
    <col min="10243" max="10243" width="8.5703125" style="16" customWidth="1"/>
    <col min="10244" max="10244" width="6.7109375" style="16" bestFit="1" customWidth="1"/>
    <col min="10245" max="10245" width="8.5703125" style="16" bestFit="1" customWidth="1"/>
    <col min="10246" max="10246" width="9.28515625" style="16" bestFit="1" customWidth="1"/>
    <col min="10247" max="10248" width="9.5703125" style="16" customWidth="1"/>
    <col min="10249" max="10249" width="7.140625" style="16" bestFit="1" customWidth="1"/>
    <col min="10250" max="10250" width="7.28515625" style="16" customWidth="1"/>
    <col min="10251" max="10252" width="7" style="16" bestFit="1" customWidth="1"/>
    <col min="10253" max="10253" width="6.85546875" style="16" bestFit="1" customWidth="1"/>
    <col min="10254" max="10254" width="7" style="16" bestFit="1" customWidth="1"/>
    <col min="10255" max="10255" width="8.4257812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21.85546875" style="16" customWidth="1"/>
    <col min="10499" max="10499" width="8.5703125" style="16" customWidth="1"/>
    <col min="10500" max="10500" width="6.7109375" style="16" bestFit="1" customWidth="1"/>
    <col min="10501" max="10501" width="8.5703125" style="16" bestFit="1" customWidth="1"/>
    <col min="10502" max="10502" width="9.28515625" style="16" bestFit="1" customWidth="1"/>
    <col min="10503" max="10504" width="9.5703125" style="16" customWidth="1"/>
    <col min="10505" max="10505" width="7.140625" style="16" bestFit="1" customWidth="1"/>
    <col min="10506" max="10506" width="7.28515625" style="16" customWidth="1"/>
    <col min="10507" max="10508" width="7" style="16" bestFit="1" customWidth="1"/>
    <col min="10509" max="10509" width="6.85546875" style="16" bestFit="1" customWidth="1"/>
    <col min="10510" max="10510" width="7" style="16" bestFit="1" customWidth="1"/>
    <col min="10511" max="10511" width="8.4257812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21.85546875" style="16" customWidth="1"/>
    <col min="10755" max="10755" width="8.5703125" style="16" customWidth="1"/>
    <col min="10756" max="10756" width="6.7109375" style="16" bestFit="1" customWidth="1"/>
    <col min="10757" max="10757" width="8.5703125" style="16" bestFit="1" customWidth="1"/>
    <col min="10758" max="10758" width="9.28515625" style="16" bestFit="1" customWidth="1"/>
    <col min="10759" max="10760" width="9.5703125" style="16" customWidth="1"/>
    <col min="10761" max="10761" width="7.140625" style="16" bestFit="1" customWidth="1"/>
    <col min="10762" max="10762" width="7.28515625" style="16" customWidth="1"/>
    <col min="10763" max="10764" width="7" style="16" bestFit="1" customWidth="1"/>
    <col min="10765" max="10765" width="6.85546875" style="16" bestFit="1" customWidth="1"/>
    <col min="10766" max="10766" width="7" style="16" bestFit="1" customWidth="1"/>
    <col min="10767" max="10767" width="8.4257812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21.85546875" style="16" customWidth="1"/>
    <col min="11011" max="11011" width="8.5703125" style="16" customWidth="1"/>
    <col min="11012" max="11012" width="6.7109375" style="16" bestFit="1" customWidth="1"/>
    <col min="11013" max="11013" width="8.5703125" style="16" bestFit="1" customWidth="1"/>
    <col min="11014" max="11014" width="9.28515625" style="16" bestFit="1" customWidth="1"/>
    <col min="11015" max="11016" width="9.5703125" style="16" customWidth="1"/>
    <col min="11017" max="11017" width="7.140625" style="16" bestFit="1" customWidth="1"/>
    <col min="11018" max="11018" width="7.28515625" style="16" customWidth="1"/>
    <col min="11019" max="11020" width="7" style="16" bestFit="1" customWidth="1"/>
    <col min="11021" max="11021" width="6.85546875" style="16" bestFit="1" customWidth="1"/>
    <col min="11022" max="11022" width="7" style="16" bestFit="1" customWidth="1"/>
    <col min="11023" max="11023" width="8.4257812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21.85546875" style="16" customWidth="1"/>
    <col min="11267" max="11267" width="8.5703125" style="16" customWidth="1"/>
    <col min="11268" max="11268" width="6.7109375" style="16" bestFit="1" customWidth="1"/>
    <col min="11269" max="11269" width="8.5703125" style="16" bestFit="1" customWidth="1"/>
    <col min="11270" max="11270" width="9.28515625" style="16" bestFit="1" customWidth="1"/>
    <col min="11271" max="11272" width="9.5703125" style="16" customWidth="1"/>
    <col min="11273" max="11273" width="7.140625" style="16" bestFit="1" customWidth="1"/>
    <col min="11274" max="11274" width="7.28515625" style="16" customWidth="1"/>
    <col min="11275" max="11276" width="7" style="16" bestFit="1" customWidth="1"/>
    <col min="11277" max="11277" width="6.85546875" style="16" bestFit="1" customWidth="1"/>
    <col min="11278" max="11278" width="7" style="16" bestFit="1" customWidth="1"/>
    <col min="11279" max="11279" width="8.4257812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21.85546875" style="16" customWidth="1"/>
    <col min="11523" max="11523" width="8.5703125" style="16" customWidth="1"/>
    <col min="11524" max="11524" width="6.7109375" style="16" bestFit="1" customWidth="1"/>
    <col min="11525" max="11525" width="8.5703125" style="16" bestFit="1" customWidth="1"/>
    <col min="11526" max="11526" width="9.28515625" style="16" bestFit="1" customWidth="1"/>
    <col min="11527" max="11528" width="9.5703125" style="16" customWidth="1"/>
    <col min="11529" max="11529" width="7.140625" style="16" bestFit="1" customWidth="1"/>
    <col min="11530" max="11530" width="7.28515625" style="16" customWidth="1"/>
    <col min="11531" max="11532" width="7" style="16" bestFit="1" customWidth="1"/>
    <col min="11533" max="11533" width="6.85546875" style="16" bestFit="1" customWidth="1"/>
    <col min="11534" max="11534" width="7" style="16" bestFit="1" customWidth="1"/>
    <col min="11535" max="11535" width="8.4257812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21.85546875" style="16" customWidth="1"/>
    <col min="11779" max="11779" width="8.5703125" style="16" customWidth="1"/>
    <col min="11780" max="11780" width="6.7109375" style="16" bestFit="1" customWidth="1"/>
    <col min="11781" max="11781" width="8.5703125" style="16" bestFit="1" customWidth="1"/>
    <col min="11782" max="11782" width="9.28515625" style="16" bestFit="1" customWidth="1"/>
    <col min="11783" max="11784" width="9.5703125" style="16" customWidth="1"/>
    <col min="11785" max="11785" width="7.140625" style="16" bestFit="1" customWidth="1"/>
    <col min="11786" max="11786" width="7.28515625" style="16" customWidth="1"/>
    <col min="11787" max="11788" width="7" style="16" bestFit="1" customWidth="1"/>
    <col min="11789" max="11789" width="6.85546875" style="16" bestFit="1" customWidth="1"/>
    <col min="11790" max="11790" width="7" style="16" bestFit="1" customWidth="1"/>
    <col min="11791" max="11791" width="8.4257812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21.85546875" style="16" customWidth="1"/>
    <col min="12035" max="12035" width="8.5703125" style="16" customWidth="1"/>
    <col min="12036" max="12036" width="6.7109375" style="16" bestFit="1" customWidth="1"/>
    <col min="12037" max="12037" width="8.5703125" style="16" bestFit="1" customWidth="1"/>
    <col min="12038" max="12038" width="9.28515625" style="16" bestFit="1" customWidth="1"/>
    <col min="12039" max="12040" width="9.5703125" style="16" customWidth="1"/>
    <col min="12041" max="12041" width="7.140625" style="16" bestFit="1" customWidth="1"/>
    <col min="12042" max="12042" width="7.28515625" style="16" customWidth="1"/>
    <col min="12043" max="12044" width="7" style="16" bestFit="1" customWidth="1"/>
    <col min="12045" max="12045" width="6.85546875" style="16" bestFit="1" customWidth="1"/>
    <col min="12046" max="12046" width="7" style="16" bestFit="1" customWidth="1"/>
    <col min="12047" max="12047" width="8.4257812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21.85546875" style="16" customWidth="1"/>
    <col min="12291" max="12291" width="8.5703125" style="16" customWidth="1"/>
    <col min="12292" max="12292" width="6.7109375" style="16" bestFit="1" customWidth="1"/>
    <col min="12293" max="12293" width="8.5703125" style="16" bestFit="1" customWidth="1"/>
    <col min="12294" max="12294" width="9.28515625" style="16" bestFit="1" customWidth="1"/>
    <col min="12295" max="12296" width="9.5703125" style="16" customWidth="1"/>
    <col min="12297" max="12297" width="7.140625" style="16" bestFit="1" customWidth="1"/>
    <col min="12298" max="12298" width="7.28515625" style="16" customWidth="1"/>
    <col min="12299" max="12300" width="7" style="16" bestFit="1" customWidth="1"/>
    <col min="12301" max="12301" width="6.85546875" style="16" bestFit="1" customWidth="1"/>
    <col min="12302" max="12302" width="7" style="16" bestFit="1" customWidth="1"/>
    <col min="12303" max="12303" width="8.4257812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21.85546875" style="16" customWidth="1"/>
    <col min="12547" max="12547" width="8.5703125" style="16" customWidth="1"/>
    <col min="12548" max="12548" width="6.7109375" style="16" bestFit="1" customWidth="1"/>
    <col min="12549" max="12549" width="8.5703125" style="16" bestFit="1" customWidth="1"/>
    <col min="12550" max="12550" width="9.28515625" style="16" bestFit="1" customWidth="1"/>
    <col min="12551" max="12552" width="9.5703125" style="16" customWidth="1"/>
    <col min="12553" max="12553" width="7.140625" style="16" bestFit="1" customWidth="1"/>
    <col min="12554" max="12554" width="7.28515625" style="16" customWidth="1"/>
    <col min="12555" max="12556" width="7" style="16" bestFit="1" customWidth="1"/>
    <col min="12557" max="12557" width="6.85546875" style="16" bestFit="1" customWidth="1"/>
    <col min="12558" max="12558" width="7" style="16" bestFit="1" customWidth="1"/>
    <col min="12559" max="12559" width="8.4257812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21.85546875" style="16" customWidth="1"/>
    <col min="12803" max="12803" width="8.5703125" style="16" customWidth="1"/>
    <col min="12804" max="12804" width="6.7109375" style="16" bestFit="1" customWidth="1"/>
    <col min="12805" max="12805" width="8.5703125" style="16" bestFit="1" customWidth="1"/>
    <col min="12806" max="12806" width="9.28515625" style="16" bestFit="1" customWidth="1"/>
    <col min="12807" max="12808" width="9.5703125" style="16" customWidth="1"/>
    <col min="12809" max="12809" width="7.140625" style="16" bestFit="1" customWidth="1"/>
    <col min="12810" max="12810" width="7.28515625" style="16" customWidth="1"/>
    <col min="12811" max="12812" width="7" style="16" bestFit="1" customWidth="1"/>
    <col min="12813" max="12813" width="6.85546875" style="16" bestFit="1" customWidth="1"/>
    <col min="12814" max="12814" width="7" style="16" bestFit="1" customWidth="1"/>
    <col min="12815" max="12815" width="8.4257812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21.85546875" style="16" customWidth="1"/>
    <col min="13059" max="13059" width="8.5703125" style="16" customWidth="1"/>
    <col min="13060" max="13060" width="6.7109375" style="16" bestFit="1" customWidth="1"/>
    <col min="13061" max="13061" width="8.5703125" style="16" bestFit="1" customWidth="1"/>
    <col min="13062" max="13062" width="9.28515625" style="16" bestFit="1" customWidth="1"/>
    <col min="13063" max="13064" width="9.5703125" style="16" customWidth="1"/>
    <col min="13065" max="13065" width="7.140625" style="16" bestFit="1" customWidth="1"/>
    <col min="13066" max="13066" width="7.28515625" style="16" customWidth="1"/>
    <col min="13067" max="13068" width="7" style="16" bestFit="1" customWidth="1"/>
    <col min="13069" max="13069" width="6.85546875" style="16" bestFit="1" customWidth="1"/>
    <col min="13070" max="13070" width="7" style="16" bestFit="1" customWidth="1"/>
    <col min="13071" max="13071" width="8.4257812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21.85546875" style="16" customWidth="1"/>
    <col min="13315" max="13315" width="8.5703125" style="16" customWidth="1"/>
    <col min="13316" max="13316" width="6.7109375" style="16" bestFit="1" customWidth="1"/>
    <col min="13317" max="13317" width="8.5703125" style="16" bestFit="1" customWidth="1"/>
    <col min="13318" max="13318" width="9.28515625" style="16" bestFit="1" customWidth="1"/>
    <col min="13319" max="13320" width="9.5703125" style="16" customWidth="1"/>
    <col min="13321" max="13321" width="7.140625" style="16" bestFit="1" customWidth="1"/>
    <col min="13322" max="13322" width="7.28515625" style="16" customWidth="1"/>
    <col min="13323" max="13324" width="7" style="16" bestFit="1" customWidth="1"/>
    <col min="13325" max="13325" width="6.85546875" style="16" bestFit="1" customWidth="1"/>
    <col min="13326" max="13326" width="7" style="16" bestFit="1" customWidth="1"/>
    <col min="13327" max="13327" width="8.4257812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21.85546875" style="16" customWidth="1"/>
    <col min="13571" max="13571" width="8.5703125" style="16" customWidth="1"/>
    <col min="13572" max="13572" width="6.7109375" style="16" bestFit="1" customWidth="1"/>
    <col min="13573" max="13573" width="8.5703125" style="16" bestFit="1" customWidth="1"/>
    <col min="13574" max="13574" width="9.28515625" style="16" bestFit="1" customWidth="1"/>
    <col min="13575" max="13576" width="9.5703125" style="16" customWidth="1"/>
    <col min="13577" max="13577" width="7.140625" style="16" bestFit="1" customWidth="1"/>
    <col min="13578" max="13578" width="7.28515625" style="16" customWidth="1"/>
    <col min="13579" max="13580" width="7" style="16" bestFit="1" customWidth="1"/>
    <col min="13581" max="13581" width="6.85546875" style="16" bestFit="1" customWidth="1"/>
    <col min="13582" max="13582" width="7" style="16" bestFit="1" customWidth="1"/>
    <col min="13583" max="13583" width="8.4257812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21.85546875" style="16" customWidth="1"/>
    <col min="13827" max="13827" width="8.5703125" style="16" customWidth="1"/>
    <col min="13828" max="13828" width="6.7109375" style="16" bestFit="1" customWidth="1"/>
    <col min="13829" max="13829" width="8.5703125" style="16" bestFit="1" customWidth="1"/>
    <col min="13830" max="13830" width="9.28515625" style="16" bestFit="1" customWidth="1"/>
    <col min="13831" max="13832" width="9.5703125" style="16" customWidth="1"/>
    <col min="13833" max="13833" width="7.140625" style="16" bestFit="1" customWidth="1"/>
    <col min="13834" max="13834" width="7.28515625" style="16" customWidth="1"/>
    <col min="13835" max="13836" width="7" style="16" bestFit="1" customWidth="1"/>
    <col min="13837" max="13837" width="6.85546875" style="16" bestFit="1" customWidth="1"/>
    <col min="13838" max="13838" width="7" style="16" bestFit="1" customWidth="1"/>
    <col min="13839" max="13839" width="8.4257812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21.85546875" style="16" customWidth="1"/>
    <col min="14083" max="14083" width="8.5703125" style="16" customWidth="1"/>
    <col min="14084" max="14084" width="6.7109375" style="16" bestFit="1" customWidth="1"/>
    <col min="14085" max="14085" width="8.5703125" style="16" bestFit="1" customWidth="1"/>
    <col min="14086" max="14086" width="9.28515625" style="16" bestFit="1" customWidth="1"/>
    <col min="14087" max="14088" width="9.5703125" style="16" customWidth="1"/>
    <col min="14089" max="14089" width="7.140625" style="16" bestFit="1" customWidth="1"/>
    <col min="14090" max="14090" width="7.28515625" style="16" customWidth="1"/>
    <col min="14091" max="14092" width="7" style="16" bestFit="1" customWidth="1"/>
    <col min="14093" max="14093" width="6.85546875" style="16" bestFit="1" customWidth="1"/>
    <col min="14094" max="14094" width="7" style="16" bestFit="1" customWidth="1"/>
    <col min="14095" max="14095" width="8.4257812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21.85546875" style="16" customWidth="1"/>
    <col min="14339" max="14339" width="8.5703125" style="16" customWidth="1"/>
    <col min="14340" max="14340" width="6.7109375" style="16" bestFit="1" customWidth="1"/>
    <col min="14341" max="14341" width="8.5703125" style="16" bestFit="1" customWidth="1"/>
    <col min="14342" max="14342" width="9.28515625" style="16" bestFit="1" customWidth="1"/>
    <col min="14343" max="14344" width="9.5703125" style="16" customWidth="1"/>
    <col min="14345" max="14345" width="7.140625" style="16" bestFit="1" customWidth="1"/>
    <col min="14346" max="14346" width="7.28515625" style="16" customWidth="1"/>
    <col min="14347" max="14348" width="7" style="16" bestFit="1" customWidth="1"/>
    <col min="14349" max="14349" width="6.85546875" style="16" bestFit="1" customWidth="1"/>
    <col min="14350" max="14350" width="7" style="16" bestFit="1" customWidth="1"/>
    <col min="14351" max="14351" width="8.4257812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21.85546875" style="16" customWidth="1"/>
    <col min="14595" max="14595" width="8.5703125" style="16" customWidth="1"/>
    <col min="14596" max="14596" width="6.7109375" style="16" bestFit="1" customWidth="1"/>
    <col min="14597" max="14597" width="8.5703125" style="16" bestFit="1" customWidth="1"/>
    <col min="14598" max="14598" width="9.28515625" style="16" bestFit="1" customWidth="1"/>
    <col min="14599" max="14600" width="9.5703125" style="16" customWidth="1"/>
    <col min="14601" max="14601" width="7.140625" style="16" bestFit="1" customWidth="1"/>
    <col min="14602" max="14602" width="7.28515625" style="16" customWidth="1"/>
    <col min="14603" max="14604" width="7" style="16" bestFit="1" customWidth="1"/>
    <col min="14605" max="14605" width="6.85546875" style="16" bestFit="1" customWidth="1"/>
    <col min="14606" max="14606" width="7" style="16" bestFit="1" customWidth="1"/>
    <col min="14607" max="14607" width="8.4257812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21.85546875" style="16" customWidth="1"/>
    <col min="14851" max="14851" width="8.5703125" style="16" customWidth="1"/>
    <col min="14852" max="14852" width="6.7109375" style="16" bestFit="1" customWidth="1"/>
    <col min="14853" max="14853" width="8.5703125" style="16" bestFit="1" customWidth="1"/>
    <col min="14854" max="14854" width="9.28515625" style="16" bestFit="1" customWidth="1"/>
    <col min="14855" max="14856" width="9.5703125" style="16" customWidth="1"/>
    <col min="14857" max="14857" width="7.140625" style="16" bestFit="1" customWidth="1"/>
    <col min="14858" max="14858" width="7.28515625" style="16" customWidth="1"/>
    <col min="14859" max="14860" width="7" style="16" bestFit="1" customWidth="1"/>
    <col min="14861" max="14861" width="6.85546875" style="16" bestFit="1" customWidth="1"/>
    <col min="14862" max="14862" width="7" style="16" bestFit="1" customWidth="1"/>
    <col min="14863" max="14863" width="8.4257812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21.85546875" style="16" customWidth="1"/>
    <col min="15107" max="15107" width="8.5703125" style="16" customWidth="1"/>
    <col min="15108" max="15108" width="6.7109375" style="16" bestFit="1" customWidth="1"/>
    <col min="15109" max="15109" width="8.5703125" style="16" bestFit="1" customWidth="1"/>
    <col min="15110" max="15110" width="9.28515625" style="16" bestFit="1" customWidth="1"/>
    <col min="15111" max="15112" width="9.5703125" style="16" customWidth="1"/>
    <col min="15113" max="15113" width="7.140625" style="16" bestFit="1" customWidth="1"/>
    <col min="15114" max="15114" width="7.28515625" style="16" customWidth="1"/>
    <col min="15115" max="15116" width="7" style="16" bestFit="1" customWidth="1"/>
    <col min="15117" max="15117" width="6.85546875" style="16" bestFit="1" customWidth="1"/>
    <col min="15118" max="15118" width="7" style="16" bestFit="1" customWidth="1"/>
    <col min="15119" max="15119" width="8.4257812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21.85546875" style="16" customWidth="1"/>
    <col min="15363" max="15363" width="8.5703125" style="16" customWidth="1"/>
    <col min="15364" max="15364" width="6.7109375" style="16" bestFit="1" customWidth="1"/>
    <col min="15365" max="15365" width="8.5703125" style="16" bestFit="1" customWidth="1"/>
    <col min="15366" max="15366" width="9.28515625" style="16" bestFit="1" customWidth="1"/>
    <col min="15367" max="15368" width="9.5703125" style="16" customWidth="1"/>
    <col min="15369" max="15369" width="7.140625" style="16" bestFit="1" customWidth="1"/>
    <col min="15370" max="15370" width="7.28515625" style="16" customWidth="1"/>
    <col min="15371" max="15372" width="7" style="16" bestFit="1" customWidth="1"/>
    <col min="15373" max="15373" width="6.85546875" style="16" bestFit="1" customWidth="1"/>
    <col min="15374" max="15374" width="7" style="16" bestFit="1" customWidth="1"/>
    <col min="15375" max="15375" width="8.4257812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21.85546875" style="16" customWidth="1"/>
    <col min="15619" max="15619" width="8.5703125" style="16" customWidth="1"/>
    <col min="15620" max="15620" width="6.7109375" style="16" bestFit="1" customWidth="1"/>
    <col min="15621" max="15621" width="8.5703125" style="16" bestFit="1" customWidth="1"/>
    <col min="15622" max="15622" width="9.28515625" style="16" bestFit="1" customWidth="1"/>
    <col min="15623" max="15624" width="9.5703125" style="16" customWidth="1"/>
    <col min="15625" max="15625" width="7.140625" style="16" bestFit="1" customWidth="1"/>
    <col min="15626" max="15626" width="7.28515625" style="16" customWidth="1"/>
    <col min="15627" max="15628" width="7" style="16" bestFit="1" customWidth="1"/>
    <col min="15629" max="15629" width="6.85546875" style="16" bestFit="1" customWidth="1"/>
    <col min="15630" max="15630" width="7" style="16" bestFit="1" customWidth="1"/>
    <col min="15631" max="15631" width="8.4257812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21.85546875" style="16" customWidth="1"/>
    <col min="15875" max="15875" width="8.5703125" style="16" customWidth="1"/>
    <col min="15876" max="15876" width="6.7109375" style="16" bestFit="1" customWidth="1"/>
    <col min="15877" max="15877" width="8.5703125" style="16" bestFit="1" customWidth="1"/>
    <col min="15878" max="15878" width="9.28515625" style="16" bestFit="1" customWidth="1"/>
    <col min="15879" max="15880" width="9.5703125" style="16" customWidth="1"/>
    <col min="15881" max="15881" width="7.140625" style="16" bestFit="1" customWidth="1"/>
    <col min="15882" max="15882" width="7.28515625" style="16" customWidth="1"/>
    <col min="15883" max="15884" width="7" style="16" bestFit="1" customWidth="1"/>
    <col min="15885" max="15885" width="6.85546875" style="16" bestFit="1" customWidth="1"/>
    <col min="15886" max="15886" width="7" style="16" bestFit="1" customWidth="1"/>
    <col min="15887" max="15887" width="8.4257812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21.85546875" style="16" customWidth="1"/>
    <col min="16131" max="16131" width="8.5703125" style="16" customWidth="1"/>
    <col min="16132" max="16132" width="6.7109375" style="16" bestFit="1" customWidth="1"/>
    <col min="16133" max="16133" width="8.5703125" style="16" bestFit="1" customWidth="1"/>
    <col min="16134" max="16134" width="9.28515625" style="16" bestFit="1" customWidth="1"/>
    <col min="16135" max="16136" width="9.5703125" style="16" customWidth="1"/>
    <col min="16137" max="16137" width="7.140625" style="16" bestFit="1" customWidth="1"/>
    <col min="16138" max="16138" width="7.28515625" style="16" customWidth="1"/>
    <col min="16139" max="16140" width="7" style="16" bestFit="1" customWidth="1"/>
    <col min="16141" max="16141" width="6.85546875" style="16" bestFit="1" customWidth="1"/>
    <col min="16142" max="16142" width="7" style="16" bestFit="1" customWidth="1"/>
    <col min="16143" max="16143" width="8.4257812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67" t="s">
        <v>100</v>
      </c>
      <c r="B1" s="868"/>
      <c r="C1" s="868"/>
      <c r="D1" s="869"/>
      <c r="E1" s="868"/>
      <c r="F1" s="868"/>
      <c r="G1" s="867" t="s">
        <v>102</v>
      </c>
      <c r="H1" s="869"/>
      <c r="I1" s="869" t="s">
        <v>90</v>
      </c>
      <c r="J1" s="868"/>
      <c r="K1" s="868"/>
      <c r="L1" s="870"/>
      <c r="M1" s="870"/>
      <c r="N1" s="870"/>
      <c r="O1" s="870"/>
    </row>
    <row r="2" spans="1:15" s="1" customFormat="1" x14ac:dyDescent="0.2">
      <c r="A2" s="867" t="s">
        <v>103</v>
      </c>
      <c r="B2" s="868"/>
      <c r="C2" s="868"/>
      <c r="D2" s="869"/>
      <c r="E2" s="868"/>
      <c r="F2" s="868"/>
      <c r="G2" s="867" t="s">
        <v>104</v>
      </c>
      <c r="H2" s="869"/>
      <c r="I2" s="869" t="s">
        <v>105</v>
      </c>
      <c r="J2" s="868"/>
      <c r="K2" s="868"/>
      <c r="L2" s="870"/>
      <c r="M2" s="870"/>
      <c r="N2" s="870"/>
      <c r="O2" s="870"/>
    </row>
    <row r="3" spans="1:15" s="1" customFormat="1" x14ac:dyDescent="0.2">
      <c r="A3" s="867" t="s">
        <v>106</v>
      </c>
      <c r="B3" s="868"/>
      <c r="C3" s="868"/>
      <c r="D3" s="883" t="s">
        <v>250</v>
      </c>
      <c r="E3" s="868"/>
      <c r="F3" s="868"/>
      <c r="G3" s="867" t="s">
        <v>107</v>
      </c>
      <c r="H3" s="869"/>
      <c r="I3" s="869" t="s">
        <v>108</v>
      </c>
      <c r="J3" s="868"/>
      <c r="K3" s="868"/>
      <c r="L3" s="870"/>
      <c r="M3" s="870"/>
      <c r="N3" s="870"/>
      <c r="O3" s="870"/>
    </row>
    <row r="4" spans="1:15" s="1" customFormat="1" x14ac:dyDescent="0.2">
      <c r="A4" s="867" t="s">
        <v>109</v>
      </c>
      <c r="B4" s="868"/>
      <c r="C4" s="868"/>
      <c r="D4" s="869"/>
      <c r="E4" s="868"/>
      <c r="F4" s="868"/>
      <c r="G4" s="867" t="s">
        <v>110</v>
      </c>
      <c r="H4" s="869"/>
      <c r="I4" s="869" t="s">
        <v>251</v>
      </c>
      <c r="J4" s="868"/>
      <c r="K4" s="868"/>
      <c r="L4" s="870"/>
      <c r="M4" s="870"/>
      <c r="N4" s="870"/>
      <c r="O4" s="870"/>
    </row>
    <row r="5" spans="1:15" s="1" customFormat="1" x14ac:dyDescent="0.2">
      <c r="A5" s="867" t="s">
        <v>112</v>
      </c>
      <c r="B5" s="868"/>
      <c r="C5" s="868"/>
      <c r="D5" s="869"/>
      <c r="E5" s="868"/>
      <c r="F5" s="868"/>
      <c r="G5" s="867"/>
      <c r="H5" s="868"/>
      <c r="I5" s="869" t="s">
        <v>113</v>
      </c>
      <c r="J5" s="868"/>
      <c r="K5" s="868"/>
      <c r="L5" s="870"/>
      <c r="M5" s="870"/>
      <c r="N5" s="870"/>
      <c r="O5" s="870"/>
    </row>
    <row r="6" spans="1:15" s="1" customFormat="1" x14ac:dyDescent="0.2">
      <c r="A6" s="871" t="s">
        <v>114</v>
      </c>
      <c r="B6" s="872"/>
      <c r="C6" s="872"/>
      <c r="D6" s="868" t="s">
        <v>91</v>
      </c>
      <c r="E6" s="868"/>
      <c r="F6" s="868"/>
      <c r="G6" s="871" t="s">
        <v>115</v>
      </c>
      <c r="H6" s="871"/>
      <c r="I6" s="2" t="s">
        <v>116</v>
      </c>
      <c r="J6" s="888"/>
      <c r="K6" s="888"/>
      <c r="L6" s="888"/>
      <c r="M6" s="888"/>
      <c r="N6" s="888"/>
      <c r="O6" s="889"/>
    </row>
    <row r="7" spans="1:15" s="1" customFormat="1" ht="13.5" thickBot="1" x14ac:dyDescent="0.25">
      <c r="A7" s="3"/>
      <c r="B7" s="4"/>
      <c r="C7" s="5"/>
      <c r="D7" s="6"/>
      <c r="E7" s="6"/>
      <c r="F7" s="6"/>
      <c r="G7" s="6"/>
      <c r="H7" s="6"/>
      <c r="I7" s="6"/>
      <c r="J7" s="7"/>
      <c r="K7" s="8"/>
      <c r="L7" s="875" t="s">
        <v>223</v>
      </c>
      <c r="M7" s="875"/>
      <c r="N7" s="875"/>
      <c r="O7" s="875"/>
    </row>
    <row r="8" spans="1:15" s="11" customFormat="1" x14ac:dyDescent="0.2">
      <c r="A8" s="876" t="str">
        <f>I1</f>
        <v>Mr. S. T. Ambokar</v>
      </c>
      <c r="B8" s="877"/>
      <c r="C8" s="144">
        <v>43160</v>
      </c>
      <c r="D8" s="144">
        <v>43191</v>
      </c>
      <c r="E8" s="144">
        <v>43221</v>
      </c>
      <c r="F8" s="144">
        <v>43252</v>
      </c>
      <c r="G8" s="144">
        <v>43282</v>
      </c>
      <c r="H8" s="144">
        <v>43313</v>
      </c>
      <c r="I8" s="144">
        <v>43344</v>
      </c>
      <c r="J8" s="144">
        <v>43374</v>
      </c>
      <c r="K8" s="144">
        <v>43405</v>
      </c>
      <c r="L8" s="144">
        <v>43435</v>
      </c>
      <c r="M8" s="144">
        <v>43466</v>
      </c>
      <c r="N8" s="144">
        <v>43497</v>
      </c>
      <c r="O8" s="10" t="s">
        <v>117</v>
      </c>
    </row>
    <row r="9" spans="1:15" ht="15" x14ac:dyDescent="0.2">
      <c r="A9" s="12"/>
      <c r="B9" s="13" t="s">
        <v>118</v>
      </c>
      <c r="C9" s="14">
        <v>33000</v>
      </c>
      <c r="D9" s="14">
        <v>33000</v>
      </c>
      <c r="E9" s="14">
        <v>33000</v>
      </c>
      <c r="F9" s="14">
        <v>33000</v>
      </c>
      <c r="G9" s="14">
        <v>34000</v>
      </c>
      <c r="H9" s="14">
        <v>34000</v>
      </c>
      <c r="I9" s="14">
        <v>34000</v>
      </c>
      <c r="J9" s="14">
        <v>34000</v>
      </c>
      <c r="K9" s="14">
        <v>34000</v>
      </c>
      <c r="L9" s="14">
        <v>34000</v>
      </c>
      <c r="M9" s="14">
        <v>34000</v>
      </c>
      <c r="N9" s="14">
        <v>34000</v>
      </c>
      <c r="O9" s="15">
        <f>SUM(C9:N9)</f>
        <v>404000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1650</v>
      </c>
      <c r="D11" s="17">
        <v>2310</v>
      </c>
      <c r="E11" s="17">
        <v>2310</v>
      </c>
      <c r="F11" s="17">
        <v>2310</v>
      </c>
      <c r="G11" s="17">
        <v>2380</v>
      </c>
      <c r="H11" s="17">
        <v>2380</v>
      </c>
      <c r="I11" s="17">
        <v>2380</v>
      </c>
      <c r="J11" s="17">
        <v>3060</v>
      </c>
      <c r="K11" s="17">
        <v>3060</v>
      </c>
      <c r="L11" s="17">
        <v>3060</v>
      </c>
      <c r="M11" s="17">
        <v>3060</v>
      </c>
      <c r="N11" s="17">
        <v>3060</v>
      </c>
      <c r="O11" s="18">
        <f>SUM(C11:N11)</f>
        <v>31020</v>
      </c>
    </row>
    <row r="12" spans="1:15"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x14ac:dyDescent="0.2">
      <c r="A14" s="12"/>
      <c r="B14" s="13" t="s">
        <v>123</v>
      </c>
      <c r="C14" s="17">
        <v>3780</v>
      </c>
      <c r="D14" s="17">
        <v>3852</v>
      </c>
      <c r="E14" s="17">
        <v>3852</v>
      </c>
      <c r="F14" s="17">
        <v>3852</v>
      </c>
      <c r="G14" s="17">
        <v>3852</v>
      </c>
      <c r="H14" s="17">
        <v>3852</v>
      </c>
      <c r="I14" s="17">
        <v>3852</v>
      </c>
      <c r="J14" s="17">
        <v>3924</v>
      </c>
      <c r="K14" s="17">
        <v>3924</v>
      </c>
      <c r="L14" s="17">
        <v>3924</v>
      </c>
      <c r="M14" s="17">
        <v>3924</v>
      </c>
      <c r="N14" s="17">
        <v>3924</v>
      </c>
      <c r="O14" s="18">
        <f t="shared" si="0"/>
        <v>46512</v>
      </c>
    </row>
    <row r="15" spans="1:15" ht="15"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x14ac:dyDescent="0.2">
      <c r="A16" s="12"/>
      <c r="B16" s="13" t="s">
        <v>125</v>
      </c>
      <c r="C16" s="17">
        <v>0</v>
      </c>
      <c r="D16" s="17">
        <v>0</v>
      </c>
      <c r="E16" s="17">
        <v>0</v>
      </c>
      <c r="F16" s="17">
        <v>0</v>
      </c>
      <c r="G16" s="17">
        <v>5000</v>
      </c>
      <c r="H16" s="17">
        <v>0</v>
      </c>
      <c r="I16" s="17">
        <v>0</v>
      </c>
      <c r="J16" s="17">
        <v>0</v>
      </c>
      <c r="K16" s="17">
        <v>0</v>
      </c>
      <c r="L16" s="17">
        <v>0</v>
      </c>
      <c r="M16" s="17">
        <v>0</v>
      </c>
      <c r="N16" s="17">
        <v>0</v>
      </c>
      <c r="O16" s="18">
        <f t="shared" si="0"/>
        <v>5000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7920</v>
      </c>
      <c r="D19" s="17">
        <v>7920</v>
      </c>
      <c r="E19" s="17">
        <v>7920</v>
      </c>
      <c r="F19" s="17">
        <v>7920</v>
      </c>
      <c r="G19" s="17">
        <v>8160</v>
      </c>
      <c r="H19" s="17">
        <v>8160</v>
      </c>
      <c r="I19" s="17">
        <v>8160</v>
      </c>
      <c r="J19" s="17">
        <v>8160</v>
      </c>
      <c r="K19" s="17">
        <v>8160</v>
      </c>
      <c r="L19" s="17">
        <v>8160</v>
      </c>
      <c r="M19" s="17">
        <v>8160</v>
      </c>
      <c r="N19" s="17">
        <v>8160</v>
      </c>
      <c r="O19" s="18">
        <f t="shared" si="0"/>
        <v>96960</v>
      </c>
    </row>
    <row r="20" spans="1:15" ht="15" customHeight="1" x14ac:dyDescent="0.2">
      <c r="A20" s="12"/>
      <c r="B20" s="13" t="s">
        <v>143</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78"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79"/>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5" ht="15" hidden="1" customHeight="1" x14ac:dyDescent="0.2">
      <c r="A23" s="879"/>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79"/>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79"/>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79"/>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79"/>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79"/>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79"/>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79"/>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79"/>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79"/>
      <c r="B32" s="21" t="s">
        <v>142</v>
      </c>
      <c r="C32" s="17">
        <v>0</v>
      </c>
      <c r="D32" s="17">
        <v>0</v>
      </c>
      <c r="E32" s="17">
        <v>0</v>
      </c>
      <c r="F32" s="17">
        <v>0</v>
      </c>
      <c r="G32" s="17">
        <v>0</v>
      </c>
      <c r="H32" s="17">
        <v>0</v>
      </c>
      <c r="I32" s="17">
        <v>0</v>
      </c>
      <c r="J32" s="17">
        <v>0</v>
      </c>
      <c r="K32" s="17">
        <v>0</v>
      </c>
      <c r="L32" s="17">
        <v>0</v>
      </c>
      <c r="M32" s="17">
        <v>0</v>
      </c>
      <c r="N32" s="17">
        <v>0</v>
      </c>
      <c r="O32" s="18">
        <f t="shared" si="0"/>
        <v>0</v>
      </c>
    </row>
    <row r="33" spans="1:19" ht="15" customHeight="1" x14ac:dyDescent="0.2">
      <c r="A33" s="880"/>
      <c r="B33" s="19" t="s">
        <v>252</v>
      </c>
      <c r="C33" s="17">
        <v>0</v>
      </c>
      <c r="D33" s="17">
        <v>0</v>
      </c>
      <c r="E33" s="17">
        <v>0</v>
      </c>
      <c r="F33" s="17">
        <v>0</v>
      </c>
      <c r="G33" s="17">
        <v>0</v>
      </c>
      <c r="H33" s="17">
        <v>0</v>
      </c>
      <c r="I33" s="17">
        <v>0</v>
      </c>
      <c r="J33" s="17">
        <v>0</v>
      </c>
      <c r="K33" s="17">
        <v>0</v>
      </c>
      <c r="L33" s="17">
        <v>0</v>
      </c>
      <c r="M33" s="17">
        <v>0</v>
      </c>
      <c r="N33" s="17">
        <v>0</v>
      </c>
      <c r="O33" s="18">
        <f t="shared" si="0"/>
        <v>0</v>
      </c>
    </row>
    <row r="34" spans="1:19" ht="15" customHeight="1" x14ac:dyDescent="0.2">
      <c r="A34" s="865" t="s">
        <v>144</v>
      </c>
      <c r="B34" s="866"/>
      <c r="C34" s="17">
        <v>0</v>
      </c>
      <c r="D34" s="17">
        <v>0</v>
      </c>
      <c r="E34" s="17">
        <v>0</v>
      </c>
      <c r="F34" s="17">
        <v>0</v>
      </c>
      <c r="G34" s="17">
        <v>0</v>
      </c>
      <c r="H34" s="17">
        <v>0</v>
      </c>
      <c r="I34" s="17">
        <v>0</v>
      </c>
      <c r="J34" s="17">
        <v>0</v>
      </c>
      <c r="K34" s="17">
        <v>0</v>
      </c>
      <c r="L34" s="17">
        <v>0</v>
      </c>
      <c r="M34" s="17">
        <v>0</v>
      </c>
      <c r="N34" s="17">
        <v>0</v>
      </c>
      <c r="O34" s="18">
        <f t="shared" si="0"/>
        <v>0</v>
      </c>
      <c r="S34" s="16">
        <v>36143</v>
      </c>
    </row>
    <row r="35" spans="1:19" ht="15" customHeight="1" x14ac:dyDescent="0.2">
      <c r="A35" s="865" t="s">
        <v>145</v>
      </c>
      <c r="B35" s="866"/>
      <c r="C35" s="17">
        <v>0</v>
      </c>
      <c r="D35" s="17">
        <v>216</v>
      </c>
      <c r="E35" s="17">
        <v>0</v>
      </c>
      <c r="F35" s="17">
        <v>0</v>
      </c>
      <c r="G35" s="17">
        <v>0</v>
      </c>
      <c r="H35" s="17">
        <v>0</v>
      </c>
      <c r="I35" s="17">
        <v>0</v>
      </c>
      <c r="J35" s="17">
        <v>216</v>
      </c>
      <c r="K35" s="17">
        <v>0</v>
      </c>
      <c r="L35" s="17">
        <v>0</v>
      </c>
      <c r="M35" s="17">
        <v>0</v>
      </c>
      <c r="N35" s="17">
        <v>0</v>
      </c>
      <c r="O35" s="18">
        <f t="shared" si="0"/>
        <v>432</v>
      </c>
    </row>
    <row r="36" spans="1:19" ht="15" customHeight="1" x14ac:dyDescent="0.2">
      <c r="A36" s="865" t="s">
        <v>146</v>
      </c>
      <c r="B36" s="866"/>
      <c r="C36" s="17">
        <v>0</v>
      </c>
      <c r="D36" s="17">
        <v>1980</v>
      </c>
      <c r="E36" s="17">
        <v>0</v>
      </c>
      <c r="F36" s="17">
        <v>0</v>
      </c>
      <c r="G36" s="17">
        <v>0</v>
      </c>
      <c r="H36" s="17">
        <v>0</v>
      </c>
      <c r="I36" s="17">
        <v>0</v>
      </c>
      <c r="J36" s="17">
        <v>2040</v>
      </c>
      <c r="K36" s="17">
        <v>0</v>
      </c>
      <c r="L36" s="17">
        <v>0</v>
      </c>
      <c r="M36" s="17">
        <v>0</v>
      </c>
      <c r="N36" s="17">
        <v>0</v>
      </c>
      <c r="O36" s="18">
        <f t="shared" si="0"/>
        <v>4020</v>
      </c>
    </row>
    <row r="37" spans="1:19" ht="15" customHeight="1" x14ac:dyDescent="0.2">
      <c r="A37" s="22"/>
      <c r="B37" s="23" t="s">
        <v>147</v>
      </c>
      <c r="C37" s="24">
        <f t="shared" ref="C37:N37" si="1">SUM(C9:C36)</f>
        <v>46350</v>
      </c>
      <c r="D37" s="24">
        <f t="shared" si="1"/>
        <v>49278</v>
      </c>
      <c r="E37" s="24">
        <f t="shared" si="1"/>
        <v>47082</v>
      </c>
      <c r="F37" s="24">
        <f t="shared" si="1"/>
        <v>47082</v>
      </c>
      <c r="G37" s="24">
        <f t="shared" si="1"/>
        <v>53392</v>
      </c>
      <c r="H37" s="24">
        <f t="shared" si="1"/>
        <v>48392</v>
      </c>
      <c r="I37" s="24">
        <f t="shared" si="1"/>
        <v>48392</v>
      </c>
      <c r="J37" s="24">
        <f t="shared" si="1"/>
        <v>58308</v>
      </c>
      <c r="K37" s="24">
        <f t="shared" si="1"/>
        <v>49144</v>
      </c>
      <c r="L37" s="24">
        <f t="shared" si="1"/>
        <v>49144</v>
      </c>
      <c r="M37" s="24">
        <f t="shared" si="1"/>
        <v>49144</v>
      </c>
      <c r="N37" s="24">
        <f t="shared" si="1"/>
        <v>49144</v>
      </c>
      <c r="O37" s="25">
        <f>SUM(C37:N37)</f>
        <v>594852</v>
      </c>
    </row>
    <row r="38" spans="1:19" ht="15" customHeight="1" x14ac:dyDescent="0.2">
      <c r="A38" s="853" t="s">
        <v>148</v>
      </c>
      <c r="B38" s="27" t="s">
        <v>149</v>
      </c>
      <c r="C38" s="147">
        <v>0</v>
      </c>
      <c r="D38" s="147">
        <v>0</v>
      </c>
      <c r="E38" s="147">
        <v>0</v>
      </c>
      <c r="F38" s="147">
        <v>0</v>
      </c>
      <c r="G38" s="147">
        <v>0</v>
      </c>
      <c r="H38" s="147">
        <v>0</v>
      </c>
      <c r="I38" s="147">
        <v>0</v>
      </c>
      <c r="J38" s="147">
        <v>500</v>
      </c>
      <c r="K38" s="147">
        <v>1250</v>
      </c>
      <c r="L38" s="147">
        <v>1245</v>
      </c>
      <c r="M38" s="147">
        <v>1245</v>
      </c>
      <c r="N38" s="147">
        <v>1245</v>
      </c>
      <c r="O38" s="18">
        <f>SUM(C38:N38)</f>
        <v>5485</v>
      </c>
    </row>
    <row r="39" spans="1:19" ht="15" x14ac:dyDescent="0.2">
      <c r="A39" s="854"/>
      <c r="B39" s="27" t="s">
        <v>150</v>
      </c>
      <c r="C39" s="147">
        <v>0</v>
      </c>
      <c r="D39" s="147">
        <v>0</v>
      </c>
      <c r="E39" s="147">
        <v>0</v>
      </c>
      <c r="F39" s="147">
        <v>0</v>
      </c>
      <c r="G39" s="147">
        <v>0</v>
      </c>
      <c r="H39" s="147">
        <v>0</v>
      </c>
      <c r="I39" s="147">
        <v>0</v>
      </c>
      <c r="J39" s="147">
        <v>0</v>
      </c>
      <c r="K39" s="147">
        <v>0</v>
      </c>
      <c r="L39" s="147">
        <v>0</v>
      </c>
      <c r="M39" s="147">
        <v>0</v>
      </c>
      <c r="N39" s="147">
        <v>0</v>
      </c>
      <c r="O39" s="18">
        <f>SUM(C39:N39)</f>
        <v>0</v>
      </c>
    </row>
    <row r="40" spans="1:19" ht="15" x14ac:dyDescent="0.2">
      <c r="A40" s="854"/>
      <c r="B40" s="27" t="s">
        <v>151</v>
      </c>
      <c r="C40" s="147">
        <v>30</v>
      </c>
      <c r="D40" s="147">
        <v>30</v>
      </c>
      <c r="E40" s="147">
        <v>30</v>
      </c>
      <c r="F40" s="147">
        <v>30</v>
      </c>
      <c r="G40" s="147">
        <v>30</v>
      </c>
      <c r="H40" s="147">
        <v>30</v>
      </c>
      <c r="I40" s="147">
        <v>30</v>
      </c>
      <c r="J40" s="147">
        <v>30</v>
      </c>
      <c r="K40" s="147">
        <v>30</v>
      </c>
      <c r="L40" s="147">
        <v>30</v>
      </c>
      <c r="M40" s="147">
        <v>30</v>
      </c>
      <c r="N40" s="147">
        <v>30</v>
      </c>
      <c r="O40" s="18">
        <f t="shared" ref="O40:O50" si="2">SUM(C40:N40)</f>
        <v>360</v>
      </c>
    </row>
    <row r="41" spans="1:19" ht="15" x14ac:dyDescent="0.2">
      <c r="A41" s="854"/>
      <c r="B41" s="27" t="s">
        <v>152</v>
      </c>
      <c r="C41" s="147">
        <v>0</v>
      </c>
      <c r="D41" s="147">
        <v>0</v>
      </c>
      <c r="E41" s="147">
        <v>0</v>
      </c>
      <c r="F41" s="147">
        <v>0</v>
      </c>
      <c r="G41" s="147">
        <v>0</v>
      </c>
      <c r="H41" s="147">
        <v>0</v>
      </c>
      <c r="I41" s="147">
        <v>0</v>
      </c>
      <c r="J41" s="147">
        <v>0</v>
      </c>
      <c r="K41" s="147">
        <v>0</v>
      </c>
      <c r="L41" s="147">
        <v>0</v>
      </c>
      <c r="M41" s="147">
        <v>0</v>
      </c>
      <c r="N41" s="147">
        <v>0</v>
      </c>
      <c r="O41" s="18">
        <f t="shared" si="2"/>
        <v>0</v>
      </c>
    </row>
    <row r="42" spans="1:19" ht="15" x14ac:dyDescent="0.2">
      <c r="A42" s="854"/>
      <c r="B42" s="27" t="s">
        <v>153</v>
      </c>
      <c r="C42" s="147">
        <v>250</v>
      </c>
      <c r="D42" s="147">
        <v>250</v>
      </c>
      <c r="E42" s="147">
        <v>250</v>
      </c>
      <c r="F42" s="147">
        <v>250</v>
      </c>
      <c r="G42" s="147">
        <v>250</v>
      </c>
      <c r="H42" s="147">
        <v>250</v>
      </c>
      <c r="I42" s="147">
        <v>250</v>
      </c>
      <c r="J42" s="147">
        <v>250</v>
      </c>
      <c r="K42" s="147">
        <v>250</v>
      </c>
      <c r="L42" s="147">
        <v>250</v>
      </c>
      <c r="M42" s="147">
        <v>250</v>
      </c>
      <c r="N42" s="147">
        <v>250</v>
      </c>
      <c r="O42" s="18">
        <f t="shared" si="2"/>
        <v>3000</v>
      </c>
    </row>
    <row r="43" spans="1:19" ht="15" x14ac:dyDescent="0.2">
      <c r="A43" s="854"/>
      <c r="B43" s="27" t="s">
        <v>154</v>
      </c>
      <c r="C43" s="147">
        <v>20000</v>
      </c>
      <c r="D43" s="147">
        <v>20000</v>
      </c>
      <c r="E43" s="147">
        <v>20000</v>
      </c>
      <c r="F43" s="147">
        <v>22000</v>
      </c>
      <c r="G43" s="147">
        <v>22000</v>
      </c>
      <c r="H43" s="147">
        <v>22000</v>
      </c>
      <c r="I43" s="147">
        <v>22000</v>
      </c>
      <c r="J43" s="147">
        <v>22000</v>
      </c>
      <c r="K43" s="147">
        <v>22000</v>
      </c>
      <c r="L43" s="147">
        <v>22000</v>
      </c>
      <c r="M43" s="147">
        <v>22000</v>
      </c>
      <c r="N43" s="147">
        <v>22000</v>
      </c>
      <c r="O43" s="18">
        <f t="shared" si="2"/>
        <v>258000</v>
      </c>
    </row>
    <row r="44" spans="1:19" ht="15" x14ac:dyDescent="0.2">
      <c r="A44" s="854"/>
      <c r="B44" s="27" t="s">
        <v>155</v>
      </c>
      <c r="C44" s="147">
        <v>200</v>
      </c>
      <c r="D44" s="147">
        <v>200</v>
      </c>
      <c r="E44" s="147">
        <v>200</v>
      </c>
      <c r="F44" s="147">
        <v>200</v>
      </c>
      <c r="G44" s="147">
        <v>200</v>
      </c>
      <c r="H44" s="147">
        <v>200</v>
      </c>
      <c r="I44" s="147">
        <v>200</v>
      </c>
      <c r="J44" s="147">
        <v>200</v>
      </c>
      <c r="K44" s="147">
        <v>200</v>
      </c>
      <c r="L44" s="147">
        <v>200</v>
      </c>
      <c r="M44" s="147">
        <v>200</v>
      </c>
      <c r="N44" s="147">
        <v>300</v>
      </c>
      <c r="O44" s="18">
        <f t="shared" si="2"/>
        <v>2500</v>
      </c>
    </row>
    <row r="45" spans="1:19" ht="15" x14ac:dyDescent="0.2">
      <c r="A45" s="854"/>
      <c r="B45" s="27" t="s">
        <v>156</v>
      </c>
      <c r="C45" s="147">
        <v>0</v>
      </c>
      <c r="D45" s="147">
        <v>0</v>
      </c>
      <c r="E45" s="147">
        <v>0</v>
      </c>
      <c r="F45" s="147">
        <v>0</v>
      </c>
      <c r="G45" s="147">
        <v>0</v>
      </c>
      <c r="H45" s="147">
        <v>0</v>
      </c>
      <c r="I45" s="147">
        <v>0</v>
      </c>
      <c r="J45" s="147">
        <v>0</v>
      </c>
      <c r="K45" s="147">
        <v>0</v>
      </c>
      <c r="L45" s="147">
        <v>0</v>
      </c>
      <c r="M45" s="147">
        <v>0</v>
      </c>
      <c r="N45" s="147">
        <v>0</v>
      </c>
      <c r="O45" s="18">
        <f t="shared" si="2"/>
        <v>0</v>
      </c>
    </row>
    <row r="46" spans="1:19" ht="15" x14ac:dyDescent="0.2">
      <c r="A46" s="854"/>
      <c r="B46" s="27" t="s">
        <v>157</v>
      </c>
      <c r="C46" s="147">
        <v>0</v>
      </c>
      <c r="D46" s="147">
        <v>0</v>
      </c>
      <c r="E46" s="147">
        <v>0</v>
      </c>
      <c r="F46" s="147">
        <v>0</v>
      </c>
      <c r="G46" s="147">
        <v>0</v>
      </c>
      <c r="H46" s="147">
        <v>0</v>
      </c>
      <c r="I46" s="147">
        <v>0</v>
      </c>
      <c r="J46" s="147">
        <v>0</v>
      </c>
      <c r="K46" s="147">
        <v>0</v>
      </c>
      <c r="L46" s="147">
        <v>0</v>
      </c>
      <c r="M46" s="147">
        <v>0</v>
      </c>
      <c r="N46" s="147">
        <v>0</v>
      </c>
      <c r="O46" s="18">
        <f t="shared" si="2"/>
        <v>0</v>
      </c>
    </row>
    <row r="47" spans="1:19" ht="28.5" customHeight="1" x14ac:dyDescent="0.2">
      <c r="A47" s="855"/>
      <c r="B47" s="30" t="s">
        <v>158</v>
      </c>
      <c r="C47" s="147">
        <v>0</v>
      </c>
      <c r="D47" s="147">
        <v>0</v>
      </c>
      <c r="E47" s="147">
        <v>0</v>
      </c>
      <c r="F47" s="147">
        <v>0</v>
      </c>
      <c r="G47" s="147">
        <v>0</v>
      </c>
      <c r="H47" s="147">
        <v>0</v>
      </c>
      <c r="I47" s="147">
        <v>0</v>
      </c>
      <c r="J47" s="147">
        <v>0</v>
      </c>
      <c r="K47" s="147">
        <v>0</v>
      </c>
      <c r="L47" s="147">
        <v>0</v>
      </c>
      <c r="M47" s="147">
        <v>0</v>
      </c>
      <c r="N47" s="147">
        <v>0</v>
      </c>
      <c r="O47" s="31">
        <f t="shared" si="2"/>
        <v>0</v>
      </c>
    </row>
    <row r="48" spans="1:19" ht="15" x14ac:dyDescent="0.2">
      <c r="A48" s="856"/>
      <c r="B48" s="127" t="s">
        <v>228</v>
      </c>
      <c r="C48" s="147">
        <v>0</v>
      </c>
      <c r="D48" s="147">
        <v>0</v>
      </c>
      <c r="E48" s="147">
        <v>0</v>
      </c>
      <c r="F48" s="147">
        <v>0</v>
      </c>
      <c r="G48" s="147">
        <v>0</v>
      </c>
      <c r="H48" s="147">
        <v>0</v>
      </c>
      <c r="I48" s="147">
        <v>0</v>
      </c>
      <c r="J48" s="147">
        <v>0</v>
      </c>
      <c r="K48" s="147">
        <v>0</v>
      </c>
      <c r="L48" s="147">
        <v>0</v>
      </c>
      <c r="M48" s="147">
        <v>0</v>
      </c>
      <c r="N48" s="147">
        <v>0</v>
      </c>
      <c r="O48" s="31">
        <f t="shared" si="2"/>
        <v>0</v>
      </c>
    </row>
    <row r="49" spans="1:18" ht="15" x14ac:dyDescent="0.2">
      <c r="A49" s="857" t="s">
        <v>160</v>
      </c>
      <c r="B49" s="858"/>
      <c r="C49" s="33">
        <f>SUM(C38:C48)</f>
        <v>20480</v>
      </c>
      <c r="D49" s="33">
        <f t="shared" ref="D49:N49" si="3">SUM(D38:D48)</f>
        <v>20480</v>
      </c>
      <c r="E49" s="33">
        <f t="shared" si="3"/>
        <v>20480</v>
      </c>
      <c r="F49" s="33">
        <f t="shared" si="3"/>
        <v>22480</v>
      </c>
      <c r="G49" s="33">
        <f t="shared" si="3"/>
        <v>22480</v>
      </c>
      <c r="H49" s="33">
        <f t="shared" si="3"/>
        <v>22480</v>
      </c>
      <c r="I49" s="33">
        <f t="shared" si="3"/>
        <v>22480</v>
      </c>
      <c r="J49" s="33">
        <f t="shared" si="3"/>
        <v>22980</v>
      </c>
      <c r="K49" s="33">
        <f t="shared" si="3"/>
        <v>23730</v>
      </c>
      <c r="L49" s="33">
        <f t="shared" si="3"/>
        <v>23725</v>
      </c>
      <c r="M49" s="33">
        <f t="shared" si="3"/>
        <v>23725</v>
      </c>
      <c r="N49" s="33">
        <f t="shared" si="3"/>
        <v>23825</v>
      </c>
      <c r="O49" s="34">
        <f t="shared" si="2"/>
        <v>269345</v>
      </c>
    </row>
    <row r="50" spans="1:18" ht="15.75" thickBot="1" x14ac:dyDescent="0.25">
      <c r="A50" s="859" t="s">
        <v>161</v>
      </c>
      <c r="B50" s="860"/>
      <c r="C50" s="35">
        <f t="shared" ref="C50:N50" si="4">C37-C49</f>
        <v>25870</v>
      </c>
      <c r="D50" s="35">
        <f t="shared" si="4"/>
        <v>28798</v>
      </c>
      <c r="E50" s="35">
        <f t="shared" si="4"/>
        <v>26602</v>
      </c>
      <c r="F50" s="35">
        <f t="shared" si="4"/>
        <v>24602</v>
      </c>
      <c r="G50" s="35">
        <f t="shared" si="4"/>
        <v>30912</v>
      </c>
      <c r="H50" s="35">
        <f t="shared" si="4"/>
        <v>25912</v>
      </c>
      <c r="I50" s="35">
        <f t="shared" si="4"/>
        <v>25912</v>
      </c>
      <c r="J50" s="35">
        <f t="shared" si="4"/>
        <v>35328</v>
      </c>
      <c r="K50" s="35">
        <f t="shared" si="4"/>
        <v>25414</v>
      </c>
      <c r="L50" s="35">
        <f t="shared" si="4"/>
        <v>25419</v>
      </c>
      <c r="M50" s="35">
        <f t="shared" si="4"/>
        <v>25419</v>
      </c>
      <c r="N50" s="35">
        <f t="shared" si="4"/>
        <v>25319</v>
      </c>
      <c r="O50" s="36">
        <f t="shared" si="2"/>
        <v>325507</v>
      </c>
    </row>
    <row r="51" spans="1:18" x14ac:dyDescent="0.2">
      <c r="J51" s="128">
        <f>+J37-SUM(J22:J36)</f>
        <v>49144</v>
      </c>
    </row>
    <row r="52" spans="1:18" ht="13.5" thickBot="1" x14ac:dyDescent="0.25">
      <c r="J52" s="38">
        <f>+J51-J49</f>
        <v>26164</v>
      </c>
    </row>
    <row r="53" spans="1:18" ht="13.5" thickBot="1" x14ac:dyDescent="0.25">
      <c r="B53" s="789" t="s">
        <v>162</v>
      </c>
      <c r="C53" s="861"/>
      <c r="D53" s="861"/>
      <c r="E53" s="861"/>
      <c r="F53" s="862"/>
      <c r="G53" s="863">
        <f>O37</f>
        <v>594852</v>
      </c>
      <c r="H53" s="864"/>
    </row>
    <row r="54" spans="1:18" ht="13.5" thickBot="1" x14ac:dyDescent="0.25"/>
    <row r="55" spans="1:18" x14ac:dyDescent="0.2">
      <c r="B55" s="830" t="s">
        <v>163</v>
      </c>
      <c r="C55" s="833" t="s">
        <v>164</v>
      </c>
      <c r="D55" s="836" t="s">
        <v>229</v>
      </c>
      <c r="E55" s="837"/>
      <c r="F55" s="838"/>
      <c r="G55" s="839">
        <v>40000</v>
      </c>
      <c r="H55" s="840"/>
    </row>
    <row r="56" spans="1:18" x14ac:dyDescent="0.2">
      <c r="B56" s="831"/>
      <c r="C56" s="834"/>
      <c r="D56" s="841" t="s">
        <v>166</v>
      </c>
      <c r="E56" s="842"/>
      <c r="F56" s="843"/>
      <c r="G56" s="844">
        <f>+O44</f>
        <v>2500</v>
      </c>
      <c r="H56" s="845"/>
      <c r="I56" s="39"/>
      <c r="J56" s="846"/>
      <c r="K56" s="846"/>
      <c r="L56" s="846"/>
      <c r="M56" s="847"/>
      <c r="N56" s="847"/>
      <c r="O56" s="847"/>
    </row>
    <row r="57" spans="1:18" x14ac:dyDescent="0.2">
      <c r="B57" s="886"/>
      <c r="C57" s="887"/>
      <c r="D57" s="153" t="s">
        <v>253</v>
      </c>
      <c r="E57" s="41"/>
      <c r="F57" s="42"/>
      <c r="G57" s="841">
        <f>M109</f>
        <v>43992</v>
      </c>
      <c r="H57" s="1064"/>
      <c r="I57" s="39"/>
      <c r="J57" s="45"/>
      <c r="K57" s="45"/>
      <c r="L57" s="45"/>
      <c r="M57" s="46"/>
      <c r="N57" s="46"/>
      <c r="O57" s="46"/>
    </row>
    <row r="58" spans="1:18" ht="13.5" thickBot="1" x14ac:dyDescent="0.25">
      <c r="B58" s="832"/>
      <c r="C58" s="835"/>
      <c r="D58" s="921" t="s">
        <v>129</v>
      </c>
      <c r="E58" s="849"/>
      <c r="F58" s="850"/>
      <c r="G58" s="851">
        <v>0</v>
      </c>
      <c r="H58" s="852"/>
      <c r="J58" s="47"/>
      <c r="K58" s="47"/>
      <c r="L58" s="47"/>
      <c r="M58" s="47"/>
      <c r="N58" s="47"/>
      <c r="O58" s="47"/>
    </row>
    <row r="59" spans="1:18" ht="13.5" thickBot="1" x14ac:dyDescent="0.25">
      <c r="B59" s="48"/>
      <c r="J59" s="47"/>
      <c r="K59" s="47"/>
      <c r="L59" s="47"/>
      <c r="M59" s="47"/>
      <c r="N59" s="47"/>
      <c r="O59" s="47"/>
    </row>
    <row r="60" spans="1:18" ht="13.5" thickBot="1" x14ac:dyDescent="0.25">
      <c r="B60" s="789" t="s">
        <v>168</v>
      </c>
      <c r="C60" s="790"/>
      <c r="D60" s="790"/>
      <c r="E60" s="790"/>
      <c r="F60" s="791"/>
      <c r="G60" s="825">
        <f>+G53-SUM(G55:H58)</f>
        <v>508360</v>
      </c>
      <c r="H60" s="826"/>
      <c r="J60" s="827" t="s">
        <v>169</v>
      </c>
      <c r="K60" s="828"/>
      <c r="L60" s="828"/>
      <c r="M60" s="828"/>
      <c r="N60" s="828"/>
      <c r="O60" s="829"/>
    </row>
    <row r="61" spans="1:18" ht="13.5" thickBot="1" x14ac:dyDescent="0.25">
      <c r="B61" s="49"/>
      <c r="C61" s="50"/>
      <c r="D61" s="50"/>
      <c r="E61" s="50"/>
      <c r="F61" s="50"/>
      <c r="G61" s="45"/>
      <c r="H61" s="50"/>
      <c r="J61" s="129"/>
      <c r="K61" s="130"/>
      <c r="L61" s="130"/>
      <c r="M61" s="130"/>
      <c r="N61" s="130"/>
      <c r="O61" s="131"/>
    </row>
    <row r="62" spans="1:18" ht="13.5" thickBot="1" x14ac:dyDescent="0.25">
      <c r="B62" s="789" t="s">
        <v>170</v>
      </c>
      <c r="C62" s="790"/>
      <c r="D62" s="790"/>
      <c r="E62" s="790"/>
      <c r="F62" s="791"/>
      <c r="G62" s="805"/>
      <c r="H62" s="791"/>
      <c r="J62" s="129"/>
      <c r="K62" s="130"/>
      <c r="L62" s="130"/>
      <c r="M62" s="130"/>
      <c r="N62" s="130"/>
      <c r="O62" s="131"/>
    </row>
    <row r="63" spans="1:18" ht="12.75" customHeight="1" x14ac:dyDescent="0.2">
      <c r="B63" s="57" t="s">
        <v>171</v>
      </c>
      <c r="C63" s="806" t="s">
        <v>172</v>
      </c>
      <c r="D63" s="807"/>
      <c r="E63" s="807"/>
      <c r="F63" s="808"/>
      <c r="G63" s="809">
        <v>0</v>
      </c>
      <c r="H63" s="809"/>
      <c r="I63" s="58"/>
      <c r="J63" s="810" t="s">
        <v>173</v>
      </c>
      <c r="K63" s="811"/>
      <c r="L63" s="811"/>
      <c r="M63" s="811"/>
      <c r="N63" s="811"/>
      <c r="O63" s="812"/>
      <c r="Q63" s="59"/>
      <c r="R63" s="59"/>
    </row>
    <row r="64" spans="1:18" ht="13.5" thickBot="1" x14ac:dyDescent="0.25">
      <c r="D64" s="37"/>
      <c r="I64" s="58"/>
      <c r="J64" s="60" t="s">
        <v>254</v>
      </c>
      <c r="K64" s="132"/>
      <c r="L64" s="132"/>
      <c r="M64" s="133"/>
      <c r="N64" s="133"/>
      <c r="O64" s="134"/>
      <c r="Q64" s="59"/>
      <c r="R64" s="59"/>
    </row>
    <row r="65" spans="2:18" ht="13.5" thickBot="1" x14ac:dyDescent="0.25">
      <c r="B65" s="789" t="s">
        <v>175</v>
      </c>
      <c r="C65" s="790"/>
      <c r="D65" s="790"/>
      <c r="E65" s="790"/>
      <c r="F65" s="791"/>
      <c r="G65" s="805">
        <f>+G60-G63</f>
        <v>508360</v>
      </c>
      <c r="H65" s="791"/>
      <c r="I65" s="63"/>
      <c r="J65" s="75"/>
      <c r="K65" s="39"/>
      <c r="L65" s="39"/>
      <c r="M65" s="39"/>
      <c r="N65" s="39"/>
      <c r="O65" s="65"/>
      <c r="Q65" s="59"/>
      <c r="R65" s="59"/>
    </row>
    <row r="66" spans="2:18" ht="12.75" customHeight="1" x14ac:dyDescent="0.2">
      <c r="B66" s="48"/>
      <c r="C66" s="48"/>
      <c r="I66" s="63"/>
      <c r="J66" s="64"/>
      <c r="K66" s="39"/>
      <c r="L66" s="39"/>
      <c r="M66" s="39"/>
      <c r="N66" s="39"/>
      <c r="O66" s="65"/>
      <c r="Q66" s="59"/>
      <c r="R66" s="59"/>
    </row>
    <row r="67" spans="2:18" x14ac:dyDescent="0.2">
      <c r="B67" s="66" t="s">
        <v>176</v>
      </c>
      <c r="C67" s="48"/>
      <c r="I67" s="63"/>
      <c r="J67" s="67"/>
      <c r="K67" s="68"/>
      <c r="L67" s="68"/>
      <c r="M67" s="68"/>
      <c r="N67" s="68"/>
      <c r="O67" s="69"/>
      <c r="Q67" s="59"/>
      <c r="R67" s="59"/>
    </row>
    <row r="68" spans="2:18" ht="26.25" customHeight="1" thickBot="1" x14ac:dyDescent="0.25">
      <c r="B68" s="66"/>
      <c r="C68" s="48"/>
      <c r="G68" s="70" t="s">
        <v>177</v>
      </c>
      <c r="H68" s="70" t="s">
        <v>178</v>
      </c>
      <c r="I68" s="63"/>
      <c r="J68" s="810" t="s">
        <v>179</v>
      </c>
      <c r="K68" s="811"/>
      <c r="L68" s="71"/>
      <c r="M68" s="71"/>
      <c r="N68" s="71"/>
      <c r="O68" s="72"/>
      <c r="Q68" s="59"/>
      <c r="R68" s="59"/>
    </row>
    <row r="69" spans="2:18" ht="12.75" customHeight="1" x14ac:dyDescent="0.2">
      <c r="B69" s="802" t="s">
        <v>180</v>
      </c>
      <c r="C69" s="821" t="s">
        <v>181</v>
      </c>
      <c r="D69" s="823" t="s">
        <v>182</v>
      </c>
      <c r="E69" s="824"/>
      <c r="F69" s="824"/>
      <c r="G69" s="73">
        <f>+O43</f>
        <v>258000</v>
      </c>
      <c r="H69" s="74">
        <f t="shared" ref="H69:H77" si="5">+G69</f>
        <v>258000</v>
      </c>
      <c r="I69" s="63"/>
      <c r="J69" s="915">
        <v>883503980</v>
      </c>
      <c r="K69" s="916"/>
      <c r="L69" s="58"/>
      <c r="M69" s="58" t="s">
        <v>255</v>
      </c>
      <c r="N69" s="58"/>
      <c r="O69" s="76"/>
      <c r="P69" s="16" t="s">
        <v>256</v>
      </c>
      <c r="Q69" s="59"/>
      <c r="R69" s="59"/>
    </row>
    <row r="70" spans="2:18" ht="12.75" customHeight="1" x14ac:dyDescent="0.2">
      <c r="B70" s="803"/>
      <c r="C70" s="822"/>
      <c r="D70" s="782" t="s">
        <v>184</v>
      </c>
      <c r="E70" s="783"/>
      <c r="F70" s="783"/>
      <c r="G70" s="77">
        <f>O69</f>
        <v>0</v>
      </c>
      <c r="H70" s="78">
        <f t="shared" si="5"/>
        <v>0</v>
      </c>
      <c r="I70" s="63"/>
      <c r="J70" s="79"/>
      <c r="K70" s="68"/>
      <c r="L70" s="68"/>
      <c r="M70" s="68"/>
      <c r="N70" s="68"/>
      <c r="O70" s="69"/>
      <c r="Q70" s="59"/>
      <c r="R70" s="59"/>
    </row>
    <row r="71" spans="2:18" ht="12.75" customHeight="1" x14ac:dyDescent="0.2">
      <c r="B71" s="803"/>
      <c r="C71" s="822"/>
      <c r="D71" s="819" t="s">
        <v>185</v>
      </c>
      <c r="E71" s="820"/>
      <c r="F71" s="820"/>
      <c r="G71" s="80">
        <f>O40</f>
        <v>360</v>
      </c>
      <c r="H71" s="78">
        <f t="shared" si="5"/>
        <v>360</v>
      </c>
      <c r="I71" s="63"/>
      <c r="J71" s="67"/>
      <c r="K71" s="68"/>
      <c r="L71" s="68"/>
      <c r="M71" s="68"/>
      <c r="N71" s="68"/>
      <c r="O71" s="69"/>
    </row>
    <row r="72" spans="2:18" x14ac:dyDescent="0.2">
      <c r="B72" s="803"/>
      <c r="C72" s="822"/>
      <c r="D72" s="782" t="s">
        <v>186</v>
      </c>
      <c r="E72" s="783"/>
      <c r="F72" s="783"/>
      <c r="G72" s="81">
        <v>0</v>
      </c>
      <c r="H72" s="78">
        <f t="shared" si="5"/>
        <v>0</v>
      </c>
      <c r="I72" s="63"/>
      <c r="J72" s="82" t="s">
        <v>187</v>
      </c>
      <c r="K72" s="71"/>
      <c r="L72" s="71"/>
      <c r="M72" s="71"/>
      <c r="N72" s="71"/>
      <c r="O72" s="72"/>
    </row>
    <row r="73" spans="2:18" ht="12.75" customHeight="1" x14ac:dyDescent="0.2">
      <c r="B73" s="803"/>
      <c r="C73" s="822"/>
      <c r="D73" s="784" t="s">
        <v>188</v>
      </c>
      <c r="E73" s="783"/>
      <c r="F73" s="783"/>
      <c r="G73" s="80">
        <v>0</v>
      </c>
      <c r="H73" s="78">
        <f t="shared" si="5"/>
        <v>0</v>
      </c>
      <c r="I73" s="63"/>
      <c r="J73" s="75" t="s">
        <v>189</v>
      </c>
      <c r="K73" s="50"/>
      <c r="L73" s="50"/>
      <c r="M73" s="50"/>
      <c r="N73" s="50"/>
      <c r="O73" s="83">
        <f>O42</f>
        <v>3000</v>
      </c>
    </row>
    <row r="74" spans="2:18" ht="14.25" customHeight="1" x14ac:dyDescent="0.2">
      <c r="B74" s="803"/>
      <c r="C74" s="822"/>
      <c r="D74" s="782" t="s">
        <v>190</v>
      </c>
      <c r="E74" s="783"/>
      <c r="F74" s="783"/>
      <c r="G74" s="84">
        <v>0</v>
      </c>
      <c r="H74" s="78">
        <f t="shared" si="5"/>
        <v>0</v>
      </c>
      <c r="I74" s="63"/>
      <c r="J74" s="75"/>
      <c r="K74" s="39"/>
      <c r="L74" s="39"/>
      <c r="M74" s="39"/>
      <c r="N74" s="39"/>
      <c r="O74" s="65"/>
    </row>
    <row r="75" spans="2:18" x14ac:dyDescent="0.2">
      <c r="B75" s="803"/>
      <c r="C75" s="822"/>
      <c r="D75" s="782" t="s">
        <v>191</v>
      </c>
      <c r="E75" s="783"/>
      <c r="F75" s="783"/>
      <c r="G75" s="81">
        <v>0</v>
      </c>
      <c r="H75" s="78">
        <f t="shared" si="5"/>
        <v>0</v>
      </c>
      <c r="I75" s="58"/>
      <c r="J75" s="137"/>
      <c r="K75" s="50"/>
      <c r="L75" s="50"/>
      <c r="M75" s="50"/>
      <c r="N75" s="50"/>
      <c r="O75" s="83"/>
    </row>
    <row r="76" spans="2:18" x14ac:dyDescent="0.2">
      <c r="B76" s="803"/>
      <c r="C76" s="88" t="s">
        <v>192</v>
      </c>
      <c r="D76" s="813" t="s">
        <v>193</v>
      </c>
      <c r="E76" s="814"/>
      <c r="F76" s="814"/>
      <c r="G76" s="80">
        <v>0</v>
      </c>
      <c r="H76" s="78">
        <f t="shared" si="5"/>
        <v>0</v>
      </c>
      <c r="I76" s="58"/>
      <c r="J76" s="85"/>
      <c r="K76" s="138"/>
      <c r="L76" s="138"/>
      <c r="M76" s="138"/>
      <c r="N76" s="138"/>
      <c r="O76" s="139"/>
    </row>
    <row r="77" spans="2:18" ht="13.5" customHeight="1" thickBot="1" x14ac:dyDescent="0.25">
      <c r="B77" s="803"/>
      <c r="C77" s="88" t="s">
        <v>194</v>
      </c>
      <c r="D77" s="815" t="s">
        <v>195</v>
      </c>
      <c r="E77" s="815"/>
      <c r="F77" s="815"/>
      <c r="G77" s="89">
        <v>0</v>
      </c>
      <c r="H77" s="90">
        <f t="shared" si="5"/>
        <v>0</v>
      </c>
      <c r="I77" s="63"/>
      <c r="J77" s="75"/>
      <c r="K77" s="68"/>
      <c r="L77" s="68"/>
      <c r="M77" s="91"/>
      <c r="N77" s="91"/>
      <c r="O77" s="92"/>
    </row>
    <row r="78" spans="2:18" ht="13.5" thickBot="1" x14ac:dyDescent="0.25">
      <c r="B78" s="803"/>
      <c r="C78" s="93"/>
      <c r="D78" s="94"/>
      <c r="E78" s="816" t="s">
        <v>117</v>
      </c>
      <c r="F78" s="817"/>
      <c r="G78" s="95">
        <f>SUM(G69:G77)</f>
        <v>258360</v>
      </c>
      <c r="H78" s="96">
        <f>IF(SUM(G69:G75)&lt;150000,SUM(G69:G75),150000)+IF(+G76&lt;20000,+G76,20000)</f>
        <v>150000</v>
      </c>
      <c r="I78" s="63"/>
      <c r="J78" s="140"/>
      <c r="K78" s="141"/>
      <c r="L78" s="141"/>
      <c r="M78" s="142"/>
      <c r="N78" s="142"/>
      <c r="O78" s="143"/>
    </row>
    <row r="79" spans="2:18" ht="12.75" customHeight="1" x14ac:dyDescent="0.2">
      <c r="B79" s="803"/>
      <c r="C79" s="100" t="s">
        <v>196</v>
      </c>
      <c r="D79" s="782" t="s">
        <v>187</v>
      </c>
      <c r="E79" s="783"/>
      <c r="F79" s="818"/>
      <c r="G79" s="73">
        <f>+O42</f>
        <v>3000</v>
      </c>
      <c r="H79" s="101">
        <f>+IF(+G79&lt;25000,+G79,25000)</f>
        <v>3000</v>
      </c>
      <c r="I79" s="87"/>
    </row>
    <row r="80" spans="2:18" x14ac:dyDescent="0.2">
      <c r="B80" s="803"/>
      <c r="C80" s="100" t="s">
        <v>197</v>
      </c>
      <c r="D80" s="784" t="s">
        <v>198</v>
      </c>
      <c r="E80" s="785"/>
      <c r="F80" s="786"/>
      <c r="G80" s="102"/>
      <c r="H80" s="103">
        <f>+IF(+G80&lt;40000,+G80,40000)</f>
        <v>0</v>
      </c>
      <c r="I80" s="63"/>
    </row>
    <row r="81" spans="2:12" x14ac:dyDescent="0.2">
      <c r="B81" s="803"/>
      <c r="C81" s="100" t="s">
        <v>199</v>
      </c>
      <c r="D81" s="784" t="s">
        <v>200</v>
      </c>
      <c r="E81" s="785"/>
      <c r="F81" s="786"/>
      <c r="G81" s="81"/>
      <c r="H81" s="104">
        <v>0</v>
      </c>
      <c r="I81" s="63"/>
      <c r="J81" s="106"/>
    </row>
    <row r="82" spans="2:12" x14ac:dyDescent="0.2">
      <c r="B82" s="803"/>
      <c r="C82" s="100" t="s">
        <v>201</v>
      </c>
      <c r="D82" s="784" t="s">
        <v>202</v>
      </c>
      <c r="E82" s="785"/>
      <c r="F82" s="786"/>
      <c r="G82" s="81"/>
      <c r="H82" s="104">
        <v>0</v>
      </c>
      <c r="I82" s="63"/>
    </row>
    <row r="83" spans="2:12" ht="13.5" thickBot="1" x14ac:dyDescent="0.25">
      <c r="B83" s="804"/>
      <c r="C83" s="100" t="s">
        <v>203</v>
      </c>
      <c r="D83" s="784" t="s">
        <v>204</v>
      </c>
      <c r="E83" s="785"/>
      <c r="F83" s="786"/>
      <c r="G83" s="102"/>
      <c r="H83" s="103">
        <f>+IF(+G83&lt;100000,+G83,10000)</f>
        <v>0</v>
      </c>
      <c r="I83" s="63"/>
    </row>
    <row r="84" spans="2:12" ht="13.5" thickBot="1" x14ac:dyDescent="0.25">
      <c r="B84" s="787" t="s">
        <v>205</v>
      </c>
      <c r="C84" s="788"/>
      <c r="D84" s="788"/>
      <c r="E84" s="788"/>
      <c r="F84" s="788"/>
      <c r="G84" s="107">
        <f>SUM(G79:G83)</f>
        <v>3000</v>
      </c>
      <c r="H84" s="108">
        <f>SUM(H78:H83)</f>
        <v>153000</v>
      </c>
    </row>
    <row r="85" spans="2:12" ht="13.5" thickBot="1" x14ac:dyDescent="0.25"/>
    <row r="86" spans="2:12" ht="13.5" thickBot="1" x14ac:dyDescent="0.25">
      <c r="B86" s="789" t="s">
        <v>206</v>
      </c>
      <c r="C86" s="790"/>
      <c r="D86" s="790"/>
      <c r="E86" s="790"/>
      <c r="F86" s="791"/>
      <c r="G86" s="792">
        <f>+G65-H84</f>
        <v>355360</v>
      </c>
      <c r="H86" s="791"/>
      <c r="J86" s="109">
        <f>C37+D37+E37+F37</f>
        <v>189792</v>
      </c>
      <c r="K86" s="16" t="s">
        <v>235</v>
      </c>
    </row>
    <row r="87" spans="2:12" x14ac:dyDescent="0.2">
      <c r="B87" s="110"/>
      <c r="F87" s="105"/>
      <c r="J87" s="109">
        <f>G37+H37+I37</f>
        <v>150176</v>
      </c>
      <c r="K87" s="16" t="s">
        <v>236</v>
      </c>
      <c r="L87" s="87"/>
    </row>
    <row r="88" spans="2:12" x14ac:dyDescent="0.2">
      <c r="C88" s="793" t="s">
        <v>207</v>
      </c>
      <c r="D88" s="794"/>
      <c r="E88" s="111" t="s">
        <v>208</v>
      </c>
      <c r="F88" s="111" t="s">
        <v>209</v>
      </c>
      <c r="G88" s="111" t="s">
        <v>210</v>
      </c>
      <c r="H88" s="111" t="s">
        <v>211</v>
      </c>
      <c r="J88" s="109">
        <f>J37+K37+L37</f>
        <v>156596</v>
      </c>
      <c r="K88" s="47" t="s">
        <v>237</v>
      </c>
      <c r="L88" s="87"/>
    </row>
    <row r="89" spans="2:12" x14ac:dyDescent="0.2">
      <c r="C89" s="795" t="str">
        <f>IF(I6="M","0          - 250000","0          -  250000")</f>
        <v>0          - 250000</v>
      </c>
      <c r="D89" s="796"/>
      <c r="E89" s="112">
        <v>0</v>
      </c>
      <c r="F89" s="113">
        <f>IF(I6="M",(IF(G86&lt;250000,G86,250000)),(IF(G86&lt;250000,G86,250000)))</f>
        <v>250000</v>
      </c>
      <c r="G89" s="113">
        <f>G86-F89</f>
        <v>105360</v>
      </c>
      <c r="H89" s="113">
        <f>E89*F89</f>
        <v>0</v>
      </c>
      <c r="J89" s="16">
        <f>M37+N37</f>
        <v>98288</v>
      </c>
      <c r="K89" s="1" t="s">
        <v>238</v>
      </c>
      <c r="L89" s="87"/>
    </row>
    <row r="90" spans="2:12" x14ac:dyDescent="0.2">
      <c r="C90" s="795" t="str">
        <f>IF(I6="M","250001 - 500000","250001-500000")</f>
        <v>250001 - 500000</v>
      </c>
      <c r="D90" s="796"/>
      <c r="E90" s="112">
        <v>0.05</v>
      </c>
      <c r="F90" s="113">
        <f>IF(I6="M",(IF(G89&lt;250000,G89,250000)),(IF(G89&lt;250000,G89,250000)))</f>
        <v>105360</v>
      </c>
      <c r="G90" s="113">
        <f>G89-F90</f>
        <v>0</v>
      </c>
      <c r="H90" s="114">
        <f>ROUND(E90*F90,0.1)</f>
        <v>5268</v>
      </c>
      <c r="J90" s="115">
        <f>SUM(J86:J89)</f>
        <v>594852</v>
      </c>
      <c r="L90" s="87"/>
    </row>
    <row r="91" spans="2:12" x14ac:dyDescent="0.2">
      <c r="C91" s="797" t="s">
        <v>212</v>
      </c>
      <c r="D91" s="798"/>
      <c r="E91" s="112">
        <v>0.2</v>
      </c>
      <c r="F91" s="113">
        <f>IF(G90&lt;500000,G90,500000)</f>
        <v>0</v>
      </c>
      <c r="G91" s="113">
        <f>G90-F91</f>
        <v>0</v>
      </c>
      <c r="H91" s="114">
        <f>ROUND(E91*F91,0.1)</f>
        <v>0</v>
      </c>
      <c r="J91" s="16">
        <f>+G86</f>
        <v>355360</v>
      </c>
      <c r="L91" s="87"/>
    </row>
    <row r="92" spans="2:12" x14ac:dyDescent="0.2">
      <c r="C92" s="795" t="s">
        <v>213</v>
      </c>
      <c r="D92" s="796"/>
      <c r="E92" s="112">
        <v>0.3</v>
      </c>
      <c r="F92" s="113">
        <f>G91</f>
        <v>0</v>
      </c>
      <c r="G92" s="113">
        <f>G91-F92</f>
        <v>0</v>
      </c>
      <c r="H92" s="114">
        <f>ROUND(E92*F92,0.1)</f>
        <v>0</v>
      </c>
      <c r="J92" s="16">
        <f>+J90-J91</f>
        <v>239492</v>
      </c>
      <c r="L92" s="87"/>
    </row>
    <row r="93" spans="2:12" ht="12.75" customHeight="1" thickBot="1" x14ac:dyDescent="0.25">
      <c r="B93" s="116"/>
      <c r="C93" s="117"/>
      <c r="D93" s="47"/>
      <c r="E93" s="47"/>
      <c r="F93" s="47"/>
      <c r="J93" s="87">
        <f>+J92/3</f>
        <v>79830.666666666672</v>
      </c>
      <c r="K93" s="118"/>
      <c r="L93" s="87"/>
    </row>
    <row r="94" spans="2:12" ht="13.5" thickBot="1" x14ac:dyDescent="0.25">
      <c r="B94" s="799" t="s">
        <v>239</v>
      </c>
      <c r="C94" s="800"/>
      <c r="D94" s="800"/>
      <c r="E94" s="800"/>
      <c r="F94" s="801"/>
      <c r="G94" s="897">
        <f>H89+H90+H91+H92</f>
        <v>5268</v>
      </c>
      <c r="H94" s="898"/>
      <c r="J94" s="87"/>
      <c r="K94" s="87"/>
    </row>
    <row r="95" spans="2:12" ht="13.5" thickBot="1" x14ac:dyDescent="0.25">
      <c r="B95" s="154" t="s">
        <v>215</v>
      </c>
      <c r="C95" s="155"/>
      <c r="D95" s="155"/>
      <c r="E95" s="155"/>
      <c r="F95" s="155"/>
      <c r="G95" s="1048">
        <f>IF((G65&lt;500000),5000,0)</f>
        <v>0</v>
      </c>
      <c r="H95" s="1049">
        <f>IF(H93&lt;200000,0,IF(H93&lt;220000,((H93-200000)*10%),IF(H93&lt;=500000,2000,IF(H93&gt;=500000,0))))</f>
        <v>0</v>
      </c>
      <c r="J95" s="1"/>
      <c r="K95" s="121"/>
      <c r="L95" s="121"/>
    </row>
    <row r="96" spans="2:12" ht="13.5" thickBot="1" x14ac:dyDescent="0.25">
      <c r="B96" s="122" t="s">
        <v>216</v>
      </c>
      <c r="C96" s="123"/>
      <c r="D96" s="123"/>
      <c r="E96" s="123"/>
      <c r="F96" s="123"/>
      <c r="G96" s="897">
        <f>IF((G94-G95)&lt;0,0,(G94-G95))</f>
        <v>5268</v>
      </c>
      <c r="H96" s="898"/>
      <c r="I96" s="37"/>
    </row>
    <row r="97" spans="2:16" ht="13.5" thickBot="1" x14ac:dyDescent="0.25">
      <c r="B97" s="773" t="s">
        <v>240</v>
      </c>
      <c r="C97" s="774"/>
      <c r="D97" s="774"/>
      <c r="E97" s="774"/>
      <c r="F97" s="775"/>
      <c r="G97" s="899">
        <f>ROUND((IF(G96&gt;0,(G96*4%),0)),0)</f>
        <v>211</v>
      </c>
      <c r="H97" s="900"/>
      <c r="I97" s="37"/>
    </row>
    <row r="98" spans="2:16" ht="13.5" thickBot="1" x14ac:dyDescent="0.25">
      <c r="B98" s="778" t="s">
        <v>218</v>
      </c>
      <c r="C98" s="779"/>
      <c r="D98" s="779"/>
      <c r="E98" s="779"/>
      <c r="F98" s="779"/>
      <c r="G98" s="901">
        <f>G96+G97</f>
        <v>5479</v>
      </c>
      <c r="H98" s="902"/>
      <c r="I98" s="121"/>
    </row>
    <row r="99" spans="2:16" ht="13.5" thickBot="1" x14ac:dyDescent="0.25">
      <c r="B99" s="765" t="s">
        <v>219</v>
      </c>
      <c r="C99" s="766"/>
      <c r="D99" s="766"/>
      <c r="E99" s="766"/>
      <c r="F99" s="766"/>
      <c r="G99" s="893">
        <f>O38</f>
        <v>5485</v>
      </c>
      <c r="H99" s="894"/>
      <c r="I99" s="121"/>
    </row>
    <row r="100" spans="2:16" ht="13.5" thickBot="1" x14ac:dyDescent="0.25">
      <c r="B100" s="765" t="str">
        <f>IF(G100&gt;0,"TAX PAYABLE","TAX REFUND")</f>
        <v>TAX REFUND</v>
      </c>
      <c r="C100" s="766"/>
      <c r="D100" s="766"/>
      <c r="E100" s="766"/>
      <c r="F100" s="766"/>
      <c r="G100" s="893">
        <f>+G98-G99</f>
        <v>-6</v>
      </c>
      <c r="H100" s="894"/>
      <c r="I100" s="37"/>
      <c r="J100" s="156" t="s">
        <v>257</v>
      </c>
      <c r="P100" s="16" t="s">
        <v>258</v>
      </c>
    </row>
    <row r="101" spans="2:16" x14ac:dyDescent="0.2">
      <c r="C101" s="124"/>
      <c r="D101" s="45"/>
      <c r="E101" s="118"/>
      <c r="F101" s="118"/>
      <c r="G101" s="118"/>
      <c r="H101" s="118"/>
      <c r="I101" s="125"/>
      <c r="J101" s="16" t="s">
        <v>259</v>
      </c>
      <c r="O101" s="16">
        <f>(O9+O10+O11)*50%</f>
        <v>217510</v>
      </c>
    </row>
    <row r="102" spans="2:16" x14ac:dyDescent="0.2">
      <c r="C102" s="47"/>
      <c r="D102" s="50"/>
      <c r="E102" s="117"/>
      <c r="F102" s="47"/>
      <c r="G102" s="47"/>
      <c r="H102" s="47"/>
      <c r="I102" s="125"/>
      <c r="J102" s="1" t="s">
        <v>260</v>
      </c>
      <c r="O102" s="16">
        <f>+O19</f>
        <v>96960</v>
      </c>
    </row>
    <row r="103" spans="2:16" x14ac:dyDescent="0.2">
      <c r="C103" s="39"/>
      <c r="D103" s="126"/>
      <c r="E103" s="126"/>
      <c r="F103" s="126"/>
      <c r="G103" s="39"/>
      <c r="H103" s="39"/>
      <c r="I103" s="37"/>
      <c r="J103" s="16" t="s">
        <v>261</v>
      </c>
      <c r="O103" s="16">
        <f>ROUND((7500*12)-(+O9+O10+O11)*10%,0.1)</f>
        <v>46498</v>
      </c>
    </row>
    <row r="104" spans="2:16" x14ac:dyDescent="0.2">
      <c r="C104" s="39"/>
      <c r="D104" s="126"/>
      <c r="E104" s="126"/>
      <c r="F104" s="39"/>
      <c r="G104" s="39"/>
      <c r="H104" s="39"/>
      <c r="I104" s="37"/>
    </row>
    <row r="105" spans="2:16" x14ac:dyDescent="0.2">
      <c r="C105" s="39"/>
      <c r="D105" s="126"/>
      <c r="E105" s="126"/>
      <c r="F105" s="39"/>
      <c r="G105" s="39"/>
      <c r="H105" s="39"/>
      <c r="I105" s="37"/>
      <c r="J105" s="157" t="s">
        <v>262</v>
      </c>
      <c r="K105" s="87"/>
      <c r="L105" s="87"/>
      <c r="O105" s="16">
        <v>43992</v>
      </c>
    </row>
    <row r="106" spans="2:16" x14ac:dyDescent="0.2">
      <c r="C106" s="39"/>
      <c r="D106" s="39"/>
      <c r="E106" s="39"/>
      <c r="F106" s="39"/>
      <c r="G106" s="39"/>
      <c r="H106" s="39"/>
      <c r="I106" s="37"/>
    </row>
    <row r="107" spans="2:16" x14ac:dyDescent="0.2">
      <c r="C107" s="39"/>
      <c r="D107" s="39"/>
      <c r="E107" s="39"/>
      <c r="F107" s="39"/>
      <c r="G107" s="39"/>
      <c r="H107" s="39"/>
    </row>
    <row r="108" spans="2:16" x14ac:dyDescent="0.2">
      <c r="C108" s="39"/>
      <c r="D108" s="39"/>
      <c r="E108" s="39"/>
      <c r="F108" s="39"/>
      <c r="G108" s="39"/>
      <c r="H108" s="39"/>
    </row>
    <row r="109" spans="2:16" x14ac:dyDescent="0.2">
      <c r="J109" s="109" t="s">
        <v>263</v>
      </c>
      <c r="K109" s="109"/>
      <c r="L109" s="109"/>
      <c r="M109" s="109">
        <v>43992</v>
      </c>
    </row>
  </sheetData>
  <mergeCells count="95">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L7:O7"/>
    <mergeCell ref="A8:B8"/>
    <mergeCell ref="A21:A33"/>
    <mergeCell ref="A34:B34"/>
    <mergeCell ref="A35:B35"/>
    <mergeCell ref="I5:O5"/>
    <mergeCell ref="A6:C6"/>
    <mergeCell ref="D6:F6"/>
    <mergeCell ref="G6:H6"/>
    <mergeCell ref="J6:O6"/>
    <mergeCell ref="D55:F55"/>
    <mergeCell ref="G55:H55"/>
    <mergeCell ref="D56:F56"/>
    <mergeCell ref="A36:B36"/>
    <mergeCell ref="A5:C5"/>
    <mergeCell ref="D5:F5"/>
    <mergeCell ref="G5:H5"/>
    <mergeCell ref="A38:A48"/>
    <mergeCell ref="A49:B49"/>
    <mergeCell ref="A50:B50"/>
    <mergeCell ref="B53:F53"/>
    <mergeCell ref="G53:H53"/>
    <mergeCell ref="C63:F63"/>
    <mergeCell ref="G63:H63"/>
    <mergeCell ref="J63:O63"/>
    <mergeCell ref="G56:H56"/>
    <mergeCell ref="J56:L56"/>
    <mergeCell ref="M56:O56"/>
    <mergeCell ref="G57:H57"/>
    <mergeCell ref="D58:F58"/>
    <mergeCell ref="G58:H58"/>
    <mergeCell ref="B60:F60"/>
    <mergeCell ref="G60:H60"/>
    <mergeCell ref="J60:O60"/>
    <mergeCell ref="B62:F62"/>
    <mergeCell ref="G62:H62"/>
    <mergeCell ref="B55:B58"/>
    <mergeCell ref="C55:C58"/>
    <mergeCell ref="B65:F65"/>
    <mergeCell ref="G65:H65"/>
    <mergeCell ref="J68:K68"/>
    <mergeCell ref="B69:B83"/>
    <mergeCell ref="C69:C75"/>
    <mergeCell ref="D69:F69"/>
    <mergeCell ref="J69:K69"/>
    <mergeCell ref="D70:F70"/>
    <mergeCell ref="D71:F71"/>
    <mergeCell ref="D72:F72"/>
    <mergeCell ref="B84:F84"/>
    <mergeCell ref="D73:F73"/>
    <mergeCell ref="D74:F74"/>
    <mergeCell ref="D75:F75"/>
    <mergeCell ref="D76:F76"/>
    <mergeCell ref="D77:F77"/>
    <mergeCell ref="E78:F78"/>
    <mergeCell ref="D79:F79"/>
    <mergeCell ref="D80:F80"/>
    <mergeCell ref="D81:F81"/>
    <mergeCell ref="D82:F82"/>
    <mergeCell ref="D83:F83"/>
    <mergeCell ref="B97:F97"/>
    <mergeCell ref="G97:H97"/>
    <mergeCell ref="B86:F86"/>
    <mergeCell ref="G86:H86"/>
    <mergeCell ref="C88:D88"/>
    <mergeCell ref="C89:D89"/>
    <mergeCell ref="C90:D90"/>
    <mergeCell ref="C91:D91"/>
    <mergeCell ref="C92:D92"/>
    <mergeCell ref="B94:F94"/>
    <mergeCell ref="G94:H94"/>
    <mergeCell ref="G95:H95"/>
    <mergeCell ref="G96:H96"/>
    <mergeCell ref="B98:F98"/>
    <mergeCell ref="G98:H98"/>
    <mergeCell ref="B99:F99"/>
    <mergeCell ref="G99:H99"/>
    <mergeCell ref="B100:F100"/>
    <mergeCell ref="G100:H100"/>
  </mergeCells>
  <conditionalFormatting sqref="B91:F91 B100:F100 B94:F98">
    <cfRule type="cellIs" dxfId="1961" priority="3" stopIfTrue="1" operator="equal">
      <formula>"TAX PAYABLE"</formula>
    </cfRule>
    <cfRule type="cellIs" dxfId="1960" priority="4" stopIfTrue="1" operator="equal">
      <formula>"TAX REFUND"</formula>
    </cfRule>
  </conditionalFormatting>
  <conditionalFormatting sqref="G91:H91">
    <cfRule type="cellIs" dxfId="1959" priority="5" stopIfTrue="1" operator="lessThan">
      <formula>0</formula>
    </cfRule>
    <cfRule type="cellIs" dxfId="1958" priority="6" stopIfTrue="1" operator="greaterThan">
      <formula>0</formula>
    </cfRule>
  </conditionalFormatting>
  <conditionalFormatting sqref="G100:H100">
    <cfRule type="cellIs" dxfId="1957" priority="1" stopIfTrue="1" operator="greaterThan">
      <formula>0</formula>
    </cfRule>
    <cfRule type="cellIs" dxfId="1956"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legacy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8"/>
  <sheetViews>
    <sheetView topLeftCell="A66" workbookViewId="0">
      <selection activeCell="K82" sqref="K82"/>
    </sheetView>
  </sheetViews>
  <sheetFormatPr defaultRowHeight="12.75" x14ac:dyDescent="0.2"/>
  <cols>
    <col min="1" max="1" width="5" style="16" customWidth="1"/>
    <col min="2" max="2" width="19.5703125" style="37" customWidth="1"/>
    <col min="3" max="3" width="10.7109375" style="16" bestFit="1" customWidth="1"/>
    <col min="4" max="4" width="6.7109375" style="16" bestFit="1" customWidth="1"/>
    <col min="5" max="5" width="8.5703125" style="16" bestFit="1" customWidth="1"/>
    <col min="6" max="6" width="9.28515625" style="16" bestFit="1" customWidth="1"/>
    <col min="7" max="7" width="10.42578125" style="16" bestFit="1" customWidth="1"/>
    <col min="8" max="8" width="10.28515625" style="16" bestFit="1" customWidth="1"/>
    <col min="9" max="9" width="7.140625" style="16" bestFit="1" customWidth="1"/>
    <col min="10" max="10" width="7.5703125" style="16" customWidth="1"/>
    <col min="11" max="12" width="7" style="16" bestFit="1" customWidth="1"/>
    <col min="13" max="13" width="6.85546875" style="16" bestFit="1" customWidth="1"/>
    <col min="14" max="14" width="7" style="16" bestFit="1" customWidth="1"/>
    <col min="15" max="15" width="7.140625" style="16" bestFit="1"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9.5703125" style="16" customWidth="1"/>
    <col min="259" max="259" width="10.7109375" style="16" bestFit="1" customWidth="1"/>
    <col min="260" max="260" width="6.7109375" style="16" bestFit="1" customWidth="1"/>
    <col min="261" max="261" width="8.5703125" style="16" bestFit="1" customWidth="1"/>
    <col min="262" max="262" width="9.28515625" style="16" bestFit="1" customWidth="1"/>
    <col min="263" max="263" width="10.42578125" style="16" bestFit="1" customWidth="1"/>
    <col min="264" max="264" width="10.28515625" style="16" bestFit="1" customWidth="1"/>
    <col min="265" max="265" width="7.140625" style="16" bestFit="1" customWidth="1"/>
    <col min="266" max="266" width="7.5703125" style="16" customWidth="1"/>
    <col min="267" max="268" width="7" style="16" bestFit="1" customWidth="1"/>
    <col min="269" max="269" width="6.85546875" style="16" bestFit="1" customWidth="1"/>
    <col min="270" max="270" width="7" style="16" bestFit="1" customWidth="1"/>
    <col min="271" max="271" width="7.140625" style="16" bestFit="1"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9.5703125" style="16" customWidth="1"/>
    <col min="515" max="515" width="10.7109375" style="16" bestFit="1" customWidth="1"/>
    <col min="516" max="516" width="6.7109375" style="16" bestFit="1" customWidth="1"/>
    <col min="517" max="517" width="8.5703125" style="16" bestFit="1" customWidth="1"/>
    <col min="518" max="518" width="9.28515625" style="16" bestFit="1" customWidth="1"/>
    <col min="519" max="519" width="10.42578125" style="16" bestFit="1" customWidth="1"/>
    <col min="520" max="520" width="10.28515625" style="16" bestFit="1" customWidth="1"/>
    <col min="521" max="521" width="7.140625" style="16" bestFit="1" customWidth="1"/>
    <col min="522" max="522" width="7.5703125" style="16" customWidth="1"/>
    <col min="523" max="524" width="7" style="16" bestFit="1" customWidth="1"/>
    <col min="525" max="525" width="6.85546875" style="16" bestFit="1" customWidth="1"/>
    <col min="526" max="526" width="7" style="16" bestFit="1" customWidth="1"/>
    <col min="527" max="527" width="7.140625" style="16" bestFit="1"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9.5703125" style="16" customWidth="1"/>
    <col min="771" max="771" width="10.7109375" style="16" bestFit="1" customWidth="1"/>
    <col min="772" max="772" width="6.7109375" style="16" bestFit="1" customWidth="1"/>
    <col min="773" max="773" width="8.5703125" style="16" bestFit="1" customWidth="1"/>
    <col min="774" max="774" width="9.28515625" style="16" bestFit="1" customWidth="1"/>
    <col min="775" max="775" width="10.42578125" style="16" bestFit="1" customWidth="1"/>
    <col min="776" max="776" width="10.28515625" style="16" bestFit="1" customWidth="1"/>
    <col min="777" max="777" width="7.140625" style="16" bestFit="1" customWidth="1"/>
    <col min="778" max="778" width="7.5703125" style="16" customWidth="1"/>
    <col min="779" max="780" width="7" style="16" bestFit="1" customWidth="1"/>
    <col min="781" max="781" width="6.85546875" style="16" bestFit="1" customWidth="1"/>
    <col min="782" max="782" width="7" style="16" bestFit="1" customWidth="1"/>
    <col min="783" max="783" width="7.140625" style="16" bestFit="1"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9.5703125" style="16" customWidth="1"/>
    <col min="1027" max="1027" width="10.7109375" style="16" bestFit="1" customWidth="1"/>
    <col min="1028" max="1028" width="6.7109375" style="16" bestFit="1" customWidth="1"/>
    <col min="1029" max="1029" width="8.5703125" style="16" bestFit="1" customWidth="1"/>
    <col min="1030" max="1030" width="9.28515625" style="16" bestFit="1" customWidth="1"/>
    <col min="1031" max="1031" width="10.42578125" style="16" bestFit="1" customWidth="1"/>
    <col min="1032" max="1032" width="10.28515625" style="16" bestFit="1" customWidth="1"/>
    <col min="1033" max="1033" width="7.140625" style="16" bestFit="1" customWidth="1"/>
    <col min="1034" max="1034" width="7.5703125" style="16" customWidth="1"/>
    <col min="1035" max="1036" width="7" style="16" bestFit="1" customWidth="1"/>
    <col min="1037" max="1037" width="6.85546875" style="16" bestFit="1" customWidth="1"/>
    <col min="1038" max="1038" width="7" style="16" bestFit="1" customWidth="1"/>
    <col min="1039" max="1039" width="7.140625" style="16" bestFit="1"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9.5703125" style="16" customWidth="1"/>
    <col min="1283" max="1283" width="10.7109375" style="16" bestFit="1" customWidth="1"/>
    <col min="1284" max="1284" width="6.7109375" style="16" bestFit="1" customWidth="1"/>
    <col min="1285" max="1285" width="8.5703125" style="16" bestFit="1" customWidth="1"/>
    <col min="1286" max="1286" width="9.28515625" style="16" bestFit="1" customWidth="1"/>
    <col min="1287" max="1287" width="10.42578125" style="16" bestFit="1" customWidth="1"/>
    <col min="1288" max="1288" width="10.28515625" style="16" bestFit="1" customWidth="1"/>
    <col min="1289" max="1289" width="7.140625" style="16" bestFit="1" customWidth="1"/>
    <col min="1290" max="1290" width="7.5703125" style="16" customWidth="1"/>
    <col min="1291" max="1292" width="7" style="16" bestFit="1" customWidth="1"/>
    <col min="1293" max="1293" width="6.85546875" style="16" bestFit="1" customWidth="1"/>
    <col min="1294" max="1294" width="7" style="16" bestFit="1" customWidth="1"/>
    <col min="1295" max="1295" width="7.140625" style="16" bestFit="1"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9.5703125" style="16" customWidth="1"/>
    <col min="1539" max="1539" width="10.7109375" style="16" bestFit="1" customWidth="1"/>
    <col min="1540" max="1540" width="6.7109375" style="16" bestFit="1" customWidth="1"/>
    <col min="1541" max="1541" width="8.5703125" style="16" bestFit="1" customWidth="1"/>
    <col min="1542" max="1542" width="9.28515625" style="16" bestFit="1" customWidth="1"/>
    <col min="1543" max="1543" width="10.42578125" style="16" bestFit="1" customWidth="1"/>
    <col min="1544" max="1544" width="10.28515625" style="16" bestFit="1" customWidth="1"/>
    <col min="1545" max="1545" width="7.140625" style="16" bestFit="1" customWidth="1"/>
    <col min="1546" max="1546" width="7.5703125" style="16" customWidth="1"/>
    <col min="1547" max="1548" width="7" style="16" bestFit="1" customWidth="1"/>
    <col min="1549" max="1549" width="6.85546875" style="16" bestFit="1" customWidth="1"/>
    <col min="1550" max="1550" width="7" style="16" bestFit="1" customWidth="1"/>
    <col min="1551" max="1551" width="7.140625" style="16" bestFit="1"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9.5703125" style="16" customWidth="1"/>
    <col min="1795" max="1795" width="10.7109375" style="16" bestFit="1" customWidth="1"/>
    <col min="1796" max="1796" width="6.7109375" style="16" bestFit="1" customWidth="1"/>
    <col min="1797" max="1797" width="8.5703125" style="16" bestFit="1" customWidth="1"/>
    <col min="1798" max="1798" width="9.28515625" style="16" bestFit="1" customWidth="1"/>
    <col min="1799" max="1799" width="10.42578125" style="16" bestFit="1" customWidth="1"/>
    <col min="1800" max="1800" width="10.28515625" style="16" bestFit="1" customWidth="1"/>
    <col min="1801" max="1801" width="7.140625" style="16" bestFit="1" customWidth="1"/>
    <col min="1802" max="1802" width="7.5703125" style="16" customWidth="1"/>
    <col min="1803" max="1804" width="7" style="16" bestFit="1" customWidth="1"/>
    <col min="1805" max="1805" width="6.85546875" style="16" bestFit="1" customWidth="1"/>
    <col min="1806" max="1806" width="7" style="16" bestFit="1" customWidth="1"/>
    <col min="1807" max="1807" width="7.140625" style="16" bestFit="1"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9.5703125" style="16" customWidth="1"/>
    <col min="2051" max="2051" width="10.7109375" style="16" bestFit="1" customWidth="1"/>
    <col min="2052" max="2052" width="6.7109375" style="16" bestFit="1" customWidth="1"/>
    <col min="2053" max="2053" width="8.5703125" style="16" bestFit="1" customWidth="1"/>
    <col min="2054" max="2054" width="9.28515625" style="16" bestFit="1" customWidth="1"/>
    <col min="2055" max="2055" width="10.42578125" style="16" bestFit="1" customWidth="1"/>
    <col min="2056" max="2056" width="10.28515625" style="16" bestFit="1" customWidth="1"/>
    <col min="2057" max="2057" width="7.140625" style="16" bestFit="1" customWidth="1"/>
    <col min="2058" max="2058" width="7.5703125" style="16" customWidth="1"/>
    <col min="2059" max="2060" width="7" style="16" bestFit="1" customWidth="1"/>
    <col min="2061" max="2061" width="6.85546875" style="16" bestFit="1" customWidth="1"/>
    <col min="2062" max="2062" width="7" style="16" bestFit="1" customWidth="1"/>
    <col min="2063" max="2063" width="7.140625" style="16" bestFit="1"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9.5703125" style="16" customWidth="1"/>
    <col min="2307" max="2307" width="10.7109375" style="16" bestFit="1" customWidth="1"/>
    <col min="2308" max="2308" width="6.7109375" style="16" bestFit="1" customWidth="1"/>
    <col min="2309" max="2309" width="8.5703125" style="16" bestFit="1" customWidth="1"/>
    <col min="2310" max="2310" width="9.28515625" style="16" bestFit="1" customWidth="1"/>
    <col min="2311" max="2311" width="10.42578125" style="16" bestFit="1" customWidth="1"/>
    <col min="2312" max="2312" width="10.28515625" style="16" bestFit="1" customWidth="1"/>
    <col min="2313" max="2313" width="7.140625" style="16" bestFit="1" customWidth="1"/>
    <col min="2314" max="2314" width="7.5703125" style="16" customWidth="1"/>
    <col min="2315" max="2316" width="7" style="16" bestFit="1" customWidth="1"/>
    <col min="2317" max="2317" width="6.85546875" style="16" bestFit="1" customWidth="1"/>
    <col min="2318" max="2318" width="7" style="16" bestFit="1" customWidth="1"/>
    <col min="2319" max="2319" width="7.140625" style="16" bestFit="1"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9.5703125" style="16" customWidth="1"/>
    <col min="2563" max="2563" width="10.7109375" style="16" bestFit="1" customWidth="1"/>
    <col min="2564" max="2564" width="6.7109375" style="16" bestFit="1" customWidth="1"/>
    <col min="2565" max="2565" width="8.5703125" style="16" bestFit="1" customWidth="1"/>
    <col min="2566" max="2566" width="9.28515625" style="16" bestFit="1" customWidth="1"/>
    <col min="2567" max="2567" width="10.42578125" style="16" bestFit="1" customWidth="1"/>
    <col min="2568" max="2568" width="10.28515625" style="16" bestFit="1" customWidth="1"/>
    <col min="2569" max="2569" width="7.140625" style="16" bestFit="1" customWidth="1"/>
    <col min="2570" max="2570" width="7.5703125" style="16" customWidth="1"/>
    <col min="2571" max="2572" width="7" style="16" bestFit="1" customWidth="1"/>
    <col min="2573" max="2573" width="6.85546875" style="16" bestFit="1" customWidth="1"/>
    <col min="2574" max="2574" width="7" style="16" bestFit="1" customWidth="1"/>
    <col min="2575" max="2575" width="7.140625" style="16" bestFit="1"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9.5703125" style="16" customWidth="1"/>
    <col min="2819" max="2819" width="10.7109375" style="16" bestFit="1" customWidth="1"/>
    <col min="2820" max="2820" width="6.7109375" style="16" bestFit="1" customWidth="1"/>
    <col min="2821" max="2821" width="8.5703125" style="16" bestFit="1" customWidth="1"/>
    <col min="2822" max="2822" width="9.28515625" style="16" bestFit="1" customWidth="1"/>
    <col min="2823" max="2823" width="10.42578125" style="16" bestFit="1" customWidth="1"/>
    <col min="2824" max="2824" width="10.28515625" style="16" bestFit="1" customWidth="1"/>
    <col min="2825" max="2825" width="7.140625" style="16" bestFit="1" customWidth="1"/>
    <col min="2826" max="2826" width="7.5703125" style="16" customWidth="1"/>
    <col min="2827" max="2828" width="7" style="16" bestFit="1" customWidth="1"/>
    <col min="2829" max="2829" width="6.85546875" style="16" bestFit="1" customWidth="1"/>
    <col min="2830" max="2830" width="7" style="16" bestFit="1" customWidth="1"/>
    <col min="2831" max="2831" width="7.140625" style="16" bestFit="1"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9.5703125" style="16" customWidth="1"/>
    <col min="3075" max="3075" width="10.7109375" style="16" bestFit="1" customWidth="1"/>
    <col min="3076" max="3076" width="6.7109375" style="16" bestFit="1" customWidth="1"/>
    <col min="3077" max="3077" width="8.5703125" style="16" bestFit="1" customWidth="1"/>
    <col min="3078" max="3078" width="9.28515625" style="16" bestFit="1" customWidth="1"/>
    <col min="3079" max="3079" width="10.42578125" style="16" bestFit="1" customWidth="1"/>
    <col min="3080" max="3080" width="10.28515625" style="16" bestFit="1" customWidth="1"/>
    <col min="3081" max="3081" width="7.140625" style="16" bestFit="1" customWidth="1"/>
    <col min="3082" max="3082" width="7.5703125" style="16" customWidth="1"/>
    <col min="3083" max="3084" width="7" style="16" bestFit="1" customWidth="1"/>
    <col min="3085" max="3085" width="6.85546875" style="16" bestFit="1" customWidth="1"/>
    <col min="3086" max="3086" width="7" style="16" bestFit="1" customWidth="1"/>
    <col min="3087" max="3087" width="7.140625" style="16" bestFit="1"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9.5703125" style="16" customWidth="1"/>
    <col min="3331" max="3331" width="10.7109375" style="16" bestFit="1" customWidth="1"/>
    <col min="3332" max="3332" width="6.7109375" style="16" bestFit="1" customWidth="1"/>
    <col min="3333" max="3333" width="8.5703125" style="16" bestFit="1" customWidth="1"/>
    <col min="3334" max="3334" width="9.28515625" style="16" bestFit="1" customWidth="1"/>
    <col min="3335" max="3335" width="10.42578125" style="16" bestFit="1" customWidth="1"/>
    <col min="3336" max="3336" width="10.28515625" style="16" bestFit="1" customWidth="1"/>
    <col min="3337" max="3337" width="7.140625" style="16" bestFit="1" customWidth="1"/>
    <col min="3338" max="3338" width="7.5703125" style="16" customWidth="1"/>
    <col min="3339" max="3340" width="7" style="16" bestFit="1" customWidth="1"/>
    <col min="3341" max="3341" width="6.85546875" style="16" bestFit="1" customWidth="1"/>
    <col min="3342" max="3342" width="7" style="16" bestFit="1" customWidth="1"/>
    <col min="3343" max="3343" width="7.140625" style="16" bestFit="1"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9.5703125" style="16" customWidth="1"/>
    <col min="3587" max="3587" width="10.7109375" style="16" bestFit="1" customWidth="1"/>
    <col min="3588" max="3588" width="6.7109375" style="16" bestFit="1" customWidth="1"/>
    <col min="3589" max="3589" width="8.5703125" style="16" bestFit="1" customWidth="1"/>
    <col min="3590" max="3590" width="9.28515625" style="16" bestFit="1" customWidth="1"/>
    <col min="3591" max="3591" width="10.42578125" style="16" bestFit="1" customWidth="1"/>
    <col min="3592" max="3592" width="10.28515625" style="16" bestFit="1" customWidth="1"/>
    <col min="3593" max="3593" width="7.140625" style="16" bestFit="1" customWidth="1"/>
    <col min="3594" max="3594" width="7.5703125" style="16" customWidth="1"/>
    <col min="3595" max="3596" width="7" style="16" bestFit="1" customWidth="1"/>
    <col min="3597" max="3597" width="6.85546875" style="16" bestFit="1" customWidth="1"/>
    <col min="3598" max="3598" width="7" style="16" bestFit="1" customWidth="1"/>
    <col min="3599" max="3599" width="7.140625" style="16" bestFit="1"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9.5703125" style="16" customWidth="1"/>
    <col min="3843" max="3843" width="10.7109375" style="16" bestFit="1" customWidth="1"/>
    <col min="3844" max="3844" width="6.7109375" style="16" bestFit="1" customWidth="1"/>
    <col min="3845" max="3845" width="8.5703125" style="16" bestFit="1" customWidth="1"/>
    <col min="3846" max="3846" width="9.28515625" style="16" bestFit="1" customWidth="1"/>
    <col min="3847" max="3847" width="10.42578125" style="16" bestFit="1" customWidth="1"/>
    <col min="3848" max="3848" width="10.28515625" style="16" bestFit="1" customWidth="1"/>
    <col min="3849" max="3849" width="7.140625" style="16" bestFit="1" customWidth="1"/>
    <col min="3850" max="3850" width="7.5703125" style="16" customWidth="1"/>
    <col min="3851" max="3852" width="7" style="16" bestFit="1" customWidth="1"/>
    <col min="3853" max="3853" width="6.85546875" style="16" bestFit="1" customWidth="1"/>
    <col min="3854" max="3854" width="7" style="16" bestFit="1" customWidth="1"/>
    <col min="3855" max="3855" width="7.140625" style="16" bestFit="1"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9.5703125" style="16" customWidth="1"/>
    <col min="4099" max="4099" width="10.7109375" style="16" bestFit="1" customWidth="1"/>
    <col min="4100" max="4100" width="6.7109375" style="16" bestFit="1" customWidth="1"/>
    <col min="4101" max="4101" width="8.5703125" style="16" bestFit="1" customWidth="1"/>
    <col min="4102" max="4102" width="9.28515625" style="16" bestFit="1" customWidth="1"/>
    <col min="4103" max="4103" width="10.42578125" style="16" bestFit="1" customWidth="1"/>
    <col min="4104" max="4104" width="10.28515625" style="16" bestFit="1" customWidth="1"/>
    <col min="4105" max="4105" width="7.140625" style="16" bestFit="1" customWidth="1"/>
    <col min="4106" max="4106" width="7.5703125" style="16" customWidth="1"/>
    <col min="4107" max="4108" width="7" style="16" bestFit="1" customWidth="1"/>
    <col min="4109" max="4109" width="6.85546875" style="16" bestFit="1" customWidth="1"/>
    <col min="4110" max="4110" width="7" style="16" bestFit="1" customWidth="1"/>
    <col min="4111" max="4111" width="7.140625" style="16" bestFit="1"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9.5703125" style="16" customWidth="1"/>
    <col min="4355" max="4355" width="10.7109375" style="16" bestFit="1" customWidth="1"/>
    <col min="4356" max="4356" width="6.7109375" style="16" bestFit="1" customWidth="1"/>
    <col min="4357" max="4357" width="8.5703125" style="16" bestFit="1" customWidth="1"/>
    <col min="4358" max="4358" width="9.28515625" style="16" bestFit="1" customWidth="1"/>
    <col min="4359" max="4359" width="10.42578125" style="16" bestFit="1" customWidth="1"/>
    <col min="4360" max="4360" width="10.28515625" style="16" bestFit="1" customWidth="1"/>
    <col min="4361" max="4361" width="7.140625" style="16" bestFit="1" customWidth="1"/>
    <col min="4362" max="4362" width="7.5703125" style="16" customWidth="1"/>
    <col min="4363" max="4364" width="7" style="16" bestFit="1" customWidth="1"/>
    <col min="4365" max="4365" width="6.85546875" style="16" bestFit="1" customWidth="1"/>
    <col min="4366" max="4366" width="7" style="16" bestFit="1" customWidth="1"/>
    <col min="4367" max="4367" width="7.140625" style="16" bestFit="1"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9.5703125" style="16" customWidth="1"/>
    <col min="4611" max="4611" width="10.7109375" style="16" bestFit="1" customWidth="1"/>
    <col min="4612" max="4612" width="6.7109375" style="16" bestFit="1" customWidth="1"/>
    <col min="4613" max="4613" width="8.5703125" style="16" bestFit="1" customWidth="1"/>
    <col min="4614" max="4614" width="9.28515625" style="16" bestFit="1" customWidth="1"/>
    <col min="4615" max="4615" width="10.42578125" style="16" bestFit="1" customWidth="1"/>
    <col min="4616" max="4616" width="10.28515625" style="16" bestFit="1" customWidth="1"/>
    <col min="4617" max="4617" width="7.140625" style="16" bestFit="1" customWidth="1"/>
    <col min="4618" max="4618" width="7.5703125" style="16" customWidth="1"/>
    <col min="4619" max="4620" width="7" style="16" bestFit="1" customWidth="1"/>
    <col min="4621" max="4621" width="6.85546875" style="16" bestFit="1" customWidth="1"/>
    <col min="4622" max="4622" width="7" style="16" bestFit="1" customWidth="1"/>
    <col min="4623" max="4623" width="7.140625" style="16" bestFit="1"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9.5703125" style="16" customWidth="1"/>
    <col min="4867" max="4867" width="10.7109375" style="16" bestFit="1" customWidth="1"/>
    <col min="4868" max="4868" width="6.7109375" style="16" bestFit="1" customWidth="1"/>
    <col min="4869" max="4869" width="8.5703125" style="16" bestFit="1" customWidth="1"/>
    <col min="4870" max="4870" width="9.28515625" style="16" bestFit="1" customWidth="1"/>
    <col min="4871" max="4871" width="10.42578125" style="16" bestFit="1" customWidth="1"/>
    <col min="4872" max="4872" width="10.28515625" style="16" bestFit="1" customWidth="1"/>
    <col min="4873" max="4873" width="7.140625" style="16" bestFit="1" customWidth="1"/>
    <col min="4874" max="4874" width="7.5703125" style="16" customWidth="1"/>
    <col min="4875" max="4876" width="7" style="16" bestFit="1" customWidth="1"/>
    <col min="4877" max="4877" width="6.85546875" style="16" bestFit="1" customWidth="1"/>
    <col min="4878" max="4878" width="7" style="16" bestFit="1" customWidth="1"/>
    <col min="4879" max="4879" width="7.140625" style="16" bestFit="1"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9.5703125" style="16" customWidth="1"/>
    <col min="5123" max="5123" width="10.7109375" style="16" bestFit="1" customWidth="1"/>
    <col min="5124" max="5124" width="6.7109375" style="16" bestFit="1" customWidth="1"/>
    <col min="5125" max="5125" width="8.5703125" style="16" bestFit="1" customWidth="1"/>
    <col min="5126" max="5126" width="9.28515625" style="16" bestFit="1" customWidth="1"/>
    <col min="5127" max="5127" width="10.42578125" style="16" bestFit="1" customWidth="1"/>
    <col min="5128" max="5128" width="10.28515625" style="16" bestFit="1" customWidth="1"/>
    <col min="5129" max="5129" width="7.140625" style="16" bestFit="1" customWidth="1"/>
    <col min="5130" max="5130" width="7.5703125" style="16" customWidth="1"/>
    <col min="5131" max="5132" width="7" style="16" bestFit="1" customWidth="1"/>
    <col min="5133" max="5133" width="6.85546875" style="16" bestFit="1" customWidth="1"/>
    <col min="5134" max="5134" width="7" style="16" bestFit="1" customWidth="1"/>
    <col min="5135" max="5135" width="7.140625" style="16" bestFit="1"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9.5703125" style="16" customWidth="1"/>
    <col min="5379" max="5379" width="10.7109375" style="16" bestFit="1" customWidth="1"/>
    <col min="5380" max="5380" width="6.7109375" style="16" bestFit="1" customWidth="1"/>
    <col min="5381" max="5381" width="8.5703125" style="16" bestFit="1" customWidth="1"/>
    <col min="5382" max="5382" width="9.28515625" style="16" bestFit="1" customWidth="1"/>
    <col min="5383" max="5383" width="10.42578125" style="16" bestFit="1" customWidth="1"/>
    <col min="5384" max="5384" width="10.28515625" style="16" bestFit="1" customWidth="1"/>
    <col min="5385" max="5385" width="7.140625" style="16" bestFit="1" customWidth="1"/>
    <col min="5386" max="5386" width="7.5703125" style="16" customWidth="1"/>
    <col min="5387" max="5388" width="7" style="16" bestFit="1" customWidth="1"/>
    <col min="5389" max="5389" width="6.85546875" style="16" bestFit="1" customWidth="1"/>
    <col min="5390" max="5390" width="7" style="16" bestFit="1" customWidth="1"/>
    <col min="5391" max="5391" width="7.140625" style="16" bestFit="1"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9.5703125" style="16" customWidth="1"/>
    <col min="5635" max="5635" width="10.7109375" style="16" bestFit="1" customWidth="1"/>
    <col min="5636" max="5636" width="6.7109375" style="16" bestFit="1" customWidth="1"/>
    <col min="5637" max="5637" width="8.5703125" style="16" bestFit="1" customWidth="1"/>
    <col min="5638" max="5638" width="9.28515625" style="16" bestFit="1" customWidth="1"/>
    <col min="5639" max="5639" width="10.42578125" style="16" bestFit="1" customWidth="1"/>
    <col min="5640" max="5640" width="10.28515625" style="16" bestFit="1" customWidth="1"/>
    <col min="5641" max="5641" width="7.140625" style="16" bestFit="1" customWidth="1"/>
    <col min="5642" max="5642" width="7.5703125" style="16" customWidth="1"/>
    <col min="5643" max="5644" width="7" style="16" bestFit="1" customWidth="1"/>
    <col min="5645" max="5645" width="6.85546875" style="16" bestFit="1" customWidth="1"/>
    <col min="5646" max="5646" width="7" style="16" bestFit="1" customWidth="1"/>
    <col min="5647" max="5647" width="7.140625" style="16" bestFit="1"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9.5703125" style="16" customWidth="1"/>
    <col min="5891" max="5891" width="10.7109375" style="16" bestFit="1" customWidth="1"/>
    <col min="5892" max="5892" width="6.7109375" style="16" bestFit="1" customWidth="1"/>
    <col min="5893" max="5893" width="8.5703125" style="16" bestFit="1" customWidth="1"/>
    <col min="5894" max="5894" width="9.28515625" style="16" bestFit="1" customWidth="1"/>
    <col min="5895" max="5895" width="10.42578125" style="16" bestFit="1" customWidth="1"/>
    <col min="5896" max="5896" width="10.28515625" style="16" bestFit="1" customWidth="1"/>
    <col min="5897" max="5897" width="7.140625" style="16" bestFit="1" customWidth="1"/>
    <col min="5898" max="5898" width="7.5703125" style="16" customWidth="1"/>
    <col min="5899" max="5900" width="7" style="16" bestFit="1" customWidth="1"/>
    <col min="5901" max="5901" width="6.85546875" style="16" bestFit="1" customWidth="1"/>
    <col min="5902" max="5902" width="7" style="16" bestFit="1" customWidth="1"/>
    <col min="5903" max="5903" width="7.140625" style="16" bestFit="1"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9.5703125" style="16" customWidth="1"/>
    <col min="6147" max="6147" width="10.7109375" style="16" bestFit="1" customWidth="1"/>
    <col min="6148" max="6148" width="6.7109375" style="16" bestFit="1" customWidth="1"/>
    <col min="6149" max="6149" width="8.5703125" style="16" bestFit="1" customWidth="1"/>
    <col min="6150" max="6150" width="9.28515625" style="16" bestFit="1" customWidth="1"/>
    <col min="6151" max="6151" width="10.42578125" style="16" bestFit="1" customWidth="1"/>
    <col min="6152" max="6152" width="10.28515625" style="16" bestFit="1" customWidth="1"/>
    <col min="6153" max="6153" width="7.140625" style="16" bestFit="1" customWidth="1"/>
    <col min="6154" max="6154" width="7.5703125" style="16" customWidth="1"/>
    <col min="6155" max="6156" width="7" style="16" bestFit="1" customWidth="1"/>
    <col min="6157" max="6157" width="6.85546875" style="16" bestFit="1" customWidth="1"/>
    <col min="6158" max="6158" width="7" style="16" bestFit="1" customWidth="1"/>
    <col min="6159" max="6159" width="7.140625" style="16" bestFit="1"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9.5703125" style="16" customWidth="1"/>
    <col min="6403" max="6403" width="10.7109375" style="16" bestFit="1" customWidth="1"/>
    <col min="6404" max="6404" width="6.7109375" style="16" bestFit="1" customWidth="1"/>
    <col min="6405" max="6405" width="8.5703125" style="16" bestFit="1" customWidth="1"/>
    <col min="6406" max="6406" width="9.28515625" style="16" bestFit="1" customWidth="1"/>
    <col min="6407" max="6407" width="10.42578125" style="16" bestFit="1" customWidth="1"/>
    <col min="6408" max="6408" width="10.28515625" style="16" bestFit="1" customWidth="1"/>
    <col min="6409" max="6409" width="7.140625" style="16" bestFit="1" customWidth="1"/>
    <col min="6410" max="6410" width="7.5703125" style="16" customWidth="1"/>
    <col min="6411" max="6412" width="7" style="16" bestFit="1" customWidth="1"/>
    <col min="6413" max="6413" width="6.85546875" style="16" bestFit="1" customWidth="1"/>
    <col min="6414" max="6414" width="7" style="16" bestFit="1" customWidth="1"/>
    <col min="6415" max="6415" width="7.140625" style="16" bestFit="1"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9.5703125" style="16" customWidth="1"/>
    <col min="6659" max="6659" width="10.7109375" style="16" bestFit="1" customWidth="1"/>
    <col min="6660" max="6660" width="6.7109375" style="16" bestFit="1" customWidth="1"/>
    <col min="6661" max="6661" width="8.5703125" style="16" bestFit="1" customWidth="1"/>
    <col min="6662" max="6662" width="9.28515625" style="16" bestFit="1" customWidth="1"/>
    <col min="6663" max="6663" width="10.42578125" style="16" bestFit="1" customWidth="1"/>
    <col min="6664" max="6664" width="10.28515625" style="16" bestFit="1" customWidth="1"/>
    <col min="6665" max="6665" width="7.140625" style="16" bestFit="1" customWidth="1"/>
    <col min="6666" max="6666" width="7.5703125" style="16" customWidth="1"/>
    <col min="6667" max="6668" width="7" style="16" bestFit="1" customWidth="1"/>
    <col min="6669" max="6669" width="6.85546875" style="16" bestFit="1" customWidth="1"/>
    <col min="6670" max="6670" width="7" style="16" bestFit="1" customWidth="1"/>
    <col min="6671" max="6671" width="7.140625" style="16" bestFit="1"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9.5703125" style="16" customWidth="1"/>
    <col min="6915" max="6915" width="10.7109375" style="16" bestFit="1" customWidth="1"/>
    <col min="6916" max="6916" width="6.7109375" style="16" bestFit="1" customWidth="1"/>
    <col min="6917" max="6917" width="8.5703125" style="16" bestFit="1" customWidth="1"/>
    <col min="6918" max="6918" width="9.28515625" style="16" bestFit="1" customWidth="1"/>
    <col min="6919" max="6919" width="10.42578125" style="16" bestFit="1" customWidth="1"/>
    <col min="6920" max="6920" width="10.28515625" style="16" bestFit="1" customWidth="1"/>
    <col min="6921" max="6921" width="7.140625" style="16" bestFit="1" customWidth="1"/>
    <col min="6922" max="6922" width="7.5703125" style="16" customWidth="1"/>
    <col min="6923" max="6924" width="7" style="16" bestFit="1" customWidth="1"/>
    <col min="6925" max="6925" width="6.85546875" style="16" bestFit="1" customWidth="1"/>
    <col min="6926" max="6926" width="7" style="16" bestFit="1" customWidth="1"/>
    <col min="6927" max="6927" width="7.140625" style="16" bestFit="1"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9.5703125" style="16" customWidth="1"/>
    <col min="7171" max="7171" width="10.7109375" style="16" bestFit="1" customWidth="1"/>
    <col min="7172" max="7172" width="6.7109375" style="16" bestFit="1" customWidth="1"/>
    <col min="7173" max="7173" width="8.5703125" style="16" bestFit="1" customWidth="1"/>
    <col min="7174" max="7174" width="9.28515625" style="16" bestFit="1" customWidth="1"/>
    <col min="7175" max="7175" width="10.42578125" style="16" bestFit="1" customWidth="1"/>
    <col min="7176" max="7176" width="10.28515625" style="16" bestFit="1" customWidth="1"/>
    <col min="7177" max="7177" width="7.140625" style="16" bestFit="1" customWidth="1"/>
    <col min="7178" max="7178" width="7.5703125" style="16" customWidth="1"/>
    <col min="7179" max="7180" width="7" style="16" bestFit="1" customWidth="1"/>
    <col min="7181" max="7181" width="6.85546875" style="16" bestFit="1" customWidth="1"/>
    <col min="7182" max="7182" width="7" style="16" bestFit="1" customWidth="1"/>
    <col min="7183" max="7183" width="7.140625" style="16" bestFit="1"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9.5703125" style="16" customWidth="1"/>
    <col min="7427" max="7427" width="10.7109375" style="16" bestFit="1" customWidth="1"/>
    <col min="7428" max="7428" width="6.7109375" style="16" bestFit="1" customWidth="1"/>
    <col min="7429" max="7429" width="8.5703125" style="16" bestFit="1" customWidth="1"/>
    <col min="7430" max="7430" width="9.28515625" style="16" bestFit="1" customWidth="1"/>
    <col min="7431" max="7431" width="10.42578125" style="16" bestFit="1" customWidth="1"/>
    <col min="7432" max="7432" width="10.28515625" style="16" bestFit="1" customWidth="1"/>
    <col min="7433" max="7433" width="7.140625" style="16" bestFit="1" customWidth="1"/>
    <col min="7434" max="7434" width="7.5703125" style="16" customWidth="1"/>
    <col min="7435" max="7436" width="7" style="16" bestFit="1" customWidth="1"/>
    <col min="7437" max="7437" width="6.85546875" style="16" bestFit="1" customWidth="1"/>
    <col min="7438" max="7438" width="7" style="16" bestFit="1" customWidth="1"/>
    <col min="7439" max="7439" width="7.140625" style="16" bestFit="1"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9.5703125" style="16" customWidth="1"/>
    <col min="7683" max="7683" width="10.7109375" style="16" bestFit="1" customWidth="1"/>
    <col min="7684" max="7684" width="6.7109375" style="16" bestFit="1" customWidth="1"/>
    <col min="7685" max="7685" width="8.5703125" style="16" bestFit="1" customWidth="1"/>
    <col min="7686" max="7686" width="9.28515625" style="16" bestFit="1" customWidth="1"/>
    <col min="7687" max="7687" width="10.42578125" style="16" bestFit="1" customWidth="1"/>
    <col min="7688" max="7688" width="10.28515625" style="16" bestFit="1" customWidth="1"/>
    <col min="7689" max="7689" width="7.140625" style="16" bestFit="1" customWidth="1"/>
    <col min="7690" max="7690" width="7.5703125" style="16" customWidth="1"/>
    <col min="7691" max="7692" width="7" style="16" bestFit="1" customWidth="1"/>
    <col min="7693" max="7693" width="6.85546875" style="16" bestFit="1" customWidth="1"/>
    <col min="7694" max="7694" width="7" style="16" bestFit="1" customWidth="1"/>
    <col min="7695" max="7695" width="7.140625" style="16" bestFit="1"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9.5703125" style="16" customWidth="1"/>
    <col min="7939" max="7939" width="10.7109375" style="16" bestFit="1" customWidth="1"/>
    <col min="7940" max="7940" width="6.7109375" style="16" bestFit="1" customWidth="1"/>
    <col min="7941" max="7941" width="8.5703125" style="16" bestFit="1" customWidth="1"/>
    <col min="7942" max="7942" width="9.28515625" style="16" bestFit="1" customWidth="1"/>
    <col min="7943" max="7943" width="10.42578125" style="16" bestFit="1" customWidth="1"/>
    <col min="7944" max="7944" width="10.28515625" style="16" bestFit="1" customWidth="1"/>
    <col min="7945" max="7945" width="7.140625" style="16" bestFit="1" customWidth="1"/>
    <col min="7946" max="7946" width="7.5703125" style="16" customWidth="1"/>
    <col min="7947" max="7948" width="7" style="16" bestFit="1" customWidth="1"/>
    <col min="7949" max="7949" width="6.85546875" style="16" bestFit="1" customWidth="1"/>
    <col min="7950" max="7950" width="7" style="16" bestFit="1" customWidth="1"/>
    <col min="7951" max="7951" width="7.140625" style="16" bestFit="1"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9.5703125" style="16" customWidth="1"/>
    <col min="8195" max="8195" width="10.7109375" style="16" bestFit="1" customWidth="1"/>
    <col min="8196" max="8196" width="6.7109375" style="16" bestFit="1" customWidth="1"/>
    <col min="8197" max="8197" width="8.5703125" style="16" bestFit="1" customWidth="1"/>
    <col min="8198" max="8198" width="9.28515625" style="16" bestFit="1" customWidth="1"/>
    <col min="8199" max="8199" width="10.42578125" style="16" bestFit="1" customWidth="1"/>
    <col min="8200" max="8200" width="10.28515625" style="16" bestFit="1" customWidth="1"/>
    <col min="8201" max="8201" width="7.140625" style="16" bestFit="1" customWidth="1"/>
    <col min="8202" max="8202" width="7.5703125" style="16" customWidth="1"/>
    <col min="8203" max="8204" width="7" style="16" bestFit="1" customWidth="1"/>
    <col min="8205" max="8205" width="6.85546875" style="16" bestFit="1" customWidth="1"/>
    <col min="8206" max="8206" width="7" style="16" bestFit="1" customWidth="1"/>
    <col min="8207" max="8207" width="7.140625" style="16" bestFit="1"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9.5703125" style="16" customWidth="1"/>
    <col min="8451" max="8451" width="10.7109375" style="16" bestFit="1" customWidth="1"/>
    <col min="8452" max="8452" width="6.7109375" style="16" bestFit="1" customWidth="1"/>
    <col min="8453" max="8453" width="8.5703125" style="16" bestFit="1" customWidth="1"/>
    <col min="8454" max="8454" width="9.28515625" style="16" bestFit="1" customWidth="1"/>
    <col min="8455" max="8455" width="10.42578125" style="16" bestFit="1" customWidth="1"/>
    <col min="8456" max="8456" width="10.28515625" style="16" bestFit="1" customWidth="1"/>
    <col min="8457" max="8457" width="7.140625" style="16" bestFit="1" customWidth="1"/>
    <col min="8458" max="8458" width="7.5703125" style="16" customWidth="1"/>
    <col min="8459" max="8460" width="7" style="16" bestFit="1" customWidth="1"/>
    <col min="8461" max="8461" width="6.85546875" style="16" bestFit="1" customWidth="1"/>
    <col min="8462" max="8462" width="7" style="16" bestFit="1" customWidth="1"/>
    <col min="8463" max="8463" width="7.140625" style="16" bestFit="1"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9.5703125" style="16" customWidth="1"/>
    <col min="8707" max="8707" width="10.7109375" style="16" bestFit="1" customWidth="1"/>
    <col min="8708" max="8708" width="6.7109375" style="16" bestFit="1" customWidth="1"/>
    <col min="8709" max="8709" width="8.5703125" style="16" bestFit="1" customWidth="1"/>
    <col min="8710" max="8710" width="9.28515625" style="16" bestFit="1" customWidth="1"/>
    <col min="8711" max="8711" width="10.42578125" style="16" bestFit="1" customWidth="1"/>
    <col min="8712" max="8712" width="10.28515625" style="16" bestFit="1" customWidth="1"/>
    <col min="8713" max="8713" width="7.140625" style="16" bestFit="1" customWidth="1"/>
    <col min="8714" max="8714" width="7.5703125" style="16" customWidth="1"/>
    <col min="8715" max="8716" width="7" style="16" bestFit="1" customWidth="1"/>
    <col min="8717" max="8717" width="6.85546875" style="16" bestFit="1" customWidth="1"/>
    <col min="8718" max="8718" width="7" style="16" bestFit="1" customWidth="1"/>
    <col min="8719" max="8719" width="7.140625" style="16" bestFit="1"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9.5703125" style="16" customWidth="1"/>
    <col min="8963" max="8963" width="10.7109375" style="16" bestFit="1" customWidth="1"/>
    <col min="8964" max="8964" width="6.7109375" style="16" bestFit="1" customWidth="1"/>
    <col min="8965" max="8965" width="8.5703125" style="16" bestFit="1" customWidth="1"/>
    <col min="8966" max="8966" width="9.28515625" style="16" bestFit="1" customWidth="1"/>
    <col min="8967" max="8967" width="10.42578125" style="16" bestFit="1" customWidth="1"/>
    <col min="8968" max="8968" width="10.28515625" style="16" bestFit="1" customWidth="1"/>
    <col min="8969" max="8969" width="7.140625" style="16" bestFit="1" customWidth="1"/>
    <col min="8970" max="8970" width="7.5703125" style="16" customWidth="1"/>
    <col min="8971" max="8972" width="7" style="16" bestFit="1" customWidth="1"/>
    <col min="8973" max="8973" width="6.85546875" style="16" bestFit="1" customWidth="1"/>
    <col min="8974" max="8974" width="7" style="16" bestFit="1" customWidth="1"/>
    <col min="8975" max="8975" width="7.140625" style="16" bestFit="1"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9.5703125" style="16" customWidth="1"/>
    <col min="9219" max="9219" width="10.7109375" style="16" bestFit="1" customWidth="1"/>
    <col min="9220" max="9220" width="6.7109375" style="16" bestFit="1" customWidth="1"/>
    <col min="9221" max="9221" width="8.5703125" style="16" bestFit="1" customWidth="1"/>
    <col min="9222" max="9222" width="9.28515625" style="16" bestFit="1" customWidth="1"/>
    <col min="9223" max="9223" width="10.42578125" style="16" bestFit="1" customWidth="1"/>
    <col min="9224" max="9224" width="10.28515625" style="16" bestFit="1" customWidth="1"/>
    <col min="9225" max="9225" width="7.140625" style="16" bestFit="1" customWidth="1"/>
    <col min="9226" max="9226" width="7.5703125" style="16" customWidth="1"/>
    <col min="9227" max="9228" width="7" style="16" bestFit="1" customWidth="1"/>
    <col min="9229" max="9229" width="6.85546875" style="16" bestFit="1" customWidth="1"/>
    <col min="9230" max="9230" width="7" style="16" bestFit="1" customWidth="1"/>
    <col min="9231" max="9231" width="7.140625" style="16" bestFit="1"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9.5703125" style="16" customWidth="1"/>
    <col min="9475" max="9475" width="10.7109375" style="16" bestFit="1" customWidth="1"/>
    <col min="9476" max="9476" width="6.7109375" style="16" bestFit="1" customWidth="1"/>
    <col min="9477" max="9477" width="8.5703125" style="16" bestFit="1" customWidth="1"/>
    <col min="9478" max="9478" width="9.28515625" style="16" bestFit="1" customWidth="1"/>
    <col min="9479" max="9479" width="10.42578125" style="16" bestFit="1" customWidth="1"/>
    <col min="9480" max="9480" width="10.28515625" style="16" bestFit="1" customWidth="1"/>
    <col min="9481" max="9481" width="7.140625" style="16" bestFit="1" customWidth="1"/>
    <col min="9482" max="9482" width="7.5703125" style="16" customWidth="1"/>
    <col min="9483" max="9484" width="7" style="16" bestFit="1" customWidth="1"/>
    <col min="9485" max="9485" width="6.85546875" style="16" bestFit="1" customWidth="1"/>
    <col min="9486" max="9486" width="7" style="16" bestFit="1" customWidth="1"/>
    <col min="9487" max="9487" width="7.140625" style="16" bestFit="1"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9.5703125" style="16" customWidth="1"/>
    <col min="9731" max="9731" width="10.7109375" style="16" bestFit="1" customWidth="1"/>
    <col min="9732" max="9732" width="6.7109375" style="16" bestFit="1" customWidth="1"/>
    <col min="9733" max="9733" width="8.5703125" style="16" bestFit="1" customWidth="1"/>
    <col min="9734" max="9734" width="9.28515625" style="16" bestFit="1" customWidth="1"/>
    <col min="9735" max="9735" width="10.42578125" style="16" bestFit="1" customWidth="1"/>
    <col min="9736" max="9736" width="10.28515625" style="16" bestFit="1" customWidth="1"/>
    <col min="9737" max="9737" width="7.140625" style="16" bestFit="1" customWidth="1"/>
    <col min="9738" max="9738" width="7.5703125" style="16" customWidth="1"/>
    <col min="9739" max="9740" width="7" style="16" bestFit="1" customWidth="1"/>
    <col min="9741" max="9741" width="6.85546875" style="16" bestFit="1" customWidth="1"/>
    <col min="9742" max="9742" width="7" style="16" bestFit="1" customWidth="1"/>
    <col min="9743" max="9743" width="7.140625" style="16" bestFit="1"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9.5703125" style="16" customWidth="1"/>
    <col min="9987" max="9987" width="10.7109375" style="16" bestFit="1" customWidth="1"/>
    <col min="9988" max="9988" width="6.7109375" style="16" bestFit="1" customWidth="1"/>
    <col min="9989" max="9989" width="8.5703125" style="16" bestFit="1" customWidth="1"/>
    <col min="9990" max="9990" width="9.28515625" style="16" bestFit="1" customWidth="1"/>
    <col min="9991" max="9991" width="10.42578125" style="16" bestFit="1" customWidth="1"/>
    <col min="9992" max="9992" width="10.28515625" style="16" bestFit="1" customWidth="1"/>
    <col min="9993" max="9993" width="7.140625" style="16" bestFit="1" customWidth="1"/>
    <col min="9994" max="9994" width="7.5703125" style="16" customWidth="1"/>
    <col min="9995" max="9996" width="7" style="16" bestFit="1" customWidth="1"/>
    <col min="9997" max="9997" width="6.85546875" style="16" bestFit="1" customWidth="1"/>
    <col min="9998" max="9998" width="7" style="16" bestFit="1" customWidth="1"/>
    <col min="9999" max="9999" width="7.140625" style="16" bestFit="1"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9.5703125" style="16" customWidth="1"/>
    <col min="10243" max="10243" width="10.7109375" style="16" bestFit="1" customWidth="1"/>
    <col min="10244" max="10244" width="6.7109375" style="16" bestFit="1" customWidth="1"/>
    <col min="10245" max="10245" width="8.5703125" style="16" bestFit="1" customWidth="1"/>
    <col min="10246" max="10246" width="9.28515625" style="16" bestFit="1" customWidth="1"/>
    <col min="10247" max="10247" width="10.42578125" style="16" bestFit="1" customWidth="1"/>
    <col min="10248" max="10248" width="10.28515625" style="16" bestFit="1" customWidth="1"/>
    <col min="10249" max="10249" width="7.140625" style="16" bestFit="1" customWidth="1"/>
    <col min="10250" max="10250" width="7.5703125" style="16" customWidth="1"/>
    <col min="10251" max="10252" width="7" style="16" bestFit="1" customWidth="1"/>
    <col min="10253" max="10253" width="6.85546875" style="16" bestFit="1" customWidth="1"/>
    <col min="10254" max="10254" width="7" style="16" bestFit="1" customWidth="1"/>
    <col min="10255" max="10255" width="7.140625" style="16" bestFit="1"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9.5703125" style="16" customWidth="1"/>
    <col min="10499" max="10499" width="10.7109375" style="16" bestFit="1" customWidth="1"/>
    <col min="10500" max="10500" width="6.7109375" style="16" bestFit="1" customWidth="1"/>
    <col min="10501" max="10501" width="8.5703125" style="16" bestFit="1" customWidth="1"/>
    <col min="10502" max="10502" width="9.28515625" style="16" bestFit="1" customWidth="1"/>
    <col min="10503" max="10503" width="10.42578125" style="16" bestFit="1" customWidth="1"/>
    <col min="10504" max="10504" width="10.28515625" style="16" bestFit="1" customWidth="1"/>
    <col min="10505" max="10505" width="7.140625" style="16" bestFit="1" customWidth="1"/>
    <col min="10506" max="10506" width="7.5703125" style="16" customWidth="1"/>
    <col min="10507" max="10508" width="7" style="16" bestFit="1" customWidth="1"/>
    <col min="10509" max="10509" width="6.85546875" style="16" bestFit="1" customWidth="1"/>
    <col min="10510" max="10510" width="7" style="16" bestFit="1" customWidth="1"/>
    <col min="10511" max="10511" width="7.140625" style="16" bestFit="1"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9.5703125" style="16" customWidth="1"/>
    <col min="10755" max="10755" width="10.7109375" style="16" bestFit="1" customWidth="1"/>
    <col min="10756" max="10756" width="6.7109375" style="16" bestFit="1" customWidth="1"/>
    <col min="10757" max="10757" width="8.5703125" style="16" bestFit="1" customWidth="1"/>
    <col min="10758" max="10758" width="9.28515625" style="16" bestFit="1" customWidth="1"/>
    <col min="10759" max="10759" width="10.42578125" style="16" bestFit="1" customWidth="1"/>
    <col min="10760" max="10760" width="10.28515625" style="16" bestFit="1" customWidth="1"/>
    <col min="10761" max="10761" width="7.140625" style="16" bestFit="1" customWidth="1"/>
    <col min="10762" max="10762" width="7.5703125" style="16" customWidth="1"/>
    <col min="10763" max="10764" width="7" style="16" bestFit="1" customWidth="1"/>
    <col min="10765" max="10765" width="6.85546875" style="16" bestFit="1" customWidth="1"/>
    <col min="10766" max="10766" width="7" style="16" bestFit="1" customWidth="1"/>
    <col min="10767" max="10767" width="7.140625" style="16" bestFit="1"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9.5703125" style="16" customWidth="1"/>
    <col min="11011" max="11011" width="10.7109375" style="16" bestFit="1" customWidth="1"/>
    <col min="11012" max="11012" width="6.7109375" style="16" bestFit="1" customWidth="1"/>
    <col min="11013" max="11013" width="8.5703125" style="16" bestFit="1" customWidth="1"/>
    <col min="11014" max="11014" width="9.28515625" style="16" bestFit="1" customWidth="1"/>
    <col min="11015" max="11015" width="10.42578125" style="16" bestFit="1" customWidth="1"/>
    <col min="11016" max="11016" width="10.28515625" style="16" bestFit="1" customWidth="1"/>
    <col min="11017" max="11017" width="7.140625" style="16" bestFit="1" customWidth="1"/>
    <col min="11018" max="11018" width="7.5703125" style="16" customWidth="1"/>
    <col min="11019" max="11020" width="7" style="16" bestFit="1" customWidth="1"/>
    <col min="11021" max="11021" width="6.85546875" style="16" bestFit="1" customWidth="1"/>
    <col min="11022" max="11022" width="7" style="16" bestFit="1" customWidth="1"/>
    <col min="11023" max="11023" width="7.140625" style="16" bestFit="1"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9.5703125" style="16" customWidth="1"/>
    <col min="11267" max="11267" width="10.7109375" style="16" bestFit="1" customWidth="1"/>
    <col min="11268" max="11268" width="6.7109375" style="16" bestFit="1" customWidth="1"/>
    <col min="11269" max="11269" width="8.5703125" style="16" bestFit="1" customWidth="1"/>
    <col min="11270" max="11270" width="9.28515625" style="16" bestFit="1" customWidth="1"/>
    <col min="11271" max="11271" width="10.42578125" style="16" bestFit="1" customWidth="1"/>
    <col min="11272" max="11272" width="10.28515625" style="16" bestFit="1" customWidth="1"/>
    <col min="11273" max="11273" width="7.140625" style="16" bestFit="1" customWidth="1"/>
    <col min="11274" max="11274" width="7.5703125" style="16" customWidth="1"/>
    <col min="11275" max="11276" width="7" style="16" bestFit="1" customWidth="1"/>
    <col min="11277" max="11277" width="6.85546875" style="16" bestFit="1" customWidth="1"/>
    <col min="11278" max="11278" width="7" style="16" bestFit="1" customWidth="1"/>
    <col min="11279" max="11279" width="7.140625" style="16" bestFit="1"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9.5703125" style="16" customWidth="1"/>
    <col min="11523" max="11523" width="10.7109375" style="16" bestFit="1" customWidth="1"/>
    <col min="11524" max="11524" width="6.7109375" style="16" bestFit="1" customWidth="1"/>
    <col min="11525" max="11525" width="8.5703125" style="16" bestFit="1" customWidth="1"/>
    <col min="11526" max="11526" width="9.28515625" style="16" bestFit="1" customWidth="1"/>
    <col min="11527" max="11527" width="10.42578125" style="16" bestFit="1" customWidth="1"/>
    <col min="11528" max="11528" width="10.28515625" style="16" bestFit="1" customWidth="1"/>
    <col min="11529" max="11529" width="7.140625" style="16" bestFit="1" customWidth="1"/>
    <col min="11530" max="11530" width="7.5703125" style="16" customWidth="1"/>
    <col min="11531" max="11532" width="7" style="16" bestFit="1" customWidth="1"/>
    <col min="11533" max="11533" width="6.85546875" style="16" bestFit="1" customWidth="1"/>
    <col min="11534" max="11534" width="7" style="16" bestFit="1" customWidth="1"/>
    <col min="11535" max="11535" width="7.140625" style="16" bestFit="1"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9.5703125" style="16" customWidth="1"/>
    <col min="11779" max="11779" width="10.7109375" style="16" bestFit="1" customWidth="1"/>
    <col min="11780" max="11780" width="6.7109375" style="16" bestFit="1" customWidth="1"/>
    <col min="11781" max="11781" width="8.5703125" style="16" bestFit="1" customWidth="1"/>
    <col min="11782" max="11782" width="9.28515625" style="16" bestFit="1" customWidth="1"/>
    <col min="11783" max="11783" width="10.42578125" style="16" bestFit="1" customWidth="1"/>
    <col min="11784" max="11784" width="10.28515625" style="16" bestFit="1" customWidth="1"/>
    <col min="11785" max="11785" width="7.140625" style="16" bestFit="1" customWidth="1"/>
    <col min="11786" max="11786" width="7.5703125" style="16" customWidth="1"/>
    <col min="11787" max="11788" width="7" style="16" bestFit="1" customWidth="1"/>
    <col min="11789" max="11789" width="6.85546875" style="16" bestFit="1" customWidth="1"/>
    <col min="11790" max="11790" width="7" style="16" bestFit="1" customWidth="1"/>
    <col min="11791" max="11791" width="7.140625" style="16" bestFit="1"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9.5703125" style="16" customWidth="1"/>
    <col min="12035" max="12035" width="10.7109375" style="16" bestFit="1" customWidth="1"/>
    <col min="12036" max="12036" width="6.7109375" style="16" bestFit="1" customWidth="1"/>
    <col min="12037" max="12037" width="8.5703125" style="16" bestFit="1" customWidth="1"/>
    <col min="12038" max="12038" width="9.28515625" style="16" bestFit="1" customWidth="1"/>
    <col min="12039" max="12039" width="10.42578125" style="16" bestFit="1" customWidth="1"/>
    <col min="12040" max="12040" width="10.28515625" style="16" bestFit="1" customWidth="1"/>
    <col min="12041" max="12041" width="7.140625" style="16" bestFit="1" customWidth="1"/>
    <col min="12042" max="12042" width="7.5703125" style="16" customWidth="1"/>
    <col min="12043" max="12044" width="7" style="16" bestFit="1" customWidth="1"/>
    <col min="12045" max="12045" width="6.85546875" style="16" bestFit="1" customWidth="1"/>
    <col min="12046" max="12046" width="7" style="16" bestFit="1" customWidth="1"/>
    <col min="12047" max="12047" width="7.140625" style="16" bestFit="1"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9.5703125" style="16" customWidth="1"/>
    <col min="12291" max="12291" width="10.7109375" style="16" bestFit="1" customWidth="1"/>
    <col min="12292" max="12292" width="6.7109375" style="16" bestFit="1" customWidth="1"/>
    <col min="12293" max="12293" width="8.5703125" style="16" bestFit="1" customWidth="1"/>
    <col min="12294" max="12294" width="9.28515625" style="16" bestFit="1" customWidth="1"/>
    <col min="12295" max="12295" width="10.42578125" style="16" bestFit="1" customWidth="1"/>
    <col min="12296" max="12296" width="10.28515625" style="16" bestFit="1" customWidth="1"/>
    <col min="12297" max="12297" width="7.140625" style="16" bestFit="1" customWidth="1"/>
    <col min="12298" max="12298" width="7.5703125" style="16" customWidth="1"/>
    <col min="12299" max="12300" width="7" style="16" bestFit="1" customWidth="1"/>
    <col min="12301" max="12301" width="6.85546875" style="16" bestFit="1" customWidth="1"/>
    <col min="12302" max="12302" width="7" style="16" bestFit="1" customWidth="1"/>
    <col min="12303" max="12303" width="7.140625" style="16" bestFit="1"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9.5703125" style="16" customWidth="1"/>
    <col min="12547" max="12547" width="10.7109375" style="16" bestFit="1" customWidth="1"/>
    <col min="12548" max="12548" width="6.7109375" style="16" bestFit="1" customWidth="1"/>
    <col min="12549" max="12549" width="8.5703125" style="16" bestFit="1" customWidth="1"/>
    <col min="12550" max="12550" width="9.28515625" style="16" bestFit="1" customWidth="1"/>
    <col min="12551" max="12551" width="10.42578125" style="16" bestFit="1" customWidth="1"/>
    <col min="12552" max="12552" width="10.28515625" style="16" bestFit="1" customWidth="1"/>
    <col min="12553" max="12553" width="7.140625" style="16" bestFit="1" customWidth="1"/>
    <col min="12554" max="12554" width="7.5703125" style="16" customWidth="1"/>
    <col min="12555" max="12556" width="7" style="16" bestFit="1" customWidth="1"/>
    <col min="12557" max="12557" width="6.85546875" style="16" bestFit="1" customWidth="1"/>
    <col min="12558" max="12558" width="7" style="16" bestFit="1" customWidth="1"/>
    <col min="12559" max="12559" width="7.140625" style="16" bestFit="1"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9.5703125" style="16" customWidth="1"/>
    <col min="12803" max="12803" width="10.7109375" style="16" bestFit="1" customWidth="1"/>
    <col min="12804" max="12804" width="6.7109375" style="16" bestFit="1" customWidth="1"/>
    <col min="12805" max="12805" width="8.5703125" style="16" bestFit="1" customWidth="1"/>
    <col min="12806" max="12806" width="9.28515625" style="16" bestFit="1" customWidth="1"/>
    <col min="12807" max="12807" width="10.42578125" style="16" bestFit="1" customWidth="1"/>
    <col min="12808" max="12808" width="10.28515625" style="16" bestFit="1" customWidth="1"/>
    <col min="12809" max="12809" width="7.140625" style="16" bestFit="1" customWidth="1"/>
    <col min="12810" max="12810" width="7.5703125" style="16" customWidth="1"/>
    <col min="12811" max="12812" width="7" style="16" bestFit="1" customWidth="1"/>
    <col min="12813" max="12813" width="6.85546875" style="16" bestFit="1" customWidth="1"/>
    <col min="12814" max="12814" width="7" style="16" bestFit="1" customWidth="1"/>
    <col min="12815" max="12815" width="7.140625" style="16" bestFit="1"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9.5703125" style="16" customWidth="1"/>
    <col min="13059" max="13059" width="10.7109375" style="16" bestFit="1" customWidth="1"/>
    <col min="13060" max="13060" width="6.7109375" style="16" bestFit="1" customWidth="1"/>
    <col min="13061" max="13061" width="8.5703125" style="16" bestFit="1" customWidth="1"/>
    <col min="13062" max="13062" width="9.28515625" style="16" bestFit="1" customWidth="1"/>
    <col min="13063" max="13063" width="10.42578125" style="16" bestFit="1" customWidth="1"/>
    <col min="13064" max="13064" width="10.28515625" style="16" bestFit="1" customWidth="1"/>
    <col min="13065" max="13065" width="7.140625" style="16" bestFit="1" customWidth="1"/>
    <col min="13066" max="13066" width="7.5703125" style="16" customWidth="1"/>
    <col min="13067" max="13068" width="7" style="16" bestFit="1" customWidth="1"/>
    <col min="13069" max="13069" width="6.85546875" style="16" bestFit="1" customWidth="1"/>
    <col min="13070" max="13070" width="7" style="16" bestFit="1" customWidth="1"/>
    <col min="13071" max="13071" width="7.140625" style="16" bestFit="1"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9.5703125" style="16" customWidth="1"/>
    <col min="13315" max="13315" width="10.7109375" style="16" bestFit="1" customWidth="1"/>
    <col min="13316" max="13316" width="6.7109375" style="16" bestFit="1" customWidth="1"/>
    <col min="13317" max="13317" width="8.5703125" style="16" bestFit="1" customWidth="1"/>
    <col min="13318" max="13318" width="9.28515625" style="16" bestFit="1" customWidth="1"/>
    <col min="13319" max="13319" width="10.42578125" style="16" bestFit="1" customWidth="1"/>
    <col min="13320" max="13320" width="10.28515625" style="16" bestFit="1" customWidth="1"/>
    <col min="13321" max="13321" width="7.140625" style="16" bestFit="1" customWidth="1"/>
    <col min="13322" max="13322" width="7.5703125" style="16" customWidth="1"/>
    <col min="13323" max="13324" width="7" style="16" bestFit="1" customWidth="1"/>
    <col min="13325" max="13325" width="6.85546875" style="16" bestFit="1" customWidth="1"/>
    <col min="13326" max="13326" width="7" style="16" bestFit="1" customWidth="1"/>
    <col min="13327" max="13327" width="7.140625" style="16" bestFit="1"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9.5703125" style="16" customWidth="1"/>
    <col min="13571" max="13571" width="10.7109375" style="16" bestFit="1" customWidth="1"/>
    <col min="13572" max="13572" width="6.7109375" style="16" bestFit="1" customWidth="1"/>
    <col min="13573" max="13573" width="8.5703125" style="16" bestFit="1" customWidth="1"/>
    <col min="13574" max="13574" width="9.28515625" style="16" bestFit="1" customWidth="1"/>
    <col min="13575" max="13575" width="10.42578125" style="16" bestFit="1" customWidth="1"/>
    <col min="13576" max="13576" width="10.28515625" style="16" bestFit="1" customWidth="1"/>
    <col min="13577" max="13577" width="7.140625" style="16" bestFit="1" customWidth="1"/>
    <col min="13578" max="13578" width="7.5703125" style="16" customWidth="1"/>
    <col min="13579" max="13580" width="7" style="16" bestFit="1" customWidth="1"/>
    <col min="13581" max="13581" width="6.85546875" style="16" bestFit="1" customWidth="1"/>
    <col min="13582" max="13582" width="7" style="16" bestFit="1" customWidth="1"/>
    <col min="13583" max="13583" width="7.140625" style="16" bestFit="1"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9.5703125" style="16" customWidth="1"/>
    <col min="13827" max="13827" width="10.7109375" style="16" bestFit="1" customWidth="1"/>
    <col min="13828" max="13828" width="6.7109375" style="16" bestFit="1" customWidth="1"/>
    <col min="13829" max="13829" width="8.5703125" style="16" bestFit="1" customWidth="1"/>
    <col min="13830" max="13830" width="9.28515625" style="16" bestFit="1" customWidth="1"/>
    <col min="13831" max="13831" width="10.42578125" style="16" bestFit="1" customWidth="1"/>
    <col min="13832" max="13832" width="10.28515625" style="16" bestFit="1" customWidth="1"/>
    <col min="13833" max="13833" width="7.140625" style="16" bestFit="1" customWidth="1"/>
    <col min="13834" max="13834" width="7.5703125" style="16" customWidth="1"/>
    <col min="13835" max="13836" width="7" style="16" bestFit="1" customWidth="1"/>
    <col min="13837" max="13837" width="6.85546875" style="16" bestFit="1" customWidth="1"/>
    <col min="13838" max="13838" width="7" style="16" bestFit="1" customWidth="1"/>
    <col min="13839" max="13839" width="7.140625" style="16" bestFit="1"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9.5703125" style="16" customWidth="1"/>
    <col min="14083" max="14083" width="10.7109375" style="16" bestFit="1" customWidth="1"/>
    <col min="14084" max="14084" width="6.7109375" style="16" bestFit="1" customWidth="1"/>
    <col min="14085" max="14085" width="8.5703125" style="16" bestFit="1" customWidth="1"/>
    <col min="14086" max="14086" width="9.28515625" style="16" bestFit="1" customWidth="1"/>
    <col min="14087" max="14087" width="10.42578125" style="16" bestFit="1" customWidth="1"/>
    <col min="14088" max="14088" width="10.28515625" style="16" bestFit="1" customWidth="1"/>
    <col min="14089" max="14089" width="7.140625" style="16" bestFit="1" customWidth="1"/>
    <col min="14090" max="14090" width="7.5703125" style="16" customWidth="1"/>
    <col min="14091" max="14092" width="7" style="16" bestFit="1" customWidth="1"/>
    <col min="14093" max="14093" width="6.85546875" style="16" bestFit="1" customWidth="1"/>
    <col min="14094" max="14094" width="7" style="16" bestFit="1" customWidth="1"/>
    <col min="14095" max="14095" width="7.140625" style="16" bestFit="1"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9.5703125" style="16" customWidth="1"/>
    <col min="14339" max="14339" width="10.7109375" style="16" bestFit="1" customWidth="1"/>
    <col min="14340" max="14340" width="6.7109375" style="16" bestFit="1" customWidth="1"/>
    <col min="14341" max="14341" width="8.5703125" style="16" bestFit="1" customWidth="1"/>
    <col min="14342" max="14342" width="9.28515625" style="16" bestFit="1" customWidth="1"/>
    <col min="14343" max="14343" width="10.42578125" style="16" bestFit="1" customWidth="1"/>
    <col min="14344" max="14344" width="10.28515625" style="16" bestFit="1" customWidth="1"/>
    <col min="14345" max="14345" width="7.140625" style="16" bestFit="1" customWidth="1"/>
    <col min="14346" max="14346" width="7.5703125" style="16" customWidth="1"/>
    <col min="14347" max="14348" width="7" style="16" bestFit="1" customWidth="1"/>
    <col min="14349" max="14349" width="6.85546875" style="16" bestFit="1" customWidth="1"/>
    <col min="14350" max="14350" width="7" style="16" bestFit="1" customWidth="1"/>
    <col min="14351" max="14351" width="7.140625" style="16" bestFit="1"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9.5703125" style="16" customWidth="1"/>
    <col min="14595" max="14595" width="10.7109375" style="16" bestFit="1" customWidth="1"/>
    <col min="14596" max="14596" width="6.7109375" style="16" bestFit="1" customWidth="1"/>
    <col min="14597" max="14597" width="8.5703125" style="16" bestFit="1" customWidth="1"/>
    <col min="14598" max="14598" width="9.28515625" style="16" bestFit="1" customWidth="1"/>
    <col min="14599" max="14599" width="10.42578125" style="16" bestFit="1" customWidth="1"/>
    <col min="14600" max="14600" width="10.28515625" style="16" bestFit="1" customWidth="1"/>
    <col min="14601" max="14601" width="7.140625" style="16" bestFit="1" customWidth="1"/>
    <col min="14602" max="14602" width="7.5703125" style="16" customWidth="1"/>
    <col min="14603" max="14604" width="7" style="16" bestFit="1" customWidth="1"/>
    <col min="14605" max="14605" width="6.85546875" style="16" bestFit="1" customWidth="1"/>
    <col min="14606" max="14606" width="7" style="16" bestFit="1" customWidth="1"/>
    <col min="14607" max="14607" width="7.140625" style="16" bestFit="1"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9.5703125" style="16" customWidth="1"/>
    <col min="14851" max="14851" width="10.7109375" style="16" bestFit="1" customWidth="1"/>
    <col min="14852" max="14852" width="6.7109375" style="16" bestFit="1" customWidth="1"/>
    <col min="14853" max="14853" width="8.5703125" style="16" bestFit="1" customWidth="1"/>
    <col min="14854" max="14854" width="9.28515625" style="16" bestFit="1" customWidth="1"/>
    <col min="14855" max="14855" width="10.42578125" style="16" bestFit="1" customWidth="1"/>
    <col min="14856" max="14856" width="10.28515625" style="16" bestFit="1" customWidth="1"/>
    <col min="14857" max="14857" width="7.140625" style="16" bestFit="1" customWidth="1"/>
    <col min="14858" max="14858" width="7.5703125" style="16" customWidth="1"/>
    <col min="14859" max="14860" width="7" style="16" bestFit="1" customWidth="1"/>
    <col min="14861" max="14861" width="6.85546875" style="16" bestFit="1" customWidth="1"/>
    <col min="14862" max="14862" width="7" style="16" bestFit="1" customWidth="1"/>
    <col min="14863" max="14863" width="7.140625" style="16" bestFit="1"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9.5703125" style="16" customWidth="1"/>
    <col min="15107" max="15107" width="10.7109375" style="16" bestFit="1" customWidth="1"/>
    <col min="15108" max="15108" width="6.7109375" style="16" bestFit="1" customWidth="1"/>
    <col min="15109" max="15109" width="8.5703125" style="16" bestFit="1" customWidth="1"/>
    <col min="15110" max="15110" width="9.28515625" style="16" bestFit="1" customWidth="1"/>
    <col min="15111" max="15111" width="10.42578125" style="16" bestFit="1" customWidth="1"/>
    <col min="15112" max="15112" width="10.28515625" style="16" bestFit="1" customWidth="1"/>
    <col min="15113" max="15113" width="7.140625" style="16" bestFit="1" customWidth="1"/>
    <col min="15114" max="15114" width="7.5703125" style="16" customWidth="1"/>
    <col min="15115" max="15116" width="7" style="16" bestFit="1" customWidth="1"/>
    <col min="15117" max="15117" width="6.85546875" style="16" bestFit="1" customWidth="1"/>
    <col min="15118" max="15118" width="7" style="16" bestFit="1" customWidth="1"/>
    <col min="15119" max="15119" width="7.140625" style="16" bestFit="1"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9.5703125" style="16" customWidth="1"/>
    <col min="15363" max="15363" width="10.7109375" style="16" bestFit="1" customWidth="1"/>
    <col min="15364" max="15364" width="6.7109375" style="16" bestFit="1" customWidth="1"/>
    <col min="15365" max="15365" width="8.5703125" style="16" bestFit="1" customWidth="1"/>
    <col min="15366" max="15366" width="9.28515625" style="16" bestFit="1" customWidth="1"/>
    <col min="15367" max="15367" width="10.42578125" style="16" bestFit="1" customWidth="1"/>
    <col min="15368" max="15368" width="10.28515625" style="16" bestFit="1" customWidth="1"/>
    <col min="15369" max="15369" width="7.140625" style="16" bestFit="1" customWidth="1"/>
    <col min="15370" max="15370" width="7.5703125" style="16" customWidth="1"/>
    <col min="15371" max="15372" width="7" style="16" bestFit="1" customWidth="1"/>
    <col min="15373" max="15373" width="6.85546875" style="16" bestFit="1" customWidth="1"/>
    <col min="15374" max="15374" width="7" style="16" bestFit="1" customWidth="1"/>
    <col min="15375" max="15375" width="7.140625" style="16" bestFit="1"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9.5703125" style="16" customWidth="1"/>
    <col min="15619" max="15619" width="10.7109375" style="16" bestFit="1" customWidth="1"/>
    <col min="15620" max="15620" width="6.7109375" style="16" bestFit="1" customWidth="1"/>
    <col min="15621" max="15621" width="8.5703125" style="16" bestFit="1" customWidth="1"/>
    <col min="15622" max="15622" width="9.28515625" style="16" bestFit="1" customWidth="1"/>
    <col min="15623" max="15623" width="10.42578125" style="16" bestFit="1" customWidth="1"/>
    <col min="15624" max="15624" width="10.28515625" style="16" bestFit="1" customWidth="1"/>
    <col min="15625" max="15625" width="7.140625" style="16" bestFit="1" customWidth="1"/>
    <col min="15626" max="15626" width="7.5703125" style="16" customWidth="1"/>
    <col min="15627" max="15628" width="7" style="16" bestFit="1" customWidth="1"/>
    <col min="15629" max="15629" width="6.85546875" style="16" bestFit="1" customWidth="1"/>
    <col min="15630" max="15630" width="7" style="16" bestFit="1" customWidth="1"/>
    <col min="15631" max="15631" width="7.140625" style="16" bestFit="1"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9.5703125" style="16" customWidth="1"/>
    <col min="15875" max="15875" width="10.7109375" style="16" bestFit="1" customWidth="1"/>
    <col min="15876" max="15876" width="6.7109375" style="16" bestFit="1" customWidth="1"/>
    <col min="15877" max="15877" width="8.5703125" style="16" bestFit="1" customWidth="1"/>
    <col min="15878" max="15878" width="9.28515625" style="16" bestFit="1" customWidth="1"/>
    <col min="15879" max="15879" width="10.42578125" style="16" bestFit="1" customWidth="1"/>
    <col min="15880" max="15880" width="10.28515625" style="16" bestFit="1" customWidth="1"/>
    <col min="15881" max="15881" width="7.140625" style="16" bestFit="1" customWidth="1"/>
    <col min="15882" max="15882" width="7.5703125" style="16" customWidth="1"/>
    <col min="15883" max="15884" width="7" style="16" bestFit="1" customWidth="1"/>
    <col min="15885" max="15885" width="6.85546875" style="16" bestFit="1" customWidth="1"/>
    <col min="15886" max="15886" width="7" style="16" bestFit="1" customWidth="1"/>
    <col min="15887" max="15887" width="7.140625" style="16" bestFit="1"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9.5703125" style="16" customWidth="1"/>
    <col min="16131" max="16131" width="10.7109375" style="16" bestFit="1" customWidth="1"/>
    <col min="16132" max="16132" width="6.7109375" style="16" bestFit="1" customWidth="1"/>
    <col min="16133" max="16133" width="8.5703125" style="16" bestFit="1" customWidth="1"/>
    <col min="16134" max="16134" width="9.28515625" style="16" bestFit="1" customWidth="1"/>
    <col min="16135" max="16135" width="10.42578125" style="16" bestFit="1" customWidth="1"/>
    <col min="16136" max="16136" width="10.28515625" style="16" bestFit="1" customWidth="1"/>
    <col min="16137" max="16137" width="7.140625" style="16" bestFit="1" customWidth="1"/>
    <col min="16138" max="16138" width="7.5703125" style="16" customWidth="1"/>
    <col min="16139" max="16140" width="7" style="16" bestFit="1" customWidth="1"/>
    <col min="16141" max="16141" width="6.85546875" style="16" bestFit="1" customWidth="1"/>
    <col min="16142" max="16142" width="7" style="16" bestFit="1" customWidth="1"/>
    <col min="16143" max="16143" width="7.140625" style="16" bestFit="1"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67" t="s">
        <v>100</v>
      </c>
      <c r="B1" s="868"/>
      <c r="C1" s="868"/>
      <c r="D1" s="869"/>
      <c r="E1" s="868"/>
      <c r="F1" s="868"/>
      <c r="G1" s="867" t="s">
        <v>102</v>
      </c>
      <c r="H1" s="869"/>
      <c r="I1" s="869" t="s">
        <v>92</v>
      </c>
      <c r="J1" s="868"/>
      <c r="K1" s="868"/>
      <c r="L1" s="870"/>
      <c r="M1" s="870"/>
      <c r="N1" s="870"/>
      <c r="O1" s="870"/>
    </row>
    <row r="2" spans="1:15" s="1" customFormat="1" x14ac:dyDescent="0.2">
      <c r="A2" s="867" t="s">
        <v>103</v>
      </c>
      <c r="B2" s="868"/>
      <c r="C2" s="868"/>
      <c r="D2" s="869"/>
      <c r="E2" s="868"/>
      <c r="F2" s="868"/>
      <c r="G2" s="867" t="s">
        <v>104</v>
      </c>
      <c r="H2" s="869"/>
      <c r="I2" s="869" t="s">
        <v>105</v>
      </c>
      <c r="J2" s="868"/>
      <c r="K2" s="868"/>
      <c r="L2" s="870"/>
      <c r="M2" s="870"/>
      <c r="N2" s="870"/>
      <c r="O2" s="870"/>
    </row>
    <row r="3" spans="1:15" s="1" customFormat="1" x14ac:dyDescent="0.2">
      <c r="A3" s="867" t="s">
        <v>106</v>
      </c>
      <c r="B3" s="868"/>
      <c r="C3" s="868"/>
      <c r="D3" s="883" t="s">
        <v>245</v>
      </c>
      <c r="E3" s="868"/>
      <c r="F3" s="868"/>
      <c r="G3" s="867" t="s">
        <v>107</v>
      </c>
      <c r="H3" s="869"/>
      <c r="I3" s="869" t="s">
        <v>108</v>
      </c>
      <c r="J3" s="868"/>
      <c r="K3" s="868"/>
      <c r="L3" s="870"/>
      <c r="M3" s="870"/>
      <c r="N3" s="870"/>
      <c r="O3" s="870"/>
    </row>
    <row r="4" spans="1:15" s="1" customFormat="1" x14ac:dyDescent="0.2">
      <c r="A4" s="867" t="s">
        <v>109</v>
      </c>
      <c r="B4" s="868"/>
      <c r="C4" s="868"/>
      <c r="D4" s="869"/>
      <c r="E4" s="868"/>
      <c r="F4" s="868"/>
      <c r="G4" s="867" t="s">
        <v>110</v>
      </c>
      <c r="H4" s="869"/>
      <c r="I4" s="869" t="s">
        <v>221</v>
      </c>
      <c r="J4" s="868"/>
      <c r="K4" s="868"/>
      <c r="L4" s="870"/>
      <c r="M4" s="870"/>
      <c r="N4" s="870"/>
      <c r="O4" s="870"/>
    </row>
    <row r="5" spans="1:15" s="1" customFormat="1" x14ac:dyDescent="0.2">
      <c r="A5" s="867" t="s">
        <v>112</v>
      </c>
      <c r="B5" s="868"/>
      <c r="C5" s="868"/>
      <c r="D5" s="869"/>
      <c r="E5" s="868"/>
      <c r="F5" s="868"/>
      <c r="G5" s="867"/>
      <c r="H5" s="868"/>
      <c r="I5" s="869" t="s">
        <v>113</v>
      </c>
      <c r="J5" s="868"/>
      <c r="K5" s="868"/>
      <c r="L5" s="870"/>
      <c r="M5" s="870"/>
      <c r="N5" s="870"/>
      <c r="O5" s="870"/>
    </row>
    <row r="6" spans="1:15" s="1" customFormat="1" x14ac:dyDescent="0.2">
      <c r="A6" s="871" t="s">
        <v>114</v>
      </c>
      <c r="B6" s="872"/>
      <c r="C6" s="872"/>
      <c r="D6" s="868" t="s">
        <v>93</v>
      </c>
      <c r="E6" s="868"/>
      <c r="F6" s="868"/>
      <c r="G6" s="871" t="s">
        <v>115</v>
      </c>
      <c r="H6" s="871"/>
      <c r="I6" s="2" t="s">
        <v>116</v>
      </c>
      <c r="J6" s="888"/>
      <c r="K6" s="888"/>
      <c r="L6" s="888"/>
      <c r="M6" s="888"/>
      <c r="N6" s="888"/>
      <c r="O6" s="889"/>
    </row>
    <row r="7" spans="1:15" s="1" customFormat="1" ht="13.5" thickBot="1" x14ac:dyDescent="0.25">
      <c r="A7" s="3"/>
      <c r="B7" s="4"/>
      <c r="C7" s="5"/>
      <c r="D7" s="6"/>
      <c r="E7" s="6"/>
      <c r="F7" s="6"/>
      <c r="G7" s="6"/>
      <c r="H7" s="6"/>
      <c r="I7" s="6"/>
      <c r="J7" s="7"/>
      <c r="K7" s="8"/>
      <c r="L7" s="875" t="s">
        <v>223</v>
      </c>
      <c r="M7" s="875"/>
      <c r="N7" s="875"/>
      <c r="O7" s="875"/>
    </row>
    <row r="8" spans="1:15" s="11" customFormat="1" x14ac:dyDescent="0.2">
      <c r="A8" s="876" t="str">
        <f>I1</f>
        <v>Mr. H. R. Kadam</v>
      </c>
      <c r="B8" s="877"/>
      <c r="C8" s="144">
        <v>43160</v>
      </c>
      <c r="D8" s="144">
        <v>43191</v>
      </c>
      <c r="E8" s="144">
        <v>43221</v>
      </c>
      <c r="F8" s="144">
        <v>43252</v>
      </c>
      <c r="G8" s="144">
        <v>43282</v>
      </c>
      <c r="H8" s="144">
        <v>43313</v>
      </c>
      <c r="I8" s="144">
        <v>43344</v>
      </c>
      <c r="J8" s="144">
        <v>43374</v>
      </c>
      <c r="K8" s="144">
        <v>43405</v>
      </c>
      <c r="L8" s="144">
        <v>43435</v>
      </c>
      <c r="M8" s="144">
        <v>43466</v>
      </c>
      <c r="N8" s="144">
        <v>43497</v>
      </c>
      <c r="O8" s="10" t="s">
        <v>117</v>
      </c>
    </row>
    <row r="9" spans="1:15" ht="15" x14ac:dyDescent="0.2">
      <c r="A9" s="12"/>
      <c r="B9" s="13" t="s">
        <v>118</v>
      </c>
      <c r="C9" s="14">
        <v>33000</v>
      </c>
      <c r="D9" s="14">
        <v>33000</v>
      </c>
      <c r="E9" s="14">
        <v>33000</v>
      </c>
      <c r="F9" s="14">
        <v>33000</v>
      </c>
      <c r="G9" s="14">
        <v>34000</v>
      </c>
      <c r="H9" s="14">
        <v>34000</v>
      </c>
      <c r="I9" s="14">
        <v>34000</v>
      </c>
      <c r="J9" s="14">
        <v>34000</v>
      </c>
      <c r="K9" s="14">
        <v>34000</v>
      </c>
      <c r="L9" s="14">
        <v>34000</v>
      </c>
      <c r="M9" s="14">
        <v>34000</v>
      </c>
      <c r="N9" s="14">
        <v>34000</v>
      </c>
      <c r="O9" s="15">
        <f>SUM(C9:N9)</f>
        <v>404000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1650</v>
      </c>
      <c r="D11" s="17">
        <v>2310</v>
      </c>
      <c r="E11" s="17">
        <v>2310</v>
      </c>
      <c r="F11" s="17">
        <v>2310</v>
      </c>
      <c r="G11" s="17">
        <v>2380</v>
      </c>
      <c r="H11" s="17">
        <v>2380</v>
      </c>
      <c r="I11" s="17">
        <v>2380</v>
      </c>
      <c r="J11" s="17">
        <v>3060</v>
      </c>
      <c r="K11" s="17">
        <v>3060</v>
      </c>
      <c r="L11" s="17">
        <v>3060</v>
      </c>
      <c r="M11" s="17">
        <v>3060</v>
      </c>
      <c r="N11" s="17">
        <v>3060</v>
      </c>
      <c r="O11" s="18">
        <f>SUM(C11:N11)</f>
        <v>31020</v>
      </c>
    </row>
    <row r="12" spans="1:15" ht="15"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x14ac:dyDescent="0.2">
      <c r="A14" s="12"/>
      <c r="B14" s="13" t="s">
        <v>123</v>
      </c>
      <c r="C14" s="17">
        <v>3780</v>
      </c>
      <c r="D14" s="17">
        <v>3852</v>
      </c>
      <c r="E14" s="17">
        <v>3852</v>
      </c>
      <c r="F14" s="17">
        <v>3852</v>
      </c>
      <c r="G14" s="17">
        <v>3852</v>
      </c>
      <c r="H14" s="17">
        <v>3852</v>
      </c>
      <c r="I14" s="17">
        <v>3852</v>
      </c>
      <c r="J14" s="17">
        <v>3924</v>
      </c>
      <c r="K14" s="17">
        <v>3924</v>
      </c>
      <c r="L14" s="17">
        <v>3924</v>
      </c>
      <c r="M14" s="17">
        <v>3924</v>
      </c>
      <c r="N14" s="17">
        <v>3924</v>
      </c>
      <c r="O14" s="18">
        <f t="shared" si="0"/>
        <v>46512</v>
      </c>
    </row>
    <row r="15" spans="1:15"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x14ac:dyDescent="0.2">
      <c r="A16" s="12"/>
      <c r="B16" s="13" t="s">
        <v>125</v>
      </c>
      <c r="C16" s="17">
        <v>0</v>
      </c>
      <c r="D16" s="17">
        <v>0</v>
      </c>
      <c r="E16" s="17">
        <v>0</v>
      </c>
      <c r="F16" s="17">
        <v>0</v>
      </c>
      <c r="G16" s="17">
        <v>5000</v>
      </c>
      <c r="H16" s="17">
        <v>0</v>
      </c>
      <c r="I16" s="17">
        <v>0</v>
      </c>
      <c r="J16" s="17">
        <v>0</v>
      </c>
      <c r="K16" s="17">
        <v>0</v>
      </c>
      <c r="L16" s="17">
        <v>0</v>
      </c>
      <c r="M16" s="17">
        <v>0</v>
      </c>
      <c r="N16" s="17">
        <v>0</v>
      </c>
      <c r="O16" s="18">
        <f t="shared" si="0"/>
        <v>5000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15" x14ac:dyDescent="0.2">
      <c r="A19" s="12"/>
      <c r="B19" s="151" t="s">
        <v>246</v>
      </c>
      <c r="C19" s="17">
        <v>0</v>
      </c>
      <c r="D19" s="17">
        <v>0</v>
      </c>
      <c r="E19" s="17">
        <v>0</v>
      </c>
      <c r="F19" s="17">
        <v>0</v>
      </c>
      <c r="G19" s="17">
        <v>0</v>
      </c>
      <c r="H19" s="17">
        <v>0</v>
      </c>
      <c r="I19" s="17">
        <v>0</v>
      </c>
      <c r="J19" s="17">
        <v>0</v>
      </c>
      <c r="K19" s="17">
        <v>0</v>
      </c>
      <c r="L19" s="17">
        <v>12353</v>
      </c>
      <c r="M19" s="17">
        <v>0</v>
      </c>
      <c r="N19" s="17">
        <v>0</v>
      </c>
      <c r="O19" s="18">
        <f t="shared" si="0"/>
        <v>12353</v>
      </c>
    </row>
    <row r="20" spans="1:15" ht="15" hidden="1" customHeight="1" x14ac:dyDescent="0.2">
      <c r="A20" s="12"/>
      <c r="B20" s="13"/>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78"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79"/>
      <c r="B22" s="19" t="s">
        <v>247</v>
      </c>
      <c r="C22" s="17">
        <v>0</v>
      </c>
      <c r="D22" s="17">
        <v>0</v>
      </c>
      <c r="E22" s="17">
        <v>0</v>
      </c>
      <c r="F22" s="17">
        <v>0</v>
      </c>
      <c r="G22" s="17">
        <v>0</v>
      </c>
      <c r="H22" s="17">
        <v>0</v>
      </c>
      <c r="I22" s="17">
        <v>0</v>
      </c>
      <c r="J22" s="17">
        <v>0</v>
      </c>
      <c r="K22" s="17">
        <v>0</v>
      </c>
      <c r="L22" s="17">
        <v>0</v>
      </c>
      <c r="M22" s="17">
        <v>0</v>
      </c>
      <c r="N22" s="17">
        <v>0</v>
      </c>
      <c r="O22" s="18">
        <f t="shared" si="0"/>
        <v>0</v>
      </c>
    </row>
    <row r="23" spans="1:15" ht="15" customHeight="1" x14ac:dyDescent="0.2">
      <c r="A23" s="879"/>
      <c r="B23" s="19" t="s">
        <v>132</v>
      </c>
      <c r="C23" s="17">
        <v>0</v>
      </c>
      <c r="D23" s="17">
        <v>0</v>
      </c>
      <c r="E23" s="17">
        <v>0</v>
      </c>
      <c r="F23" s="17">
        <v>0</v>
      </c>
      <c r="G23" s="17">
        <v>0</v>
      </c>
      <c r="H23" s="17">
        <v>0</v>
      </c>
      <c r="I23" s="17">
        <v>0</v>
      </c>
      <c r="J23" s="17">
        <v>6908</v>
      </c>
      <c r="K23" s="17">
        <v>0</v>
      </c>
      <c r="L23" s="17">
        <v>0</v>
      </c>
      <c r="M23" s="17">
        <v>0</v>
      </c>
      <c r="N23" s="17">
        <v>0</v>
      </c>
      <c r="O23" s="18">
        <f t="shared" si="0"/>
        <v>6908</v>
      </c>
    </row>
    <row r="24" spans="1:15" ht="15" hidden="1" customHeight="1" x14ac:dyDescent="0.2">
      <c r="A24" s="879"/>
      <c r="B24" s="19" t="s">
        <v>133</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79"/>
      <c r="B25" s="19" t="s">
        <v>134</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79"/>
      <c r="B26" s="19" t="s">
        <v>135</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79"/>
      <c r="B27" s="19" t="s">
        <v>136</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79"/>
      <c r="B28" s="19" t="s">
        <v>137</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79"/>
      <c r="B29" s="19" t="s">
        <v>138</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79"/>
      <c r="B30" s="19" t="s">
        <v>139</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79"/>
      <c r="B31" s="19" t="s">
        <v>140</v>
      </c>
      <c r="C31" s="17">
        <v>0</v>
      </c>
      <c r="D31" s="17">
        <v>0</v>
      </c>
      <c r="E31" s="17">
        <v>0</v>
      </c>
      <c r="F31" s="17">
        <v>0</v>
      </c>
      <c r="G31" s="17">
        <v>0</v>
      </c>
      <c r="H31" s="17">
        <v>0</v>
      </c>
      <c r="I31" s="17">
        <v>0</v>
      </c>
      <c r="J31" s="17">
        <v>0</v>
      </c>
      <c r="K31" s="17">
        <v>0</v>
      </c>
      <c r="L31" s="17">
        <v>0</v>
      </c>
      <c r="M31" s="17">
        <v>0</v>
      </c>
      <c r="N31" s="17">
        <v>0</v>
      </c>
      <c r="O31" s="18">
        <f t="shared" si="0"/>
        <v>0</v>
      </c>
    </row>
    <row r="32" spans="1:15" ht="15" hidden="1" customHeight="1" x14ac:dyDescent="0.2">
      <c r="A32" s="879"/>
      <c r="B32" s="19" t="s">
        <v>225</v>
      </c>
      <c r="C32" s="17">
        <v>0</v>
      </c>
      <c r="D32" s="17">
        <v>0</v>
      </c>
      <c r="E32" s="17">
        <v>0</v>
      </c>
      <c r="F32" s="17">
        <v>0</v>
      </c>
      <c r="G32" s="17">
        <v>0</v>
      </c>
      <c r="H32" s="17">
        <v>0</v>
      </c>
      <c r="I32" s="17">
        <v>0</v>
      </c>
      <c r="J32" s="17">
        <v>0</v>
      </c>
      <c r="K32" s="17">
        <v>0</v>
      </c>
      <c r="L32" s="17">
        <v>0</v>
      </c>
      <c r="M32" s="17">
        <v>0</v>
      </c>
      <c r="N32" s="17">
        <v>0</v>
      </c>
      <c r="O32" s="18">
        <f t="shared" si="0"/>
        <v>0</v>
      </c>
    </row>
    <row r="33" spans="1:17" ht="15" customHeight="1" x14ac:dyDescent="0.2">
      <c r="A33" s="879"/>
      <c r="B33" s="21" t="s">
        <v>142</v>
      </c>
      <c r="C33" s="17">
        <v>0</v>
      </c>
      <c r="D33" s="17">
        <v>0</v>
      </c>
      <c r="E33" s="17">
        <v>0</v>
      </c>
      <c r="F33" s="17">
        <v>0</v>
      </c>
      <c r="G33" s="17">
        <v>0</v>
      </c>
      <c r="H33" s="17">
        <v>0</v>
      </c>
      <c r="I33" s="17">
        <v>0</v>
      </c>
      <c r="J33" s="17">
        <v>0</v>
      </c>
      <c r="K33" s="17">
        <v>0</v>
      </c>
      <c r="L33" s="17">
        <v>0</v>
      </c>
      <c r="M33" s="17">
        <v>0</v>
      </c>
      <c r="N33" s="17">
        <v>0</v>
      </c>
      <c r="O33" s="18">
        <f t="shared" si="0"/>
        <v>0</v>
      </c>
    </row>
    <row r="34" spans="1:17" ht="15" hidden="1" customHeight="1" x14ac:dyDescent="0.2">
      <c r="A34" s="880"/>
      <c r="B34" s="19" t="s">
        <v>226</v>
      </c>
      <c r="C34" s="17">
        <v>0</v>
      </c>
      <c r="D34" s="17">
        <v>0</v>
      </c>
      <c r="E34" s="17">
        <v>0</v>
      </c>
      <c r="F34" s="17">
        <v>0</v>
      </c>
      <c r="G34" s="17">
        <v>0</v>
      </c>
      <c r="H34" s="17">
        <v>0</v>
      </c>
      <c r="I34" s="17">
        <v>0</v>
      </c>
      <c r="J34" s="17">
        <v>0</v>
      </c>
      <c r="K34" s="17">
        <v>0</v>
      </c>
      <c r="L34" s="17">
        <v>0</v>
      </c>
      <c r="M34" s="17">
        <v>0</v>
      </c>
      <c r="N34" s="17">
        <v>0</v>
      </c>
      <c r="O34" s="18">
        <f t="shared" si="0"/>
        <v>0</v>
      </c>
    </row>
    <row r="35" spans="1:17" ht="15" customHeight="1" x14ac:dyDescent="0.2">
      <c r="A35" s="865" t="s">
        <v>143</v>
      </c>
      <c r="B35" s="866"/>
      <c r="C35" s="17">
        <v>0</v>
      </c>
      <c r="D35" s="17">
        <v>0</v>
      </c>
      <c r="E35" s="17">
        <v>0</v>
      </c>
      <c r="F35" s="17">
        <v>0</v>
      </c>
      <c r="G35" s="17">
        <v>0</v>
      </c>
      <c r="H35" s="17">
        <v>0</v>
      </c>
      <c r="I35" s="17">
        <v>0</v>
      </c>
      <c r="J35" s="17">
        <v>0</v>
      </c>
      <c r="K35" s="17">
        <v>0</v>
      </c>
      <c r="L35" s="17">
        <v>0</v>
      </c>
      <c r="M35" s="17">
        <v>0</v>
      </c>
      <c r="N35" s="17">
        <v>0</v>
      </c>
      <c r="O35" s="18">
        <f t="shared" si="0"/>
        <v>0</v>
      </c>
    </row>
    <row r="36" spans="1:17" ht="15" customHeight="1" x14ac:dyDescent="0.2">
      <c r="A36" s="865" t="s">
        <v>145</v>
      </c>
      <c r="B36" s="866"/>
      <c r="C36" s="17">
        <v>0</v>
      </c>
      <c r="D36" s="17">
        <v>216</v>
      </c>
      <c r="E36" s="17">
        <v>0</v>
      </c>
      <c r="F36" s="17">
        <v>0</v>
      </c>
      <c r="G36" s="17">
        <v>0</v>
      </c>
      <c r="H36" s="17">
        <v>0</v>
      </c>
      <c r="I36" s="17">
        <v>0</v>
      </c>
      <c r="J36" s="17">
        <v>216</v>
      </c>
      <c r="K36" s="17">
        <v>0</v>
      </c>
      <c r="L36" s="17">
        <v>0</v>
      </c>
      <c r="M36" s="17">
        <v>0</v>
      </c>
      <c r="N36" s="17">
        <v>0</v>
      </c>
      <c r="O36" s="18">
        <f t="shared" si="0"/>
        <v>432</v>
      </c>
    </row>
    <row r="37" spans="1:17" ht="15" customHeight="1" x14ac:dyDescent="0.2">
      <c r="A37" s="865" t="s">
        <v>146</v>
      </c>
      <c r="B37" s="866"/>
      <c r="C37" s="17">
        <v>0</v>
      </c>
      <c r="D37" s="17">
        <v>1980</v>
      </c>
      <c r="E37" s="17">
        <v>0</v>
      </c>
      <c r="F37" s="17">
        <v>0</v>
      </c>
      <c r="G37" s="17">
        <v>0</v>
      </c>
      <c r="H37" s="17">
        <v>0</v>
      </c>
      <c r="I37" s="17">
        <v>0</v>
      </c>
      <c r="J37" s="17">
        <v>2040</v>
      </c>
      <c r="K37" s="17">
        <v>0</v>
      </c>
      <c r="L37" s="17">
        <v>0</v>
      </c>
      <c r="M37" s="17">
        <v>0</v>
      </c>
      <c r="N37" s="17">
        <v>0</v>
      </c>
      <c r="O37" s="18">
        <f>SUM(C37:N37)</f>
        <v>4020</v>
      </c>
    </row>
    <row r="38" spans="1:17" ht="15" customHeight="1" x14ac:dyDescent="0.2">
      <c r="A38" s="22"/>
      <c r="B38" s="23" t="s">
        <v>147</v>
      </c>
      <c r="C38" s="24">
        <f>SUM(C9:C37)</f>
        <v>38430</v>
      </c>
      <c r="D38" s="24">
        <f t="shared" ref="D38:N38" si="1">SUM(D9:D37)</f>
        <v>41358</v>
      </c>
      <c r="E38" s="24">
        <f t="shared" si="1"/>
        <v>39162</v>
      </c>
      <c r="F38" s="24">
        <f t="shared" si="1"/>
        <v>39162</v>
      </c>
      <c r="G38" s="24">
        <f t="shared" si="1"/>
        <v>45232</v>
      </c>
      <c r="H38" s="24">
        <f t="shared" si="1"/>
        <v>40232</v>
      </c>
      <c r="I38" s="24">
        <f t="shared" si="1"/>
        <v>40232</v>
      </c>
      <c r="J38" s="24">
        <f t="shared" si="1"/>
        <v>50148</v>
      </c>
      <c r="K38" s="24">
        <f t="shared" si="1"/>
        <v>40984</v>
      </c>
      <c r="L38" s="24">
        <f t="shared" si="1"/>
        <v>53337</v>
      </c>
      <c r="M38" s="24">
        <f t="shared" si="1"/>
        <v>40984</v>
      </c>
      <c r="N38" s="24">
        <f t="shared" si="1"/>
        <v>40984</v>
      </c>
      <c r="O38" s="25">
        <f>SUM(C38:N38)</f>
        <v>510245</v>
      </c>
    </row>
    <row r="39" spans="1:17" ht="15" customHeight="1" x14ac:dyDescent="0.2">
      <c r="A39" s="853" t="s">
        <v>148</v>
      </c>
      <c r="B39" s="27" t="s">
        <v>149</v>
      </c>
      <c r="C39" s="147">
        <v>0</v>
      </c>
      <c r="D39" s="147">
        <v>0</v>
      </c>
      <c r="E39" s="147">
        <v>0</v>
      </c>
      <c r="F39" s="147">
        <v>0</v>
      </c>
      <c r="G39" s="147">
        <v>0</v>
      </c>
      <c r="H39" s="147">
        <v>0</v>
      </c>
      <c r="I39" s="147">
        <v>0</v>
      </c>
      <c r="J39" s="147">
        <v>500</v>
      </c>
      <c r="K39" s="147">
        <v>0</v>
      </c>
      <c r="L39" s="147">
        <v>0</v>
      </c>
      <c r="M39" s="147">
        <v>0</v>
      </c>
      <c r="N39" s="147">
        <v>0</v>
      </c>
      <c r="O39" s="18">
        <f>SUM(C39:N39)</f>
        <v>500</v>
      </c>
      <c r="P39" s="29"/>
      <c r="Q39" s="16">
        <f>+O18</f>
        <v>0</v>
      </c>
    </row>
    <row r="40" spans="1:17" ht="15" x14ac:dyDescent="0.2">
      <c r="A40" s="854"/>
      <c r="B40" s="27" t="s">
        <v>150</v>
      </c>
      <c r="C40" s="147">
        <v>0</v>
      </c>
      <c r="D40" s="147">
        <v>0</v>
      </c>
      <c r="E40" s="147">
        <v>0</v>
      </c>
      <c r="F40" s="147">
        <v>0</v>
      </c>
      <c r="G40" s="147">
        <v>0</v>
      </c>
      <c r="H40" s="147">
        <v>0</v>
      </c>
      <c r="I40" s="147">
        <v>0</v>
      </c>
      <c r="J40" s="147">
        <v>0</v>
      </c>
      <c r="K40" s="147">
        <v>0</v>
      </c>
      <c r="L40" s="147">
        <v>0</v>
      </c>
      <c r="M40" s="147">
        <v>0</v>
      </c>
      <c r="N40" s="147">
        <v>0</v>
      </c>
      <c r="O40" s="18">
        <f>SUM(C40:N40)</f>
        <v>0</v>
      </c>
      <c r="Q40" s="16">
        <f>+Q38+Q39</f>
        <v>0</v>
      </c>
    </row>
    <row r="41" spans="1:17" ht="15" x14ac:dyDescent="0.2">
      <c r="A41" s="854"/>
      <c r="B41" s="27" t="s">
        <v>151</v>
      </c>
      <c r="C41" s="147">
        <v>30</v>
      </c>
      <c r="D41" s="147">
        <v>30</v>
      </c>
      <c r="E41" s="147">
        <v>30</v>
      </c>
      <c r="F41" s="147">
        <v>30</v>
      </c>
      <c r="G41" s="147">
        <v>30</v>
      </c>
      <c r="H41" s="147">
        <v>30</v>
      </c>
      <c r="I41" s="147">
        <v>30</v>
      </c>
      <c r="J41" s="147">
        <v>30</v>
      </c>
      <c r="K41" s="147">
        <v>30</v>
      </c>
      <c r="L41" s="147">
        <v>30</v>
      </c>
      <c r="M41" s="147">
        <v>30</v>
      </c>
      <c r="N41" s="147">
        <v>30</v>
      </c>
      <c r="O41" s="18">
        <f t="shared" ref="O41:O51" si="2">SUM(C41:N41)</f>
        <v>360</v>
      </c>
    </row>
    <row r="42" spans="1:17" ht="15" x14ac:dyDescent="0.2">
      <c r="A42" s="854"/>
      <c r="B42" s="27" t="s">
        <v>152</v>
      </c>
      <c r="C42" s="147">
        <v>0</v>
      </c>
      <c r="D42" s="147">
        <v>0</v>
      </c>
      <c r="E42" s="147">
        <v>0</v>
      </c>
      <c r="F42" s="147">
        <v>0</v>
      </c>
      <c r="G42" s="147">
        <v>0</v>
      </c>
      <c r="H42" s="147">
        <v>0</v>
      </c>
      <c r="I42" s="147">
        <v>0</v>
      </c>
      <c r="J42" s="147">
        <v>0</v>
      </c>
      <c r="K42" s="147">
        <v>0</v>
      </c>
      <c r="L42" s="147">
        <v>0</v>
      </c>
      <c r="M42" s="147">
        <v>0</v>
      </c>
      <c r="N42" s="147">
        <v>0</v>
      </c>
      <c r="O42" s="18">
        <f t="shared" si="2"/>
        <v>0</v>
      </c>
    </row>
    <row r="43" spans="1:17" ht="15" x14ac:dyDescent="0.2">
      <c r="A43" s="854"/>
      <c r="B43" s="27" t="s">
        <v>153</v>
      </c>
      <c r="C43" s="147">
        <v>250</v>
      </c>
      <c r="D43" s="147">
        <v>250</v>
      </c>
      <c r="E43" s="147">
        <v>250</v>
      </c>
      <c r="F43" s="147">
        <v>250</v>
      </c>
      <c r="G43" s="147">
        <v>250</v>
      </c>
      <c r="H43" s="147">
        <v>250</v>
      </c>
      <c r="I43" s="147">
        <v>250</v>
      </c>
      <c r="J43" s="147">
        <v>250</v>
      </c>
      <c r="K43" s="147">
        <v>250</v>
      </c>
      <c r="L43" s="147">
        <v>250</v>
      </c>
      <c r="M43" s="147">
        <v>250</v>
      </c>
      <c r="N43" s="147">
        <v>250</v>
      </c>
      <c r="O43" s="18">
        <f t="shared" si="2"/>
        <v>3000</v>
      </c>
    </row>
    <row r="44" spans="1:17" ht="15" x14ac:dyDescent="0.2">
      <c r="A44" s="854"/>
      <c r="B44" s="27" t="s">
        <v>154</v>
      </c>
      <c r="C44" s="147">
        <v>10000</v>
      </c>
      <c r="D44" s="147">
        <v>10000</v>
      </c>
      <c r="E44" s="147">
        <v>10000</v>
      </c>
      <c r="F44" s="147">
        <v>10000</v>
      </c>
      <c r="G44" s="147">
        <v>10000</v>
      </c>
      <c r="H44" s="147">
        <v>10000</v>
      </c>
      <c r="I44" s="147">
        <v>12000</v>
      </c>
      <c r="J44" s="147">
        <v>12000</v>
      </c>
      <c r="K44" s="147">
        <v>12000</v>
      </c>
      <c r="L44" s="147">
        <v>12000</v>
      </c>
      <c r="M44" s="147">
        <v>12000</v>
      </c>
      <c r="N44" s="147">
        <v>12000</v>
      </c>
      <c r="O44" s="18">
        <f t="shared" si="2"/>
        <v>132000</v>
      </c>
    </row>
    <row r="45" spans="1:17" ht="15" x14ac:dyDescent="0.2">
      <c r="A45" s="854"/>
      <c r="B45" s="27" t="s">
        <v>155</v>
      </c>
      <c r="C45" s="147">
        <v>200</v>
      </c>
      <c r="D45" s="147">
        <v>200</v>
      </c>
      <c r="E45" s="147">
        <v>200</v>
      </c>
      <c r="F45" s="147">
        <v>200</v>
      </c>
      <c r="G45" s="147">
        <v>200</v>
      </c>
      <c r="H45" s="147">
        <v>200</v>
      </c>
      <c r="I45" s="147">
        <v>200</v>
      </c>
      <c r="J45" s="147">
        <v>200</v>
      </c>
      <c r="K45" s="147">
        <v>200</v>
      </c>
      <c r="L45" s="147">
        <v>200</v>
      </c>
      <c r="M45" s="147">
        <v>200</v>
      </c>
      <c r="N45" s="147">
        <v>300</v>
      </c>
      <c r="O45" s="18">
        <f t="shared" si="2"/>
        <v>2500</v>
      </c>
    </row>
    <row r="46" spans="1:17" ht="15" x14ac:dyDescent="0.2">
      <c r="A46" s="854"/>
      <c r="B46" s="27" t="s">
        <v>248</v>
      </c>
      <c r="C46" s="147">
        <v>363</v>
      </c>
      <c r="D46" s="147">
        <v>363</v>
      </c>
      <c r="E46" s="147">
        <v>363</v>
      </c>
      <c r="F46" s="147">
        <v>363</v>
      </c>
      <c r="G46" s="147">
        <v>363</v>
      </c>
      <c r="H46" s="147">
        <v>363</v>
      </c>
      <c r="I46" s="147">
        <v>363</v>
      </c>
      <c r="J46" s="147">
        <v>363</v>
      </c>
      <c r="K46" s="147">
        <v>363</v>
      </c>
      <c r="L46" s="147">
        <v>363</v>
      </c>
      <c r="M46" s="147">
        <v>363</v>
      </c>
      <c r="N46" s="147">
        <v>363</v>
      </c>
      <c r="O46" s="18">
        <f t="shared" si="2"/>
        <v>4356</v>
      </c>
    </row>
    <row r="47" spans="1:17" ht="15" x14ac:dyDescent="0.2">
      <c r="A47" s="854"/>
      <c r="B47" s="27" t="s">
        <v>242</v>
      </c>
      <c r="C47" s="147">
        <v>1000</v>
      </c>
      <c r="D47" s="147">
        <v>1000</v>
      </c>
      <c r="E47" s="147">
        <v>1000</v>
      </c>
      <c r="F47" s="147">
        <v>1000</v>
      </c>
      <c r="G47" s="147">
        <v>1000</v>
      </c>
      <c r="H47" s="147">
        <v>1000</v>
      </c>
      <c r="I47" s="147">
        <v>1000</v>
      </c>
      <c r="J47" s="147">
        <v>1000</v>
      </c>
      <c r="K47" s="147">
        <v>1000</v>
      </c>
      <c r="L47" s="147">
        <v>1000</v>
      </c>
      <c r="M47" s="147">
        <v>1000</v>
      </c>
      <c r="N47" s="147">
        <v>1000</v>
      </c>
      <c r="O47" s="18">
        <f t="shared" si="2"/>
        <v>12000</v>
      </c>
    </row>
    <row r="48" spans="1:17" ht="28.5" customHeight="1" x14ac:dyDescent="0.2">
      <c r="A48" s="855"/>
      <c r="B48" s="30" t="s">
        <v>158</v>
      </c>
      <c r="C48" s="147">
        <v>510</v>
      </c>
      <c r="D48" s="147">
        <v>510</v>
      </c>
      <c r="E48" s="147">
        <v>510</v>
      </c>
      <c r="F48" s="147">
        <v>510</v>
      </c>
      <c r="G48" s="147">
        <v>510</v>
      </c>
      <c r="H48" s="147">
        <v>510</v>
      </c>
      <c r="I48" s="147">
        <v>510</v>
      </c>
      <c r="J48" s="147">
        <v>510</v>
      </c>
      <c r="K48" s="147">
        <v>510</v>
      </c>
      <c r="L48" s="147">
        <v>510</v>
      </c>
      <c r="M48" s="147">
        <v>510</v>
      </c>
      <c r="N48" s="147">
        <v>510</v>
      </c>
      <c r="O48" s="31">
        <f t="shared" si="2"/>
        <v>6120</v>
      </c>
    </row>
    <row r="49" spans="1:18" ht="15" x14ac:dyDescent="0.2">
      <c r="A49" s="856"/>
      <c r="B49" s="127" t="s">
        <v>228</v>
      </c>
      <c r="C49" s="147">
        <v>0</v>
      </c>
      <c r="D49" s="147">
        <v>0</v>
      </c>
      <c r="E49" s="147">
        <v>0</v>
      </c>
      <c r="F49" s="147">
        <v>0</v>
      </c>
      <c r="G49" s="147">
        <v>0</v>
      </c>
      <c r="H49" s="147">
        <v>0</v>
      </c>
      <c r="I49" s="147">
        <v>0</v>
      </c>
      <c r="J49" s="147">
        <v>0</v>
      </c>
      <c r="K49" s="147">
        <v>0</v>
      </c>
      <c r="L49" s="147">
        <v>0</v>
      </c>
      <c r="M49" s="147">
        <v>0</v>
      </c>
      <c r="N49" s="147">
        <v>0</v>
      </c>
      <c r="O49" s="31">
        <f t="shared" si="2"/>
        <v>0</v>
      </c>
    </row>
    <row r="50" spans="1:18" ht="15" x14ac:dyDescent="0.2">
      <c r="A50" s="857" t="s">
        <v>160</v>
      </c>
      <c r="B50" s="858"/>
      <c r="C50" s="33">
        <f>SUM(C39:C49)</f>
        <v>12353</v>
      </c>
      <c r="D50" s="33">
        <f t="shared" ref="D50:N50" si="3">SUM(D39:D49)</f>
        <v>12353</v>
      </c>
      <c r="E50" s="33">
        <f t="shared" si="3"/>
        <v>12353</v>
      </c>
      <c r="F50" s="33">
        <f t="shared" si="3"/>
        <v>12353</v>
      </c>
      <c r="G50" s="33">
        <f t="shared" si="3"/>
        <v>12353</v>
      </c>
      <c r="H50" s="33">
        <f t="shared" si="3"/>
        <v>12353</v>
      </c>
      <c r="I50" s="33">
        <f t="shared" si="3"/>
        <v>14353</v>
      </c>
      <c r="J50" s="33">
        <f t="shared" si="3"/>
        <v>14853</v>
      </c>
      <c r="K50" s="33">
        <f t="shared" si="3"/>
        <v>14353</v>
      </c>
      <c r="L50" s="33">
        <f t="shared" si="3"/>
        <v>14353</v>
      </c>
      <c r="M50" s="33">
        <f t="shared" si="3"/>
        <v>14353</v>
      </c>
      <c r="N50" s="33">
        <f t="shared" si="3"/>
        <v>14453</v>
      </c>
      <c r="O50" s="34">
        <f t="shared" si="2"/>
        <v>160836</v>
      </c>
    </row>
    <row r="51" spans="1:18" ht="15.75" thickBot="1" x14ac:dyDescent="0.25">
      <c r="A51" s="859" t="s">
        <v>161</v>
      </c>
      <c r="B51" s="860"/>
      <c r="C51" s="35">
        <f>C38-C50</f>
        <v>26077</v>
      </c>
      <c r="D51" s="35">
        <f t="shared" ref="D51:N51" si="4">D38-D50</f>
        <v>29005</v>
      </c>
      <c r="E51" s="35">
        <f t="shared" si="4"/>
        <v>26809</v>
      </c>
      <c r="F51" s="35">
        <f t="shared" si="4"/>
        <v>26809</v>
      </c>
      <c r="G51" s="35">
        <f t="shared" si="4"/>
        <v>32879</v>
      </c>
      <c r="H51" s="35">
        <f t="shared" si="4"/>
        <v>27879</v>
      </c>
      <c r="I51" s="35">
        <f t="shared" si="4"/>
        <v>25879</v>
      </c>
      <c r="J51" s="35">
        <f t="shared" si="4"/>
        <v>35295</v>
      </c>
      <c r="K51" s="35">
        <f t="shared" si="4"/>
        <v>26631</v>
      </c>
      <c r="L51" s="35">
        <f t="shared" si="4"/>
        <v>38984</v>
      </c>
      <c r="M51" s="35">
        <f t="shared" si="4"/>
        <v>26631</v>
      </c>
      <c r="N51" s="35">
        <f t="shared" si="4"/>
        <v>26531</v>
      </c>
      <c r="O51" s="36">
        <f t="shared" si="2"/>
        <v>349409</v>
      </c>
      <c r="Q51" s="16">
        <f>10957*2+4016+11961+9547+2000+10516*2+10141+3864+3454+1500+19679*4+19579</f>
        <v>187724</v>
      </c>
    </row>
    <row r="52" spans="1:18" x14ac:dyDescent="0.2">
      <c r="E52" s="16">
        <f>11961+4016</f>
        <v>15977</v>
      </c>
      <c r="J52" s="128" t="e">
        <f>+#REF!-SUM(J9:J38)</f>
        <v>#REF!</v>
      </c>
      <c r="Q52" s="16">
        <v>17081</v>
      </c>
    </row>
    <row r="53" spans="1:18" ht="13.5" thickBot="1" x14ac:dyDescent="0.25">
      <c r="J53" s="38" t="e">
        <f>+J52-J50</f>
        <v>#REF!</v>
      </c>
      <c r="Q53" s="16">
        <f>+Q51+Q52</f>
        <v>204805</v>
      </c>
    </row>
    <row r="54" spans="1:18" ht="13.5" thickBot="1" x14ac:dyDescent="0.25">
      <c r="B54" s="789" t="s">
        <v>162</v>
      </c>
      <c r="C54" s="861"/>
      <c r="D54" s="861"/>
      <c r="E54" s="861"/>
      <c r="F54" s="862"/>
      <c r="G54" s="863">
        <f>O38</f>
        <v>510245</v>
      </c>
      <c r="H54" s="864"/>
    </row>
    <row r="55" spans="1:18" ht="13.5" thickBot="1" x14ac:dyDescent="0.25"/>
    <row r="56" spans="1:18" x14ac:dyDescent="0.2">
      <c r="B56" s="830" t="s">
        <v>163</v>
      </c>
      <c r="C56" s="833" t="s">
        <v>164</v>
      </c>
      <c r="D56" s="836" t="s">
        <v>229</v>
      </c>
      <c r="E56" s="837"/>
      <c r="F56" s="838"/>
      <c r="G56" s="839">
        <v>40000</v>
      </c>
      <c r="H56" s="840"/>
    </row>
    <row r="57" spans="1:18" x14ac:dyDescent="0.2">
      <c r="B57" s="831"/>
      <c r="C57" s="834"/>
      <c r="D57" s="841" t="s">
        <v>166</v>
      </c>
      <c r="E57" s="842"/>
      <c r="F57" s="843"/>
      <c r="G57" s="844">
        <f>+O45</f>
        <v>2500</v>
      </c>
      <c r="H57" s="845"/>
      <c r="I57" s="39"/>
      <c r="J57" s="846"/>
      <c r="K57" s="846"/>
      <c r="L57" s="846"/>
      <c r="M57" s="847"/>
      <c r="N57" s="847"/>
      <c r="O57" s="847"/>
    </row>
    <row r="58" spans="1:18" ht="13.5" thickBot="1" x14ac:dyDescent="0.25">
      <c r="B58" s="832"/>
      <c r="C58" s="835"/>
      <c r="D58" s="848" t="s">
        <v>167</v>
      </c>
      <c r="E58" s="849"/>
      <c r="F58" s="850"/>
      <c r="G58" s="851">
        <f>IF(O18&gt;15000,15000,+O18)</f>
        <v>0</v>
      </c>
      <c r="H58" s="852"/>
      <c r="J58" s="47"/>
      <c r="K58" s="47"/>
      <c r="L58" s="47"/>
      <c r="M58" s="47"/>
      <c r="N58" s="47"/>
      <c r="O58" s="47"/>
    </row>
    <row r="59" spans="1:18" ht="13.5" thickBot="1" x14ac:dyDescent="0.25">
      <c r="B59" s="48"/>
      <c r="J59" s="47"/>
      <c r="K59" s="47"/>
      <c r="L59" s="47"/>
      <c r="M59" s="47"/>
      <c r="N59" s="47"/>
      <c r="O59" s="47"/>
    </row>
    <row r="60" spans="1:18" ht="13.5" thickBot="1" x14ac:dyDescent="0.25">
      <c r="B60" s="789" t="s">
        <v>168</v>
      </c>
      <c r="C60" s="790"/>
      <c r="D60" s="790"/>
      <c r="E60" s="790"/>
      <c r="F60" s="791"/>
      <c r="G60" s="825">
        <f>+G54-SUM(G56:H58)</f>
        <v>467745</v>
      </c>
      <c r="H60" s="826"/>
      <c r="J60" s="827" t="s">
        <v>169</v>
      </c>
      <c r="K60" s="828"/>
      <c r="L60" s="828"/>
      <c r="M60" s="828"/>
      <c r="N60" s="828"/>
      <c r="O60" s="829"/>
    </row>
    <row r="61" spans="1:18" ht="13.5" thickBot="1" x14ac:dyDescent="0.25">
      <c r="B61" s="49"/>
      <c r="C61" s="50"/>
      <c r="D61" s="50"/>
      <c r="E61" s="50"/>
      <c r="F61" s="50"/>
      <c r="G61" s="45"/>
      <c r="H61" s="50"/>
      <c r="J61" s="129"/>
      <c r="K61" s="130"/>
      <c r="L61" s="130"/>
      <c r="M61" s="130"/>
      <c r="N61" s="130"/>
      <c r="O61" s="131"/>
    </row>
    <row r="62" spans="1:18" ht="13.5" thickBot="1" x14ac:dyDescent="0.25">
      <c r="B62" s="789" t="s">
        <v>170</v>
      </c>
      <c r="C62" s="790"/>
      <c r="D62" s="790"/>
      <c r="E62" s="790"/>
      <c r="F62" s="791"/>
      <c r="G62" s="805"/>
      <c r="H62" s="791"/>
      <c r="J62" s="129"/>
      <c r="K62" s="130"/>
      <c r="L62" s="130"/>
      <c r="M62" s="130"/>
      <c r="N62" s="130"/>
      <c r="O62" s="131"/>
    </row>
    <row r="63" spans="1:18" ht="12.75" customHeight="1" x14ac:dyDescent="0.2">
      <c r="B63" s="57" t="s">
        <v>171</v>
      </c>
      <c r="C63" s="806" t="s">
        <v>172</v>
      </c>
      <c r="D63" s="807"/>
      <c r="E63" s="807"/>
      <c r="F63" s="808"/>
      <c r="G63" s="809">
        <v>0</v>
      </c>
      <c r="H63" s="809"/>
      <c r="I63" s="58"/>
      <c r="J63" s="810" t="s">
        <v>173</v>
      </c>
      <c r="K63" s="811"/>
      <c r="L63" s="811"/>
      <c r="M63" s="811"/>
      <c r="N63" s="811"/>
      <c r="O63" s="812"/>
      <c r="Q63" s="59"/>
      <c r="R63" s="59"/>
    </row>
    <row r="64" spans="1:18" ht="13.5" thickBot="1" x14ac:dyDescent="0.25">
      <c r="D64" s="37"/>
      <c r="I64" s="58"/>
      <c r="J64" s="60" t="s">
        <v>249</v>
      </c>
      <c r="K64" s="132"/>
      <c r="L64" s="132"/>
      <c r="M64" s="133"/>
      <c r="N64" s="133"/>
      <c r="O64" s="134"/>
      <c r="Q64" s="59"/>
      <c r="R64" s="59"/>
    </row>
    <row r="65" spans="2:18" ht="13.5" thickBot="1" x14ac:dyDescent="0.25">
      <c r="B65" s="789" t="s">
        <v>175</v>
      </c>
      <c r="C65" s="790"/>
      <c r="D65" s="790"/>
      <c r="E65" s="790"/>
      <c r="F65" s="791"/>
      <c r="G65" s="805">
        <f>+G60-G63</f>
        <v>467745</v>
      </c>
      <c r="H65" s="791"/>
      <c r="I65" s="63"/>
      <c r="J65" s="75"/>
      <c r="K65" s="39"/>
      <c r="L65" s="39"/>
      <c r="M65" s="39"/>
      <c r="N65" s="39"/>
      <c r="O65" s="65"/>
      <c r="Q65" s="59"/>
      <c r="R65" s="59"/>
    </row>
    <row r="66" spans="2:18" ht="12.75" customHeight="1" x14ac:dyDescent="0.2">
      <c r="B66" s="48"/>
      <c r="C66" s="48"/>
      <c r="I66" s="63"/>
      <c r="J66" s="64"/>
      <c r="K66" s="39"/>
      <c r="L66" s="39"/>
      <c r="M66" s="39"/>
      <c r="N66" s="39"/>
      <c r="O66" s="65"/>
      <c r="Q66" s="59"/>
      <c r="R66" s="59"/>
    </row>
    <row r="67" spans="2:18" x14ac:dyDescent="0.2">
      <c r="B67" s="66" t="s">
        <v>176</v>
      </c>
      <c r="C67" s="48"/>
      <c r="I67" s="63"/>
      <c r="J67" s="67"/>
      <c r="K67" s="68"/>
      <c r="L67" s="68"/>
      <c r="M67" s="68"/>
      <c r="N67" s="68"/>
      <c r="O67" s="69"/>
      <c r="Q67" s="59"/>
      <c r="R67" s="59"/>
    </row>
    <row r="68" spans="2:18" ht="26.25" customHeight="1" thickBot="1" x14ac:dyDescent="0.25">
      <c r="B68" s="66"/>
      <c r="C68" s="48"/>
      <c r="G68" s="70" t="s">
        <v>177</v>
      </c>
      <c r="H68" s="70" t="s">
        <v>178</v>
      </c>
      <c r="I68" s="63"/>
      <c r="J68" s="810" t="s">
        <v>179</v>
      </c>
      <c r="K68" s="811"/>
      <c r="L68" s="71"/>
      <c r="M68" s="71"/>
      <c r="N68" s="71"/>
      <c r="O68" s="72"/>
      <c r="Q68" s="59"/>
      <c r="R68" s="59"/>
    </row>
    <row r="69" spans="2:18" ht="12.75" customHeight="1" x14ac:dyDescent="0.2">
      <c r="B69" s="802" t="s">
        <v>180</v>
      </c>
      <c r="C69" s="821" t="s">
        <v>181</v>
      </c>
      <c r="D69" s="823" t="s">
        <v>182</v>
      </c>
      <c r="E69" s="824"/>
      <c r="F69" s="824"/>
      <c r="G69" s="73">
        <f>+O44</f>
        <v>132000</v>
      </c>
      <c r="H69" s="74">
        <f t="shared" ref="H69:H77" si="5">+G69</f>
        <v>132000</v>
      </c>
      <c r="I69" s="63"/>
      <c r="J69" s="75" t="s">
        <v>231</v>
      </c>
      <c r="K69" s="58"/>
      <c r="L69" s="58"/>
      <c r="M69" s="58" t="s">
        <v>232</v>
      </c>
      <c r="N69" s="58"/>
      <c r="O69" s="76">
        <v>6120</v>
      </c>
      <c r="Q69" s="59"/>
      <c r="R69" s="59"/>
    </row>
    <row r="70" spans="2:18" ht="12.75" customHeight="1" x14ac:dyDescent="0.2">
      <c r="B70" s="803"/>
      <c r="C70" s="822"/>
      <c r="D70" s="782" t="s">
        <v>184</v>
      </c>
      <c r="E70" s="783"/>
      <c r="F70" s="783"/>
      <c r="G70" s="77">
        <f>O48</f>
        <v>6120</v>
      </c>
      <c r="H70" s="78">
        <f t="shared" si="5"/>
        <v>6120</v>
      </c>
      <c r="I70" s="63"/>
      <c r="J70" s="79"/>
      <c r="K70" s="68"/>
      <c r="L70" s="68"/>
      <c r="M70" s="68"/>
      <c r="N70" s="68"/>
      <c r="O70" s="69"/>
      <c r="Q70" s="59"/>
      <c r="R70" s="59"/>
    </row>
    <row r="71" spans="2:18" ht="12.75" customHeight="1" x14ac:dyDescent="0.2">
      <c r="B71" s="803"/>
      <c r="C71" s="822"/>
      <c r="D71" s="819" t="s">
        <v>185</v>
      </c>
      <c r="E71" s="820"/>
      <c r="F71" s="820"/>
      <c r="G71" s="80">
        <f>O41</f>
        <v>360</v>
      </c>
      <c r="H71" s="78">
        <f t="shared" si="5"/>
        <v>360</v>
      </c>
      <c r="I71" s="63"/>
      <c r="J71" s="67"/>
      <c r="K71" s="68"/>
      <c r="L71" s="68"/>
      <c r="M71" s="68"/>
      <c r="N71" s="68"/>
      <c r="O71" s="69"/>
    </row>
    <row r="72" spans="2:18" x14ac:dyDescent="0.2">
      <c r="B72" s="803"/>
      <c r="C72" s="822"/>
      <c r="D72" s="782" t="s">
        <v>186</v>
      </c>
      <c r="E72" s="783"/>
      <c r="F72" s="783"/>
      <c r="G72" s="81">
        <v>0</v>
      </c>
      <c r="H72" s="78">
        <f t="shared" si="5"/>
        <v>0</v>
      </c>
      <c r="I72" s="63"/>
      <c r="J72" s="82" t="s">
        <v>187</v>
      </c>
      <c r="K72" s="71"/>
      <c r="L72" s="71"/>
      <c r="M72" s="71"/>
      <c r="N72" s="71"/>
      <c r="O72" s="72"/>
    </row>
    <row r="73" spans="2:18" ht="12.75" customHeight="1" x14ac:dyDescent="0.2">
      <c r="B73" s="803"/>
      <c r="C73" s="822"/>
      <c r="D73" s="784" t="s">
        <v>188</v>
      </c>
      <c r="E73" s="783"/>
      <c r="F73" s="783"/>
      <c r="G73" s="80">
        <v>0</v>
      </c>
      <c r="H73" s="78">
        <f t="shared" si="5"/>
        <v>0</v>
      </c>
      <c r="I73" s="63"/>
      <c r="J73" s="75" t="s">
        <v>189</v>
      </c>
      <c r="K73" s="50"/>
      <c r="L73" s="50"/>
      <c r="M73" s="50"/>
      <c r="N73" s="50"/>
      <c r="O73" s="83">
        <f>O43</f>
        <v>3000</v>
      </c>
    </row>
    <row r="74" spans="2:18" ht="14.25" customHeight="1" x14ac:dyDescent="0.2">
      <c r="B74" s="803"/>
      <c r="C74" s="822"/>
      <c r="D74" s="782" t="s">
        <v>190</v>
      </c>
      <c r="E74" s="783"/>
      <c r="F74" s="783"/>
      <c r="G74" s="84">
        <v>0</v>
      </c>
      <c r="H74" s="78">
        <f t="shared" si="5"/>
        <v>0</v>
      </c>
      <c r="I74" s="63"/>
      <c r="J74" s="75"/>
      <c r="K74" s="39"/>
      <c r="L74" s="39"/>
      <c r="M74" s="39"/>
      <c r="N74" s="39"/>
      <c r="O74" s="65"/>
    </row>
    <row r="75" spans="2:18" x14ac:dyDescent="0.2">
      <c r="B75" s="803"/>
      <c r="C75" s="822"/>
      <c r="D75" s="782" t="s">
        <v>191</v>
      </c>
      <c r="E75" s="783"/>
      <c r="F75" s="783"/>
      <c r="G75" s="81">
        <v>0</v>
      </c>
      <c r="H75" s="78">
        <f t="shared" si="5"/>
        <v>0</v>
      </c>
      <c r="I75" s="58"/>
      <c r="J75" s="137"/>
      <c r="K75" s="50"/>
      <c r="L75" s="50"/>
      <c r="M75" s="50"/>
      <c r="N75" s="50"/>
      <c r="O75" s="83"/>
    </row>
    <row r="76" spans="2:18" x14ac:dyDescent="0.2">
      <c r="B76" s="803"/>
      <c r="C76" s="88" t="s">
        <v>192</v>
      </c>
      <c r="D76" s="813" t="s">
        <v>193</v>
      </c>
      <c r="E76" s="814"/>
      <c r="F76" s="814"/>
      <c r="G76" s="80">
        <v>0</v>
      </c>
      <c r="H76" s="78">
        <f t="shared" si="5"/>
        <v>0</v>
      </c>
      <c r="I76" s="58"/>
      <c r="J76" s="85"/>
      <c r="K76" s="138"/>
      <c r="L76" s="138"/>
      <c r="M76" s="138"/>
      <c r="N76" s="138"/>
      <c r="O76" s="139"/>
    </row>
    <row r="77" spans="2:18" ht="13.5" customHeight="1" thickBot="1" x14ac:dyDescent="0.25">
      <c r="B77" s="803"/>
      <c r="C77" s="88" t="s">
        <v>194</v>
      </c>
      <c r="D77" s="815" t="s">
        <v>195</v>
      </c>
      <c r="E77" s="815"/>
      <c r="F77" s="815"/>
      <c r="G77" s="89">
        <v>0</v>
      </c>
      <c r="H77" s="90">
        <f t="shared" si="5"/>
        <v>0</v>
      </c>
      <c r="I77" s="63"/>
      <c r="J77" s="75"/>
      <c r="K77" s="68"/>
      <c r="L77" s="68"/>
      <c r="M77" s="91"/>
      <c r="N77" s="91"/>
      <c r="O77" s="92"/>
    </row>
    <row r="78" spans="2:18" ht="13.5" thickBot="1" x14ac:dyDescent="0.25">
      <c r="B78" s="803"/>
      <c r="C78" s="93"/>
      <c r="D78" s="94"/>
      <c r="E78" s="816" t="s">
        <v>117</v>
      </c>
      <c r="F78" s="817"/>
      <c r="G78" s="95">
        <f>SUM(G69:G77)</f>
        <v>138480</v>
      </c>
      <c r="H78" s="96">
        <f>IF(SUM(G69:G75)&lt;150000,SUM(G69:G75),150000)+IF(+G76&lt;20000,+G76,20000)</f>
        <v>138480</v>
      </c>
      <c r="I78" s="63"/>
      <c r="J78" s="140"/>
      <c r="K78" s="141"/>
      <c r="L78" s="141"/>
      <c r="M78" s="142"/>
      <c r="N78" s="142"/>
      <c r="O78" s="143"/>
    </row>
    <row r="79" spans="2:18" ht="12.75" customHeight="1" x14ac:dyDescent="0.2">
      <c r="B79" s="803"/>
      <c r="C79" s="100" t="s">
        <v>196</v>
      </c>
      <c r="D79" s="782" t="s">
        <v>187</v>
      </c>
      <c r="E79" s="783"/>
      <c r="F79" s="818"/>
      <c r="G79" s="73">
        <f>+O43</f>
        <v>3000</v>
      </c>
      <c r="H79" s="101">
        <f>+IF(+G79&lt;25000,+G79,25000)</f>
        <v>3000</v>
      </c>
      <c r="I79" s="87"/>
    </row>
    <row r="80" spans="2:18" x14ac:dyDescent="0.2">
      <c r="B80" s="803"/>
      <c r="C80" s="100" t="s">
        <v>197</v>
      </c>
      <c r="D80" s="784" t="s">
        <v>198</v>
      </c>
      <c r="E80" s="785"/>
      <c r="F80" s="786"/>
      <c r="G80" s="102"/>
      <c r="H80" s="103">
        <f>+IF(+G80&lt;40000,+G80,40000)</f>
        <v>0</v>
      </c>
      <c r="I80" s="63"/>
    </row>
    <row r="81" spans="2:12" x14ac:dyDescent="0.2">
      <c r="B81" s="803"/>
      <c r="C81" s="100" t="s">
        <v>199</v>
      </c>
      <c r="D81" s="784" t="s">
        <v>200</v>
      </c>
      <c r="E81" s="785"/>
      <c r="F81" s="786"/>
      <c r="G81" s="81"/>
      <c r="H81" s="104">
        <v>0</v>
      </c>
      <c r="I81" s="63"/>
      <c r="J81" s="106"/>
    </row>
    <row r="82" spans="2:12" x14ac:dyDescent="0.2">
      <c r="B82" s="803"/>
      <c r="C82" s="100" t="s">
        <v>201</v>
      </c>
      <c r="D82" s="784" t="s">
        <v>202</v>
      </c>
      <c r="E82" s="785"/>
      <c r="F82" s="786"/>
      <c r="G82" s="81"/>
      <c r="H82" s="104">
        <v>0</v>
      </c>
      <c r="I82" s="63"/>
    </row>
    <row r="83" spans="2:12" ht="13.5" thickBot="1" x14ac:dyDescent="0.25">
      <c r="B83" s="804"/>
      <c r="C83" s="100" t="s">
        <v>203</v>
      </c>
      <c r="D83" s="784" t="s">
        <v>204</v>
      </c>
      <c r="E83" s="785"/>
      <c r="F83" s="786"/>
      <c r="G83" s="102"/>
      <c r="H83" s="103">
        <f>+IF(+G83&lt;100000,+G83,10000)</f>
        <v>0</v>
      </c>
      <c r="I83" s="63"/>
    </row>
    <row r="84" spans="2:12" ht="13.5" thickBot="1" x14ac:dyDescent="0.25">
      <c r="B84" s="787" t="s">
        <v>205</v>
      </c>
      <c r="C84" s="788"/>
      <c r="D84" s="788"/>
      <c r="E84" s="788"/>
      <c r="F84" s="788"/>
      <c r="G84" s="107">
        <f>SUM(G79:G83)</f>
        <v>3000</v>
      </c>
      <c r="H84" s="108">
        <f>SUM(H78:H83)</f>
        <v>141480</v>
      </c>
    </row>
    <row r="85" spans="2:12" ht="13.5" thickBot="1" x14ac:dyDescent="0.25"/>
    <row r="86" spans="2:12" ht="13.5" thickBot="1" x14ac:dyDescent="0.25">
      <c r="B86" s="789" t="s">
        <v>206</v>
      </c>
      <c r="C86" s="790"/>
      <c r="D86" s="790"/>
      <c r="E86" s="790"/>
      <c r="F86" s="791"/>
      <c r="G86" s="792">
        <f>+G65-H84</f>
        <v>326265</v>
      </c>
      <c r="H86" s="791"/>
      <c r="J86" s="109" t="e">
        <f>#REF!+#REF!+#REF!+#REF!</f>
        <v>#REF!</v>
      </c>
      <c r="K86" s="16" t="s">
        <v>235</v>
      </c>
    </row>
    <row r="87" spans="2:12" x14ac:dyDescent="0.2">
      <c r="B87" s="110"/>
      <c r="F87" s="105"/>
      <c r="J87" s="109" t="e">
        <f>#REF!+#REF!+#REF!</f>
        <v>#REF!</v>
      </c>
      <c r="K87" s="16" t="s">
        <v>236</v>
      </c>
    </row>
    <row r="88" spans="2:12" x14ac:dyDescent="0.2">
      <c r="C88" s="793" t="s">
        <v>207</v>
      </c>
      <c r="D88" s="794"/>
      <c r="E88" s="111" t="s">
        <v>208</v>
      </c>
      <c r="F88" s="111" t="s">
        <v>209</v>
      </c>
      <c r="G88" s="111" t="s">
        <v>210</v>
      </c>
      <c r="H88" s="111" t="s">
        <v>211</v>
      </c>
      <c r="J88" s="109" t="e">
        <f>#REF!+#REF!+#REF!</f>
        <v>#REF!</v>
      </c>
      <c r="K88" s="47" t="s">
        <v>237</v>
      </c>
    </row>
    <row r="89" spans="2:12" x14ac:dyDescent="0.2">
      <c r="C89" s="795" t="str">
        <f>IF(I6="M","0          - 250000","0          -  250000")</f>
        <v>0          - 250000</v>
      </c>
      <c r="D89" s="796"/>
      <c r="E89" s="112">
        <v>0</v>
      </c>
      <c r="F89" s="113">
        <f>IF(I6="M",(IF(G86&lt;250000,G86,250000)),(IF(G86&lt;250000,G86,250000)))</f>
        <v>250000</v>
      </c>
      <c r="G89" s="113">
        <f>G86-F89</f>
        <v>76265</v>
      </c>
      <c r="H89" s="113">
        <f>E89*F89</f>
        <v>0</v>
      </c>
      <c r="J89" s="16" t="e">
        <f>#REF!+#REF!</f>
        <v>#REF!</v>
      </c>
      <c r="K89" s="1" t="s">
        <v>238</v>
      </c>
    </row>
    <row r="90" spans="2:12" x14ac:dyDescent="0.2">
      <c r="C90" s="795" t="str">
        <f>IF(I6="M","250001 - 500000","250001-500000")</f>
        <v>250001 - 500000</v>
      </c>
      <c r="D90" s="796"/>
      <c r="E90" s="112">
        <v>0.05</v>
      </c>
      <c r="F90" s="113">
        <f>IF(I6="M",(IF(G89&lt;250000,G89,250000)),(IF(G89&lt;250000,G89,250000)))</f>
        <v>76265</v>
      </c>
      <c r="G90" s="113">
        <f>G89-F90</f>
        <v>0</v>
      </c>
      <c r="H90" s="114">
        <f>ROUND(E90*F90,0.1)</f>
        <v>3813</v>
      </c>
      <c r="J90" s="115" t="e">
        <f>SUM(J86:J89)</f>
        <v>#REF!</v>
      </c>
    </row>
    <row r="91" spans="2:12" x14ac:dyDescent="0.2">
      <c r="C91" s="797" t="s">
        <v>212</v>
      </c>
      <c r="D91" s="798"/>
      <c r="E91" s="112">
        <v>0.2</v>
      </c>
      <c r="F91" s="113">
        <f>IF(G90&lt;500000,G90,500000)</f>
        <v>0</v>
      </c>
      <c r="G91" s="113">
        <f>G90-F91</f>
        <v>0</v>
      </c>
      <c r="H91" s="114">
        <f>ROUND(E91*F91,0.1)</f>
        <v>0</v>
      </c>
      <c r="J91" s="16">
        <f>+G86</f>
        <v>326265</v>
      </c>
    </row>
    <row r="92" spans="2:12" x14ac:dyDescent="0.2">
      <c r="C92" s="795" t="s">
        <v>213</v>
      </c>
      <c r="D92" s="796"/>
      <c r="E92" s="112">
        <v>0.3</v>
      </c>
      <c r="F92" s="113">
        <f>G91</f>
        <v>0</v>
      </c>
      <c r="G92" s="113">
        <f>G91-F92</f>
        <v>0</v>
      </c>
      <c r="H92" s="114">
        <f>ROUND(E92*F92,0.1)</f>
        <v>0</v>
      </c>
      <c r="J92" s="16" t="e">
        <f>+J90-J91</f>
        <v>#REF!</v>
      </c>
    </row>
    <row r="93" spans="2:12" ht="12.75" customHeight="1" thickBot="1" x14ac:dyDescent="0.25">
      <c r="B93" s="116"/>
      <c r="C93" s="117"/>
      <c r="D93" s="47"/>
      <c r="E93" s="47"/>
      <c r="F93" s="47"/>
      <c r="J93" s="87" t="e">
        <f>+J92/3</f>
        <v>#REF!</v>
      </c>
      <c r="K93" s="118"/>
    </row>
    <row r="94" spans="2:12" ht="13.5" thickBot="1" x14ac:dyDescent="0.25">
      <c r="B94" s="799" t="s">
        <v>239</v>
      </c>
      <c r="C94" s="800"/>
      <c r="D94" s="800"/>
      <c r="E94" s="800"/>
      <c r="F94" s="801"/>
      <c r="G94" s="771">
        <f>H89+H90+H91+H92</f>
        <v>3813</v>
      </c>
      <c r="H94" s="772"/>
      <c r="J94" s="87"/>
      <c r="K94" s="87"/>
    </row>
    <row r="95" spans="2:12" ht="13.5" thickBot="1" x14ac:dyDescent="0.25">
      <c r="B95" s="119" t="s">
        <v>215</v>
      </c>
      <c r="C95" s="120"/>
      <c r="D95" s="120"/>
      <c r="E95" s="120"/>
      <c r="F95" s="120"/>
      <c r="G95" s="1050">
        <f>IF((G65&lt;500000),5000,0)</f>
        <v>5000</v>
      </c>
      <c r="H95" s="1051">
        <f>IF(H93&lt;200000,0,IF(H93&lt;220000,((H93-200000)*10%),IF(H93&lt;=500000,2000,IF(H93&gt;=500000,0))))</f>
        <v>0</v>
      </c>
      <c r="J95" s="1"/>
      <c r="K95" s="121"/>
      <c r="L95" s="121"/>
    </row>
    <row r="96" spans="2:12" ht="13.5" thickBot="1" x14ac:dyDescent="0.25">
      <c r="B96" s="122" t="s">
        <v>216</v>
      </c>
      <c r="C96" s="123"/>
      <c r="D96" s="123"/>
      <c r="E96" s="123"/>
      <c r="F96" s="123"/>
      <c r="G96" s="897">
        <f>IF((G94-G95)&lt;0,0,(G94-G95))</f>
        <v>0</v>
      </c>
      <c r="H96" s="898"/>
      <c r="I96" s="37"/>
    </row>
    <row r="97" spans="2:9" ht="13.5" thickBot="1" x14ac:dyDescent="0.25">
      <c r="B97" s="773" t="s">
        <v>240</v>
      </c>
      <c r="C97" s="774"/>
      <c r="D97" s="774"/>
      <c r="E97" s="774"/>
      <c r="F97" s="775"/>
      <c r="G97" s="899">
        <f>ROUND((IF(G96&gt;0,(G96*4%),0)),0)</f>
        <v>0</v>
      </c>
      <c r="H97" s="900"/>
      <c r="I97" s="37"/>
    </row>
    <row r="98" spans="2:9" ht="13.5" thickBot="1" x14ac:dyDescent="0.25">
      <c r="B98" s="778" t="s">
        <v>218</v>
      </c>
      <c r="C98" s="779"/>
      <c r="D98" s="779"/>
      <c r="E98" s="779"/>
      <c r="F98" s="779"/>
      <c r="G98" s="901">
        <f>G96+G97</f>
        <v>0</v>
      </c>
      <c r="H98" s="902"/>
      <c r="I98" s="121"/>
    </row>
    <row r="99" spans="2:9" ht="13.5" thickBot="1" x14ac:dyDescent="0.25">
      <c r="B99" s="765" t="s">
        <v>219</v>
      </c>
      <c r="C99" s="766"/>
      <c r="D99" s="766"/>
      <c r="E99" s="766"/>
      <c r="F99" s="766"/>
      <c r="G99" s="893">
        <f>O39</f>
        <v>500</v>
      </c>
      <c r="H99" s="894"/>
      <c r="I99" s="121"/>
    </row>
    <row r="100" spans="2:9" ht="13.5" thickBot="1" x14ac:dyDescent="0.25">
      <c r="B100" s="765" t="str">
        <f>IF(G100&gt;0,"TAX PAYABLE","TAX REFUND")</f>
        <v>TAX REFUND</v>
      </c>
      <c r="C100" s="766"/>
      <c r="D100" s="766"/>
      <c r="E100" s="766"/>
      <c r="F100" s="766"/>
      <c r="G100" s="893">
        <f>+G98-G99</f>
        <v>-500</v>
      </c>
      <c r="H100" s="894"/>
      <c r="I100" s="37"/>
    </row>
    <row r="101" spans="2:9" x14ac:dyDescent="0.2">
      <c r="C101" s="124"/>
      <c r="D101" s="45"/>
      <c r="E101" s="118"/>
      <c r="F101" s="118"/>
      <c r="G101" s="152"/>
      <c r="H101" s="152"/>
      <c r="I101" s="125"/>
    </row>
    <row r="102" spans="2:9" x14ac:dyDescent="0.2">
      <c r="C102" s="47"/>
      <c r="D102" s="50"/>
      <c r="E102" s="117"/>
      <c r="F102" s="47"/>
      <c r="G102" s="47"/>
      <c r="H102" s="47"/>
      <c r="I102" s="125"/>
    </row>
    <row r="103" spans="2:9" x14ac:dyDescent="0.2">
      <c r="C103" s="39"/>
      <c r="D103" s="126"/>
      <c r="E103" s="126"/>
      <c r="F103" s="126"/>
      <c r="G103" s="39"/>
      <c r="H103" s="39"/>
      <c r="I103" s="37"/>
    </row>
    <row r="104" spans="2:9" x14ac:dyDescent="0.2">
      <c r="C104" s="39"/>
      <c r="D104" s="126"/>
      <c r="E104" s="126"/>
      <c r="F104" s="39"/>
      <c r="G104" s="39"/>
      <c r="H104" s="39"/>
      <c r="I104" s="37"/>
    </row>
    <row r="105" spans="2:9" x14ac:dyDescent="0.2">
      <c r="C105" s="39"/>
      <c r="D105" s="126"/>
      <c r="E105" s="126"/>
      <c r="F105" s="39"/>
      <c r="G105" s="39"/>
      <c r="H105" s="39"/>
      <c r="I105" s="37"/>
    </row>
    <row r="106" spans="2:9" x14ac:dyDescent="0.2">
      <c r="C106" s="39"/>
      <c r="D106" s="39"/>
      <c r="E106" s="39"/>
      <c r="F106" s="39"/>
      <c r="G106" s="39"/>
      <c r="H106" s="39"/>
      <c r="I106" s="37"/>
    </row>
    <row r="107" spans="2:9" x14ac:dyDescent="0.2">
      <c r="C107" s="39"/>
      <c r="D107" s="39"/>
      <c r="E107" s="39"/>
      <c r="F107" s="39"/>
      <c r="G107" s="39"/>
      <c r="H107" s="39"/>
    </row>
    <row r="108" spans="2:9" x14ac:dyDescent="0.2">
      <c r="C108" s="39"/>
      <c r="D108" s="39"/>
      <c r="E108" s="39"/>
      <c r="F108" s="39"/>
      <c r="G108" s="39"/>
      <c r="H108"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7:B37"/>
    <mergeCell ref="A5:C5"/>
    <mergeCell ref="D5:F5"/>
    <mergeCell ref="G5:H5"/>
    <mergeCell ref="I5:O5"/>
    <mergeCell ref="A6:C6"/>
    <mergeCell ref="D6:F6"/>
    <mergeCell ref="G6:H6"/>
    <mergeCell ref="J6:O6"/>
    <mergeCell ref="L7:O7"/>
    <mergeCell ref="A8:B8"/>
    <mergeCell ref="A21:A34"/>
    <mergeCell ref="A35:B35"/>
    <mergeCell ref="A36:B36"/>
    <mergeCell ref="A39:A49"/>
    <mergeCell ref="A50:B50"/>
    <mergeCell ref="A51:B51"/>
    <mergeCell ref="B54:F54"/>
    <mergeCell ref="G54:H54"/>
    <mergeCell ref="B60:F60"/>
    <mergeCell ref="G60:H60"/>
    <mergeCell ref="J60:O60"/>
    <mergeCell ref="B56:B58"/>
    <mergeCell ref="C56:C58"/>
    <mergeCell ref="D56:F56"/>
    <mergeCell ref="G56:H56"/>
    <mergeCell ref="D57:F57"/>
    <mergeCell ref="G57:H57"/>
    <mergeCell ref="J57:L57"/>
    <mergeCell ref="M57:O57"/>
    <mergeCell ref="D58:F58"/>
    <mergeCell ref="G58:H58"/>
    <mergeCell ref="J63:O63"/>
    <mergeCell ref="D81:F81"/>
    <mergeCell ref="J68:K68"/>
    <mergeCell ref="B65:F65"/>
    <mergeCell ref="G65:H65"/>
    <mergeCell ref="D76:F76"/>
    <mergeCell ref="D77:F77"/>
    <mergeCell ref="E78:F78"/>
    <mergeCell ref="D79:F79"/>
    <mergeCell ref="D80:F80"/>
    <mergeCell ref="D71:F71"/>
    <mergeCell ref="D72:F72"/>
    <mergeCell ref="C69:C75"/>
    <mergeCell ref="D69:F69"/>
    <mergeCell ref="D70:F70"/>
    <mergeCell ref="D74:F74"/>
    <mergeCell ref="G62:H62"/>
    <mergeCell ref="C63:F63"/>
    <mergeCell ref="G63:H63"/>
    <mergeCell ref="B62:F62"/>
    <mergeCell ref="D73:F73"/>
    <mergeCell ref="D75:F75"/>
    <mergeCell ref="G94:H94"/>
    <mergeCell ref="D82:F82"/>
    <mergeCell ref="D83:F83"/>
    <mergeCell ref="B84:F84"/>
    <mergeCell ref="B86:F86"/>
    <mergeCell ref="G86:H86"/>
    <mergeCell ref="C88:D88"/>
    <mergeCell ref="C89:D89"/>
    <mergeCell ref="C90:D90"/>
    <mergeCell ref="C91:D91"/>
    <mergeCell ref="C92:D92"/>
    <mergeCell ref="B94:F94"/>
    <mergeCell ref="B69:B83"/>
    <mergeCell ref="B100:F100"/>
    <mergeCell ref="G100:H100"/>
    <mergeCell ref="G95:H95"/>
    <mergeCell ref="G96:H96"/>
    <mergeCell ref="B97:F97"/>
    <mergeCell ref="G97:H97"/>
    <mergeCell ref="B98:F98"/>
    <mergeCell ref="G98:H98"/>
    <mergeCell ref="B99:F99"/>
    <mergeCell ref="G99:H99"/>
  </mergeCells>
  <conditionalFormatting sqref="B91:F91 B100:F100 B94:F98">
    <cfRule type="cellIs" dxfId="1955" priority="3" stopIfTrue="1" operator="equal">
      <formula>"TAX PAYABLE"</formula>
    </cfRule>
    <cfRule type="cellIs" dxfId="1954" priority="4" stopIfTrue="1" operator="equal">
      <formula>"TAX REFUND"</formula>
    </cfRule>
  </conditionalFormatting>
  <conditionalFormatting sqref="G91:H91">
    <cfRule type="cellIs" dxfId="1953" priority="5" stopIfTrue="1" operator="lessThan">
      <formula>0</formula>
    </cfRule>
    <cfRule type="cellIs" dxfId="1952" priority="6" stopIfTrue="1" operator="greaterThan">
      <formula>0</formula>
    </cfRule>
  </conditionalFormatting>
  <conditionalFormatting sqref="G100:H100">
    <cfRule type="cellIs" dxfId="1951" priority="1" stopIfTrue="1" operator="greaterThan">
      <formula>0</formula>
    </cfRule>
    <cfRule type="cellIs" dxfId="1950"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08"/>
  <sheetViews>
    <sheetView topLeftCell="A56" workbookViewId="0">
      <selection activeCell="H68" sqref="H68"/>
    </sheetView>
  </sheetViews>
  <sheetFormatPr defaultRowHeight="12.75" x14ac:dyDescent="0.2"/>
  <cols>
    <col min="1" max="1" width="5" style="16" customWidth="1"/>
    <col min="2" max="2" width="21" style="37" customWidth="1"/>
    <col min="3" max="3" width="8.5703125" style="16" customWidth="1"/>
    <col min="4" max="4" width="6.7109375" style="16" bestFit="1" customWidth="1"/>
    <col min="5" max="5" width="8.5703125" style="16" bestFit="1" customWidth="1"/>
    <col min="6" max="6" width="8.7109375" style="16" customWidth="1"/>
    <col min="7" max="7" width="8" style="16" customWidth="1"/>
    <col min="8" max="8" width="9" style="16" customWidth="1"/>
    <col min="9" max="9" width="7.140625" style="16" bestFit="1" customWidth="1"/>
    <col min="10" max="10" width="7.5703125" style="16" customWidth="1"/>
    <col min="11" max="12" width="7" style="16" bestFit="1" customWidth="1"/>
    <col min="13" max="13" width="6.85546875" style="16" bestFit="1" customWidth="1"/>
    <col min="14" max="14" width="7" style="16" bestFit="1" customWidth="1"/>
    <col min="15" max="15" width="7.140625" style="16" bestFit="1"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21" style="16" customWidth="1"/>
    <col min="259" max="259" width="8.5703125" style="16" customWidth="1"/>
    <col min="260" max="260" width="6.7109375" style="16" bestFit="1" customWidth="1"/>
    <col min="261" max="261" width="8.5703125" style="16" bestFit="1" customWidth="1"/>
    <col min="262" max="262" width="8.7109375" style="16" customWidth="1"/>
    <col min="263" max="263" width="8" style="16" customWidth="1"/>
    <col min="264" max="264" width="9" style="16" customWidth="1"/>
    <col min="265" max="265" width="7.140625" style="16" bestFit="1" customWidth="1"/>
    <col min="266" max="266" width="7.5703125" style="16" customWidth="1"/>
    <col min="267" max="268" width="7" style="16" bestFit="1" customWidth="1"/>
    <col min="269" max="269" width="6.85546875" style="16" bestFit="1" customWidth="1"/>
    <col min="270" max="270" width="7" style="16" bestFit="1" customWidth="1"/>
    <col min="271" max="271" width="7.140625" style="16" bestFit="1"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21" style="16" customWidth="1"/>
    <col min="515" max="515" width="8.5703125" style="16" customWidth="1"/>
    <col min="516" max="516" width="6.7109375" style="16" bestFit="1" customWidth="1"/>
    <col min="517" max="517" width="8.5703125" style="16" bestFit="1" customWidth="1"/>
    <col min="518" max="518" width="8.7109375" style="16" customWidth="1"/>
    <col min="519" max="519" width="8" style="16" customWidth="1"/>
    <col min="520" max="520" width="9" style="16" customWidth="1"/>
    <col min="521" max="521" width="7.140625" style="16" bestFit="1" customWidth="1"/>
    <col min="522" max="522" width="7.5703125" style="16" customWidth="1"/>
    <col min="523" max="524" width="7" style="16" bestFit="1" customWidth="1"/>
    <col min="525" max="525" width="6.85546875" style="16" bestFit="1" customWidth="1"/>
    <col min="526" max="526" width="7" style="16" bestFit="1" customWidth="1"/>
    <col min="527" max="527" width="7.140625" style="16" bestFit="1"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21" style="16" customWidth="1"/>
    <col min="771" max="771" width="8.5703125" style="16" customWidth="1"/>
    <col min="772" max="772" width="6.7109375" style="16" bestFit="1" customWidth="1"/>
    <col min="773" max="773" width="8.5703125" style="16" bestFit="1" customWidth="1"/>
    <col min="774" max="774" width="8.7109375" style="16" customWidth="1"/>
    <col min="775" max="775" width="8" style="16" customWidth="1"/>
    <col min="776" max="776" width="9" style="16" customWidth="1"/>
    <col min="777" max="777" width="7.140625" style="16" bestFit="1" customWidth="1"/>
    <col min="778" max="778" width="7.5703125" style="16" customWidth="1"/>
    <col min="779" max="780" width="7" style="16" bestFit="1" customWidth="1"/>
    <col min="781" max="781" width="6.85546875" style="16" bestFit="1" customWidth="1"/>
    <col min="782" max="782" width="7" style="16" bestFit="1" customWidth="1"/>
    <col min="783" max="783" width="7.140625" style="16" bestFit="1"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21" style="16" customWidth="1"/>
    <col min="1027" max="1027" width="8.5703125" style="16" customWidth="1"/>
    <col min="1028" max="1028" width="6.7109375" style="16" bestFit="1" customWidth="1"/>
    <col min="1029" max="1029" width="8.5703125" style="16" bestFit="1" customWidth="1"/>
    <col min="1030" max="1030" width="8.7109375" style="16" customWidth="1"/>
    <col min="1031" max="1031" width="8" style="16" customWidth="1"/>
    <col min="1032" max="1032" width="9" style="16" customWidth="1"/>
    <col min="1033" max="1033" width="7.140625" style="16" bestFit="1" customWidth="1"/>
    <col min="1034" max="1034" width="7.5703125" style="16" customWidth="1"/>
    <col min="1035" max="1036" width="7" style="16" bestFit="1" customWidth="1"/>
    <col min="1037" max="1037" width="6.85546875" style="16" bestFit="1" customWidth="1"/>
    <col min="1038" max="1038" width="7" style="16" bestFit="1" customWidth="1"/>
    <col min="1039" max="1039" width="7.140625" style="16" bestFit="1"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21" style="16" customWidth="1"/>
    <col min="1283" max="1283" width="8.5703125" style="16" customWidth="1"/>
    <col min="1284" max="1284" width="6.7109375" style="16" bestFit="1" customWidth="1"/>
    <col min="1285" max="1285" width="8.5703125" style="16" bestFit="1" customWidth="1"/>
    <col min="1286" max="1286" width="8.7109375" style="16" customWidth="1"/>
    <col min="1287" max="1287" width="8" style="16" customWidth="1"/>
    <col min="1288" max="1288" width="9" style="16" customWidth="1"/>
    <col min="1289" max="1289" width="7.140625" style="16" bestFit="1" customWidth="1"/>
    <col min="1290" max="1290" width="7.5703125" style="16" customWidth="1"/>
    <col min="1291" max="1292" width="7" style="16" bestFit="1" customWidth="1"/>
    <col min="1293" max="1293" width="6.85546875" style="16" bestFit="1" customWidth="1"/>
    <col min="1294" max="1294" width="7" style="16" bestFit="1" customWidth="1"/>
    <col min="1295" max="1295" width="7.140625" style="16" bestFit="1"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21" style="16" customWidth="1"/>
    <col min="1539" max="1539" width="8.5703125" style="16" customWidth="1"/>
    <col min="1540" max="1540" width="6.7109375" style="16" bestFit="1" customWidth="1"/>
    <col min="1541" max="1541" width="8.5703125" style="16" bestFit="1" customWidth="1"/>
    <col min="1542" max="1542" width="8.7109375" style="16" customWidth="1"/>
    <col min="1543" max="1543" width="8" style="16" customWidth="1"/>
    <col min="1544" max="1544" width="9" style="16" customWidth="1"/>
    <col min="1545" max="1545" width="7.140625" style="16" bestFit="1" customWidth="1"/>
    <col min="1546" max="1546" width="7.5703125" style="16" customWidth="1"/>
    <col min="1547" max="1548" width="7" style="16" bestFit="1" customWidth="1"/>
    <col min="1549" max="1549" width="6.85546875" style="16" bestFit="1" customWidth="1"/>
    <col min="1550" max="1550" width="7" style="16" bestFit="1" customWidth="1"/>
    <col min="1551" max="1551" width="7.140625" style="16" bestFit="1"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21" style="16" customWidth="1"/>
    <col min="1795" max="1795" width="8.5703125" style="16" customWidth="1"/>
    <col min="1796" max="1796" width="6.7109375" style="16" bestFit="1" customWidth="1"/>
    <col min="1797" max="1797" width="8.5703125" style="16" bestFit="1" customWidth="1"/>
    <col min="1798" max="1798" width="8.7109375" style="16" customWidth="1"/>
    <col min="1799" max="1799" width="8" style="16" customWidth="1"/>
    <col min="1800" max="1800" width="9" style="16" customWidth="1"/>
    <col min="1801" max="1801" width="7.140625" style="16" bestFit="1" customWidth="1"/>
    <col min="1802" max="1802" width="7.5703125" style="16" customWidth="1"/>
    <col min="1803" max="1804" width="7" style="16" bestFit="1" customWidth="1"/>
    <col min="1805" max="1805" width="6.85546875" style="16" bestFit="1" customWidth="1"/>
    <col min="1806" max="1806" width="7" style="16" bestFit="1" customWidth="1"/>
    <col min="1807" max="1807" width="7.140625" style="16" bestFit="1"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21" style="16" customWidth="1"/>
    <col min="2051" max="2051" width="8.5703125" style="16" customWidth="1"/>
    <col min="2052" max="2052" width="6.7109375" style="16" bestFit="1" customWidth="1"/>
    <col min="2053" max="2053" width="8.5703125" style="16" bestFit="1" customWidth="1"/>
    <col min="2054" max="2054" width="8.7109375" style="16" customWidth="1"/>
    <col min="2055" max="2055" width="8" style="16" customWidth="1"/>
    <col min="2056" max="2056" width="9" style="16" customWidth="1"/>
    <col min="2057" max="2057" width="7.140625" style="16" bestFit="1" customWidth="1"/>
    <col min="2058" max="2058" width="7.5703125" style="16" customWidth="1"/>
    <col min="2059" max="2060" width="7" style="16" bestFit="1" customWidth="1"/>
    <col min="2061" max="2061" width="6.85546875" style="16" bestFit="1" customWidth="1"/>
    <col min="2062" max="2062" width="7" style="16" bestFit="1" customWidth="1"/>
    <col min="2063" max="2063" width="7.140625" style="16" bestFit="1"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21" style="16" customWidth="1"/>
    <col min="2307" max="2307" width="8.5703125" style="16" customWidth="1"/>
    <col min="2308" max="2308" width="6.7109375" style="16" bestFit="1" customWidth="1"/>
    <col min="2309" max="2309" width="8.5703125" style="16" bestFit="1" customWidth="1"/>
    <col min="2310" max="2310" width="8.7109375" style="16" customWidth="1"/>
    <col min="2311" max="2311" width="8" style="16" customWidth="1"/>
    <col min="2312" max="2312" width="9" style="16" customWidth="1"/>
    <col min="2313" max="2313" width="7.140625" style="16" bestFit="1" customWidth="1"/>
    <col min="2314" max="2314" width="7.5703125" style="16" customWidth="1"/>
    <col min="2315" max="2316" width="7" style="16" bestFit="1" customWidth="1"/>
    <col min="2317" max="2317" width="6.85546875" style="16" bestFit="1" customWidth="1"/>
    <col min="2318" max="2318" width="7" style="16" bestFit="1" customWidth="1"/>
    <col min="2319" max="2319" width="7.140625" style="16" bestFit="1"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21" style="16" customWidth="1"/>
    <col min="2563" max="2563" width="8.5703125" style="16" customWidth="1"/>
    <col min="2564" max="2564" width="6.7109375" style="16" bestFit="1" customWidth="1"/>
    <col min="2565" max="2565" width="8.5703125" style="16" bestFit="1" customWidth="1"/>
    <col min="2566" max="2566" width="8.7109375" style="16" customWidth="1"/>
    <col min="2567" max="2567" width="8" style="16" customWidth="1"/>
    <col min="2568" max="2568" width="9" style="16" customWidth="1"/>
    <col min="2569" max="2569" width="7.140625" style="16" bestFit="1" customWidth="1"/>
    <col min="2570" max="2570" width="7.5703125" style="16" customWidth="1"/>
    <col min="2571" max="2572" width="7" style="16" bestFit="1" customWidth="1"/>
    <col min="2573" max="2573" width="6.85546875" style="16" bestFit="1" customWidth="1"/>
    <col min="2574" max="2574" width="7" style="16" bestFit="1" customWidth="1"/>
    <col min="2575" max="2575" width="7.140625" style="16" bestFit="1"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21" style="16" customWidth="1"/>
    <col min="2819" max="2819" width="8.5703125" style="16" customWidth="1"/>
    <col min="2820" max="2820" width="6.7109375" style="16" bestFit="1" customWidth="1"/>
    <col min="2821" max="2821" width="8.5703125" style="16" bestFit="1" customWidth="1"/>
    <col min="2822" max="2822" width="8.7109375" style="16" customWidth="1"/>
    <col min="2823" max="2823" width="8" style="16" customWidth="1"/>
    <col min="2824" max="2824" width="9" style="16" customWidth="1"/>
    <col min="2825" max="2825" width="7.140625" style="16" bestFit="1" customWidth="1"/>
    <col min="2826" max="2826" width="7.5703125" style="16" customWidth="1"/>
    <col min="2827" max="2828" width="7" style="16" bestFit="1" customWidth="1"/>
    <col min="2829" max="2829" width="6.85546875" style="16" bestFit="1" customWidth="1"/>
    <col min="2830" max="2830" width="7" style="16" bestFit="1" customWidth="1"/>
    <col min="2831" max="2831" width="7.140625" style="16" bestFit="1"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21" style="16" customWidth="1"/>
    <col min="3075" max="3075" width="8.5703125" style="16" customWidth="1"/>
    <col min="3076" max="3076" width="6.7109375" style="16" bestFit="1" customWidth="1"/>
    <col min="3077" max="3077" width="8.5703125" style="16" bestFit="1" customWidth="1"/>
    <col min="3078" max="3078" width="8.7109375" style="16" customWidth="1"/>
    <col min="3079" max="3079" width="8" style="16" customWidth="1"/>
    <col min="3080" max="3080" width="9" style="16" customWidth="1"/>
    <col min="3081" max="3081" width="7.140625" style="16" bestFit="1" customWidth="1"/>
    <col min="3082" max="3082" width="7.5703125" style="16" customWidth="1"/>
    <col min="3083" max="3084" width="7" style="16" bestFit="1" customWidth="1"/>
    <col min="3085" max="3085" width="6.85546875" style="16" bestFit="1" customWidth="1"/>
    <col min="3086" max="3086" width="7" style="16" bestFit="1" customWidth="1"/>
    <col min="3087" max="3087" width="7.140625" style="16" bestFit="1"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21" style="16" customWidth="1"/>
    <col min="3331" max="3331" width="8.5703125" style="16" customWidth="1"/>
    <col min="3332" max="3332" width="6.7109375" style="16" bestFit="1" customWidth="1"/>
    <col min="3333" max="3333" width="8.5703125" style="16" bestFit="1" customWidth="1"/>
    <col min="3334" max="3334" width="8.7109375" style="16" customWidth="1"/>
    <col min="3335" max="3335" width="8" style="16" customWidth="1"/>
    <col min="3336" max="3336" width="9" style="16" customWidth="1"/>
    <col min="3337" max="3337" width="7.140625" style="16" bestFit="1" customWidth="1"/>
    <col min="3338" max="3338" width="7.5703125" style="16" customWidth="1"/>
    <col min="3339" max="3340" width="7" style="16" bestFit="1" customWidth="1"/>
    <col min="3341" max="3341" width="6.85546875" style="16" bestFit="1" customWidth="1"/>
    <col min="3342" max="3342" width="7" style="16" bestFit="1" customWidth="1"/>
    <col min="3343" max="3343" width="7.140625" style="16" bestFit="1"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21" style="16" customWidth="1"/>
    <col min="3587" max="3587" width="8.5703125" style="16" customWidth="1"/>
    <col min="3588" max="3588" width="6.7109375" style="16" bestFit="1" customWidth="1"/>
    <col min="3589" max="3589" width="8.5703125" style="16" bestFit="1" customWidth="1"/>
    <col min="3590" max="3590" width="8.7109375" style="16" customWidth="1"/>
    <col min="3591" max="3591" width="8" style="16" customWidth="1"/>
    <col min="3592" max="3592" width="9" style="16" customWidth="1"/>
    <col min="3593" max="3593" width="7.140625" style="16" bestFit="1" customWidth="1"/>
    <col min="3594" max="3594" width="7.5703125" style="16" customWidth="1"/>
    <col min="3595" max="3596" width="7" style="16" bestFit="1" customWidth="1"/>
    <col min="3597" max="3597" width="6.85546875" style="16" bestFit="1" customWidth="1"/>
    <col min="3598" max="3598" width="7" style="16" bestFit="1" customWidth="1"/>
    <col min="3599" max="3599" width="7.140625" style="16" bestFit="1"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21" style="16" customWidth="1"/>
    <col min="3843" max="3843" width="8.5703125" style="16" customWidth="1"/>
    <col min="3844" max="3844" width="6.7109375" style="16" bestFit="1" customWidth="1"/>
    <col min="3845" max="3845" width="8.5703125" style="16" bestFit="1" customWidth="1"/>
    <col min="3846" max="3846" width="8.7109375" style="16" customWidth="1"/>
    <col min="3847" max="3847" width="8" style="16" customWidth="1"/>
    <col min="3848" max="3848" width="9" style="16" customWidth="1"/>
    <col min="3849" max="3849" width="7.140625" style="16" bestFit="1" customWidth="1"/>
    <col min="3850" max="3850" width="7.5703125" style="16" customWidth="1"/>
    <col min="3851" max="3852" width="7" style="16" bestFit="1" customWidth="1"/>
    <col min="3853" max="3853" width="6.85546875" style="16" bestFit="1" customWidth="1"/>
    <col min="3854" max="3854" width="7" style="16" bestFit="1" customWidth="1"/>
    <col min="3855" max="3855" width="7.140625" style="16" bestFit="1"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21" style="16" customWidth="1"/>
    <col min="4099" max="4099" width="8.5703125" style="16" customWidth="1"/>
    <col min="4100" max="4100" width="6.7109375" style="16" bestFit="1" customWidth="1"/>
    <col min="4101" max="4101" width="8.5703125" style="16" bestFit="1" customWidth="1"/>
    <col min="4102" max="4102" width="8.7109375" style="16" customWidth="1"/>
    <col min="4103" max="4103" width="8" style="16" customWidth="1"/>
    <col min="4104" max="4104" width="9" style="16" customWidth="1"/>
    <col min="4105" max="4105" width="7.140625" style="16" bestFit="1" customWidth="1"/>
    <col min="4106" max="4106" width="7.5703125" style="16" customWidth="1"/>
    <col min="4107" max="4108" width="7" style="16" bestFit="1" customWidth="1"/>
    <col min="4109" max="4109" width="6.85546875" style="16" bestFit="1" customWidth="1"/>
    <col min="4110" max="4110" width="7" style="16" bestFit="1" customWidth="1"/>
    <col min="4111" max="4111" width="7.140625" style="16" bestFit="1"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21" style="16" customWidth="1"/>
    <col min="4355" max="4355" width="8.5703125" style="16" customWidth="1"/>
    <col min="4356" max="4356" width="6.7109375" style="16" bestFit="1" customWidth="1"/>
    <col min="4357" max="4357" width="8.5703125" style="16" bestFit="1" customWidth="1"/>
    <col min="4358" max="4358" width="8.7109375" style="16" customWidth="1"/>
    <col min="4359" max="4359" width="8" style="16" customWidth="1"/>
    <col min="4360" max="4360" width="9" style="16" customWidth="1"/>
    <col min="4361" max="4361" width="7.140625" style="16" bestFit="1" customWidth="1"/>
    <col min="4362" max="4362" width="7.5703125" style="16" customWidth="1"/>
    <col min="4363" max="4364" width="7" style="16" bestFit="1" customWidth="1"/>
    <col min="4365" max="4365" width="6.85546875" style="16" bestFit="1" customWidth="1"/>
    <col min="4366" max="4366" width="7" style="16" bestFit="1" customWidth="1"/>
    <col min="4367" max="4367" width="7.140625" style="16" bestFit="1"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21" style="16" customWidth="1"/>
    <col min="4611" max="4611" width="8.5703125" style="16" customWidth="1"/>
    <col min="4612" max="4612" width="6.7109375" style="16" bestFit="1" customWidth="1"/>
    <col min="4613" max="4613" width="8.5703125" style="16" bestFit="1" customWidth="1"/>
    <col min="4614" max="4614" width="8.7109375" style="16" customWidth="1"/>
    <col min="4615" max="4615" width="8" style="16" customWidth="1"/>
    <col min="4616" max="4616" width="9" style="16" customWidth="1"/>
    <col min="4617" max="4617" width="7.140625" style="16" bestFit="1" customWidth="1"/>
    <col min="4618" max="4618" width="7.5703125" style="16" customWidth="1"/>
    <col min="4619" max="4620" width="7" style="16" bestFit="1" customWidth="1"/>
    <col min="4621" max="4621" width="6.85546875" style="16" bestFit="1" customWidth="1"/>
    <col min="4622" max="4622" width="7" style="16" bestFit="1" customWidth="1"/>
    <col min="4623" max="4623" width="7.140625" style="16" bestFit="1"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21" style="16" customWidth="1"/>
    <col min="4867" max="4867" width="8.5703125" style="16" customWidth="1"/>
    <col min="4868" max="4868" width="6.7109375" style="16" bestFit="1" customWidth="1"/>
    <col min="4869" max="4869" width="8.5703125" style="16" bestFit="1" customWidth="1"/>
    <col min="4870" max="4870" width="8.7109375" style="16" customWidth="1"/>
    <col min="4871" max="4871" width="8" style="16" customWidth="1"/>
    <col min="4872" max="4872" width="9" style="16" customWidth="1"/>
    <col min="4873" max="4873" width="7.140625" style="16" bestFit="1" customWidth="1"/>
    <col min="4874" max="4874" width="7.5703125" style="16" customWidth="1"/>
    <col min="4875" max="4876" width="7" style="16" bestFit="1" customWidth="1"/>
    <col min="4877" max="4877" width="6.85546875" style="16" bestFit="1" customWidth="1"/>
    <col min="4878" max="4878" width="7" style="16" bestFit="1" customWidth="1"/>
    <col min="4879" max="4879" width="7.140625" style="16" bestFit="1"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21" style="16" customWidth="1"/>
    <col min="5123" max="5123" width="8.5703125" style="16" customWidth="1"/>
    <col min="5124" max="5124" width="6.7109375" style="16" bestFit="1" customWidth="1"/>
    <col min="5125" max="5125" width="8.5703125" style="16" bestFit="1" customWidth="1"/>
    <col min="5126" max="5126" width="8.7109375" style="16" customWidth="1"/>
    <col min="5127" max="5127" width="8" style="16" customWidth="1"/>
    <col min="5128" max="5128" width="9" style="16" customWidth="1"/>
    <col min="5129" max="5129" width="7.140625" style="16" bestFit="1" customWidth="1"/>
    <col min="5130" max="5130" width="7.5703125" style="16" customWidth="1"/>
    <col min="5131" max="5132" width="7" style="16" bestFit="1" customWidth="1"/>
    <col min="5133" max="5133" width="6.85546875" style="16" bestFit="1" customWidth="1"/>
    <col min="5134" max="5134" width="7" style="16" bestFit="1" customWidth="1"/>
    <col min="5135" max="5135" width="7.140625" style="16" bestFit="1"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21" style="16" customWidth="1"/>
    <col min="5379" max="5379" width="8.5703125" style="16" customWidth="1"/>
    <col min="5380" max="5380" width="6.7109375" style="16" bestFit="1" customWidth="1"/>
    <col min="5381" max="5381" width="8.5703125" style="16" bestFit="1" customWidth="1"/>
    <col min="5382" max="5382" width="8.7109375" style="16" customWidth="1"/>
    <col min="5383" max="5383" width="8" style="16" customWidth="1"/>
    <col min="5384" max="5384" width="9" style="16" customWidth="1"/>
    <col min="5385" max="5385" width="7.140625" style="16" bestFit="1" customWidth="1"/>
    <col min="5386" max="5386" width="7.5703125" style="16" customWidth="1"/>
    <col min="5387" max="5388" width="7" style="16" bestFit="1" customWidth="1"/>
    <col min="5389" max="5389" width="6.85546875" style="16" bestFit="1" customWidth="1"/>
    <col min="5390" max="5390" width="7" style="16" bestFit="1" customWidth="1"/>
    <col min="5391" max="5391" width="7.140625" style="16" bestFit="1"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21" style="16" customWidth="1"/>
    <col min="5635" max="5635" width="8.5703125" style="16" customWidth="1"/>
    <col min="5636" max="5636" width="6.7109375" style="16" bestFit="1" customWidth="1"/>
    <col min="5637" max="5637" width="8.5703125" style="16" bestFit="1" customWidth="1"/>
    <col min="5638" max="5638" width="8.7109375" style="16" customWidth="1"/>
    <col min="5639" max="5639" width="8" style="16" customWidth="1"/>
    <col min="5640" max="5640" width="9" style="16" customWidth="1"/>
    <col min="5641" max="5641" width="7.140625" style="16" bestFit="1" customWidth="1"/>
    <col min="5642" max="5642" width="7.5703125" style="16" customWidth="1"/>
    <col min="5643" max="5644" width="7" style="16" bestFit="1" customWidth="1"/>
    <col min="5645" max="5645" width="6.85546875" style="16" bestFit="1" customWidth="1"/>
    <col min="5646" max="5646" width="7" style="16" bestFit="1" customWidth="1"/>
    <col min="5647" max="5647" width="7.140625" style="16" bestFit="1"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21" style="16" customWidth="1"/>
    <col min="5891" max="5891" width="8.5703125" style="16" customWidth="1"/>
    <col min="5892" max="5892" width="6.7109375" style="16" bestFit="1" customWidth="1"/>
    <col min="5893" max="5893" width="8.5703125" style="16" bestFit="1" customWidth="1"/>
    <col min="5894" max="5894" width="8.7109375" style="16" customWidth="1"/>
    <col min="5895" max="5895" width="8" style="16" customWidth="1"/>
    <col min="5896" max="5896" width="9" style="16" customWidth="1"/>
    <col min="5897" max="5897" width="7.140625" style="16" bestFit="1" customWidth="1"/>
    <col min="5898" max="5898" width="7.5703125" style="16" customWidth="1"/>
    <col min="5899" max="5900" width="7" style="16" bestFit="1" customWidth="1"/>
    <col min="5901" max="5901" width="6.85546875" style="16" bestFit="1" customWidth="1"/>
    <col min="5902" max="5902" width="7" style="16" bestFit="1" customWidth="1"/>
    <col min="5903" max="5903" width="7.140625" style="16" bestFit="1"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21" style="16" customWidth="1"/>
    <col min="6147" max="6147" width="8.5703125" style="16" customWidth="1"/>
    <col min="6148" max="6148" width="6.7109375" style="16" bestFit="1" customWidth="1"/>
    <col min="6149" max="6149" width="8.5703125" style="16" bestFit="1" customWidth="1"/>
    <col min="6150" max="6150" width="8.7109375" style="16" customWidth="1"/>
    <col min="6151" max="6151" width="8" style="16" customWidth="1"/>
    <col min="6152" max="6152" width="9" style="16" customWidth="1"/>
    <col min="6153" max="6153" width="7.140625" style="16" bestFit="1" customWidth="1"/>
    <col min="6154" max="6154" width="7.5703125" style="16" customWidth="1"/>
    <col min="6155" max="6156" width="7" style="16" bestFit="1" customWidth="1"/>
    <col min="6157" max="6157" width="6.85546875" style="16" bestFit="1" customWidth="1"/>
    <col min="6158" max="6158" width="7" style="16" bestFit="1" customWidth="1"/>
    <col min="6159" max="6159" width="7.140625" style="16" bestFit="1"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21" style="16" customWidth="1"/>
    <col min="6403" max="6403" width="8.5703125" style="16" customWidth="1"/>
    <col min="6404" max="6404" width="6.7109375" style="16" bestFit="1" customWidth="1"/>
    <col min="6405" max="6405" width="8.5703125" style="16" bestFit="1" customWidth="1"/>
    <col min="6406" max="6406" width="8.7109375" style="16" customWidth="1"/>
    <col min="6407" max="6407" width="8" style="16" customWidth="1"/>
    <col min="6408" max="6408" width="9" style="16" customWidth="1"/>
    <col min="6409" max="6409" width="7.140625" style="16" bestFit="1" customWidth="1"/>
    <col min="6410" max="6410" width="7.5703125" style="16" customWidth="1"/>
    <col min="6411" max="6412" width="7" style="16" bestFit="1" customWidth="1"/>
    <col min="6413" max="6413" width="6.85546875" style="16" bestFit="1" customWidth="1"/>
    <col min="6414" max="6414" width="7" style="16" bestFit="1" customWidth="1"/>
    <col min="6415" max="6415" width="7.140625" style="16" bestFit="1"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21" style="16" customWidth="1"/>
    <col min="6659" max="6659" width="8.5703125" style="16" customWidth="1"/>
    <col min="6660" max="6660" width="6.7109375" style="16" bestFit="1" customWidth="1"/>
    <col min="6661" max="6661" width="8.5703125" style="16" bestFit="1" customWidth="1"/>
    <col min="6662" max="6662" width="8.7109375" style="16" customWidth="1"/>
    <col min="6663" max="6663" width="8" style="16" customWidth="1"/>
    <col min="6664" max="6664" width="9" style="16" customWidth="1"/>
    <col min="6665" max="6665" width="7.140625" style="16" bestFit="1" customWidth="1"/>
    <col min="6666" max="6666" width="7.5703125" style="16" customWidth="1"/>
    <col min="6667" max="6668" width="7" style="16" bestFit="1" customWidth="1"/>
    <col min="6669" max="6669" width="6.85546875" style="16" bestFit="1" customWidth="1"/>
    <col min="6670" max="6670" width="7" style="16" bestFit="1" customWidth="1"/>
    <col min="6671" max="6671" width="7.140625" style="16" bestFit="1"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21" style="16" customWidth="1"/>
    <col min="6915" max="6915" width="8.5703125" style="16" customWidth="1"/>
    <col min="6916" max="6916" width="6.7109375" style="16" bestFit="1" customWidth="1"/>
    <col min="6917" max="6917" width="8.5703125" style="16" bestFit="1" customWidth="1"/>
    <col min="6918" max="6918" width="8.7109375" style="16" customWidth="1"/>
    <col min="6919" max="6919" width="8" style="16" customWidth="1"/>
    <col min="6920" max="6920" width="9" style="16" customWidth="1"/>
    <col min="6921" max="6921" width="7.140625" style="16" bestFit="1" customWidth="1"/>
    <col min="6922" max="6922" width="7.5703125" style="16" customWidth="1"/>
    <col min="6923" max="6924" width="7" style="16" bestFit="1" customWidth="1"/>
    <col min="6925" max="6925" width="6.85546875" style="16" bestFit="1" customWidth="1"/>
    <col min="6926" max="6926" width="7" style="16" bestFit="1" customWidth="1"/>
    <col min="6927" max="6927" width="7.140625" style="16" bestFit="1"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21" style="16" customWidth="1"/>
    <col min="7171" max="7171" width="8.5703125" style="16" customWidth="1"/>
    <col min="7172" max="7172" width="6.7109375" style="16" bestFit="1" customWidth="1"/>
    <col min="7173" max="7173" width="8.5703125" style="16" bestFit="1" customWidth="1"/>
    <col min="7174" max="7174" width="8.7109375" style="16" customWidth="1"/>
    <col min="7175" max="7175" width="8" style="16" customWidth="1"/>
    <col min="7176" max="7176" width="9" style="16" customWidth="1"/>
    <col min="7177" max="7177" width="7.140625" style="16" bestFit="1" customWidth="1"/>
    <col min="7178" max="7178" width="7.5703125" style="16" customWidth="1"/>
    <col min="7179" max="7180" width="7" style="16" bestFit="1" customWidth="1"/>
    <col min="7181" max="7181" width="6.85546875" style="16" bestFit="1" customWidth="1"/>
    <col min="7182" max="7182" width="7" style="16" bestFit="1" customWidth="1"/>
    <col min="7183" max="7183" width="7.140625" style="16" bestFit="1"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21" style="16" customWidth="1"/>
    <col min="7427" max="7427" width="8.5703125" style="16" customWidth="1"/>
    <col min="7428" max="7428" width="6.7109375" style="16" bestFit="1" customWidth="1"/>
    <col min="7429" max="7429" width="8.5703125" style="16" bestFit="1" customWidth="1"/>
    <col min="7430" max="7430" width="8.7109375" style="16" customWidth="1"/>
    <col min="7431" max="7431" width="8" style="16" customWidth="1"/>
    <col min="7432" max="7432" width="9" style="16" customWidth="1"/>
    <col min="7433" max="7433" width="7.140625" style="16" bestFit="1" customWidth="1"/>
    <col min="7434" max="7434" width="7.5703125" style="16" customWidth="1"/>
    <col min="7435" max="7436" width="7" style="16" bestFit="1" customWidth="1"/>
    <col min="7437" max="7437" width="6.85546875" style="16" bestFit="1" customWidth="1"/>
    <col min="7438" max="7438" width="7" style="16" bestFit="1" customWidth="1"/>
    <col min="7439" max="7439" width="7.140625" style="16" bestFit="1"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21" style="16" customWidth="1"/>
    <col min="7683" max="7683" width="8.5703125" style="16" customWidth="1"/>
    <col min="7684" max="7684" width="6.7109375" style="16" bestFit="1" customWidth="1"/>
    <col min="7685" max="7685" width="8.5703125" style="16" bestFit="1" customWidth="1"/>
    <col min="7686" max="7686" width="8.7109375" style="16" customWidth="1"/>
    <col min="7687" max="7687" width="8" style="16" customWidth="1"/>
    <col min="7688" max="7688" width="9" style="16" customWidth="1"/>
    <col min="7689" max="7689" width="7.140625" style="16" bestFit="1" customWidth="1"/>
    <col min="7690" max="7690" width="7.5703125" style="16" customWidth="1"/>
    <col min="7691" max="7692" width="7" style="16" bestFit="1" customWidth="1"/>
    <col min="7693" max="7693" width="6.85546875" style="16" bestFit="1" customWidth="1"/>
    <col min="7694" max="7694" width="7" style="16" bestFit="1" customWidth="1"/>
    <col min="7695" max="7695" width="7.140625" style="16" bestFit="1"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21" style="16" customWidth="1"/>
    <col min="7939" max="7939" width="8.5703125" style="16" customWidth="1"/>
    <col min="7940" max="7940" width="6.7109375" style="16" bestFit="1" customWidth="1"/>
    <col min="7941" max="7941" width="8.5703125" style="16" bestFit="1" customWidth="1"/>
    <col min="7942" max="7942" width="8.7109375" style="16" customWidth="1"/>
    <col min="7943" max="7943" width="8" style="16" customWidth="1"/>
    <col min="7944" max="7944" width="9" style="16" customWidth="1"/>
    <col min="7945" max="7945" width="7.140625" style="16" bestFit="1" customWidth="1"/>
    <col min="7946" max="7946" width="7.5703125" style="16" customWidth="1"/>
    <col min="7947" max="7948" width="7" style="16" bestFit="1" customWidth="1"/>
    <col min="7949" max="7949" width="6.85546875" style="16" bestFit="1" customWidth="1"/>
    <col min="7950" max="7950" width="7" style="16" bestFit="1" customWidth="1"/>
    <col min="7951" max="7951" width="7.140625" style="16" bestFit="1"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21" style="16" customWidth="1"/>
    <col min="8195" max="8195" width="8.5703125" style="16" customWidth="1"/>
    <col min="8196" max="8196" width="6.7109375" style="16" bestFit="1" customWidth="1"/>
    <col min="8197" max="8197" width="8.5703125" style="16" bestFit="1" customWidth="1"/>
    <col min="8198" max="8198" width="8.7109375" style="16" customWidth="1"/>
    <col min="8199" max="8199" width="8" style="16" customWidth="1"/>
    <col min="8200" max="8200" width="9" style="16" customWidth="1"/>
    <col min="8201" max="8201" width="7.140625" style="16" bestFit="1" customWidth="1"/>
    <col min="8202" max="8202" width="7.5703125" style="16" customWidth="1"/>
    <col min="8203" max="8204" width="7" style="16" bestFit="1" customWidth="1"/>
    <col min="8205" max="8205" width="6.85546875" style="16" bestFit="1" customWidth="1"/>
    <col min="8206" max="8206" width="7" style="16" bestFit="1" customWidth="1"/>
    <col min="8207" max="8207" width="7.140625" style="16" bestFit="1"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21" style="16" customWidth="1"/>
    <col min="8451" max="8451" width="8.5703125" style="16" customWidth="1"/>
    <col min="8452" max="8452" width="6.7109375" style="16" bestFit="1" customWidth="1"/>
    <col min="8453" max="8453" width="8.5703125" style="16" bestFit="1" customWidth="1"/>
    <col min="8454" max="8454" width="8.7109375" style="16" customWidth="1"/>
    <col min="8455" max="8455" width="8" style="16" customWidth="1"/>
    <col min="8456" max="8456" width="9" style="16" customWidth="1"/>
    <col min="8457" max="8457" width="7.140625" style="16" bestFit="1" customWidth="1"/>
    <col min="8458" max="8458" width="7.5703125" style="16" customWidth="1"/>
    <col min="8459" max="8460" width="7" style="16" bestFit="1" customWidth="1"/>
    <col min="8461" max="8461" width="6.85546875" style="16" bestFit="1" customWidth="1"/>
    <col min="8462" max="8462" width="7" style="16" bestFit="1" customWidth="1"/>
    <col min="8463" max="8463" width="7.140625" style="16" bestFit="1"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21" style="16" customWidth="1"/>
    <col min="8707" max="8707" width="8.5703125" style="16" customWidth="1"/>
    <col min="8708" max="8708" width="6.7109375" style="16" bestFit="1" customWidth="1"/>
    <col min="8709" max="8709" width="8.5703125" style="16" bestFit="1" customWidth="1"/>
    <col min="8710" max="8710" width="8.7109375" style="16" customWidth="1"/>
    <col min="8711" max="8711" width="8" style="16" customWidth="1"/>
    <col min="8712" max="8712" width="9" style="16" customWidth="1"/>
    <col min="8713" max="8713" width="7.140625" style="16" bestFit="1" customWidth="1"/>
    <col min="8714" max="8714" width="7.5703125" style="16" customWidth="1"/>
    <col min="8715" max="8716" width="7" style="16" bestFit="1" customWidth="1"/>
    <col min="8717" max="8717" width="6.85546875" style="16" bestFit="1" customWidth="1"/>
    <col min="8718" max="8718" width="7" style="16" bestFit="1" customWidth="1"/>
    <col min="8719" max="8719" width="7.140625" style="16" bestFit="1"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21" style="16" customWidth="1"/>
    <col min="8963" max="8963" width="8.5703125" style="16" customWidth="1"/>
    <col min="8964" max="8964" width="6.7109375" style="16" bestFit="1" customWidth="1"/>
    <col min="8965" max="8965" width="8.5703125" style="16" bestFit="1" customWidth="1"/>
    <col min="8966" max="8966" width="8.7109375" style="16" customWidth="1"/>
    <col min="8967" max="8967" width="8" style="16" customWidth="1"/>
    <col min="8968" max="8968" width="9" style="16" customWidth="1"/>
    <col min="8969" max="8969" width="7.140625" style="16" bestFit="1" customWidth="1"/>
    <col min="8970" max="8970" width="7.5703125" style="16" customWidth="1"/>
    <col min="8971" max="8972" width="7" style="16" bestFit="1" customWidth="1"/>
    <col min="8973" max="8973" width="6.85546875" style="16" bestFit="1" customWidth="1"/>
    <col min="8974" max="8974" width="7" style="16" bestFit="1" customWidth="1"/>
    <col min="8975" max="8975" width="7.140625" style="16" bestFit="1"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21" style="16" customWidth="1"/>
    <col min="9219" max="9219" width="8.5703125" style="16" customWidth="1"/>
    <col min="9220" max="9220" width="6.7109375" style="16" bestFit="1" customWidth="1"/>
    <col min="9221" max="9221" width="8.5703125" style="16" bestFit="1" customWidth="1"/>
    <col min="9222" max="9222" width="8.7109375" style="16" customWidth="1"/>
    <col min="9223" max="9223" width="8" style="16" customWidth="1"/>
    <col min="9224" max="9224" width="9" style="16" customWidth="1"/>
    <col min="9225" max="9225" width="7.140625" style="16" bestFit="1" customWidth="1"/>
    <col min="9226" max="9226" width="7.5703125" style="16" customWidth="1"/>
    <col min="9227" max="9228" width="7" style="16" bestFit="1" customWidth="1"/>
    <col min="9229" max="9229" width="6.85546875" style="16" bestFit="1" customWidth="1"/>
    <col min="9230" max="9230" width="7" style="16" bestFit="1" customWidth="1"/>
    <col min="9231" max="9231" width="7.140625" style="16" bestFit="1"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21" style="16" customWidth="1"/>
    <col min="9475" max="9475" width="8.5703125" style="16" customWidth="1"/>
    <col min="9476" max="9476" width="6.7109375" style="16" bestFit="1" customWidth="1"/>
    <col min="9477" max="9477" width="8.5703125" style="16" bestFit="1" customWidth="1"/>
    <col min="9478" max="9478" width="8.7109375" style="16" customWidth="1"/>
    <col min="9479" max="9479" width="8" style="16" customWidth="1"/>
    <col min="9480" max="9480" width="9" style="16" customWidth="1"/>
    <col min="9481" max="9481" width="7.140625" style="16" bestFit="1" customWidth="1"/>
    <col min="9482" max="9482" width="7.5703125" style="16" customWidth="1"/>
    <col min="9483" max="9484" width="7" style="16" bestFit="1" customWidth="1"/>
    <col min="9485" max="9485" width="6.85546875" style="16" bestFit="1" customWidth="1"/>
    <col min="9486" max="9486" width="7" style="16" bestFit="1" customWidth="1"/>
    <col min="9487" max="9487" width="7.140625" style="16" bestFit="1"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21" style="16" customWidth="1"/>
    <col min="9731" max="9731" width="8.5703125" style="16" customWidth="1"/>
    <col min="9732" max="9732" width="6.7109375" style="16" bestFit="1" customWidth="1"/>
    <col min="9733" max="9733" width="8.5703125" style="16" bestFit="1" customWidth="1"/>
    <col min="9734" max="9734" width="8.7109375" style="16" customWidth="1"/>
    <col min="9735" max="9735" width="8" style="16" customWidth="1"/>
    <col min="9736" max="9736" width="9" style="16" customWidth="1"/>
    <col min="9737" max="9737" width="7.140625" style="16" bestFit="1" customWidth="1"/>
    <col min="9738" max="9738" width="7.5703125" style="16" customWidth="1"/>
    <col min="9739" max="9740" width="7" style="16" bestFit="1" customWidth="1"/>
    <col min="9741" max="9741" width="6.85546875" style="16" bestFit="1" customWidth="1"/>
    <col min="9742" max="9742" width="7" style="16" bestFit="1" customWidth="1"/>
    <col min="9743" max="9743" width="7.140625" style="16" bestFit="1"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21" style="16" customWidth="1"/>
    <col min="9987" max="9987" width="8.5703125" style="16" customWidth="1"/>
    <col min="9988" max="9988" width="6.7109375" style="16" bestFit="1" customWidth="1"/>
    <col min="9989" max="9989" width="8.5703125" style="16" bestFit="1" customWidth="1"/>
    <col min="9990" max="9990" width="8.7109375" style="16" customWidth="1"/>
    <col min="9991" max="9991" width="8" style="16" customWidth="1"/>
    <col min="9992" max="9992" width="9" style="16" customWidth="1"/>
    <col min="9993" max="9993" width="7.140625" style="16" bestFit="1" customWidth="1"/>
    <col min="9994" max="9994" width="7.5703125" style="16" customWidth="1"/>
    <col min="9995" max="9996" width="7" style="16" bestFit="1" customWidth="1"/>
    <col min="9997" max="9997" width="6.85546875" style="16" bestFit="1" customWidth="1"/>
    <col min="9998" max="9998" width="7" style="16" bestFit="1" customWidth="1"/>
    <col min="9999" max="9999" width="7.140625" style="16" bestFit="1"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21" style="16" customWidth="1"/>
    <col min="10243" max="10243" width="8.5703125" style="16" customWidth="1"/>
    <col min="10244" max="10244" width="6.7109375" style="16" bestFit="1" customWidth="1"/>
    <col min="10245" max="10245" width="8.5703125" style="16" bestFit="1" customWidth="1"/>
    <col min="10246" max="10246" width="8.7109375" style="16" customWidth="1"/>
    <col min="10247" max="10247" width="8" style="16" customWidth="1"/>
    <col min="10248" max="10248" width="9" style="16" customWidth="1"/>
    <col min="10249" max="10249" width="7.140625" style="16" bestFit="1" customWidth="1"/>
    <col min="10250" max="10250" width="7.5703125" style="16" customWidth="1"/>
    <col min="10251" max="10252" width="7" style="16" bestFit="1" customWidth="1"/>
    <col min="10253" max="10253" width="6.85546875" style="16" bestFit="1" customWidth="1"/>
    <col min="10254" max="10254" width="7" style="16" bestFit="1" customWidth="1"/>
    <col min="10255" max="10255" width="7.140625" style="16" bestFit="1"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21" style="16" customWidth="1"/>
    <col min="10499" max="10499" width="8.5703125" style="16" customWidth="1"/>
    <col min="10500" max="10500" width="6.7109375" style="16" bestFit="1" customWidth="1"/>
    <col min="10501" max="10501" width="8.5703125" style="16" bestFit="1" customWidth="1"/>
    <col min="10502" max="10502" width="8.7109375" style="16" customWidth="1"/>
    <col min="10503" max="10503" width="8" style="16" customWidth="1"/>
    <col min="10504" max="10504" width="9" style="16" customWidth="1"/>
    <col min="10505" max="10505" width="7.140625" style="16" bestFit="1" customWidth="1"/>
    <col min="10506" max="10506" width="7.5703125" style="16" customWidth="1"/>
    <col min="10507" max="10508" width="7" style="16" bestFit="1" customWidth="1"/>
    <col min="10509" max="10509" width="6.85546875" style="16" bestFit="1" customWidth="1"/>
    <col min="10510" max="10510" width="7" style="16" bestFit="1" customWidth="1"/>
    <col min="10511" max="10511" width="7.140625" style="16" bestFit="1"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21" style="16" customWidth="1"/>
    <col min="10755" max="10755" width="8.5703125" style="16" customWidth="1"/>
    <col min="10756" max="10756" width="6.7109375" style="16" bestFit="1" customWidth="1"/>
    <col min="10757" max="10757" width="8.5703125" style="16" bestFit="1" customWidth="1"/>
    <col min="10758" max="10758" width="8.7109375" style="16" customWidth="1"/>
    <col min="10759" max="10759" width="8" style="16" customWidth="1"/>
    <col min="10760" max="10760" width="9" style="16" customWidth="1"/>
    <col min="10761" max="10761" width="7.140625" style="16" bestFit="1" customWidth="1"/>
    <col min="10762" max="10762" width="7.5703125" style="16" customWidth="1"/>
    <col min="10763" max="10764" width="7" style="16" bestFit="1" customWidth="1"/>
    <col min="10765" max="10765" width="6.85546875" style="16" bestFit="1" customWidth="1"/>
    <col min="10766" max="10766" width="7" style="16" bestFit="1" customWidth="1"/>
    <col min="10767" max="10767" width="7.140625" style="16" bestFit="1"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21" style="16" customWidth="1"/>
    <col min="11011" max="11011" width="8.5703125" style="16" customWidth="1"/>
    <col min="11012" max="11012" width="6.7109375" style="16" bestFit="1" customWidth="1"/>
    <col min="11013" max="11013" width="8.5703125" style="16" bestFit="1" customWidth="1"/>
    <col min="11014" max="11014" width="8.7109375" style="16" customWidth="1"/>
    <col min="11015" max="11015" width="8" style="16" customWidth="1"/>
    <col min="11016" max="11016" width="9" style="16" customWidth="1"/>
    <col min="11017" max="11017" width="7.140625" style="16" bestFit="1" customWidth="1"/>
    <col min="11018" max="11018" width="7.5703125" style="16" customWidth="1"/>
    <col min="11019" max="11020" width="7" style="16" bestFit="1" customWidth="1"/>
    <col min="11021" max="11021" width="6.85546875" style="16" bestFit="1" customWidth="1"/>
    <col min="11022" max="11022" width="7" style="16" bestFit="1" customWidth="1"/>
    <col min="11023" max="11023" width="7.140625" style="16" bestFit="1"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21" style="16" customWidth="1"/>
    <col min="11267" max="11267" width="8.5703125" style="16" customWidth="1"/>
    <col min="11268" max="11268" width="6.7109375" style="16" bestFit="1" customWidth="1"/>
    <col min="11269" max="11269" width="8.5703125" style="16" bestFit="1" customWidth="1"/>
    <col min="11270" max="11270" width="8.7109375" style="16" customWidth="1"/>
    <col min="11271" max="11271" width="8" style="16" customWidth="1"/>
    <col min="11272" max="11272" width="9" style="16" customWidth="1"/>
    <col min="11273" max="11273" width="7.140625" style="16" bestFit="1" customWidth="1"/>
    <col min="11274" max="11274" width="7.5703125" style="16" customWidth="1"/>
    <col min="11275" max="11276" width="7" style="16" bestFit="1" customWidth="1"/>
    <col min="11277" max="11277" width="6.85546875" style="16" bestFit="1" customWidth="1"/>
    <col min="11278" max="11278" width="7" style="16" bestFit="1" customWidth="1"/>
    <col min="11279" max="11279" width="7.140625" style="16" bestFit="1"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21" style="16" customWidth="1"/>
    <col min="11523" max="11523" width="8.5703125" style="16" customWidth="1"/>
    <col min="11524" max="11524" width="6.7109375" style="16" bestFit="1" customWidth="1"/>
    <col min="11525" max="11525" width="8.5703125" style="16" bestFit="1" customWidth="1"/>
    <col min="11526" max="11526" width="8.7109375" style="16" customWidth="1"/>
    <col min="11527" max="11527" width="8" style="16" customWidth="1"/>
    <col min="11528" max="11528" width="9" style="16" customWidth="1"/>
    <col min="11529" max="11529" width="7.140625" style="16" bestFit="1" customWidth="1"/>
    <col min="11530" max="11530" width="7.5703125" style="16" customWidth="1"/>
    <col min="11531" max="11532" width="7" style="16" bestFit="1" customWidth="1"/>
    <col min="11533" max="11533" width="6.85546875" style="16" bestFit="1" customWidth="1"/>
    <col min="11534" max="11534" width="7" style="16" bestFit="1" customWidth="1"/>
    <col min="11535" max="11535" width="7.140625" style="16" bestFit="1"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21" style="16" customWidth="1"/>
    <col min="11779" max="11779" width="8.5703125" style="16" customWidth="1"/>
    <col min="11780" max="11780" width="6.7109375" style="16" bestFit="1" customWidth="1"/>
    <col min="11781" max="11781" width="8.5703125" style="16" bestFit="1" customWidth="1"/>
    <col min="11782" max="11782" width="8.7109375" style="16" customWidth="1"/>
    <col min="11783" max="11783" width="8" style="16" customWidth="1"/>
    <col min="11784" max="11784" width="9" style="16" customWidth="1"/>
    <col min="11785" max="11785" width="7.140625" style="16" bestFit="1" customWidth="1"/>
    <col min="11786" max="11786" width="7.5703125" style="16" customWidth="1"/>
    <col min="11787" max="11788" width="7" style="16" bestFit="1" customWidth="1"/>
    <col min="11789" max="11789" width="6.85546875" style="16" bestFit="1" customWidth="1"/>
    <col min="11790" max="11790" width="7" style="16" bestFit="1" customWidth="1"/>
    <col min="11791" max="11791" width="7.140625" style="16" bestFit="1"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21" style="16" customWidth="1"/>
    <col min="12035" max="12035" width="8.5703125" style="16" customWidth="1"/>
    <col min="12036" max="12036" width="6.7109375" style="16" bestFit="1" customWidth="1"/>
    <col min="12037" max="12037" width="8.5703125" style="16" bestFit="1" customWidth="1"/>
    <col min="12038" max="12038" width="8.7109375" style="16" customWidth="1"/>
    <col min="12039" max="12039" width="8" style="16" customWidth="1"/>
    <col min="12040" max="12040" width="9" style="16" customWidth="1"/>
    <col min="12041" max="12041" width="7.140625" style="16" bestFit="1" customWidth="1"/>
    <col min="12042" max="12042" width="7.5703125" style="16" customWidth="1"/>
    <col min="12043" max="12044" width="7" style="16" bestFit="1" customWidth="1"/>
    <col min="12045" max="12045" width="6.85546875" style="16" bestFit="1" customWidth="1"/>
    <col min="12046" max="12046" width="7" style="16" bestFit="1" customWidth="1"/>
    <col min="12047" max="12047" width="7.140625" style="16" bestFit="1"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21" style="16" customWidth="1"/>
    <col min="12291" max="12291" width="8.5703125" style="16" customWidth="1"/>
    <col min="12292" max="12292" width="6.7109375" style="16" bestFit="1" customWidth="1"/>
    <col min="12293" max="12293" width="8.5703125" style="16" bestFit="1" customWidth="1"/>
    <col min="12294" max="12294" width="8.7109375" style="16" customWidth="1"/>
    <col min="12295" max="12295" width="8" style="16" customWidth="1"/>
    <col min="12296" max="12296" width="9" style="16" customWidth="1"/>
    <col min="12297" max="12297" width="7.140625" style="16" bestFit="1" customWidth="1"/>
    <col min="12298" max="12298" width="7.5703125" style="16" customWidth="1"/>
    <col min="12299" max="12300" width="7" style="16" bestFit="1" customWidth="1"/>
    <col min="12301" max="12301" width="6.85546875" style="16" bestFit="1" customWidth="1"/>
    <col min="12302" max="12302" width="7" style="16" bestFit="1" customWidth="1"/>
    <col min="12303" max="12303" width="7.140625" style="16" bestFit="1"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21" style="16" customWidth="1"/>
    <col min="12547" max="12547" width="8.5703125" style="16" customWidth="1"/>
    <col min="12548" max="12548" width="6.7109375" style="16" bestFit="1" customWidth="1"/>
    <col min="12549" max="12549" width="8.5703125" style="16" bestFit="1" customWidth="1"/>
    <col min="12550" max="12550" width="8.7109375" style="16" customWidth="1"/>
    <col min="12551" max="12551" width="8" style="16" customWidth="1"/>
    <col min="12552" max="12552" width="9" style="16" customWidth="1"/>
    <col min="12553" max="12553" width="7.140625" style="16" bestFit="1" customWidth="1"/>
    <col min="12554" max="12554" width="7.5703125" style="16" customWidth="1"/>
    <col min="12555" max="12556" width="7" style="16" bestFit="1" customWidth="1"/>
    <col min="12557" max="12557" width="6.85546875" style="16" bestFit="1" customWidth="1"/>
    <col min="12558" max="12558" width="7" style="16" bestFit="1" customWidth="1"/>
    <col min="12559" max="12559" width="7.140625" style="16" bestFit="1"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21" style="16" customWidth="1"/>
    <col min="12803" max="12803" width="8.5703125" style="16" customWidth="1"/>
    <col min="12804" max="12804" width="6.7109375" style="16" bestFit="1" customWidth="1"/>
    <col min="12805" max="12805" width="8.5703125" style="16" bestFit="1" customWidth="1"/>
    <col min="12806" max="12806" width="8.7109375" style="16" customWidth="1"/>
    <col min="12807" max="12807" width="8" style="16" customWidth="1"/>
    <col min="12808" max="12808" width="9" style="16" customWidth="1"/>
    <col min="12809" max="12809" width="7.140625" style="16" bestFit="1" customWidth="1"/>
    <col min="12810" max="12810" width="7.5703125" style="16" customWidth="1"/>
    <col min="12811" max="12812" width="7" style="16" bestFit="1" customWidth="1"/>
    <col min="12813" max="12813" width="6.85546875" style="16" bestFit="1" customWidth="1"/>
    <col min="12814" max="12814" width="7" style="16" bestFit="1" customWidth="1"/>
    <col min="12815" max="12815" width="7.140625" style="16" bestFit="1"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21" style="16" customWidth="1"/>
    <col min="13059" max="13059" width="8.5703125" style="16" customWidth="1"/>
    <col min="13060" max="13060" width="6.7109375" style="16" bestFit="1" customWidth="1"/>
    <col min="13061" max="13061" width="8.5703125" style="16" bestFit="1" customWidth="1"/>
    <col min="13062" max="13062" width="8.7109375" style="16" customWidth="1"/>
    <col min="13063" max="13063" width="8" style="16" customWidth="1"/>
    <col min="13064" max="13064" width="9" style="16" customWidth="1"/>
    <col min="13065" max="13065" width="7.140625" style="16" bestFit="1" customWidth="1"/>
    <col min="13066" max="13066" width="7.5703125" style="16" customWidth="1"/>
    <col min="13067" max="13068" width="7" style="16" bestFit="1" customWidth="1"/>
    <col min="13069" max="13069" width="6.85546875" style="16" bestFit="1" customWidth="1"/>
    <col min="13070" max="13070" width="7" style="16" bestFit="1" customWidth="1"/>
    <col min="13071" max="13071" width="7.140625" style="16" bestFit="1"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21" style="16" customWidth="1"/>
    <col min="13315" max="13315" width="8.5703125" style="16" customWidth="1"/>
    <col min="13316" max="13316" width="6.7109375" style="16" bestFit="1" customWidth="1"/>
    <col min="13317" max="13317" width="8.5703125" style="16" bestFit="1" customWidth="1"/>
    <col min="13318" max="13318" width="8.7109375" style="16" customWidth="1"/>
    <col min="13319" max="13319" width="8" style="16" customWidth="1"/>
    <col min="13320" max="13320" width="9" style="16" customWidth="1"/>
    <col min="13321" max="13321" width="7.140625" style="16" bestFit="1" customWidth="1"/>
    <col min="13322" max="13322" width="7.5703125" style="16" customWidth="1"/>
    <col min="13323" max="13324" width="7" style="16" bestFit="1" customWidth="1"/>
    <col min="13325" max="13325" width="6.85546875" style="16" bestFit="1" customWidth="1"/>
    <col min="13326" max="13326" width="7" style="16" bestFit="1" customWidth="1"/>
    <col min="13327" max="13327" width="7.140625" style="16" bestFit="1"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21" style="16" customWidth="1"/>
    <col min="13571" max="13571" width="8.5703125" style="16" customWidth="1"/>
    <col min="13572" max="13572" width="6.7109375" style="16" bestFit="1" customWidth="1"/>
    <col min="13573" max="13573" width="8.5703125" style="16" bestFit="1" customWidth="1"/>
    <col min="13574" max="13574" width="8.7109375" style="16" customWidth="1"/>
    <col min="13575" max="13575" width="8" style="16" customWidth="1"/>
    <col min="13576" max="13576" width="9" style="16" customWidth="1"/>
    <col min="13577" max="13577" width="7.140625" style="16" bestFit="1" customWidth="1"/>
    <col min="13578" max="13578" width="7.5703125" style="16" customWidth="1"/>
    <col min="13579" max="13580" width="7" style="16" bestFit="1" customWidth="1"/>
    <col min="13581" max="13581" width="6.85546875" style="16" bestFit="1" customWidth="1"/>
    <col min="13582" max="13582" width="7" style="16" bestFit="1" customWidth="1"/>
    <col min="13583" max="13583" width="7.140625" style="16" bestFit="1"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21" style="16" customWidth="1"/>
    <col min="13827" max="13827" width="8.5703125" style="16" customWidth="1"/>
    <col min="13828" max="13828" width="6.7109375" style="16" bestFit="1" customWidth="1"/>
    <col min="13829" max="13829" width="8.5703125" style="16" bestFit="1" customWidth="1"/>
    <col min="13830" max="13830" width="8.7109375" style="16" customWidth="1"/>
    <col min="13831" max="13831" width="8" style="16" customWidth="1"/>
    <col min="13832" max="13832" width="9" style="16" customWidth="1"/>
    <col min="13833" max="13833" width="7.140625" style="16" bestFit="1" customWidth="1"/>
    <col min="13834" max="13834" width="7.5703125" style="16" customWidth="1"/>
    <col min="13835" max="13836" width="7" style="16" bestFit="1" customWidth="1"/>
    <col min="13837" max="13837" width="6.85546875" style="16" bestFit="1" customWidth="1"/>
    <col min="13838" max="13838" width="7" style="16" bestFit="1" customWidth="1"/>
    <col min="13839" max="13839" width="7.140625" style="16" bestFit="1"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21" style="16" customWidth="1"/>
    <col min="14083" max="14083" width="8.5703125" style="16" customWidth="1"/>
    <col min="14084" max="14084" width="6.7109375" style="16" bestFit="1" customWidth="1"/>
    <col min="14085" max="14085" width="8.5703125" style="16" bestFit="1" customWidth="1"/>
    <col min="14086" max="14086" width="8.7109375" style="16" customWidth="1"/>
    <col min="14087" max="14087" width="8" style="16" customWidth="1"/>
    <col min="14088" max="14088" width="9" style="16" customWidth="1"/>
    <col min="14089" max="14089" width="7.140625" style="16" bestFit="1" customWidth="1"/>
    <col min="14090" max="14090" width="7.5703125" style="16" customWidth="1"/>
    <col min="14091" max="14092" width="7" style="16" bestFit="1" customWidth="1"/>
    <col min="14093" max="14093" width="6.85546875" style="16" bestFit="1" customWidth="1"/>
    <col min="14094" max="14094" width="7" style="16" bestFit="1" customWidth="1"/>
    <col min="14095" max="14095" width="7.140625" style="16" bestFit="1"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21" style="16" customWidth="1"/>
    <col min="14339" max="14339" width="8.5703125" style="16" customWidth="1"/>
    <col min="14340" max="14340" width="6.7109375" style="16" bestFit="1" customWidth="1"/>
    <col min="14341" max="14341" width="8.5703125" style="16" bestFit="1" customWidth="1"/>
    <col min="14342" max="14342" width="8.7109375" style="16" customWidth="1"/>
    <col min="14343" max="14343" width="8" style="16" customWidth="1"/>
    <col min="14344" max="14344" width="9" style="16" customWidth="1"/>
    <col min="14345" max="14345" width="7.140625" style="16" bestFit="1" customWidth="1"/>
    <col min="14346" max="14346" width="7.5703125" style="16" customWidth="1"/>
    <col min="14347" max="14348" width="7" style="16" bestFit="1" customWidth="1"/>
    <col min="14349" max="14349" width="6.85546875" style="16" bestFit="1" customWidth="1"/>
    <col min="14350" max="14350" width="7" style="16" bestFit="1" customWidth="1"/>
    <col min="14351" max="14351" width="7.140625" style="16" bestFit="1"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21" style="16" customWidth="1"/>
    <col min="14595" max="14595" width="8.5703125" style="16" customWidth="1"/>
    <col min="14596" max="14596" width="6.7109375" style="16" bestFit="1" customWidth="1"/>
    <col min="14597" max="14597" width="8.5703125" style="16" bestFit="1" customWidth="1"/>
    <col min="14598" max="14598" width="8.7109375" style="16" customWidth="1"/>
    <col min="14599" max="14599" width="8" style="16" customWidth="1"/>
    <col min="14600" max="14600" width="9" style="16" customWidth="1"/>
    <col min="14601" max="14601" width="7.140625" style="16" bestFit="1" customWidth="1"/>
    <col min="14602" max="14602" width="7.5703125" style="16" customWidth="1"/>
    <col min="14603" max="14604" width="7" style="16" bestFit="1" customWidth="1"/>
    <col min="14605" max="14605" width="6.85546875" style="16" bestFit="1" customWidth="1"/>
    <col min="14606" max="14606" width="7" style="16" bestFit="1" customWidth="1"/>
    <col min="14607" max="14607" width="7.140625" style="16" bestFit="1"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21" style="16" customWidth="1"/>
    <col min="14851" max="14851" width="8.5703125" style="16" customWidth="1"/>
    <col min="14852" max="14852" width="6.7109375" style="16" bestFit="1" customWidth="1"/>
    <col min="14853" max="14853" width="8.5703125" style="16" bestFit="1" customWidth="1"/>
    <col min="14854" max="14854" width="8.7109375" style="16" customWidth="1"/>
    <col min="14855" max="14855" width="8" style="16" customWidth="1"/>
    <col min="14856" max="14856" width="9" style="16" customWidth="1"/>
    <col min="14857" max="14857" width="7.140625" style="16" bestFit="1" customWidth="1"/>
    <col min="14858" max="14858" width="7.5703125" style="16" customWidth="1"/>
    <col min="14859" max="14860" width="7" style="16" bestFit="1" customWidth="1"/>
    <col min="14861" max="14861" width="6.85546875" style="16" bestFit="1" customWidth="1"/>
    <col min="14862" max="14862" width="7" style="16" bestFit="1" customWidth="1"/>
    <col min="14863" max="14863" width="7.140625" style="16" bestFit="1"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21" style="16" customWidth="1"/>
    <col min="15107" max="15107" width="8.5703125" style="16" customWidth="1"/>
    <col min="15108" max="15108" width="6.7109375" style="16" bestFit="1" customWidth="1"/>
    <col min="15109" max="15109" width="8.5703125" style="16" bestFit="1" customWidth="1"/>
    <col min="15110" max="15110" width="8.7109375" style="16" customWidth="1"/>
    <col min="15111" max="15111" width="8" style="16" customWidth="1"/>
    <col min="15112" max="15112" width="9" style="16" customWidth="1"/>
    <col min="15113" max="15113" width="7.140625" style="16" bestFit="1" customWidth="1"/>
    <col min="15114" max="15114" width="7.5703125" style="16" customWidth="1"/>
    <col min="15115" max="15116" width="7" style="16" bestFit="1" customWidth="1"/>
    <col min="15117" max="15117" width="6.85546875" style="16" bestFit="1" customWidth="1"/>
    <col min="15118" max="15118" width="7" style="16" bestFit="1" customWidth="1"/>
    <col min="15119" max="15119" width="7.140625" style="16" bestFit="1"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21" style="16" customWidth="1"/>
    <col min="15363" max="15363" width="8.5703125" style="16" customWidth="1"/>
    <col min="15364" max="15364" width="6.7109375" style="16" bestFit="1" customWidth="1"/>
    <col min="15365" max="15365" width="8.5703125" style="16" bestFit="1" customWidth="1"/>
    <col min="15366" max="15366" width="8.7109375" style="16" customWidth="1"/>
    <col min="15367" max="15367" width="8" style="16" customWidth="1"/>
    <col min="15368" max="15368" width="9" style="16" customWidth="1"/>
    <col min="15369" max="15369" width="7.140625" style="16" bestFit="1" customWidth="1"/>
    <col min="15370" max="15370" width="7.5703125" style="16" customWidth="1"/>
    <col min="15371" max="15372" width="7" style="16" bestFit="1" customWidth="1"/>
    <col min="15373" max="15373" width="6.85546875" style="16" bestFit="1" customWidth="1"/>
    <col min="15374" max="15374" width="7" style="16" bestFit="1" customWidth="1"/>
    <col min="15375" max="15375" width="7.140625" style="16" bestFit="1"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21" style="16" customWidth="1"/>
    <col min="15619" max="15619" width="8.5703125" style="16" customWidth="1"/>
    <col min="15620" max="15620" width="6.7109375" style="16" bestFit="1" customWidth="1"/>
    <col min="15621" max="15621" width="8.5703125" style="16" bestFit="1" customWidth="1"/>
    <col min="15622" max="15622" width="8.7109375" style="16" customWidth="1"/>
    <col min="15623" max="15623" width="8" style="16" customWidth="1"/>
    <col min="15624" max="15624" width="9" style="16" customWidth="1"/>
    <col min="15625" max="15625" width="7.140625" style="16" bestFit="1" customWidth="1"/>
    <col min="15626" max="15626" width="7.5703125" style="16" customWidth="1"/>
    <col min="15627" max="15628" width="7" style="16" bestFit="1" customWidth="1"/>
    <col min="15629" max="15629" width="6.85546875" style="16" bestFit="1" customWidth="1"/>
    <col min="15630" max="15630" width="7" style="16" bestFit="1" customWidth="1"/>
    <col min="15631" max="15631" width="7.140625" style="16" bestFit="1"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21" style="16" customWidth="1"/>
    <col min="15875" max="15875" width="8.5703125" style="16" customWidth="1"/>
    <col min="15876" max="15876" width="6.7109375" style="16" bestFit="1" customWidth="1"/>
    <col min="15877" max="15877" width="8.5703125" style="16" bestFit="1" customWidth="1"/>
    <col min="15878" max="15878" width="8.7109375" style="16" customWidth="1"/>
    <col min="15879" max="15879" width="8" style="16" customWidth="1"/>
    <col min="15880" max="15880" width="9" style="16" customWidth="1"/>
    <col min="15881" max="15881" width="7.140625" style="16" bestFit="1" customWidth="1"/>
    <col min="15882" max="15882" width="7.5703125" style="16" customWidth="1"/>
    <col min="15883" max="15884" width="7" style="16" bestFit="1" customWidth="1"/>
    <col min="15885" max="15885" width="6.85546875" style="16" bestFit="1" customWidth="1"/>
    <col min="15886" max="15886" width="7" style="16" bestFit="1" customWidth="1"/>
    <col min="15887" max="15887" width="7.140625" style="16" bestFit="1"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21" style="16" customWidth="1"/>
    <col min="16131" max="16131" width="8.5703125" style="16" customWidth="1"/>
    <col min="16132" max="16132" width="6.7109375" style="16" bestFit="1" customWidth="1"/>
    <col min="16133" max="16133" width="8.5703125" style="16" bestFit="1" customWidth="1"/>
    <col min="16134" max="16134" width="8.7109375" style="16" customWidth="1"/>
    <col min="16135" max="16135" width="8" style="16" customWidth="1"/>
    <col min="16136" max="16136" width="9" style="16" customWidth="1"/>
    <col min="16137" max="16137" width="7.140625" style="16" bestFit="1" customWidth="1"/>
    <col min="16138" max="16138" width="7.5703125" style="16" customWidth="1"/>
    <col min="16139" max="16140" width="7" style="16" bestFit="1" customWidth="1"/>
    <col min="16141" max="16141" width="6.85546875" style="16" bestFit="1" customWidth="1"/>
    <col min="16142" max="16142" width="7" style="16" bestFit="1" customWidth="1"/>
    <col min="16143" max="16143" width="7.140625" style="16" bestFit="1"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67" t="s">
        <v>100</v>
      </c>
      <c r="B1" s="868"/>
      <c r="C1" s="868"/>
      <c r="D1" s="869"/>
      <c r="E1" s="868"/>
      <c r="F1" s="868"/>
      <c r="G1" s="867" t="s">
        <v>102</v>
      </c>
      <c r="H1" s="869"/>
      <c r="I1" s="869" t="s">
        <v>94</v>
      </c>
      <c r="J1" s="868"/>
      <c r="K1" s="868"/>
      <c r="L1" s="870"/>
      <c r="M1" s="870"/>
      <c r="N1" s="870"/>
      <c r="O1" s="870"/>
    </row>
    <row r="2" spans="1:15" s="1" customFormat="1" x14ac:dyDescent="0.2">
      <c r="A2" s="867" t="s">
        <v>103</v>
      </c>
      <c r="B2" s="868"/>
      <c r="C2" s="868"/>
      <c r="D2" s="869"/>
      <c r="E2" s="868"/>
      <c r="F2" s="868"/>
      <c r="G2" s="867" t="s">
        <v>104</v>
      </c>
      <c r="H2" s="869"/>
      <c r="I2" s="869" t="s">
        <v>105</v>
      </c>
      <c r="J2" s="868"/>
      <c r="K2" s="868"/>
      <c r="L2" s="870"/>
      <c r="M2" s="870"/>
      <c r="N2" s="870"/>
      <c r="O2" s="870"/>
    </row>
    <row r="3" spans="1:15" s="1" customFormat="1" x14ac:dyDescent="0.2">
      <c r="A3" s="867" t="s">
        <v>106</v>
      </c>
      <c r="B3" s="868"/>
      <c r="C3" s="868"/>
      <c r="D3" s="883" t="s">
        <v>241</v>
      </c>
      <c r="E3" s="868"/>
      <c r="F3" s="868"/>
      <c r="G3" s="867" t="s">
        <v>107</v>
      </c>
      <c r="H3" s="869"/>
      <c r="I3" s="869" t="s">
        <v>108</v>
      </c>
      <c r="J3" s="868"/>
      <c r="K3" s="868"/>
      <c r="L3" s="870"/>
      <c r="M3" s="870"/>
      <c r="N3" s="870"/>
      <c r="O3" s="870"/>
    </row>
    <row r="4" spans="1:15" s="1" customFormat="1" x14ac:dyDescent="0.2">
      <c r="A4" s="867" t="s">
        <v>109</v>
      </c>
      <c r="B4" s="868"/>
      <c r="C4" s="868"/>
      <c r="D4" s="869"/>
      <c r="E4" s="868"/>
      <c r="F4" s="868"/>
      <c r="G4" s="867" t="s">
        <v>110</v>
      </c>
      <c r="H4" s="869"/>
      <c r="I4" s="869" t="s">
        <v>221</v>
      </c>
      <c r="J4" s="868"/>
      <c r="K4" s="868"/>
      <c r="L4" s="870"/>
      <c r="M4" s="870"/>
      <c r="N4" s="870"/>
      <c r="O4" s="870"/>
    </row>
    <row r="5" spans="1:15" s="1" customFormat="1" x14ac:dyDescent="0.2">
      <c r="A5" s="867" t="s">
        <v>112</v>
      </c>
      <c r="B5" s="868"/>
      <c r="C5" s="868"/>
      <c r="D5" s="869"/>
      <c r="E5" s="868"/>
      <c r="F5" s="868"/>
      <c r="G5" s="867"/>
      <c r="H5" s="868"/>
      <c r="I5" s="869" t="s">
        <v>113</v>
      </c>
      <c r="J5" s="868"/>
      <c r="K5" s="868"/>
      <c r="L5" s="870"/>
      <c r="M5" s="870"/>
      <c r="N5" s="870"/>
      <c r="O5" s="870"/>
    </row>
    <row r="6" spans="1:15" s="1" customFormat="1" x14ac:dyDescent="0.2">
      <c r="A6" s="871" t="s">
        <v>114</v>
      </c>
      <c r="B6" s="872"/>
      <c r="C6" s="872"/>
      <c r="D6" s="868" t="s">
        <v>95</v>
      </c>
      <c r="E6" s="868"/>
      <c r="F6" s="868"/>
      <c r="G6" s="871" t="s">
        <v>115</v>
      </c>
      <c r="H6" s="871"/>
      <c r="I6" s="2" t="s">
        <v>116</v>
      </c>
      <c r="J6" s="888"/>
      <c r="K6" s="888"/>
      <c r="L6" s="888"/>
      <c r="M6" s="888"/>
      <c r="N6" s="888"/>
      <c r="O6" s="889"/>
    </row>
    <row r="7" spans="1:15" s="1" customFormat="1" ht="13.5" thickBot="1" x14ac:dyDescent="0.25">
      <c r="A7" s="3"/>
      <c r="B7" s="4"/>
      <c r="C7" s="5"/>
      <c r="D7" s="6"/>
      <c r="E7" s="6"/>
      <c r="F7" s="6"/>
      <c r="G7" s="6"/>
      <c r="H7" s="6"/>
      <c r="I7" s="6"/>
      <c r="J7" s="7"/>
      <c r="K7" s="8"/>
      <c r="L7" s="875" t="s">
        <v>223</v>
      </c>
      <c r="M7" s="875"/>
      <c r="N7" s="875"/>
      <c r="O7" s="875"/>
    </row>
    <row r="8" spans="1:15" s="11" customFormat="1" x14ac:dyDescent="0.2">
      <c r="A8" s="876" t="str">
        <f>I1</f>
        <v>Mr. B.J.Karbhari</v>
      </c>
      <c r="B8" s="877"/>
      <c r="C8" s="144">
        <v>43160</v>
      </c>
      <c r="D8" s="144">
        <v>43191</v>
      </c>
      <c r="E8" s="144">
        <v>43221</v>
      </c>
      <c r="F8" s="144">
        <v>43252</v>
      </c>
      <c r="G8" s="144">
        <v>43282</v>
      </c>
      <c r="H8" s="144">
        <v>43313</v>
      </c>
      <c r="I8" s="144">
        <v>43344</v>
      </c>
      <c r="J8" s="144">
        <v>43374</v>
      </c>
      <c r="K8" s="144">
        <v>43405</v>
      </c>
      <c r="L8" s="144">
        <v>43435</v>
      </c>
      <c r="M8" s="144">
        <v>43466</v>
      </c>
      <c r="N8" s="144">
        <v>43497</v>
      </c>
      <c r="O8" s="10" t="s">
        <v>117</v>
      </c>
    </row>
    <row r="9" spans="1:15" ht="15" x14ac:dyDescent="0.2">
      <c r="A9" s="12"/>
      <c r="B9" s="13" t="s">
        <v>118</v>
      </c>
      <c r="C9" s="14">
        <v>33000</v>
      </c>
      <c r="D9" s="14">
        <v>33000</v>
      </c>
      <c r="E9" s="14">
        <v>33000</v>
      </c>
      <c r="F9" s="14">
        <v>33000</v>
      </c>
      <c r="G9" s="14">
        <v>34000</v>
      </c>
      <c r="H9" s="14">
        <v>34000</v>
      </c>
      <c r="I9" s="14">
        <v>34000</v>
      </c>
      <c r="J9" s="14">
        <v>34000</v>
      </c>
      <c r="K9" s="14">
        <v>34000</v>
      </c>
      <c r="L9" s="14">
        <v>34000</v>
      </c>
      <c r="M9" s="14">
        <v>34000</v>
      </c>
      <c r="N9" s="14">
        <v>34000</v>
      </c>
      <c r="O9" s="15">
        <f>SUM(C9:N9)</f>
        <v>404000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1650</v>
      </c>
      <c r="D11" s="17">
        <v>2310</v>
      </c>
      <c r="E11" s="17">
        <v>2310</v>
      </c>
      <c r="F11" s="17">
        <v>2310</v>
      </c>
      <c r="G11" s="17">
        <v>2380</v>
      </c>
      <c r="H11" s="17">
        <v>2380</v>
      </c>
      <c r="I11" s="17">
        <v>2380</v>
      </c>
      <c r="J11" s="17">
        <v>3060</v>
      </c>
      <c r="K11" s="17">
        <v>3060</v>
      </c>
      <c r="L11" s="17">
        <v>3060</v>
      </c>
      <c r="M11" s="17">
        <v>3060</v>
      </c>
      <c r="N11" s="17">
        <v>3060</v>
      </c>
      <c r="O11" s="18">
        <f>SUM(C11:N11)</f>
        <v>31020</v>
      </c>
    </row>
    <row r="12" spans="1:15"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x14ac:dyDescent="0.2">
      <c r="A14" s="12"/>
      <c r="B14" s="13" t="s">
        <v>123</v>
      </c>
      <c r="C14" s="17">
        <v>3780</v>
      </c>
      <c r="D14" s="17">
        <v>3852</v>
      </c>
      <c r="E14" s="17">
        <v>3852</v>
      </c>
      <c r="F14" s="17">
        <v>3852</v>
      </c>
      <c r="G14" s="17">
        <v>3852</v>
      </c>
      <c r="H14" s="17">
        <v>3852</v>
      </c>
      <c r="I14" s="17">
        <v>3852</v>
      </c>
      <c r="J14" s="17">
        <v>3924</v>
      </c>
      <c r="K14" s="17">
        <v>3924</v>
      </c>
      <c r="L14" s="17">
        <v>3924</v>
      </c>
      <c r="M14" s="17">
        <v>3924</v>
      </c>
      <c r="N14" s="17">
        <v>3924</v>
      </c>
      <c r="O14" s="18">
        <f t="shared" si="0"/>
        <v>46512</v>
      </c>
    </row>
    <row r="15" spans="1:15"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x14ac:dyDescent="0.2">
      <c r="A16" s="12"/>
      <c r="B16" s="13" t="s">
        <v>125</v>
      </c>
      <c r="C16" s="17">
        <v>0</v>
      </c>
      <c r="D16" s="17">
        <v>0</v>
      </c>
      <c r="E16" s="17">
        <v>0</v>
      </c>
      <c r="F16" s="17">
        <v>0</v>
      </c>
      <c r="G16" s="17">
        <v>5000</v>
      </c>
      <c r="H16" s="17">
        <v>0</v>
      </c>
      <c r="I16" s="17">
        <v>0</v>
      </c>
      <c r="J16" s="17">
        <v>0</v>
      </c>
      <c r="K16" s="17">
        <v>0</v>
      </c>
      <c r="L16" s="17">
        <v>0</v>
      </c>
      <c r="M16" s="17">
        <v>0</v>
      </c>
      <c r="N16" s="17">
        <v>0</v>
      </c>
      <c r="O16" s="18">
        <f t="shared" si="0"/>
        <v>5000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7920</v>
      </c>
      <c r="D19" s="17">
        <v>7920</v>
      </c>
      <c r="E19" s="17">
        <v>7920</v>
      </c>
      <c r="F19" s="17">
        <v>7920</v>
      </c>
      <c r="G19" s="17">
        <v>8160</v>
      </c>
      <c r="H19" s="17">
        <v>8160</v>
      </c>
      <c r="I19" s="17">
        <v>8160</v>
      </c>
      <c r="J19" s="17">
        <v>8160</v>
      </c>
      <c r="K19" s="17">
        <v>8160</v>
      </c>
      <c r="L19" s="17">
        <v>8160</v>
      </c>
      <c r="M19" s="17">
        <v>8160</v>
      </c>
      <c r="N19" s="17">
        <v>8160</v>
      </c>
      <c r="O19" s="18">
        <f t="shared" si="0"/>
        <v>96960</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78"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79"/>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5" ht="15" hidden="1" customHeight="1" x14ac:dyDescent="0.2">
      <c r="A23" s="879"/>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79"/>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79"/>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79"/>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79"/>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79"/>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79"/>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79"/>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79"/>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79"/>
      <c r="B32" s="21" t="s">
        <v>142</v>
      </c>
      <c r="C32" s="17">
        <v>0</v>
      </c>
      <c r="D32" s="17">
        <v>0</v>
      </c>
      <c r="E32" s="17">
        <v>0</v>
      </c>
      <c r="F32" s="17">
        <v>0</v>
      </c>
      <c r="G32" s="17">
        <v>0</v>
      </c>
      <c r="H32" s="17">
        <v>0</v>
      </c>
      <c r="I32" s="17">
        <v>0</v>
      </c>
      <c r="J32" s="17">
        <v>0</v>
      </c>
      <c r="K32" s="17">
        <v>0</v>
      </c>
      <c r="L32" s="17">
        <v>0</v>
      </c>
      <c r="M32" s="17">
        <v>0</v>
      </c>
      <c r="N32" s="17">
        <v>0</v>
      </c>
      <c r="O32" s="18">
        <f t="shared" si="0"/>
        <v>0</v>
      </c>
    </row>
    <row r="33" spans="1:16" ht="15" hidden="1" customHeight="1" x14ac:dyDescent="0.2">
      <c r="A33" s="880"/>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865" t="s">
        <v>143</v>
      </c>
      <c r="B34" s="866"/>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865" t="s">
        <v>145</v>
      </c>
      <c r="B35" s="866"/>
      <c r="C35" s="17">
        <v>0</v>
      </c>
      <c r="D35" s="17">
        <v>216</v>
      </c>
      <c r="E35" s="17">
        <v>0</v>
      </c>
      <c r="F35" s="17">
        <v>0</v>
      </c>
      <c r="G35" s="17">
        <v>0</v>
      </c>
      <c r="H35" s="17">
        <v>0</v>
      </c>
      <c r="I35" s="17">
        <v>0</v>
      </c>
      <c r="J35" s="17">
        <v>216</v>
      </c>
      <c r="K35" s="17">
        <v>0</v>
      </c>
      <c r="L35" s="17">
        <v>0</v>
      </c>
      <c r="M35" s="17">
        <v>0</v>
      </c>
      <c r="N35" s="17">
        <v>0</v>
      </c>
      <c r="O35" s="18">
        <f t="shared" si="0"/>
        <v>432</v>
      </c>
    </row>
    <row r="36" spans="1:16" ht="15" customHeight="1" x14ac:dyDescent="0.2">
      <c r="A36" s="865" t="s">
        <v>146</v>
      </c>
      <c r="B36" s="866"/>
      <c r="C36" s="17">
        <v>0</v>
      </c>
      <c r="D36" s="17">
        <v>1980</v>
      </c>
      <c r="E36" s="17">
        <v>0</v>
      </c>
      <c r="F36" s="17">
        <v>0</v>
      </c>
      <c r="G36" s="17">
        <v>0</v>
      </c>
      <c r="H36" s="17">
        <v>0</v>
      </c>
      <c r="I36" s="17">
        <v>0</v>
      </c>
      <c r="J36" s="17">
        <v>2040</v>
      </c>
      <c r="K36" s="17">
        <v>0</v>
      </c>
      <c r="L36" s="17">
        <v>0</v>
      </c>
      <c r="M36" s="17">
        <v>0</v>
      </c>
      <c r="N36" s="17">
        <v>0</v>
      </c>
      <c r="O36" s="18">
        <f t="shared" si="0"/>
        <v>4020</v>
      </c>
    </row>
    <row r="37" spans="1:16" ht="15" customHeight="1" x14ac:dyDescent="0.2">
      <c r="A37" s="22"/>
      <c r="B37" s="145" t="s">
        <v>147</v>
      </c>
      <c r="C37" s="24">
        <f t="shared" ref="C37:N37" si="1">SUM(C9:C36)</f>
        <v>46350</v>
      </c>
      <c r="D37" s="24">
        <f t="shared" si="1"/>
        <v>49278</v>
      </c>
      <c r="E37" s="24">
        <f t="shared" si="1"/>
        <v>47082</v>
      </c>
      <c r="F37" s="24">
        <f t="shared" si="1"/>
        <v>47082</v>
      </c>
      <c r="G37" s="24">
        <f t="shared" si="1"/>
        <v>53392</v>
      </c>
      <c r="H37" s="24">
        <f t="shared" si="1"/>
        <v>48392</v>
      </c>
      <c r="I37" s="24">
        <f t="shared" si="1"/>
        <v>48392</v>
      </c>
      <c r="J37" s="24">
        <f t="shared" si="1"/>
        <v>58308</v>
      </c>
      <c r="K37" s="24">
        <f t="shared" si="1"/>
        <v>49144</v>
      </c>
      <c r="L37" s="24">
        <f t="shared" si="1"/>
        <v>49144</v>
      </c>
      <c r="M37" s="24">
        <f t="shared" si="1"/>
        <v>49144</v>
      </c>
      <c r="N37" s="24">
        <f t="shared" si="1"/>
        <v>49144</v>
      </c>
      <c r="O37" s="25">
        <f>SUM(C37:N37)</f>
        <v>594852</v>
      </c>
    </row>
    <row r="38" spans="1:16" ht="15" customHeight="1" x14ac:dyDescent="0.2">
      <c r="A38" s="853" t="s">
        <v>148</v>
      </c>
      <c r="B38" s="146" t="s">
        <v>149</v>
      </c>
      <c r="C38" s="147">
        <v>0</v>
      </c>
      <c r="D38" s="147">
        <v>0</v>
      </c>
      <c r="E38" s="147">
        <v>0</v>
      </c>
      <c r="F38" s="147">
        <v>0</v>
      </c>
      <c r="G38" s="147">
        <v>0</v>
      </c>
      <c r="H38" s="147">
        <v>0</v>
      </c>
      <c r="I38" s="147">
        <v>0</v>
      </c>
      <c r="J38" s="147">
        <v>500</v>
      </c>
      <c r="K38" s="147">
        <v>500</v>
      </c>
      <c r="L38" s="147">
        <v>305</v>
      </c>
      <c r="M38" s="147">
        <v>0</v>
      </c>
      <c r="N38" s="147">
        <v>0</v>
      </c>
      <c r="O38" s="18">
        <f>SUM(C38:N38)</f>
        <v>1305</v>
      </c>
      <c r="P38" s="29"/>
    </row>
    <row r="39" spans="1:16" ht="15" x14ac:dyDescent="0.2">
      <c r="A39" s="854"/>
      <c r="B39" s="146" t="s">
        <v>150</v>
      </c>
      <c r="C39" s="147">
        <v>0</v>
      </c>
      <c r="D39" s="147">
        <v>0</v>
      </c>
      <c r="E39" s="147">
        <v>0</v>
      </c>
      <c r="F39" s="147">
        <v>0</v>
      </c>
      <c r="G39" s="147">
        <v>0</v>
      </c>
      <c r="H39" s="147">
        <v>0</v>
      </c>
      <c r="I39" s="147">
        <v>0</v>
      </c>
      <c r="J39" s="147">
        <v>0</v>
      </c>
      <c r="K39" s="147">
        <v>0</v>
      </c>
      <c r="L39" s="147">
        <v>0</v>
      </c>
      <c r="M39" s="147">
        <v>0</v>
      </c>
      <c r="N39" s="147">
        <v>0</v>
      </c>
      <c r="O39" s="18">
        <f>SUM(C39:N39)</f>
        <v>0</v>
      </c>
    </row>
    <row r="40" spans="1:16" ht="15" x14ac:dyDescent="0.2">
      <c r="A40" s="854"/>
      <c r="B40" s="146" t="s">
        <v>151</v>
      </c>
      <c r="C40" s="147">
        <v>30</v>
      </c>
      <c r="D40" s="147">
        <v>30</v>
      </c>
      <c r="E40" s="147">
        <v>30</v>
      </c>
      <c r="F40" s="147">
        <v>30</v>
      </c>
      <c r="G40" s="147">
        <v>30</v>
      </c>
      <c r="H40" s="147">
        <v>30</v>
      </c>
      <c r="I40" s="147">
        <v>30</v>
      </c>
      <c r="J40" s="147">
        <v>30</v>
      </c>
      <c r="K40" s="147">
        <v>30</v>
      </c>
      <c r="L40" s="147">
        <v>30</v>
      </c>
      <c r="M40" s="147">
        <v>30</v>
      </c>
      <c r="N40" s="147">
        <v>30</v>
      </c>
      <c r="O40" s="18">
        <f t="shared" ref="O40:O51" si="2">SUM(C40:N40)</f>
        <v>360</v>
      </c>
    </row>
    <row r="41" spans="1:16" ht="15" x14ac:dyDescent="0.2">
      <c r="A41" s="854"/>
      <c r="B41" s="146" t="s">
        <v>152</v>
      </c>
      <c r="C41" s="147">
        <v>0</v>
      </c>
      <c r="D41" s="147">
        <v>0</v>
      </c>
      <c r="E41" s="147">
        <v>0</v>
      </c>
      <c r="F41" s="147">
        <v>0</v>
      </c>
      <c r="G41" s="147">
        <v>0</v>
      </c>
      <c r="H41" s="147">
        <v>0</v>
      </c>
      <c r="I41" s="147">
        <v>0</v>
      </c>
      <c r="J41" s="147">
        <v>0</v>
      </c>
      <c r="K41" s="147">
        <v>0</v>
      </c>
      <c r="L41" s="147">
        <v>0</v>
      </c>
      <c r="M41" s="147">
        <v>0</v>
      </c>
      <c r="N41" s="147">
        <v>0</v>
      </c>
      <c r="O41" s="18">
        <f t="shared" si="2"/>
        <v>0</v>
      </c>
    </row>
    <row r="42" spans="1:16" ht="15" x14ac:dyDescent="0.2">
      <c r="A42" s="854"/>
      <c r="B42" s="146" t="s">
        <v>153</v>
      </c>
      <c r="C42" s="147">
        <v>250</v>
      </c>
      <c r="D42" s="147">
        <v>250</v>
      </c>
      <c r="E42" s="147">
        <v>250</v>
      </c>
      <c r="F42" s="147">
        <v>250</v>
      </c>
      <c r="G42" s="147">
        <v>250</v>
      </c>
      <c r="H42" s="147">
        <v>250</v>
      </c>
      <c r="I42" s="147">
        <v>250</v>
      </c>
      <c r="J42" s="147">
        <v>250</v>
      </c>
      <c r="K42" s="147">
        <v>250</v>
      </c>
      <c r="L42" s="147">
        <v>250</v>
      </c>
      <c r="M42" s="147">
        <v>250</v>
      </c>
      <c r="N42" s="147">
        <v>250</v>
      </c>
      <c r="O42" s="18">
        <f t="shared" si="2"/>
        <v>3000</v>
      </c>
    </row>
    <row r="43" spans="1:16" ht="15" x14ac:dyDescent="0.2">
      <c r="A43" s="854"/>
      <c r="B43" s="146" t="s">
        <v>154</v>
      </c>
      <c r="C43" s="147">
        <v>5000</v>
      </c>
      <c r="D43" s="147">
        <v>5000</v>
      </c>
      <c r="E43" s="147">
        <v>5000</v>
      </c>
      <c r="F43" s="147">
        <v>5000</v>
      </c>
      <c r="G43" s="147">
        <v>5000</v>
      </c>
      <c r="H43" s="147">
        <v>5000</v>
      </c>
      <c r="I43" s="147">
        <v>5000</v>
      </c>
      <c r="J43" s="147">
        <v>5000</v>
      </c>
      <c r="K43" s="147">
        <v>5000</v>
      </c>
      <c r="L43" s="147">
        <v>5000</v>
      </c>
      <c r="M43" s="147">
        <v>5000</v>
      </c>
      <c r="N43" s="147">
        <v>5000</v>
      </c>
      <c r="O43" s="18">
        <f>SUM(C43:N43)</f>
        <v>60000</v>
      </c>
    </row>
    <row r="44" spans="1:16" ht="15" x14ac:dyDescent="0.2">
      <c r="A44" s="854"/>
      <c r="B44" s="146" t="s">
        <v>155</v>
      </c>
      <c r="C44" s="147">
        <v>200</v>
      </c>
      <c r="D44" s="147">
        <v>200</v>
      </c>
      <c r="E44" s="147">
        <v>200</v>
      </c>
      <c r="F44" s="147">
        <v>200</v>
      </c>
      <c r="G44" s="147">
        <v>200</v>
      </c>
      <c r="H44" s="147">
        <v>200</v>
      </c>
      <c r="I44" s="147">
        <v>200</v>
      </c>
      <c r="J44" s="147">
        <v>200</v>
      </c>
      <c r="K44" s="147">
        <v>200</v>
      </c>
      <c r="L44" s="147">
        <v>200</v>
      </c>
      <c r="M44" s="147">
        <v>200</v>
      </c>
      <c r="N44" s="147">
        <v>300</v>
      </c>
      <c r="O44" s="18">
        <f t="shared" si="2"/>
        <v>2500</v>
      </c>
    </row>
    <row r="45" spans="1:16" ht="15" x14ac:dyDescent="0.2">
      <c r="A45" s="854"/>
      <c r="B45" s="146" t="s">
        <v>156</v>
      </c>
      <c r="C45" s="147">
        <v>0</v>
      </c>
      <c r="D45" s="147">
        <v>0</v>
      </c>
      <c r="E45" s="147">
        <v>0</v>
      </c>
      <c r="F45" s="147">
        <v>0</v>
      </c>
      <c r="G45" s="147">
        <v>0</v>
      </c>
      <c r="H45" s="147">
        <v>0</v>
      </c>
      <c r="I45" s="147">
        <v>0</v>
      </c>
      <c r="J45" s="147">
        <v>0</v>
      </c>
      <c r="K45" s="147">
        <v>0</v>
      </c>
      <c r="L45" s="147">
        <v>0</v>
      </c>
      <c r="M45" s="147">
        <v>0</v>
      </c>
      <c r="N45" s="147">
        <v>0</v>
      </c>
      <c r="O45" s="18">
        <f t="shared" si="2"/>
        <v>0</v>
      </c>
    </row>
    <row r="46" spans="1:16" ht="15" x14ac:dyDescent="0.2">
      <c r="A46" s="854"/>
      <c r="B46" s="146" t="s">
        <v>157</v>
      </c>
      <c r="C46" s="147">
        <v>0</v>
      </c>
      <c r="D46" s="147">
        <v>0</v>
      </c>
      <c r="E46" s="147">
        <v>0</v>
      </c>
      <c r="F46" s="147">
        <v>0</v>
      </c>
      <c r="G46" s="147">
        <v>0</v>
      </c>
      <c r="H46" s="147">
        <v>0</v>
      </c>
      <c r="I46" s="147">
        <v>0</v>
      </c>
      <c r="J46" s="147">
        <v>0</v>
      </c>
      <c r="K46" s="147">
        <v>0</v>
      </c>
      <c r="L46" s="147">
        <v>0</v>
      </c>
      <c r="M46" s="147">
        <v>0</v>
      </c>
      <c r="N46" s="147">
        <v>0</v>
      </c>
      <c r="O46" s="18">
        <f t="shared" si="2"/>
        <v>0</v>
      </c>
    </row>
    <row r="47" spans="1:16" ht="28.5" customHeight="1" x14ac:dyDescent="0.2">
      <c r="A47" s="854"/>
      <c r="B47" s="148" t="s">
        <v>158</v>
      </c>
      <c r="C47" s="147">
        <v>1144</v>
      </c>
      <c r="D47" s="147">
        <v>1144</v>
      </c>
      <c r="E47" s="147">
        <v>1144</v>
      </c>
      <c r="F47" s="147">
        <v>1144</v>
      </c>
      <c r="G47" s="147">
        <v>1144</v>
      </c>
      <c r="H47" s="147">
        <v>1144</v>
      </c>
      <c r="I47" s="147">
        <v>1144</v>
      </c>
      <c r="J47" s="147">
        <v>1144</v>
      </c>
      <c r="K47" s="147">
        <v>1144</v>
      </c>
      <c r="L47" s="147">
        <v>1144</v>
      </c>
      <c r="M47" s="147">
        <v>1144</v>
      </c>
      <c r="N47" s="147">
        <v>1144</v>
      </c>
      <c r="O47" s="31">
        <f t="shared" si="2"/>
        <v>13728</v>
      </c>
    </row>
    <row r="48" spans="1:16" ht="15" x14ac:dyDescent="0.2">
      <c r="A48" s="854"/>
      <c r="B48" s="149" t="s">
        <v>228</v>
      </c>
      <c r="C48" s="147">
        <v>0</v>
      </c>
      <c r="D48" s="147">
        <v>0</v>
      </c>
      <c r="E48" s="147">
        <v>0</v>
      </c>
      <c r="F48" s="147">
        <v>0</v>
      </c>
      <c r="G48" s="147">
        <v>0</v>
      </c>
      <c r="H48" s="147">
        <v>0</v>
      </c>
      <c r="I48" s="147">
        <v>0</v>
      </c>
      <c r="J48" s="147">
        <v>0</v>
      </c>
      <c r="K48" s="147">
        <v>0</v>
      </c>
      <c r="L48" s="147">
        <v>0</v>
      </c>
      <c r="M48" s="147">
        <v>0</v>
      </c>
      <c r="N48" s="147">
        <v>0</v>
      </c>
      <c r="O48" s="31">
        <f t="shared" si="2"/>
        <v>0</v>
      </c>
    </row>
    <row r="49" spans="1:18" ht="15" x14ac:dyDescent="0.2">
      <c r="A49" s="1065"/>
      <c r="B49" s="149" t="s">
        <v>242</v>
      </c>
      <c r="C49" s="147">
        <v>500</v>
      </c>
      <c r="D49" s="147">
        <v>500</v>
      </c>
      <c r="E49" s="147">
        <v>500</v>
      </c>
      <c r="F49" s="147">
        <v>500</v>
      </c>
      <c r="G49" s="147">
        <v>500</v>
      </c>
      <c r="H49" s="147">
        <v>500</v>
      </c>
      <c r="I49" s="147">
        <v>500</v>
      </c>
      <c r="J49" s="147">
        <v>500</v>
      </c>
      <c r="K49" s="147">
        <v>500</v>
      </c>
      <c r="L49" s="147">
        <v>500</v>
      </c>
      <c r="M49" s="147">
        <v>500</v>
      </c>
      <c r="N49" s="147">
        <v>500</v>
      </c>
      <c r="O49" s="31">
        <f t="shared" si="2"/>
        <v>6000</v>
      </c>
    </row>
    <row r="50" spans="1:18" ht="15" x14ac:dyDescent="0.2">
      <c r="A50" s="857" t="s">
        <v>160</v>
      </c>
      <c r="B50" s="858"/>
      <c r="C50" s="33">
        <f>SUM(C38:C49)</f>
        <v>7124</v>
      </c>
      <c r="D50" s="33">
        <f t="shared" ref="D50:N50" si="3">SUM(D38:D49)</f>
        <v>7124</v>
      </c>
      <c r="E50" s="33">
        <f t="shared" si="3"/>
        <v>7124</v>
      </c>
      <c r="F50" s="33">
        <f t="shared" si="3"/>
        <v>7124</v>
      </c>
      <c r="G50" s="33">
        <f t="shared" si="3"/>
        <v>7124</v>
      </c>
      <c r="H50" s="33">
        <f t="shared" si="3"/>
        <v>7124</v>
      </c>
      <c r="I50" s="33">
        <f t="shared" si="3"/>
        <v>7124</v>
      </c>
      <c r="J50" s="33">
        <f t="shared" si="3"/>
        <v>7624</v>
      </c>
      <c r="K50" s="33">
        <f t="shared" si="3"/>
        <v>7624</v>
      </c>
      <c r="L50" s="33">
        <f t="shared" si="3"/>
        <v>7429</v>
      </c>
      <c r="M50" s="33">
        <f t="shared" si="3"/>
        <v>7124</v>
      </c>
      <c r="N50" s="33">
        <f t="shared" si="3"/>
        <v>7224</v>
      </c>
      <c r="O50" s="34">
        <f t="shared" si="2"/>
        <v>86893</v>
      </c>
    </row>
    <row r="51" spans="1:18" ht="15.75" thickBot="1" x14ac:dyDescent="0.25">
      <c r="A51" s="859" t="s">
        <v>161</v>
      </c>
      <c r="B51" s="860"/>
      <c r="C51" s="35">
        <f t="shared" ref="C51:N51" si="4">C37-C50</f>
        <v>39226</v>
      </c>
      <c r="D51" s="35">
        <f t="shared" si="4"/>
        <v>42154</v>
      </c>
      <c r="E51" s="35">
        <f t="shared" si="4"/>
        <v>39958</v>
      </c>
      <c r="F51" s="35">
        <f t="shared" si="4"/>
        <v>39958</v>
      </c>
      <c r="G51" s="35">
        <f t="shared" si="4"/>
        <v>46268</v>
      </c>
      <c r="H51" s="35">
        <f t="shared" si="4"/>
        <v>41268</v>
      </c>
      <c r="I51" s="35">
        <f t="shared" si="4"/>
        <v>41268</v>
      </c>
      <c r="J51" s="35">
        <f t="shared" si="4"/>
        <v>50684</v>
      </c>
      <c r="K51" s="35">
        <f t="shared" si="4"/>
        <v>41520</v>
      </c>
      <c r="L51" s="35">
        <f t="shared" si="4"/>
        <v>41715</v>
      </c>
      <c r="M51" s="35">
        <f t="shared" si="4"/>
        <v>42020</v>
      </c>
      <c r="N51" s="35">
        <f t="shared" si="4"/>
        <v>41920</v>
      </c>
      <c r="O51" s="36">
        <f t="shared" si="2"/>
        <v>507959</v>
      </c>
      <c r="Q51" s="16">
        <f>17224*2+3968+18216+16064+18177*2+17802+3819+3454+19075*4+18975</f>
        <v>229400</v>
      </c>
    </row>
    <row r="52" spans="1:18" x14ac:dyDescent="0.2">
      <c r="J52" s="128">
        <f>+J37-SUM(J22:J36)</f>
        <v>49144</v>
      </c>
    </row>
    <row r="53" spans="1:18" ht="13.5" thickBot="1" x14ac:dyDescent="0.25">
      <c r="J53" s="38">
        <f>+J52-J50</f>
        <v>41520</v>
      </c>
    </row>
    <row r="54" spans="1:18" ht="13.5" thickBot="1" x14ac:dyDescent="0.25">
      <c r="B54" s="789" t="s">
        <v>162</v>
      </c>
      <c r="C54" s="861"/>
      <c r="D54" s="861"/>
      <c r="E54" s="861"/>
      <c r="F54" s="862"/>
      <c r="G54" s="863">
        <f>O37</f>
        <v>594852</v>
      </c>
      <c r="H54" s="864"/>
    </row>
    <row r="55" spans="1:18" ht="13.5" thickBot="1" x14ac:dyDescent="0.25"/>
    <row r="56" spans="1:18" x14ac:dyDescent="0.2">
      <c r="B56" s="830" t="s">
        <v>163</v>
      </c>
      <c r="C56" s="833" t="s">
        <v>164</v>
      </c>
      <c r="D56" s="836" t="s">
        <v>229</v>
      </c>
      <c r="E56" s="837"/>
      <c r="F56" s="838"/>
      <c r="G56" s="839">
        <v>40000</v>
      </c>
      <c r="H56" s="840"/>
    </row>
    <row r="57" spans="1:18" x14ac:dyDescent="0.2">
      <c r="B57" s="831"/>
      <c r="C57" s="834"/>
      <c r="D57" s="841" t="s">
        <v>166</v>
      </c>
      <c r="E57" s="842"/>
      <c r="F57" s="843"/>
      <c r="G57" s="844">
        <f>+O44</f>
        <v>2500</v>
      </c>
      <c r="H57" s="845"/>
      <c r="I57" s="39"/>
      <c r="J57" s="846"/>
      <c r="K57" s="846"/>
      <c r="L57" s="846"/>
      <c r="M57" s="847"/>
      <c r="N57" s="847"/>
      <c r="O57" s="847"/>
    </row>
    <row r="58" spans="1:18" ht="13.5" thickBot="1" x14ac:dyDescent="0.25">
      <c r="B58" s="832"/>
      <c r="C58" s="835"/>
      <c r="D58" s="926" t="s">
        <v>243</v>
      </c>
      <c r="E58" s="927"/>
      <c r="F58" s="928"/>
      <c r="G58" s="851">
        <f>IF(O18&gt;15000,15000,+O18)</f>
        <v>0</v>
      </c>
      <c r="H58" s="852"/>
      <c r="J58" s="47"/>
      <c r="K58" s="47"/>
      <c r="L58" s="47"/>
      <c r="M58" s="47"/>
      <c r="N58" s="47"/>
      <c r="O58" s="47"/>
    </row>
    <row r="59" spans="1:18" ht="13.5" thickBot="1" x14ac:dyDescent="0.25">
      <c r="B59" s="48"/>
      <c r="J59" s="47"/>
      <c r="K59" s="47"/>
      <c r="L59" s="47"/>
      <c r="M59" s="47"/>
      <c r="N59" s="47"/>
      <c r="O59" s="47"/>
    </row>
    <row r="60" spans="1:18" ht="13.5" thickBot="1" x14ac:dyDescent="0.25">
      <c r="B60" s="789" t="s">
        <v>168</v>
      </c>
      <c r="C60" s="790"/>
      <c r="D60" s="790"/>
      <c r="E60" s="790"/>
      <c r="F60" s="791"/>
      <c r="G60" s="825">
        <f>+G54-SUM(G56:H58)</f>
        <v>552352</v>
      </c>
      <c r="H60" s="826"/>
      <c r="J60" s="827" t="s">
        <v>169</v>
      </c>
      <c r="K60" s="828"/>
      <c r="L60" s="828"/>
      <c r="M60" s="828"/>
      <c r="N60" s="828"/>
      <c r="O60" s="829"/>
    </row>
    <row r="61" spans="1:18" ht="13.5" thickBot="1" x14ac:dyDescent="0.25">
      <c r="B61" s="49"/>
      <c r="C61" s="50"/>
      <c r="D61" s="50"/>
      <c r="E61" s="50"/>
      <c r="F61" s="50"/>
      <c r="G61" s="45"/>
      <c r="H61" s="50"/>
      <c r="J61" s="129"/>
      <c r="K61" s="130"/>
      <c r="L61" s="130"/>
      <c r="M61" s="130"/>
      <c r="N61" s="130"/>
      <c r="O61" s="131"/>
    </row>
    <row r="62" spans="1:18" ht="13.5" thickBot="1" x14ac:dyDescent="0.25">
      <c r="B62" s="789" t="s">
        <v>170</v>
      </c>
      <c r="C62" s="790"/>
      <c r="D62" s="790"/>
      <c r="E62" s="790"/>
      <c r="F62" s="791"/>
      <c r="G62" s="805"/>
      <c r="H62" s="791"/>
      <c r="J62" s="129"/>
      <c r="K62" s="130"/>
      <c r="L62" s="130"/>
      <c r="M62" s="130"/>
      <c r="N62" s="130"/>
      <c r="O62" s="131"/>
    </row>
    <row r="63" spans="1:18" ht="12.75" customHeight="1" x14ac:dyDescent="0.2">
      <c r="B63" s="57" t="s">
        <v>171</v>
      </c>
      <c r="C63" s="806" t="s">
        <v>172</v>
      </c>
      <c r="D63" s="807"/>
      <c r="E63" s="807"/>
      <c r="F63" s="808"/>
      <c r="G63" s="809">
        <v>70000</v>
      </c>
      <c r="H63" s="809"/>
      <c r="I63" s="58"/>
      <c r="J63" s="810" t="s">
        <v>173</v>
      </c>
      <c r="K63" s="811"/>
      <c r="L63" s="811"/>
      <c r="M63" s="811"/>
      <c r="N63" s="811"/>
      <c r="O63" s="812"/>
      <c r="Q63" s="59"/>
      <c r="R63" s="59"/>
    </row>
    <row r="64" spans="1:18" ht="13.5" thickBot="1" x14ac:dyDescent="0.25">
      <c r="D64" s="37"/>
      <c r="I64" s="58"/>
      <c r="J64" s="60" t="s">
        <v>244</v>
      </c>
      <c r="K64" s="132"/>
      <c r="L64" s="132"/>
      <c r="M64" s="133"/>
      <c r="N64" s="133"/>
      <c r="O64" s="134"/>
      <c r="Q64" s="59"/>
      <c r="R64" s="59"/>
    </row>
    <row r="65" spans="2:18" ht="13.5" thickBot="1" x14ac:dyDescent="0.25">
      <c r="B65" s="789" t="s">
        <v>175</v>
      </c>
      <c r="C65" s="790"/>
      <c r="D65" s="790"/>
      <c r="E65" s="790"/>
      <c r="F65" s="791"/>
      <c r="G65" s="805">
        <f>+G60-G63</f>
        <v>482352</v>
      </c>
      <c r="H65" s="791"/>
      <c r="I65" s="63"/>
      <c r="J65" s="75"/>
      <c r="K65" s="39"/>
      <c r="L65" s="39"/>
      <c r="M65" s="39"/>
      <c r="N65" s="39"/>
      <c r="O65" s="65"/>
      <c r="Q65" s="59"/>
      <c r="R65" s="59"/>
    </row>
    <row r="66" spans="2:18" ht="12.75" customHeight="1" x14ac:dyDescent="0.2">
      <c r="B66" s="48"/>
      <c r="C66" s="48"/>
      <c r="I66" s="63"/>
      <c r="J66" s="64"/>
      <c r="K66" s="39"/>
      <c r="L66" s="39"/>
      <c r="M66" s="39"/>
      <c r="N66" s="39"/>
      <c r="O66" s="65"/>
      <c r="Q66" s="59"/>
      <c r="R66" s="59"/>
    </row>
    <row r="67" spans="2:18" x14ac:dyDescent="0.2">
      <c r="B67" s="66" t="s">
        <v>176</v>
      </c>
      <c r="C67" s="48"/>
      <c r="I67" s="63"/>
      <c r="J67" s="67"/>
      <c r="K67" s="68"/>
      <c r="L67" s="68"/>
      <c r="M67" s="68"/>
      <c r="N67" s="68"/>
      <c r="O67" s="69"/>
      <c r="Q67" s="59"/>
      <c r="R67" s="59"/>
    </row>
    <row r="68" spans="2:18" ht="26.25" customHeight="1" thickBot="1" x14ac:dyDescent="0.25">
      <c r="B68" s="66"/>
      <c r="C68" s="48"/>
      <c r="G68" s="70" t="s">
        <v>177</v>
      </c>
      <c r="H68" s="70" t="s">
        <v>178</v>
      </c>
      <c r="I68" s="63"/>
      <c r="J68" s="810" t="s">
        <v>179</v>
      </c>
      <c r="K68" s="811"/>
      <c r="L68" s="71"/>
      <c r="M68" s="71"/>
      <c r="N68" s="71"/>
      <c r="O68" s="72"/>
      <c r="Q68" s="59"/>
      <c r="R68" s="59"/>
    </row>
    <row r="69" spans="2:18" ht="12.75" customHeight="1" x14ac:dyDescent="0.2">
      <c r="B69" s="802" t="s">
        <v>180</v>
      </c>
      <c r="C69" s="821" t="s">
        <v>181</v>
      </c>
      <c r="D69" s="823" t="s">
        <v>182</v>
      </c>
      <c r="E69" s="824"/>
      <c r="F69" s="824"/>
      <c r="G69" s="73">
        <f>+O43</f>
        <v>60000</v>
      </c>
      <c r="H69" s="74">
        <f t="shared" ref="H69:H77" si="5">+G69</f>
        <v>60000</v>
      </c>
      <c r="I69" s="63"/>
      <c r="J69" s="75" t="s">
        <v>231</v>
      </c>
      <c r="K69" s="58"/>
      <c r="L69" s="58"/>
      <c r="M69" s="58" t="s">
        <v>232</v>
      </c>
      <c r="N69" s="58" t="s">
        <v>233</v>
      </c>
      <c r="O69" s="76"/>
      <c r="Q69" s="59"/>
      <c r="R69" s="59"/>
    </row>
    <row r="70" spans="2:18" ht="12.75" customHeight="1" x14ac:dyDescent="0.2">
      <c r="B70" s="803"/>
      <c r="C70" s="822"/>
      <c r="D70" s="782" t="s">
        <v>184</v>
      </c>
      <c r="E70" s="783"/>
      <c r="F70" s="783"/>
      <c r="G70" s="77">
        <f>+O47</f>
        <v>13728</v>
      </c>
      <c r="H70" s="78">
        <f t="shared" si="5"/>
        <v>13728</v>
      </c>
      <c r="I70" s="63"/>
      <c r="J70" s="79"/>
      <c r="K70" s="68"/>
      <c r="L70" s="68"/>
      <c r="M70" s="68"/>
      <c r="N70" s="68"/>
      <c r="O70" s="69"/>
      <c r="Q70" s="59"/>
      <c r="R70" s="59"/>
    </row>
    <row r="71" spans="2:18" ht="12.75" customHeight="1" x14ac:dyDescent="0.2">
      <c r="B71" s="803"/>
      <c r="C71" s="822"/>
      <c r="D71" s="819" t="s">
        <v>185</v>
      </c>
      <c r="E71" s="820"/>
      <c r="F71" s="820"/>
      <c r="G71" s="80">
        <f>O40</f>
        <v>360</v>
      </c>
      <c r="H71" s="78">
        <f t="shared" si="5"/>
        <v>360</v>
      </c>
      <c r="I71" s="63"/>
      <c r="J71" s="67"/>
      <c r="K71" s="68"/>
      <c r="L71" s="68"/>
      <c r="M71" s="68"/>
      <c r="N71" s="68"/>
      <c r="O71" s="69"/>
    </row>
    <row r="72" spans="2:18" x14ac:dyDescent="0.2">
      <c r="B72" s="803"/>
      <c r="C72" s="822"/>
      <c r="D72" s="782" t="s">
        <v>186</v>
      </c>
      <c r="E72" s="783"/>
      <c r="F72" s="783"/>
      <c r="G72" s="81">
        <v>0</v>
      </c>
      <c r="H72" s="78">
        <f t="shared" si="5"/>
        <v>0</v>
      </c>
      <c r="I72" s="63"/>
      <c r="J72" s="82" t="s">
        <v>187</v>
      </c>
      <c r="K72" s="71"/>
      <c r="L72" s="71"/>
      <c r="M72" s="71"/>
      <c r="N72" s="71"/>
      <c r="O72" s="72"/>
    </row>
    <row r="73" spans="2:18" ht="12.75" customHeight="1" x14ac:dyDescent="0.2">
      <c r="B73" s="803"/>
      <c r="C73" s="822"/>
      <c r="D73" s="784" t="s">
        <v>188</v>
      </c>
      <c r="E73" s="783"/>
      <c r="F73" s="783"/>
      <c r="G73" s="80">
        <v>0</v>
      </c>
      <c r="H73" s="78">
        <f t="shared" si="5"/>
        <v>0</v>
      </c>
      <c r="I73" s="63"/>
      <c r="J73" s="75" t="s">
        <v>189</v>
      </c>
      <c r="K73" s="50"/>
      <c r="L73" s="50"/>
      <c r="M73" s="50"/>
      <c r="N73" s="50"/>
      <c r="O73" s="83">
        <f>O42</f>
        <v>3000</v>
      </c>
    </row>
    <row r="74" spans="2:18" ht="14.25" customHeight="1" x14ac:dyDescent="0.2">
      <c r="B74" s="803"/>
      <c r="C74" s="822"/>
      <c r="D74" s="782" t="s">
        <v>190</v>
      </c>
      <c r="E74" s="783"/>
      <c r="F74" s="783"/>
      <c r="G74" s="84">
        <v>0</v>
      </c>
      <c r="H74" s="78">
        <f t="shared" si="5"/>
        <v>0</v>
      </c>
      <c r="I74" s="63"/>
      <c r="J74" s="64"/>
      <c r="K74" s="39"/>
      <c r="L74" s="39"/>
      <c r="M74" s="39"/>
      <c r="N74" s="39"/>
      <c r="O74" s="65"/>
    </row>
    <row r="75" spans="2:18" x14ac:dyDescent="0.2">
      <c r="B75" s="803"/>
      <c r="C75" s="822"/>
      <c r="D75" s="782" t="s">
        <v>191</v>
      </c>
      <c r="E75" s="783"/>
      <c r="F75" s="783"/>
      <c r="G75" s="81">
        <v>30242</v>
      </c>
      <c r="H75" s="78">
        <f t="shared" si="5"/>
        <v>30242</v>
      </c>
      <c r="I75" s="58"/>
      <c r="J75" s="150"/>
      <c r="K75" s="50"/>
      <c r="L75" s="50"/>
      <c r="M75" s="50"/>
      <c r="N75" s="50"/>
      <c r="O75" s="83"/>
    </row>
    <row r="76" spans="2:18" x14ac:dyDescent="0.2">
      <c r="B76" s="803"/>
      <c r="C76" s="88" t="s">
        <v>192</v>
      </c>
      <c r="D76" s="813" t="s">
        <v>193</v>
      </c>
      <c r="E76" s="814"/>
      <c r="F76" s="814"/>
      <c r="G76" s="80">
        <v>0</v>
      </c>
      <c r="H76" s="78">
        <f t="shared" si="5"/>
        <v>0</v>
      </c>
      <c r="I76" s="58"/>
      <c r="J76" s="79"/>
      <c r="K76" s="39"/>
      <c r="L76" s="39"/>
      <c r="M76" s="39"/>
      <c r="N76" s="39"/>
      <c r="O76" s="65"/>
    </row>
    <row r="77" spans="2:18" ht="13.5" customHeight="1" thickBot="1" x14ac:dyDescent="0.25">
      <c r="B77" s="803"/>
      <c r="C77" s="88" t="s">
        <v>194</v>
      </c>
      <c r="D77" s="815" t="s">
        <v>195</v>
      </c>
      <c r="E77" s="815"/>
      <c r="F77" s="815"/>
      <c r="G77" s="89">
        <v>0</v>
      </c>
      <c r="H77" s="90">
        <f t="shared" si="5"/>
        <v>0</v>
      </c>
      <c r="I77" s="63"/>
      <c r="J77" s="67"/>
      <c r="K77" s="68"/>
      <c r="L77" s="68"/>
      <c r="M77" s="91"/>
      <c r="N77" s="91"/>
      <c r="O77" s="92"/>
    </row>
    <row r="78" spans="2:18" ht="13.5" thickBot="1" x14ac:dyDescent="0.25">
      <c r="B78" s="803"/>
      <c r="C78" s="93"/>
      <c r="D78" s="94"/>
      <c r="E78" s="816" t="s">
        <v>117</v>
      </c>
      <c r="F78" s="817"/>
      <c r="G78" s="95">
        <f>SUM(G69:G77)</f>
        <v>104330</v>
      </c>
      <c r="H78" s="96">
        <f>IF(SUM(G69:G75)&lt;150000,SUM(G69:G75),150000)+IF(+G76&lt;20000,+G76,20000)</f>
        <v>104330</v>
      </c>
      <c r="I78" s="63"/>
      <c r="J78" s="140"/>
      <c r="K78" s="141"/>
      <c r="L78" s="141"/>
      <c r="M78" s="142"/>
      <c r="N78" s="142"/>
      <c r="O78" s="143"/>
    </row>
    <row r="79" spans="2:18" ht="12.75" customHeight="1" x14ac:dyDescent="0.2">
      <c r="B79" s="803"/>
      <c r="C79" s="100" t="s">
        <v>196</v>
      </c>
      <c r="D79" s="782" t="s">
        <v>187</v>
      </c>
      <c r="E79" s="783"/>
      <c r="F79" s="818"/>
      <c r="G79" s="73">
        <v>3000</v>
      </c>
      <c r="H79" s="101">
        <f>+IF(+G79&lt;25000,+G79,25000)</f>
        <v>3000</v>
      </c>
      <c r="I79" s="87"/>
    </row>
    <row r="80" spans="2:18" x14ac:dyDescent="0.2">
      <c r="B80" s="803"/>
      <c r="C80" s="100" t="s">
        <v>197</v>
      </c>
      <c r="D80" s="784" t="s">
        <v>198</v>
      </c>
      <c r="E80" s="785"/>
      <c r="F80" s="786"/>
      <c r="G80" s="102"/>
      <c r="H80" s="103">
        <f>+IF(+G80&lt;40000,+G80,40000)</f>
        <v>0</v>
      </c>
      <c r="I80" s="63"/>
    </row>
    <row r="81" spans="2:12" x14ac:dyDescent="0.2">
      <c r="B81" s="803"/>
      <c r="C81" s="100" t="s">
        <v>199</v>
      </c>
      <c r="D81" s="784" t="s">
        <v>200</v>
      </c>
      <c r="E81" s="785"/>
      <c r="F81" s="786"/>
      <c r="G81" s="81"/>
      <c r="H81" s="104">
        <v>0</v>
      </c>
      <c r="I81" s="63"/>
      <c r="J81" s="106"/>
    </row>
    <row r="82" spans="2:12" x14ac:dyDescent="0.2">
      <c r="B82" s="803"/>
      <c r="C82" s="100" t="s">
        <v>201</v>
      </c>
      <c r="D82" s="784" t="s">
        <v>202</v>
      </c>
      <c r="E82" s="785"/>
      <c r="F82" s="786"/>
      <c r="G82" s="81"/>
      <c r="H82" s="104">
        <v>0</v>
      </c>
      <c r="I82" s="63"/>
    </row>
    <row r="83" spans="2:12" ht="13.5" thickBot="1" x14ac:dyDescent="0.25">
      <c r="B83" s="804"/>
      <c r="C83" s="100" t="s">
        <v>203</v>
      </c>
      <c r="D83" s="784" t="s">
        <v>204</v>
      </c>
      <c r="E83" s="785"/>
      <c r="F83" s="786"/>
      <c r="G83" s="102"/>
      <c r="H83" s="103">
        <f>+IF(+G83&lt;100000,+G83,10000)</f>
        <v>0</v>
      </c>
      <c r="I83" s="63"/>
    </row>
    <row r="84" spans="2:12" ht="13.5" thickBot="1" x14ac:dyDescent="0.25">
      <c r="B84" s="787" t="s">
        <v>205</v>
      </c>
      <c r="C84" s="788"/>
      <c r="D84" s="788"/>
      <c r="E84" s="788"/>
      <c r="F84" s="788"/>
      <c r="G84" s="107">
        <f>SUM(G79:G83)</f>
        <v>3000</v>
      </c>
      <c r="H84" s="108">
        <f>SUM(H78:H83)</f>
        <v>107330</v>
      </c>
    </row>
    <row r="85" spans="2:12" ht="13.5" thickBot="1" x14ac:dyDescent="0.25"/>
    <row r="86" spans="2:12" ht="13.5" thickBot="1" x14ac:dyDescent="0.25">
      <c r="B86" s="789" t="s">
        <v>206</v>
      </c>
      <c r="C86" s="790"/>
      <c r="D86" s="790"/>
      <c r="E86" s="790"/>
      <c r="F86" s="791"/>
      <c r="G86" s="792">
        <f>+G65-H84</f>
        <v>375022</v>
      </c>
      <c r="H86" s="791"/>
      <c r="J86" s="109">
        <f>C37+D37+E37+F37</f>
        <v>189792</v>
      </c>
      <c r="K86" s="16" t="s">
        <v>235</v>
      </c>
    </row>
    <row r="87" spans="2:12" x14ac:dyDescent="0.2">
      <c r="B87" s="110"/>
      <c r="F87" s="105"/>
      <c r="J87" s="109">
        <f>G37+H37+I37</f>
        <v>150176</v>
      </c>
      <c r="K87" s="16" t="s">
        <v>236</v>
      </c>
    </row>
    <row r="88" spans="2:12" x14ac:dyDescent="0.2">
      <c r="C88" s="793" t="s">
        <v>207</v>
      </c>
      <c r="D88" s="794"/>
      <c r="E88" s="111" t="s">
        <v>208</v>
      </c>
      <c r="F88" s="111" t="s">
        <v>209</v>
      </c>
      <c r="G88" s="111" t="s">
        <v>210</v>
      </c>
      <c r="H88" s="111" t="s">
        <v>211</v>
      </c>
      <c r="J88" s="109">
        <f>J37+K37+L37</f>
        <v>156596</v>
      </c>
      <c r="K88" s="47" t="s">
        <v>237</v>
      </c>
    </row>
    <row r="89" spans="2:12" x14ac:dyDescent="0.2">
      <c r="C89" s="795" t="str">
        <f>IF(I6="M","0          - 250000","0          -  250000")</f>
        <v>0          - 250000</v>
      </c>
      <c r="D89" s="796"/>
      <c r="E89" s="112">
        <v>0</v>
      </c>
      <c r="F89" s="113">
        <f>IF(I6="M",(IF(G86&lt;250000,G86,250000)),(IF(G86&lt;250000,G86,250000)))</f>
        <v>250000</v>
      </c>
      <c r="G89" s="113">
        <f>G86-F89</f>
        <v>125022</v>
      </c>
      <c r="H89" s="113">
        <f>E89*F89</f>
        <v>0</v>
      </c>
      <c r="J89" s="16">
        <f>M37+N37</f>
        <v>98288</v>
      </c>
      <c r="K89" s="1" t="s">
        <v>238</v>
      </c>
    </row>
    <row r="90" spans="2:12" x14ac:dyDescent="0.2">
      <c r="C90" s="795" t="str">
        <f>IF(I6="M","250001 - 500000","250001-500000")</f>
        <v>250001 - 500000</v>
      </c>
      <c r="D90" s="796"/>
      <c r="E90" s="112">
        <v>0.05</v>
      </c>
      <c r="F90" s="113">
        <f>IF(I6="M",(IF(G89&lt;250000,G89,250000)),(IF(G89&lt;250000,G89,250000)))</f>
        <v>125022</v>
      </c>
      <c r="G90" s="113">
        <f>G89-F90</f>
        <v>0</v>
      </c>
      <c r="H90" s="114">
        <f>ROUND(E90*F90,0.1)</f>
        <v>6251</v>
      </c>
      <c r="J90" s="115">
        <f>SUM(J86:J89)</f>
        <v>594852</v>
      </c>
    </row>
    <row r="91" spans="2:12" x14ac:dyDescent="0.2">
      <c r="C91" s="797" t="s">
        <v>212</v>
      </c>
      <c r="D91" s="798"/>
      <c r="E91" s="112">
        <v>0.2</v>
      </c>
      <c r="F91" s="113">
        <f>IF(G90&lt;500000,G90,500000)</f>
        <v>0</v>
      </c>
      <c r="G91" s="113">
        <f>G90-F91</f>
        <v>0</v>
      </c>
      <c r="H91" s="114">
        <f>ROUND(E91*F91,0.1)</f>
        <v>0</v>
      </c>
      <c r="J91" s="16">
        <f>+G86</f>
        <v>375022</v>
      </c>
    </row>
    <row r="92" spans="2:12" x14ac:dyDescent="0.2">
      <c r="C92" s="795" t="s">
        <v>213</v>
      </c>
      <c r="D92" s="796"/>
      <c r="E92" s="112">
        <v>0.3</v>
      </c>
      <c r="F92" s="113">
        <f>G91</f>
        <v>0</v>
      </c>
      <c r="G92" s="113">
        <f>G91-F92</f>
        <v>0</v>
      </c>
      <c r="H92" s="114">
        <f>ROUND(E92*F92,0.1)</f>
        <v>0</v>
      </c>
      <c r="J92" s="16">
        <f>+J90-J91</f>
        <v>219830</v>
      </c>
    </row>
    <row r="93" spans="2:12" ht="12.75" customHeight="1" thickBot="1" x14ac:dyDescent="0.25">
      <c r="B93" s="116"/>
      <c r="C93" s="117"/>
      <c r="D93" s="47"/>
      <c r="E93" s="47"/>
      <c r="F93" s="47"/>
      <c r="J93" s="87">
        <f>+J92/3</f>
        <v>73276.666666666672</v>
      </c>
      <c r="K93" s="118"/>
    </row>
    <row r="94" spans="2:12" ht="13.5" thickBot="1" x14ac:dyDescent="0.25">
      <c r="B94" s="799" t="s">
        <v>239</v>
      </c>
      <c r="C94" s="800"/>
      <c r="D94" s="800"/>
      <c r="E94" s="800"/>
      <c r="F94" s="801"/>
      <c r="G94" s="771">
        <f>H89+H90+H91+H92</f>
        <v>6251</v>
      </c>
      <c r="H94" s="772"/>
      <c r="J94" s="87"/>
      <c r="K94" s="87"/>
    </row>
    <row r="95" spans="2:12" ht="13.5" thickBot="1" x14ac:dyDescent="0.25">
      <c r="B95" s="119" t="s">
        <v>215</v>
      </c>
      <c r="C95" s="120"/>
      <c r="D95" s="120"/>
      <c r="E95" s="120"/>
      <c r="F95" s="120"/>
      <c r="G95" s="895">
        <f>IF((G65&lt;500000),5000,0)</f>
        <v>5000</v>
      </c>
      <c r="H95" s="896">
        <f>IF(H93&lt;200000,0,IF(H93&lt;220000,((H93-200000)*10%),IF(H93&lt;=500000,2000,IF(H93&gt;=500000,0))))</f>
        <v>0</v>
      </c>
      <c r="J95" s="1"/>
      <c r="K95" s="121"/>
      <c r="L95" s="121"/>
    </row>
    <row r="96" spans="2:12" ht="13.5" thickBot="1" x14ac:dyDescent="0.25">
      <c r="B96" s="122" t="s">
        <v>216</v>
      </c>
      <c r="C96" s="123"/>
      <c r="D96" s="123"/>
      <c r="E96" s="123"/>
      <c r="F96" s="123"/>
      <c r="G96" s="771">
        <f>IF((G94-G95)&lt;0,0,(G94-G95))</f>
        <v>1251</v>
      </c>
      <c r="H96" s="772"/>
      <c r="I96" s="37"/>
    </row>
    <row r="97" spans="2:9" ht="13.5" thickBot="1" x14ac:dyDescent="0.25">
      <c r="B97" s="773" t="s">
        <v>240</v>
      </c>
      <c r="C97" s="774"/>
      <c r="D97" s="774"/>
      <c r="E97" s="774"/>
      <c r="F97" s="775"/>
      <c r="G97" s="776">
        <f>ROUND((IF(G96&gt;0,(G96*4%),0)),0)</f>
        <v>50</v>
      </c>
      <c r="H97" s="777"/>
      <c r="I97" s="37"/>
    </row>
    <row r="98" spans="2:9" ht="13.5" thickBot="1" x14ac:dyDescent="0.25">
      <c r="B98" s="778" t="s">
        <v>218</v>
      </c>
      <c r="C98" s="779"/>
      <c r="D98" s="779"/>
      <c r="E98" s="779"/>
      <c r="F98" s="779"/>
      <c r="G98" s="780">
        <f>G96+G97</f>
        <v>1301</v>
      </c>
      <c r="H98" s="781"/>
      <c r="I98" s="121"/>
    </row>
    <row r="99" spans="2:9" ht="13.5" thickBot="1" x14ac:dyDescent="0.25">
      <c r="B99" s="765" t="s">
        <v>219</v>
      </c>
      <c r="C99" s="766"/>
      <c r="D99" s="766"/>
      <c r="E99" s="766"/>
      <c r="F99" s="766"/>
      <c r="G99" s="767">
        <f>O38</f>
        <v>1305</v>
      </c>
      <c r="H99" s="768"/>
      <c r="I99" s="121"/>
    </row>
    <row r="100" spans="2:9" ht="13.5" thickBot="1" x14ac:dyDescent="0.25">
      <c r="B100" s="765" t="str">
        <f>IF(G100&gt;0,"TAX PAYABLE","TAX REFUND")</f>
        <v>TAX REFUND</v>
      </c>
      <c r="C100" s="766"/>
      <c r="D100" s="766"/>
      <c r="E100" s="766"/>
      <c r="F100" s="766"/>
      <c r="G100" s="767">
        <f>+G98-G99</f>
        <v>-4</v>
      </c>
      <c r="H100" s="768"/>
      <c r="I100" s="37"/>
    </row>
    <row r="101" spans="2:9" x14ac:dyDescent="0.2">
      <c r="C101" s="124"/>
      <c r="D101" s="45"/>
      <c r="E101" s="118"/>
      <c r="F101" s="118"/>
      <c r="G101" s="118"/>
      <c r="H101" s="118"/>
      <c r="I101" s="125"/>
    </row>
    <row r="102" spans="2:9" x14ac:dyDescent="0.2">
      <c r="C102" s="47"/>
      <c r="D102" s="50"/>
      <c r="E102" s="117"/>
      <c r="F102" s="47"/>
      <c r="G102" s="47"/>
      <c r="H102" s="47"/>
      <c r="I102" s="125"/>
    </row>
    <row r="103" spans="2:9" x14ac:dyDescent="0.2">
      <c r="C103" s="39"/>
      <c r="D103" s="126"/>
      <c r="E103" s="126"/>
      <c r="F103" s="126"/>
      <c r="G103" s="39"/>
      <c r="H103" s="39"/>
      <c r="I103" s="37"/>
    </row>
    <row r="104" spans="2:9" x14ac:dyDescent="0.2">
      <c r="C104" s="39"/>
      <c r="D104" s="126"/>
      <c r="E104" s="126"/>
      <c r="F104" s="39"/>
      <c r="G104" s="39"/>
      <c r="H104" s="39"/>
      <c r="I104" s="37"/>
    </row>
    <row r="105" spans="2:9" x14ac:dyDescent="0.2">
      <c r="C105" s="39"/>
      <c r="D105" s="126"/>
      <c r="E105" s="126"/>
      <c r="F105" s="39"/>
      <c r="G105" s="39"/>
      <c r="H105" s="39"/>
      <c r="I105" s="37"/>
    </row>
    <row r="106" spans="2:9" x14ac:dyDescent="0.2">
      <c r="C106" s="39"/>
      <c r="D106" s="39"/>
      <c r="E106" s="39"/>
      <c r="F106" s="39"/>
      <c r="G106" s="39"/>
      <c r="H106" s="39"/>
      <c r="I106" s="37"/>
    </row>
    <row r="107" spans="2:9" x14ac:dyDescent="0.2">
      <c r="C107" s="39"/>
      <c r="D107" s="39"/>
      <c r="E107" s="39"/>
      <c r="F107" s="39"/>
      <c r="G107" s="39"/>
      <c r="H107" s="39"/>
    </row>
    <row r="108" spans="2:9" x14ac:dyDescent="0.2">
      <c r="C108" s="39"/>
      <c r="D108" s="39"/>
      <c r="E108" s="39"/>
      <c r="F108" s="39"/>
      <c r="G108" s="39"/>
      <c r="H108"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9"/>
    <mergeCell ref="A50:B50"/>
    <mergeCell ref="A51:B51"/>
    <mergeCell ref="B54:F54"/>
    <mergeCell ref="G54:H54"/>
    <mergeCell ref="B60:F60"/>
    <mergeCell ref="G60:H60"/>
    <mergeCell ref="J60:O60"/>
    <mergeCell ref="B56:B58"/>
    <mergeCell ref="C56:C58"/>
    <mergeCell ref="D56:F56"/>
    <mergeCell ref="G56:H56"/>
    <mergeCell ref="D57:F57"/>
    <mergeCell ref="G57:H57"/>
    <mergeCell ref="J57:L57"/>
    <mergeCell ref="M57:O57"/>
    <mergeCell ref="D58:F58"/>
    <mergeCell ref="G58:H58"/>
    <mergeCell ref="J63:O63"/>
    <mergeCell ref="D81:F81"/>
    <mergeCell ref="J68:K68"/>
    <mergeCell ref="B65:F65"/>
    <mergeCell ref="G65:H65"/>
    <mergeCell ref="D76:F76"/>
    <mergeCell ref="D77:F77"/>
    <mergeCell ref="E78:F78"/>
    <mergeCell ref="D79:F79"/>
    <mergeCell ref="D80:F80"/>
    <mergeCell ref="D71:F71"/>
    <mergeCell ref="D72:F72"/>
    <mergeCell ref="C69:C75"/>
    <mergeCell ref="D69:F69"/>
    <mergeCell ref="D70:F70"/>
    <mergeCell ref="D74:F74"/>
    <mergeCell ref="G62:H62"/>
    <mergeCell ref="C63:F63"/>
    <mergeCell ref="G63:H63"/>
    <mergeCell ref="B62:F62"/>
    <mergeCell ref="D73:F73"/>
    <mergeCell ref="D75:F75"/>
    <mergeCell ref="G94:H94"/>
    <mergeCell ref="D82:F82"/>
    <mergeCell ref="D83:F83"/>
    <mergeCell ref="B84:F84"/>
    <mergeCell ref="B86:F86"/>
    <mergeCell ref="G86:H86"/>
    <mergeCell ref="C88:D88"/>
    <mergeCell ref="C89:D89"/>
    <mergeCell ref="C90:D90"/>
    <mergeCell ref="C91:D91"/>
    <mergeCell ref="C92:D92"/>
    <mergeCell ref="B94:F94"/>
    <mergeCell ref="B69:B83"/>
    <mergeCell ref="B100:F100"/>
    <mergeCell ref="G100:H100"/>
    <mergeCell ref="G95:H95"/>
    <mergeCell ref="G96:H96"/>
    <mergeCell ref="B97:F97"/>
    <mergeCell ref="G97:H97"/>
    <mergeCell ref="B98:F98"/>
    <mergeCell ref="G98:H98"/>
    <mergeCell ref="B99:F99"/>
    <mergeCell ref="G99:H99"/>
  </mergeCells>
  <conditionalFormatting sqref="B91:F91 B100:F100 B94:F98">
    <cfRule type="cellIs" dxfId="1949" priority="3" stopIfTrue="1" operator="equal">
      <formula>"TAX PAYABLE"</formula>
    </cfRule>
    <cfRule type="cellIs" dxfId="1948" priority="4" stopIfTrue="1" operator="equal">
      <formula>"TAX REFUND"</formula>
    </cfRule>
  </conditionalFormatting>
  <conditionalFormatting sqref="G91:H91">
    <cfRule type="cellIs" dxfId="1947" priority="5" stopIfTrue="1" operator="lessThan">
      <formula>0</formula>
    </cfRule>
    <cfRule type="cellIs" dxfId="1946" priority="6" stopIfTrue="1" operator="greaterThan">
      <formula>0</formula>
    </cfRule>
  </conditionalFormatting>
  <conditionalFormatting sqref="G100:H100">
    <cfRule type="cellIs" dxfId="1945" priority="1" stopIfTrue="1" operator="greaterThan">
      <formula>0</formula>
    </cfRule>
    <cfRule type="cellIs" dxfId="1944"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legacy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7"/>
  <sheetViews>
    <sheetView topLeftCell="A59" workbookViewId="0">
      <selection activeCell="K79" sqref="K79"/>
    </sheetView>
  </sheetViews>
  <sheetFormatPr defaultRowHeight="12.75" x14ac:dyDescent="0.2"/>
  <cols>
    <col min="1" max="1" width="5" style="16" customWidth="1"/>
    <col min="2" max="2" width="21.140625" style="37" customWidth="1"/>
    <col min="3" max="3" width="8.85546875" style="16" customWidth="1"/>
    <col min="4" max="4" width="6.7109375" style="16" bestFit="1" customWidth="1"/>
    <col min="5" max="5" width="8.5703125" style="16" bestFit="1" customWidth="1"/>
    <col min="6" max="8" width="8.140625" style="16" customWidth="1"/>
    <col min="9" max="9" width="7.140625" style="16" bestFit="1" customWidth="1"/>
    <col min="10" max="10" width="8" style="16" customWidth="1"/>
    <col min="11" max="12" width="7" style="16" bestFit="1" customWidth="1"/>
    <col min="13" max="13" width="6.85546875" style="16" bestFit="1" customWidth="1"/>
    <col min="14" max="14" width="7" style="16" bestFit="1" customWidth="1"/>
    <col min="15" max="15" width="7.140625" style="16" bestFit="1"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21.140625" style="16" customWidth="1"/>
    <col min="259" max="259" width="8.85546875" style="16" customWidth="1"/>
    <col min="260" max="260" width="6.7109375" style="16" bestFit="1" customWidth="1"/>
    <col min="261" max="261" width="8.5703125" style="16" bestFit="1" customWidth="1"/>
    <col min="262" max="264" width="8.140625" style="16" customWidth="1"/>
    <col min="265" max="265" width="7.140625" style="16" bestFit="1" customWidth="1"/>
    <col min="266" max="266" width="8" style="16" customWidth="1"/>
    <col min="267" max="268" width="7" style="16" bestFit="1" customWidth="1"/>
    <col min="269" max="269" width="6.85546875" style="16" bestFit="1" customWidth="1"/>
    <col min="270" max="270" width="7" style="16" bestFit="1" customWidth="1"/>
    <col min="271" max="271" width="7.140625" style="16" bestFit="1"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21.140625" style="16" customWidth="1"/>
    <col min="515" max="515" width="8.85546875" style="16" customWidth="1"/>
    <col min="516" max="516" width="6.7109375" style="16" bestFit="1" customWidth="1"/>
    <col min="517" max="517" width="8.5703125" style="16" bestFit="1" customWidth="1"/>
    <col min="518" max="520" width="8.140625" style="16" customWidth="1"/>
    <col min="521" max="521" width="7.140625" style="16" bestFit="1" customWidth="1"/>
    <col min="522" max="522" width="8" style="16" customWidth="1"/>
    <col min="523" max="524" width="7" style="16" bestFit="1" customWidth="1"/>
    <col min="525" max="525" width="6.85546875" style="16" bestFit="1" customWidth="1"/>
    <col min="526" max="526" width="7" style="16" bestFit="1" customWidth="1"/>
    <col min="527" max="527" width="7.140625" style="16" bestFit="1"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21.140625" style="16" customWidth="1"/>
    <col min="771" max="771" width="8.85546875" style="16" customWidth="1"/>
    <col min="772" max="772" width="6.7109375" style="16" bestFit="1" customWidth="1"/>
    <col min="773" max="773" width="8.5703125" style="16" bestFit="1" customWidth="1"/>
    <col min="774" max="776" width="8.140625" style="16" customWidth="1"/>
    <col min="777" max="777" width="7.140625" style="16" bestFit="1" customWidth="1"/>
    <col min="778" max="778" width="8" style="16" customWidth="1"/>
    <col min="779" max="780" width="7" style="16" bestFit="1" customWidth="1"/>
    <col min="781" max="781" width="6.85546875" style="16" bestFit="1" customWidth="1"/>
    <col min="782" max="782" width="7" style="16" bestFit="1" customWidth="1"/>
    <col min="783" max="783" width="7.140625" style="16" bestFit="1"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21.140625" style="16" customWidth="1"/>
    <col min="1027" max="1027" width="8.85546875" style="16" customWidth="1"/>
    <col min="1028" max="1028" width="6.7109375" style="16" bestFit="1" customWidth="1"/>
    <col min="1029" max="1029" width="8.5703125" style="16" bestFit="1" customWidth="1"/>
    <col min="1030" max="1032" width="8.140625" style="16" customWidth="1"/>
    <col min="1033" max="1033" width="7.140625" style="16" bestFit="1" customWidth="1"/>
    <col min="1034" max="1034" width="8" style="16" customWidth="1"/>
    <col min="1035" max="1036" width="7" style="16" bestFit="1" customWidth="1"/>
    <col min="1037" max="1037" width="6.85546875" style="16" bestFit="1" customWidth="1"/>
    <col min="1038" max="1038" width="7" style="16" bestFit="1" customWidth="1"/>
    <col min="1039" max="1039" width="7.140625" style="16" bestFit="1"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21.140625" style="16" customWidth="1"/>
    <col min="1283" max="1283" width="8.85546875" style="16" customWidth="1"/>
    <col min="1284" max="1284" width="6.7109375" style="16" bestFit="1" customWidth="1"/>
    <col min="1285" max="1285" width="8.5703125" style="16" bestFit="1" customWidth="1"/>
    <col min="1286" max="1288" width="8.140625" style="16" customWidth="1"/>
    <col min="1289" max="1289" width="7.140625" style="16" bestFit="1" customWidth="1"/>
    <col min="1290" max="1290" width="8" style="16" customWidth="1"/>
    <col min="1291" max="1292" width="7" style="16" bestFit="1" customWidth="1"/>
    <col min="1293" max="1293" width="6.85546875" style="16" bestFit="1" customWidth="1"/>
    <col min="1294" max="1294" width="7" style="16" bestFit="1" customWidth="1"/>
    <col min="1295" max="1295" width="7.140625" style="16" bestFit="1"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21.140625" style="16" customWidth="1"/>
    <col min="1539" max="1539" width="8.85546875" style="16" customWidth="1"/>
    <col min="1540" max="1540" width="6.7109375" style="16" bestFit="1" customWidth="1"/>
    <col min="1541" max="1541" width="8.5703125" style="16" bestFit="1" customWidth="1"/>
    <col min="1542" max="1544" width="8.140625" style="16" customWidth="1"/>
    <col min="1545" max="1545" width="7.140625" style="16" bestFit="1" customWidth="1"/>
    <col min="1546" max="1546" width="8" style="16" customWidth="1"/>
    <col min="1547" max="1548" width="7" style="16" bestFit="1" customWidth="1"/>
    <col min="1549" max="1549" width="6.85546875" style="16" bestFit="1" customWidth="1"/>
    <col min="1550" max="1550" width="7" style="16" bestFit="1" customWidth="1"/>
    <col min="1551" max="1551" width="7.140625" style="16" bestFit="1"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21.140625" style="16" customWidth="1"/>
    <col min="1795" max="1795" width="8.85546875" style="16" customWidth="1"/>
    <col min="1796" max="1796" width="6.7109375" style="16" bestFit="1" customWidth="1"/>
    <col min="1797" max="1797" width="8.5703125" style="16" bestFit="1" customWidth="1"/>
    <col min="1798" max="1800" width="8.140625" style="16" customWidth="1"/>
    <col min="1801" max="1801" width="7.140625" style="16" bestFit="1" customWidth="1"/>
    <col min="1802" max="1802" width="8" style="16" customWidth="1"/>
    <col min="1803" max="1804" width="7" style="16" bestFit="1" customWidth="1"/>
    <col min="1805" max="1805" width="6.85546875" style="16" bestFit="1" customWidth="1"/>
    <col min="1806" max="1806" width="7" style="16" bestFit="1" customWidth="1"/>
    <col min="1807" max="1807" width="7.140625" style="16" bestFit="1"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21.140625" style="16" customWidth="1"/>
    <col min="2051" max="2051" width="8.85546875" style="16" customWidth="1"/>
    <col min="2052" max="2052" width="6.7109375" style="16" bestFit="1" customWidth="1"/>
    <col min="2053" max="2053" width="8.5703125" style="16" bestFit="1" customWidth="1"/>
    <col min="2054" max="2056" width="8.140625" style="16" customWidth="1"/>
    <col min="2057" max="2057" width="7.140625" style="16" bestFit="1" customWidth="1"/>
    <col min="2058" max="2058" width="8" style="16" customWidth="1"/>
    <col min="2059" max="2060" width="7" style="16" bestFit="1" customWidth="1"/>
    <col min="2061" max="2061" width="6.85546875" style="16" bestFit="1" customWidth="1"/>
    <col min="2062" max="2062" width="7" style="16" bestFit="1" customWidth="1"/>
    <col min="2063" max="2063" width="7.140625" style="16" bestFit="1"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21.140625" style="16" customWidth="1"/>
    <col min="2307" max="2307" width="8.85546875" style="16" customWidth="1"/>
    <col min="2308" max="2308" width="6.7109375" style="16" bestFit="1" customWidth="1"/>
    <col min="2309" max="2309" width="8.5703125" style="16" bestFit="1" customWidth="1"/>
    <col min="2310" max="2312" width="8.140625" style="16" customWidth="1"/>
    <col min="2313" max="2313" width="7.140625" style="16" bestFit="1" customWidth="1"/>
    <col min="2314" max="2314" width="8" style="16" customWidth="1"/>
    <col min="2315" max="2316" width="7" style="16" bestFit="1" customWidth="1"/>
    <col min="2317" max="2317" width="6.85546875" style="16" bestFit="1" customWidth="1"/>
    <col min="2318" max="2318" width="7" style="16" bestFit="1" customWidth="1"/>
    <col min="2319" max="2319" width="7.140625" style="16" bestFit="1"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21.140625" style="16" customWidth="1"/>
    <col min="2563" max="2563" width="8.85546875" style="16" customWidth="1"/>
    <col min="2564" max="2564" width="6.7109375" style="16" bestFit="1" customWidth="1"/>
    <col min="2565" max="2565" width="8.5703125" style="16" bestFit="1" customWidth="1"/>
    <col min="2566" max="2568" width="8.140625" style="16" customWidth="1"/>
    <col min="2569" max="2569" width="7.140625" style="16" bestFit="1" customWidth="1"/>
    <col min="2570" max="2570" width="8" style="16" customWidth="1"/>
    <col min="2571" max="2572" width="7" style="16" bestFit="1" customWidth="1"/>
    <col min="2573" max="2573" width="6.85546875" style="16" bestFit="1" customWidth="1"/>
    <col min="2574" max="2574" width="7" style="16" bestFit="1" customWidth="1"/>
    <col min="2575" max="2575" width="7.140625" style="16" bestFit="1"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21.140625" style="16" customWidth="1"/>
    <col min="2819" max="2819" width="8.85546875" style="16" customWidth="1"/>
    <col min="2820" max="2820" width="6.7109375" style="16" bestFit="1" customWidth="1"/>
    <col min="2821" max="2821" width="8.5703125" style="16" bestFit="1" customWidth="1"/>
    <col min="2822" max="2824" width="8.140625" style="16" customWidth="1"/>
    <col min="2825" max="2825" width="7.140625" style="16" bestFit="1" customWidth="1"/>
    <col min="2826" max="2826" width="8" style="16" customWidth="1"/>
    <col min="2827" max="2828" width="7" style="16" bestFit="1" customWidth="1"/>
    <col min="2829" max="2829" width="6.85546875" style="16" bestFit="1" customWidth="1"/>
    <col min="2830" max="2830" width="7" style="16" bestFit="1" customWidth="1"/>
    <col min="2831" max="2831" width="7.140625" style="16" bestFit="1"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21.140625" style="16" customWidth="1"/>
    <col min="3075" max="3075" width="8.85546875" style="16" customWidth="1"/>
    <col min="3076" max="3076" width="6.7109375" style="16" bestFit="1" customWidth="1"/>
    <col min="3077" max="3077" width="8.5703125" style="16" bestFit="1" customWidth="1"/>
    <col min="3078" max="3080" width="8.140625" style="16" customWidth="1"/>
    <col min="3081" max="3081" width="7.140625" style="16" bestFit="1" customWidth="1"/>
    <col min="3082" max="3082" width="8" style="16" customWidth="1"/>
    <col min="3083" max="3084" width="7" style="16" bestFit="1" customWidth="1"/>
    <col min="3085" max="3085" width="6.85546875" style="16" bestFit="1" customWidth="1"/>
    <col min="3086" max="3086" width="7" style="16" bestFit="1" customWidth="1"/>
    <col min="3087" max="3087" width="7.140625" style="16" bestFit="1"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21.140625" style="16" customWidth="1"/>
    <col min="3331" max="3331" width="8.85546875" style="16" customWidth="1"/>
    <col min="3332" max="3332" width="6.7109375" style="16" bestFit="1" customWidth="1"/>
    <col min="3333" max="3333" width="8.5703125" style="16" bestFit="1" customWidth="1"/>
    <col min="3334" max="3336" width="8.140625" style="16" customWidth="1"/>
    <col min="3337" max="3337" width="7.140625" style="16" bestFit="1" customWidth="1"/>
    <col min="3338" max="3338" width="8" style="16" customWidth="1"/>
    <col min="3339" max="3340" width="7" style="16" bestFit="1" customWidth="1"/>
    <col min="3341" max="3341" width="6.85546875" style="16" bestFit="1" customWidth="1"/>
    <col min="3342" max="3342" width="7" style="16" bestFit="1" customWidth="1"/>
    <col min="3343" max="3343" width="7.140625" style="16" bestFit="1"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21.140625" style="16" customWidth="1"/>
    <col min="3587" max="3587" width="8.85546875" style="16" customWidth="1"/>
    <col min="3588" max="3588" width="6.7109375" style="16" bestFit="1" customWidth="1"/>
    <col min="3589" max="3589" width="8.5703125" style="16" bestFit="1" customWidth="1"/>
    <col min="3590" max="3592" width="8.140625" style="16" customWidth="1"/>
    <col min="3593" max="3593" width="7.140625" style="16" bestFit="1" customWidth="1"/>
    <col min="3594" max="3594" width="8" style="16" customWidth="1"/>
    <col min="3595" max="3596" width="7" style="16" bestFit="1" customWidth="1"/>
    <col min="3597" max="3597" width="6.85546875" style="16" bestFit="1" customWidth="1"/>
    <col min="3598" max="3598" width="7" style="16" bestFit="1" customWidth="1"/>
    <col min="3599" max="3599" width="7.140625" style="16" bestFit="1"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21.140625" style="16" customWidth="1"/>
    <col min="3843" max="3843" width="8.85546875" style="16" customWidth="1"/>
    <col min="3844" max="3844" width="6.7109375" style="16" bestFit="1" customWidth="1"/>
    <col min="3845" max="3845" width="8.5703125" style="16" bestFit="1" customWidth="1"/>
    <col min="3846" max="3848" width="8.140625" style="16" customWidth="1"/>
    <col min="3849" max="3849" width="7.140625" style="16" bestFit="1" customWidth="1"/>
    <col min="3850" max="3850" width="8" style="16" customWidth="1"/>
    <col min="3851" max="3852" width="7" style="16" bestFit="1" customWidth="1"/>
    <col min="3853" max="3853" width="6.85546875" style="16" bestFit="1" customWidth="1"/>
    <col min="3854" max="3854" width="7" style="16" bestFit="1" customWidth="1"/>
    <col min="3855" max="3855" width="7.140625" style="16" bestFit="1"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21.140625" style="16" customWidth="1"/>
    <col min="4099" max="4099" width="8.85546875" style="16" customWidth="1"/>
    <col min="4100" max="4100" width="6.7109375" style="16" bestFit="1" customWidth="1"/>
    <col min="4101" max="4101" width="8.5703125" style="16" bestFit="1" customWidth="1"/>
    <col min="4102" max="4104" width="8.140625" style="16" customWidth="1"/>
    <col min="4105" max="4105" width="7.140625" style="16" bestFit="1" customWidth="1"/>
    <col min="4106" max="4106" width="8" style="16" customWidth="1"/>
    <col min="4107" max="4108" width="7" style="16" bestFit="1" customWidth="1"/>
    <col min="4109" max="4109" width="6.85546875" style="16" bestFit="1" customWidth="1"/>
    <col min="4110" max="4110" width="7" style="16" bestFit="1" customWidth="1"/>
    <col min="4111" max="4111" width="7.140625" style="16" bestFit="1"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21.140625" style="16" customWidth="1"/>
    <col min="4355" max="4355" width="8.85546875" style="16" customWidth="1"/>
    <col min="4356" max="4356" width="6.7109375" style="16" bestFit="1" customWidth="1"/>
    <col min="4357" max="4357" width="8.5703125" style="16" bestFit="1" customWidth="1"/>
    <col min="4358" max="4360" width="8.140625" style="16" customWidth="1"/>
    <col min="4361" max="4361" width="7.140625" style="16" bestFit="1" customWidth="1"/>
    <col min="4362" max="4362" width="8" style="16" customWidth="1"/>
    <col min="4363" max="4364" width="7" style="16" bestFit="1" customWidth="1"/>
    <col min="4365" max="4365" width="6.85546875" style="16" bestFit="1" customWidth="1"/>
    <col min="4366" max="4366" width="7" style="16" bestFit="1" customWidth="1"/>
    <col min="4367" max="4367" width="7.140625" style="16" bestFit="1"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21.140625" style="16" customWidth="1"/>
    <col min="4611" max="4611" width="8.85546875" style="16" customWidth="1"/>
    <col min="4612" max="4612" width="6.7109375" style="16" bestFit="1" customWidth="1"/>
    <col min="4613" max="4613" width="8.5703125" style="16" bestFit="1" customWidth="1"/>
    <col min="4614" max="4616" width="8.140625" style="16" customWidth="1"/>
    <col min="4617" max="4617" width="7.140625" style="16" bestFit="1" customWidth="1"/>
    <col min="4618" max="4618" width="8" style="16" customWidth="1"/>
    <col min="4619" max="4620" width="7" style="16" bestFit="1" customWidth="1"/>
    <col min="4621" max="4621" width="6.85546875" style="16" bestFit="1" customWidth="1"/>
    <col min="4622" max="4622" width="7" style="16" bestFit="1" customWidth="1"/>
    <col min="4623" max="4623" width="7.140625" style="16" bestFit="1"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21.140625" style="16" customWidth="1"/>
    <col min="4867" max="4867" width="8.85546875" style="16" customWidth="1"/>
    <col min="4868" max="4868" width="6.7109375" style="16" bestFit="1" customWidth="1"/>
    <col min="4869" max="4869" width="8.5703125" style="16" bestFit="1" customWidth="1"/>
    <col min="4870" max="4872" width="8.140625" style="16" customWidth="1"/>
    <col min="4873" max="4873" width="7.140625" style="16" bestFit="1" customWidth="1"/>
    <col min="4874" max="4874" width="8" style="16" customWidth="1"/>
    <col min="4875" max="4876" width="7" style="16" bestFit="1" customWidth="1"/>
    <col min="4877" max="4877" width="6.85546875" style="16" bestFit="1" customWidth="1"/>
    <col min="4878" max="4878" width="7" style="16" bestFit="1" customWidth="1"/>
    <col min="4879" max="4879" width="7.140625" style="16" bestFit="1"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21.140625" style="16" customWidth="1"/>
    <col min="5123" max="5123" width="8.85546875" style="16" customWidth="1"/>
    <col min="5124" max="5124" width="6.7109375" style="16" bestFit="1" customWidth="1"/>
    <col min="5125" max="5125" width="8.5703125" style="16" bestFit="1" customWidth="1"/>
    <col min="5126" max="5128" width="8.140625" style="16" customWidth="1"/>
    <col min="5129" max="5129" width="7.140625" style="16" bestFit="1" customWidth="1"/>
    <col min="5130" max="5130" width="8" style="16" customWidth="1"/>
    <col min="5131" max="5132" width="7" style="16" bestFit="1" customWidth="1"/>
    <col min="5133" max="5133" width="6.85546875" style="16" bestFit="1" customWidth="1"/>
    <col min="5134" max="5134" width="7" style="16" bestFit="1" customWidth="1"/>
    <col min="5135" max="5135" width="7.140625" style="16" bestFit="1"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21.140625" style="16" customWidth="1"/>
    <col min="5379" max="5379" width="8.85546875" style="16" customWidth="1"/>
    <col min="5380" max="5380" width="6.7109375" style="16" bestFit="1" customWidth="1"/>
    <col min="5381" max="5381" width="8.5703125" style="16" bestFit="1" customWidth="1"/>
    <col min="5382" max="5384" width="8.140625" style="16" customWidth="1"/>
    <col min="5385" max="5385" width="7.140625" style="16" bestFit="1" customWidth="1"/>
    <col min="5386" max="5386" width="8" style="16" customWidth="1"/>
    <col min="5387" max="5388" width="7" style="16" bestFit="1" customWidth="1"/>
    <col min="5389" max="5389" width="6.85546875" style="16" bestFit="1" customWidth="1"/>
    <col min="5390" max="5390" width="7" style="16" bestFit="1" customWidth="1"/>
    <col min="5391" max="5391" width="7.140625" style="16" bestFit="1"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21.140625" style="16" customWidth="1"/>
    <col min="5635" max="5635" width="8.85546875" style="16" customWidth="1"/>
    <col min="5636" max="5636" width="6.7109375" style="16" bestFit="1" customWidth="1"/>
    <col min="5637" max="5637" width="8.5703125" style="16" bestFit="1" customWidth="1"/>
    <col min="5638" max="5640" width="8.140625" style="16" customWidth="1"/>
    <col min="5641" max="5641" width="7.140625" style="16" bestFit="1" customWidth="1"/>
    <col min="5642" max="5642" width="8" style="16" customWidth="1"/>
    <col min="5643" max="5644" width="7" style="16" bestFit="1" customWidth="1"/>
    <col min="5645" max="5645" width="6.85546875" style="16" bestFit="1" customWidth="1"/>
    <col min="5646" max="5646" width="7" style="16" bestFit="1" customWidth="1"/>
    <col min="5647" max="5647" width="7.140625" style="16" bestFit="1"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21.140625" style="16" customWidth="1"/>
    <col min="5891" max="5891" width="8.85546875" style="16" customWidth="1"/>
    <col min="5892" max="5892" width="6.7109375" style="16" bestFit="1" customWidth="1"/>
    <col min="5893" max="5893" width="8.5703125" style="16" bestFit="1" customWidth="1"/>
    <col min="5894" max="5896" width="8.140625" style="16" customWidth="1"/>
    <col min="5897" max="5897" width="7.140625" style="16" bestFit="1" customWidth="1"/>
    <col min="5898" max="5898" width="8" style="16" customWidth="1"/>
    <col min="5899" max="5900" width="7" style="16" bestFit="1" customWidth="1"/>
    <col min="5901" max="5901" width="6.85546875" style="16" bestFit="1" customWidth="1"/>
    <col min="5902" max="5902" width="7" style="16" bestFit="1" customWidth="1"/>
    <col min="5903" max="5903" width="7.140625" style="16" bestFit="1"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21.140625" style="16" customWidth="1"/>
    <col min="6147" max="6147" width="8.85546875" style="16" customWidth="1"/>
    <col min="6148" max="6148" width="6.7109375" style="16" bestFit="1" customWidth="1"/>
    <col min="6149" max="6149" width="8.5703125" style="16" bestFit="1" customWidth="1"/>
    <col min="6150" max="6152" width="8.140625" style="16" customWidth="1"/>
    <col min="6153" max="6153" width="7.140625" style="16" bestFit="1" customWidth="1"/>
    <col min="6154" max="6154" width="8" style="16" customWidth="1"/>
    <col min="6155" max="6156" width="7" style="16" bestFit="1" customWidth="1"/>
    <col min="6157" max="6157" width="6.85546875" style="16" bestFit="1" customWidth="1"/>
    <col min="6158" max="6158" width="7" style="16" bestFit="1" customWidth="1"/>
    <col min="6159" max="6159" width="7.140625" style="16" bestFit="1"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21.140625" style="16" customWidth="1"/>
    <col min="6403" max="6403" width="8.85546875" style="16" customWidth="1"/>
    <col min="6404" max="6404" width="6.7109375" style="16" bestFit="1" customWidth="1"/>
    <col min="6405" max="6405" width="8.5703125" style="16" bestFit="1" customWidth="1"/>
    <col min="6406" max="6408" width="8.140625" style="16" customWidth="1"/>
    <col min="6409" max="6409" width="7.140625" style="16" bestFit="1" customWidth="1"/>
    <col min="6410" max="6410" width="8" style="16" customWidth="1"/>
    <col min="6411" max="6412" width="7" style="16" bestFit="1" customWidth="1"/>
    <col min="6413" max="6413" width="6.85546875" style="16" bestFit="1" customWidth="1"/>
    <col min="6414" max="6414" width="7" style="16" bestFit="1" customWidth="1"/>
    <col min="6415" max="6415" width="7.140625" style="16" bestFit="1"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21.140625" style="16" customWidth="1"/>
    <col min="6659" max="6659" width="8.85546875" style="16" customWidth="1"/>
    <col min="6660" max="6660" width="6.7109375" style="16" bestFit="1" customWidth="1"/>
    <col min="6661" max="6661" width="8.5703125" style="16" bestFit="1" customWidth="1"/>
    <col min="6662" max="6664" width="8.140625" style="16" customWidth="1"/>
    <col min="6665" max="6665" width="7.140625" style="16" bestFit="1" customWidth="1"/>
    <col min="6666" max="6666" width="8" style="16" customWidth="1"/>
    <col min="6667" max="6668" width="7" style="16" bestFit="1" customWidth="1"/>
    <col min="6669" max="6669" width="6.85546875" style="16" bestFit="1" customWidth="1"/>
    <col min="6670" max="6670" width="7" style="16" bestFit="1" customWidth="1"/>
    <col min="6671" max="6671" width="7.140625" style="16" bestFit="1"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21.140625" style="16" customWidth="1"/>
    <col min="6915" max="6915" width="8.85546875" style="16" customWidth="1"/>
    <col min="6916" max="6916" width="6.7109375" style="16" bestFit="1" customWidth="1"/>
    <col min="6917" max="6917" width="8.5703125" style="16" bestFit="1" customWidth="1"/>
    <col min="6918" max="6920" width="8.140625" style="16" customWidth="1"/>
    <col min="6921" max="6921" width="7.140625" style="16" bestFit="1" customWidth="1"/>
    <col min="6922" max="6922" width="8" style="16" customWidth="1"/>
    <col min="6923" max="6924" width="7" style="16" bestFit="1" customWidth="1"/>
    <col min="6925" max="6925" width="6.85546875" style="16" bestFit="1" customWidth="1"/>
    <col min="6926" max="6926" width="7" style="16" bestFit="1" customWidth="1"/>
    <col min="6927" max="6927" width="7.140625" style="16" bestFit="1"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21.140625" style="16" customWidth="1"/>
    <col min="7171" max="7171" width="8.85546875" style="16" customWidth="1"/>
    <col min="7172" max="7172" width="6.7109375" style="16" bestFit="1" customWidth="1"/>
    <col min="7173" max="7173" width="8.5703125" style="16" bestFit="1" customWidth="1"/>
    <col min="7174" max="7176" width="8.140625" style="16" customWidth="1"/>
    <col min="7177" max="7177" width="7.140625" style="16" bestFit="1" customWidth="1"/>
    <col min="7178" max="7178" width="8" style="16" customWidth="1"/>
    <col min="7179" max="7180" width="7" style="16" bestFit="1" customWidth="1"/>
    <col min="7181" max="7181" width="6.85546875" style="16" bestFit="1" customWidth="1"/>
    <col min="7182" max="7182" width="7" style="16" bestFit="1" customWidth="1"/>
    <col min="7183" max="7183" width="7.140625" style="16" bestFit="1"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21.140625" style="16" customWidth="1"/>
    <col min="7427" max="7427" width="8.85546875" style="16" customWidth="1"/>
    <col min="7428" max="7428" width="6.7109375" style="16" bestFit="1" customWidth="1"/>
    <col min="7429" max="7429" width="8.5703125" style="16" bestFit="1" customWidth="1"/>
    <col min="7430" max="7432" width="8.140625" style="16" customWidth="1"/>
    <col min="7433" max="7433" width="7.140625" style="16" bestFit="1" customWidth="1"/>
    <col min="7434" max="7434" width="8" style="16" customWidth="1"/>
    <col min="7435" max="7436" width="7" style="16" bestFit="1" customWidth="1"/>
    <col min="7437" max="7437" width="6.85546875" style="16" bestFit="1" customWidth="1"/>
    <col min="7438" max="7438" width="7" style="16" bestFit="1" customWidth="1"/>
    <col min="7439" max="7439" width="7.140625" style="16" bestFit="1"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21.140625" style="16" customWidth="1"/>
    <col min="7683" max="7683" width="8.85546875" style="16" customWidth="1"/>
    <col min="7684" max="7684" width="6.7109375" style="16" bestFit="1" customWidth="1"/>
    <col min="7685" max="7685" width="8.5703125" style="16" bestFit="1" customWidth="1"/>
    <col min="7686" max="7688" width="8.140625" style="16" customWidth="1"/>
    <col min="7689" max="7689" width="7.140625" style="16" bestFit="1" customWidth="1"/>
    <col min="7690" max="7690" width="8" style="16" customWidth="1"/>
    <col min="7691" max="7692" width="7" style="16" bestFit="1" customWidth="1"/>
    <col min="7693" max="7693" width="6.85546875" style="16" bestFit="1" customWidth="1"/>
    <col min="7694" max="7694" width="7" style="16" bestFit="1" customWidth="1"/>
    <col min="7695" max="7695" width="7.140625" style="16" bestFit="1"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21.140625" style="16" customWidth="1"/>
    <col min="7939" max="7939" width="8.85546875" style="16" customWidth="1"/>
    <col min="7940" max="7940" width="6.7109375" style="16" bestFit="1" customWidth="1"/>
    <col min="7941" max="7941" width="8.5703125" style="16" bestFit="1" customWidth="1"/>
    <col min="7942" max="7944" width="8.140625" style="16" customWidth="1"/>
    <col min="7945" max="7945" width="7.140625" style="16" bestFit="1" customWidth="1"/>
    <col min="7946" max="7946" width="8" style="16" customWidth="1"/>
    <col min="7947" max="7948" width="7" style="16" bestFit="1" customWidth="1"/>
    <col min="7949" max="7949" width="6.85546875" style="16" bestFit="1" customWidth="1"/>
    <col min="7950" max="7950" width="7" style="16" bestFit="1" customWidth="1"/>
    <col min="7951" max="7951" width="7.140625" style="16" bestFit="1"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21.140625" style="16" customWidth="1"/>
    <col min="8195" max="8195" width="8.85546875" style="16" customWidth="1"/>
    <col min="8196" max="8196" width="6.7109375" style="16" bestFit="1" customWidth="1"/>
    <col min="8197" max="8197" width="8.5703125" style="16" bestFit="1" customWidth="1"/>
    <col min="8198" max="8200" width="8.140625" style="16" customWidth="1"/>
    <col min="8201" max="8201" width="7.140625" style="16" bestFit="1" customWidth="1"/>
    <col min="8202" max="8202" width="8" style="16" customWidth="1"/>
    <col min="8203" max="8204" width="7" style="16" bestFit="1" customWidth="1"/>
    <col min="8205" max="8205" width="6.85546875" style="16" bestFit="1" customWidth="1"/>
    <col min="8206" max="8206" width="7" style="16" bestFit="1" customWidth="1"/>
    <col min="8207" max="8207" width="7.140625" style="16" bestFit="1"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21.140625" style="16" customWidth="1"/>
    <col min="8451" max="8451" width="8.85546875" style="16" customWidth="1"/>
    <col min="8452" max="8452" width="6.7109375" style="16" bestFit="1" customWidth="1"/>
    <col min="8453" max="8453" width="8.5703125" style="16" bestFit="1" customWidth="1"/>
    <col min="8454" max="8456" width="8.140625" style="16" customWidth="1"/>
    <col min="8457" max="8457" width="7.140625" style="16" bestFit="1" customWidth="1"/>
    <col min="8458" max="8458" width="8" style="16" customWidth="1"/>
    <col min="8459" max="8460" width="7" style="16" bestFit="1" customWidth="1"/>
    <col min="8461" max="8461" width="6.85546875" style="16" bestFit="1" customWidth="1"/>
    <col min="8462" max="8462" width="7" style="16" bestFit="1" customWidth="1"/>
    <col min="8463" max="8463" width="7.140625" style="16" bestFit="1"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21.140625" style="16" customWidth="1"/>
    <col min="8707" max="8707" width="8.85546875" style="16" customWidth="1"/>
    <col min="8708" max="8708" width="6.7109375" style="16" bestFit="1" customWidth="1"/>
    <col min="8709" max="8709" width="8.5703125" style="16" bestFit="1" customWidth="1"/>
    <col min="8710" max="8712" width="8.140625" style="16" customWidth="1"/>
    <col min="8713" max="8713" width="7.140625" style="16" bestFit="1" customWidth="1"/>
    <col min="8714" max="8714" width="8" style="16" customWidth="1"/>
    <col min="8715" max="8716" width="7" style="16" bestFit="1" customWidth="1"/>
    <col min="8717" max="8717" width="6.85546875" style="16" bestFit="1" customWidth="1"/>
    <col min="8718" max="8718" width="7" style="16" bestFit="1" customWidth="1"/>
    <col min="8719" max="8719" width="7.140625" style="16" bestFit="1"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21.140625" style="16" customWidth="1"/>
    <col min="8963" max="8963" width="8.85546875" style="16" customWidth="1"/>
    <col min="8964" max="8964" width="6.7109375" style="16" bestFit="1" customWidth="1"/>
    <col min="8965" max="8965" width="8.5703125" style="16" bestFit="1" customWidth="1"/>
    <col min="8966" max="8968" width="8.140625" style="16" customWidth="1"/>
    <col min="8969" max="8969" width="7.140625" style="16" bestFit="1" customWidth="1"/>
    <col min="8970" max="8970" width="8" style="16" customWidth="1"/>
    <col min="8971" max="8972" width="7" style="16" bestFit="1" customWidth="1"/>
    <col min="8973" max="8973" width="6.85546875" style="16" bestFit="1" customWidth="1"/>
    <col min="8974" max="8974" width="7" style="16" bestFit="1" customWidth="1"/>
    <col min="8975" max="8975" width="7.140625" style="16" bestFit="1"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21.140625" style="16" customWidth="1"/>
    <col min="9219" max="9219" width="8.85546875" style="16" customWidth="1"/>
    <col min="9220" max="9220" width="6.7109375" style="16" bestFit="1" customWidth="1"/>
    <col min="9221" max="9221" width="8.5703125" style="16" bestFit="1" customWidth="1"/>
    <col min="9222" max="9224" width="8.140625" style="16" customWidth="1"/>
    <col min="9225" max="9225" width="7.140625" style="16" bestFit="1" customWidth="1"/>
    <col min="9226" max="9226" width="8" style="16" customWidth="1"/>
    <col min="9227" max="9228" width="7" style="16" bestFit="1" customWidth="1"/>
    <col min="9229" max="9229" width="6.85546875" style="16" bestFit="1" customWidth="1"/>
    <col min="9230" max="9230" width="7" style="16" bestFit="1" customWidth="1"/>
    <col min="9231" max="9231" width="7.140625" style="16" bestFit="1"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21.140625" style="16" customWidth="1"/>
    <col min="9475" max="9475" width="8.85546875" style="16" customWidth="1"/>
    <col min="9476" max="9476" width="6.7109375" style="16" bestFit="1" customWidth="1"/>
    <col min="9477" max="9477" width="8.5703125" style="16" bestFit="1" customWidth="1"/>
    <col min="9478" max="9480" width="8.140625" style="16" customWidth="1"/>
    <col min="9481" max="9481" width="7.140625" style="16" bestFit="1" customWidth="1"/>
    <col min="9482" max="9482" width="8" style="16" customWidth="1"/>
    <col min="9483" max="9484" width="7" style="16" bestFit="1" customWidth="1"/>
    <col min="9485" max="9485" width="6.85546875" style="16" bestFit="1" customWidth="1"/>
    <col min="9486" max="9486" width="7" style="16" bestFit="1" customWidth="1"/>
    <col min="9487" max="9487" width="7.140625" style="16" bestFit="1"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21.140625" style="16" customWidth="1"/>
    <col min="9731" max="9731" width="8.85546875" style="16" customWidth="1"/>
    <col min="9732" max="9732" width="6.7109375" style="16" bestFit="1" customWidth="1"/>
    <col min="9733" max="9733" width="8.5703125" style="16" bestFit="1" customWidth="1"/>
    <col min="9734" max="9736" width="8.140625" style="16" customWidth="1"/>
    <col min="9737" max="9737" width="7.140625" style="16" bestFit="1" customWidth="1"/>
    <col min="9738" max="9738" width="8" style="16" customWidth="1"/>
    <col min="9739" max="9740" width="7" style="16" bestFit="1" customWidth="1"/>
    <col min="9741" max="9741" width="6.85546875" style="16" bestFit="1" customWidth="1"/>
    <col min="9742" max="9742" width="7" style="16" bestFit="1" customWidth="1"/>
    <col min="9743" max="9743" width="7.140625" style="16" bestFit="1"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21.140625" style="16" customWidth="1"/>
    <col min="9987" max="9987" width="8.85546875" style="16" customWidth="1"/>
    <col min="9988" max="9988" width="6.7109375" style="16" bestFit="1" customWidth="1"/>
    <col min="9989" max="9989" width="8.5703125" style="16" bestFit="1" customWidth="1"/>
    <col min="9990" max="9992" width="8.140625" style="16" customWidth="1"/>
    <col min="9993" max="9993" width="7.140625" style="16" bestFit="1" customWidth="1"/>
    <col min="9994" max="9994" width="8" style="16" customWidth="1"/>
    <col min="9995" max="9996" width="7" style="16" bestFit="1" customWidth="1"/>
    <col min="9997" max="9997" width="6.85546875" style="16" bestFit="1" customWidth="1"/>
    <col min="9998" max="9998" width="7" style="16" bestFit="1" customWidth="1"/>
    <col min="9999" max="9999" width="7.140625" style="16" bestFit="1"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21.140625" style="16" customWidth="1"/>
    <col min="10243" max="10243" width="8.85546875" style="16" customWidth="1"/>
    <col min="10244" max="10244" width="6.7109375" style="16" bestFit="1" customWidth="1"/>
    <col min="10245" max="10245" width="8.5703125" style="16" bestFit="1" customWidth="1"/>
    <col min="10246" max="10248" width="8.140625" style="16" customWidth="1"/>
    <col min="10249" max="10249" width="7.140625" style="16" bestFit="1" customWidth="1"/>
    <col min="10250" max="10250" width="8" style="16" customWidth="1"/>
    <col min="10251" max="10252" width="7" style="16" bestFit="1" customWidth="1"/>
    <col min="10253" max="10253" width="6.85546875" style="16" bestFit="1" customWidth="1"/>
    <col min="10254" max="10254" width="7" style="16" bestFit="1" customWidth="1"/>
    <col min="10255" max="10255" width="7.140625" style="16" bestFit="1"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21.140625" style="16" customWidth="1"/>
    <col min="10499" max="10499" width="8.85546875" style="16" customWidth="1"/>
    <col min="10500" max="10500" width="6.7109375" style="16" bestFit="1" customWidth="1"/>
    <col min="10501" max="10501" width="8.5703125" style="16" bestFit="1" customWidth="1"/>
    <col min="10502" max="10504" width="8.140625" style="16" customWidth="1"/>
    <col min="10505" max="10505" width="7.140625" style="16" bestFit="1" customWidth="1"/>
    <col min="10506" max="10506" width="8" style="16" customWidth="1"/>
    <col min="10507" max="10508" width="7" style="16" bestFit="1" customWidth="1"/>
    <col min="10509" max="10509" width="6.85546875" style="16" bestFit="1" customWidth="1"/>
    <col min="10510" max="10510" width="7" style="16" bestFit="1" customWidth="1"/>
    <col min="10511" max="10511" width="7.140625" style="16" bestFit="1"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21.140625" style="16" customWidth="1"/>
    <col min="10755" max="10755" width="8.85546875" style="16" customWidth="1"/>
    <col min="10756" max="10756" width="6.7109375" style="16" bestFit="1" customWidth="1"/>
    <col min="10757" max="10757" width="8.5703125" style="16" bestFit="1" customWidth="1"/>
    <col min="10758" max="10760" width="8.140625" style="16" customWidth="1"/>
    <col min="10761" max="10761" width="7.140625" style="16" bestFit="1" customWidth="1"/>
    <col min="10762" max="10762" width="8" style="16" customWidth="1"/>
    <col min="10763" max="10764" width="7" style="16" bestFit="1" customWidth="1"/>
    <col min="10765" max="10765" width="6.85546875" style="16" bestFit="1" customWidth="1"/>
    <col min="10766" max="10766" width="7" style="16" bestFit="1" customWidth="1"/>
    <col min="10767" max="10767" width="7.140625" style="16" bestFit="1"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21.140625" style="16" customWidth="1"/>
    <col min="11011" max="11011" width="8.85546875" style="16" customWidth="1"/>
    <col min="11012" max="11012" width="6.7109375" style="16" bestFit="1" customWidth="1"/>
    <col min="11013" max="11013" width="8.5703125" style="16" bestFit="1" customWidth="1"/>
    <col min="11014" max="11016" width="8.140625" style="16" customWidth="1"/>
    <col min="11017" max="11017" width="7.140625" style="16" bestFit="1" customWidth="1"/>
    <col min="11018" max="11018" width="8" style="16" customWidth="1"/>
    <col min="11019" max="11020" width="7" style="16" bestFit="1" customWidth="1"/>
    <col min="11021" max="11021" width="6.85546875" style="16" bestFit="1" customWidth="1"/>
    <col min="11022" max="11022" width="7" style="16" bestFit="1" customWidth="1"/>
    <col min="11023" max="11023" width="7.140625" style="16" bestFit="1"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21.140625" style="16" customWidth="1"/>
    <col min="11267" max="11267" width="8.85546875" style="16" customWidth="1"/>
    <col min="11268" max="11268" width="6.7109375" style="16" bestFit="1" customWidth="1"/>
    <col min="11269" max="11269" width="8.5703125" style="16" bestFit="1" customWidth="1"/>
    <col min="11270" max="11272" width="8.140625" style="16" customWidth="1"/>
    <col min="11273" max="11273" width="7.140625" style="16" bestFit="1" customWidth="1"/>
    <col min="11274" max="11274" width="8" style="16" customWidth="1"/>
    <col min="11275" max="11276" width="7" style="16" bestFit="1" customWidth="1"/>
    <col min="11277" max="11277" width="6.85546875" style="16" bestFit="1" customWidth="1"/>
    <col min="11278" max="11278" width="7" style="16" bestFit="1" customWidth="1"/>
    <col min="11279" max="11279" width="7.140625" style="16" bestFit="1"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21.140625" style="16" customWidth="1"/>
    <col min="11523" max="11523" width="8.85546875" style="16" customWidth="1"/>
    <col min="11524" max="11524" width="6.7109375" style="16" bestFit="1" customWidth="1"/>
    <col min="11525" max="11525" width="8.5703125" style="16" bestFit="1" customWidth="1"/>
    <col min="11526" max="11528" width="8.140625" style="16" customWidth="1"/>
    <col min="11529" max="11529" width="7.140625" style="16" bestFit="1" customWidth="1"/>
    <col min="11530" max="11530" width="8" style="16" customWidth="1"/>
    <col min="11531" max="11532" width="7" style="16" bestFit="1" customWidth="1"/>
    <col min="11533" max="11533" width="6.85546875" style="16" bestFit="1" customWidth="1"/>
    <col min="11534" max="11534" width="7" style="16" bestFit="1" customWidth="1"/>
    <col min="11535" max="11535" width="7.140625" style="16" bestFit="1"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21.140625" style="16" customWidth="1"/>
    <col min="11779" max="11779" width="8.85546875" style="16" customWidth="1"/>
    <col min="11780" max="11780" width="6.7109375" style="16" bestFit="1" customWidth="1"/>
    <col min="11781" max="11781" width="8.5703125" style="16" bestFit="1" customWidth="1"/>
    <col min="11782" max="11784" width="8.140625" style="16" customWidth="1"/>
    <col min="11785" max="11785" width="7.140625" style="16" bestFit="1" customWidth="1"/>
    <col min="11786" max="11786" width="8" style="16" customWidth="1"/>
    <col min="11787" max="11788" width="7" style="16" bestFit="1" customWidth="1"/>
    <col min="11789" max="11789" width="6.85546875" style="16" bestFit="1" customWidth="1"/>
    <col min="11790" max="11790" width="7" style="16" bestFit="1" customWidth="1"/>
    <col min="11791" max="11791" width="7.140625" style="16" bestFit="1"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21.140625" style="16" customWidth="1"/>
    <col min="12035" max="12035" width="8.85546875" style="16" customWidth="1"/>
    <col min="12036" max="12036" width="6.7109375" style="16" bestFit="1" customWidth="1"/>
    <col min="12037" max="12037" width="8.5703125" style="16" bestFit="1" customWidth="1"/>
    <col min="12038" max="12040" width="8.140625" style="16" customWidth="1"/>
    <col min="12041" max="12041" width="7.140625" style="16" bestFit="1" customWidth="1"/>
    <col min="12042" max="12042" width="8" style="16" customWidth="1"/>
    <col min="12043" max="12044" width="7" style="16" bestFit="1" customWidth="1"/>
    <col min="12045" max="12045" width="6.85546875" style="16" bestFit="1" customWidth="1"/>
    <col min="12046" max="12046" width="7" style="16" bestFit="1" customWidth="1"/>
    <col min="12047" max="12047" width="7.140625" style="16" bestFit="1"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21.140625" style="16" customWidth="1"/>
    <col min="12291" max="12291" width="8.85546875" style="16" customWidth="1"/>
    <col min="12292" max="12292" width="6.7109375" style="16" bestFit="1" customWidth="1"/>
    <col min="12293" max="12293" width="8.5703125" style="16" bestFit="1" customWidth="1"/>
    <col min="12294" max="12296" width="8.140625" style="16" customWidth="1"/>
    <col min="12297" max="12297" width="7.140625" style="16" bestFit="1" customWidth="1"/>
    <col min="12298" max="12298" width="8" style="16" customWidth="1"/>
    <col min="12299" max="12300" width="7" style="16" bestFit="1" customWidth="1"/>
    <col min="12301" max="12301" width="6.85546875" style="16" bestFit="1" customWidth="1"/>
    <col min="12302" max="12302" width="7" style="16" bestFit="1" customWidth="1"/>
    <col min="12303" max="12303" width="7.140625" style="16" bestFit="1"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21.140625" style="16" customWidth="1"/>
    <col min="12547" max="12547" width="8.85546875" style="16" customWidth="1"/>
    <col min="12548" max="12548" width="6.7109375" style="16" bestFit="1" customWidth="1"/>
    <col min="12549" max="12549" width="8.5703125" style="16" bestFit="1" customWidth="1"/>
    <col min="12550" max="12552" width="8.140625" style="16" customWidth="1"/>
    <col min="12553" max="12553" width="7.140625" style="16" bestFit="1" customWidth="1"/>
    <col min="12554" max="12554" width="8" style="16" customWidth="1"/>
    <col min="12555" max="12556" width="7" style="16" bestFit="1" customWidth="1"/>
    <col min="12557" max="12557" width="6.85546875" style="16" bestFit="1" customWidth="1"/>
    <col min="12558" max="12558" width="7" style="16" bestFit="1" customWidth="1"/>
    <col min="12559" max="12559" width="7.140625" style="16" bestFit="1"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21.140625" style="16" customWidth="1"/>
    <col min="12803" max="12803" width="8.85546875" style="16" customWidth="1"/>
    <col min="12804" max="12804" width="6.7109375" style="16" bestFit="1" customWidth="1"/>
    <col min="12805" max="12805" width="8.5703125" style="16" bestFit="1" customWidth="1"/>
    <col min="12806" max="12808" width="8.140625" style="16" customWidth="1"/>
    <col min="12809" max="12809" width="7.140625" style="16" bestFit="1" customWidth="1"/>
    <col min="12810" max="12810" width="8" style="16" customWidth="1"/>
    <col min="12811" max="12812" width="7" style="16" bestFit="1" customWidth="1"/>
    <col min="12813" max="12813" width="6.85546875" style="16" bestFit="1" customWidth="1"/>
    <col min="12814" max="12814" width="7" style="16" bestFit="1" customWidth="1"/>
    <col min="12815" max="12815" width="7.140625" style="16" bestFit="1"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21.140625" style="16" customWidth="1"/>
    <col min="13059" max="13059" width="8.85546875" style="16" customWidth="1"/>
    <col min="13060" max="13060" width="6.7109375" style="16" bestFit="1" customWidth="1"/>
    <col min="13061" max="13061" width="8.5703125" style="16" bestFit="1" customWidth="1"/>
    <col min="13062" max="13064" width="8.140625" style="16" customWidth="1"/>
    <col min="13065" max="13065" width="7.140625" style="16" bestFit="1" customWidth="1"/>
    <col min="13066" max="13066" width="8" style="16" customWidth="1"/>
    <col min="13067" max="13068" width="7" style="16" bestFit="1" customWidth="1"/>
    <col min="13069" max="13069" width="6.85546875" style="16" bestFit="1" customWidth="1"/>
    <col min="13070" max="13070" width="7" style="16" bestFit="1" customWidth="1"/>
    <col min="13071" max="13071" width="7.140625" style="16" bestFit="1"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21.140625" style="16" customWidth="1"/>
    <col min="13315" max="13315" width="8.85546875" style="16" customWidth="1"/>
    <col min="13316" max="13316" width="6.7109375" style="16" bestFit="1" customWidth="1"/>
    <col min="13317" max="13317" width="8.5703125" style="16" bestFit="1" customWidth="1"/>
    <col min="13318" max="13320" width="8.140625" style="16" customWidth="1"/>
    <col min="13321" max="13321" width="7.140625" style="16" bestFit="1" customWidth="1"/>
    <col min="13322" max="13322" width="8" style="16" customWidth="1"/>
    <col min="13323" max="13324" width="7" style="16" bestFit="1" customWidth="1"/>
    <col min="13325" max="13325" width="6.85546875" style="16" bestFit="1" customWidth="1"/>
    <col min="13326" max="13326" width="7" style="16" bestFit="1" customWidth="1"/>
    <col min="13327" max="13327" width="7.140625" style="16" bestFit="1"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21.140625" style="16" customWidth="1"/>
    <col min="13571" max="13571" width="8.85546875" style="16" customWidth="1"/>
    <col min="13572" max="13572" width="6.7109375" style="16" bestFit="1" customWidth="1"/>
    <col min="13573" max="13573" width="8.5703125" style="16" bestFit="1" customWidth="1"/>
    <col min="13574" max="13576" width="8.140625" style="16" customWidth="1"/>
    <col min="13577" max="13577" width="7.140625" style="16" bestFit="1" customWidth="1"/>
    <col min="13578" max="13578" width="8" style="16" customWidth="1"/>
    <col min="13579" max="13580" width="7" style="16" bestFit="1" customWidth="1"/>
    <col min="13581" max="13581" width="6.85546875" style="16" bestFit="1" customWidth="1"/>
    <col min="13582" max="13582" width="7" style="16" bestFit="1" customWidth="1"/>
    <col min="13583" max="13583" width="7.140625" style="16" bestFit="1"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21.140625" style="16" customWidth="1"/>
    <col min="13827" max="13827" width="8.85546875" style="16" customWidth="1"/>
    <col min="13828" max="13828" width="6.7109375" style="16" bestFit="1" customWidth="1"/>
    <col min="13829" max="13829" width="8.5703125" style="16" bestFit="1" customWidth="1"/>
    <col min="13830" max="13832" width="8.140625" style="16" customWidth="1"/>
    <col min="13833" max="13833" width="7.140625" style="16" bestFit="1" customWidth="1"/>
    <col min="13834" max="13834" width="8" style="16" customWidth="1"/>
    <col min="13835" max="13836" width="7" style="16" bestFit="1" customWidth="1"/>
    <col min="13837" max="13837" width="6.85546875" style="16" bestFit="1" customWidth="1"/>
    <col min="13838" max="13838" width="7" style="16" bestFit="1" customWidth="1"/>
    <col min="13839" max="13839" width="7.140625" style="16" bestFit="1"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21.140625" style="16" customWidth="1"/>
    <col min="14083" max="14083" width="8.85546875" style="16" customWidth="1"/>
    <col min="14084" max="14084" width="6.7109375" style="16" bestFit="1" customWidth="1"/>
    <col min="14085" max="14085" width="8.5703125" style="16" bestFit="1" customWidth="1"/>
    <col min="14086" max="14088" width="8.140625" style="16" customWidth="1"/>
    <col min="14089" max="14089" width="7.140625" style="16" bestFit="1" customWidth="1"/>
    <col min="14090" max="14090" width="8" style="16" customWidth="1"/>
    <col min="14091" max="14092" width="7" style="16" bestFit="1" customWidth="1"/>
    <col min="14093" max="14093" width="6.85546875" style="16" bestFit="1" customWidth="1"/>
    <col min="14094" max="14094" width="7" style="16" bestFit="1" customWidth="1"/>
    <col min="14095" max="14095" width="7.140625" style="16" bestFit="1"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21.140625" style="16" customWidth="1"/>
    <col min="14339" max="14339" width="8.85546875" style="16" customWidth="1"/>
    <col min="14340" max="14340" width="6.7109375" style="16" bestFit="1" customWidth="1"/>
    <col min="14341" max="14341" width="8.5703125" style="16" bestFit="1" customWidth="1"/>
    <col min="14342" max="14344" width="8.140625" style="16" customWidth="1"/>
    <col min="14345" max="14345" width="7.140625" style="16" bestFit="1" customWidth="1"/>
    <col min="14346" max="14346" width="8" style="16" customWidth="1"/>
    <col min="14347" max="14348" width="7" style="16" bestFit="1" customWidth="1"/>
    <col min="14349" max="14349" width="6.85546875" style="16" bestFit="1" customWidth="1"/>
    <col min="14350" max="14350" width="7" style="16" bestFit="1" customWidth="1"/>
    <col min="14351" max="14351" width="7.140625" style="16" bestFit="1"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21.140625" style="16" customWidth="1"/>
    <col min="14595" max="14595" width="8.85546875" style="16" customWidth="1"/>
    <col min="14596" max="14596" width="6.7109375" style="16" bestFit="1" customWidth="1"/>
    <col min="14597" max="14597" width="8.5703125" style="16" bestFit="1" customWidth="1"/>
    <col min="14598" max="14600" width="8.140625" style="16" customWidth="1"/>
    <col min="14601" max="14601" width="7.140625" style="16" bestFit="1" customWidth="1"/>
    <col min="14602" max="14602" width="8" style="16" customWidth="1"/>
    <col min="14603" max="14604" width="7" style="16" bestFit="1" customWidth="1"/>
    <col min="14605" max="14605" width="6.85546875" style="16" bestFit="1" customWidth="1"/>
    <col min="14606" max="14606" width="7" style="16" bestFit="1" customWidth="1"/>
    <col min="14607" max="14607" width="7.140625" style="16" bestFit="1"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21.140625" style="16" customWidth="1"/>
    <col min="14851" max="14851" width="8.85546875" style="16" customWidth="1"/>
    <col min="14852" max="14852" width="6.7109375" style="16" bestFit="1" customWidth="1"/>
    <col min="14853" max="14853" width="8.5703125" style="16" bestFit="1" customWidth="1"/>
    <col min="14854" max="14856" width="8.140625" style="16" customWidth="1"/>
    <col min="14857" max="14857" width="7.140625" style="16" bestFit="1" customWidth="1"/>
    <col min="14858" max="14858" width="8" style="16" customWidth="1"/>
    <col min="14859" max="14860" width="7" style="16" bestFit="1" customWidth="1"/>
    <col min="14861" max="14861" width="6.85546875" style="16" bestFit="1" customWidth="1"/>
    <col min="14862" max="14862" width="7" style="16" bestFit="1" customWidth="1"/>
    <col min="14863" max="14863" width="7.140625" style="16" bestFit="1"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21.140625" style="16" customWidth="1"/>
    <col min="15107" max="15107" width="8.85546875" style="16" customWidth="1"/>
    <col min="15108" max="15108" width="6.7109375" style="16" bestFit="1" customWidth="1"/>
    <col min="15109" max="15109" width="8.5703125" style="16" bestFit="1" customWidth="1"/>
    <col min="15110" max="15112" width="8.140625" style="16" customWidth="1"/>
    <col min="15113" max="15113" width="7.140625" style="16" bestFit="1" customWidth="1"/>
    <col min="15114" max="15114" width="8" style="16" customWidth="1"/>
    <col min="15115" max="15116" width="7" style="16" bestFit="1" customWidth="1"/>
    <col min="15117" max="15117" width="6.85546875" style="16" bestFit="1" customWidth="1"/>
    <col min="15118" max="15118" width="7" style="16" bestFit="1" customWidth="1"/>
    <col min="15119" max="15119" width="7.140625" style="16" bestFit="1"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21.140625" style="16" customWidth="1"/>
    <col min="15363" max="15363" width="8.85546875" style="16" customWidth="1"/>
    <col min="15364" max="15364" width="6.7109375" style="16" bestFit="1" customWidth="1"/>
    <col min="15365" max="15365" width="8.5703125" style="16" bestFit="1" customWidth="1"/>
    <col min="15366" max="15368" width="8.140625" style="16" customWidth="1"/>
    <col min="15369" max="15369" width="7.140625" style="16" bestFit="1" customWidth="1"/>
    <col min="15370" max="15370" width="8" style="16" customWidth="1"/>
    <col min="15371" max="15372" width="7" style="16" bestFit="1" customWidth="1"/>
    <col min="15373" max="15373" width="6.85546875" style="16" bestFit="1" customWidth="1"/>
    <col min="15374" max="15374" width="7" style="16" bestFit="1" customWidth="1"/>
    <col min="15375" max="15375" width="7.140625" style="16" bestFit="1"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21.140625" style="16" customWidth="1"/>
    <col min="15619" max="15619" width="8.85546875" style="16" customWidth="1"/>
    <col min="15620" max="15620" width="6.7109375" style="16" bestFit="1" customWidth="1"/>
    <col min="15621" max="15621" width="8.5703125" style="16" bestFit="1" customWidth="1"/>
    <col min="15622" max="15624" width="8.140625" style="16" customWidth="1"/>
    <col min="15625" max="15625" width="7.140625" style="16" bestFit="1" customWidth="1"/>
    <col min="15626" max="15626" width="8" style="16" customWidth="1"/>
    <col min="15627" max="15628" width="7" style="16" bestFit="1" customWidth="1"/>
    <col min="15629" max="15629" width="6.85546875" style="16" bestFit="1" customWidth="1"/>
    <col min="15630" max="15630" width="7" style="16" bestFit="1" customWidth="1"/>
    <col min="15631" max="15631" width="7.140625" style="16" bestFit="1"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21.140625" style="16" customWidth="1"/>
    <col min="15875" max="15875" width="8.85546875" style="16" customWidth="1"/>
    <col min="15876" max="15876" width="6.7109375" style="16" bestFit="1" customWidth="1"/>
    <col min="15877" max="15877" width="8.5703125" style="16" bestFit="1" customWidth="1"/>
    <col min="15878" max="15880" width="8.140625" style="16" customWidth="1"/>
    <col min="15881" max="15881" width="7.140625" style="16" bestFit="1" customWidth="1"/>
    <col min="15882" max="15882" width="8" style="16" customWidth="1"/>
    <col min="15883" max="15884" width="7" style="16" bestFit="1" customWidth="1"/>
    <col min="15885" max="15885" width="6.85546875" style="16" bestFit="1" customWidth="1"/>
    <col min="15886" max="15886" width="7" style="16" bestFit="1" customWidth="1"/>
    <col min="15887" max="15887" width="7.140625" style="16" bestFit="1"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21.140625" style="16" customWidth="1"/>
    <col min="16131" max="16131" width="8.85546875" style="16" customWidth="1"/>
    <col min="16132" max="16132" width="6.7109375" style="16" bestFit="1" customWidth="1"/>
    <col min="16133" max="16133" width="8.5703125" style="16" bestFit="1" customWidth="1"/>
    <col min="16134" max="16136" width="8.140625" style="16" customWidth="1"/>
    <col min="16137" max="16137" width="7.140625" style="16" bestFit="1" customWidth="1"/>
    <col min="16138" max="16138" width="8" style="16" customWidth="1"/>
    <col min="16139" max="16140" width="7" style="16" bestFit="1" customWidth="1"/>
    <col min="16141" max="16141" width="6.85546875" style="16" bestFit="1" customWidth="1"/>
    <col min="16142" max="16142" width="7" style="16" bestFit="1" customWidth="1"/>
    <col min="16143" max="16143" width="7.140625" style="16" bestFit="1"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67" t="s">
        <v>100</v>
      </c>
      <c r="B1" s="868"/>
      <c r="C1" s="868"/>
      <c r="D1" s="869"/>
      <c r="E1" s="868"/>
      <c r="F1" s="868"/>
      <c r="G1" s="867" t="s">
        <v>102</v>
      </c>
      <c r="H1" s="869"/>
      <c r="I1" s="869" t="s">
        <v>96</v>
      </c>
      <c r="J1" s="868"/>
      <c r="K1" s="868"/>
      <c r="L1" s="870"/>
      <c r="M1" s="870"/>
      <c r="N1" s="870"/>
      <c r="O1" s="870"/>
    </row>
    <row r="2" spans="1:15" s="1" customFormat="1" x14ac:dyDescent="0.2">
      <c r="A2" s="867" t="s">
        <v>103</v>
      </c>
      <c r="B2" s="868"/>
      <c r="C2" s="868"/>
      <c r="D2" s="869"/>
      <c r="E2" s="868"/>
      <c r="F2" s="868"/>
      <c r="G2" s="867" t="s">
        <v>104</v>
      </c>
      <c r="H2" s="869"/>
      <c r="I2" s="869" t="s">
        <v>105</v>
      </c>
      <c r="J2" s="868"/>
      <c r="K2" s="868"/>
      <c r="L2" s="870"/>
      <c r="M2" s="870"/>
      <c r="N2" s="870"/>
      <c r="O2" s="870"/>
    </row>
    <row r="3" spans="1:15" s="1" customFormat="1" x14ac:dyDescent="0.2">
      <c r="A3" s="867" t="s">
        <v>106</v>
      </c>
      <c r="B3" s="868"/>
      <c r="C3" s="868"/>
      <c r="D3" s="883" t="s">
        <v>220</v>
      </c>
      <c r="E3" s="868"/>
      <c r="F3" s="868"/>
      <c r="G3" s="867" t="s">
        <v>107</v>
      </c>
      <c r="H3" s="869"/>
      <c r="I3" s="869" t="s">
        <v>108</v>
      </c>
      <c r="J3" s="868"/>
      <c r="K3" s="868"/>
      <c r="L3" s="870"/>
      <c r="M3" s="870"/>
      <c r="N3" s="870"/>
      <c r="O3" s="870"/>
    </row>
    <row r="4" spans="1:15" s="1" customFormat="1" x14ac:dyDescent="0.2">
      <c r="A4" s="867" t="s">
        <v>109</v>
      </c>
      <c r="B4" s="868"/>
      <c r="C4" s="868"/>
      <c r="D4" s="869"/>
      <c r="E4" s="868"/>
      <c r="F4" s="868"/>
      <c r="G4" s="867" t="s">
        <v>110</v>
      </c>
      <c r="H4" s="869"/>
      <c r="I4" s="869" t="s">
        <v>221</v>
      </c>
      <c r="J4" s="868"/>
      <c r="K4" s="868"/>
      <c r="L4" s="870"/>
      <c r="M4" s="870"/>
      <c r="N4" s="870"/>
      <c r="O4" s="870"/>
    </row>
    <row r="5" spans="1:15" s="1" customFormat="1" x14ac:dyDescent="0.2">
      <c r="A5" s="867" t="s">
        <v>112</v>
      </c>
      <c r="B5" s="868"/>
      <c r="C5" s="868"/>
      <c r="D5" s="869"/>
      <c r="E5" s="868"/>
      <c r="F5" s="868"/>
      <c r="G5" s="867"/>
      <c r="H5" s="868"/>
      <c r="I5" s="869" t="s">
        <v>113</v>
      </c>
      <c r="J5" s="868"/>
      <c r="K5" s="868"/>
      <c r="L5" s="870"/>
      <c r="M5" s="870"/>
      <c r="N5" s="870"/>
      <c r="O5" s="870"/>
    </row>
    <row r="6" spans="1:15" s="1" customFormat="1" x14ac:dyDescent="0.2">
      <c r="A6" s="871" t="s">
        <v>114</v>
      </c>
      <c r="B6" s="872"/>
      <c r="C6" s="872"/>
      <c r="D6" s="868" t="s">
        <v>97</v>
      </c>
      <c r="E6" s="868"/>
      <c r="F6" s="868"/>
      <c r="G6" s="871" t="s">
        <v>115</v>
      </c>
      <c r="H6" s="871"/>
      <c r="I6" s="2" t="s">
        <v>222</v>
      </c>
      <c r="J6" s="888"/>
      <c r="K6" s="888"/>
      <c r="L6" s="888"/>
      <c r="M6" s="888"/>
      <c r="N6" s="888"/>
      <c r="O6" s="889"/>
    </row>
    <row r="7" spans="1:15" s="1" customFormat="1" ht="13.5" thickBot="1" x14ac:dyDescent="0.25">
      <c r="A7" s="3"/>
      <c r="B7" s="4"/>
      <c r="C7" s="5"/>
      <c r="D7" s="6"/>
      <c r="E7" s="6"/>
      <c r="F7" s="6"/>
      <c r="G7" s="6"/>
      <c r="H7" s="6"/>
      <c r="I7" s="6"/>
      <c r="J7" s="7"/>
      <c r="K7" s="8"/>
      <c r="L7" s="875" t="s">
        <v>223</v>
      </c>
      <c r="M7" s="875"/>
      <c r="N7" s="875"/>
      <c r="O7" s="875"/>
    </row>
    <row r="8" spans="1:15" s="11" customFormat="1" x14ac:dyDescent="0.2">
      <c r="A8" s="9">
        <v>42736</v>
      </c>
      <c r="B8" s="9">
        <v>42767</v>
      </c>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32000</v>
      </c>
      <c r="D9" s="14">
        <v>32000</v>
      </c>
      <c r="E9" s="14">
        <v>32000</v>
      </c>
      <c r="F9" s="14">
        <v>32000</v>
      </c>
      <c r="G9" s="14">
        <v>33000</v>
      </c>
      <c r="H9" s="14">
        <v>33000</v>
      </c>
      <c r="I9" s="14">
        <v>33000</v>
      </c>
      <c r="J9" s="14">
        <v>33000</v>
      </c>
      <c r="K9" s="14">
        <v>33000</v>
      </c>
      <c r="L9" s="14">
        <v>33000</v>
      </c>
      <c r="M9" s="14">
        <v>33000</v>
      </c>
      <c r="N9" s="14">
        <v>33000</v>
      </c>
      <c r="O9" s="15">
        <f>SUM(C9:N9)</f>
        <v>392000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1600</v>
      </c>
      <c r="D11" s="17">
        <v>2240</v>
      </c>
      <c r="E11" s="17">
        <v>2240</v>
      </c>
      <c r="F11" s="17">
        <v>2240</v>
      </c>
      <c r="G11" s="17">
        <v>2310</v>
      </c>
      <c r="H11" s="17">
        <v>2310</v>
      </c>
      <c r="I11" s="17">
        <v>2310</v>
      </c>
      <c r="J11" s="17">
        <v>2970</v>
      </c>
      <c r="K11" s="17">
        <v>2970</v>
      </c>
      <c r="L11" s="17">
        <v>2970</v>
      </c>
      <c r="M11" s="17">
        <v>2970</v>
      </c>
      <c r="N11" s="17">
        <v>2970</v>
      </c>
      <c r="O11" s="18">
        <f>SUM(C11:N11)</f>
        <v>30100</v>
      </c>
    </row>
    <row r="12" spans="1:15" ht="15"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x14ac:dyDescent="0.2">
      <c r="A14" s="12"/>
      <c r="B14" s="13" t="s">
        <v>123</v>
      </c>
      <c r="C14" s="17">
        <v>3780</v>
      </c>
      <c r="D14" s="17">
        <v>3852</v>
      </c>
      <c r="E14" s="17">
        <v>3852</v>
      </c>
      <c r="F14" s="17">
        <v>3852</v>
      </c>
      <c r="G14" s="17">
        <v>3852</v>
      </c>
      <c r="H14" s="17">
        <v>3852</v>
      </c>
      <c r="I14" s="17">
        <v>3852</v>
      </c>
      <c r="J14" s="17">
        <v>3924</v>
      </c>
      <c r="K14" s="17">
        <v>3924</v>
      </c>
      <c r="L14" s="17">
        <v>3924</v>
      </c>
      <c r="M14" s="17">
        <v>3924</v>
      </c>
      <c r="N14" s="17">
        <v>3924</v>
      </c>
      <c r="O14" s="18">
        <f t="shared" si="0"/>
        <v>46512</v>
      </c>
    </row>
    <row r="15" spans="1:15"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x14ac:dyDescent="0.2">
      <c r="A16" s="12"/>
      <c r="B16" s="13" t="s">
        <v>125</v>
      </c>
      <c r="C16" s="17">
        <v>0</v>
      </c>
      <c r="D16" s="17">
        <v>0</v>
      </c>
      <c r="E16" s="17">
        <v>0</v>
      </c>
      <c r="F16" s="17">
        <v>0</v>
      </c>
      <c r="G16" s="17">
        <v>5000</v>
      </c>
      <c r="H16" s="17">
        <v>0</v>
      </c>
      <c r="I16" s="17">
        <v>0</v>
      </c>
      <c r="J16" s="17">
        <v>0</v>
      </c>
      <c r="K16" s="17">
        <v>0</v>
      </c>
      <c r="L16" s="17">
        <v>0</v>
      </c>
      <c r="M16" s="17">
        <v>0</v>
      </c>
      <c r="N16" s="17">
        <v>0</v>
      </c>
      <c r="O16" s="18">
        <f t="shared" si="0"/>
        <v>5000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7680</v>
      </c>
      <c r="D19" s="17">
        <v>7680</v>
      </c>
      <c r="E19" s="17">
        <v>7680</v>
      </c>
      <c r="F19" s="17">
        <v>7680</v>
      </c>
      <c r="G19" s="17">
        <v>7920</v>
      </c>
      <c r="H19" s="17">
        <v>7920</v>
      </c>
      <c r="I19" s="17">
        <v>7920</v>
      </c>
      <c r="J19" s="17">
        <v>7920</v>
      </c>
      <c r="K19" s="17">
        <v>7920</v>
      </c>
      <c r="L19" s="17">
        <v>7920</v>
      </c>
      <c r="M19" s="17">
        <v>7920</v>
      </c>
      <c r="N19" s="17">
        <v>7920</v>
      </c>
      <c r="O19" s="18">
        <f t="shared" si="0"/>
        <v>94080</v>
      </c>
    </row>
    <row r="20" spans="1:15" ht="15" customHeight="1" x14ac:dyDescent="0.2">
      <c r="A20" s="12"/>
      <c r="B20" s="13" t="s">
        <v>143</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78"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79"/>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5" ht="15" hidden="1" customHeight="1" x14ac:dyDescent="0.2">
      <c r="A23" s="879"/>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79"/>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79"/>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79"/>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79"/>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79"/>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79"/>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79"/>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79"/>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79"/>
      <c r="B32" s="21" t="s">
        <v>142</v>
      </c>
      <c r="C32" s="17">
        <v>0</v>
      </c>
      <c r="D32" s="17">
        <v>0</v>
      </c>
      <c r="E32" s="17">
        <v>0</v>
      </c>
      <c r="F32" s="17">
        <v>0</v>
      </c>
      <c r="G32" s="17">
        <v>0</v>
      </c>
      <c r="H32" s="17">
        <v>0</v>
      </c>
      <c r="I32" s="17">
        <v>0</v>
      </c>
      <c r="J32" s="17">
        <v>0</v>
      </c>
      <c r="K32" s="17">
        <v>0</v>
      </c>
      <c r="L32" s="17">
        <v>0</v>
      </c>
      <c r="M32" s="17">
        <v>0</v>
      </c>
      <c r="N32" s="17">
        <v>0</v>
      </c>
      <c r="O32" s="18">
        <f t="shared" si="0"/>
        <v>0</v>
      </c>
    </row>
    <row r="33" spans="1:16" ht="15" hidden="1" customHeight="1" x14ac:dyDescent="0.2">
      <c r="A33" s="880"/>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865" t="s">
        <v>227</v>
      </c>
      <c r="B34" s="866"/>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865" t="s">
        <v>145</v>
      </c>
      <c r="B35" s="866"/>
      <c r="C35" s="17">
        <v>0</v>
      </c>
      <c r="D35" s="17">
        <v>216</v>
      </c>
      <c r="E35" s="17">
        <v>0</v>
      </c>
      <c r="F35" s="17">
        <v>0</v>
      </c>
      <c r="G35" s="17">
        <v>0</v>
      </c>
      <c r="H35" s="17">
        <v>0</v>
      </c>
      <c r="I35" s="17">
        <v>0</v>
      </c>
      <c r="J35" s="17">
        <v>216</v>
      </c>
      <c r="K35" s="17">
        <v>0</v>
      </c>
      <c r="L35" s="17">
        <v>0</v>
      </c>
      <c r="M35" s="17">
        <v>0</v>
      </c>
      <c r="N35" s="17">
        <v>0</v>
      </c>
      <c r="O35" s="18">
        <f t="shared" si="0"/>
        <v>432</v>
      </c>
    </row>
    <row r="36" spans="1:16" ht="15" customHeight="1" x14ac:dyDescent="0.2">
      <c r="A36" s="865" t="s">
        <v>146</v>
      </c>
      <c r="B36" s="866"/>
      <c r="C36" s="17">
        <v>0</v>
      </c>
      <c r="D36" s="17">
        <v>1920</v>
      </c>
      <c r="E36" s="17">
        <v>0</v>
      </c>
      <c r="F36" s="17">
        <v>0</v>
      </c>
      <c r="G36" s="17">
        <v>0</v>
      </c>
      <c r="H36" s="17">
        <v>0</v>
      </c>
      <c r="I36" s="17">
        <v>0</v>
      </c>
      <c r="J36" s="17">
        <v>1980</v>
      </c>
      <c r="K36" s="17">
        <v>0</v>
      </c>
      <c r="L36" s="17">
        <v>0</v>
      </c>
      <c r="M36" s="17">
        <v>0</v>
      </c>
      <c r="N36" s="17">
        <v>0</v>
      </c>
      <c r="O36" s="18">
        <f t="shared" si="0"/>
        <v>3900</v>
      </c>
    </row>
    <row r="37" spans="1:16" ht="15" customHeight="1" x14ac:dyDescent="0.2">
      <c r="A37" s="22"/>
      <c r="B37" s="23" t="s">
        <v>147</v>
      </c>
      <c r="C37" s="24">
        <f t="shared" ref="C37:N37" si="1">SUM(C9:C36)</f>
        <v>45060</v>
      </c>
      <c r="D37" s="24">
        <f t="shared" si="1"/>
        <v>47908</v>
      </c>
      <c r="E37" s="24">
        <f t="shared" si="1"/>
        <v>45772</v>
      </c>
      <c r="F37" s="24">
        <f t="shared" si="1"/>
        <v>45772</v>
      </c>
      <c r="G37" s="24">
        <f t="shared" si="1"/>
        <v>52082</v>
      </c>
      <c r="H37" s="24">
        <f t="shared" si="1"/>
        <v>47082</v>
      </c>
      <c r="I37" s="24">
        <f t="shared" si="1"/>
        <v>47082</v>
      </c>
      <c r="J37" s="24">
        <f t="shared" si="1"/>
        <v>56918</v>
      </c>
      <c r="K37" s="24">
        <f t="shared" si="1"/>
        <v>47814</v>
      </c>
      <c r="L37" s="24">
        <f t="shared" si="1"/>
        <v>47814</v>
      </c>
      <c r="M37" s="24">
        <f t="shared" si="1"/>
        <v>47814</v>
      </c>
      <c r="N37" s="24">
        <f t="shared" si="1"/>
        <v>47814</v>
      </c>
      <c r="O37" s="25">
        <f>SUM(C37:N37)</f>
        <v>578932</v>
      </c>
    </row>
    <row r="38" spans="1:16" ht="15" customHeight="1" x14ac:dyDescent="0.2">
      <c r="A38" s="853" t="s">
        <v>148</v>
      </c>
      <c r="B38" s="27" t="s">
        <v>149</v>
      </c>
      <c r="C38" s="28">
        <v>500</v>
      </c>
      <c r="D38" s="28">
        <v>0</v>
      </c>
      <c r="E38" s="28">
        <v>0</v>
      </c>
      <c r="F38" s="28">
        <v>0</v>
      </c>
      <c r="G38" s="28">
        <v>0</v>
      </c>
      <c r="H38" s="28">
        <v>0</v>
      </c>
      <c r="I38" s="28">
        <v>0</v>
      </c>
      <c r="J38" s="28">
        <v>0</v>
      </c>
      <c r="K38" s="28">
        <v>1000</v>
      </c>
      <c r="L38" s="28">
        <v>1870</v>
      </c>
      <c r="M38" s="28">
        <v>1870</v>
      </c>
      <c r="N38" s="28">
        <v>1860</v>
      </c>
      <c r="O38" s="18">
        <f>SUM(C38:N38)</f>
        <v>7100</v>
      </c>
      <c r="P38" s="29"/>
    </row>
    <row r="39" spans="1:16" ht="15" x14ac:dyDescent="0.2">
      <c r="A39" s="854"/>
      <c r="B39" s="27" t="s">
        <v>150</v>
      </c>
      <c r="C39" s="28">
        <v>0</v>
      </c>
      <c r="D39" s="28">
        <v>0</v>
      </c>
      <c r="E39" s="28">
        <v>0</v>
      </c>
      <c r="F39" s="28">
        <v>0</v>
      </c>
      <c r="G39" s="28">
        <v>0</v>
      </c>
      <c r="H39" s="28">
        <v>0</v>
      </c>
      <c r="I39" s="28">
        <v>0</v>
      </c>
      <c r="J39" s="28">
        <v>0</v>
      </c>
      <c r="K39" s="28">
        <v>0</v>
      </c>
      <c r="L39" s="28">
        <v>0</v>
      </c>
      <c r="M39" s="28">
        <v>0</v>
      </c>
      <c r="N39" s="28">
        <v>0</v>
      </c>
      <c r="O39" s="18">
        <f>SUM(C39:N39)</f>
        <v>0</v>
      </c>
    </row>
    <row r="40" spans="1:16" ht="15" x14ac:dyDescent="0.2">
      <c r="A40" s="854"/>
      <c r="B40" s="27" t="s">
        <v>151</v>
      </c>
      <c r="C40" s="28">
        <v>30</v>
      </c>
      <c r="D40" s="28">
        <v>30</v>
      </c>
      <c r="E40" s="28">
        <v>30</v>
      </c>
      <c r="F40" s="28">
        <v>30</v>
      </c>
      <c r="G40" s="28">
        <v>30</v>
      </c>
      <c r="H40" s="28">
        <v>30</v>
      </c>
      <c r="I40" s="28">
        <v>30</v>
      </c>
      <c r="J40" s="28">
        <v>30</v>
      </c>
      <c r="K40" s="28">
        <v>30</v>
      </c>
      <c r="L40" s="28">
        <v>30</v>
      </c>
      <c r="M40" s="28">
        <v>30</v>
      </c>
      <c r="N40" s="28">
        <v>30</v>
      </c>
      <c r="O40" s="18">
        <f t="shared" ref="O40:O50" si="2">SUM(C40:N40)</f>
        <v>360</v>
      </c>
    </row>
    <row r="41" spans="1:16" ht="15" x14ac:dyDescent="0.2">
      <c r="A41" s="854"/>
      <c r="B41" s="27" t="s">
        <v>152</v>
      </c>
      <c r="C41" s="28">
        <v>0</v>
      </c>
      <c r="D41" s="28">
        <v>0</v>
      </c>
      <c r="E41" s="28">
        <v>0</v>
      </c>
      <c r="F41" s="28">
        <v>0</v>
      </c>
      <c r="G41" s="28">
        <v>0</v>
      </c>
      <c r="H41" s="28">
        <v>0</v>
      </c>
      <c r="I41" s="28">
        <v>0</v>
      </c>
      <c r="J41" s="28">
        <v>0</v>
      </c>
      <c r="K41" s="28">
        <v>0</v>
      </c>
      <c r="L41" s="28">
        <v>0</v>
      </c>
      <c r="M41" s="28">
        <v>0</v>
      </c>
      <c r="N41" s="28">
        <v>0</v>
      </c>
      <c r="O41" s="18">
        <f t="shared" si="2"/>
        <v>0</v>
      </c>
    </row>
    <row r="42" spans="1:16" ht="15" x14ac:dyDescent="0.2">
      <c r="A42" s="854"/>
      <c r="B42" s="27" t="s">
        <v>153</v>
      </c>
      <c r="C42" s="28">
        <v>0</v>
      </c>
      <c r="D42" s="28">
        <v>0</v>
      </c>
      <c r="E42" s="28">
        <v>0</v>
      </c>
      <c r="F42" s="28">
        <v>0</v>
      </c>
      <c r="G42" s="28">
        <v>0</v>
      </c>
      <c r="H42" s="28">
        <v>0</v>
      </c>
      <c r="I42" s="28">
        <v>0</v>
      </c>
      <c r="J42" s="28">
        <v>0</v>
      </c>
      <c r="K42" s="28">
        <v>0</v>
      </c>
      <c r="L42" s="28">
        <v>0</v>
      </c>
      <c r="M42" s="28">
        <v>0</v>
      </c>
      <c r="N42" s="28">
        <v>0</v>
      </c>
      <c r="O42" s="18">
        <f t="shared" si="2"/>
        <v>0</v>
      </c>
    </row>
    <row r="43" spans="1:16" ht="15" x14ac:dyDescent="0.2">
      <c r="A43" s="854"/>
      <c r="B43" s="27" t="s">
        <v>154</v>
      </c>
      <c r="C43" s="28">
        <v>12000</v>
      </c>
      <c r="D43" s="28">
        <v>12000</v>
      </c>
      <c r="E43" s="28">
        <v>12000</v>
      </c>
      <c r="F43" s="28">
        <v>12000</v>
      </c>
      <c r="G43" s="28">
        <v>12000</v>
      </c>
      <c r="H43" s="28">
        <v>12000</v>
      </c>
      <c r="I43" s="28">
        <v>12000</v>
      </c>
      <c r="J43" s="28">
        <v>12000</v>
      </c>
      <c r="K43" s="28">
        <v>12000</v>
      </c>
      <c r="L43" s="28">
        <v>12000</v>
      </c>
      <c r="M43" s="28">
        <v>12000</v>
      </c>
      <c r="N43" s="28">
        <v>12000</v>
      </c>
      <c r="O43" s="18">
        <f t="shared" si="2"/>
        <v>144000</v>
      </c>
    </row>
    <row r="44" spans="1:16" ht="15" x14ac:dyDescent="0.2">
      <c r="A44" s="854"/>
      <c r="B44" s="27" t="s">
        <v>155</v>
      </c>
      <c r="C44" s="28">
        <v>200</v>
      </c>
      <c r="D44" s="28">
        <v>200</v>
      </c>
      <c r="E44" s="28">
        <v>200</v>
      </c>
      <c r="F44" s="28">
        <v>200</v>
      </c>
      <c r="G44" s="28">
        <v>200</v>
      </c>
      <c r="H44" s="28">
        <v>200</v>
      </c>
      <c r="I44" s="28">
        <v>200</v>
      </c>
      <c r="J44" s="28">
        <v>200</v>
      </c>
      <c r="K44" s="28">
        <v>200</v>
      </c>
      <c r="L44" s="28">
        <v>200</v>
      </c>
      <c r="M44" s="28">
        <v>200</v>
      </c>
      <c r="N44" s="28">
        <v>300</v>
      </c>
      <c r="O44" s="18">
        <f t="shared" si="2"/>
        <v>2500</v>
      </c>
    </row>
    <row r="45" spans="1:16" ht="15" x14ac:dyDescent="0.2">
      <c r="A45" s="854"/>
      <c r="B45" s="27" t="s">
        <v>156</v>
      </c>
      <c r="C45" s="28">
        <v>0</v>
      </c>
      <c r="D45" s="28">
        <v>0</v>
      </c>
      <c r="E45" s="28">
        <v>0</v>
      </c>
      <c r="F45" s="28">
        <v>0</v>
      </c>
      <c r="G45" s="28">
        <v>0</v>
      </c>
      <c r="H45" s="28">
        <v>0</v>
      </c>
      <c r="I45" s="28">
        <v>0</v>
      </c>
      <c r="J45" s="28">
        <v>0</v>
      </c>
      <c r="K45" s="28">
        <v>0</v>
      </c>
      <c r="L45" s="28">
        <v>0</v>
      </c>
      <c r="M45" s="28">
        <v>0</v>
      </c>
      <c r="N45" s="28">
        <v>0</v>
      </c>
      <c r="O45" s="18">
        <f t="shared" si="2"/>
        <v>0</v>
      </c>
    </row>
    <row r="46" spans="1:16" ht="15" x14ac:dyDescent="0.2">
      <c r="A46" s="854"/>
      <c r="B46" s="27" t="s">
        <v>157</v>
      </c>
      <c r="C46" s="28">
        <v>0</v>
      </c>
      <c r="D46" s="28">
        <v>0</v>
      </c>
      <c r="E46" s="28">
        <v>0</v>
      </c>
      <c r="F46" s="28">
        <v>0</v>
      </c>
      <c r="G46" s="28">
        <v>0</v>
      </c>
      <c r="H46" s="28">
        <v>0</v>
      </c>
      <c r="I46" s="28">
        <v>0</v>
      </c>
      <c r="J46" s="28">
        <v>0</v>
      </c>
      <c r="K46" s="28">
        <v>0</v>
      </c>
      <c r="L46" s="28">
        <v>0</v>
      </c>
      <c r="M46" s="28">
        <v>0</v>
      </c>
      <c r="N46" s="28">
        <v>0</v>
      </c>
      <c r="O46" s="18">
        <f t="shared" si="2"/>
        <v>0</v>
      </c>
    </row>
    <row r="47" spans="1:16" ht="28.5" customHeight="1" x14ac:dyDescent="0.2">
      <c r="A47" s="855"/>
      <c r="B47" s="30" t="s">
        <v>158</v>
      </c>
      <c r="C47" s="28">
        <v>1788</v>
      </c>
      <c r="D47" s="28">
        <v>1788</v>
      </c>
      <c r="E47" s="28">
        <v>1788</v>
      </c>
      <c r="F47" s="28">
        <v>1788</v>
      </c>
      <c r="G47" s="28">
        <v>1788</v>
      </c>
      <c r="H47" s="28">
        <v>1788</v>
      </c>
      <c r="I47" s="28">
        <v>1788</v>
      </c>
      <c r="J47" s="28">
        <v>1788</v>
      </c>
      <c r="K47" s="28">
        <v>1788</v>
      </c>
      <c r="L47" s="28">
        <v>1788</v>
      </c>
      <c r="M47" s="28">
        <v>1788</v>
      </c>
      <c r="N47" s="28">
        <v>1788</v>
      </c>
      <c r="O47" s="31">
        <f t="shared" si="2"/>
        <v>21456</v>
      </c>
    </row>
    <row r="48" spans="1:16" ht="15" x14ac:dyDescent="0.2">
      <c r="A48" s="856"/>
      <c r="B48" s="127" t="s">
        <v>228</v>
      </c>
      <c r="C48" s="28">
        <v>0</v>
      </c>
      <c r="D48" s="28">
        <v>0</v>
      </c>
      <c r="E48" s="28">
        <v>0</v>
      </c>
      <c r="F48" s="28">
        <v>0</v>
      </c>
      <c r="G48" s="28">
        <v>0</v>
      </c>
      <c r="H48" s="28">
        <v>0</v>
      </c>
      <c r="I48" s="28">
        <v>0</v>
      </c>
      <c r="J48" s="28">
        <v>0</v>
      </c>
      <c r="K48" s="28">
        <v>0</v>
      </c>
      <c r="L48" s="28">
        <v>0</v>
      </c>
      <c r="M48" s="28">
        <v>0</v>
      </c>
      <c r="N48" s="28">
        <v>0</v>
      </c>
      <c r="O48" s="31">
        <f t="shared" si="2"/>
        <v>0</v>
      </c>
    </row>
    <row r="49" spans="1:18" ht="15" x14ac:dyDescent="0.2">
      <c r="A49" s="857" t="s">
        <v>160</v>
      </c>
      <c r="B49" s="858"/>
      <c r="C49" s="33">
        <f t="shared" ref="C49:N49" si="3">SUM(C38:C48)</f>
        <v>14518</v>
      </c>
      <c r="D49" s="33">
        <f t="shared" si="3"/>
        <v>14018</v>
      </c>
      <c r="E49" s="33">
        <f t="shared" si="3"/>
        <v>14018</v>
      </c>
      <c r="F49" s="33">
        <f t="shared" si="3"/>
        <v>14018</v>
      </c>
      <c r="G49" s="33">
        <f t="shared" si="3"/>
        <v>14018</v>
      </c>
      <c r="H49" s="33">
        <f t="shared" si="3"/>
        <v>14018</v>
      </c>
      <c r="I49" s="33">
        <f t="shared" si="3"/>
        <v>14018</v>
      </c>
      <c r="J49" s="33">
        <f t="shared" si="3"/>
        <v>14018</v>
      </c>
      <c r="K49" s="33">
        <f t="shared" si="3"/>
        <v>15018</v>
      </c>
      <c r="L49" s="33">
        <f t="shared" si="3"/>
        <v>15888</v>
      </c>
      <c r="M49" s="33">
        <f t="shared" si="3"/>
        <v>15888</v>
      </c>
      <c r="N49" s="33">
        <f t="shared" si="3"/>
        <v>15978</v>
      </c>
      <c r="O49" s="34">
        <f t="shared" si="2"/>
        <v>175416</v>
      </c>
    </row>
    <row r="50" spans="1:18" ht="15.75" thickBot="1" x14ac:dyDescent="0.25">
      <c r="A50" s="859" t="s">
        <v>161</v>
      </c>
      <c r="B50" s="860"/>
      <c r="C50" s="35">
        <f t="shared" ref="C50:N50" si="4">C37-C49</f>
        <v>30542</v>
      </c>
      <c r="D50" s="35">
        <f t="shared" si="4"/>
        <v>33890</v>
      </c>
      <c r="E50" s="35">
        <f t="shared" si="4"/>
        <v>31754</v>
      </c>
      <c r="F50" s="35">
        <f t="shared" si="4"/>
        <v>31754</v>
      </c>
      <c r="G50" s="35">
        <f t="shared" si="4"/>
        <v>38064</v>
      </c>
      <c r="H50" s="35">
        <f t="shared" si="4"/>
        <v>33064</v>
      </c>
      <c r="I50" s="35">
        <f t="shared" si="4"/>
        <v>33064</v>
      </c>
      <c r="J50" s="35">
        <f t="shared" si="4"/>
        <v>42900</v>
      </c>
      <c r="K50" s="35">
        <f t="shared" si="4"/>
        <v>32796</v>
      </c>
      <c r="L50" s="35">
        <f t="shared" si="4"/>
        <v>31926</v>
      </c>
      <c r="M50" s="35">
        <f t="shared" si="4"/>
        <v>31926</v>
      </c>
      <c r="N50" s="35">
        <f t="shared" si="4"/>
        <v>31836</v>
      </c>
      <c r="O50" s="36">
        <f t="shared" si="2"/>
        <v>403516</v>
      </c>
      <c r="Q50" s="16">
        <f>8836+8836+3744+9772*2+10423*3+3603+3454+11999+10624*3+10524</f>
        <v>133681</v>
      </c>
    </row>
    <row r="51" spans="1:18" x14ac:dyDescent="0.2">
      <c r="C51" s="38"/>
      <c r="J51" s="128">
        <f>+J37-SUM(J22:J36)</f>
        <v>47814</v>
      </c>
    </row>
    <row r="52" spans="1:18" ht="13.5" thickBot="1" x14ac:dyDescent="0.25">
      <c r="J52" s="38">
        <f>+J51-J49</f>
        <v>33796</v>
      </c>
    </row>
    <row r="53" spans="1:18" ht="13.5" thickBot="1" x14ac:dyDescent="0.25">
      <c r="B53" s="789" t="s">
        <v>162</v>
      </c>
      <c r="C53" s="861"/>
      <c r="D53" s="861"/>
      <c r="E53" s="861"/>
      <c r="F53" s="862"/>
      <c r="G53" s="863">
        <f>O37</f>
        <v>578932</v>
      </c>
      <c r="H53" s="864"/>
    </row>
    <row r="54" spans="1:18" ht="13.5" thickBot="1" x14ac:dyDescent="0.25"/>
    <row r="55" spans="1:18" x14ac:dyDescent="0.2">
      <c r="B55" s="830" t="s">
        <v>163</v>
      </c>
      <c r="C55" s="833" t="s">
        <v>164</v>
      </c>
      <c r="D55" s="836" t="s">
        <v>229</v>
      </c>
      <c r="E55" s="837"/>
      <c r="F55" s="838"/>
      <c r="G55" s="839">
        <v>40000</v>
      </c>
      <c r="H55" s="840"/>
    </row>
    <row r="56" spans="1:18" x14ac:dyDescent="0.2">
      <c r="B56" s="831"/>
      <c r="C56" s="834"/>
      <c r="D56" s="841" t="s">
        <v>166</v>
      </c>
      <c r="E56" s="842"/>
      <c r="F56" s="843"/>
      <c r="G56" s="844">
        <f>+O44</f>
        <v>2500</v>
      </c>
      <c r="H56" s="845"/>
      <c r="I56" s="39"/>
      <c r="J56" s="846"/>
      <c r="K56" s="846"/>
      <c r="L56" s="846"/>
      <c r="M56" s="847"/>
      <c r="N56" s="847"/>
      <c r="O56" s="847"/>
    </row>
    <row r="57" spans="1:18" ht="13.5" thickBot="1" x14ac:dyDescent="0.25">
      <c r="B57" s="832"/>
      <c r="C57" s="835"/>
      <c r="D57" s="921" t="s">
        <v>167</v>
      </c>
      <c r="E57" s="849"/>
      <c r="F57" s="850"/>
      <c r="G57" s="851">
        <f>IF(O18&gt;15000,15000,+O18)</f>
        <v>0</v>
      </c>
      <c r="H57" s="852"/>
      <c r="J57" s="47"/>
      <c r="K57" s="47"/>
      <c r="L57" s="47"/>
      <c r="M57" s="47"/>
      <c r="N57" s="47"/>
      <c r="O57" s="47"/>
    </row>
    <row r="58" spans="1:18" ht="13.5" thickBot="1" x14ac:dyDescent="0.25">
      <c r="B58" s="48"/>
      <c r="J58" s="47"/>
      <c r="K58" s="47"/>
      <c r="L58" s="47"/>
      <c r="M58" s="47"/>
      <c r="N58" s="47"/>
      <c r="O58" s="47"/>
    </row>
    <row r="59" spans="1:18" ht="13.5" thickBot="1" x14ac:dyDescent="0.25">
      <c r="B59" s="789" t="s">
        <v>168</v>
      </c>
      <c r="C59" s="790"/>
      <c r="D59" s="790"/>
      <c r="E59" s="790"/>
      <c r="F59" s="791"/>
      <c r="G59" s="825">
        <f>+G53-SUM(G55:H57)</f>
        <v>536432</v>
      </c>
      <c r="H59" s="826"/>
      <c r="J59" s="827" t="s">
        <v>169</v>
      </c>
      <c r="K59" s="828"/>
      <c r="L59" s="828"/>
      <c r="M59" s="828"/>
      <c r="N59" s="828"/>
      <c r="O59" s="829"/>
    </row>
    <row r="60" spans="1:18" ht="13.5" thickBot="1" x14ac:dyDescent="0.25">
      <c r="B60" s="49"/>
      <c r="C60" s="50"/>
      <c r="D60" s="50"/>
      <c r="E60" s="50"/>
      <c r="F60" s="50"/>
      <c r="G60" s="45"/>
      <c r="H60" s="50"/>
      <c r="J60" s="129"/>
      <c r="K60" s="130"/>
      <c r="L60" s="130"/>
      <c r="M60" s="130"/>
      <c r="N60" s="130"/>
      <c r="O60" s="131"/>
    </row>
    <row r="61" spans="1:18" ht="13.5" thickBot="1" x14ac:dyDescent="0.25">
      <c r="B61" s="789" t="s">
        <v>170</v>
      </c>
      <c r="C61" s="790"/>
      <c r="D61" s="790"/>
      <c r="E61" s="790"/>
      <c r="F61" s="791"/>
      <c r="G61" s="805"/>
      <c r="H61" s="791"/>
      <c r="J61" s="129"/>
      <c r="K61" s="130"/>
      <c r="L61" s="130"/>
      <c r="M61" s="130"/>
      <c r="N61" s="130"/>
      <c r="O61" s="131"/>
    </row>
    <row r="62" spans="1:18" ht="12.75" customHeight="1" x14ac:dyDescent="0.2">
      <c r="B62" s="57" t="s">
        <v>171</v>
      </c>
      <c r="C62" s="806" t="s">
        <v>172</v>
      </c>
      <c r="D62" s="807"/>
      <c r="E62" s="807"/>
      <c r="F62" s="808"/>
      <c r="G62" s="809">
        <v>0</v>
      </c>
      <c r="H62" s="809"/>
      <c r="I62" s="58"/>
      <c r="J62" s="810" t="s">
        <v>173</v>
      </c>
      <c r="K62" s="811"/>
      <c r="L62" s="811"/>
      <c r="M62" s="811"/>
      <c r="N62" s="811"/>
      <c r="O62" s="812"/>
      <c r="Q62" s="59"/>
      <c r="R62" s="59"/>
    </row>
    <row r="63" spans="1:18" ht="13.5" thickBot="1" x14ac:dyDescent="0.25">
      <c r="D63" s="37"/>
      <c r="I63" s="58"/>
      <c r="J63" s="60" t="s">
        <v>230</v>
      </c>
      <c r="K63" s="132"/>
      <c r="L63" s="132"/>
      <c r="M63" s="133"/>
      <c r="N63" s="133"/>
      <c r="O63" s="134"/>
      <c r="Q63" s="59"/>
      <c r="R63" s="59"/>
    </row>
    <row r="64" spans="1:18" ht="13.5" thickBot="1" x14ac:dyDescent="0.25">
      <c r="B64" s="789" t="s">
        <v>175</v>
      </c>
      <c r="C64" s="790"/>
      <c r="D64" s="790"/>
      <c r="E64" s="790"/>
      <c r="F64" s="791"/>
      <c r="G64" s="805">
        <f>+G59-G62</f>
        <v>536432</v>
      </c>
      <c r="H64" s="791"/>
      <c r="I64" s="63"/>
      <c r="J64" s="75"/>
      <c r="K64" s="39"/>
      <c r="L64" s="39"/>
      <c r="M64" s="39"/>
      <c r="N64" s="39"/>
      <c r="O64" s="65"/>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6.25" customHeight="1" thickBot="1" x14ac:dyDescent="0.25">
      <c r="B67" s="66"/>
      <c r="C67" s="48"/>
      <c r="G67" s="70" t="s">
        <v>177</v>
      </c>
      <c r="H67" s="70" t="s">
        <v>178</v>
      </c>
      <c r="I67" s="63"/>
      <c r="J67" s="810" t="s">
        <v>179</v>
      </c>
      <c r="K67" s="811"/>
      <c r="L67" s="71"/>
      <c r="M67" s="71"/>
      <c r="N67" s="71"/>
      <c r="O67" s="72"/>
      <c r="Q67" s="59"/>
      <c r="R67" s="59"/>
    </row>
    <row r="68" spans="2:18" ht="12.75" customHeight="1" x14ac:dyDescent="0.2">
      <c r="B68" s="802" t="s">
        <v>180</v>
      </c>
      <c r="C68" s="821" t="s">
        <v>181</v>
      </c>
      <c r="D68" s="823" t="s">
        <v>182</v>
      </c>
      <c r="E68" s="824"/>
      <c r="F68" s="824"/>
      <c r="G68" s="73">
        <f>+O43</f>
        <v>144000</v>
      </c>
      <c r="H68" s="74">
        <f t="shared" ref="H68:H76" si="5">+G68</f>
        <v>144000</v>
      </c>
      <c r="I68" s="63"/>
      <c r="J68" s="75" t="s">
        <v>231</v>
      </c>
      <c r="K68" s="58"/>
      <c r="L68" s="58"/>
      <c r="M68" s="58" t="s">
        <v>232</v>
      </c>
      <c r="N68" s="58" t="s">
        <v>233</v>
      </c>
      <c r="O68" s="76">
        <f>O47</f>
        <v>21456</v>
      </c>
      <c r="Q68" s="59"/>
      <c r="R68" s="59"/>
    </row>
    <row r="69" spans="2:18" ht="12.75" customHeight="1" x14ac:dyDescent="0.2">
      <c r="B69" s="803"/>
      <c r="C69" s="822"/>
      <c r="D69" s="782" t="s">
        <v>184</v>
      </c>
      <c r="E69" s="783"/>
      <c r="F69" s="783"/>
      <c r="G69" s="77">
        <f>+O47+O69</f>
        <v>21456</v>
      </c>
      <c r="H69" s="78">
        <f t="shared" si="5"/>
        <v>21456</v>
      </c>
      <c r="I69" s="63"/>
      <c r="J69" s="1057">
        <v>9248066096</v>
      </c>
      <c r="K69" s="1058"/>
      <c r="L69" s="68"/>
      <c r="M69" s="68"/>
      <c r="N69" s="135" t="s">
        <v>234</v>
      </c>
      <c r="O69" s="136">
        <v>0</v>
      </c>
      <c r="Q69" s="59"/>
      <c r="R69" s="59"/>
    </row>
    <row r="70" spans="2:18" ht="12.75" customHeight="1" x14ac:dyDescent="0.2">
      <c r="B70" s="803"/>
      <c r="C70" s="822"/>
      <c r="D70" s="819" t="s">
        <v>185</v>
      </c>
      <c r="E70" s="820"/>
      <c r="F70" s="820"/>
      <c r="G70" s="80">
        <f>O40</f>
        <v>360</v>
      </c>
      <c r="H70" s="78">
        <f t="shared" si="5"/>
        <v>360</v>
      </c>
      <c r="I70" s="63"/>
      <c r="J70" s="1066"/>
      <c r="K70" s="1067"/>
      <c r="L70" s="68"/>
      <c r="M70" s="68"/>
      <c r="N70" s="68"/>
      <c r="O70" s="69"/>
    </row>
    <row r="71" spans="2:18" x14ac:dyDescent="0.2">
      <c r="B71" s="803"/>
      <c r="C71" s="822"/>
      <c r="D71" s="782" t="s">
        <v>186</v>
      </c>
      <c r="E71" s="783"/>
      <c r="F71" s="783"/>
      <c r="G71" s="81">
        <v>0</v>
      </c>
      <c r="H71" s="78">
        <f t="shared" si="5"/>
        <v>0</v>
      </c>
      <c r="I71" s="63"/>
      <c r="J71" s="82" t="s">
        <v>187</v>
      </c>
      <c r="K71" s="71"/>
      <c r="L71" s="71"/>
      <c r="M71" s="71"/>
      <c r="N71" s="71"/>
      <c r="O71" s="72"/>
    </row>
    <row r="72" spans="2:18" ht="12.75" customHeight="1" x14ac:dyDescent="0.2">
      <c r="B72" s="803"/>
      <c r="C72" s="822"/>
      <c r="D72" s="784" t="s">
        <v>188</v>
      </c>
      <c r="E72" s="783"/>
      <c r="F72" s="783"/>
      <c r="G72" s="80">
        <v>0</v>
      </c>
      <c r="H72" s="78">
        <f t="shared" si="5"/>
        <v>0</v>
      </c>
      <c r="I72" s="63"/>
      <c r="J72" s="75" t="s">
        <v>189</v>
      </c>
      <c r="K72" s="50"/>
      <c r="L72" s="50"/>
      <c r="M72" s="50"/>
      <c r="N72" s="50"/>
      <c r="O72" s="83">
        <v>0</v>
      </c>
    </row>
    <row r="73" spans="2:18" ht="14.25" customHeight="1" x14ac:dyDescent="0.2">
      <c r="B73" s="803"/>
      <c r="C73" s="822"/>
      <c r="D73" s="782" t="s">
        <v>190</v>
      </c>
      <c r="E73" s="783"/>
      <c r="F73" s="783"/>
      <c r="G73" s="84">
        <v>0</v>
      </c>
      <c r="H73" s="78">
        <f t="shared" si="5"/>
        <v>0</v>
      </c>
      <c r="I73" s="63"/>
      <c r="J73" s="75"/>
      <c r="K73" s="39"/>
      <c r="L73" s="39"/>
      <c r="M73" s="39"/>
      <c r="N73" s="39"/>
      <c r="O73" s="65"/>
    </row>
    <row r="74" spans="2:18" x14ac:dyDescent="0.2">
      <c r="B74" s="803"/>
      <c r="C74" s="822"/>
      <c r="D74" s="782" t="s">
        <v>191</v>
      </c>
      <c r="E74" s="783"/>
      <c r="F74" s="783"/>
      <c r="G74" s="84">
        <v>0</v>
      </c>
      <c r="H74" s="78">
        <f t="shared" si="5"/>
        <v>0</v>
      </c>
      <c r="I74" s="58"/>
      <c r="J74" s="137"/>
      <c r="K74" s="50"/>
      <c r="L74" s="50"/>
      <c r="M74" s="50"/>
      <c r="N74" s="50"/>
      <c r="O74" s="83"/>
    </row>
    <row r="75" spans="2:18" x14ac:dyDescent="0.2">
      <c r="B75" s="803"/>
      <c r="C75" s="88" t="s">
        <v>192</v>
      </c>
      <c r="D75" s="813" t="s">
        <v>193</v>
      </c>
      <c r="E75" s="814"/>
      <c r="F75" s="814"/>
      <c r="G75" s="80">
        <v>0</v>
      </c>
      <c r="H75" s="78">
        <f t="shared" si="5"/>
        <v>0</v>
      </c>
      <c r="I75" s="58"/>
      <c r="J75" s="85"/>
      <c r="K75" s="138"/>
      <c r="L75" s="138"/>
      <c r="M75" s="138"/>
      <c r="N75" s="138"/>
      <c r="O75" s="139"/>
    </row>
    <row r="76" spans="2:18" ht="13.5" customHeight="1" thickBot="1" x14ac:dyDescent="0.25">
      <c r="B76" s="803"/>
      <c r="C76" s="88" t="s">
        <v>194</v>
      </c>
      <c r="D76" s="815" t="s">
        <v>195</v>
      </c>
      <c r="E76" s="815"/>
      <c r="F76" s="815"/>
      <c r="G76" s="89">
        <v>0</v>
      </c>
      <c r="H76" s="90">
        <f t="shared" si="5"/>
        <v>0</v>
      </c>
      <c r="I76" s="63"/>
      <c r="J76" s="75"/>
      <c r="K76" s="68"/>
      <c r="L76" s="68"/>
      <c r="M76" s="91"/>
      <c r="N76" s="91"/>
      <c r="O76" s="92"/>
    </row>
    <row r="77" spans="2:18" ht="13.5" thickBot="1" x14ac:dyDescent="0.25">
      <c r="B77" s="803"/>
      <c r="C77" s="93"/>
      <c r="D77" s="94"/>
      <c r="E77" s="816" t="s">
        <v>117</v>
      </c>
      <c r="F77" s="817"/>
      <c r="G77" s="95">
        <f>SUM(G68:G76)</f>
        <v>165816</v>
      </c>
      <c r="H77" s="96">
        <f>IF(SUM(G68:G74)&lt;150000,SUM(G68:G74),150000)+IF(+G75&lt;20000,+G75,20000)</f>
        <v>150000</v>
      </c>
      <c r="I77" s="63"/>
      <c r="J77" s="140"/>
      <c r="K77" s="141"/>
      <c r="L77" s="141"/>
      <c r="M77" s="142"/>
      <c r="N77" s="142"/>
      <c r="O77" s="143"/>
    </row>
    <row r="78" spans="2:18" ht="12.75" customHeight="1" x14ac:dyDescent="0.2">
      <c r="B78" s="803"/>
      <c r="C78" s="100" t="s">
        <v>196</v>
      </c>
      <c r="D78" s="782" t="s">
        <v>187</v>
      </c>
      <c r="E78" s="783"/>
      <c r="F78" s="818"/>
      <c r="G78" s="73">
        <f>+O42</f>
        <v>0</v>
      </c>
      <c r="H78" s="101">
        <f>+IF(+G78&lt;25000,+G78,25000)</f>
        <v>0</v>
      </c>
      <c r="I78" s="87"/>
    </row>
    <row r="79" spans="2:18" x14ac:dyDescent="0.2">
      <c r="B79" s="803"/>
      <c r="C79" s="100" t="s">
        <v>197</v>
      </c>
      <c r="D79" s="784" t="s">
        <v>198</v>
      </c>
      <c r="E79" s="785"/>
      <c r="F79" s="786"/>
      <c r="G79" s="102"/>
      <c r="H79" s="103">
        <f>+IF(+G79&lt;40000,+G79,40000)</f>
        <v>0</v>
      </c>
      <c r="I79" s="63"/>
    </row>
    <row r="80" spans="2:18" x14ac:dyDescent="0.2">
      <c r="B80" s="803"/>
      <c r="C80" s="100" t="s">
        <v>199</v>
      </c>
      <c r="D80" s="784" t="s">
        <v>200</v>
      </c>
      <c r="E80" s="785"/>
      <c r="F80" s="786"/>
      <c r="G80" s="81"/>
      <c r="H80" s="104">
        <v>0</v>
      </c>
      <c r="I80" s="63"/>
      <c r="J80" s="106"/>
    </row>
    <row r="81" spans="2:12" x14ac:dyDescent="0.2">
      <c r="B81" s="803"/>
      <c r="C81" s="100" t="s">
        <v>201</v>
      </c>
      <c r="D81" s="784" t="s">
        <v>202</v>
      </c>
      <c r="E81" s="785"/>
      <c r="F81" s="786"/>
      <c r="G81" s="81"/>
      <c r="H81" s="104">
        <v>0</v>
      </c>
      <c r="I81" s="63"/>
    </row>
    <row r="82" spans="2:12" ht="13.5" thickBot="1" x14ac:dyDescent="0.25">
      <c r="B82" s="804"/>
      <c r="C82" s="100" t="s">
        <v>203</v>
      </c>
      <c r="D82" s="784" t="s">
        <v>204</v>
      </c>
      <c r="E82" s="785"/>
      <c r="F82" s="786"/>
      <c r="G82" s="102"/>
      <c r="H82" s="103">
        <f>+IF(+G82&lt;100000,+G82,10000)</f>
        <v>0</v>
      </c>
      <c r="I82" s="63"/>
    </row>
    <row r="83" spans="2:12" ht="13.5" thickBot="1" x14ac:dyDescent="0.25">
      <c r="B83" s="787" t="s">
        <v>205</v>
      </c>
      <c r="C83" s="788"/>
      <c r="D83" s="788"/>
      <c r="E83" s="788"/>
      <c r="F83" s="788"/>
      <c r="G83" s="107">
        <f>SUM(G78:G82)</f>
        <v>0</v>
      </c>
      <c r="H83" s="108">
        <f>SUM(H77:H82)</f>
        <v>150000</v>
      </c>
    </row>
    <row r="84" spans="2:12" ht="13.5" thickBot="1" x14ac:dyDescent="0.25"/>
    <row r="85" spans="2:12" ht="13.5" thickBot="1" x14ac:dyDescent="0.25">
      <c r="B85" s="789" t="s">
        <v>206</v>
      </c>
      <c r="C85" s="790"/>
      <c r="D85" s="790"/>
      <c r="E85" s="790"/>
      <c r="F85" s="791"/>
      <c r="G85" s="792">
        <f>+G64-H83</f>
        <v>386432</v>
      </c>
      <c r="H85" s="791"/>
      <c r="J85" s="109">
        <f>C37+D37+E37+F37</f>
        <v>184512</v>
      </c>
      <c r="K85" s="16" t="s">
        <v>235</v>
      </c>
    </row>
    <row r="86" spans="2:12" x14ac:dyDescent="0.2">
      <c r="B86" s="110"/>
      <c r="F86" s="105"/>
      <c r="J86" s="109">
        <f>G37+H37+I37</f>
        <v>146246</v>
      </c>
      <c r="K86" s="16" t="s">
        <v>236</v>
      </c>
    </row>
    <row r="87" spans="2:12" x14ac:dyDescent="0.2">
      <c r="C87" s="793" t="s">
        <v>207</v>
      </c>
      <c r="D87" s="794"/>
      <c r="E87" s="111" t="s">
        <v>208</v>
      </c>
      <c r="F87" s="111" t="s">
        <v>209</v>
      </c>
      <c r="G87" s="111" t="s">
        <v>210</v>
      </c>
      <c r="H87" s="111" t="s">
        <v>211</v>
      </c>
      <c r="J87" s="109">
        <f>J37+K37+L37</f>
        <v>152546</v>
      </c>
      <c r="K87" s="47" t="s">
        <v>237</v>
      </c>
    </row>
    <row r="88" spans="2:12" x14ac:dyDescent="0.2">
      <c r="C88" s="795" t="str">
        <f>IF(I6="M","0          - 250000","0          -  250000")</f>
        <v>0          -  250000</v>
      </c>
      <c r="D88" s="796"/>
      <c r="E88" s="112">
        <v>0</v>
      </c>
      <c r="F88" s="113">
        <f>IF(I6="M",(IF(G85&lt;250000,G85,250000)),(IF(G85&lt;250000,G85,250000)))</f>
        <v>250000</v>
      </c>
      <c r="G88" s="113">
        <f>G85-F88</f>
        <v>136432</v>
      </c>
      <c r="H88" s="113">
        <f>E88*F88</f>
        <v>0</v>
      </c>
      <c r="J88" s="16">
        <f>M37+N37</f>
        <v>95628</v>
      </c>
      <c r="K88" s="1" t="s">
        <v>238</v>
      </c>
    </row>
    <row r="89" spans="2:12" x14ac:dyDescent="0.2">
      <c r="C89" s="795" t="str">
        <f>IF(I6="M","250001 - 500000","250001-500000")</f>
        <v>250001-500000</v>
      </c>
      <c r="D89" s="796"/>
      <c r="E89" s="112">
        <v>0.05</v>
      </c>
      <c r="F89" s="113">
        <f>IF(I6="M",(IF(G88&lt;250000,G88,250000)),(IF(G88&lt;250000,G88,250000)))</f>
        <v>136432</v>
      </c>
      <c r="G89" s="113">
        <f>G88-F89</f>
        <v>0</v>
      </c>
      <c r="H89" s="114">
        <f>ROUND(E89*F89,0.1)</f>
        <v>6822</v>
      </c>
      <c r="J89" s="115">
        <f>SUM(J85:J88)</f>
        <v>578932</v>
      </c>
    </row>
    <row r="90" spans="2:12" x14ac:dyDescent="0.2">
      <c r="C90" s="797" t="s">
        <v>212</v>
      </c>
      <c r="D90" s="798"/>
      <c r="E90" s="112">
        <v>0.2</v>
      </c>
      <c r="F90" s="113">
        <f>IF(G89&lt;500000,G89,500000)</f>
        <v>0</v>
      </c>
      <c r="G90" s="113">
        <f>G89-F90</f>
        <v>0</v>
      </c>
      <c r="H90" s="114">
        <f>ROUND(E90*F90,0.1)</f>
        <v>0</v>
      </c>
      <c r="J90" s="16">
        <f>+G85</f>
        <v>386432</v>
      </c>
    </row>
    <row r="91" spans="2:12" x14ac:dyDescent="0.2">
      <c r="C91" s="795" t="s">
        <v>213</v>
      </c>
      <c r="D91" s="796"/>
      <c r="E91" s="112">
        <v>0.3</v>
      </c>
      <c r="F91" s="113">
        <f>G90</f>
        <v>0</v>
      </c>
      <c r="G91" s="113">
        <f>G90-F91</f>
        <v>0</v>
      </c>
      <c r="H91" s="114">
        <f>ROUND(E91*F91,0.1)</f>
        <v>0</v>
      </c>
      <c r="J91" s="16">
        <f>+J89-J90</f>
        <v>192500</v>
      </c>
    </row>
    <row r="92" spans="2:12" ht="12.75" customHeight="1" thickBot="1" x14ac:dyDescent="0.25">
      <c r="B92" s="116"/>
      <c r="C92" s="117"/>
      <c r="D92" s="47"/>
      <c r="E92" s="47"/>
      <c r="F92" s="47"/>
      <c r="J92" s="87">
        <f>+J91/3</f>
        <v>64166.666666666664</v>
      </c>
      <c r="K92" s="118"/>
    </row>
    <row r="93" spans="2:12" ht="13.5" thickBot="1" x14ac:dyDescent="0.25">
      <c r="B93" s="799" t="s">
        <v>239</v>
      </c>
      <c r="C93" s="800"/>
      <c r="D93" s="800"/>
      <c r="E93" s="800"/>
      <c r="F93" s="801"/>
      <c r="G93" s="771">
        <f>H88+H89+H90+H91</f>
        <v>6822</v>
      </c>
      <c r="H93" s="772"/>
      <c r="J93" s="87"/>
      <c r="K93" s="87"/>
    </row>
    <row r="94" spans="2:12" ht="13.5" thickBot="1" x14ac:dyDescent="0.25">
      <c r="B94" s="119" t="s">
        <v>215</v>
      </c>
      <c r="C94" s="120"/>
      <c r="D94" s="120"/>
      <c r="E94" s="120"/>
      <c r="F94" s="120"/>
      <c r="G94" s="895">
        <f>IF((G64&lt;500000),5000,0)</f>
        <v>0</v>
      </c>
      <c r="H94" s="896">
        <f>IF(H92&lt;200000,0,IF(H92&lt;220000,((H92-200000)*10%),IF(H92&lt;=500000,2000,IF(H92&gt;=500000,0))))</f>
        <v>0</v>
      </c>
      <c r="J94" s="1"/>
      <c r="K94" s="121"/>
      <c r="L94" s="121"/>
    </row>
    <row r="95" spans="2:12" ht="13.5" thickBot="1" x14ac:dyDescent="0.25">
      <c r="B95" s="122" t="s">
        <v>216</v>
      </c>
      <c r="C95" s="123"/>
      <c r="D95" s="123"/>
      <c r="E95" s="123"/>
      <c r="F95" s="123"/>
      <c r="G95" s="771">
        <f>IF((G93-G94)&lt;0,0,(G93-G94))</f>
        <v>6822</v>
      </c>
      <c r="H95" s="772"/>
      <c r="I95" s="37"/>
    </row>
    <row r="96" spans="2:12" ht="13.5" thickBot="1" x14ac:dyDescent="0.25">
      <c r="B96" s="773" t="s">
        <v>240</v>
      </c>
      <c r="C96" s="774"/>
      <c r="D96" s="774"/>
      <c r="E96" s="774"/>
      <c r="F96" s="775"/>
      <c r="G96" s="776">
        <f>ROUND((IF(G95&gt;0,(G95*4%),0)),0)</f>
        <v>273</v>
      </c>
      <c r="H96" s="777"/>
      <c r="I96" s="37"/>
    </row>
    <row r="97" spans="2:9" ht="13.5" thickBot="1" x14ac:dyDescent="0.25">
      <c r="B97" s="778" t="s">
        <v>218</v>
      </c>
      <c r="C97" s="779"/>
      <c r="D97" s="779"/>
      <c r="E97" s="779"/>
      <c r="F97" s="779"/>
      <c r="G97" s="780">
        <f>G95+G96</f>
        <v>7095</v>
      </c>
      <c r="H97" s="781"/>
      <c r="I97" s="121"/>
    </row>
    <row r="98" spans="2:9" ht="13.5" thickBot="1" x14ac:dyDescent="0.25">
      <c r="B98" s="765" t="s">
        <v>219</v>
      </c>
      <c r="C98" s="766"/>
      <c r="D98" s="766"/>
      <c r="E98" s="766"/>
      <c r="F98" s="766"/>
      <c r="G98" s="767">
        <f>O38</f>
        <v>7100</v>
      </c>
      <c r="H98" s="768"/>
      <c r="I98" s="121"/>
    </row>
    <row r="99" spans="2:9" ht="13.5" thickBot="1" x14ac:dyDescent="0.25">
      <c r="B99" s="765" t="str">
        <f>IF(G99&gt;0,"TAX PAYABLE","TAX REFUND")</f>
        <v>TAX REFUND</v>
      </c>
      <c r="C99" s="766"/>
      <c r="D99" s="766"/>
      <c r="E99" s="766"/>
      <c r="F99" s="766"/>
      <c r="G99" s="767">
        <f>+G97-G98</f>
        <v>-5</v>
      </c>
      <c r="H99" s="768"/>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4">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8:A48"/>
    <mergeCell ref="A5:C5"/>
    <mergeCell ref="D5:F5"/>
    <mergeCell ref="G5:H5"/>
    <mergeCell ref="I5:O5"/>
    <mergeCell ref="A6:C6"/>
    <mergeCell ref="D6:F6"/>
    <mergeCell ref="G6:H6"/>
    <mergeCell ref="J6:O6"/>
    <mergeCell ref="L7:O7"/>
    <mergeCell ref="A21:A33"/>
    <mergeCell ref="A34:B34"/>
    <mergeCell ref="A35:B35"/>
    <mergeCell ref="A36:B36"/>
    <mergeCell ref="A49:B49"/>
    <mergeCell ref="A50:B50"/>
    <mergeCell ref="B53:F53"/>
    <mergeCell ref="G53:H53"/>
    <mergeCell ref="B55:B57"/>
    <mergeCell ref="C55:C57"/>
    <mergeCell ref="D55:F55"/>
    <mergeCell ref="G55:H55"/>
    <mergeCell ref="D56:F56"/>
    <mergeCell ref="G56:H56"/>
    <mergeCell ref="B64:F64"/>
    <mergeCell ref="G64:H64"/>
    <mergeCell ref="J56:L56"/>
    <mergeCell ref="M56:O56"/>
    <mergeCell ref="D57:F57"/>
    <mergeCell ref="G57:H57"/>
    <mergeCell ref="B59:F59"/>
    <mergeCell ref="G59:H59"/>
    <mergeCell ref="J59:O59"/>
    <mergeCell ref="B61:F61"/>
    <mergeCell ref="G61:H61"/>
    <mergeCell ref="C62:F62"/>
    <mergeCell ref="G62:H62"/>
    <mergeCell ref="J62:O62"/>
    <mergeCell ref="D78:F78"/>
    <mergeCell ref="J67:K67"/>
    <mergeCell ref="B68:B82"/>
    <mergeCell ref="C68:C74"/>
    <mergeCell ref="D68:F68"/>
    <mergeCell ref="D69:F69"/>
    <mergeCell ref="J69:K69"/>
    <mergeCell ref="D70:F70"/>
    <mergeCell ref="J70:K70"/>
    <mergeCell ref="D71:F71"/>
    <mergeCell ref="D72:F72"/>
    <mergeCell ref="D73:F73"/>
    <mergeCell ref="D74:F74"/>
    <mergeCell ref="D75:F75"/>
    <mergeCell ref="D76:F76"/>
    <mergeCell ref="E77:F77"/>
    <mergeCell ref="C91:D91"/>
    <mergeCell ref="D79:F79"/>
    <mergeCell ref="D80:F80"/>
    <mergeCell ref="D81:F81"/>
    <mergeCell ref="D82:F82"/>
    <mergeCell ref="B83:F83"/>
    <mergeCell ref="B85:F85"/>
    <mergeCell ref="G85:H85"/>
    <mergeCell ref="C87:D87"/>
    <mergeCell ref="C88:D88"/>
    <mergeCell ref="C89:D89"/>
    <mergeCell ref="C90:D90"/>
    <mergeCell ref="B93:F93"/>
    <mergeCell ref="G93:H93"/>
    <mergeCell ref="G94:H94"/>
    <mergeCell ref="G95:H95"/>
    <mergeCell ref="B96:F96"/>
    <mergeCell ref="G96:H96"/>
    <mergeCell ref="B97:F97"/>
    <mergeCell ref="G97:H97"/>
    <mergeCell ref="B98:F98"/>
    <mergeCell ref="G98:H98"/>
    <mergeCell ref="B99:F99"/>
    <mergeCell ref="G99:H99"/>
  </mergeCells>
  <conditionalFormatting sqref="B90:F90 B99:F99 B93:F97">
    <cfRule type="cellIs" dxfId="1943" priority="3" stopIfTrue="1" operator="equal">
      <formula>"TAX PAYABLE"</formula>
    </cfRule>
    <cfRule type="cellIs" dxfId="1942" priority="4" stopIfTrue="1" operator="equal">
      <formula>"TAX REFUND"</formula>
    </cfRule>
  </conditionalFormatting>
  <conditionalFormatting sqref="G90:H90">
    <cfRule type="cellIs" dxfId="1941" priority="5" stopIfTrue="1" operator="lessThan">
      <formula>0</formula>
    </cfRule>
    <cfRule type="cellIs" dxfId="1940" priority="6" stopIfTrue="1" operator="greaterThan">
      <formula>0</formula>
    </cfRule>
  </conditionalFormatting>
  <conditionalFormatting sqref="G99:H99">
    <cfRule type="cellIs" dxfId="1939" priority="1" stopIfTrue="1" operator="greaterThan">
      <formula>0</formula>
    </cfRule>
    <cfRule type="cellIs" dxfId="1938"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07"/>
  <sheetViews>
    <sheetView topLeftCell="A56" workbookViewId="0">
      <selection activeCell="M79" sqref="M79"/>
    </sheetView>
  </sheetViews>
  <sheetFormatPr defaultRowHeight="12.75" x14ac:dyDescent="0.2"/>
  <cols>
    <col min="1" max="1" width="5" style="16" customWidth="1"/>
    <col min="2" max="2" width="18.28515625" style="37" customWidth="1"/>
    <col min="3" max="3" width="8.28515625" style="16" customWidth="1"/>
    <col min="4" max="4" width="8.140625" style="16" customWidth="1"/>
    <col min="5" max="8" width="7.85546875" style="16" customWidth="1"/>
    <col min="9" max="9" width="7.5703125" style="16" customWidth="1"/>
    <col min="10" max="10" width="8.28515625" style="16" customWidth="1"/>
    <col min="11" max="12" width="7" style="16" bestFit="1" customWidth="1"/>
    <col min="13" max="13" width="6.85546875" style="16" bestFit="1" customWidth="1"/>
    <col min="14" max="14" width="7" style="16" bestFit="1" customWidth="1"/>
    <col min="15" max="15" width="7.140625" style="16" bestFit="1"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8.28515625" style="16" customWidth="1"/>
    <col min="259" max="259" width="8.28515625" style="16" customWidth="1"/>
    <col min="260" max="260" width="8.140625" style="16" customWidth="1"/>
    <col min="261" max="264" width="7.85546875" style="16" customWidth="1"/>
    <col min="265" max="265" width="7.5703125" style="16" customWidth="1"/>
    <col min="266" max="266" width="8.28515625" style="16" customWidth="1"/>
    <col min="267" max="268" width="7" style="16" bestFit="1" customWidth="1"/>
    <col min="269" max="269" width="6.85546875" style="16" bestFit="1" customWidth="1"/>
    <col min="270" max="270" width="7" style="16" bestFit="1" customWidth="1"/>
    <col min="271" max="271" width="7.140625" style="16" bestFit="1"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8.28515625" style="16" customWidth="1"/>
    <col min="515" max="515" width="8.28515625" style="16" customWidth="1"/>
    <col min="516" max="516" width="8.140625" style="16" customWidth="1"/>
    <col min="517" max="520" width="7.85546875" style="16" customWidth="1"/>
    <col min="521" max="521" width="7.5703125" style="16" customWidth="1"/>
    <col min="522" max="522" width="8.28515625" style="16" customWidth="1"/>
    <col min="523" max="524" width="7" style="16" bestFit="1" customWidth="1"/>
    <col min="525" max="525" width="6.85546875" style="16" bestFit="1" customWidth="1"/>
    <col min="526" max="526" width="7" style="16" bestFit="1" customWidth="1"/>
    <col min="527" max="527" width="7.140625" style="16" bestFit="1"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8.28515625" style="16" customWidth="1"/>
    <col min="771" max="771" width="8.28515625" style="16" customWidth="1"/>
    <col min="772" max="772" width="8.140625" style="16" customWidth="1"/>
    <col min="773" max="776" width="7.85546875" style="16" customWidth="1"/>
    <col min="777" max="777" width="7.5703125" style="16" customWidth="1"/>
    <col min="778" max="778" width="8.28515625" style="16" customWidth="1"/>
    <col min="779" max="780" width="7" style="16" bestFit="1" customWidth="1"/>
    <col min="781" max="781" width="6.85546875" style="16" bestFit="1" customWidth="1"/>
    <col min="782" max="782" width="7" style="16" bestFit="1" customWidth="1"/>
    <col min="783" max="783" width="7.140625" style="16" bestFit="1"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8.28515625" style="16" customWidth="1"/>
    <col min="1027" max="1027" width="8.28515625" style="16" customWidth="1"/>
    <col min="1028" max="1028" width="8.140625" style="16" customWidth="1"/>
    <col min="1029" max="1032" width="7.85546875" style="16" customWidth="1"/>
    <col min="1033" max="1033" width="7.5703125" style="16" customWidth="1"/>
    <col min="1034" max="1034" width="8.28515625" style="16" customWidth="1"/>
    <col min="1035" max="1036" width="7" style="16" bestFit="1" customWidth="1"/>
    <col min="1037" max="1037" width="6.85546875" style="16" bestFit="1" customWidth="1"/>
    <col min="1038" max="1038" width="7" style="16" bestFit="1" customWidth="1"/>
    <col min="1039" max="1039" width="7.140625" style="16" bestFit="1"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8.28515625" style="16" customWidth="1"/>
    <col min="1283" max="1283" width="8.28515625" style="16" customWidth="1"/>
    <col min="1284" max="1284" width="8.140625" style="16" customWidth="1"/>
    <col min="1285" max="1288" width="7.85546875" style="16" customWidth="1"/>
    <col min="1289" max="1289" width="7.5703125" style="16" customWidth="1"/>
    <col min="1290" max="1290" width="8.28515625" style="16" customWidth="1"/>
    <col min="1291" max="1292" width="7" style="16" bestFit="1" customWidth="1"/>
    <col min="1293" max="1293" width="6.85546875" style="16" bestFit="1" customWidth="1"/>
    <col min="1294" max="1294" width="7" style="16" bestFit="1" customWidth="1"/>
    <col min="1295" max="1295" width="7.140625" style="16" bestFit="1"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8.28515625" style="16" customWidth="1"/>
    <col min="1539" max="1539" width="8.28515625" style="16" customWidth="1"/>
    <col min="1540" max="1540" width="8.140625" style="16" customWidth="1"/>
    <col min="1541" max="1544" width="7.85546875" style="16" customWidth="1"/>
    <col min="1545" max="1545" width="7.5703125" style="16" customWidth="1"/>
    <col min="1546" max="1546" width="8.28515625" style="16" customWidth="1"/>
    <col min="1547" max="1548" width="7" style="16" bestFit="1" customWidth="1"/>
    <col min="1549" max="1549" width="6.85546875" style="16" bestFit="1" customWidth="1"/>
    <col min="1550" max="1550" width="7" style="16" bestFit="1" customWidth="1"/>
    <col min="1551" max="1551" width="7.140625" style="16" bestFit="1"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8.28515625" style="16" customWidth="1"/>
    <col min="1795" max="1795" width="8.28515625" style="16" customWidth="1"/>
    <col min="1796" max="1796" width="8.140625" style="16" customWidth="1"/>
    <col min="1797" max="1800" width="7.85546875" style="16" customWidth="1"/>
    <col min="1801" max="1801" width="7.5703125" style="16" customWidth="1"/>
    <col min="1802" max="1802" width="8.28515625" style="16" customWidth="1"/>
    <col min="1803" max="1804" width="7" style="16" bestFit="1" customWidth="1"/>
    <col min="1805" max="1805" width="6.85546875" style="16" bestFit="1" customWidth="1"/>
    <col min="1806" max="1806" width="7" style="16" bestFit="1" customWidth="1"/>
    <col min="1807" max="1807" width="7.140625" style="16" bestFit="1"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8.28515625" style="16" customWidth="1"/>
    <col min="2051" max="2051" width="8.28515625" style="16" customWidth="1"/>
    <col min="2052" max="2052" width="8.140625" style="16" customWidth="1"/>
    <col min="2053" max="2056" width="7.85546875" style="16" customWidth="1"/>
    <col min="2057" max="2057" width="7.5703125" style="16" customWidth="1"/>
    <col min="2058" max="2058" width="8.28515625" style="16" customWidth="1"/>
    <col min="2059" max="2060" width="7" style="16" bestFit="1" customWidth="1"/>
    <col min="2061" max="2061" width="6.85546875" style="16" bestFit="1" customWidth="1"/>
    <col min="2062" max="2062" width="7" style="16" bestFit="1" customWidth="1"/>
    <col min="2063" max="2063" width="7.140625" style="16" bestFit="1"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8.28515625" style="16" customWidth="1"/>
    <col min="2307" max="2307" width="8.28515625" style="16" customWidth="1"/>
    <col min="2308" max="2308" width="8.140625" style="16" customWidth="1"/>
    <col min="2309" max="2312" width="7.85546875" style="16" customWidth="1"/>
    <col min="2313" max="2313" width="7.5703125" style="16" customWidth="1"/>
    <col min="2314" max="2314" width="8.28515625" style="16" customWidth="1"/>
    <col min="2315" max="2316" width="7" style="16" bestFit="1" customWidth="1"/>
    <col min="2317" max="2317" width="6.85546875" style="16" bestFit="1" customWidth="1"/>
    <col min="2318" max="2318" width="7" style="16" bestFit="1" customWidth="1"/>
    <col min="2319" max="2319" width="7.140625" style="16" bestFit="1"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8.28515625" style="16" customWidth="1"/>
    <col min="2563" max="2563" width="8.28515625" style="16" customWidth="1"/>
    <col min="2564" max="2564" width="8.140625" style="16" customWidth="1"/>
    <col min="2565" max="2568" width="7.85546875" style="16" customWidth="1"/>
    <col min="2569" max="2569" width="7.5703125" style="16" customWidth="1"/>
    <col min="2570" max="2570" width="8.28515625" style="16" customWidth="1"/>
    <col min="2571" max="2572" width="7" style="16" bestFit="1" customWidth="1"/>
    <col min="2573" max="2573" width="6.85546875" style="16" bestFit="1" customWidth="1"/>
    <col min="2574" max="2574" width="7" style="16" bestFit="1" customWidth="1"/>
    <col min="2575" max="2575" width="7.140625" style="16" bestFit="1"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8.28515625" style="16" customWidth="1"/>
    <col min="2819" max="2819" width="8.28515625" style="16" customWidth="1"/>
    <col min="2820" max="2820" width="8.140625" style="16" customWidth="1"/>
    <col min="2821" max="2824" width="7.85546875" style="16" customWidth="1"/>
    <col min="2825" max="2825" width="7.5703125" style="16" customWidth="1"/>
    <col min="2826" max="2826" width="8.28515625" style="16" customWidth="1"/>
    <col min="2827" max="2828" width="7" style="16" bestFit="1" customWidth="1"/>
    <col min="2829" max="2829" width="6.85546875" style="16" bestFit="1" customWidth="1"/>
    <col min="2830" max="2830" width="7" style="16" bestFit="1" customWidth="1"/>
    <col min="2831" max="2831" width="7.140625" style="16" bestFit="1"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8.28515625" style="16" customWidth="1"/>
    <col min="3075" max="3075" width="8.28515625" style="16" customWidth="1"/>
    <col min="3076" max="3076" width="8.140625" style="16" customWidth="1"/>
    <col min="3077" max="3080" width="7.85546875" style="16" customWidth="1"/>
    <col min="3081" max="3081" width="7.5703125" style="16" customWidth="1"/>
    <col min="3082" max="3082" width="8.28515625" style="16" customWidth="1"/>
    <col min="3083" max="3084" width="7" style="16" bestFit="1" customWidth="1"/>
    <col min="3085" max="3085" width="6.85546875" style="16" bestFit="1" customWidth="1"/>
    <col min="3086" max="3086" width="7" style="16" bestFit="1" customWidth="1"/>
    <col min="3087" max="3087" width="7.140625" style="16" bestFit="1"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8.28515625" style="16" customWidth="1"/>
    <col min="3331" max="3331" width="8.28515625" style="16" customWidth="1"/>
    <col min="3332" max="3332" width="8.140625" style="16" customWidth="1"/>
    <col min="3333" max="3336" width="7.85546875" style="16" customWidth="1"/>
    <col min="3337" max="3337" width="7.5703125" style="16" customWidth="1"/>
    <col min="3338" max="3338" width="8.28515625" style="16" customWidth="1"/>
    <col min="3339" max="3340" width="7" style="16" bestFit="1" customWidth="1"/>
    <col min="3341" max="3341" width="6.85546875" style="16" bestFit="1" customWidth="1"/>
    <col min="3342" max="3342" width="7" style="16" bestFit="1" customWidth="1"/>
    <col min="3343" max="3343" width="7.140625" style="16" bestFit="1"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8.28515625" style="16" customWidth="1"/>
    <col min="3587" max="3587" width="8.28515625" style="16" customWidth="1"/>
    <col min="3588" max="3588" width="8.140625" style="16" customWidth="1"/>
    <col min="3589" max="3592" width="7.85546875" style="16" customWidth="1"/>
    <col min="3593" max="3593" width="7.5703125" style="16" customWidth="1"/>
    <col min="3594" max="3594" width="8.28515625" style="16" customWidth="1"/>
    <col min="3595" max="3596" width="7" style="16" bestFit="1" customWidth="1"/>
    <col min="3597" max="3597" width="6.85546875" style="16" bestFit="1" customWidth="1"/>
    <col min="3598" max="3598" width="7" style="16" bestFit="1" customWidth="1"/>
    <col min="3599" max="3599" width="7.140625" style="16" bestFit="1"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8.28515625" style="16" customWidth="1"/>
    <col min="3843" max="3843" width="8.28515625" style="16" customWidth="1"/>
    <col min="3844" max="3844" width="8.140625" style="16" customWidth="1"/>
    <col min="3845" max="3848" width="7.85546875" style="16" customWidth="1"/>
    <col min="3849" max="3849" width="7.5703125" style="16" customWidth="1"/>
    <col min="3850" max="3850" width="8.28515625" style="16" customWidth="1"/>
    <col min="3851" max="3852" width="7" style="16" bestFit="1" customWidth="1"/>
    <col min="3853" max="3853" width="6.85546875" style="16" bestFit="1" customWidth="1"/>
    <col min="3854" max="3854" width="7" style="16" bestFit="1" customWidth="1"/>
    <col min="3855" max="3855" width="7.140625" style="16" bestFit="1"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8.28515625" style="16" customWidth="1"/>
    <col min="4099" max="4099" width="8.28515625" style="16" customWidth="1"/>
    <col min="4100" max="4100" width="8.140625" style="16" customWidth="1"/>
    <col min="4101" max="4104" width="7.85546875" style="16" customWidth="1"/>
    <col min="4105" max="4105" width="7.5703125" style="16" customWidth="1"/>
    <col min="4106" max="4106" width="8.28515625" style="16" customWidth="1"/>
    <col min="4107" max="4108" width="7" style="16" bestFit="1" customWidth="1"/>
    <col min="4109" max="4109" width="6.85546875" style="16" bestFit="1" customWidth="1"/>
    <col min="4110" max="4110" width="7" style="16" bestFit="1" customWidth="1"/>
    <col min="4111" max="4111" width="7.140625" style="16" bestFit="1"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8.28515625" style="16" customWidth="1"/>
    <col min="4355" max="4355" width="8.28515625" style="16" customWidth="1"/>
    <col min="4356" max="4356" width="8.140625" style="16" customWidth="1"/>
    <col min="4357" max="4360" width="7.85546875" style="16" customWidth="1"/>
    <col min="4361" max="4361" width="7.5703125" style="16" customWidth="1"/>
    <col min="4362" max="4362" width="8.28515625" style="16" customWidth="1"/>
    <col min="4363" max="4364" width="7" style="16" bestFit="1" customWidth="1"/>
    <col min="4365" max="4365" width="6.85546875" style="16" bestFit="1" customWidth="1"/>
    <col min="4366" max="4366" width="7" style="16" bestFit="1" customWidth="1"/>
    <col min="4367" max="4367" width="7.140625" style="16" bestFit="1"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8.28515625" style="16" customWidth="1"/>
    <col min="4611" max="4611" width="8.28515625" style="16" customWidth="1"/>
    <col min="4612" max="4612" width="8.140625" style="16" customWidth="1"/>
    <col min="4613" max="4616" width="7.85546875" style="16" customWidth="1"/>
    <col min="4617" max="4617" width="7.5703125" style="16" customWidth="1"/>
    <col min="4618" max="4618" width="8.28515625" style="16" customWidth="1"/>
    <col min="4619" max="4620" width="7" style="16" bestFit="1" customWidth="1"/>
    <col min="4621" max="4621" width="6.85546875" style="16" bestFit="1" customWidth="1"/>
    <col min="4622" max="4622" width="7" style="16" bestFit="1" customWidth="1"/>
    <col min="4623" max="4623" width="7.140625" style="16" bestFit="1"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8.28515625" style="16" customWidth="1"/>
    <col min="4867" max="4867" width="8.28515625" style="16" customWidth="1"/>
    <col min="4868" max="4868" width="8.140625" style="16" customWidth="1"/>
    <col min="4869" max="4872" width="7.85546875" style="16" customWidth="1"/>
    <col min="4873" max="4873" width="7.5703125" style="16" customWidth="1"/>
    <col min="4874" max="4874" width="8.28515625" style="16" customWidth="1"/>
    <col min="4875" max="4876" width="7" style="16" bestFit="1" customWidth="1"/>
    <col min="4877" max="4877" width="6.85546875" style="16" bestFit="1" customWidth="1"/>
    <col min="4878" max="4878" width="7" style="16" bestFit="1" customWidth="1"/>
    <col min="4879" max="4879" width="7.140625" style="16" bestFit="1"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8.28515625" style="16" customWidth="1"/>
    <col min="5123" max="5123" width="8.28515625" style="16" customWidth="1"/>
    <col min="5124" max="5124" width="8.140625" style="16" customWidth="1"/>
    <col min="5125" max="5128" width="7.85546875" style="16" customWidth="1"/>
    <col min="5129" max="5129" width="7.5703125" style="16" customWidth="1"/>
    <col min="5130" max="5130" width="8.28515625" style="16" customWidth="1"/>
    <col min="5131" max="5132" width="7" style="16" bestFit="1" customWidth="1"/>
    <col min="5133" max="5133" width="6.85546875" style="16" bestFit="1" customWidth="1"/>
    <col min="5134" max="5134" width="7" style="16" bestFit="1" customWidth="1"/>
    <col min="5135" max="5135" width="7.140625" style="16" bestFit="1"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8.28515625" style="16" customWidth="1"/>
    <col min="5379" max="5379" width="8.28515625" style="16" customWidth="1"/>
    <col min="5380" max="5380" width="8.140625" style="16" customWidth="1"/>
    <col min="5381" max="5384" width="7.85546875" style="16" customWidth="1"/>
    <col min="5385" max="5385" width="7.5703125" style="16" customWidth="1"/>
    <col min="5386" max="5386" width="8.28515625" style="16" customWidth="1"/>
    <col min="5387" max="5388" width="7" style="16" bestFit="1" customWidth="1"/>
    <col min="5389" max="5389" width="6.85546875" style="16" bestFit="1" customWidth="1"/>
    <col min="5390" max="5390" width="7" style="16" bestFit="1" customWidth="1"/>
    <col min="5391" max="5391" width="7.140625" style="16" bestFit="1"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8.28515625" style="16" customWidth="1"/>
    <col min="5635" max="5635" width="8.28515625" style="16" customWidth="1"/>
    <col min="5636" max="5636" width="8.140625" style="16" customWidth="1"/>
    <col min="5637" max="5640" width="7.85546875" style="16" customWidth="1"/>
    <col min="5641" max="5641" width="7.5703125" style="16" customWidth="1"/>
    <col min="5642" max="5642" width="8.28515625" style="16" customWidth="1"/>
    <col min="5643" max="5644" width="7" style="16" bestFit="1" customWidth="1"/>
    <col min="5645" max="5645" width="6.85546875" style="16" bestFit="1" customWidth="1"/>
    <col min="5646" max="5646" width="7" style="16" bestFit="1" customWidth="1"/>
    <col min="5647" max="5647" width="7.140625" style="16" bestFit="1"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8.28515625" style="16" customWidth="1"/>
    <col min="5891" max="5891" width="8.28515625" style="16" customWidth="1"/>
    <col min="5892" max="5892" width="8.140625" style="16" customWidth="1"/>
    <col min="5893" max="5896" width="7.85546875" style="16" customWidth="1"/>
    <col min="5897" max="5897" width="7.5703125" style="16" customWidth="1"/>
    <col min="5898" max="5898" width="8.28515625" style="16" customWidth="1"/>
    <col min="5899" max="5900" width="7" style="16" bestFit="1" customWidth="1"/>
    <col min="5901" max="5901" width="6.85546875" style="16" bestFit="1" customWidth="1"/>
    <col min="5902" max="5902" width="7" style="16" bestFit="1" customWidth="1"/>
    <col min="5903" max="5903" width="7.140625" style="16" bestFit="1"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8.28515625" style="16" customWidth="1"/>
    <col min="6147" max="6147" width="8.28515625" style="16" customWidth="1"/>
    <col min="6148" max="6148" width="8.140625" style="16" customWidth="1"/>
    <col min="6149" max="6152" width="7.85546875" style="16" customWidth="1"/>
    <col min="6153" max="6153" width="7.5703125" style="16" customWidth="1"/>
    <col min="6154" max="6154" width="8.28515625" style="16" customWidth="1"/>
    <col min="6155" max="6156" width="7" style="16" bestFit="1" customWidth="1"/>
    <col min="6157" max="6157" width="6.85546875" style="16" bestFit="1" customWidth="1"/>
    <col min="6158" max="6158" width="7" style="16" bestFit="1" customWidth="1"/>
    <col min="6159" max="6159" width="7.140625" style="16" bestFit="1"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8.28515625" style="16" customWidth="1"/>
    <col min="6403" max="6403" width="8.28515625" style="16" customWidth="1"/>
    <col min="6404" max="6404" width="8.140625" style="16" customWidth="1"/>
    <col min="6405" max="6408" width="7.85546875" style="16" customWidth="1"/>
    <col min="6409" max="6409" width="7.5703125" style="16" customWidth="1"/>
    <col min="6410" max="6410" width="8.28515625" style="16" customWidth="1"/>
    <col min="6411" max="6412" width="7" style="16" bestFit="1" customWidth="1"/>
    <col min="6413" max="6413" width="6.85546875" style="16" bestFit="1" customWidth="1"/>
    <col min="6414" max="6414" width="7" style="16" bestFit="1" customWidth="1"/>
    <col min="6415" max="6415" width="7.140625" style="16" bestFit="1"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8.28515625" style="16" customWidth="1"/>
    <col min="6659" max="6659" width="8.28515625" style="16" customWidth="1"/>
    <col min="6660" max="6660" width="8.140625" style="16" customWidth="1"/>
    <col min="6661" max="6664" width="7.85546875" style="16" customWidth="1"/>
    <col min="6665" max="6665" width="7.5703125" style="16" customWidth="1"/>
    <col min="6666" max="6666" width="8.28515625" style="16" customWidth="1"/>
    <col min="6667" max="6668" width="7" style="16" bestFit="1" customWidth="1"/>
    <col min="6669" max="6669" width="6.85546875" style="16" bestFit="1" customWidth="1"/>
    <col min="6670" max="6670" width="7" style="16" bestFit="1" customWidth="1"/>
    <col min="6671" max="6671" width="7.140625" style="16" bestFit="1"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8.28515625" style="16" customWidth="1"/>
    <col min="6915" max="6915" width="8.28515625" style="16" customWidth="1"/>
    <col min="6916" max="6916" width="8.140625" style="16" customWidth="1"/>
    <col min="6917" max="6920" width="7.85546875" style="16" customWidth="1"/>
    <col min="6921" max="6921" width="7.5703125" style="16" customWidth="1"/>
    <col min="6922" max="6922" width="8.28515625" style="16" customWidth="1"/>
    <col min="6923" max="6924" width="7" style="16" bestFit="1" customWidth="1"/>
    <col min="6925" max="6925" width="6.85546875" style="16" bestFit="1" customWidth="1"/>
    <col min="6926" max="6926" width="7" style="16" bestFit="1" customWidth="1"/>
    <col min="6927" max="6927" width="7.140625" style="16" bestFit="1"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8.28515625" style="16" customWidth="1"/>
    <col min="7171" max="7171" width="8.28515625" style="16" customWidth="1"/>
    <col min="7172" max="7172" width="8.140625" style="16" customWidth="1"/>
    <col min="7173" max="7176" width="7.85546875" style="16" customWidth="1"/>
    <col min="7177" max="7177" width="7.5703125" style="16" customWidth="1"/>
    <col min="7178" max="7178" width="8.28515625" style="16" customWidth="1"/>
    <col min="7179" max="7180" width="7" style="16" bestFit="1" customWidth="1"/>
    <col min="7181" max="7181" width="6.85546875" style="16" bestFit="1" customWidth="1"/>
    <col min="7182" max="7182" width="7" style="16" bestFit="1" customWidth="1"/>
    <col min="7183" max="7183" width="7.140625" style="16" bestFit="1"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8.28515625" style="16" customWidth="1"/>
    <col min="7427" max="7427" width="8.28515625" style="16" customWidth="1"/>
    <col min="7428" max="7428" width="8.140625" style="16" customWidth="1"/>
    <col min="7429" max="7432" width="7.85546875" style="16" customWidth="1"/>
    <col min="7433" max="7433" width="7.5703125" style="16" customWidth="1"/>
    <col min="7434" max="7434" width="8.28515625" style="16" customWidth="1"/>
    <col min="7435" max="7436" width="7" style="16" bestFit="1" customWidth="1"/>
    <col min="7437" max="7437" width="6.85546875" style="16" bestFit="1" customWidth="1"/>
    <col min="7438" max="7438" width="7" style="16" bestFit="1" customWidth="1"/>
    <col min="7439" max="7439" width="7.140625" style="16" bestFit="1"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8.28515625" style="16" customWidth="1"/>
    <col min="7683" max="7683" width="8.28515625" style="16" customWidth="1"/>
    <col min="7684" max="7684" width="8.140625" style="16" customWidth="1"/>
    <col min="7685" max="7688" width="7.85546875" style="16" customWidth="1"/>
    <col min="7689" max="7689" width="7.5703125" style="16" customWidth="1"/>
    <col min="7690" max="7690" width="8.28515625" style="16" customWidth="1"/>
    <col min="7691" max="7692" width="7" style="16" bestFit="1" customWidth="1"/>
    <col min="7693" max="7693" width="6.85546875" style="16" bestFit="1" customWidth="1"/>
    <col min="7694" max="7694" width="7" style="16" bestFit="1" customWidth="1"/>
    <col min="7695" max="7695" width="7.140625" style="16" bestFit="1"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8.28515625" style="16" customWidth="1"/>
    <col min="7939" max="7939" width="8.28515625" style="16" customWidth="1"/>
    <col min="7940" max="7940" width="8.140625" style="16" customWidth="1"/>
    <col min="7941" max="7944" width="7.85546875" style="16" customWidth="1"/>
    <col min="7945" max="7945" width="7.5703125" style="16" customWidth="1"/>
    <col min="7946" max="7946" width="8.28515625" style="16" customWidth="1"/>
    <col min="7947" max="7948" width="7" style="16" bestFit="1" customWidth="1"/>
    <col min="7949" max="7949" width="6.85546875" style="16" bestFit="1" customWidth="1"/>
    <col min="7950" max="7950" width="7" style="16" bestFit="1" customWidth="1"/>
    <col min="7951" max="7951" width="7.140625" style="16" bestFit="1"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8.28515625" style="16" customWidth="1"/>
    <col min="8195" max="8195" width="8.28515625" style="16" customWidth="1"/>
    <col min="8196" max="8196" width="8.140625" style="16" customWidth="1"/>
    <col min="8197" max="8200" width="7.85546875" style="16" customWidth="1"/>
    <col min="8201" max="8201" width="7.5703125" style="16" customWidth="1"/>
    <col min="8202" max="8202" width="8.28515625" style="16" customWidth="1"/>
    <col min="8203" max="8204" width="7" style="16" bestFit="1" customWidth="1"/>
    <col min="8205" max="8205" width="6.85546875" style="16" bestFit="1" customWidth="1"/>
    <col min="8206" max="8206" width="7" style="16" bestFit="1" customWidth="1"/>
    <col min="8207" max="8207" width="7.140625" style="16" bestFit="1"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8.28515625" style="16" customWidth="1"/>
    <col min="8451" max="8451" width="8.28515625" style="16" customWidth="1"/>
    <col min="8452" max="8452" width="8.140625" style="16" customWidth="1"/>
    <col min="8453" max="8456" width="7.85546875" style="16" customWidth="1"/>
    <col min="8457" max="8457" width="7.5703125" style="16" customWidth="1"/>
    <col min="8458" max="8458" width="8.28515625" style="16" customWidth="1"/>
    <col min="8459" max="8460" width="7" style="16" bestFit="1" customWidth="1"/>
    <col min="8461" max="8461" width="6.85546875" style="16" bestFit="1" customWidth="1"/>
    <col min="8462" max="8462" width="7" style="16" bestFit="1" customWidth="1"/>
    <col min="8463" max="8463" width="7.140625" style="16" bestFit="1"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8.28515625" style="16" customWidth="1"/>
    <col min="8707" max="8707" width="8.28515625" style="16" customWidth="1"/>
    <col min="8708" max="8708" width="8.140625" style="16" customWidth="1"/>
    <col min="8709" max="8712" width="7.85546875" style="16" customWidth="1"/>
    <col min="8713" max="8713" width="7.5703125" style="16" customWidth="1"/>
    <col min="8714" max="8714" width="8.28515625" style="16" customWidth="1"/>
    <col min="8715" max="8716" width="7" style="16" bestFit="1" customWidth="1"/>
    <col min="8717" max="8717" width="6.85546875" style="16" bestFit="1" customWidth="1"/>
    <col min="8718" max="8718" width="7" style="16" bestFit="1" customWidth="1"/>
    <col min="8719" max="8719" width="7.140625" style="16" bestFit="1"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8.28515625" style="16" customWidth="1"/>
    <col min="8963" max="8963" width="8.28515625" style="16" customWidth="1"/>
    <col min="8964" max="8964" width="8.140625" style="16" customWidth="1"/>
    <col min="8965" max="8968" width="7.85546875" style="16" customWidth="1"/>
    <col min="8969" max="8969" width="7.5703125" style="16" customWidth="1"/>
    <col min="8970" max="8970" width="8.28515625" style="16" customWidth="1"/>
    <col min="8971" max="8972" width="7" style="16" bestFit="1" customWidth="1"/>
    <col min="8973" max="8973" width="6.85546875" style="16" bestFit="1" customWidth="1"/>
    <col min="8974" max="8974" width="7" style="16" bestFit="1" customWidth="1"/>
    <col min="8975" max="8975" width="7.140625" style="16" bestFit="1"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8.28515625" style="16" customWidth="1"/>
    <col min="9219" max="9219" width="8.28515625" style="16" customWidth="1"/>
    <col min="9220" max="9220" width="8.140625" style="16" customWidth="1"/>
    <col min="9221" max="9224" width="7.85546875" style="16" customWidth="1"/>
    <col min="9225" max="9225" width="7.5703125" style="16" customWidth="1"/>
    <col min="9226" max="9226" width="8.28515625" style="16" customWidth="1"/>
    <col min="9227" max="9228" width="7" style="16" bestFit="1" customWidth="1"/>
    <col min="9229" max="9229" width="6.85546875" style="16" bestFit="1" customWidth="1"/>
    <col min="9230" max="9230" width="7" style="16" bestFit="1" customWidth="1"/>
    <col min="9231" max="9231" width="7.140625" style="16" bestFit="1"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8.28515625" style="16" customWidth="1"/>
    <col min="9475" max="9475" width="8.28515625" style="16" customWidth="1"/>
    <col min="9476" max="9476" width="8.140625" style="16" customWidth="1"/>
    <col min="9477" max="9480" width="7.85546875" style="16" customWidth="1"/>
    <col min="9481" max="9481" width="7.5703125" style="16" customWidth="1"/>
    <col min="9482" max="9482" width="8.28515625" style="16" customWidth="1"/>
    <col min="9483" max="9484" width="7" style="16" bestFit="1" customWidth="1"/>
    <col min="9485" max="9485" width="6.85546875" style="16" bestFit="1" customWidth="1"/>
    <col min="9486" max="9486" width="7" style="16" bestFit="1" customWidth="1"/>
    <col min="9487" max="9487" width="7.140625" style="16" bestFit="1"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8.28515625" style="16" customWidth="1"/>
    <col min="9731" max="9731" width="8.28515625" style="16" customWidth="1"/>
    <col min="9732" max="9732" width="8.140625" style="16" customWidth="1"/>
    <col min="9733" max="9736" width="7.85546875" style="16" customWidth="1"/>
    <col min="9737" max="9737" width="7.5703125" style="16" customWidth="1"/>
    <col min="9738" max="9738" width="8.28515625" style="16" customWidth="1"/>
    <col min="9739" max="9740" width="7" style="16" bestFit="1" customWidth="1"/>
    <col min="9741" max="9741" width="6.85546875" style="16" bestFit="1" customWidth="1"/>
    <col min="9742" max="9742" width="7" style="16" bestFit="1" customWidth="1"/>
    <col min="9743" max="9743" width="7.140625" style="16" bestFit="1"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8.28515625" style="16" customWidth="1"/>
    <col min="9987" max="9987" width="8.28515625" style="16" customWidth="1"/>
    <col min="9988" max="9988" width="8.140625" style="16" customWidth="1"/>
    <col min="9989" max="9992" width="7.85546875" style="16" customWidth="1"/>
    <col min="9993" max="9993" width="7.5703125" style="16" customWidth="1"/>
    <col min="9994" max="9994" width="8.28515625" style="16" customWidth="1"/>
    <col min="9995" max="9996" width="7" style="16" bestFit="1" customWidth="1"/>
    <col min="9997" max="9997" width="6.85546875" style="16" bestFit="1" customWidth="1"/>
    <col min="9998" max="9998" width="7" style="16" bestFit="1" customWidth="1"/>
    <col min="9999" max="9999" width="7.140625" style="16" bestFit="1"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8.28515625" style="16" customWidth="1"/>
    <col min="10243" max="10243" width="8.28515625" style="16" customWidth="1"/>
    <col min="10244" max="10244" width="8.140625" style="16" customWidth="1"/>
    <col min="10245" max="10248" width="7.85546875" style="16" customWidth="1"/>
    <col min="10249" max="10249" width="7.5703125" style="16" customWidth="1"/>
    <col min="10250" max="10250" width="8.28515625" style="16" customWidth="1"/>
    <col min="10251" max="10252" width="7" style="16" bestFit="1" customWidth="1"/>
    <col min="10253" max="10253" width="6.85546875" style="16" bestFit="1" customWidth="1"/>
    <col min="10254" max="10254" width="7" style="16" bestFit="1" customWidth="1"/>
    <col min="10255" max="10255" width="7.140625" style="16" bestFit="1"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8.28515625" style="16" customWidth="1"/>
    <col min="10499" max="10499" width="8.28515625" style="16" customWidth="1"/>
    <col min="10500" max="10500" width="8.140625" style="16" customWidth="1"/>
    <col min="10501" max="10504" width="7.85546875" style="16" customWidth="1"/>
    <col min="10505" max="10505" width="7.5703125" style="16" customWidth="1"/>
    <col min="10506" max="10506" width="8.28515625" style="16" customWidth="1"/>
    <col min="10507" max="10508" width="7" style="16" bestFit="1" customWidth="1"/>
    <col min="10509" max="10509" width="6.85546875" style="16" bestFit="1" customWidth="1"/>
    <col min="10510" max="10510" width="7" style="16" bestFit="1" customWidth="1"/>
    <col min="10511" max="10511" width="7.140625" style="16" bestFit="1"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8.28515625" style="16" customWidth="1"/>
    <col min="10755" max="10755" width="8.28515625" style="16" customWidth="1"/>
    <col min="10756" max="10756" width="8.140625" style="16" customWidth="1"/>
    <col min="10757" max="10760" width="7.85546875" style="16" customWidth="1"/>
    <col min="10761" max="10761" width="7.5703125" style="16" customWidth="1"/>
    <col min="10762" max="10762" width="8.28515625" style="16" customWidth="1"/>
    <col min="10763" max="10764" width="7" style="16" bestFit="1" customWidth="1"/>
    <col min="10765" max="10765" width="6.85546875" style="16" bestFit="1" customWidth="1"/>
    <col min="10766" max="10766" width="7" style="16" bestFit="1" customWidth="1"/>
    <col min="10767" max="10767" width="7.140625" style="16" bestFit="1"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8.28515625" style="16" customWidth="1"/>
    <col min="11011" max="11011" width="8.28515625" style="16" customWidth="1"/>
    <col min="11012" max="11012" width="8.140625" style="16" customWidth="1"/>
    <col min="11013" max="11016" width="7.85546875" style="16" customWidth="1"/>
    <col min="11017" max="11017" width="7.5703125" style="16" customWidth="1"/>
    <col min="11018" max="11018" width="8.28515625" style="16" customWidth="1"/>
    <col min="11019" max="11020" width="7" style="16" bestFit="1" customWidth="1"/>
    <col min="11021" max="11021" width="6.85546875" style="16" bestFit="1" customWidth="1"/>
    <col min="11022" max="11022" width="7" style="16" bestFit="1" customWidth="1"/>
    <col min="11023" max="11023" width="7.140625" style="16" bestFit="1"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8.28515625" style="16" customWidth="1"/>
    <col min="11267" max="11267" width="8.28515625" style="16" customWidth="1"/>
    <col min="11268" max="11268" width="8.140625" style="16" customWidth="1"/>
    <col min="11269" max="11272" width="7.85546875" style="16" customWidth="1"/>
    <col min="11273" max="11273" width="7.5703125" style="16" customWidth="1"/>
    <col min="11274" max="11274" width="8.28515625" style="16" customWidth="1"/>
    <col min="11275" max="11276" width="7" style="16" bestFit="1" customWidth="1"/>
    <col min="11277" max="11277" width="6.85546875" style="16" bestFit="1" customWidth="1"/>
    <col min="11278" max="11278" width="7" style="16" bestFit="1" customWidth="1"/>
    <col min="11279" max="11279" width="7.140625" style="16" bestFit="1"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8.28515625" style="16" customWidth="1"/>
    <col min="11523" max="11523" width="8.28515625" style="16" customWidth="1"/>
    <col min="11524" max="11524" width="8.140625" style="16" customWidth="1"/>
    <col min="11525" max="11528" width="7.85546875" style="16" customWidth="1"/>
    <col min="11529" max="11529" width="7.5703125" style="16" customWidth="1"/>
    <col min="11530" max="11530" width="8.28515625" style="16" customWidth="1"/>
    <col min="11531" max="11532" width="7" style="16" bestFit="1" customWidth="1"/>
    <col min="11533" max="11533" width="6.85546875" style="16" bestFit="1" customWidth="1"/>
    <col min="11534" max="11534" width="7" style="16" bestFit="1" customWidth="1"/>
    <col min="11535" max="11535" width="7.140625" style="16" bestFit="1"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8.28515625" style="16" customWidth="1"/>
    <col min="11779" max="11779" width="8.28515625" style="16" customWidth="1"/>
    <col min="11780" max="11780" width="8.140625" style="16" customWidth="1"/>
    <col min="11781" max="11784" width="7.85546875" style="16" customWidth="1"/>
    <col min="11785" max="11785" width="7.5703125" style="16" customWidth="1"/>
    <col min="11786" max="11786" width="8.28515625" style="16" customWidth="1"/>
    <col min="11787" max="11788" width="7" style="16" bestFit="1" customWidth="1"/>
    <col min="11789" max="11789" width="6.85546875" style="16" bestFit="1" customWidth="1"/>
    <col min="11790" max="11790" width="7" style="16" bestFit="1" customWidth="1"/>
    <col min="11791" max="11791" width="7.140625" style="16" bestFit="1"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8.28515625" style="16" customWidth="1"/>
    <col min="12035" max="12035" width="8.28515625" style="16" customWidth="1"/>
    <col min="12036" max="12036" width="8.140625" style="16" customWidth="1"/>
    <col min="12037" max="12040" width="7.85546875" style="16" customWidth="1"/>
    <col min="12041" max="12041" width="7.5703125" style="16" customWidth="1"/>
    <col min="12042" max="12042" width="8.28515625" style="16" customWidth="1"/>
    <col min="12043" max="12044" width="7" style="16" bestFit="1" customWidth="1"/>
    <col min="12045" max="12045" width="6.85546875" style="16" bestFit="1" customWidth="1"/>
    <col min="12046" max="12046" width="7" style="16" bestFit="1" customWidth="1"/>
    <col min="12047" max="12047" width="7.140625" style="16" bestFit="1"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8.28515625" style="16" customWidth="1"/>
    <col min="12291" max="12291" width="8.28515625" style="16" customWidth="1"/>
    <col min="12292" max="12292" width="8.140625" style="16" customWidth="1"/>
    <col min="12293" max="12296" width="7.85546875" style="16" customWidth="1"/>
    <col min="12297" max="12297" width="7.5703125" style="16" customWidth="1"/>
    <col min="12298" max="12298" width="8.28515625" style="16" customWidth="1"/>
    <col min="12299" max="12300" width="7" style="16" bestFit="1" customWidth="1"/>
    <col min="12301" max="12301" width="6.85546875" style="16" bestFit="1" customWidth="1"/>
    <col min="12302" max="12302" width="7" style="16" bestFit="1" customWidth="1"/>
    <col min="12303" max="12303" width="7.140625" style="16" bestFit="1"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8.28515625" style="16" customWidth="1"/>
    <col min="12547" max="12547" width="8.28515625" style="16" customWidth="1"/>
    <col min="12548" max="12548" width="8.140625" style="16" customWidth="1"/>
    <col min="12549" max="12552" width="7.85546875" style="16" customWidth="1"/>
    <col min="12553" max="12553" width="7.5703125" style="16" customWidth="1"/>
    <col min="12554" max="12554" width="8.28515625" style="16" customWidth="1"/>
    <col min="12555" max="12556" width="7" style="16" bestFit="1" customWidth="1"/>
    <col min="12557" max="12557" width="6.85546875" style="16" bestFit="1" customWidth="1"/>
    <col min="12558" max="12558" width="7" style="16" bestFit="1" customWidth="1"/>
    <col min="12559" max="12559" width="7.140625" style="16" bestFit="1"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8.28515625" style="16" customWidth="1"/>
    <col min="12803" max="12803" width="8.28515625" style="16" customWidth="1"/>
    <col min="12804" max="12804" width="8.140625" style="16" customWidth="1"/>
    <col min="12805" max="12808" width="7.85546875" style="16" customWidth="1"/>
    <col min="12809" max="12809" width="7.5703125" style="16" customWidth="1"/>
    <col min="12810" max="12810" width="8.28515625" style="16" customWidth="1"/>
    <col min="12811" max="12812" width="7" style="16" bestFit="1" customWidth="1"/>
    <col min="12813" max="12813" width="6.85546875" style="16" bestFit="1" customWidth="1"/>
    <col min="12814" max="12814" width="7" style="16" bestFit="1" customWidth="1"/>
    <col min="12815" max="12815" width="7.140625" style="16" bestFit="1"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8.28515625" style="16" customWidth="1"/>
    <col min="13059" max="13059" width="8.28515625" style="16" customWidth="1"/>
    <col min="13060" max="13060" width="8.140625" style="16" customWidth="1"/>
    <col min="13061" max="13064" width="7.85546875" style="16" customWidth="1"/>
    <col min="13065" max="13065" width="7.5703125" style="16" customWidth="1"/>
    <col min="13066" max="13066" width="8.28515625" style="16" customWidth="1"/>
    <col min="13067" max="13068" width="7" style="16" bestFit="1" customWidth="1"/>
    <col min="13069" max="13069" width="6.85546875" style="16" bestFit="1" customWidth="1"/>
    <col min="13070" max="13070" width="7" style="16" bestFit="1" customWidth="1"/>
    <col min="13071" max="13071" width="7.140625" style="16" bestFit="1"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8.28515625" style="16" customWidth="1"/>
    <col min="13315" max="13315" width="8.28515625" style="16" customWidth="1"/>
    <col min="13316" max="13316" width="8.140625" style="16" customWidth="1"/>
    <col min="13317" max="13320" width="7.85546875" style="16" customWidth="1"/>
    <col min="13321" max="13321" width="7.5703125" style="16" customWidth="1"/>
    <col min="13322" max="13322" width="8.28515625" style="16" customWidth="1"/>
    <col min="13323" max="13324" width="7" style="16" bestFit="1" customWidth="1"/>
    <col min="13325" max="13325" width="6.85546875" style="16" bestFit="1" customWidth="1"/>
    <col min="13326" max="13326" width="7" style="16" bestFit="1" customWidth="1"/>
    <col min="13327" max="13327" width="7.140625" style="16" bestFit="1"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8.28515625" style="16" customWidth="1"/>
    <col min="13571" max="13571" width="8.28515625" style="16" customWidth="1"/>
    <col min="13572" max="13572" width="8.140625" style="16" customWidth="1"/>
    <col min="13573" max="13576" width="7.85546875" style="16" customWidth="1"/>
    <col min="13577" max="13577" width="7.5703125" style="16" customWidth="1"/>
    <col min="13578" max="13578" width="8.28515625" style="16" customWidth="1"/>
    <col min="13579" max="13580" width="7" style="16" bestFit="1" customWidth="1"/>
    <col min="13581" max="13581" width="6.85546875" style="16" bestFit="1" customWidth="1"/>
    <col min="13582" max="13582" width="7" style="16" bestFit="1" customWidth="1"/>
    <col min="13583" max="13583" width="7.140625" style="16" bestFit="1"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8.28515625" style="16" customWidth="1"/>
    <col min="13827" max="13827" width="8.28515625" style="16" customWidth="1"/>
    <col min="13828" max="13828" width="8.140625" style="16" customWidth="1"/>
    <col min="13829" max="13832" width="7.85546875" style="16" customWidth="1"/>
    <col min="13833" max="13833" width="7.5703125" style="16" customWidth="1"/>
    <col min="13834" max="13834" width="8.28515625" style="16" customWidth="1"/>
    <col min="13835" max="13836" width="7" style="16" bestFit="1" customWidth="1"/>
    <col min="13837" max="13837" width="6.85546875" style="16" bestFit="1" customWidth="1"/>
    <col min="13838" max="13838" width="7" style="16" bestFit="1" customWidth="1"/>
    <col min="13839" max="13839" width="7.140625" style="16" bestFit="1"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8.28515625" style="16" customWidth="1"/>
    <col min="14083" max="14083" width="8.28515625" style="16" customWidth="1"/>
    <col min="14084" max="14084" width="8.140625" style="16" customWidth="1"/>
    <col min="14085" max="14088" width="7.85546875" style="16" customWidth="1"/>
    <col min="14089" max="14089" width="7.5703125" style="16" customWidth="1"/>
    <col min="14090" max="14090" width="8.28515625" style="16" customWidth="1"/>
    <col min="14091" max="14092" width="7" style="16" bestFit="1" customWidth="1"/>
    <col min="14093" max="14093" width="6.85546875" style="16" bestFit="1" customWidth="1"/>
    <col min="14094" max="14094" width="7" style="16" bestFit="1" customWidth="1"/>
    <col min="14095" max="14095" width="7.140625" style="16" bestFit="1"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8.28515625" style="16" customWidth="1"/>
    <col min="14339" max="14339" width="8.28515625" style="16" customWidth="1"/>
    <col min="14340" max="14340" width="8.140625" style="16" customWidth="1"/>
    <col min="14341" max="14344" width="7.85546875" style="16" customWidth="1"/>
    <col min="14345" max="14345" width="7.5703125" style="16" customWidth="1"/>
    <col min="14346" max="14346" width="8.28515625" style="16" customWidth="1"/>
    <col min="14347" max="14348" width="7" style="16" bestFit="1" customWidth="1"/>
    <col min="14349" max="14349" width="6.85546875" style="16" bestFit="1" customWidth="1"/>
    <col min="14350" max="14350" width="7" style="16" bestFit="1" customWidth="1"/>
    <col min="14351" max="14351" width="7.140625" style="16" bestFit="1"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8.28515625" style="16" customWidth="1"/>
    <col min="14595" max="14595" width="8.28515625" style="16" customWidth="1"/>
    <col min="14596" max="14596" width="8.140625" style="16" customWidth="1"/>
    <col min="14597" max="14600" width="7.85546875" style="16" customWidth="1"/>
    <col min="14601" max="14601" width="7.5703125" style="16" customWidth="1"/>
    <col min="14602" max="14602" width="8.28515625" style="16" customWidth="1"/>
    <col min="14603" max="14604" width="7" style="16" bestFit="1" customWidth="1"/>
    <col min="14605" max="14605" width="6.85546875" style="16" bestFit="1" customWidth="1"/>
    <col min="14606" max="14606" width="7" style="16" bestFit="1" customWidth="1"/>
    <col min="14607" max="14607" width="7.140625" style="16" bestFit="1"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8.28515625" style="16" customWidth="1"/>
    <col min="14851" max="14851" width="8.28515625" style="16" customWidth="1"/>
    <col min="14852" max="14852" width="8.140625" style="16" customWidth="1"/>
    <col min="14853" max="14856" width="7.85546875" style="16" customWidth="1"/>
    <col min="14857" max="14857" width="7.5703125" style="16" customWidth="1"/>
    <col min="14858" max="14858" width="8.28515625" style="16" customWidth="1"/>
    <col min="14859" max="14860" width="7" style="16" bestFit="1" customWidth="1"/>
    <col min="14861" max="14861" width="6.85546875" style="16" bestFit="1" customWidth="1"/>
    <col min="14862" max="14862" width="7" style="16" bestFit="1" customWidth="1"/>
    <col min="14863" max="14863" width="7.140625" style="16" bestFit="1"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8.28515625" style="16" customWidth="1"/>
    <col min="15107" max="15107" width="8.28515625" style="16" customWidth="1"/>
    <col min="15108" max="15108" width="8.140625" style="16" customWidth="1"/>
    <col min="15109" max="15112" width="7.85546875" style="16" customWidth="1"/>
    <col min="15113" max="15113" width="7.5703125" style="16" customWidth="1"/>
    <col min="15114" max="15114" width="8.28515625" style="16" customWidth="1"/>
    <col min="15115" max="15116" width="7" style="16" bestFit="1" customWidth="1"/>
    <col min="15117" max="15117" width="6.85546875" style="16" bestFit="1" customWidth="1"/>
    <col min="15118" max="15118" width="7" style="16" bestFit="1" customWidth="1"/>
    <col min="15119" max="15119" width="7.140625" style="16" bestFit="1"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8.28515625" style="16" customWidth="1"/>
    <col min="15363" max="15363" width="8.28515625" style="16" customWidth="1"/>
    <col min="15364" max="15364" width="8.140625" style="16" customWidth="1"/>
    <col min="15365" max="15368" width="7.85546875" style="16" customWidth="1"/>
    <col min="15369" max="15369" width="7.5703125" style="16" customWidth="1"/>
    <col min="15370" max="15370" width="8.28515625" style="16" customWidth="1"/>
    <col min="15371" max="15372" width="7" style="16" bestFit="1" customWidth="1"/>
    <col min="15373" max="15373" width="6.85546875" style="16" bestFit="1" customWidth="1"/>
    <col min="15374" max="15374" width="7" style="16" bestFit="1" customWidth="1"/>
    <col min="15375" max="15375" width="7.140625" style="16" bestFit="1"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8.28515625" style="16" customWidth="1"/>
    <col min="15619" max="15619" width="8.28515625" style="16" customWidth="1"/>
    <col min="15620" max="15620" width="8.140625" style="16" customWidth="1"/>
    <col min="15621" max="15624" width="7.85546875" style="16" customWidth="1"/>
    <col min="15625" max="15625" width="7.5703125" style="16" customWidth="1"/>
    <col min="15626" max="15626" width="8.28515625" style="16" customWidth="1"/>
    <col min="15627" max="15628" width="7" style="16" bestFit="1" customWidth="1"/>
    <col min="15629" max="15629" width="6.85546875" style="16" bestFit="1" customWidth="1"/>
    <col min="15630" max="15630" width="7" style="16" bestFit="1" customWidth="1"/>
    <col min="15631" max="15631" width="7.140625" style="16" bestFit="1"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8.28515625" style="16" customWidth="1"/>
    <col min="15875" max="15875" width="8.28515625" style="16" customWidth="1"/>
    <col min="15876" max="15876" width="8.140625" style="16" customWidth="1"/>
    <col min="15877" max="15880" width="7.85546875" style="16" customWidth="1"/>
    <col min="15881" max="15881" width="7.5703125" style="16" customWidth="1"/>
    <col min="15882" max="15882" width="8.28515625" style="16" customWidth="1"/>
    <col min="15883" max="15884" width="7" style="16" bestFit="1" customWidth="1"/>
    <col min="15885" max="15885" width="6.85546875" style="16" bestFit="1" customWidth="1"/>
    <col min="15886" max="15886" width="7" style="16" bestFit="1" customWidth="1"/>
    <col min="15887" max="15887" width="7.140625" style="16" bestFit="1"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8.28515625" style="16" customWidth="1"/>
    <col min="16131" max="16131" width="8.28515625" style="16" customWidth="1"/>
    <col min="16132" max="16132" width="8.140625" style="16" customWidth="1"/>
    <col min="16133" max="16136" width="7.85546875" style="16" customWidth="1"/>
    <col min="16137" max="16137" width="7.5703125" style="16" customWidth="1"/>
    <col min="16138" max="16138" width="8.28515625" style="16" customWidth="1"/>
    <col min="16139" max="16140" width="7" style="16" bestFit="1" customWidth="1"/>
    <col min="16141" max="16141" width="6.85546875" style="16" bestFit="1" customWidth="1"/>
    <col min="16142" max="16142" width="7" style="16" bestFit="1" customWidth="1"/>
    <col min="16143" max="16143" width="7.140625" style="16" bestFit="1"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67" t="s">
        <v>100</v>
      </c>
      <c r="B1" s="868"/>
      <c r="C1" s="868"/>
      <c r="D1" s="869"/>
      <c r="E1" s="868"/>
      <c r="F1" s="868"/>
      <c r="G1" s="867" t="s">
        <v>102</v>
      </c>
      <c r="H1" s="869"/>
      <c r="I1" s="869" t="s">
        <v>98</v>
      </c>
      <c r="J1" s="868"/>
      <c r="K1" s="868"/>
      <c r="L1" s="870"/>
      <c r="M1" s="870"/>
      <c r="N1" s="870"/>
      <c r="O1" s="870"/>
    </row>
    <row r="2" spans="1:15" s="1" customFormat="1" x14ac:dyDescent="0.2">
      <c r="A2" s="867" t="s">
        <v>103</v>
      </c>
      <c r="B2" s="868"/>
      <c r="C2" s="868"/>
      <c r="D2" s="869"/>
      <c r="E2" s="868"/>
      <c r="F2" s="868"/>
      <c r="G2" s="867" t="s">
        <v>104</v>
      </c>
      <c r="H2" s="869"/>
      <c r="I2" s="869" t="s">
        <v>105</v>
      </c>
      <c r="J2" s="868"/>
      <c r="K2" s="868"/>
      <c r="L2" s="870"/>
      <c r="M2" s="870"/>
      <c r="N2" s="870"/>
      <c r="O2" s="870"/>
    </row>
    <row r="3" spans="1:15" s="1" customFormat="1" x14ac:dyDescent="0.2">
      <c r="A3" s="867" t="s">
        <v>106</v>
      </c>
      <c r="B3" s="868"/>
      <c r="C3" s="868"/>
      <c r="D3" s="883" t="s">
        <v>902</v>
      </c>
      <c r="E3" s="868"/>
      <c r="F3" s="868"/>
      <c r="G3" s="867" t="s">
        <v>107</v>
      </c>
      <c r="H3" s="869"/>
      <c r="I3" s="869" t="s">
        <v>108</v>
      </c>
      <c r="J3" s="868"/>
      <c r="K3" s="868"/>
      <c r="L3" s="870"/>
      <c r="M3" s="870"/>
      <c r="N3" s="870"/>
      <c r="O3" s="870"/>
    </row>
    <row r="4" spans="1:15" s="1" customFormat="1" x14ac:dyDescent="0.2">
      <c r="A4" s="867" t="s">
        <v>109</v>
      </c>
      <c r="B4" s="868"/>
      <c r="C4" s="868"/>
      <c r="D4" s="869"/>
      <c r="E4" s="868"/>
      <c r="F4" s="868"/>
      <c r="G4" s="867" t="s">
        <v>110</v>
      </c>
      <c r="H4" s="869"/>
      <c r="I4" s="869" t="s">
        <v>903</v>
      </c>
      <c r="J4" s="868"/>
      <c r="K4" s="868"/>
      <c r="L4" s="870"/>
      <c r="M4" s="870"/>
      <c r="N4" s="870"/>
      <c r="O4" s="870"/>
    </row>
    <row r="5" spans="1:15" s="1" customFormat="1" x14ac:dyDescent="0.2">
      <c r="A5" s="867" t="s">
        <v>278</v>
      </c>
      <c r="B5" s="868"/>
      <c r="C5" s="868"/>
      <c r="D5" s="869" t="s">
        <v>904</v>
      </c>
      <c r="E5" s="868"/>
      <c r="F5" s="868"/>
      <c r="G5" s="867"/>
      <c r="H5" s="868"/>
      <c r="I5" s="869" t="s">
        <v>113</v>
      </c>
      <c r="J5" s="868"/>
      <c r="K5" s="868"/>
      <c r="L5" s="870"/>
      <c r="M5" s="870"/>
      <c r="N5" s="870"/>
      <c r="O5" s="870"/>
    </row>
    <row r="6" spans="1:15" s="1" customFormat="1" x14ac:dyDescent="0.2">
      <c r="A6" s="871" t="s">
        <v>114</v>
      </c>
      <c r="B6" s="872"/>
      <c r="C6" s="872"/>
      <c r="D6" s="868" t="s">
        <v>99</v>
      </c>
      <c r="E6" s="868"/>
      <c r="F6" s="868"/>
      <c r="G6" s="871" t="s">
        <v>115</v>
      </c>
      <c r="H6" s="871"/>
      <c r="I6" s="2" t="s">
        <v>116</v>
      </c>
      <c r="J6" s="888"/>
      <c r="K6" s="888"/>
      <c r="L6" s="888"/>
      <c r="M6" s="888"/>
      <c r="N6" s="888"/>
      <c r="O6" s="889"/>
    </row>
    <row r="7" spans="1:15" s="1" customFormat="1" ht="13.5" thickBot="1" x14ac:dyDescent="0.25">
      <c r="A7" s="3"/>
      <c r="B7" s="4"/>
      <c r="C7" s="5"/>
      <c r="D7" s="6"/>
      <c r="E7" s="6"/>
      <c r="F7" s="6"/>
      <c r="G7" s="6"/>
      <c r="H7" s="6"/>
      <c r="I7" s="6"/>
      <c r="J7" s="7"/>
      <c r="K7" s="8"/>
      <c r="L7" s="875" t="s">
        <v>223</v>
      </c>
      <c r="M7" s="875"/>
      <c r="N7" s="875"/>
      <c r="O7" s="875"/>
    </row>
    <row r="8" spans="1:15" s="11" customFormat="1" x14ac:dyDescent="0.2">
      <c r="A8" s="876" t="str">
        <f>I1</f>
        <v>Mr. Udaybir M. Chavan</v>
      </c>
      <c r="B8" s="877"/>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34000</v>
      </c>
      <c r="D9" s="14">
        <v>34000</v>
      </c>
      <c r="E9" s="14">
        <v>34000</v>
      </c>
      <c r="F9" s="14">
        <v>34000</v>
      </c>
      <c r="G9" s="14">
        <v>35000</v>
      </c>
      <c r="H9" s="14">
        <v>35000</v>
      </c>
      <c r="I9" s="14">
        <v>35000</v>
      </c>
      <c r="J9" s="14">
        <v>35000</v>
      </c>
      <c r="K9" s="14">
        <v>35000</v>
      </c>
      <c r="L9" s="14">
        <v>35000</v>
      </c>
      <c r="M9" s="14">
        <v>35000</v>
      </c>
      <c r="N9" s="14">
        <v>35000</v>
      </c>
      <c r="O9" s="15">
        <f>SUM(C9:N9)</f>
        <v>416000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1700</v>
      </c>
      <c r="D11" s="17">
        <v>2380</v>
      </c>
      <c r="E11" s="17">
        <v>2380</v>
      </c>
      <c r="F11" s="17">
        <v>2380</v>
      </c>
      <c r="G11" s="17">
        <v>2450</v>
      </c>
      <c r="H11" s="17">
        <v>2450</v>
      </c>
      <c r="I11" s="17">
        <v>2450</v>
      </c>
      <c r="J11" s="17">
        <v>3150</v>
      </c>
      <c r="K11" s="17">
        <v>3150</v>
      </c>
      <c r="L11" s="17">
        <v>3150</v>
      </c>
      <c r="M11" s="17">
        <v>3150</v>
      </c>
      <c r="N11" s="17">
        <v>3150</v>
      </c>
      <c r="O11" s="18">
        <f>SUM(C11:N11)</f>
        <v>31940</v>
      </c>
    </row>
    <row r="12" spans="1:15"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x14ac:dyDescent="0.2">
      <c r="A14" s="12"/>
      <c r="B14" s="13" t="s">
        <v>123</v>
      </c>
      <c r="C14" s="17">
        <v>3780</v>
      </c>
      <c r="D14" s="17">
        <v>3852</v>
      </c>
      <c r="E14" s="17">
        <v>3852</v>
      </c>
      <c r="F14" s="17">
        <v>3852</v>
      </c>
      <c r="G14" s="17">
        <v>3852</v>
      </c>
      <c r="H14" s="17">
        <v>3852</v>
      </c>
      <c r="I14" s="17">
        <v>3852</v>
      </c>
      <c r="J14" s="17">
        <v>3924</v>
      </c>
      <c r="K14" s="17">
        <v>3924</v>
      </c>
      <c r="L14" s="17">
        <v>3924</v>
      </c>
      <c r="M14" s="17">
        <v>3924</v>
      </c>
      <c r="N14" s="17">
        <v>3924</v>
      </c>
      <c r="O14" s="18">
        <f t="shared" si="0"/>
        <v>46512</v>
      </c>
    </row>
    <row r="15" spans="1:15"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x14ac:dyDescent="0.2">
      <c r="A16" s="12"/>
      <c r="B16" s="13" t="s">
        <v>125</v>
      </c>
      <c r="C16" s="17">
        <v>0</v>
      </c>
      <c r="D16" s="17">
        <v>0</v>
      </c>
      <c r="E16" s="17">
        <v>0</v>
      </c>
      <c r="F16" s="17">
        <v>0</v>
      </c>
      <c r="G16" s="17">
        <v>5000</v>
      </c>
      <c r="H16" s="17">
        <v>0</v>
      </c>
      <c r="I16" s="17">
        <v>0</v>
      </c>
      <c r="J16" s="17">
        <v>0</v>
      </c>
      <c r="K16" s="17">
        <v>0</v>
      </c>
      <c r="L16" s="17">
        <v>0</v>
      </c>
      <c r="M16" s="17">
        <v>0</v>
      </c>
      <c r="N16" s="17">
        <v>0</v>
      </c>
      <c r="O16" s="18">
        <f t="shared" si="0"/>
        <v>5000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0</v>
      </c>
      <c r="D19" s="17">
        <v>0</v>
      </c>
      <c r="E19" s="17">
        <v>0</v>
      </c>
      <c r="F19" s="17">
        <v>0</v>
      </c>
      <c r="G19" s="17">
        <v>0</v>
      </c>
      <c r="H19" s="17">
        <v>0</v>
      </c>
      <c r="I19" s="17">
        <v>0</v>
      </c>
      <c r="J19" s="17">
        <v>0</v>
      </c>
      <c r="K19" s="17">
        <v>0</v>
      </c>
      <c r="L19" s="17">
        <v>0</v>
      </c>
      <c r="M19" s="17">
        <v>0</v>
      </c>
      <c r="N19" s="17">
        <v>0</v>
      </c>
      <c r="O19" s="18">
        <f t="shared" si="0"/>
        <v>0</v>
      </c>
    </row>
    <row r="20" spans="1:15" ht="15" customHeight="1" x14ac:dyDescent="0.2">
      <c r="A20" s="12"/>
      <c r="B20" s="13" t="s">
        <v>143</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78"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79"/>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5" ht="15" hidden="1" customHeight="1" x14ac:dyDescent="0.2">
      <c r="A23" s="879"/>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79"/>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79"/>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79"/>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79"/>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79"/>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79"/>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79"/>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79"/>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79"/>
      <c r="B32" s="21" t="s">
        <v>142</v>
      </c>
      <c r="C32" s="17">
        <v>0</v>
      </c>
      <c r="D32" s="17">
        <v>0</v>
      </c>
      <c r="E32" s="17">
        <v>0</v>
      </c>
      <c r="F32" s="17">
        <v>0</v>
      </c>
      <c r="G32" s="17">
        <v>0</v>
      </c>
      <c r="H32" s="17">
        <v>0</v>
      </c>
      <c r="I32" s="17">
        <v>0</v>
      </c>
      <c r="J32" s="17">
        <v>0</v>
      </c>
      <c r="K32" s="17">
        <v>0</v>
      </c>
      <c r="L32" s="17">
        <v>0</v>
      </c>
      <c r="M32" s="17">
        <v>0</v>
      </c>
      <c r="N32" s="17">
        <v>0</v>
      </c>
      <c r="O32" s="18">
        <f t="shared" si="0"/>
        <v>0</v>
      </c>
    </row>
    <row r="33" spans="1:16" ht="15" hidden="1" customHeight="1" x14ac:dyDescent="0.2">
      <c r="A33" s="880"/>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865" t="s">
        <v>144</v>
      </c>
      <c r="B34" s="866"/>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865" t="s">
        <v>145</v>
      </c>
      <c r="B35" s="866"/>
      <c r="C35" s="17">
        <v>0</v>
      </c>
      <c r="D35" s="17">
        <v>216</v>
      </c>
      <c r="E35" s="17">
        <v>0</v>
      </c>
      <c r="F35" s="17">
        <v>0</v>
      </c>
      <c r="G35" s="17">
        <v>0</v>
      </c>
      <c r="H35" s="17">
        <v>0</v>
      </c>
      <c r="I35" s="17">
        <v>0</v>
      </c>
      <c r="J35" s="17">
        <v>216</v>
      </c>
      <c r="K35" s="17">
        <v>0</v>
      </c>
      <c r="L35" s="17">
        <v>0</v>
      </c>
      <c r="M35" s="17">
        <v>0</v>
      </c>
      <c r="N35" s="17">
        <v>0</v>
      </c>
      <c r="O35" s="18">
        <f t="shared" si="0"/>
        <v>432</v>
      </c>
    </row>
    <row r="36" spans="1:16" ht="15" customHeight="1" x14ac:dyDescent="0.2">
      <c r="A36" s="865" t="s">
        <v>146</v>
      </c>
      <c r="B36" s="866"/>
      <c r="C36" s="17">
        <v>0</v>
      </c>
      <c r="D36" s="17">
        <v>2040</v>
      </c>
      <c r="E36" s="17">
        <v>0</v>
      </c>
      <c r="F36" s="17">
        <v>0</v>
      </c>
      <c r="G36" s="17">
        <v>0</v>
      </c>
      <c r="H36" s="17">
        <v>0</v>
      </c>
      <c r="I36" s="17">
        <v>0</v>
      </c>
      <c r="J36" s="17">
        <v>2100</v>
      </c>
      <c r="K36" s="17">
        <v>0</v>
      </c>
      <c r="L36" s="17">
        <v>0</v>
      </c>
      <c r="M36" s="17">
        <v>0</v>
      </c>
      <c r="N36" s="17">
        <v>0</v>
      </c>
      <c r="O36" s="18">
        <f t="shared" si="0"/>
        <v>4140</v>
      </c>
    </row>
    <row r="37" spans="1:16" ht="15" customHeight="1" x14ac:dyDescent="0.2">
      <c r="A37" s="22"/>
      <c r="B37" s="23" t="s">
        <v>147</v>
      </c>
      <c r="C37" s="24">
        <f t="shared" ref="C37:N37" si="1">SUM(C9:C36)</f>
        <v>39480</v>
      </c>
      <c r="D37" s="24">
        <f t="shared" si="1"/>
        <v>42488</v>
      </c>
      <c r="E37" s="24">
        <f t="shared" si="1"/>
        <v>40232</v>
      </c>
      <c r="F37" s="24">
        <f t="shared" si="1"/>
        <v>40232</v>
      </c>
      <c r="G37" s="24">
        <f t="shared" si="1"/>
        <v>46302</v>
      </c>
      <c r="H37" s="24">
        <f t="shared" si="1"/>
        <v>41302</v>
      </c>
      <c r="I37" s="24">
        <f t="shared" si="1"/>
        <v>41302</v>
      </c>
      <c r="J37" s="24">
        <f t="shared" si="1"/>
        <v>51298</v>
      </c>
      <c r="K37" s="24">
        <f t="shared" si="1"/>
        <v>42074</v>
      </c>
      <c r="L37" s="24">
        <f t="shared" si="1"/>
        <v>42074</v>
      </c>
      <c r="M37" s="24">
        <f t="shared" si="1"/>
        <v>42074</v>
      </c>
      <c r="N37" s="24">
        <f t="shared" si="1"/>
        <v>42074</v>
      </c>
      <c r="O37" s="25">
        <f>SUM(C37:N37)</f>
        <v>510932</v>
      </c>
    </row>
    <row r="38" spans="1:16" ht="15" customHeight="1" x14ac:dyDescent="0.2">
      <c r="A38" s="853" t="s">
        <v>148</v>
      </c>
      <c r="B38" s="27" t="s">
        <v>149</v>
      </c>
      <c r="C38" s="28">
        <v>0</v>
      </c>
      <c r="D38" s="28">
        <v>0</v>
      </c>
      <c r="E38" s="28">
        <v>0</v>
      </c>
      <c r="F38" s="28">
        <v>0</v>
      </c>
      <c r="G38" s="28">
        <v>0</v>
      </c>
      <c r="H38" s="28">
        <v>0</v>
      </c>
      <c r="I38" s="28">
        <v>0</v>
      </c>
      <c r="J38" s="28">
        <v>0</v>
      </c>
      <c r="K38" s="28">
        <v>1000</v>
      </c>
      <c r="L38" s="28">
        <v>275</v>
      </c>
      <c r="M38" s="28">
        <v>0</v>
      </c>
      <c r="N38" s="28">
        <v>15</v>
      </c>
      <c r="O38" s="18">
        <f>SUM(C38:N38)</f>
        <v>1290</v>
      </c>
      <c r="P38" s="29"/>
    </row>
    <row r="39" spans="1:16" ht="15" x14ac:dyDescent="0.2">
      <c r="A39" s="854"/>
      <c r="B39" s="27" t="s">
        <v>150</v>
      </c>
      <c r="C39" s="28">
        <v>0</v>
      </c>
      <c r="D39" s="28">
        <v>0</v>
      </c>
      <c r="E39" s="28">
        <v>0</v>
      </c>
      <c r="F39" s="28">
        <v>0</v>
      </c>
      <c r="G39" s="28">
        <v>0</v>
      </c>
      <c r="H39" s="28">
        <v>0</v>
      </c>
      <c r="I39" s="28">
        <v>0</v>
      </c>
      <c r="J39" s="28">
        <v>0</v>
      </c>
      <c r="K39" s="28">
        <v>0</v>
      </c>
      <c r="L39" s="28">
        <v>0</v>
      </c>
      <c r="M39" s="28">
        <v>0</v>
      </c>
      <c r="N39" s="28">
        <v>0</v>
      </c>
      <c r="O39" s="18">
        <f>SUM(C39:N39)</f>
        <v>0</v>
      </c>
    </row>
    <row r="40" spans="1:16" ht="15" x14ac:dyDescent="0.2">
      <c r="A40" s="854"/>
      <c r="B40" s="27" t="s">
        <v>151</v>
      </c>
      <c r="C40" s="28">
        <v>30</v>
      </c>
      <c r="D40" s="28">
        <v>30</v>
      </c>
      <c r="E40" s="28">
        <v>30</v>
      </c>
      <c r="F40" s="28">
        <v>30</v>
      </c>
      <c r="G40" s="28">
        <v>30</v>
      </c>
      <c r="H40" s="28">
        <v>30</v>
      </c>
      <c r="I40" s="28">
        <v>30</v>
      </c>
      <c r="J40" s="28">
        <v>30</v>
      </c>
      <c r="K40" s="28">
        <v>30</v>
      </c>
      <c r="L40" s="28">
        <v>30</v>
      </c>
      <c r="M40" s="28">
        <v>30</v>
      </c>
      <c r="N40" s="28">
        <v>30</v>
      </c>
      <c r="O40" s="18">
        <f t="shared" ref="O40:O50" si="2">SUM(C40:N40)</f>
        <v>360</v>
      </c>
    </row>
    <row r="41" spans="1:16" ht="15" x14ac:dyDescent="0.2">
      <c r="A41" s="854"/>
      <c r="B41" s="27" t="s">
        <v>152</v>
      </c>
      <c r="C41" s="28">
        <v>0</v>
      </c>
      <c r="D41" s="28">
        <v>0</v>
      </c>
      <c r="E41" s="28">
        <v>0</v>
      </c>
      <c r="F41" s="28">
        <v>0</v>
      </c>
      <c r="G41" s="28">
        <v>0</v>
      </c>
      <c r="H41" s="28">
        <v>0</v>
      </c>
      <c r="I41" s="28">
        <v>0</v>
      </c>
      <c r="J41" s="28">
        <v>0</v>
      </c>
      <c r="K41" s="28">
        <v>0</v>
      </c>
      <c r="L41" s="28">
        <v>0</v>
      </c>
      <c r="M41" s="28">
        <v>0</v>
      </c>
      <c r="N41" s="28">
        <v>0</v>
      </c>
      <c r="O41" s="18">
        <f t="shared" si="2"/>
        <v>0</v>
      </c>
    </row>
    <row r="42" spans="1:16" ht="15" x14ac:dyDescent="0.2">
      <c r="A42" s="854"/>
      <c r="B42" s="27" t="s">
        <v>153</v>
      </c>
      <c r="C42" s="28">
        <v>250</v>
      </c>
      <c r="D42" s="28">
        <v>250</v>
      </c>
      <c r="E42" s="28">
        <v>250</v>
      </c>
      <c r="F42" s="28">
        <v>250</v>
      </c>
      <c r="G42" s="28">
        <v>250</v>
      </c>
      <c r="H42" s="28">
        <v>250</v>
      </c>
      <c r="I42" s="28">
        <v>250</v>
      </c>
      <c r="J42" s="28">
        <v>250</v>
      </c>
      <c r="K42" s="28">
        <v>250</v>
      </c>
      <c r="L42" s="28">
        <v>250</v>
      </c>
      <c r="M42" s="28">
        <v>250</v>
      </c>
      <c r="N42" s="28">
        <v>250</v>
      </c>
      <c r="O42" s="18">
        <f t="shared" si="2"/>
        <v>3000</v>
      </c>
    </row>
    <row r="43" spans="1:16" ht="15" x14ac:dyDescent="0.2">
      <c r="A43" s="854"/>
      <c r="B43" s="27" t="s">
        <v>154</v>
      </c>
      <c r="C43" s="28">
        <v>2000</v>
      </c>
      <c r="D43" s="28">
        <v>2000</v>
      </c>
      <c r="E43" s="28">
        <v>5000</v>
      </c>
      <c r="F43" s="28">
        <v>5000</v>
      </c>
      <c r="G43" s="28">
        <v>5000</v>
      </c>
      <c r="H43" s="28">
        <v>2000</v>
      </c>
      <c r="I43" s="28">
        <v>2000</v>
      </c>
      <c r="J43" s="28">
        <v>2000</v>
      </c>
      <c r="K43" s="28">
        <v>2000</v>
      </c>
      <c r="L43" s="28">
        <v>2000</v>
      </c>
      <c r="M43" s="28">
        <v>2000</v>
      </c>
      <c r="N43" s="28">
        <v>2000</v>
      </c>
      <c r="O43" s="18">
        <f t="shared" si="2"/>
        <v>33000</v>
      </c>
    </row>
    <row r="44" spans="1:16" ht="15" x14ac:dyDescent="0.2">
      <c r="A44" s="854"/>
      <c r="B44" s="27" t="s">
        <v>155</v>
      </c>
      <c r="C44" s="28">
        <v>200</v>
      </c>
      <c r="D44" s="28">
        <v>200</v>
      </c>
      <c r="E44" s="28">
        <v>200</v>
      </c>
      <c r="F44" s="28">
        <v>200</v>
      </c>
      <c r="G44" s="28">
        <v>200</v>
      </c>
      <c r="H44" s="28">
        <v>200</v>
      </c>
      <c r="I44" s="28">
        <v>200</v>
      </c>
      <c r="J44" s="28">
        <v>200</v>
      </c>
      <c r="K44" s="28">
        <v>200</v>
      </c>
      <c r="L44" s="28">
        <v>200</v>
      </c>
      <c r="M44" s="28">
        <v>200</v>
      </c>
      <c r="N44" s="28">
        <v>300</v>
      </c>
      <c r="O44" s="18">
        <f t="shared" si="2"/>
        <v>2500</v>
      </c>
    </row>
    <row r="45" spans="1:16" ht="30" x14ac:dyDescent="0.2">
      <c r="A45" s="854"/>
      <c r="B45" s="27" t="s">
        <v>293</v>
      </c>
      <c r="C45" s="28">
        <v>363</v>
      </c>
      <c r="D45" s="28">
        <v>363</v>
      </c>
      <c r="E45" s="28">
        <v>363</v>
      </c>
      <c r="F45" s="28">
        <v>363</v>
      </c>
      <c r="G45" s="28">
        <v>363</v>
      </c>
      <c r="H45" s="28">
        <v>363</v>
      </c>
      <c r="I45" s="28">
        <v>363</v>
      </c>
      <c r="J45" s="28">
        <v>363</v>
      </c>
      <c r="K45" s="28">
        <v>363</v>
      </c>
      <c r="L45" s="28">
        <v>363</v>
      </c>
      <c r="M45" s="28">
        <v>363</v>
      </c>
      <c r="N45" s="28">
        <v>363</v>
      </c>
      <c r="O45" s="18">
        <f t="shared" si="2"/>
        <v>4356</v>
      </c>
    </row>
    <row r="46" spans="1:16" ht="15" x14ac:dyDescent="0.2">
      <c r="A46" s="854"/>
      <c r="B46" s="27" t="s">
        <v>157</v>
      </c>
      <c r="C46" s="28">
        <v>0</v>
      </c>
      <c r="D46" s="28">
        <v>0</v>
      </c>
      <c r="E46" s="28">
        <v>0</v>
      </c>
      <c r="F46" s="28">
        <v>0</v>
      </c>
      <c r="G46" s="28">
        <v>0</v>
      </c>
      <c r="H46" s="28">
        <v>0</v>
      </c>
      <c r="I46" s="28">
        <v>0</v>
      </c>
      <c r="J46" s="28">
        <v>0</v>
      </c>
      <c r="K46" s="28">
        <v>0</v>
      </c>
      <c r="L46" s="28">
        <v>0</v>
      </c>
      <c r="M46" s="28">
        <v>0</v>
      </c>
      <c r="N46" s="28">
        <v>0</v>
      </c>
      <c r="O46" s="18">
        <f t="shared" si="2"/>
        <v>0</v>
      </c>
    </row>
    <row r="47" spans="1:16" ht="28.5" customHeight="1" x14ac:dyDescent="0.2">
      <c r="A47" s="855"/>
      <c r="B47" s="30" t="s">
        <v>158</v>
      </c>
      <c r="C47" s="28">
        <v>902</v>
      </c>
      <c r="D47" s="28">
        <v>902</v>
      </c>
      <c r="E47" s="28">
        <v>902</v>
      </c>
      <c r="F47" s="28">
        <v>902</v>
      </c>
      <c r="G47" s="28">
        <v>902</v>
      </c>
      <c r="H47" s="28">
        <v>902</v>
      </c>
      <c r="I47" s="28">
        <v>902</v>
      </c>
      <c r="J47" s="28">
        <v>902</v>
      </c>
      <c r="K47" s="28">
        <v>902</v>
      </c>
      <c r="L47" s="28">
        <v>902</v>
      </c>
      <c r="M47" s="28">
        <v>902</v>
      </c>
      <c r="N47" s="28">
        <v>902</v>
      </c>
      <c r="O47" s="31">
        <f t="shared" si="2"/>
        <v>10824</v>
      </c>
    </row>
    <row r="48" spans="1:16" ht="28.5" customHeight="1" x14ac:dyDescent="0.2">
      <c r="A48" s="856"/>
      <c r="B48" s="127" t="s">
        <v>228</v>
      </c>
      <c r="C48" s="28">
        <v>0</v>
      </c>
      <c r="D48" s="28">
        <v>0</v>
      </c>
      <c r="E48" s="28">
        <v>0</v>
      </c>
      <c r="F48" s="28">
        <v>0</v>
      </c>
      <c r="G48" s="28">
        <v>0</v>
      </c>
      <c r="H48" s="28">
        <v>0</v>
      </c>
      <c r="I48" s="28">
        <v>0</v>
      </c>
      <c r="J48" s="28">
        <v>0</v>
      </c>
      <c r="K48" s="28">
        <v>0</v>
      </c>
      <c r="L48" s="28">
        <v>0</v>
      </c>
      <c r="M48" s="28">
        <v>0</v>
      </c>
      <c r="N48" s="28">
        <v>0</v>
      </c>
      <c r="O48" s="31">
        <f t="shared" si="2"/>
        <v>0</v>
      </c>
    </row>
    <row r="49" spans="1:18" ht="15" x14ac:dyDescent="0.2">
      <c r="A49" s="857" t="s">
        <v>160</v>
      </c>
      <c r="B49" s="858"/>
      <c r="C49" s="33">
        <f t="shared" ref="C49:N49" si="3">SUM(C38:C48)</f>
        <v>3745</v>
      </c>
      <c r="D49" s="33">
        <f t="shared" si="3"/>
        <v>3745</v>
      </c>
      <c r="E49" s="33">
        <f t="shared" si="3"/>
        <v>6745</v>
      </c>
      <c r="F49" s="33">
        <f t="shared" si="3"/>
        <v>6745</v>
      </c>
      <c r="G49" s="33">
        <f t="shared" si="3"/>
        <v>6745</v>
      </c>
      <c r="H49" s="33">
        <f t="shared" si="3"/>
        <v>3745</v>
      </c>
      <c r="I49" s="33">
        <f t="shared" si="3"/>
        <v>3745</v>
      </c>
      <c r="J49" s="33">
        <f t="shared" si="3"/>
        <v>3745</v>
      </c>
      <c r="K49" s="33">
        <f t="shared" si="3"/>
        <v>4745</v>
      </c>
      <c r="L49" s="33">
        <f t="shared" si="3"/>
        <v>4020</v>
      </c>
      <c r="M49" s="33">
        <f t="shared" si="3"/>
        <v>3745</v>
      </c>
      <c r="N49" s="33">
        <f t="shared" si="3"/>
        <v>3860</v>
      </c>
      <c r="O49" s="34">
        <f t="shared" si="2"/>
        <v>55330</v>
      </c>
    </row>
    <row r="50" spans="1:18" ht="15.75" thickBot="1" x14ac:dyDescent="0.25">
      <c r="A50" s="859" t="s">
        <v>161</v>
      </c>
      <c r="B50" s="860"/>
      <c r="C50" s="35">
        <f t="shared" ref="C50:N50" si="4">C37-C49</f>
        <v>35735</v>
      </c>
      <c r="D50" s="35">
        <f t="shared" si="4"/>
        <v>38743</v>
      </c>
      <c r="E50" s="35">
        <f t="shared" si="4"/>
        <v>33487</v>
      </c>
      <c r="F50" s="35">
        <f t="shared" si="4"/>
        <v>33487</v>
      </c>
      <c r="G50" s="35">
        <f t="shared" si="4"/>
        <v>39557</v>
      </c>
      <c r="H50" s="35">
        <f t="shared" si="4"/>
        <v>37557</v>
      </c>
      <c r="I50" s="35">
        <f t="shared" si="4"/>
        <v>37557</v>
      </c>
      <c r="J50" s="35">
        <f t="shared" si="4"/>
        <v>47553</v>
      </c>
      <c r="K50" s="35">
        <f t="shared" si="4"/>
        <v>37329</v>
      </c>
      <c r="L50" s="35">
        <f t="shared" si="4"/>
        <v>38054</v>
      </c>
      <c r="M50" s="35">
        <f t="shared" si="4"/>
        <v>38329</v>
      </c>
      <c r="N50" s="35">
        <f t="shared" si="4"/>
        <v>38214</v>
      </c>
      <c r="O50" s="36">
        <f t="shared" si="2"/>
        <v>455602</v>
      </c>
    </row>
    <row r="51" spans="1:18" x14ac:dyDescent="0.2">
      <c r="J51" s="295">
        <f>+J37-SUM(J22:J36)</f>
        <v>42074</v>
      </c>
    </row>
    <row r="52" spans="1:18" ht="13.5" thickBot="1" x14ac:dyDescent="0.25">
      <c r="J52" s="38">
        <f>+J51-J49</f>
        <v>38329</v>
      </c>
    </row>
    <row r="53" spans="1:18" ht="13.5" thickBot="1" x14ac:dyDescent="0.25">
      <c r="B53" s="789" t="s">
        <v>162</v>
      </c>
      <c r="C53" s="861"/>
      <c r="D53" s="861"/>
      <c r="E53" s="861"/>
      <c r="F53" s="862"/>
      <c r="G53" s="863">
        <f>O37</f>
        <v>510932</v>
      </c>
      <c r="H53" s="864"/>
    </row>
    <row r="54" spans="1:18" ht="13.5" thickBot="1" x14ac:dyDescent="0.25"/>
    <row r="55" spans="1:18" x14ac:dyDescent="0.2">
      <c r="B55" s="830" t="s">
        <v>163</v>
      </c>
      <c r="C55" s="833" t="s">
        <v>164</v>
      </c>
      <c r="D55" s="836" t="s">
        <v>811</v>
      </c>
      <c r="E55" s="837"/>
      <c r="F55" s="838"/>
      <c r="G55" s="839">
        <v>40000</v>
      </c>
      <c r="H55" s="840"/>
    </row>
    <row r="56" spans="1:18" x14ac:dyDescent="0.2">
      <c r="B56" s="831"/>
      <c r="C56" s="834"/>
      <c r="D56" s="841" t="s">
        <v>166</v>
      </c>
      <c r="E56" s="842"/>
      <c r="F56" s="843"/>
      <c r="G56" s="844">
        <f>+O44</f>
        <v>2500</v>
      </c>
      <c r="H56" s="845"/>
      <c r="I56" s="39"/>
      <c r="J56" s="846"/>
      <c r="K56" s="846"/>
      <c r="L56" s="846"/>
      <c r="M56" s="847"/>
      <c r="N56" s="847"/>
      <c r="O56" s="847"/>
    </row>
    <row r="57" spans="1:18" ht="13.5" thickBot="1" x14ac:dyDescent="0.25">
      <c r="B57" s="832"/>
      <c r="C57" s="835"/>
      <c r="D57" s="926" t="s">
        <v>243</v>
      </c>
      <c r="E57" s="927"/>
      <c r="F57" s="928"/>
      <c r="G57" s="851">
        <f>IF(O17&gt;15000,15000,+O17)</f>
        <v>0</v>
      </c>
      <c r="H57" s="852"/>
      <c r="J57" s="47"/>
      <c r="K57" s="47"/>
      <c r="L57" s="47"/>
      <c r="M57" s="47"/>
      <c r="N57" s="47"/>
      <c r="O57" s="47"/>
    </row>
    <row r="58" spans="1:18" ht="13.5" thickBot="1" x14ac:dyDescent="0.25">
      <c r="B58" s="48"/>
      <c r="J58" s="47"/>
      <c r="K58" s="47"/>
      <c r="L58" s="47"/>
      <c r="M58" s="47"/>
      <c r="N58" s="47"/>
      <c r="O58" s="47"/>
    </row>
    <row r="59" spans="1:18" ht="13.5" thickBot="1" x14ac:dyDescent="0.25">
      <c r="B59" s="789" t="s">
        <v>168</v>
      </c>
      <c r="C59" s="790"/>
      <c r="D59" s="790"/>
      <c r="E59" s="790"/>
      <c r="F59" s="791"/>
      <c r="G59" s="825">
        <f>+G53-SUM(G55:H57)</f>
        <v>468432</v>
      </c>
      <c r="H59" s="826"/>
      <c r="J59" s="827" t="s">
        <v>169</v>
      </c>
      <c r="K59" s="828"/>
      <c r="L59" s="828"/>
      <c r="M59" s="828"/>
      <c r="N59" s="828"/>
      <c r="O59" s="829"/>
    </row>
    <row r="60" spans="1:18" ht="13.5" thickBot="1" x14ac:dyDescent="0.25">
      <c r="B60" s="49"/>
      <c r="C60" s="50"/>
      <c r="D60" s="50"/>
      <c r="E60" s="50"/>
      <c r="F60" s="50"/>
      <c r="G60" s="45"/>
      <c r="H60" s="50"/>
      <c r="J60" s="129"/>
      <c r="K60" s="130"/>
      <c r="L60" s="130"/>
      <c r="M60" s="130"/>
      <c r="N60" s="130"/>
      <c r="O60" s="131"/>
    </row>
    <row r="61" spans="1:18" ht="13.5" thickBot="1" x14ac:dyDescent="0.25">
      <c r="B61" s="789" t="s">
        <v>170</v>
      </c>
      <c r="C61" s="790"/>
      <c r="D61" s="790"/>
      <c r="E61" s="790"/>
      <c r="F61" s="791"/>
      <c r="G61" s="805"/>
      <c r="H61" s="791"/>
      <c r="J61" s="129"/>
      <c r="K61" s="130"/>
      <c r="L61" s="130"/>
      <c r="M61" s="130"/>
      <c r="N61" s="130"/>
      <c r="O61" s="131"/>
    </row>
    <row r="62" spans="1:18" ht="12.75" customHeight="1" x14ac:dyDescent="0.2">
      <c r="B62" s="57" t="s">
        <v>171</v>
      </c>
      <c r="C62" s="806" t="s">
        <v>172</v>
      </c>
      <c r="D62" s="807"/>
      <c r="E62" s="807"/>
      <c r="F62" s="808"/>
      <c r="G62" s="809">
        <v>0</v>
      </c>
      <c r="H62" s="809"/>
      <c r="I62" s="58"/>
      <c r="J62" s="810" t="s">
        <v>173</v>
      </c>
      <c r="K62" s="811"/>
      <c r="L62" s="811"/>
      <c r="M62" s="811"/>
      <c r="N62" s="811"/>
      <c r="O62" s="812"/>
      <c r="Q62" s="59"/>
      <c r="R62" s="59"/>
    </row>
    <row r="63" spans="1:18" ht="13.5" thickBot="1" x14ac:dyDescent="0.25">
      <c r="D63" s="37"/>
      <c r="I63" s="58"/>
      <c r="J63" s="1068" t="s">
        <v>905</v>
      </c>
      <c r="K63" s="1069"/>
      <c r="L63" s="1069"/>
      <c r="M63" s="1069"/>
      <c r="N63" s="133" t="s">
        <v>315</v>
      </c>
      <c r="O63" s="134">
        <v>65799</v>
      </c>
      <c r="P63" s="16">
        <f>9916+2168+83+381</f>
        <v>12548</v>
      </c>
      <c r="Q63" s="59"/>
      <c r="R63" s="59"/>
    </row>
    <row r="64" spans="1:18" ht="13.5" thickBot="1" x14ac:dyDescent="0.25">
      <c r="B64" s="789" t="s">
        <v>175</v>
      </c>
      <c r="C64" s="790"/>
      <c r="D64" s="790"/>
      <c r="E64" s="790"/>
      <c r="F64" s="791"/>
      <c r="G64" s="805">
        <f>+G59-G62</f>
        <v>468432</v>
      </c>
      <c r="H64" s="791"/>
      <c r="I64" s="63"/>
      <c r="J64" s="75"/>
      <c r="K64" s="39"/>
      <c r="L64" s="39"/>
      <c r="M64" s="39"/>
      <c r="N64" s="39" t="s">
        <v>388</v>
      </c>
      <c r="O64" s="65">
        <v>97401</v>
      </c>
      <c r="Q64" s="59"/>
      <c r="R64" s="59"/>
    </row>
    <row r="65" spans="2:18" ht="12.75" customHeight="1" x14ac:dyDescent="0.2">
      <c r="B65" s="48"/>
      <c r="C65" s="48"/>
      <c r="F65" s="16" t="s">
        <v>906</v>
      </c>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6.25" customHeight="1" thickBot="1" x14ac:dyDescent="0.25">
      <c r="B67" s="66"/>
      <c r="C67" s="48"/>
      <c r="G67" s="70" t="s">
        <v>177</v>
      </c>
      <c r="H67" s="70" t="s">
        <v>178</v>
      </c>
      <c r="I67" s="63"/>
      <c r="J67" s="810" t="s">
        <v>179</v>
      </c>
      <c r="K67" s="811"/>
      <c r="L67" s="71"/>
      <c r="M67" s="71"/>
      <c r="N67" s="71"/>
      <c r="O67" s="72"/>
      <c r="Q67" s="59"/>
      <c r="R67" s="59"/>
    </row>
    <row r="68" spans="2:18" ht="12.75" customHeight="1" x14ac:dyDescent="0.2">
      <c r="B68" s="802" t="s">
        <v>180</v>
      </c>
      <c r="C68" s="821" t="s">
        <v>181</v>
      </c>
      <c r="D68" s="823" t="s">
        <v>182</v>
      </c>
      <c r="E68" s="824"/>
      <c r="F68" s="824"/>
      <c r="G68" s="73">
        <f>+O43</f>
        <v>33000</v>
      </c>
      <c r="H68" s="74">
        <f t="shared" ref="H68:H76" si="5">+G68</f>
        <v>33000</v>
      </c>
      <c r="I68" s="63"/>
      <c r="J68" s="75" t="s">
        <v>231</v>
      </c>
      <c r="K68" s="58"/>
      <c r="L68" s="58"/>
      <c r="M68" s="58" t="s">
        <v>232</v>
      </c>
      <c r="N68" s="58"/>
      <c r="O68" s="76">
        <f>+O47</f>
        <v>10824</v>
      </c>
      <c r="Q68" s="59"/>
      <c r="R68" s="59"/>
    </row>
    <row r="69" spans="2:18" ht="12.75" customHeight="1" x14ac:dyDescent="0.2">
      <c r="B69" s="803"/>
      <c r="C69" s="822"/>
      <c r="D69" s="782" t="s">
        <v>184</v>
      </c>
      <c r="E69" s="783"/>
      <c r="F69" s="783"/>
      <c r="G69" s="77">
        <v>57432</v>
      </c>
      <c r="H69" s="78">
        <f t="shared" si="5"/>
        <v>57432</v>
      </c>
      <c r="I69" s="63"/>
      <c r="J69" s="79"/>
      <c r="K69" s="68"/>
      <c r="L69" s="68"/>
      <c r="M69" s="68"/>
      <c r="N69" s="68"/>
      <c r="O69" s="69"/>
      <c r="Q69" s="59"/>
      <c r="R69" s="59"/>
    </row>
    <row r="70" spans="2:18" ht="12.75" customHeight="1" x14ac:dyDescent="0.2">
      <c r="B70" s="803"/>
      <c r="C70" s="822"/>
      <c r="D70" s="819" t="s">
        <v>185</v>
      </c>
      <c r="E70" s="820"/>
      <c r="F70" s="820"/>
      <c r="G70" s="80">
        <f>O40</f>
        <v>360</v>
      </c>
      <c r="H70" s="78">
        <f t="shared" si="5"/>
        <v>360</v>
      </c>
      <c r="I70" s="63"/>
      <c r="J70" s="67"/>
      <c r="K70" s="68"/>
      <c r="L70" s="68"/>
      <c r="M70" s="68"/>
      <c r="N70" s="68"/>
      <c r="O70" s="69"/>
    </row>
    <row r="71" spans="2:18" x14ac:dyDescent="0.2">
      <c r="B71" s="803"/>
      <c r="C71" s="822"/>
      <c r="D71" s="782" t="s">
        <v>186</v>
      </c>
      <c r="E71" s="783"/>
      <c r="F71" s="783"/>
      <c r="G71" s="81">
        <v>0</v>
      </c>
      <c r="H71" s="78">
        <f t="shared" si="5"/>
        <v>0</v>
      </c>
      <c r="I71" s="63"/>
      <c r="J71" s="82" t="s">
        <v>187</v>
      </c>
      <c r="K71" s="71"/>
      <c r="L71" s="71"/>
      <c r="M71" s="71"/>
      <c r="N71" s="71"/>
      <c r="O71" s="72"/>
    </row>
    <row r="72" spans="2:18" ht="12.75" customHeight="1" x14ac:dyDescent="0.2">
      <c r="B72" s="803"/>
      <c r="C72" s="822"/>
      <c r="D72" s="784" t="s">
        <v>188</v>
      </c>
      <c r="E72" s="783"/>
      <c r="F72" s="783"/>
      <c r="G72" s="80">
        <v>0</v>
      </c>
      <c r="H72" s="78">
        <f t="shared" si="5"/>
        <v>0</v>
      </c>
      <c r="I72" s="63"/>
      <c r="J72" s="75" t="s">
        <v>189</v>
      </c>
      <c r="K72" s="50"/>
      <c r="L72" s="50"/>
      <c r="M72" s="50"/>
      <c r="N72" s="50"/>
      <c r="O72" s="83">
        <f>O42</f>
        <v>3000</v>
      </c>
    </row>
    <row r="73" spans="2:18" ht="14.25" customHeight="1" x14ac:dyDescent="0.2">
      <c r="B73" s="803"/>
      <c r="C73" s="822"/>
      <c r="D73" s="782" t="s">
        <v>190</v>
      </c>
      <c r="E73" s="783"/>
      <c r="F73" s="783"/>
      <c r="G73" s="84">
        <v>0</v>
      </c>
      <c r="H73" s="78">
        <f t="shared" si="5"/>
        <v>0</v>
      </c>
      <c r="I73" s="63"/>
      <c r="J73" s="75"/>
      <c r="K73" s="39"/>
      <c r="L73" s="39"/>
      <c r="M73" s="39"/>
      <c r="N73" s="39"/>
      <c r="O73" s="65"/>
    </row>
    <row r="74" spans="2:18" x14ac:dyDescent="0.2">
      <c r="B74" s="803"/>
      <c r="C74" s="822"/>
      <c r="D74" s="782" t="s">
        <v>191</v>
      </c>
      <c r="E74" s="783"/>
      <c r="F74" s="783"/>
      <c r="G74" s="81">
        <v>0</v>
      </c>
      <c r="H74" s="78">
        <f t="shared" si="5"/>
        <v>0</v>
      </c>
      <c r="I74" s="58"/>
      <c r="J74" s="137"/>
      <c r="K74" s="50"/>
      <c r="L74" s="50"/>
      <c r="M74" s="50"/>
      <c r="N74" s="50"/>
      <c r="O74" s="83"/>
    </row>
    <row r="75" spans="2:18" x14ac:dyDescent="0.2">
      <c r="B75" s="803"/>
      <c r="C75" s="88" t="s">
        <v>192</v>
      </c>
      <c r="D75" s="813" t="s">
        <v>193</v>
      </c>
      <c r="E75" s="814"/>
      <c r="F75" s="814"/>
      <c r="G75" s="80">
        <v>0</v>
      </c>
      <c r="H75" s="78">
        <f t="shared" si="5"/>
        <v>0</v>
      </c>
      <c r="I75" s="58"/>
      <c r="J75" s="85"/>
      <c r="K75" s="138"/>
      <c r="L75" s="138"/>
      <c r="M75" s="138"/>
      <c r="N75" s="138"/>
      <c r="O75" s="139"/>
    </row>
    <row r="76" spans="2:18" ht="13.5" customHeight="1" thickBot="1" x14ac:dyDescent="0.25">
      <c r="B76" s="803"/>
      <c r="C76" s="88" t="s">
        <v>194</v>
      </c>
      <c r="D76" s="815" t="s">
        <v>195</v>
      </c>
      <c r="E76" s="815"/>
      <c r="F76" s="815"/>
      <c r="G76" s="89">
        <v>0</v>
      </c>
      <c r="H76" s="90">
        <f t="shared" si="5"/>
        <v>0</v>
      </c>
      <c r="I76" s="63"/>
      <c r="J76" s="75"/>
      <c r="K76" s="68"/>
      <c r="L76" s="68"/>
      <c r="M76" s="91"/>
      <c r="N76" s="91"/>
      <c r="O76" s="92"/>
    </row>
    <row r="77" spans="2:18" ht="13.5" thickBot="1" x14ac:dyDescent="0.25">
      <c r="B77" s="803"/>
      <c r="C77" s="93"/>
      <c r="D77" s="94"/>
      <c r="E77" s="816" t="s">
        <v>117</v>
      </c>
      <c r="F77" s="817"/>
      <c r="G77" s="95">
        <f>SUM(G68:G76)</f>
        <v>90792</v>
      </c>
      <c r="H77" s="96">
        <f>IF(SUM(G68:G74)&lt;150000,SUM(G68:G74),150000)+IF(+G75&lt;20000,+G75,20000)</f>
        <v>90792</v>
      </c>
      <c r="I77" s="63"/>
      <c r="J77" s="140"/>
      <c r="K77" s="141"/>
      <c r="L77" s="141"/>
      <c r="M77" s="142"/>
      <c r="N77" s="142"/>
      <c r="O77" s="143"/>
    </row>
    <row r="78" spans="2:18" ht="12.75" customHeight="1" x14ac:dyDescent="0.2">
      <c r="B78" s="803"/>
      <c r="C78" s="100" t="s">
        <v>196</v>
      </c>
      <c r="D78" s="782" t="s">
        <v>187</v>
      </c>
      <c r="E78" s="783"/>
      <c r="F78" s="818"/>
      <c r="G78" s="73">
        <f>+O42</f>
        <v>3000</v>
      </c>
      <c r="H78" s="101">
        <f>+IF(+G78&lt;25000,+G78,25000)</f>
        <v>3000</v>
      </c>
      <c r="I78" s="87"/>
    </row>
    <row r="79" spans="2:18" x14ac:dyDescent="0.2">
      <c r="B79" s="803"/>
      <c r="C79" s="100" t="s">
        <v>197</v>
      </c>
      <c r="D79" s="784" t="s">
        <v>198</v>
      </c>
      <c r="E79" s="785"/>
      <c r="F79" s="786"/>
      <c r="G79" s="102"/>
      <c r="H79" s="103">
        <f>+IF(+G79&lt;40000,+G79,40000)</f>
        <v>0</v>
      </c>
      <c r="I79" s="63"/>
    </row>
    <row r="80" spans="2:18" x14ac:dyDescent="0.2">
      <c r="B80" s="803"/>
      <c r="C80" s="100" t="s">
        <v>199</v>
      </c>
      <c r="D80" s="784" t="s">
        <v>200</v>
      </c>
      <c r="E80" s="785"/>
      <c r="F80" s="786"/>
      <c r="G80" s="81"/>
      <c r="H80" s="104">
        <v>0</v>
      </c>
      <c r="I80" s="63"/>
      <c r="J80" s="106"/>
    </row>
    <row r="81" spans="2:12" x14ac:dyDescent="0.2">
      <c r="B81" s="803"/>
      <c r="C81" s="100" t="s">
        <v>201</v>
      </c>
      <c r="D81" s="784" t="s">
        <v>202</v>
      </c>
      <c r="E81" s="785"/>
      <c r="F81" s="786"/>
      <c r="G81" s="81"/>
      <c r="H81" s="104">
        <v>0</v>
      </c>
      <c r="I81" s="63"/>
    </row>
    <row r="82" spans="2:12" ht="13.5" thickBot="1" x14ac:dyDescent="0.25">
      <c r="B82" s="804"/>
      <c r="C82" s="100" t="s">
        <v>203</v>
      </c>
      <c r="D82" s="784" t="s">
        <v>204</v>
      </c>
      <c r="E82" s="785"/>
      <c r="F82" s="786"/>
      <c r="G82" s="102"/>
      <c r="H82" s="103">
        <f>+IF(+G82&lt;100000,+G82,10000)</f>
        <v>0</v>
      </c>
      <c r="I82" s="63"/>
    </row>
    <row r="83" spans="2:12" ht="13.5" thickBot="1" x14ac:dyDescent="0.25">
      <c r="B83" s="787" t="s">
        <v>205</v>
      </c>
      <c r="C83" s="788"/>
      <c r="D83" s="788"/>
      <c r="E83" s="788"/>
      <c r="F83" s="788"/>
      <c r="G83" s="107">
        <f>SUM(G78:G82)</f>
        <v>3000</v>
      </c>
      <c r="H83" s="108">
        <f>SUM(H77:H82)</f>
        <v>93792</v>
      </c>
    </row>
    <row r="84" spans="2:12" ht="13.5" thickBot="1" x14ac:dyDescent="0.25"/>
    <row r="85" spans="2:12" ht="13.5" thickBot="1" x14ac:dyDescent="0.25">
      <c r="B85" s="789" t="s">
        <v>206</v>
      </c>
      <c r="C85" s="790"/>
      <c r="D85" s="790"/>
      <c r="E85" s="790"/>
      <c r="F85" s="791"/>
      <c r="G85" s="341"/>
      <c r="H85" s="342">
        <f>+G64-H83</f>
        <v>374640</v>
      </c>
      <c r="J85" s="109">
        <f>C37+D37+E37+F37</f>
        <v>162432</v>
      </c>
      <c r="K85" s="16" t="s">
        <v>235</v>
      </c>
    </row>
    <row r="86" spans="2:12" x14ac:dyDescent="0.2">
      <c r="B86" s="110"/>
      <c r="F86" s="105"/>
      <c r="J86" s="109">
        <f>G37+H37+I37</f>
        <v>128906</v>
      </c>
      <c r="K86" s="16" t="s">
        <v>236</v>
      </c>
    </row>
    <row r="87" spans="2:12" x14ac:dyDescent="0.2">
      <c r="C87" s="793" t="s">
        <v>207</v>
      </c>
      <c r="D87" s="794"/>
      <c r="E87" s="111" t="s">
        <v>208</v>
      </c>
      <c r="F87" s="111" t="s">
        <v>209</v>
      </c>
      <c r="G87" s="111" t="s">
        <v>210</v>
      </c>
      <c r="H87" s="111" t="s">
        <v>211</v>
      </c>
      <c r="J87" s="109">
        <f>J37+K37+L37</f>
        <v>135446</v>
      </c>
      <c r="K87" s="47" t="s">
        <v>237</v>
      </c>
    </row>
    <row r="88" spans="2:12" x14ac:dyDescent="0.2">
      <c r="C88" s="795" t="str">
        <f>IF(I6="M","0          - 250000","0          -  250000")</f>
        <v>0          - 250000</v>
      </c>
      <c r="D88" s="796"/>
      <c r="E88" s="112">
        <v>0</v>
      </c>
      <c r="F88" s="113">
        <f>IF(I6="M",(IF(H85&lt;250000,H85,250000)),(IF(H85&lt;250000,H85,250000)))</f>
        <v>250000</v>
      </c>
      <c r="G88" s="113">
        <f>H85-F88</f>
        <v>124640</v>
      </c>
      <c r="H88" s="113">
        <f>E88*F88</f>
        <v>0</v>
      </c>
      <c r="J88" s="16">
        <f>M37+N37</f>
        <v>84148</v>
      </c>
      <c r="K88" s="1" t="s">
        <v>238</v>
      </c>
    </row>
    <row r="89" spans="2:12" x14ac:dyDescent="0.2">
      <c r="C89" s="795" t="str">
        <f>IF(I6="M","250001 - 500000","250001-500000")</f>
        <v>250001 - 500000</v>
      </c>
      <c r="D89" s="796"/>
      <c r="E89" s="112">
        <v>0.05</v>
      </c>
      <c r="F89" s="113">
        <f>IF(I6="M",(IF(G88&lt;250000,G88,250000)),(IF(G88&lt;250000,G88,250000)))</f>
        <v>124640</v>
      </c>
      <c r="G89" s="113">
        <f>G88-F89</f>
        <v>0</v>
      </c>
      <c r="H89" s="114">
        <f>ROUND(E89*F89,0.1)</f>
        <v>6232</v>
      </c>
      <c r="J89" s="115">
        <f>SUM(J85:J88)</f>
        <v>510932</v>
      </c>
    </row>
    <row r="90" spans="2:12" x14ac:dyDescent="0.2">
      <c r="C90" s="797" t="s">
        <v>212</v>
      </c>
      <c r="D90" s="798"/>
      <c r="E90" s="112">
        <v>0.2</v>
      </c>
      <c r="F90" s="113">
        <f>IF(G89&lt;500000,G89,500000)</f>
        <v>0</v>
      </c>
      <c r="G90" s="113">
        <f>G89-F90</f>
        <v>0</v>
      </c>
      <c r="H90" s="114">
        <f>ROUND(E90*F90,0.1)</f>
        <v>0</v>
      </c>
      <c r="J90" s="16">
        <f>+G85</f>
        <v>0</v>
      </c>
    </row>
    <row r="91" spans="2:12" x14ac:dyDescent="0.2">
      <c r="C91" s="795" t="s">
        <v>213</v>
      </c>
      <c r="D91" s="796"/>
      <c r="E91" s="112">
        <v>0.3</v>
      </c>
      <c r="F91" s="113">
        <f>G90</f>
        <v>0</v>
      </c>
      <c r="G91" s="113">
        <f>G90-F91</f>
        <v>0</v>
      </c>
      <c r="H91" s="114">
        <f>ROUND(E91*F91,0.1)</f>
        <v>0</v>
      </c>
      <c r="J91" s="16">
        <f>+J89-J90</f>
        <v>510932</v>
      </c>
    </row>
    <row r="92" spans="2:12" ht="12.75" customHeight="1" thickBot="1" x14ac:dyDescent="0.25">
      <c r="B92" s="116"/>
      <c r="C92" s="117"/>
      <c r="D92" s="47"/>
      <c r="E92" s="47"/>
      <c r="F92" s="47"/>
      <c r="J92" s="87">
        <f>+J91/3</f>
        <v>170310.66666666666</v>
      </c>
      <c r="K92" s="118"/>
    </row>
    <row r="93" spans="2:12" ht="13.5" thickBot="1" x14ac:dyDescent="0.25">
      <c r="B93" s="799" t="s">
        <v>239</v>
      </c>
      <c r="C93" s="800"/>
      <c r="D93" s="800"/>
      <c r="E93" s="800"/>
      <c r="F93" s="801"/>
      <c r="G93" s="897">
        <f>H88+H89+H90+H91</f>
        <v>6232</v>
      </c>
      <c r="H93" s="898"/>
      <c r="J93" s="87"/>
      <c r="K93" s="87"/>
    </row>
    <row r="94" spans="2:12" ht="13.5" thickBot="1" x14ac:dyDescent="0.25">
      <c r="B94" s="119" t="s">
        <v>215</v>
      </c>
      <c r="C94" s="120"/>
      <c r="D94" s="120"/>
      <c r="E94" s="120"/>
      <c r="F94" s="120"/>
      <c r="G94" s="895">
        <f>IF((G64&lt;500000),5000,0)</f>
        <v>5000</v>
      </c>
      <c r="H94" s="896">
        <f>IF(H92&lt;200000,0,IF(H92&lt;220000,((H92-200000)*10%),IF(H92&lt;=500000,2000,IF(H92&gt;=500000,0))))</f>
        <v>0</v>
      </c>
      <c r="J94" s="1"/>
      <c r="K94" s="121"/>
      <c r="L94" s="121"/>
    </row>
    <row r="95" spans="2:12" ht="13.5" thickBot="1" x14ac:dyDescent="0.25">
      <c r="B95" s="122" t="s">
        <v>216</v>
      </c>
      <c r="C95" s="123"/>
      <c r="D95" s="123"/>
      <c r="E95" s="123"/>
      <c r="F95" s="123"/>
      <c r="G95" s="897">
        <f>IF((G93-G94)&lt;0,0,(G93-G94))</f>
        <v>1232</v>
      </c>
      <c r="H95" s="898"/>
      <c r="I95" s="37"/>
    </row>
    <row r="96" spans="2:12" ht="13.5" thickBot="1" x14ac:dyDescent="0.25">
      <c r="B96" s="773" t="s">
        <v>240</v>
      </c>
      <c r="C96" s="774"/>
      <c r="D96" s="774"/>
      <c r="E96" s="774"/>
      <c r="F96" s="775"/>
      <c r="G96" s="899">
        <f>ROUND((IF(G95&gt;0,(G95*4%),0)),0)</f>
        <v>49</v>
      </c>
      <c r="H96" s="900"/>
      <c r="I96" s="37"/>
    </row>
    <row r="97" spans="2:9" ht="13.5" thickBot="1" x14ac:dyDescent="0.25">
      <c r="B97" s="778" t="s">
        <v>218</v>
      </c>
      <c r="C97" s="779"/>
      <c r="D97" s="779"/>
      <c r="E97" s="779"/>
      <c r="F97" s="779"/>
      <c r="G97" s="901">
        <f>G95+G96</f>
        <v>1281</v>
      </c>
      <c r="H97" s="902"/>
      <c r="I97" s="121"/>
    </row>
    <row r="98" spans="2:9" ht="13.5" thickBot="1" x14ac:dyDescent="0.25">
      <c r="B98" s="765" t="s">
        <v>219</v>
      </c>
      <c r="C98" s="766"/>
      <c r="D98" s="766"/>
      <c r="E98" s="766"/>
      <c r="F98" s="766"/>
      <c r="G98" s="893">
        <f>O38</f>
        <v>1290</v>
      </c>
      <c r="H98" s="894"/>
      <c r="I98" s="121"/>
    </row>
    <row r="99" spans="2:9" ht="13.5" thickBot="1" x14ac:dyDescent="0.25">
      <c r="B99" s="765" t="str">
        <f>IF(G99&gt;0,"TAX PAYABLE","TAX REFUND")</f>
        <v>TAX REFUND</v>
      </c>
      <c r="C99" s="766"/>
      <c r="D99" s="766"/>
      <c r="E99" s="766"/>
      <c r="F99" s="766"/>
      <c r="G99" s="893">
        <f>+G97-G98</f>
        <v>-9</v>
      </c>
      <c r="H99" s="894"/>
      <c r="I99" s="37"/>
    </row>
    <row r="100" spans="2:9" x14ac:dyDescent="0.2">
      <c r="C100" s="124"/>
      <c r="D100" s="45"/>
      <c r="E100" s="118"/>
      <c r="F100" s="118"/>
      <c r="G100" s="118"/>
      <c r="H100" s="118"/>
      <c r="I100" s="125"/>
    </row>
    <row r="101" spans="2:9" x14ac:dyDescent="0.2">
      <c r="C101" s="47"/>
      <c r="D101" s="50"/>
      <c r="E101" s="117"/>
      <c r="F101" s="47"/>
      <c r="G101" s="47"/>
      <c r="I101" s="125"/>
    </row>
    <row r="102" spans="2:9" x14ac:dyDescent="0.2">
      <c r="C102" s="39"/>
      <c r="D102" s="126"/>
      <c r="E102" s="126"/>
      <c r="F102" s="126"/>
      <c r="G102" s="39"/>
      <c r="H102" s="343"/>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B61:F61"/>
    <mergeCell ref="G61:H61"/>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C62:F62"/>
    <mergeCell ref="G62:H62"/>
    <mergeCell ref="J62:O62"/>
    <mergeCell ref="B64:F64"/>
    <mergeCell ref="G64:H64"/>
    <mergeCell ref="J63:M63"/>
    <mergeCell ref="J67:K67"/>
    <mergeCell ref="B68:B82"/>
    <mergeCell ref="C68:C74"/>
    <mergeCell ref="D68:F68"/>
    <mergeCell ref="D69:F69"/>
    <mergeCell ref="D70:F70"/>
    <mergeCell ref="D71:F71"/>
    <mergeCell ref="D72:F72"/>
    <mergeCell ref="B85:F85"/>
    <mergeCell ref="D73:F73"/>
    <mergeCell ref="D74:F74"/>
    <mergeCell ref="D75:F75"/>
    <mergeCell ref="D76:F76"/>
    <mergeCell ref="E77:F77"/>
    <mergeCell ref="D78:F78"/>
    <mergeCell ref="D79:F79"/>
    <mergeCell ref="D80:F80"/>
    <mergeCell ref="D81:F81"/>
    <mergeCell ref="D82:F82"/>
    <mergeCell ref="B83:F83"/>
    <mergeCell ref="C87:D87"/>
    <mergeCell ref="C88:D88"/>
    <mergeCell ref="C89:D89"/>
    <mergeCell ref="C90:D90"/>
    <mergeCell ref="C91:D91"/>
    <mergeCell ref="B98:F98"/>
    <mergeCell ref="G98:H98"/>
    <mergeCell ref="B99:F99"/>
    <mergeCell ref="G99:H99"/>
    <mergeCell ref="G93:H93"/>
    <mergeCell ref="G94:H94"/>
    <mergeCell ref="G95:H95"/>
    <mergeCell ref="B96:F96"/>
    <mergeCell ref="G96:H96"/>
    <mergeCell ref="B97:F97"/>
    <mergeCell ref="G97:H97"/>
    <mergeCell ref="B93:F93"/>
  </mergeCells>
  <conditionalFormatting sqref="B90:F90 B99:F99 B93:F97">
    <cfRule type="cellIs" dxfId="1937" priority="1" stopIfTrue="1" operator="equal">
      <formula>"TAX PAYABLE"</formula>
    </cfRule>
    <cfRule type="cellIs" dxfId="1936" priority="2" stopIfTrue="1" operator="equal">
      <formula>"TAX REFUND"</formula>
    </cfRule>
  </conditionalFormatting>
  <conditionalFormatting sqref="G90:H90">
    <cfRule type="cellIs" dxfId="1935" priority="3" stopIfTrue="1" operator="lessThan">
      <formula>0</formula>
    </cfRule>
    <cfRule type="cellIs" dxfId="1934" priority="4" stopIfTrue="1" operator="greaterThan">
      <formula>0</formula>
    </cfRule>
  </conditionalFormatting>
  <conditionalFormatting sqref="G99:H99">
    <cfRule type="cellIs" dxfId="1933" priority="5" stopIfTrue="1" operator="greaterThan">
      <formula>0</formula>
    </cfRule>
    <cfRule type="cellIs" dxfId="1932" priority="6"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legacy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7"/>
  <sheetViews>
    <sheetView topLeftCell="A61" workbookViewId="0">
      <selection activeCell="Q45" sqref="Q45"/>
    </sheetView>
  </sheetViews>
  <sheetFormatPr defaultRowHeight="12.75" x14ac:dyDescent="0.2"/>
  <cols>
    <col min="1" max="1" width="5" style="16" customWidth="1"/>
    <col min="2" max="2" width="18.85546875" style="37" customWidth="1"/>
    <col min="3" max="3" width="9.28515625" style="16" customWidth="1"/>
    <col min="4" max="4" width="8" style="16" customWidth="1"/>
    <col min="5" max="5" width="8.5703125" style="16" bestFit="1" customWidth="1"/>
    <col min="6" max="6" width="8.28515625" style="16" customWidth="1"/>
    <col min="7" max="7" width="8.42578125" style="16" bestFit="1" customWidth="1"/>
    <col min="8" max="9" width="8.85546875" style="16" customWidth="1"/>
    <col min="10" max="11" width="8.7109375" style="16" customWidth="1"/>
    <col min="12" max="12" width="9.28515625" style="16" customWidth="1"/>
    <col min="13" max="13" width="8.42578125" style="16" customWidth="1"/>
    <col min="14" max="14" width="8.5703125" style="16" customWidth="1"/>
    <col min="15" max="15" width="7.85546875" style="16" customWidth="1"/>
    <col min="16" max="104" width="8.85546875" style="16" customWidth="1"/>
    <col min="105" max="256" width="9.140625" style="16"/>
    <col min="257" max="257" width="5" style="16" customWidth="1"/>
    <col min="258" max="258" width="18.85546875" style="16" customWidth="1"/>
    <col min="259" max="259" width="9.28515625" style="16" customWidth="1"/>
    <col min="260" max="260" width="8" style="16" customWidth="1"/>
    <col min="261" max="261" width="8.5703125" style="16" bestFit="1" customWidth="1"/>
    <col min="262" max="262" width="8.28515625" style="16" customWidth="1"/>
    <col min="263" max="263" width="8.42578125" style="16" bestFit="1" customWidth="1"/>
    <col min="264" max="265" width="8.85546875" style="16" customWidth="1"/>
    <col min="266" max="267" width="8.7109375" style="16" customWidth="1"/>
    <col min="268" max="268" width="9.28515625" style="16" customWidth="1"/>
    <col min="269" max="269" width="8.42578125" style="16" customWidth="1"/>
    <col min="270" max="270" width="8.5703125" style="16" customWidth="1"/>
    <col min="271" max="271" width="7.85546875" style="16" customWidth="1"/>
    <col min="272" max="360" width="8.85546875" style="16" customWidth="1"/>
    <col min="361" max="512" width="9.140625" style="16"/>
    <col min="513" max="513" width="5" style="16" customWidth="1"/>
    <col min="514" max="514" width="18.85546875" style="16" customWidth="1"/>
    <col min="515" max="515" width="9.28515625" style="16" customWidth="1"/>
    <col min="516" max="516" width="8" style="16" customWidth="1"/>
    <col min="517" max="517" width="8.5703125" style="16" bestFit="1" customWidth="1"/>
    <col min="518" max="518" width="8.28515625" style="16" customWidth="1"/>
    <col min="519" max="519" width="8.42578125" style="16" bestFit="1" customWidth="1"/>
    <col min="520" max="521" width="8.85546875" style="16" customWidth="1"/>
    <col min="522" max="523" width="8.7109375" style="16" customWidth="1"/>
    <col min="524" max="524" width="9.28515625" style="16" customWidth="1"/>
    <col min="525" max="525" width="8.42578125" style="16" customWidth="1"/>
    <col min="526" max="526" width="8.5703125" style="16" customWidth="1"/>
    <col min="527" max="527" width="7.85546875" style="16" customWidth="1"/>
    <col min="528" max="616" width="8.85546875" style="16" customWidth="1"/>
    <col min="617" max="768" width="9.140625" style="16"/>
    <col min="769" max="769" width="5" style="16" customWidth="1"/>
    <col min="770" max="770" width="18.85546875" style="16" customWidth="1"/>
    <col min="771" max="771" width="9.28515625" style="16" customWidth="1"/>
    <col min="772" max="772" width="8" style="16" customWidth="1"/>
    <col min="773" max="773" width="8.5703125" style="16" bestFit="1" customWidth="1"/>
    <col min="774" max="774" width="8.28515625" style="16" customWidth="1"/>
    <col min="775" max="775" width="8.42578125" style="16" bestFit="1" customWidth="1"/>
    <col min="776" max="777" width="8.85546875" style="16" customWidth="1"/>
    <col min="778" max="779" width="8.7109375" style="16" customWidth="1"/>
    <col min="780" max="780" width="9.28515625" style="16" customWidth="1"/>
    <col min="781" max="781" width="8.42578125" style="16" customWidth="1"/>
    <col min="782" max="782" width="8.5703125" style="16" customWidth="1"/>
    <col min="783" max="783" width="7.85546875" style="16" customWidth="1"/>
    <col min="784" max="872" width="8.85546875" style="16" customWidth="1"/>
    <col min="873" max="1024" width="9.140625" style="16"/>
    <col min="1025" max="1025" width="5" style="16" customWidth="1"/>
    <col min="1026" max="1026" width="18.85546875" style="16" customWidth="1"/>
    <col min="1027" max="1027" width="9.28515625" style="16" customWidth="1"/>
    <col min="1028" max="1028" width="8" style="16" customWidth="1"/>
    <col min="1029" max="1029" width="8.5703125" style="16" bestFit="1" customWidth="1"/>
    <col min="1030" max="1030" width="8.28515625" style="16" customWidth="1"/>
    <col min="1031" max="1031" width="8.42578125" style="16" bestFit="1" customWidth="1"/>
    <col min="1032" max="1033" width="8.85546875" style="16" customWidth="1"/>
    <col min="1034" max="1035" width="8.7109375" style="16" customWidth="1"/>
    <col min="1036" max="1036" width="9.28515625" style="16" customWidth="1"/>
    <col min="1037" max="1037" width="8.42578125" style="16" customWidth="1"/>
    <col min="1038" max="1038" width="8.5703125" style="16" customWidth="1"/>
    <col min="1039" max="1039" width="7.85546875" style="16" customWidth="1"/>
    <col min="1040" max="1128" width="8.85546875" style="16" customWidth="1"/>
    <col min="1129" max="1280" width="9.140625" style="16"/>
    <col min="1281" max="1281" width="5" style="16" customWidth="1"/>
    <col min="1282" max="1282" width="18.85546875" style="16" customWidth="1"/>
    <col min="1283" max="1283" width="9.28515625" style="16" customWidth="1"/>
    <col min="1284" max="1284" width="8" style="16" customWidth="1"/>
    <col min="1285" max="1285" width="8.5703125" style="16" bestFit="1" customWidth="1"/>
    <col min="1286" max="1286" width="8.28515625" style="16" customWidth="1"/>
    <col min="1287" max="1287" width="8.42578125" style="16" bestFit="1" customWidth="1"/>
    <col min="1288" max="1289" width="8.85546875" style="16" customWidth="1"/>
    <col min="1290" max="1291" width="8.7109375" style="16" customWidth="1"/>
    <col min="1292" max="1292" width="9.28515625" style="16" customWidth="1"/>
    <col min="1293" max="1293" width="8.42578125" style="16" customWidth="1"/>
    <col min="1294" max="1294" width="8.5703125" style="16" customWidth="1"/>
    <col min="1295" max="1295" width="7.85546875" style="16" customWidth="1"/>
    <col min="1296" max="1384" width="8.85546875" style="16" customWidth="1"/>
    <col min="1385" max="1536" width="9.140625" style="16"/>
    <col min="1537" max="1537" width="5" style="16" customWidth="1"/>
    <col min="1538" max="1538" width="18.85546875" style="16" customWidth="1"/>
    <col min="1539" max="1539" width="9.28515625" style="16" customWidth="1"/>
    <col min="1540" max="1540" width="8" style="16" customWidth="1"/>
    <col min="1541" max="1541" width="8.5703125" style="16" bestFit="1" customWidth="1"/>
    <col min="1542" max="1542" width="8.28515625" style="16" customWidth="1"/>
    <col min="1543" max="1543" width="8.42578125" style="16" bestFit="1" customWidth="1"/>
    <col min="1544" max="1545" width="8.85546875" style="16" customWidth="1"/>
    <col min="1546" max="1547" width="8.7109375" style="16" customWidth="1"/>
    <col min="1548" max="1548" width="9.28515625" style="16" customWidth="1"/>
    <col min="1549" max="1549" width="8.42578125" style="16" customWidth="1"/>
    <col min="1550" max="1550" width="8.5703125" style="16" customWidth="1"/>
    <col min="1551" max="1551" width="7.85546875" style="16" customWidth="1"/>
    <col min="1552" max="1640" width="8.85546875" style="16" customWidth="1"/>
    <col min="1641" max="1792" width="9.140625" style="16"/>
    <col min="1793" max="1793" width="5" style="16" customWidth="1"/>
    <col min="1794" max="1794" width="18.85546875" style="16" customWidth="1"/>
    <col min="1795" max="1795" width="9.28515625" style="16" customWidth="1"/>
    <col min="1796" max="1796" width="8" style="16" customWidth="1"/>
    <col min="1797" max="1797" width="8.5703125" style="16" bestFit="1" customWidth="1"/>
    <col min="1798" max="1798" width="8.28515625" style="16" customWidth="1"/>
    <col min="1799" max="1799" width="8.42578125" style="16" bestFit="1" customWidth="1"/>
    <col min="1800" max="1801" width="8.85546875" style="16" customWidth="1"/>
    <col min="1802" max="1803" width="8.7109375" style="16" customWidth="1"/>
    <col min="1804" max="1804" width="9.28515625" style="16" customWidth="1"/>
    <col min="1805" max="1805" width="8.42578125" style="16" customWidth="1"/>
    <col min="1806" max="1806" width="8.5703125" style="16" customWidth="1"/>
    <col min="1807" max="1807" width="7.85546875" style="16" customWidth="1"/>
    <col min="1808" max="1896" width="8.85546875" style="16" customWidth="1"/>
    <col min="1897" max="2048" width="9.140625" style="16"/>
    <col min="2049" max="2049" width="5" style="16" customWidth="1"/>
    <col min="2050" max="2050" width="18.85546875" style="16" customWidth="1"/>
    <col min="2051" max="2051" width="9.28515625" style="16" customWidth="1"/>
    <col min="2052" max="2052" width="8" style="16" customWidth="1"/>
    <col min="2053" max="2053" width="8.5703125" style="16" bestFit="1" customWidth="1"/>
    <col min="2054" max="2054" width="8.28515625" style="16" customWidth="1"/>
    <col min="2055" max="2055" width="8.42578125" style="16" bestFit="1" customWidth="1"/>
    <col min="2056" max="2057" width="8.85546875" style="16" customWidth="1"/>
    <col min="2058" max="2059" width="8.7109375" style="16" customWidth="1"/>
    <col min="2060" max="2060" width="9.28515625" style="16" customWidth="1"/>
    <col min="2061" max="2061" width="8.42578125" style="16" customWidth="1"/>
    <col min="2062" max="2062" width="8.5703125" style="16" customWidth="1"/>
    <col min="2063" max="2063" width="7.85546875" style="16" customWidth="1"/>
    <col min="2064" max="2152" width="8.85546875" style="16" customWidth="1"/>
    <col min="2153" max="2304" width="9.140625" style="16"/>
    <col min="2305" max="2305" width="5" style="16" customWidth="1"/>
    <col min="2306" max="2306" width="18.85546875" style="16" customWidth="1"/>
    <col min="2307" max="2307" width="9.28515625" style="16" customWidth="1"/>
    <col min="2308" max="2308" width="8" style="16" customWidth="1"/>
    <col min="2309" max="2309" width="8.5703125" style="16" bestFit="1" customWidth="1"/>
    <col min="2310" max="2310" width="8.28515625" style="16" customWidth="1"/>
    <col min="2311" max="2311" width="8.42578125" style="16" bestFit="1" customWidth="1"/>
    <col min="2312" max="2313" width="8.85546875" style="16" customWidth="1"/>
    <col min="2314" max="2315" width="8.7109375" style="16" customWidth="1"/>
    <col min="2316" max="2316" width="9.28515625" style="16" customWidth="1"/>
    <col min="2317" max="2317" width="8.42578125" style="16" customWidth="1"/>
    <col min="2318" max="2318" width="8.5703125" style="16" customWidth="1"/>
    <col min="2319" max="2319" width="7.85546875" style="16" customWidth="1"/>
    <col min="2320" max="2408" width="8.85546875" style="16" customWidth="1"/>
    <col min="2409" max="2560" width="9.140625" style="16"/>
    <col min="2561" max="2561" width="5" style="16" customWidth="1"/>
    <col min="2562" max="2562" width="18.85546875" style="16" customWidth="1"/>
    <col min="2563" max="2563" width="9.28515625" style="16" customWidth="1"/>
    <col min="2564" max="2564" width="8" style="16" customWidth="1"/>
    <col min="2565" max="2565" width="8.5703125" style="16" bestFit="1" customWidth="1"/>
    <col min="2566" max="2566" width="8.28515625" style="16" customWidth="1"/>
    <col min="2567" max="2567" width="8.42578125" style="16" bestFit="1" customWidth="1"/>
    <col min="2568" max="2569" width="8.85546875" style="16" customWidth="1"/>
    <col min="2570" max="2571" width="8.7109375" style="16" customWidth="1"/>
    <col min="2572" max="2572" width="9.28515625" style="16" customWidth="1"/>
    <col min="2573" max="2573" width="8.42578125" style="16" customWidth="1"/>
    <col min="2574" max="2574" width="8.5703125" style="16" customWidth="1"/>
    <col min="2575" max="2575" width="7.85546875" style="16" customWidth="1"/>
    <col min="2576" max="2664" width="8.85546875" style="16" customWidth="1"/>
    <col min="2665" max="2816" width="9.140625" style="16"/>
    <col min="2817" max="2817" width="5" style="16" customWidth="1"/>
    <col min="2818" max="2818" width="18.85546875" style="16" customWidth="1"/>
    <col min="2819" max="2819" width="9.28515625" style="16" customWidth="1"/>
    <col min="2820" max="2820" width="8" style="16" customWidth="1"/>
    <col min="2821" max="2821" width="8.5703125" style="16" bestFit="1" customWidth="1"/>
    <col min="2822" max="2822" width="8.28515625" style="16" customWidth="1"/>
    <col min="2823" max="2823" width="8.42578125" style="16" bestFit="1" customWidth="1"/>
    <col min="2824" max="2825" width="8.85546875" style="16" customWidth="1"/>
    <col min="2826" max="2827" width="8.7109375" style="16" customWidth="1"/>
    <col min="2828" max="2828" width="9.28515625" style="16" customWidth="1"/>
    <col min="2829" max="2829" width="8.42578125" style="16" customWidth="1"/>
    <col min="2830" max="2830" width="8.5703125" style="16" customWidth="1"/>
    <col min="2831" max="2831" width="7.85546875" style="16" customWidth="1"/>
    <col min="2832" max="2920" width="8.85546875" style="16" customWidth="1"/>
    <col min="2921" max="3072" width="9.140625" style="16"/>
    <col min="3073" max="3073" width="5" style="16" customWidth="1"/>
    <col min="3074" max="3074" width="18.85546875" style="16" customWidth="1"/>
    <col min="3075" max="3075" width="9.28515625" style="16" customWidth="1"/>
    <col min="3076" max="3076" width="8" style="16" customWidth="1"/>
    <col min="3077" max="3077" width="8.5703125" style="16" bestFit="1" customWidth="1"/>
    <col min="3078" max="3078" width="8.28515625" style="16" customWidth="1"/>
    <col min="3079" max="3079" width="8.42578125" style="16" bestFit="1" customWidth="1"/>
    <col min="3080" max="3081" width="8.85546875" style="16" customWidth="1"/>
    <col min="3082" max="3083" width="8.7109375" style="16" customWidth="1"/>
    <col min="3084" max="3084" width="9.28515625" style="16" customWidth="1"/>
    <col min="3085" max="3085" width="8.42578125" style="16" customWidth="1"/>
    <col min="3086" max="3086" width="8.5703125" style="16" customWidth="1"/>
    <col min="3087" max="3087" width="7.85546875" style="16" customWidth="1"/>
    <col min="3088" max="3176" width="8.85546875" style="16" customWidth="1"/>
    <col min="3177" max="3328" width="9.140625" style="16"/>
    <col min="3329" max="3329" width="5" style="16" customWidth="1"/>
    <col min="3330" max="3330" width="18.85546875" style="16" customWidth="1"/>
    <col min="3331" max="3331" width="9.28515625" style="16" customWidth="1"/>
    <col min="3332" max="3332" width="8" style="16" customWidth="1"/>
    <col min="3333" max="3333" width="8.5703125" style="16" bestFit="1" customWidth="1"/>
    <col min="3334" max="3334" width="8.28515625" style="16" customWidth="1"/>
    <col min="3335" max="3335" width="8.42578125" style="16" bestFit="1" customWidth="1"/>
    <col min="3336" max="3337" width="8.85546875" style="16" customWidth="1"/>
    <col min="3338" max="3339" width="8.7109375" style="16" customWidth="1"/>
    <col min="3340" max="3340" width="9.28515625" style="16" customWidth="1"/>
    <col min="3341" max="3341" width="8.42578125" style="16" customWidth="1"/>
    <col min="3342" max="3342" width="8.5703125" style="16" customWidth="1"/>
    <col min="3343" max="3343" width="7.85546875" style="16" customWidth="1"/>
    <col min="3344" max="3432" width="8.85546875" style="16" customWidth="1"/>
    <col min="3433" max="3584" width="9.140625" style="16"/>
    <col min="3585" max="3585" width="5" style="16" customWidth="1"/>
    <col min="3586" max="3586" width="18.85546875" style="16" customWidth="1"/>
    <col min="3587" max="3587" width="9.28515625" style="16" customWidth="1"/>
    <col min="3588" max="3588" width="8" style="16" customWidth="1"/>
    <col min="3589" max="3589" width="8.5703125" style="16" bestFit="1" customWidth="1"/>
    <col min="3590" max="3590" width="8.28515625" style="16" customWidth="1"/>
    <col min="3591" max="3591" width="8.42578125" style="16" bestFit="1" customWidth="1"/>
    <col min="3592" max="3593" width="8.85546875" style="16" customWidth="1"/>
    <col min="3594" max="3595" width="8.7109375" style="16" customWidth="1"/>
    <col min="3596" max="3596" width="9.28515625" style="16" customWidth="1"/>
    <col min="3597" max="3597" width="8.42578125" style="16" customWidth="1"/>
    <col min="3598" max="3598" width="8.5703125" style="16" customWidth="1"/>
    <col min="3599" max="3599" width="7.85546875" style="16" customWidth="1"/>
    <col min="3600" max="3688" width="8.85546875" style="16" customWidth="1"/>
    <col min="3689" max="3840" width="9.140625" style="16"/>
    <col min="3841" max="3841" width="5" style="16" customWidth="1"/>
    <col min="3842" max="3842" width="18.85546875" style="16" customWidth="1"/>
    <col min="3843" max="3843" width="9.28515625" style="16" customWidth="1"/>
    <col min="3844" max="3844" width="8" style="16" customWidth="1"/>
    <col min="3845" max="3845" width="8.5703125" style="16" bestFit="1" customWidth="1"/>
    <col min="3846" max="3846" width="8.28515625" style="16" customWidth="1"/>
    <col min="3847" max="3847" width="8.42578125" style="16" bestFit="1" customWidth="1"/>
    <col min="3848" max="3849" width="8.85546875" style="16" customWidth="1"/>
    <col min="3850" max="3851" width="8.7109375" style="16" customWidth="1"/>
    <col min="3852" max="3852" width="9.28515625" style="16" customWidth="1"/>
    <col min="3853" max="3853" width="8.42578125" style="16" customWidth="1"/>
    <col min="3854" max="3854" width="8.5703125" style="16" customWidth="1"/>
    <col min="3855" max="3855" width="7.85546875" style="16" customWidth="1"/>
    <col min="3856" max="3944" width="8.85546875" style="16" customWidth="1"/>
    <col min="3945" max="4096" width="9.140625" style="16"/>
    <col min="4097" max="4097" width="5" style="16" customWidth="1"/>
    <col min="4098" max="4098" width="18.85546875" style="16" customWidth="1"/>
    <col min="4099" max="4099" width="9.28515625" style="16" customWidth="1"/>
    <col min="4100" max="4100" width="8" style="16" customWidth="1"/>
    <col min="4101" max="4101" width="8.5703125" style="16" bestFit="1" customWidth="1"/>
    <col min="4102" max="4102" width="8.28515625" style="16" customWidth="1"/>
    <col min="4103" max="4103" width="8.42578125" style="16" bestFit="1" customWidth="1"/>
    <col min="4104" max="4105" width="8.85546875" style="16" customWidth="1"/>
    <col min="4106" max="4107" width="8.7109375" style="16" customWidth="1"/>
    <col min="4108" max="4108" width="9.28515625" style="16" customWidth="1"/>
    <col min="4109" max="4109" width="8.42578125" style="16" customWidth="1"/>
    <col min="4110" max="4110" width="8.5703125" style="16" customWidth="1"/>
    <col min="4111" max="4111" width="7.85546875" style="16" customWidth="1"/>
    <col min="4112" max="4200" width="8.85546875" style="16" customWidth="1"/>
    <col min="4201" max="4352" width="9.140625" style="16"/>
    <col min="4353" max="4353" width="5" style="16" customWidth="1"/>
    <col min="4354" max="4354" width="18.85546875" style="16" customWidth="1"/>
    <col min="4355" max="4355" width="9.28515625" style="16" customWidth="1"/>
    <col min="4356" max="4356" width="8" style="16" customWidth="1"/>
    <col min="4357" max="4357" width="8.5703125" style="16" bestFit="1" customWidth="1"/>
    <col min="4358" max="4358" width="8.28515625" style="16" customWidth="1"/>
    <col min="4359" max="4359" width="8.42578125" style="16" bestFit="1" customWidth="1"/>
    <col min="4360" max="4361" width="8.85546875" style="16" customWidth="1"/>
    <col min="4362" max="4363" width="8.7109375" style="16" customWidth="1"/>
    <col min="4364" max="4364" width="9.28515625" style="16" customWidth="1"/>
    <col min="4365" max="4365" width="8.42578125" style="16" customWidth="1"/>
    <col min="4366" max="4366" width="8.5703125" style="16" customWidth="1"/>
    <col min="4367" max="4367" width="7.85546875" style="16" customWidth="1"/>
    <col min="4368" max="4456" width="8.85546875" style="16" customWidth="1"/>
    <col min="4457" max="4608" width="9.140625" style="16"/>
    <col min="4609" max="4609" width="5" style="16" customWidth="1"/>
    <col min="4610" max="4610" width="18.85546875" style="16" customWidth="1"/>
    <col min="4611" max="4611" width="9.28515625" style="16" customWidth="1"/>
    <col min="4612" max="4612" width="8" style="16" customWidth="1"/>
    <col min="4613" max="4613" width="8.5703125" style="16" bestFit="1" customWidth="1"/>
    <col min="4614" max="4614" width="8.28515625" style="16" customWidth="1"/>
    <col min="4615" max="4615" width="8.42578125" style="16" bestFit="1" customWidth="1"/>
    <col min="4616" max="4617" width="8.85546875" style="16" customWidth="1"/>
    <col min="4618" max="4619" width="8.7109375" style="16" customWidth="1"/>
    <col min="4620" max="4620" width="9.28515625" style="16" customWidth="1"/>
    <col min="4621" max="4621" width="8.42578125" style="16" customWidth="1"/>
    <col min="4622" max="4622" width="8.5703125" style="16" customWidth="1"/>
    <col min="4623" max="4623" width="7.85546875" style="16" customWidth="1"/>
    <col min="4624" max="4712" width="8.85546875" style="16" customWidth="1"/>
    <col min="4713" max="4864" width="9.140625" style="16"/>
    <col min="4865" max="4865" width="5" style="16" customWidth="1"/>
    <col min="4866" max="4866" width="18.85546875" style="16" customWidth="1"/>
    <col min="4867" max="4867" width="9.28515625" style="16" customWidth="1"/>
    <col min="4868" max="4868" width="8" style="16" customWidth="1"/>
    <col min="4869" max="4869" width="8.5703125" style="16" bestFit="1" customWidth="1"/>
    <col min="4870" max="4870" width="8.28515625" style="16" customWidth="1"/>
    <col min="4871" max="4871" width="8.42578125" style="16" bestFit="1" customWidth="1"/>
    <col min="4872" max="4873" width="8.85546875" style="16" customWidth="1"/>
    <col min="4874" max="4875" width="8.7109375" style="16" customWidth="1"/>
    <col min="4876" max="4876" width="9.28515625" style="16" customWidth="1"/>
    <col min="4877" max="4877" width="8.42578125" style="16" customWidth="1"/>
    <col min="4878" max="4878" width="8.5703125" style="16" customWidth="1"/>
    <col min="4879" max="4879" width="7.85546875" style="16" customWidth="1"/>
    <col min="4880" max="4968" width="8.85546875" style="16" customWidth="1"/>
    <col min="4969" max="5120" width="9.140625" style="16"/>
    <col min="5121" max="5121" width="5" style="16" customWidth="1"/>
    <col min="5122" max="5122" width="18.85546875" style="16" customWidth="1"/>
    <col min="5123" max="5123" width="9.28515625" style="16" customWidth="1"/>
    <col min="5124" max="5124" width="8" style="16" customWidth="1"/>
    <col min="5125" max="5125" width="8.5703125" style="16" bestFit="1" customWidth="1"/>
    <col min="5126" max="5126" width="8.28515625" style="16" customWidth="1"/>
    <col min="5127" max="5127" width="8.42578125" style="16" bestFit="1" customWidth="1"/>
    <col min="5128" max="5129" width="8.85546875" style="16" customWidth="1"/>
    <col min="5130" max="5131" width="8.7109375" style="16" customWidth="1"/>
    <col min="5132" max="5132" width="9.28515625" style="16" customWidth="1"/>
    <col min="5133" max="5133" width="8.42578125" style="16" customWidth="1"/>
    <col min="5134" max="5134" width="8.5703125" style="16" customWidth="1"/>
    <col min="5135" max="5135" width="7.85546875" style="16" customWidth="1"/>
    <col min="5136" max="5224" width="8.85546875" style="16" customWidth="1"/>
    <col min="5225" max="5376" width="9.140625" style="16"/>
    <col min="5377" max="5377" width="5" style="16" customWidth="1"/>
    <col min="5378" max="5378" width="18.85546875" style="16" customWidth="1"/>
    <col min="5379" max="5379" width="9.28515625" style="16" customWidth="1"/>
    <col min="5380" max="5380" width="8" style="16" customWidth="1"/>
    <col min="5381" max="5381" width="8.5703125" style="16" bestFit="1" customWidth="1"/>
    <col min="5382" max="5382" width="8.28515625" style="16" customWidth="1"/>
    <col min="5383" max="5383" width="8.42578125" style="16" bestFit="1" customWidth="1"/>
    <col min="5384" max="5385" width="8.85546875" style="16" customWidth="1"/>
    <col min="5386" max="5387" width="8.7109375" style="16" customWidth="1"/>
    <col min="5388" max="5388" width="9.28515625" style="16" customWidth="1"/>
    <col min="5389" max="5389" width="8.42578125" style="16" customWidth="1"/>
    <col min="5390" max="5390" width="8.5703125" style="16" customWidth="1"/>
    <col min="5391" max="5391" width="7.85546875" style="16" customWidth="1"/>
    <col min="5392" max="5480" width="8.85546875" style="16" customWidth="1"/>
    <col min="5481" max="5632" width="9.140625" style="16"/>
    <col min="5633" max="5633" width="5" style="16" customWidth="1"/>
    <col min="5634" max="5634" width="18.85546875" style="16" customWidth="1"/>
    <col min="5635" max="5635" width="9.28515625" style="16" customWidth="1"/>
    <col min="5636" max="5636" width="8" style="16" customWidth="1"/>
    <col min="5637" max="5637" width="8.5703125" style="16" bestFit="1" customWidth="1"/>
    <col min="5638" max="5638" width="8.28515625" style="16" customWidth="1"/>
    <col min="5639" max="5639" width="8.42578125" style="16" bestFit="1" customWidth="1"/>
    <col min="5640" max="5641" width="8.85546875" style="16" customWidth="1"/>
    <col min="5642" max="5643" width="8.7109375" style="16" customWidth="1"/>
    <col min="5644" max="5644" width="9.28515625" style="16" customWidth="1"/>
    <col min="5645" max="5645" width="8.42578125" style="16" customWidth="1"/>
    <col min="5646" max="5646" width="8.5703125" style="16" customWidth="1"/>
    <col min="5647" max="5647" width="7.85546875" style="16" customWidth="1"/>
    <col min="5648" max="5736" width="8.85546875" style="16" customWidth="1"/>
    <col min="5737" max="5888" width="9.140625" style="16"/>
    <col min="5889" max="5889" width="5" style="16" customWidth="1"/>
    <col min="5890" max="5890" width="18.85546875" style="16" customWidth="1"/>
    <col min="5891" max="5891" width="9.28515625" style="16" customWidth="1"/>
    <col min="5892" max="5892" width="8" style="16" customWidth="1"/>
    <col min="5893" max="5893" width="8.5703125" style="16" bestFit="1" customWidth="1"/>
    <col min="5894" max="5894" width="8.28515625" style="16" customWidth="1"/>
    <col min="5895" max="5895" width="8.42578125" style="16" bestFit="1" customWidth="1"/>
    <col min="5896" max="5897" width="8.85546875" style="16" customWidth="1"/>
    <col min="5898" max="5899" width="8.7109375" style="16" customWidth="1"/>
    <col min="5900" max="5900" width="9.28515625" style="16" customWidth="1"/>
    <col min="5901" max="5901" width="8.42578125" style="16" customWidth="1"/>
    <col min="5902" max="5902" width="8.5703125" style="16" customWidth="1"/>
    <col min="5903" max="5903" width="7.85546875" style="16" customWidth="1"/>
    <col min="5904" max="5992" width="8.85546875" style="16" customWidth="1"/>
    <col min="5993" max="6144" width="9.140625" style="16"/>
    <col min="6145" max="6145" width="5" style="16" customWidth="1"/>
    <col min="6146" max="6146" width="18.85546875" style="16" customWidth="1"/>
    <col min="6147" max="6147" width="9.28515625" style="16" customWidth="1"/>
    <col min="6148" max="6148" width="8" style="16" customWidth="1"/>
    <col min="6149" max="6149" width="8.5703125" style="16" bestFit="1" customWidth="1"/>
    <col min="6150" max="6150" width="8.28515625" style="16" customWidth="1"/>
    <col min="6151" max="6151" width="8.42578125" style="16" bestFit="1" customWidth="1"/>
    <col min="6152" max="6153" width="8.85546875" style="16" customWidth="1"/>
    <col min="6154" max="6155" width="8.7109375" style="16" customWidth="1"/>
    <col min="6156" max="6156" width="9.28515625" style="16" customWidth="1"/>
    <col min="6157" max="6157" width="8.42578125" style="16" customWidth="1"/>
    <col min="6158" max="6158" width="8.5703125" style="16" customWidth="1"/>
    <col min="6159" max="6159" width="7.85546875" style="16" customWidth="1"/>
    <col min="6160" max="6248" width="8.85546875" style="16" customWidth="1"/>
    <col min="6249" max="6400" width="9.140625" style="16"/>
    <col min="6401" max="6401" width="5" style="16" customWidth="1"/>
    <col min="6402" max="6402" width="18.85546875" style="16" customWidth="1"/>
    <col min="6403" max="6403" width="9.28515625" style="16" customWidth="1"/>
    <col min="6404" max="6404" width="8" style="16" customWidth="1"/>
    <col min="6405" max="6405" width="8.5703125" style="16" bestFit="1" customWidth="1"/>
    <col min="6406" max="6406" width="8.28515625" style="16" customWidth="1"/>
    <col min="6407" max="6407" width="8.42578125" style="16" bestFit="1" customWidth="1"/>
    <col min="6408" max="6409" width="8.85546875" style="16" customWidth="1"/>
    <col min="6410" max="6411" width="8.7109375" style="16" customWidth="1"/>
    <col min="6412" max="6412" width="9.28515625" style="16" customWidth="1"/>
    <col min="6413" max="6413" width="8.42578125" style="16" customWidth="1"/>
    <col min="6414" max="6414" width="8.5703125" style="16" customWidth="1"/>
    <col min="6415" max="6415" width="7.85546875" style="16" customWidth="1"/>
    <col min="6416" max="6504" width="8.85546875" style="16" customWidth="1"/>
    <col min="6505" max="6656" width="9.140625" style="16"/>
    <col min="6657" max="6657" width="5" style="16" customWidth="1"/>
    <col min="6658" max="6658" width="18.85546875" style="16" customWidth="1"/>
    <col min="6659" max="6659" width="9.28515625" style="16" customWidth="1"/>
    <col min="6660" max="6660" width="8" style="16" customWidth="1"/>
    <col min="6661" max="6661" width="8.5703125" style="16" bestFit="1" customWidth="1"/>
    <col min="6662" max="6662" width="8.28515625" style="16" customWidth="1"/>
    <col min="6663" max="6663" width="8.42578125" style="16" bestFit="1" customWidth="1"/>
    <col min="6664" max="6665" width="8.85546875" style="16" customWidth="1"/>
    <col min="6666" max="6667" width="8.7109375" style="16" customWidth="1"/>
    <col min="6668" max="6668" width="9.28515625" style="16" customWidth="1"/>
    <col min="6669" max="6669" width="8.42578125" style="16" customWidth="1"/>
    <col min="6670" max="6670" width="8.5703125" style="16" customWidth="1"/>
    <col min="6671" max="6671" width="7.85546875" style="16" customWidth="1"/>
    <col min="6672" max="6760" width="8.85546875" style="16" customWidth="1"/>
    <col min="6761" max="6912" width="9.140625" style="16"/>
    <col min="6913" max="6913" width="5" style="16" customWidth="1"/>
    <col min="6914" max="6914" width="18.85546875" style="16" customWidth="1"/>
    <col min="6915" max="6915" width="9.28515625" style="16" customWidth="1"/>
    <col min="6916" max="6916" width="8" style="16" customWidth="1"/>
    <col min="6917" max="6917" width="8.5703125" style="16" bestFit="1" customWidth="1"/>
    <col min="6918" max="6918" width="8.28515625" style="16" customWidth="1"/>
    <col min="6919" max="6919" width="8.42578125" style="16" bestFit="1" customWidth="1"/>
    <col min="6920" max="6921" width="8.85546875" style="16" customWidth="1"/>
    <col min="6922" max="6923" width="8.7109375" style="16" customWidth="1"/>
    <col min="6924" max="6924" width="9.28515625" style="16" customWidth="1"/>
    <col min="6925" max="6925" width="8.42578125" style="16" customWidth="1"/>
    <col min="6926" max="6926" width="8.5703125" style="16" customWidth="1"/>
    <col min="6927" max="6927" width="7.85546875" style="16" customWidth="1"/>
    <col min="6928" max="7016" width="8.85546875" style="16" customWidth="1"/>
    <col min="7017" max="7168" width="9.140625" style="16"/>
    <col min="7169" max="7169" width="5" style="16" customWidth="1"/>
    <col min="7170" max="7170" width="18.85546875" style="16" customWidth="1"/>
    <col min="7171" max="7171" width="9.28515625" style="16" customWidth="1"/>
    <col min="7172" max="7172" width="8" style="16" customWidth="1"/>
    <col min="7173" max="7173" width="8.5703125" style="16" bestFit="1" customWidth="1"/>
    <col min="7174" max="7174" width="8.28515625" style="16" customWidth="1"/>
    <col min="7175" max="7175" width="8.42578125" style="16" bestFit="1" customWidth="1"/>
    <col min="7176" max="7177" width="8.85546875" style="16" customWidth="1"/>
    <col min="7178" max="7179" width="8.7109375" style="16" customWidth="1"/>
    <col min="7180" max="7180" width="9.28515625" style="16" customWidth="1"/>
    <col min="7181" max="7181" width="8.42578125" style="16" customWidth="1"/>
    <col min="7182" max="7182" width="8.5703125" style="16" customWidth="1"/>
    <col min="7183" max="7183" width="7.85546875" style="16" customWidth="1"/>
    <col min="7184" max="7272" width="8.85546875" style="16" customWidth="1"/>
    <col min="7273" max="7424" width="9.140625" style="16"/>
    <col min="7425" max="7425" width="5" style="16" customWidth="1"/>
    <col min="7426" max="7426" width="18.85546875" style="16" customWidth="1"/>
    <col min="7427" max="7427" width="9.28515625" style="16" customWidth="1"/>
    <col min="7428" max="7428" width="8" style="16" customWidth="1"/>
    <col min="7429" max="7429" width="8.5703125" style="16" bestFit="1" customWidth="1"/>
    <col min="7430" max="7430" width="8.28515625" style="16" customWidth="1"/>
    <col min="7431" max="7431" width="8.42578125" style="16" bestFit="1" customWidth="1"/>
    <col min="7432" max="7433" width="8.85546875" style="16" customWidth="1"/>
    <col min="7434" max="7435" width="8.7109375" style="16" customWidth="1"/>
    <col min="7436" max="7436" width="9.28515625" style="16" customWidth="1"/>
    <col min="7437" max="7437" width="8.42578125" style="16" customWidth="1"/>
    <col min="7438" max="7438" width="8.5703125" style="16" customWidth="1"/>
    <col min="7439" max="7439" width="7.85546875" style="16" customWidth="1"/>
    <col min="7440" max="7528" width="8.85546875" style="16" customWidth="1"/>
    <col min="7529" max="7680" width="9.140625" style="16"/>
    <col min="7681" max="7681" width="5" style="16" customWidth="1"/>
    <col min="7682" max="7682" width="18.85546875" style="16" customWidth="1"/>
    <col min="7683" max="7683" width="9.28515625" style="16" customWidth="1"/>
    <col min="7684" max="7684" width="8" style="16" customWidth="1"/>
    <col min="7685" max="7685" width="8.5703125" style="16" bestFit="1" customWidth="1"/>
    <col min="7686" max="7686" width="8.28515625" style="16" customWidth="1"/>
    <col min="7687" max="7687" width="8.42578125" style="16" bestFit="1" customWidth="1"/>
    <col min="7688" max="7689" width="8.85546875" style="16" customWidth="1"/>
    <col min="7690" max="7691" width="8.7109375" style="16" customWidth="1"/>
    <col min="7692" max="7692" width="9.28515625" style="16" customWidth="1"/>
    <col min="7693" max="7693" width="8.42578125" style="16" customWidth="1"/>
    <col min="7694" max="7694" width="8.5703125" style="16" customWidth="1"/>
    <col min="7695" max="7695" width="7.85546875" style="16" customWidth="1"/>
    <col min="7696" max="7784" width="8.85546875" style="16" customWidth="1"/>
    <col min="7785" max="7936" width="9.140625" style="16"/>
    <col min="7937" max="7937" width="5" style="16" customWidth="1"/>
    <col min="7938" max="7938" width="18.85546875" style="16" customWidth="1"/>
    <col min="7939" max="7939" width="9.28515625" style="16" customWidth="1"/>
    <col min="7940" max="7940" width="8" style="16" customWidth="1"/>
    <col min="7941" max="7941" width="8.5703125" style="16" bestFit="1" customWidth="1"/>
    <col min="7942" max="7942" width="8.28515625" style="16" customWidth="1"/>
    <col min="7943" max="7943" width="8.42578125" style="16" bestFit="1" customWidth="1"/>
    <col min="7944" max="7945" width="8.85546875" style="16" customWidth="1"/>
    <col min="7946" max="7947" width="8.7109375" style="16" customWidth="1"/>
    <col min="7948" max="7948" width="9.28515625" style="16" customWidth="1"/>
    <col min="7949" max="7949" width="8.42578125" style="16" customWidth="1"/>
    <col min="7950" max="7950" width="8.5703125" style="16" customWidth="1"/>
    <col min="7951" max="7951" width="7.85546875" style="16" customWidth="1"/>
    <col min="7952" max="8040" width="8.85546875" style="16" customWidth="1"/>
    <col min="8041" max="8192" width="9.140625" style="16"/>
    <col min="8193" max="8193" width="5" style="16" customWidth="1"/>
    <col min="8194" max="8194" width="18.85546875" style="16" customWidth="1"/>
    <col min="8195" max="8195" width="9.28515625" style="16" customWidth="1"/>
    <col min="8196" max="8196" width="8" style="16" customWidth="1"/>
    <col min="8197" max="8197" width="8.5703125" style="16" bestFit="1" customWidth="1"/>
    <col min="8198" max="8198" width="8.28515625" style="16" customWidth="1"/>
    <col min="8199" max="8199" width="8.42578125" style="16" bestFit="1" customWidth="1"/>
    <col min="8200" max="8201" width="8.85546875" style="16" customWidth="1"/>
    <col min="8202" max="8203" width="8.7109375" style="16" customWidth="1"/>
    <col min="8204" max="8204" width="9.28515625" style="16" customWidth="1"/>
    <col min="8205" max="8205" width="8.42578125" style="16" customWidth="1"/>
    <col min="8206" max="8206" width="8.5703125" style="16" customWidth="1"/>
    <col min="8207" max="8207" width="7.85546875" style="16" customWidth="1"/>
    <col min="8208" max="8296" width="8.85546875" style="16" customWidth="1"/>
    <col min="8297" max="8448" width="9.140625" style="16"/>
    <col min="8449" max="8449" width="5" style="16" customWidth="1"/>
    <col min="8450" max="8450" width="18.85546875" style="16" customWidth="1"/>
    <col min="8451" max="8451" width="9.28515625" style="16" customWidth="1"/>
    <col min="8452" max="8452" width="8" style="16" customWidth="1"/>
    <col min="8453" max="8453" width="8.5703125" style="16" bestFit="1" customWidth="1"/>
    <col min="8454" max="8454" width="8.28515625" style="16" customWidth="1"/>
    <col min="8455" max="8455" width="8.42578125" style="16" bestFit="1" customWidth="1"/>
    <col min="8456" max="8457" width="8.85546875" style="16" customWidth="1"/>
    <col min="8458" max="8459" width="8.7109375" style="16" customWidth="1"/>
    <col min="8460" max="8460" width="9.28515625" style="16" customWidth="1"/>
    <col min="8461" max="8461" width="8.42578125" style="16" customWidth="1"/>
    <col min="8462" max="8462" width="8.5703125" style="16" customWidth="1"/>
    <col min="8463" max="8463" width="7.85546875" style="16" customWidth="1"/>
    <col min="8464" max="8552" width="8.85546875" style="16" customWidth="1"/>
    <col min="8553" max="8704" width="9.140625" style="16"/>
    <col min="8705" max="8705" width="5" style="16" customWidth="1"/>
    <col min="8706" max="8706" width="18.85546875" style="16" customWidth="1"/>
    <col min="8707" max="8707" width="9.28515625" style="16" customWidth="1"/>
    <col min="8708" max="8708" width="8" style="16" customWidth="1"/>
    <col min="8709" max="8709" width="8.5703125" style="16" bestFit="1" customWidth="1"/>
    <col min="8710" max="8710" width="8.28515625" style="16" customWidth="1"/>
    <col min="8711" max="8711" width="8.42578125" style="16" bestFit="1" customWidth="1"/>
    <col min="8712" max="8713" width="8.85546875" style="16" customWidth="1"/>
    <col min="8714" max="8715" width="8.7109375" style="16" customWidth="1"/>
    <col min="8716" max="8716" width="9.28515625" style="16" customWidth="1"/>
    <col min="8717" max="8717" width="8.42578125" style="16" customWidth="1"/>
    <col min="8718" max="8718" width="8.5703125" style="16" customWidth="1"/>
    <col min="8719" max="8719" width="7.85546875" style="16" customWidth="1"/>
    <col min="8720" max="8808" width="8.85546875" style="16" customWidth="1"/>
    <col min="8809" max="8960" width="9.140625" style="16"/>
    <col min="8961" max="8961" width="5" style="16" customWidth="1"/>
    <col min="8962" max="8962" width="18.85546875" style="16" customWidth="1"/>
    <col min="8963" max="8963" width="9.28515625" style="16" customWidth="1"/>
    <col min="8964" max="8964" width="8" style="16" customWidth="1"/>
    <col min="8965" max="8965" width="8.5703125" style="16" bestFit="1" customWidth="1"/>
    <col min="8966" max="8966" width="8.28515625" style="16" customWidth="1"/>
    <col min="8967" max="8967" width="8.42578125" style="16" bestFit="1" customWidth="1"/>
    <col min="8968" max="8969" width="8.85546875" style="16" customWidth="1"/>
    <col min="8970" max="8971" width="8.7109375" style="16" customWidth="1"/>
    <col min="8972" max="8972" width="9.28515625" style="16" customWidth="1"/>
    <col min="8973" max="8973" width="8.42578125" style="16" customWidth="1"/>
    <col min="8974" max="8974" width="8.5703125" style="16" customWidth="1"/>
    <col min="8975" max="8975" width="7.85546875" style="16" customWidth="1"/>
    <col min="8976" max="9064" width="8.85546875" style="16" customWidth="1"/>
    <col min="9065" max="9216" width="9.140625" style="16"/>
    <col min="9217" max="9217" width="5" style="16" customWidth="1"/>
    <col min="9218" max="9218" width="18.85546875" style="16" customWidth="1"/>
    <col min="9219" max="9219" width="9.28515625" style="16" customWidth="1"/>
    <col min="9220" max="9220" width="8" style="16" customWidth="1"/>
    <col min="9221" max="9221" width="8.5703125" style="16" bestFit="1" customWidth="1"/>
    <col min="9222" max="9222" width="8.28515625" style="16" customWidth="1"/>
    <col min="9223" max="9223" width="8.42578125" style="16" bestFit="1" customWidth="1"/>
    <col min="9224" max="9225" width="8.85546875" style="16" customWidth="1"/>
    <col min="9226" max="9227" width="8.7109375" style="16" customWidth="1"/>
    <col min="9228" max="9228" width="9.28515625" style="16" customWidth="1"/>
    <col min="9229" max="9229" width="8.42578125" style="16" customWidth="1"/>
    <col min="9230" max="9230" width="8.5703125" style="16" customWidth="1"/>
    <col min="9231" max="9231" width="7.85546875" style="16" customWidth="1"/>
    <col min="9232" max="9320" width="8.85546875" style="16" customWidth="1"/>
    <col min="9321" max="9472" width="9.140625" style="16"/>
    <col min="9473" max="9473" width="5" style="16" customWidth="1"/>
    <col min="9474" max="9474" width="18.85546875" style="16" customWidth="1"/>
    <col min="9475" max="9475" width="9.28515625" style="16" customWidth="1"/>
    <col min="9476" max="9476" width="8" style="16" customWidth="1"/>
    <col min="9477" max="9477" width="8.5703125" style="16" bestFit="1" customWidth="1"/>
    <col min="9478" max="9478" width="8.28515625" style="16" customWidth="1"/>
    <col min="9479" max="9479" width="8.42578125" style="16" bestFit="1" customWidth="1"/>
    <col min="9480" max="9481" width="8.85546875" style="16" customWidth="1"/>
    <col min="9482" max="9483" width="8.7109375" style="16" customWidth="1"/>
    <col min="9484" max="9484" width="9.28515625" style="16" customWidth="1"/>
    <col min="9485" max="9485" width="8.42578125" style="16" customWidth="1"/>
    <col min="9486" max="9486" width="8.5703125" style="16" customWidth="1"/>
    <col min="9487" max="9487" width="7.85546875" style="16" customWidth="1"/>
    <col min="9488" max="9576" width="8.85546875" style="16" customWidth="1"/>
    <col min="9577" max="9728" width="9.140625" style="16"/>
    <col min="9729" max="9729" width="5" style="16" customWidth="1"/>
    <col min="9730" max="9730" width="18.85546875" style="16" customWidth="1"/>
    <col min="9731" max="9731" width="9.28515625" style="16" customWidth="1"/>
    <col min="9732" max="9732" width="8" style="16" customWidth="1"/>
    <col min="9733" max="9733" width="8.5703125" style="16" bestFit="1" customWidth="1"/>
    <col min="9734" max="9734" width="8.28515625" style="16" customWidth="1"/>
    <col min="9735" max="9735" width="8.42578125" style="16" bestFit="1" customWidth="1"/>
    <col min="9736" max="9737" width="8.85546875" style="16" customWidth="1"/>
    <col min="9738" max="9739" width="8.7109375" style="16" customWidth="1"/>
    <col min="9740" max="9740" width="9.28515625" style="16" customWidth="1"/>
    <col min="9741" max="9741" width="8.42578125" style="16" customWidth="1"/>
    <col min="9742" max="9742" width="8.5703125" style="16" customWidth="1"/>
    <col min="9743" max="9743" width="7.85546875" style="16" customWidth="1"/>
    <col min="9744" max="9832" width="8.85546875" style="16" customWidth="1"/>
    <col min="9833" max="9984" width="9.140625" style="16"/>
    <col min="9985" max="9985" width="5" style="16" customWidth="1"/>
    <col min="9986" max="9986" width="18.85546875" style="16" customWidth="1"/>
    <col min="9987" max="9987" width="9.28515625" style="16" customWidth="1"/>
    <col min="9988" max="9988" width="8" style="16" customWidth="1"/>
    <col min="9989" max="9989" width="8.5703125" style="16" bestFit="1" customWidth="1"/>
    <col min="9990" max="9990" width="8.28515625" style="16" customWidth="1"/>
    <col min="9991" max="9991" width="8.42578125" style="16" bestFit="1" customWidth="1"/>
    <col min="9992" max="9993" width="8.85546875" style="16" customWidth="1"/>
    <col min="9994" max="9995" width="8.7109375" style="16" customWidth="1"/>
    <col min="9996" max="9996" width="9.28515625" style="16" customWidth="1"/>
    <col min="9997" max="9997" width="8.42578125" style="16" customWidth="1"/>
    <col min="9998" max="9998" width="8.5703125" style="16" customWidth="1"/>
    <col min="9999" max="9999" width="7.85546875" style="16" customWidth="1"/>
    <col min="10000" max="10088" width="8.85546875" style="16" customWidth="1"/>
    <col min="10089" max="10240" width="9.140625" style="16"/>
    <col min="10241" max="10241" width="5" style="16" customWidth="1"/>
    <col min="10242" max="10242" width="18.85546875" style="16" customWidth="1"/>
    <col min="10243" max="10243" width="9.28515625" style="16" customWidth="1"/>
    <col min="10244" max="10244" width="8" style="16" customWidth="1"/>
    <col min="10245" max="10245" width="8.5703125" style="16" bestFit="1" customWidth="1"/>
    <col min="10246" max="10246" width="8.28515625" style="16" customWidth="1"/>
    <col min="10247" max="10247" width="8.42578125" style="16" bestFit="1" customWidth="1"/>
    <col min="10248" max="10249" width="8.85546875" style="16" customWidth="1"/>
    <col min="10250" max="10251" width="8.7109375" style="16" customWidth="1"/>
    <col min="10252" max="10252" width="9.28515625" style="16" customWidth="1"/>
    <col min="10253" max="10253" width="8.42578125" style="16" customWidth="1"/>
    <col min="10254" max="10254" width="8.5703125" style="16" customWidth="1"/>
    <col min="10255" max="10255" width="7.85546875" style="16" customWidth="1"/>
    <col min="10256" max="10344" width="8.85546875" style="16" customWidth="1"/>
    <col min="10345" max="10496" width="9.140625" style="16"/>
    <col min="10497" max="10497" width="5" style="16" customWidth="1"/>
    <col min="10498" max="10498" width="18.85546875" style="16" customWidth="1"/>
    <col min="10499" max="10499" width="9.28515625" style="16" customWidth="1"/>
    <col min="10500" max="10500" width="8" style="16" customWidth="1"/>
    <col min="10501" max="10501" width="8.5703125" style="16" bestFit="1" customWidth="1"/>
    <col min="10502" max="10502" width="8.28515625" style="16" customWidth="1"/>
    <col min="10503" max="10503" width="8.42578125" style="16" bestFit="1" customWidth="1"/>
    <col min="10504" max="10505" width="8.85546875" style="16" customWidth="1"/>
    <col min="10506" max="10507" width="8.7109375" style="16" customWidth="1"/>
    <col min="10508" max="10508" width="9.28515625" style="16" customWidth="1"/>
    <col min="10509" max="10509" width="8.42578125" style="16" customWidth="1"/>
    <col min="10510" max="10510" width="8.5703125" style="16" customWidth="1"/>
    <col min="10511" max="10511" width="7.85546875" style="16" customWidth="1"/>
    <col min="10512" max="10600" width="8.85546875" style="16" customWidth="1"/>
    <col min="10601" max="10752" width="9.140625" style="16"/>
    <col min="10753" max="10753" width="5" style="16" customWidth="1"/>
    <col min="10754" max="10754" width="18.85546875" style="16" customWidth="1"/>
    <col min="10755" max="10755" width="9.28515625" style="16" customWidth="1"/>
    <col min="10756" max="10756" width="8" style="16" customWidth="1"/>
    <col min="10757" max="10757" width="8.5703125" style="16" bestFit="1" customWidth="1"/>
    <col min="10758" max="10758" width="8.28515625" style="16" customWidth="1"/>
    <col min="10759" max="10759" width="8.42578125" style="16" bestFit="1" customWidth="1"/>
    <col min="10760" max="10761" width="8.85546875" style="16" customWidth="1"/>
    <col min="10762" max="10763" width="8.7109375" style="16" customWidth="1"/>
    <col min="10764" max="10764" width="9.28515625" style="16" customWidth="1"/>
    <col min="10765" max="10765" width="8.42578125" style="16" customWidth="1"/>
    <col min="10766" max="10766" width="8.5703125" style="16" customWidth="1"/>
    <col min="10767" max="10767" width="7.85546875" style="16" customWidth="1"/>
    <col min="10768" max="10856" width="8.85546875" style="16" customWidth="1"/>
    <col min="10857" max="11008" width="9.140625" style="16"/>
    <col min="11009" max="11009" width="5" style="16" customWidth="1"/>
    <col min="11010" max="11010" width="18.85546875" style="16" customWidth="1"/>
    <col min="11011" max="11011" width="9.28515625" style="16" customWidth="1"/>
    <col min="11012" max="11012" width="8" style="16" customWidth="1"/>
    <col min="11013" max="11013" width="8.5703125" style="16" bestFit="1" customWidth="1"/>
    <col min="11014" max="11014" width="8.28515625" style="16" customWidth="1"/>
    <col min="11015" max="11015" width="8.42578125" style="16" bestFit="1" customWidth="1"/>
    <col min="11016" max="11017" width="8.85546875" style="16" customWidth="1"/>
    <col min="11018" max="11019" width="8.7109375" style="16" customWidth="1"/>
    <col min="11020" max="11020" width="9.28515625" style="16" customWidth="1"/>
    <col min="11021" max="11021" width="8.42578125" style="16" customWidth="1"/>
    <col min="11022" max="11022" width="8.5703125" style="16" customWidth="1"/>
    <col min="11023" max="11023" width="7.85546875" style="16" customWidth="1"/>
    <col min="11024" max="11112" width="8.85546875" style="16" customWidth="1"/>
    <col min="11113" max="11264" width="9.140625" style="16"/>
    <col min="11265" max="11265" width="5" style="16" customWidth="1"/>
    <col min="11266" max="11266" width="18.85546875" style="16" customWidth="1"/>
    <col min="11267" max="11267" width="9.28515625" style="16" customWidth="1"/>
    <col min="11268" max="11268" width="8" style="16" customWidth="1"/>
    <col min="11269" max="11269" width="8.5703125" style="16" bestFit="1" customWidth="1"/>
    <col min="11270" max="11270" width="8.28515625" style="16" customWidth="1"/>
    <col min="11271" max="11271" width="8.42578125" style="16" bestFit="1" customWidth="1"/>
    <col min="11272" max="11273" width="8.85546875" style="16" customWidth="1"/>
    <col min="11274" max="11275" width="8.7109375" style="16" customWidth="1"/>
    <col min="11276" max="11276" width="9.28515625" style="16" customWidth="1"/>
    <col min="11277" max="11277" width="8.42578125" style="16" customWidth="1"/>
    <col min="11278" max="11278" width="8.5703125" style="16" customWidth="1"/>
    <col min="11279" max="11279" width="7.85546875" style="16" customWidth="1"/>
    <col min="11280" max="11368" width="8.85546875" style="16" customWidth="1"/>
    <col min="11369" max="11520" width="9.140625" style="16"/>
    <col min="11521" max="11521" width="5" style="16" customWidth="1"/>
    <col min="11522" max="11522" width="18.85546875" style="16" customWidth="1"/>
    <col min="11523" max="11523" width="9.28515625" style="16" customWidth="1"/>
    <col min="11524" max="11524" width="8" style="16" customWidth="1"/>
    <col min="11525" max="11525" width="8.5703125" style="16" bestFit="1" customWidth="1"/>
    <col min="11526" max="11526" width="8.28515625" style="16" customWidth="1"/>
    <col min="11527" max="11527" width="8.42578125" style="16" bestFit="1" customWidth="1"/>
    <col min="11528" max="11529" width="8.85546875" style="16" customWidth="1"/>
    <col min="11530" max="11531" width="8.7109375" style="16" customWidth="1"/>
    <col min="11532" max="11532" width="9.28515625" style="16" customWidth="1"/>
    <col min="11533" max="11533" width="8.42578125" style="16" customWidth="1"/>
    <col min="11534" max="11534" width="8.5703125" style="16" customWidth="1"/>
    <col min="11535" max="11535" width="7.85546875" style="16" customWidth="1"/>
    <col min="11536" max="11624" width="8.85546875" style="16" customWidth="1"/>
    <col min="11625" max="11776" width="9.140625" style="16"/>
    <col min="11777" max="11777" width="5" style="16" customWidth="1"/>
    <col min="11778" max="11778" width="18.85546875" style="16" customWidth="1"/>
    <col min="11779" max="11779" width="9.28515625" style="16" customWidth="1"/>
    <col min="11780" max="11780" width="8" style="16" customWidth="1"/>
    <col min="11781" max="11781" width="8.5703125" style="16" bestFit="1" customWidth="1"/>
    <col min="11782" max="11782" width="8.28515625" style="16" customWidth="1"/>
    <col min="11783" max="11783" width="8.42578125" style="16" bestFit="1" customWidth="1"/>
    <col min="11784" max="11785" width="8.85546875" style="16" customWidth="1"/>
    <col min="11786" max="11787" width="8.7109375" style="16" customWidth="1"/>
    <col min="11788" max="11788" width="9.28515625" style="16" customWidth="1"/>
    <col min="11789" max="11789" width="8.42578125" style="16" customWidth="1"/>
    <col min="11790" max="11790" width="8.5703125" style="16" customWidth="1"/>
    <col min="11791" max="11791" width="7.85546875" style="16" customWidth="1"/>
    <col min="11792" max="11880" width="8.85546875" style="16" customWidth="1"/>
    <col min="11881" max="12032" width="9.140625" style="16"/>
    <col min="12033" max="12033" width="5" style="16" customWidth="1"/>
    <col min="12034" max="12034" width="18.85546875" style="16" customWidth="1"/>
    <col min="12035" max="12035" width="9.28515625" style="16" customWidth="1"/>
    <col min="12036" max="12036" width="8" style="16" customWidth="1"/>
    <col min="12037" max="12037" width="8.5703125" style="16" bestFit="1" customWidth="1"/>
    <col min="12038" max="12038" width="8.28515625" style="16" customWidth="1"/>
    <col min="12039" max="12039" width="8.42578125" style="16" bestFit="1" customWidth="1"/>
    <col min="12040" max="12041" width="8.85546875" style="16" customWidth="1"/>
    <col min="12042" max="12043" width="8.7109375" style="16" customWidth="1"/>
    <col min="12044" max="12044" width="9.28515625" style="16" customWidth="1"/>
    <col min="12045" max="12045" width="8.42578125" style="16" customWidth="1"/>
    <col min="12046" max="12046" width="8.5703125" style="16" customWidth="1"/>
    <col min="12047" max="12047" width="7.85546875" style="16" customWidth="1"/>
    <col min="12048" max="12136" width="8.85546875" style="16" customWidth="1"/>
    <col min="12137" max="12288" width="9.140625" style="16"/>
    <col min="12289" max="12289" width="5" style="16" customWidth="1"/>
    <col min="12290" max="12290" width="18.85546875" style="16" customWidth="1"/>
    <col min="12291" max="12291" width="9.28515625" style="16" customWidth="1"/>
    <col min="12292" max="12292" width="8" style="16" customWidth="1"/>
    <col min="12293" max="12293" width="8.5703125" style="16" bestFit="1" customWidth="1"/>
    <col min="12294" max="12294" width="8.28515625" style="16" customWidth="1"/>
    <col min="12295" max="12295" width="8.42578125" style="16" bestFit="1" customWidth="1"/>
    <col min="12296" max="12297" width="8.85546875" style="16" customWidth="1"/>
    <col min="12298" max="12299" width="8.7109375" style="16" customWidth="1"/>
    <col min="12300" max="12300" width="9.28515625" style="16" customWidth="1"/>
    <col min="12301" max="12301" width="8.42578125" style="16" customWidth="1"/>
    <col min="12302" max="12302" width="8.5703125" style="16" customWidth="1"/>
    <col min="12303" max="12303" width="7.85546875" style="16" customWidth="1"/>
    <col min="12304" max="12392" width="8.85546875" style="16" customWidth="1"/>
    <col min="12393" max="12544" width="9.140625" style="16"/>
    <col min="12545" max="12545" width="5" style="16" customWidth="1"/>
    <col min="12546" max="12546" width="18.85546875" style="16" customWidth="1"/>
    <col min="12547" max="12547" width="9.28515625" style="16" customWidth="1"/>
    <col min="12548" max="12548" width="8" style="16" customWidth="1"/>
    <col min="12549" max="12549" width="8.5703125" style="16" bestFit="1" customWidth="1"/>
    <col min="12550" max="12550" width="8.28515625" style="16" customWidth="1"/>
    <col min="12551" max="12551" width="8.42578125" style="16" bestFit="1" customWidth="1"/>
    <col min="12552" max="12553" width="8.85546875" style="16" customWidth="1"/>
    <col min="12554" max="12555" width="8.7109375" style="16" customWidth="1"/>
    <col min="12556" max="12556" width="9.28515625" style="16" customWidth="1"/>
    <col min="12557" max="12557" width="8.42578125" style="16" customWidth="1"/>
    <col min="12558" max="12558" width="8.5703125" style="16" customWidth="1"/>
    <col min="12559" max="12559" width="7.85546875" style="16" customWidth="1"/>
    <col min="12560" max="12648" width="8.85546875" style="16" customWidth="1"/>
    <col min="12649" max="12800" width="9.140625" style="16"/>
    <col min="12801" max="12801" width="5" style="16" customWidth="1"/>
    <col min="12802" max="12802" width="18.85546875" style="16" customWidth="1"/>
    <col min="12803" max="12803" width="9.28515625" style="16" customWidth="1"/>
    <col min="12804" max="12804" width="8" style="16" customWidth="1"/>
    <col min="12805" max="12805" width="8.5703125" style="16" bestFit="1" customWidth="1"/>
    <col min="12806" max="12806" width="8.28515625" style="16" customWidth="1"/>
    <col min="12807" max="12807" width="8.42578125" style="16" bestFit="1" customWidth="1"/>
    <col min="12808" max="12809" width="8.85546875" style="16" customWidth="1"/>
    <col min="12810" max="12811" width="8.7109375" style="16" customWidth="1"/>
    <col min="12812" max="12812" width="9.28515625" style="16" customWidth="1"/>
    <col min="12813" max="12813" width="8.42578125" style="16" customWidth="1"/>
    <col min="12814" max="12814" width="8.5703125" style="16" customWidth="1"/>
    <col min="12815" max="12815" width="7.85546875" style="16" customWidth="1"/>
    <col min="12816" max="12904" width="8.85546875" style="16" customWidth="1"/>
    <col min="12905" max="13056" width="9.140625" style="16"/>
    <col min="13057" max="13057" width="5" style="16" customWidth="1"/>
    <col min="13058" max="13058" width="18.85546875" style="16" customWidth="1"/>
    <col min="13059" max="13059" width="9.28515625" style="16" customWidth="1"/>
    <col min="13060" max="13060" width="8" style="16" customWidth="1"/>
    <col min="13061" max="13061" width="8.5703125" style="16" bestFit="1" customWidth="1"/>
    <col min="13062" max="13062" width="8.28515625" style="16" customWidth="1"/>
    <col min="13063" max="13063" width="8.42578125" style="16" bestFit="1" customWidth="1"/>
    <col min="13064" max="13065" width="8.85546875" style="16" customWidth="1"/>
    <col min="13066" max="13067" width="8.7109375" style="16" customWidth="1"/>
    <col min="13068" max="13068" width="9.28515625" style="16" customWidth="1"/>
    <col min="13069" max="13069" width="8.42578125" style="16" customWidth="1"/>
    <col min="13070" max="13070" width="8.5703125" style="16" customWidth="1"/>
    <col min="13071" max="13071" width="7.85546875" style="16" customWidth="1"/>
    <col min="13072" max="13160" width="8.85546875" style="16" customWidth="1"/>
    <col min="13161" max="13312" width="9.140625" style="16"/>
    <col min="13313" max="13313" width="5" style="16" customWidth="1"/>
    <col min="13314" max="13314" width="18.85546875" style="16" customWidth="1"/>
    <col min="13315" max="13315" width="9.28515625" style="16" customWidth="1"/>
    <col min="13316" max="13316" width="8" style="16" customWidth="1"/>
    <col min="13317" max="13317" width="8.5703125" style="16" bestFit="1" customWidth="1"/>
    <col min="13318" max="13318" width="8.28515625" style="16" customWidth="1"/>
    <col min="13319" max="13319" width="8.42578125" style="16" bestFit="1" customWidth="1"/>
    <col min="13320" max="13321" width="8.85546875" style="16" customWidth="1"/>
    <col min="13322" max="13323" width="8.7109375" style="16" customWidth="1"/>
    <col min="13324" max="13324" width="9.28515625" style="16" customWidth="1"/>
    <col min="13325" max="13325" width="8.42578125" style="16" customWidth="1"/>
    <col min="13326" max="13326" width="8.5703125" style="16" customWidth="1"/>
    <col min="13327" max="13327" width="7.85546875" style="16" customWidth="1"/>
    <col min="13328" max="13416" width="8.85546875" style="16" customWidth="1"/>
    <col min="13417" max="13568" width="9.140625" style="16"/>
    <col min="13569" max="13569" width="5" style="16" customWidth="1"/>
    <col min="13570" max="13570" width="18.85546875" style="16" customWidth="1"/>
    <col min="13571" max="13571" width="9.28515625" style="16" customWidth="1"/>
    <col min="13572" max="13572" width="8" style="16" customWidth="1"/>
    <col min="13573" max="13573" width="8.5703125" style="16" bestFit="1" customWidth="1"/>
    <col min="13574" max="13574" width="8.28515625" style="16" customWidth="1"/>
    <col min="13575" max="13575" width="8.42578125" style="16" bestFit="1" customWidth="1"/>
    <col min="13576" max="13577" width="8.85546875" style="16" customWidth="1"/>
    <col min="13578" max="13579" width="8.7109375" style="16" customWidth="1"/>
    <col min="13580" max="13580" width="9.28515625" style="16" customWidth="1"/>
    <col min="13581" max="13581" width="8.42578125" style="16" customWidth="1"/>
    <col min="13582" max="13582" width="8.5703125" style="16" customWidth="1"/>
    <col min="13583" max="13583" width="7.85546875" style="16" customWidth="1"/>
    <col min="13584" max="13672" width="8.85546875" style="16" customWidth="1"/>
    <col min="13673" max="13824" width="9.140625" style="16"/>
    <col min="13825" max="13825" width="5" style="16" customWidth="1"/>
    <col min="13826" max="13826" width="18.85546875" style="16" customWidth="1"/>
    <col min="13827" max="13827" width="9.28515625" style="16" customWidth="1"/>
    <col min="13828" max="13828" width="8" style="16" customWidth="1"/>
    <col min="13829" max="13829" width="8.5703125" style="16" bestFit="1" customWidth="1"/>
    <col min="13830" max="13830" width="8.28515625" style="16" customWidth="1"/>
    <col min="13831" max="13831" width="8.42578125" style="16" bestFit="1" customWidth="1"/>
    <col min="13832" max="13833" width="8.85546875" style="16" customWidth="1"/>
    <col min="13834" max="13835" width="8.7109375" style="16" customWidth="1"/>
    <col min="13836" max="13836" width="9.28515625" style="16" customWidth="1"/>
    <col min="13837" max="13837" width="8.42578125" style="16" customWidth="1"/>
    <col min="13838" max="13838" width="8.5703125" style="16" customWidth="1"/>
    <col min="13839" max="13839" width="7.85546875" style="16" customWidth="1"/>
    <col min="13840" max="13928" width="8.85546875" style="16" customWidth="1"/>
    <col min="13929" max="14080" width="9.140625" style="16"/>
    <col min="14081" max="14081" width="5" style="16" customWidth="1"/>
    <col min="14082" max="14082" width="18.85546875" style="16" customWidth="1"/>
    <col min="14083" max="14083" width="9.28515625" style="16" customWidth="1"/>
    <col min="14084" max="14084" width="8" style="16" customWidth="1"/>
    <col min="14085" max="14085" width="8.5703125" style="16" bestFit="1" customWidth="1"/>
    <col min="14086" max="14086" width="8.28515625" style="16" customWidth="1"/>
    <col min="14087" max="14087" width="8.42578125" style="16" bestFit="1" customWidth="1"/>
    <col min="14088" max="14089" width="8.85546875" style="16" customWidth="1"/>
    <col min="14090" max="14091" width="8.7109375" style="16" customWidth="1"/>
    <col min="14092" max="14092" width="9.28515625" style="16" customWidth="1"/>
    <col min="14093" max="14093" width="8.42578125" style="16" customWidth="1"/>
    <col min="14094" max="14094" width="8.5703125" style="16" customWidth="1"/>
    <col min="14095" max="14095" width="7.85546875" style="16" customWidth="1"/>
    <col min="14096" max="14184" width="8.85546875" style="16" customWidth="1"/>
    <col min="14185" max="14336" width="9.140625" style="16"/>
    <col min="14337" max="14337" width="5" style="16" customWidth="1"/>
    <col min="14338" max="14338" width="18.85546875" style="16" customWidth="1"/>
    <col min="14339" max="14339" width="9.28515625" style="16" customWidth="1"/>
    <col min="14340" max="14340" width="8" style="16" customWidth="1"/>
    <col min="14341" max="14341" width="8.5703125" style="16" bestFit="1" customWidth="1"/>
    <col min="14342" max="14342" width="8.28515625" style="16" customWidth="1"/>
    <col min="14343" max="14343" width="8.42578125" style="16" bestFit="1" customWidth="1"/>
    <col min="14344" max="14345" width="8.85546875" style="16" customWidth="1"/>
    <col min="14346" max="14347" width="8.7109375" style="16" customWidth="1"/>
    <col min="14348" max="14348" width="9.28515625" style="16" customWidth="1"/>
    <col min="14349" max="14349" width="8.42578125" style="16" customWidth="1"/>
    <col min="14350" max="14350" width="8.5703125" style="16" customWidth="1"/>
    <col min="14351" max="14351" width="7.85546875" style="16" customWidth="1"/>
    <col min="14352" max="14440" width="8.85546875" style="16" customWidth="1"/>
    <col min="14441" max="14592" width="9.140625" style="16"/>
    <col min="14593" max="14593" width="5" style="16" customWidth="1"/>
    <col min="14594" max="14594" width="18.85546875" style="16" customWidth="1"/>
    <col min="14595" max="14595" width="9.28515625" style="16" customWidth="1"/>
    <col min="14596" max="14596" width="8" style="16" customWidth="1"/>
    <col min="14597" max="14597" width="8.5703125" style="16" bestFit="1" customWidth="1"/>
    <col min="14598" max="14598" width="8.28515625" style="16" customWidth="1"/>
    <col min="14599" max="14599" width="8.42578125" style="16" bestFit="1" customWidth="1"/>
    <col min="14600" max="14601" width="8.85546875" style="16" customWidth="1"/>
    <col min="14602" max="14603" width="8.7109375" style="16" customWidth="1"/>
    <col min="14604" max="14604" width="9.28515625" style="16" customWidth="1"/>
    <col min="14605" max="14605" width="8.42578125" style="16" customWidth="1"/>
    <col min="14606" max="14606" width="8.5703125" style="16" customWidth="1"/>
    <col min="14607" max="14607" width="7.85546875" style="16" customWidth="1"/>
    <col min="14608" max="14696" width="8.85546875" style="16" customWidth="1"/>
    <col min="14697" max="14848" width="9.140625" style="16"/>
    <col min="14849" max="14849" width="5" style="16" customWidth="1"/>
    <col min="14850" max="14850" width="18.85546875" style="16" customWidth="1"/>
    <col min="14851" max="14851" width="9.28515625" style="16" customWidth="1"/>
    <col min="14852" max="14852" width="8" style="16" customWidth="1"/>
    <col min="14853" max="14853" width="8.5703125" style="16" bestFit="1" customWidth="1"/>
    <col min="14854" max="14854" width="8.28515625" style="16" customWidth="1"/>
    <col min="14855" max="14855" width="8.42578125" style="16" bestFit="1" customWidth="1"/>
    <col min="14856" max="14857" width="8.85546875" style="16" customWidth="1"/>
    <col min="14858" max="14859" width="8.7109375" style="16" customWidth="1"/>
    <col min="14860" max="14860" width="9.28515625" style="16" customWidth="1"/>
    <col min="14861" max="14861" width="8.42578125" style="16" customWidth="1"/>
    <col min="14862" max="14862" width="8.5703125" style="16" customWidth="1"/>
    <col min="14863" max="14863" width="7.85546875" style="16" customWidth="1"/>
    <col min="14864" max="14952" width="8.85546875" style="16" customWidth="1"/>
    <col min="14953" max="15104" width="9.140625" style="16"/>
    <col min="15105" max="15105" width="5" style="16" customWidth="1"/>
    <col min="15106" max="15106" width="18.85546875" style="16" customWidth="1"/>
    <col min="15107" max="15107" width="9.28515625" style="16" customWidth="1"/>
    <col min="15108" max="15108" width="8" style="16" customWidth="1"/>
    <col min="15109" max="15109" width="8.5703125" style="16" bestFit="1" customWidth="1"/>
    <col min="15110" max="15110" width="8.28515625" style="16" customWidth="1"/>
    <col min="15111" max="15111" width="8.42578125" style="16" bestFit="1" customWidth="1"/>
    <col min="15112" max="15113" width="8.85546875" style="16" customWidth="1"/>
    <col min="15114" max="15115" width="8.7109375" style="16" customWidth="1"/>
    <col min="15116" max="15116" width="9.28515625" style="16" customWidth="1"/>
    <col min="15117" max="15117" width="8.42578125" style="16" customWidth="1"/>
    <col min="15118" max="15118" width="8.5703125" style="16" customWidth="1"/>
    <col min="15119" max="15119" width="7.85546875" style="16" customWidth="1"/>
    <col min="15120" max="15208" width="8.85546875" style="16" customWidth="1"/>
    <col min="15209" max="15360" width="9.140625" style="16"/>
    <col min="15361" max="15361" width="5" style="16" customWidth="1"/>
    <col min="15362" max="15362" width="18.85546875" style="16" customWidth="1"/>
    <col min="15363" max="15363" width="9.28515625" style="16" customWidth="1"/>
    <col min="15364" max="15364" width="8" style="16" customWidth="1"/>
    <col min="15365" max="15365" width="8.5703125" style="16" bestFit="1" customWidth="1"/>
    <col min="15366" max="15366" width="8.28515625" style="16" customWidth="1"/>
    <col min="15367" max="15367" width="8.42578125" style="16" bestFit="1" customWidth="1"/>
    <col min="15368" max="15369" width="8.85546875" style="16" customWidth="1"/>
    <col min="15370" max="15371" width="8.7109375" style="16" customWidth="1"/>
    <col min="15372" max="15372" width="9.28515625" style="16" customWidth="1"/>
    <col min="15373" max="15373" width="8.42578125" style="16" customWidth="1"/>
    <col min="15374" max="15374" width="8.5703125" style="16" customWidth="1"/>
    <col min="15375" max="15375" width="7.85546875" style="16" customWidth="1"/>
    <col min="15376" max="15464" width="8.85546875" style="16" customWidth="1"/>
    <col min="15465" max="15616" width="9.140625" style="16"/>
    <col min="15617" max="15617" width="5" style="16" customWidth="1"/>
    <col min="15618" max="15618" width="18.85546875" style="16" customWidth="1"/>
    <col min="15619" max="15619" width="9.28515625" style="16" customWidth="1"/>
    <col min="15620" max="15620" width="8" style="16" customWidth="1"/>
    <col min="15621" max="15621" width="8.5703125" style="16" bestFit="1" customWidth="1"/>
    <col min="15622" max="15622" width="8.28515625" style="16" customWidth="1"/>
    <col min="15623" max="15623" width="8.42578125" style="16" bestFit="1" customWidth="1"/>
    <col min="15624" max="15625" width="8.85546875" style="16" customWidth="1"/>
    <col min="15626" max="15627" width="8.7109375" style="16" customWidth="1"/>
    <col min="15628" max="15628" width="9.28515625" style="16" customWidth="1"/>
    <col min="15629" max="15629" width="8.42578125" style="16" customWidth="1"/>
    <col min="15630" max="15630" width="8.5703125" style="16" customWidth="1"/>
    <col min="15631" max="15631" width="7.85546875" style="16" customWidth="1"/>
    <col min="15632" max="15720" width="8.85546875" style="16" customWidth="1"/>
    <col min="15721" max="15872" width="9.140625" style="16"/>
    <col min="15873" max="15873" width="5" style="16" customWidth="1"/>
    <col min="15874" max="15874" width="18.85546875" style="16" customWidth="1"/>
    <col min="15875" max="15875" width="9.28515625" style="16" customWidth="1"/>
    <col min="15876" max="15876" width="8" style="16" customWidth="1"/>
    <col min="15877" max="15877" width="8.5703125" style="16" bestFit="1" customWidth="1"/>
    <col min="15878" max="15878" width="8.28515625" style="16" customWidth="1"/>
    <col min="15879" max="15879" width="8.42578125" style="16" bestFit="1" customWidth="1"/>
    <col min="15880" max="15881" width="8.85546875" style="16" customWidth="1"/>
    <col min="15882" max="15883" width="8.7109375" style="16" customWidth="1"/>
    <col min="15884" max="15884" width="9.28515625" style="16" customWidth="1"/>
    <col min="15885" max="15885" width="8.42578125" style="16" customWidth="1"/>
    <col min="15886" max="15886" width="8.5703125" style="16" customWidth="1"/>
    <col min="15887" max="15887" width="7.85546875" style="16" customWidth="1"/>
    <col min="15888" max="15976" width="8.85546875" style="16" customWidth="1"/>
    <col min="15977" max="16128" width="9.140625" style="16"/>
    <col min="16129" max="16129" width="5" style="16" customWidth="1"/>
    <col min="16130" max="16130" width="18.85546875" style="16" customWidth="1"/>
    <col min="16131" max="16131" width="9.28515625" style="16" customWidth="1"/>
    <col min="16132" max="16132" width="8" style="16" customWidth="1"/>
    <col min="16133" max="16133" width="8.5703125" style="16" bestFit="1" customWidth="1"/>
    <col min="16134" max="16134" width="8.28515625" style="16" customWidth="1"/>
    <col min="16135" max="16135" width="8.42578125" style="16" bestFit="1" customWidth="1"/>
    <col min="16136" max="16137" width="8.85546875" style="16" customWidth="1"/>
    <col min="16138" max="16139" width="8.7109375" style="16" customWidth="1"/>
    <col min="16140" max="16140" width="9.28515625" style="16" customWidth="1"/>
    <col min="16141" max="16141" width="8.42578125" style="16" customWidth="1"/>
    <col min="16142" max="16142" width="8.5703125" style="16" customWidth="1"/>
    <col min="16143" max="16143" width="7.85546875" style="16" customWidth="1"/>
    <col min="16144" max="16232" width="8.85546875" style="16" customWidth="1"/>
    <col min="16233" max="16384" width="9.140625" style="16"/>
  </cols>
  <sheetData>
    <row r="1" spans="1:17" s="1" customFormat="1" x14ac:dyDescent="0.2">
      <c r="A1" s="867" t="s">
        <v>449</v>
      </c>
      <c r="B1" s="868"/>
      <c r="C1" s="868"/>
      <c r="D1" s="869"/>
      <c r="E1" s="868"/>
      <c r="F1" s="868"/>
      <c r="G1" s="867" t="s">
        <v>102</v>
      </c>
      <c r="H1" s="869"/>
      <c r="I1" s="869" t="s">
        <v>566</v>
      </c>
      <c r="J1" s="868"/>
      <c r="K1" s="868"/>
      <c r="L1" s="870"/>
      <c r="M1" s="870"/>
      <c r="N1" s="870"/>
      <c r="O1" s="870"/>
    </row>
    <row r="2" spans="1:17" s="1" customFormat="1" x14ac:dyDescent="0.2">
      <c r="A2" s="867" t="s">
        <v>103</v>
      </c>
      <c r="B2" s="868"/>
      <c r="C2" s="868"/>
      <c r="D2" s="869"/>
      <c r="E2" s="868"/>
      <c r="F2" s="868"/>
      <c r="G2" s="867" t="s">
        <v>104</v>
      </c>
      <c r="H2" s="869"/>
      <c r="I2" s="869" t="s">
        <v>105</v>
      </c>
      <c r="J2" s="868"/>
      <c r="K2" s="868"/>
      <c r="L2" s="870"/>
      <c r="M2" s="870"/>
      <c r="N2" s="870"/>
      <c r="O2" s="870"/>
    </row>
    <row r="3" spans="1:17" s="1" customFormat="1" x14ac:dyDescent="0.2">
      <c r="A3" s="867" t="s">
        <v>106</v>
      </c>
      <c r="B3" s="868"/>
      <c r="C3" s="868"/>
      <c r="D3" s="883" t="s">
        <v>733</v>
      </c>
      <c r="E3" s="868"/>
      <c r="F3" s="868"/>
      <c r="G3" s="867" t="s">
        <v>107</v>
      </c>
      <c r="H3" s="869"/>
      <c r="I3" s="869" t="s">
        <v>108</v>
      </c>
      <c r="J3" s="868"/>
      <c r="K3" s="868"/>
      <c r="L3" s="870"/>
      <c r="M3" s="870"/>
      <c r="N3" s="870"/>
      <c r="O3" s="870"/>
    </row>
    <row r="4" spans="1:17" s="1" customFormat="1" x14ac:dyDescent="0.2">
      <c r="A4" s="867" t="s">
        <v>476</v>
      </c>
      <c r="B4" s="868"/>
      <c r="C4" s="868"/>
      <c r="D4" s="869" t="s">
        <v>734</v>
      </c>
      <c r="E4" s="868"/>
      <c r="F4" s="868"/>
      <c r="G4" s="867" t="s">
        <v>110</v>
      </c>
      <c r="H4" s="869"/>
      <c r="I4" s="869" t="s">
        <v>635</v>
      </c>
      <c r="J4" s="868"/>
      <c r="K4" s="868"/>
      <c r="L4" s="870"/>
      <c r="M4" s="870"/>
      <c r="N4" s="870"/>
      <c r="O4" s="870"/>
    </row>
    <row r="5" spans="1:17" s="1" customFormat="1" x14ac:dyDescent="0.2">
      <c r="A5" s="867" t="s">
        <v>112</v>
      </c>
      <c r="B5" s="868"/>
      <c r="C5" s="868"/>
      <c r="D5" s="869" t="s">
        <v>734</v>
      </c>
      <c r="E5" s="868"/>
      <c r="F5" s="868"/>
      <c r="G5" s="867"/>
      <c r="H5" s="868"/>
      <c r="I5" s="869" t="s">
        <v>113</v>
      </c>
      <c r="J5" s="868"/>
      <c r="K5" s="868"/>
      <c r="L5" s="870"/>
      <c r="M5" s="870"/>
      <c r="N5" s="870"/>
      <c r="O5" s="870"/>
    </row>
    <row r="6" spans="1:17" s="1" customFormat="1" x14ac:dyDescent="0.2">
      <c r="A6" s="871" t="s">
        <v>114</v>
      </c>
      <c r="B6" s="872"/>
      <c r="C6" s="872"/>
      <c r="D6" s="868" t="s">
        <v>567</v>
      </c>
      <c r="E6" s="868"/>
      <c r="F6" s="868"/>
      <c r="G6" s="871" t="s">
        <v>115</v>
      </c>
      <c r="H6" s="871"/>
      <c r="I6" s="2" t="s">
        <v>116</v>
      </c>
      <c r="J6" s="888"/>
      <c r="K6" s="888"/>
      <c r="L6" s="888"/>
      <c r="M6" s="888"/>
      <c r="N6" s="888"/>
      <c r="O6" s="889"/>
    </row>
    <row r="7" spans="1:17" s="1" customFormat="1" ht="13.5" thickBot="1" x14ac:dyDescent="0.25">
      <c r="A7" s="3"/>
      <c r="B7" s="4"/>
      <c r="C7" s="5"/>
      <c r="D7" s="6"/>
      <c r="E7" s="6"/>
      <c r="F7" s="6"/>
      <c r="G7" s="6"/>
      <c r="H7" s="6"/>
      <c r="I7" s="6"/>
      <c r="J7" s="7"/>
      <c r="K7" s="8"/>
      <c r="L7" s="875" t="s">
        <v>223</v>
      </c>
      <c r="M7" s="875"/>
      <c r="N7" s="875"/>
      <c r="O7" s="875"/>
    </row>
    <row r="8" spans="1:17" s="11" customFormat="1" x14ac:dyDescent="0.2">
      <c r="A8" s="876" t="str">
        <f>I1</f>
        <v>MR. S. L. TALEKAR</v>
      </c>
      <c r="B8" s="877"/>
      <c r="C8" s="9">
        <v>43160</v>
      </c>
      <c r="D8" s="9">
        <v>43191</v>
      </c>
      <c r="E8" s="9">
        <v>43221</v>
      </c>
      <c r="F8" s="9">
        <v>43252</v>
      </c>
      <c r="G8" s="9">
        <v>43282</v>
      </c>
      <c r="H8" s="9">
        <v>43313</v>
      </c>
      <c r="I8" s="9">
        <v>43344</v>
      </c>
      <c r="J8" s="9">
        <v>43374</v>
      </c>
      <c r="K8" s="9">
        <v>43405</v>
      </c>
      <c r="L8" s="9">
        <v>43435</v>
      </c>
      <c r="M8" s="9">
        <v>43466</v>
      </c>
      <c r="N8" s="9">
        <v>43497</v>
      </c>
      <c r="O8" s="10" t="s">
        <v>117</v>
      </c>
      <c r="Q8" s="11" t="s">
        <v>116</v>
      </c>
    </row>
    <row r="9" spans="1:17" ht="15" x14ac:dyDescent="0.2">
      <c r="A9" s="12"/>
      <c r="B9" s="13" t="s">
        <v>118</v>
      </c>
      <c r="C9" s="14">
        <v>93000</v>
      </c>
      <c r="D9" s="14">
        <f>+C9</f>
        <v>93000</v>
      </c>
      <c r="E9" s="14">
        <f>+D9</f>
        <v>93000</v>
      </c>
      <c r="F9" s="14">
        <f>+E9</f>
        <v>93000</v>
      </c>
      <c r="G9" s="14">
        <v>95800</v>
      </c>
      <c r="H9" s="14">
        <v>95800</v>
      </c>
      <c r="I9" s="14">
        <v>95800</v>
      </c>
      <c r="J9" s="14">
        <v>95800</v>
      </c>
      <c r="K9" s="14">
        <v>95800</v>
      </c>
      <c r="L9" s="14">
        <v>95800</v>
      </c>
      <c r="M9" s="14">
        <v>95800</v>
      </c>
      <c r="N9" s="14">
        <v>95800</v>
      </c>
      <c r="O9" s="15">
        <f>SUM(C9:N9)</f>
        <v>1138400</v>
      </c>
      <c r="Q9" s="16" t="s">
        <v>222</v>
      </c>
    </row>
    <row r="10" spans="1:17" ht="15" x14ac:dyDescent="0.2">
      <c r="A10" s="12"/>
      <c r="B10" s="13" t="s">
        <v>119</v>
      </c>
      <c r="C10" s="17">
        <v>0</v>
      </c>
      <c r="D10" s="17">
        <f>+C10</f>
        <v>0</v>
      </c>
      <c r="E10" s="17">
        <f t="shared" ref="E10:N25" si="0">+D10</f>
        <v>0</v>
      </c>
      <c r="F10" s="17">
        <f t="shared" si="0"/>
        <v>0</v>
      </c>
      <c r="G10" s="17">
        <f t="shared" si="0"/>
        <v>0</v>
      </c>
      <c r="H10" s="17">
        <v>0</v>
      </c>
      <c r="I10" s="17">
        <f t="shared" si="0"/>
        <v>0</v>
      </c>
      <c r="J10" s="17">
        <f t="shared" si="0"/>
        <v>0</v>
      </c>
      <c r="K10" s="17">
        <f t="shared" si="0"/>
        <v>0</v>
      </c>
      <c r="L10" s="17">
        <f t="shared" si="0"/>
        <v>0</v>
      </c>
      <c r="M10" s="17">
        <f t="shared" si="0"/>
        <v>0</v>
      </c>
      <c r="N10" s="17">
        <f t="shared" si="0"/>
        <v>0</v>
      </c>
      <c r="O10" s="18">
        <f>SUM(C10:N10)</f>
        <v>0</v>
      </c>
    </row>
    <row r="11" spans="1:17" ht="15" x14ac:dyDescent="0.2">
      <c r="A11" s="12"/>
      <c r="B11" s="13" t="s">
        <v>120</v>
      </c>
      <c r="C11" s="17">
        <v>4650</v>
      </c>
      <c r="D11" s="17">
        <v>6510</v>
      </c>
      <c r="E11" s="17">
        <f t="shared" si="0"/>
        <v>6510</v>
      </c>
      <c r="F11" s="17">
        <f t="shared" si="0"/>
        <v>6510</v>
      </c>
      <c r="G11" s="17">
        <v>6706</v>
      </c>
      <c r="H11" s="17">
        <v>6706</v>
      </c>
      <c r="I11" s="17">
        <v>6706</v>
      </c>
      <c r="J11" s="17">
        <v>6706</v>
      </c>
      <c r="K11" s="17">
        <v>6706</v>
      </c>
      <c r="L11" s="17">
        <v>6706</v>
      </c>
      <c r="M11" s="17">
        <v>6706</v>
      </c>
      <c r="N11" s="17">
        <v>6706</v>
      </c>
      <c r="O11" s="18">
        <f>SUM(C11:N11)</f>
        <v>77828</v>
      </c>
    </row>
    <row r="12" spans="1:17" ht="15" hidden="1" x14ac:dyDescent="0.2">
      <c r="A12" s="12"/>
      <c r="B12" s="13" t="s">
        <v>121</v>
      </c>
      <c r="C12" s="17">
        <v>0</v>
      </c>
      <c r="D12" s="17">
        <f>+C12</f>
        <v>0</v>
      </c>
      <c r="E12" s="17">
        <f t="shared" si="0"/>
        <v>0</v>
      </c>
      <c r="F12" s="17">
        <f t="shared" si="0"/>
        <v>0</v>
      </c>
      <c r="G12" s="17">
        <f t="shared" si="0"/>
        <v>0</v>
      </c>
      <c r="H12" s="17">
        <v>0</v>
      </c>
      <c r="I12" s="17">
        <f t="shared" ref="I12:N13" si="1">+H12</f>
        <v>0</v>
      </c>
      <c r="J12" s="17">
        <f t="shared" si="1"/>
        <v>0</v>
      </c>
      <c r="K12" s="17">
        <f t="shared" si="1"/>
        <v>0</v>
      </c>
      <c r="L12" s="17">
        <f t="shared" si="1"/>
        <v>0</v>
      </c>
      <c r="M12" s="17">
        <f t="shared" si="1"/>
        <v>0</v>
      </c>
      <c r="N12" s="17">
        <f t="shared" si="1"/>
        <v>0</v>
      </c>
      <c r="O12" s="18">
        <f>SUM(C12:N12)</f>
        <v>0</v>
      </c>
    </row>
    <row r="13" spans="1:17" ht="15" hidden="1" x14ac:dyDescent="0.2">
      <c r="A13" s="12"/>
      <c r="B13" s="13" t="s">
        <v>122</v>
      </c>
      <c r="C13" s="17">
        <v>0</v>
      </c>
      <c r="D13" s="17">
        <f>+C13</f>
        <v>0</v>
      </c>
      <c r="E13" s="17">
        <f t="shared" si="0"/>
        <v>0</v>
      </c>
      <c r="F13" s="17">
        <f t="shared" si="0"/>
        <v>0</v>
      </c>
      <c r="G13" s="17">
        <f t="shared" si="0"/>
        <v>0</v>
      </c>
      <c r="H13" s="17">
        <v>0</v>
      </c>
      <c r="I13" s="17">
        <f t="shared" si="1"/>
        <v>0</v>
      </c>
      <c r="J13" s="17">
        <f t="shared" si="1"/>
        <v>0</v>
      </c>
      <c r="K13" s="17">
        <f t="shared" si="1"/>
        <v>0</v>
      </c>
      <c r="L13" s="17">
        <f t="shared" si="1"/>
        <v>0</v>
      </c>
      <c r="M13" s="17">
        <f t="shared" si="1"/>
        <v>0</v>
      </c>
      <c r="N13" s="17">
        <f t="shared" si="1"/>
        <v>0</v>
      </c>
      <c r="O13" s="18">
        <f t="shared" ref="O13:O36" si="2">SUM(C13:N13)</f>
        <v>0</v>
      </c>
    </row>
    <row r="14" spans="1:17" ht="15" x14ac:dyDescent="0.2">
      <c r="A14" s="12"/>
      <c r="B14" s="13" t="s">
        <v>123</v>
      </c>
      <c r="C14" s="17">
        <v>7560</v>
      </c>
      <c r="D14" s="17">
        <v>7704</v>
      </c>
      <c r="E14" s="17">
        <f t="shared" si="0"/>
        <v>7704</v>
      </c>
      <c r="F14" s="17">
        <f t="shared" si="0"/>
        <v>7704</v>
      </c>
      <c r="G14" s="17">
        <f t="shared" si="0"/>
        <v>7704</v>
      </c>
      <c r="H14" s="17">
        <f>+G14</f>
        <v>7704</v>
      </c>
      <c r="I14" s="17">
        <f>+H14</f>
        <v>7704</v>
      </c>
      <c r="J14" s="17">
        <v>7848</v>
      </c>
      <c r="K14" s="17">
        <f>+J14</f>
        <v>7848</v>
      </c>
      <c r="L14" s="17">
        <f>+K14</f>
        <v>7848</v>
      </c>
      <c r="M14" s="17">
        <f>+L14</f>
        <v>7848</v>
      </c>
      <c r="N14" s="17">
        <f>+M14</f>
        <v>7848</v>
      </c>
      <c r="O14" s="18">
        <f t="shared" si="2"/>
        <v>93024</v>
      </c>
    </row>
    <row r="15" spans="1:17" ht="15" customHeight="1" x14ac:dyDescent="0.2">
      <c r="A15" s="12"/>
      <c r="B15" s="13" t="s">
        <v>124</v>
      </c>
      <c r="C15" s="17">
        <v>0</v>
      </c>
      <c r="D15" s="17">
        <f t="shared" ref="D15:G34" si="3">+C15</f>
        <v>0</v>
      </c>
      <c r="E15" s="17">
        <f t="shared" si="0"/>
        <v>0</v>
      </c>
      <c r="F15" s="17">
        <f t="shared" si="0"/>
        <v>0</v>
      </c>
      <c r="G15" s="17">
        <f t="shared" si="0"/>
        <v>0</v>
      </c>
      <c r="H15" s="17">
        <v>0</v>
      </c>
      <c r="I15" s="17">
        <f t="shared" ref="I15:N18" si="4">+H15</f>
        <v>0</v>
      </c>
      <c r="J15" s="17">
        <f t="shared" si="4"/>
        <v>0</v>
      </c>
      <c r="K15" s="17">
        <f t="shared" si="4"/>
        <v>0</v>
      </c>
      <c r="L15" s="17">
        <f t="shared" si="4"/>
        <v>0</v>
      </c>
      <c r="M15" s="17">
        <f t="shared" si="4"/>
        <v>0</v>
      </c>
      <c r="N15" s="17">
        <f t="shared" si="4"/>
        <v>0</v>
      </c>
      <c r="O15" s="18">
        <f t="shared" si="2"/>
        <v>0</v>
      </c>
    </row>
    <row r="16" spans="1:17" ht="14.25" hidden="1" customHeight="1" x14ac:dyDescent="0.2">
      <c r="A16" s="12"/>
      <c r="B16" s="13" t="s">
        <v>405</v>
      </c>
      <c r="C16" s="17">
        <v>0</v>
      </c>
      <c r="D16" s="17">
        <f t="shared" si="3"/>
        <v>0</v>
      </c>
      <c r="E16" s="17">
        <f t="shared" si="0"/>
        <v>0</v>
      </c>
      <c r="F16" s="17">
        <f t="shared" si="0"/>
        <v>0</v>
      </c>
      <c r="G16" s="17">
        <f t="shared" si="0"/>
        <v>0</v>
      </c>
      <c r="H16" s="17">
        <v>0</v>
      </c>
      <c r="I16" s="17">
        <f t="shared" si="4"/>
        <v>0</v>
      </c>
      <c r="J16" s="17">
        <f t="shared" si="4"/>
        <v>0</v>
      </c>
      <c r="K16" s="17">
        <f t="shared" si="4"/>
        <v>0</v>
      </c>
      <c r="L16" s="17">
        <f t="shared" si="4"/>
        <v>0</v>
      </c>
      <c r="M16" s="17">
        <f t="shared" si="4"/>
        <v>0</v>
      </c>
      <c r="N16" s="17">
        <f t="shared" si="4"/>
        <v>0</v>
      </c>
      <c r="O16" s="18">
        <f t="shared" si="2"/>
        <v>0</v>
      </c>
    </row>
    <row r="17" spans="1:15" ht="15" hidden="1" customHeight="1" x14ac:dyDescent="0.2">
      <c r="A17" s="12"/>
      <c r="B17" s="13" t="s">
        <v>126</v>
      </c>
      <c r="C17" s="17">
        <v>0</v>
      </c>
      <c r="D17" s="17">
        <f t="shared" si="3"/>
        <v>0</v>
      </c>
      <c r="E17" s="17">
        <f t="shared" si="0"/>
        <v>0</v>
      </c>
      <c r="F17" s="17">
        <f t="shared" si="0"/>
        <v>0</v>
      </c>
      <c r="G17" s="17">
        <f t="shared" si="0"/>
        <v>0</v>
      </c>
      <c r="H17" s="17">
        <v>0</v>
      </c>
      <c r="I17" s="17">
        <f t="shared" si="4"/>
        <v>0</v>
      </c>
      <c r="J17" s="17">
        <f t="shared" si="4"/>
        <v>0</v>
      </c>
      <c r="K17" s="17">
        <f t="shared" si="4"/>
        <v>0</v>
      </c>
      <c r="L17" s="17">
        <f t="shared" si="4"/>
        <v>0</v>
      </c>
      <c r="M17" s="17">
        <f t="shared" si="4"/>
        <v>0</v>
      </c>
      <c r="N17" s="17">
        <f t="shared" si="4"/>
        <v>0</v>
      </c>
      <c r="O17" s="18">
        <f t="shared" si="2"/>
        <v>0</v>
      </c>
    </row>
    <row r="18" spans="1:15" ht="15" x14ac:dyDescent="0.2">
      <c r="A18" s="12"/>
      <c r="B18" s="13" t="s">
        <v>458</v>
      </c>
      <c r="C18" s="17">
        <v>0</v>
      </c>
      <c r="D18" s="17">
        <f t="shared" si="3"/>
        <v>0</v>
      </c>
      <c r="E18" s="17">
        <f t="shared" si="0"/>
        <v>0</v>
      </c>
      <c r="F18" s="17">
        <f t="shared" si="0"/>
        <v>0</v>
      </c>
      <c r="G18" s="17">
        <f t="shared" si="0"/>
        <v>0</v>
      </c>
      <c r="H18" s="17">
        <v>0</v>
      </c>
      <c r="I18" s="17">
        <f t="shared" si="4"/>
        <v>0</v>
      </c>
      <c r="J18" s="17">
        <f t="shared" si="4"/>
        <v>0</v>
      </c>
      <c r="K18" s="17">
        <f t="shared" si="4"/>
        <v>0</v>
      </c>
      <c r="L18" s="17">
        <f t="shared" si="4"/>
        <v>0</v>
      </c>
      <c r="M18" s="17">
        <f t="shared" si="4"/>
        <v>0</v>
      </c>
      <c r="N18" s="17">
        <f t="shared" si="4"/>
        <v>0</v>
      </c>
      <c r="O18" s="18">
        <f t="shared" si="2"/>
        <v>0</v>
      </c>
    </row>
    <row r="19" spans="1:15" ht="15" x14ac:dyDescent="0.2">
      <c r="A19" s="12"/>
      <c r="B19" s="13" t="s">
        <v>128</v>
      </c>
      <c r="C19" s="17">
        <v>22320</v>
      </c>
      <c r="D19" s="17">
        <f t="shared" si="3"/>
        <v>22320</v>
      </c>
      <c r="E19" s="17">
        <f t="shared" si="0"/>
        <v>22320</v>
      </c>
      <c r="F19" s="17">
        <f t="shared" si="0"/>
        <v>22320</v>
      </c>
      <c r="G19" s="17">
        <v>22992</v>
      </c>
      <c r="H19" s="17">
        <v>22992</v>
      </c>
      <c r="I19" s="17">
        <v>22992</v>
      </c>
      <c r="J19" s="17">
        <v>22992</v>
      </c>
      <c r="K19" s="17">
        <v>22992</v>
      </c>
      <c r="L19" s="17">
        <v>22992</v>
      </c>
      <c r="M19" s="17">
        <v>22992</v>
      </c>
      <c r="N19" s="17">
        <v>22992</v>
      </c>
      <c r="O19" s="18">
        <f t="shared" si="2"/>
        <v>273216</v>
      </c>
    </row>
    <row r="20" spans="1:15" ht="15" customHeight="1" x14ac:dyDescent="0.2">
      <c r="A20" s="12"/>
      <c r="B20" s="13" t="s">
        <v>143</v>
      </c>
      <c r="C20" s="17">
        <v>0</v>
      </c>
      <c r="D20" s="17">
        <f t="shared" si="3"/>
        <v>0</v>
      </c>
      <c r="E20" s="17">
        <f t="shared" si="0"/>
        <v>0</v>
      </c>
      <c r="F20" s="17">
        <f t="shared" si="0"/>
        <v>0</v>
      </c>
      <c r="G20" s="17">
        <f t="shared" si="0"/>
        <v>0</v>
      </c>
      <c r="H20" s="17">
        <v>0</v>
      </c>
      <c r="I20" s="17">
        <f t="shared" ref="I20:N35" si="5">+H20</f>
        <v>0</v>
      </c>
      <c r="J20" s="17">
        <f t="shared" si="5"/>
        <v>0</v>
      </c>
      <c r="K20" s="17">
        <f t="shared" si="5"/>
        <v>0</v>
      </c>
      <c r="L20" s="17">
        <f t="shared" si="5"/>
        <v>0</v>
      </c>
      <c r="M20" s="17">
        <f t="shared" si="5"/>
        <v>0</v>
      </c>
      <c r="N20" s="17">
        <f t="shared" si="5"/>
        <v>0</v>
      </c>
      <c r="O20" s="18">
        <f t="shared" si="2"/>
        <v>0</v>
      </c>
    </row>
    <row r="21" spans="1:15" ht="15" hidden="1" customHeight="1" x14ac:dyDescent="0.2">
      <c r="A21" s="878" t="s">
        <v>130</v>
      </c>
      <c r="B21" s="19" t="s">
        <v>131</v>
      </c>
      <c r="C21" s="17">
        <v>0</v>
      </c>
      <c r="D21" s="17">
        <f t="shared" si="3"/>
        <v>0</v>
      </c>
      <c r="E21" s="17">
        <f t="shared" si="0"/>
        <v>0</v>
      </c>
      <c r="F21" s="17">
        <f t="shared" si="0"/>
        <v>0</v>
      </c>
      <c r="G21" s="17">
        <f t="shared" si="0"/>
        <v>0</v>
      </c>
      <c r="H21" s="17">
        <v>0</v>
      </c>
      <c r="I21" s="17">
        <f t="shared" si="5"/>
        <v>0</v>
      </c>
      <c r="J21" s="17">
        <f t="shared" si="5"/>
        <v>0</v>
      </c>
      <c r="K21" s="17">
        <f t="shared" si="5"/>
        <v>0</v>
      </c>
      <c r="L21" s="17">
        <f t="shared" si="5"/>
        <v>0</v>
      </c>
      <c r="M21" s="17">
        <f t="shared" si="5"/>
        <v>0</v>
      </c>
      <c r="N21" s="17">
        <f t="shared" si="5"/>
        <v>0</v>
      </c>
      <c r="O21" s="18">
        <f t="shared" si="2"/>
        <v>0</v>
      </c>
    </row>
    <row r="22" spans="1:15" ht="15" customHeight="1" x14ac:dyDescent="0.2">
      <c r="A22" s="879"/>
      <c r="B22" s="19" t="s">
        <v>132</v>
      </c>
      <c r="C22" s="17">
        <v>0</v>
      </c>
      <c r="D22" s="17">
        <f t="shared" si="3"/>
        <v>0</v>
      </c>
      <c r="E22" s="17">
        <f t="shared" si="0"/>
        <v>0</v>
      </c>
      <c r="F22" s="17">
        <f t="shared" si="0"/>
        <v>0</v>
      </c>
      <c r="G22" s="17">
        <f t="shared" si="0"/>
        <v>0</v>
      </c>
      <c r="H22" s="17">
        <v>0</v>
      </c>
      <c r="I22" s="17">
        <f t="shared" si="5"/>
        <v>0</v>
      </c>
      <c r="J22" s="17">
        <v>6908</v>
      </c>
      <c r="K22" s="17">
        <v>0</v>
      </c>
      <c r="L22" s="17">
        <f t="shared" si="5"/>
        <v>0</v>
      </c>
      <c r="M22" s="17">
        <f t="shared" si="5"/>
        <v>0</v>
      </c>
      <c r="N22" s="17">
        <f t="shared" si="5"/>
        <v>0</v>
      </c>
      <c r="O22" s="18">
        <f t="shared" si="2"/>
        <v>6908</v>
      </c>
    </row>
    <row r="23" spans="1:15" ht="15" hidden="1" customHeight="1" x14ac:dyDescent="0.2">
      <c r="A23" s="879"/>
      <c r="B23" s="19" t="s">
        <v>133</v>
      </c>
      <c r="C23" s="17">
        <v>0</v>
      </c>
      <c r="D23" s="17">
        <f t="shared" si="3"/>
        <v>0</v>
      </c>
      <c r="E23" s="17">
        <f t="shared" si="0"/>
        <v>0</v>
      </c>
      <c r="F23" s="17">
        <f t="shared" si="0"/>
        <v>0</v>
      </c>
      <c r="G23" s="17">
        <f t="shared" si="0"/>
        <v>0</v>
      </c>
      <c r="H23" s="17">
        <v>0</v>
      </c>
      <c r="I23" s="17">
        <f t="shared" si="5"/>
        <v>0</v>
      </c>
      <c r="J23" s="17">
        <f t="shared" si="5"/>
        <v>0</v>
      </c>
      <c r="K23" s="17">
        <f t="shared" si="5"/>
        <v>0</v>
      </c>
      <c r="L23" s="17">
        <f t="shared" si="5"/>
        <v>0</v>
      </c>
      <c r="M23" s="17">
        <f t="shared" si="5"/>
        <v>0</v>
      </c>
      <c r="N23" s="17">
        <f t="shared" si="5"/>
        <v>0</v>
      </c>
      <c r="O23" s="18">
        <f t="shared" si="2"/>
        <v>0</v>
      </c>
    </row>
    <row r="24" spans="1:15" ht="15" hidden="1" customHeight="1" x14ac:dyDescent="0.2">
      <c r="A24" s="879"/>
      <c r="B24" s="19" t="s">
        <v>134</v>
      </c>
      <c r="C24" s="17">
        <v>0</v>
      </c>
      <c r="D24" s="17">
        <f t="shared" si="3"/>
        <v>0</v>
      </c>
      <c r="E24" s="17">
        <f t="shared" si="0"/>
        <v>0</v>
      </c>
      <c r="F24" s="17">
        <f t="shared" si="0"/>
        <v>0</v>
      </c>
      <c r="G24" s="17">
        <f t="shared" si="0"/>
        <v>0</v>
      </c>
      <c r="H24" s="17">
        <v>0</v>
      </c>
      <c r="I24" s="17">
        <f t="shared" si="5"/>
        <v>0</v>
      </c>
      <c r="J24" s="17">
        <f t="shared" si="5"/>
        <v>0</v>
      </c>
      <c r="K24" s="17">
        <f t="shared" si="5"/>
        <v>0</v>
      </c>
      <c r="L24" s="17">
        <f t="shared" si="5"/>
        <v>0</v>
      </c>
      <c r="M24" s="17">
        <f t="shared" si="5"/>
        <v>0</v>
      </c>
      <c r="N24" s="17">
        <f t="shared" si="5"/>
        <v>0</v>
      </c>
      <c r="O24" s="18">
        <f t="shared" si="2"/>
        <v>0</v>
      </c>
    </row>
    <row r="25" spans="1:15" ht="15" hidden="1" customHeight="1" x14ac:dyDescent="0.2">
      <c r="A25" s="879"/>
      <c r="B25" s="19" t="s">
        <v>135</v>
      </c>
      <c r="C25" s="17">
        <v>0</v>
      </c>
      <c r="D25" s="17">
        <f t="shared" si="3"/>
        <v>0</v>
      </c>
      <c r="E25" s="17">
        <f t="shared" si="0"/>
        <v>0</v>
      </c>
      <c r="F25" s="17">
        <f t="shared" si="0"/>
        <v>0</v>
      </c>
      <c r="G25" s="17">
        <f t="shared" si="0"/>
        <v>0</v>
      </c>
      <c r="H25" s="17">
        <v>0</v>
      </c>
      <c r="I25" s="17">
        <f t="shared" si="5"/>
        <v>0</v>
      </c>
      <c r="J25" s="17">
        <f t="shared" si="5"/>
        <v>0</v>
      </c>
      <c r="K25" s="17">
        <f t="shared" si="5"/>
        <v>0</v>
      </c>
      <c r="L25" s="17">
        <f t="shared" si="5"/>
        <v>0</v>
      </c>
      <c r="M25" s="17">
        <f t="shared" si="5"/>
        <v>0</v>
      </c>
      <c r="N25" s="17">
        <f t="shared" si="5"/>
        <v>0</v>
      </c>
      <c r="O25" s="18">
        <f t="shared" si="2"/>
        <v>0</v>
      </c>
    </row>
    <row r="26" spans="1:15" ht="15" hidden="1" customHeight="1" x14ac:dyDescent="0.2">
      <c r="A26" s="879"/>
      <c r="B26" s="19" t="s">
        <v>136</v>
      </c>
      <c r="C26" s="17">
        <v>0</v>
      </c>
      <c r="D26" s="17">
        <f t="shared" si="3"/>
        <v>0</v>
      </c>
      <c r="E26" s="17">
        <f t="shared" si="3"/>
        <v>0</v>
      </c>
      <c r="F26" s="17">
        <f t="shared" si="3"/>
        <v>0</v>
      </c>
      <c r="G26" s="17">
        <f t="shared" si="3"/>
        <v>0</v>
      </c>
      <c r="H26" s="17">
        <v>0</v>
      </c>
      <c r="I26" s="17">
        <f t="shared" si="5"/>
        <v>0</v>
      </c>
      <c r="J26" s="17">
        <f t="shared" si="5"/>
        <v>0</v>
      </c>
      <c r="K26" s="17">
        <f t="shared" si="5"/>
        <v>0</v>
      </c>
      <c r="L26" s="17">
        <f t="shared" si="5"/>
        <v>0</v>
      </c>
      <c r="M26" s="17">
        <f t="shared" si="5"/>
        <v>0</v>
      </c>
      <c r="N26" s="17">
        <f t="shared" si="5"/>
        <v>0</v>
      </c>
      <c r="O26" s="18">
        <f t="shared" si="2"/>
        <v>0</v>
      </c>
    </row>
    <row r="27" spans="1:15" ht="15" hidden="1" customHeight="1" x14ac:dyDescent="0.2">
      <c r="A27" s="879"/>
      <c r="B27" s="19" t="s">
        <v>137</v>
      </c>
      <c r="C27" s="17">
        <v>0</v>
      </c>
      <c r="D27" s="17">
        <f t="shared" si="3"/>
        <v>0</v>
      </c>
      <c r="E27" s="17">
        <f t="shared" si="3"/>
        <v>0</v>
      </c>
      <c r="F27" s="17">
        <f t="shared" si="3"/>
        <v>0</v>
      </c>
      <c r="G27" s="17">
        <f t="shared" si="3"/>
        <v>0</v>
      </c>
      <c r="H27" s="17">
        <v>0</v>
      </c>
      <c r="I27" s="17">
        <f t="shared" si="5"/>
        <v>0</v>
      </c>
      <c r="J27" s="17">
        <f t="shared" si="5"/>
        <v>0</v>
      </c>
      <c r="K27" s="17">
        <f t="shared" si="5"/>
        <v>0</v>
      </c>
      <c r="L27" s="17">
        <f t="shared" si="5"/>
        <v>0</v>
      </c>
      <c r="M27" s="17">
        <f t="shared" si="5"/>
        <v>0</v>
      </c>
      <c r="N27" s="17">
        <f t="shared" si="5"/>
        <v>0</v>
      </c>
      <c r="O27" s="18">
        <f t="shared" si="2"/>
        <v>0</v>
      </c>
    </row>
    <row r="28" spans="1:15" ht="15" hidden="1" customHeight="1" x14ac:dyDescent="0.2">
      <c r="A28" s="879"/>
      <c r="B28" s="19" t="s">
        <v>138</v>
      </c>
      <c r="C28" s="17">
        <v>0</v>
      </c>
      <c r="D28" s="17">
        <f t="shared" si="3"/>
        <v>0</v>
      </c>
      <c r="E28" s="17">
        <f t="shared" si="3"/>
        <v>0</v>
      </c>
      <c r="F28" s="17">
        <f t="shared" si="3"/>
        <v>0</v>
      </c>
      <c r="G28" s="17">
        <f t="shared" si="3"/>
        <v>0</v>
      </c>
      <c r="H28" s="17">
        <v>0</v>
      </c>
      <c r="I28" s="17">
        <f t="shared" si="5"/>
        <v>0</v>
      </c>
      <c r="J28" s="17">
        <f t="shared" si="5"/>
        <v>0</v>
      </c>
      <c r="K28" s="17">
        <f t="shared" si="5"/>
        <v>0</v>
      </c>
      <c r="L28" s="17">
        <f t="shared" si="5"/>
        <v>0</v>
      </c>
      <c r="M28" s="17">
        <f t="shared" si="5"/>
        <v>0</v>
      </c>
      <c r="N28" s="17">
        <f t="shared" si="5"/>
        <v>0</v>
      </c>
      <c r="O28" s="18">
        <f t="shared" si="2"/>
        <v>0</v>
      </c>
    </row>
    <row r="29" spans="1:15" ht="15" hidden="1" customHeight="1" x14ac:dyDescent="0.2">
      <c r="A29" s="879"/>
      <c r="B29" s="19" t="s">
        <v>139</v>
      </c>
      <c r="C29" s="17">
        <v>0</v>
      </c>
      <c r="D29" s="17">
        <f t="shared" si="3"/>
        <v>0</v>
      </c>
      <c r="E29" s="17">
        <f t="shared" si="3"/>
        <v>0</v>
      </c>
      <c r="F29" s="17">
        <f t="shared" si="3"/>
        <v>0</v>
      </c>
      <c r="G29" s="17">
        <f t="shared" si="3"/>
        <v>0</v>
      </c>
      <c r="H29" s="17">
        <v>0</v>
      </c>
      <c r="I29" s="17">
        <f t="shared" si="5"/>
        <v>0</v>
      </c>
      <c r="J29" s="17">
        <f t="shared" si="5"/>
        <v>0</v>
      </c>
      <c r="K29" s="17">
        <f t="shared" si="5"/>
        <v>0</v>
      </c>
      <c r="L29" s="17">
        <f t="shared" si="5"/>
        <v>0</v>
      </c>
      <c r="M29" s="17">
        <f t="shared" si="5"/>
        <v>0</v>
      </c>
      <c r="N29" s="17">
        <f t="shared" si="5"/>
        <v>0</v>
      </c>
      <c r="O29" s="18">
        <f t="shared" si="2"/>
        <v>0</v>
      </c>
    </row>
    <row r="30" spans="1:15" ht="15" hidden="1" customHeight="1" x14ac:dyDescent="0.2">
      <c r="A30" s="879"/>
      <c r="B30" s="19" t="s">
        <v>140</v>
      </c>
      <c r="C30" s="17">
        <v>0</v>
      </c>
      <c r="D30" s="17">
        <f t="shared" si="3"/>
        <v>0</v>
      </c>
      <c r="E30" s="17">
        <f t="shared" si="3"/>
        <v>0</v>
      </c>
      <c r="F30" s="17">
        <f t="shared" si="3"/>
        <v>0</v>
      </c>
      <c r="G30" s="17">
        <f t="shared" si="3"/>
        <v>0</v>
      </c>
      <c r="H30" s="17">
        <v>0</v>
      </c>
      <c r="I30" s="17">
        <f t="shared" si="5"/>
        <v>0</v>
      </c>
      <c r="J30" s="17">
        <f t="shared" si="5"/>
        <v>0</v>
      </c>
      <c r="K30" s="17">
        <f t="shared" si="5"/>
        <v>0</v>
      </c>
      <c r="L30" s="17">
        <f t="shared" si="5"/>
        <v>0</v>
      </c>
      <c r="M30" s="17">
        <f t="shared" si="5"/>
        <v>0</v>
      </c>
      <c r="N30" s="17">
        <f t="shared" si="5"/>
        <v>0</v>
      </c>
      <c r="O30" s="18">
        <f t="shared" si="2"/>
        <v>0</v>
      </c>
    </row>
    <row r="31" spans="1:15" ht="15" customHeight="1" x14ac:dyDescent="0.2">
      <c r="A31" s="879"/>
      <c r="B31" s="19" t="s">
        <v>320</v>
      </c>
      <c r="C31" s="17">
        <v>0</v>
      </c>
      <c r="D31" s="17">
        <f t="shared" si="3"/>
        <v>0</v>
      </c>
      <c r="E31" s="17">
        <f t="shared" si="3"/>
        <v>0</v>
      </c>
      <c r="F31" s="17">
        <f t="shared" si="3"/>
        <v>0</v>
      </c>
      <c r="G31" s="17">
        <f t="shared" si="3"/>
        <v>0</v>
      </c>
      <c r="H31" s="17">
        <v>0</v>
      </c>
      <c r="I31" s="17">
        <f t="shared" si="5"/>
        <v>0</v>
      </c>
      <c r="J31" s="17">
        <f t="shared" si="5"/>
        <v>0</v>
      </c>
      <c r="K31" s="17">
        <f t="shared" si="5"/>
        <v>0</v>
      </c>
      <c r="L31" s="17">
        <f t="shared" si="5"/>
        <v>0</v>
      </c>
      <c r="M31" s="17">
        <f t="shared" si="5"/>
        <v>0</v>
      </c>
      <c r="N31" s="17">
        <f t="shared" si="5"/>
        <v>0</v>
      </c>
      <c r="O31" s="18">
        <f t="shared" si="2"/>
        <v>0</v>
      </c>
    </row>
    <row r="32" spans="1:15" ht="15" customHeight="1" x14ac:dyDescent="0.2">
      <c r="A32" s="879"/>
      <c r="B32" s="21" t="s">
        <v>142</v>
      </c>
      <c r="C32" s="17">
        <v>0</v>
      </c>
      <c r="D32" s="17">
        <f t="shared" si="3"/>
        <v>0</v>
      </c>
      <c r="E32" s="17">
        <v>33170</v>
      </c>
      <c r="F32" s="17">
        <v>0</v>
      </c>
      <c r="G32" s="17">
        <f t="shared" si="3"/>
        <v>0</v>
      </c>
      <c r="H32" s="17">
        <v>0</v>
      </c>
      <c r="I32" s="17">
        <f t="shared" si="5"/>
        <v>0</v>
      </c>
      <c r="J32" s="17">
        <f t="shared" si="5"/>
        <v>0</v>
      </c>
      <c r="K32" s="17">
        <f t="shared" si="5"/>
        <v>0</v>
      </c>
      <c r="L32" s="17">
        <f t="shared" si="5"/>
        <v>0</v>
      </c>
      <c r="M32" s="17">
        <f t="shared" si="5"/>
        <v>0</v>
      </c>
      <c r="N32" s="17">
        <f t="shared" si="5"/>
        <v>0</v>
      </c>
      <c r="O32" s="18">
        <f t="shared" si="2"/>
        <v>33170</v>
      </c>
    </row>
    <row r="33" spans="1:16" ht="15" hidden="1" customHeight="1" x14ac:dyDescent="0.2">
      <c r="A33" s="880"/>
      <c r="B33" s="19" t="s">
        <v>226</v>
      </c>
      <c r="C33" s="17">
        <v>0</v>
      </c>
      <c r="D33" s="17">
        <f t="shared" si="3"/>
        <v>0</v>
      </c>
      <c r="E33" s="17">
        <f>+D33</f>
        <v>0</v>
      </c>
      <c r="F33" s="17">
        <f>+E33</f>
        <v>0</v>
      </c>
      <c r="G33" s="17">
        <f t="shared" si="3"/>
        <v>0</v>
      </c>
      <c r="H33" s="17">
        <v>0</v>
      </c>
      <c r="I33" s="17">
        <f t="shared" si="5"/>
        <v>0</v>
      </c>
      <c r="J33" s="17">
        <f t="shared" si="5"/>
        <v>0</v>
      </c>
      <c r="K33" s="17">
        <f t="shared" si="5"/>
        <v>0</v>
      </c>
      <c r="L33" s="17">
        <f t="shared" si="5"/>
        <v>0</v>
      </c>
      <c r="M33" s="17">
        <f t="shared" si="5"/>
        <v>0</v>
      </c>
      <c r="N33" s="17">
        <f t="shared" si="5"/>
        <v>0</v>
      </c>
      <c r="O33" s="18">
        <f t="shared" si="2"/>
        <v>0</v>
      </c>
    </row>
    <row r="34" spans="1:16" ht="15" customHeight="1" x14ac:dyDescent="0.2">
      <c r="A34" s="219"/>
      <c r="B34" s="220" t="s">
        <v>144</v>
      </c>
      <c r="C34" s="17">
        <v>0</v>
      </c>
      <c r="D34" s="17">
        <f t="shared" si="3"/>
        <v>0</v>
      </c>
      <c r="E34" s="17">
        <f>+D34</f>
        <v>0</v>
      </c>
      <c r="F34" s="17">
        <f>+E34</f>
        <v>0</v>
      </c>
      <c r="G34" s="17">
        <f t="shared" si="3"/>
        <v>0</v>
      </c>
      <c r="H34" s="17">
        <v>0</v>
      </c>
      <c r="I34" s="17">
        <f t="shared" si="5"/>
        <v>0</v>
      </c>
      <c r="J34" s="17">
        <f t="shared" si="5"/>
        <v>0</v>
      </c>
      <c r="K34" s="17">
        <f t="shared" si="5"/>
        <v>0</v>
      </c>
      <c r="L34" s="17">
        <f t="shared" si="5"/>
        <v>0</v>
      </c>
      <c r="M34" s="17">
        <f t="shared" si="5"/>
        <v>0</v>
      </c>
      <c r="N34" s="17">
        <f t="shared" si="5"/>
        <v>0</v>
      </c>
      <c r="O34" s="18">
        <f t="shared" si="2"/>
        <v>0</v>
      </c>
    </row>
    <row r="35" spans="1:16" ht="15" customHeight="1" x14ac:dyDescent="0.2">
      <c r="A35" s="865" t="s">
        <v>145</v>
      </c>
      <c r="B35" s="866"/>
      <c r="C35" s="17">
        <v>0</v>
      </c>
      <c r="D35" s="17">
        <v>432</v>
      </c>
      <c r="E35" s="17">
        <v>0</v>
      </c>
      <c r="F35" s="17">
        <f>+E35</f>
        <v>0</v>
      </c>
      <c r="G35" s="17">
        <f t="shared" ref="G35:G36" si="6">+F35</f>
        <v>0</v>
      </c>
      <c r="H35" s="17">
        <v>0</v>
      </c>
      <c r="I35" s="17">
        <f t="shared" si="5"/>
        <v>0</v>
      </c>
      <c r="J35" s="17">
        <v>432</v>
      </c>
      <c r="K35" s="17">
        <v>0</v>
      </c>
      <c r="L35" s="17">
        <f t="shared" si="5"/>
        <v>0</v>
      </c>
      <c r="M35" s="17">
        <f t="shared" si="5"/>
        <v>0</v>
      </c>
      <c r="N35" s="17">
        <f t="shared" si="5"/>
        <v>0</v>
      </c>
      <c r="O35" s="18">
        <f t="shared" si="2"/>
        <v>864</v>
      </c>
    </row>
    <row r="36" spans="1:16" ht="15" customHeight="1" x14ac:dyDescent="0.2">
      <c r="A36" s="865" t="s">
        <v>146</v>
      </c>
      <c r="B36" s="866"/>
      <c r="C36" s="17">
        <v>0</v>
      </c>
      <c r="D36" s="17">
        <v>5580</v>
      </c>
      <c r="E36" s="17">
        <v>0</v>
      </c>
      <c r="F36" s="17">
        <f>+E36</f>
        <v>0</v>
      </c>
      <c r="G36" s="17">
        <f t="shared" si="6"/>
        <v>0</v>
      </c>
      <c r="H36" s="17">
        <v>0</v>
      </c>
      <c r="I36" s="17">
        <f t="shared" ref="I36:N36" si="7">+H36</f>
        <v>0</v>
      </c>
      <c r="J36" s="17">
        <v>5748</v>
      </c>
      <c r="K36" s="17">
        <v>0</v>
      </c>
      <c r="L36" s="17">
        <f t="shared" si="7"/>
        <v>0</v>
      </c>
      <c r="M36" s="17">
        <f t="shared" si="7"/>
        <v>0</v>
      </c>
      <c r="N36" s="17">
        <f t="shared" si="7"/>
        <v>0</v>
      </c>
      <c r="O36" s="18">
        <f t="shared" si="2"/>
        <v>11328</v>
      </c>
    </row>
    <row r="37" spans="1:16" ht="15" customHeight="1" x14ac:dyDescent="0.2">
      <c r="A37" s="22"/>
      <c r="B37" s="23" t="s">
        <v>147</v>
      </c>
      <c r="C37" s="24">
        <f t="shared" ref="C37:N37" si="8">SUM(C9:C36)</f>
        <v>127530</v>
      </c>
      <c r="D37" s="24">
        <f t="shared" si="8"/>
        <v>135546</v>
      </c>
      <c r="E37" s="24">
        <f t="shared" si="8"/>
        <v>162704</v>
      </c>
      <c r="F37" s="24">
        <f t="shared" si="8"/>
        <v>129534</v>
      </c>
      <c r="G37" s="24">
        <f t="shared" si="8"/>
        <v>133202</v>
      </c>
      <c r="H37" s="24">
        <f t="shared" si="8"/>
        <v>133202</v>
      </c>
      <c r="I37" s="24">
        <f t="shared" si="8"/>
        <v>133202</v>
      </c>
      <c r="J37" s="24">
        <f t="shared" si="8"/>
        <v>146434</v>
      </c>
      <c r="K37" s="24">
        <f t="shared" si="8"/>
        <v>133346</v>
      </c>
      <c r="L37" s="24">
        <f t="shared" si="8"/>
        <v>133346</v>
      </c>
      <c r="M37" s="24">
        <f t="shared" si="8"/>
        <v>133346</v>
      </c>
      <c r="N37" s="24">
        <f t="shared" si="8"/>
        <v>133346</v>
      </c>
      <c r="O37" s="25">
        <f t="shared" ref="O37:O50" si="9">SUM(C37:N37)</f>
        <v>1634738</v>
      </c>
    </row>
    <row r="38" spans="1:16" ht="15" customHeight="1" x14ac:dyDescent="0.2">
      <c r="A38" s="853" t="s">
        <v>148</v>
      </c>
      <c r="B38" s="27" t="s">
        <v>149</v>
      </c>
      <c r="C38" s="147">
        <v>14900</v>
      </c>
      <c r="D38" s="147">
        <v>15000</v>
      </c>
      <c r="E38" s="147">
        <v>15000</v>
      </c>
      <c r="F38" s="147">
        <v>15000</v>
      </c>
      <c r="G38" s="147">
        <v>15000</v>
      </c>
      <c r="H38" s="147">
        <v>15000</v>
      </c>
      <c r="I38" s="147">
        <v>15000</v>
      </c>
      <c r="J38" s="147">
        <v>15000</v>
      </c>
      <c r="K38" s="147">
        <v>22000</v>
      </c>
      <c r="L38" s="147">
        <v>23000</v>
      </c>
      <c r="M38" s="147">
        <v>22840</v>
      </c>
      <c r="N38" s="147">
        <v>24885</v>
      </c>
      <c r="O38" s="18">
        <f t="shared" si="9"/>
        <v>212625</v>
      </c>
      <c r="P38" s="29"/>
    </row>
    <row r="39" spans="1:16" ht="15" x14ac:dyDescent="0.2">
      <c r="A39" s="854"/>
      <c r="B39" s="27" t="s">
        <v>150</v>
      </c>
      <c r="C39" s="147">
        <v>0</v>
      </c>
      <c r="D39" s="147">
        <v>0</v>
      </c>
      <c r="E39" s="147">
        <v>0</v>
      </c>
      <c r="F39" s="147">
        <v>0</v>
      </c>
      <c r="G39" s="147">
        <v>0</v>
      </c>
      <c r="H39" s="147">
        <v>0</v>
      </c>
      <c r="I39" s="147">
        <v>0</v>
      </c>
      <c r="J39" s="147">
        <v>0</v>
      </c>
      <c r="K39" s="147">
        <v>0</v>
      </c>
      <c r="L39" s="147">
        <v>0</v>
      </c>
      <c r="M39" s="147">
        <v>0</v>
      </c>
      <c r="N39" s="147">
        <v>0</v>
      </c>
      <c r="O39" s="18">
        <f t="shared" si="9"/>
        <v>0</v>
      </c>
    </row>
    <row r="40" spans="1:16" ht="15" x14ac:dyDescent="0.2">
      <c r="A40" s="854"/>
      <c r="B40" s="27" t="s">
        <v>151</v>
      </c>
      <c r="C40" s="147">
        <v>60</v>
      </c>
      <c r="D40" s="147">
        <v>60</v>
      </c>
      <c r="E40" s="147">
        <v>60</v>
      </c>
      <c r="F40" s="147">
        <v>60</v>
      </c>
      <c r="G40" s="147">
        <v>60</v>
      </c>
      <c r="H40" s="147">
        <v>60</v>
      </c>
      <c r="I40" s="147">
        <v>60</v>
      </c>
      <c r="J40" s="147">
        <v>60</v>
      </c>
      <c r="K40" s="147">
        <v>60</v>
      </c>
      <c r="L40" s="147">
        <v>60</v>
      </c>
      <c r="M40" s="147">
        <v>60</v>
      </c>
      <c r="N40" s="147">
        <v>60</v>
      </c>
      <c r="O40" s="18">
        <f t="shared" si="9"/>
        <v>720</v>
      </c>
    </row>
    <row r="41" spans="1:16" ht="15" x14ac:dyDescent="0.2">
      <c r="A41" s="854"/>
      <c r="B41" s="27" t="s">
        <v>152</v>
      </c>
      <c r="C41" s="147">
        <v>0</v>
      </c>
      <c r="D41" s="147">
        <v>0</v>
      </c>
      <c r="E41" s="147">
        <v>0</v>
      </c>
      <c r="F41" s="147">
        <v>0</v>
      </c>
      <c r="G41" s="147">
        <v>0</v>
      </c>
      <c r="H41" s="147">
        <v>0</v>
      </c>
      <c r="I41" s="147">
        <v>0</v>
      </c>
      <c r="J41" s="147">
        <v>0</v>
      </c>
      <c r="K41" s="147">
        <v>0</v>
      </c>
      <c r="L41" s="147">
        <v>0</v>
      </c>
      <c r="M41" s="147">
        <v>0</v>
      </c>
      <c r="N41" s="147">
        <v>0</v>
      </c>
      <c r="O41" s="18">
        <f t="shared" si="9"/>
        <v>0</v>
      </c>
    </row>
    <row r="42" spans="1:16" ht="15" x14ac:dyDescent="0.2">
      <c r="A42" s="854"/>
      <c r="B42" s="27" t="s">
        <v>153</v>
      </c>
      <c r="C42" s="147">
        <v>0</v>
      </c>
      <c r="D42" s="147">
        <v>0</v>
      </c>
      <c r="E42" s="147">
        <v>0</v>
      </c>
      <c r="F42" s="147">
        <v>0</v>
      </c>
      <c r="G42" s="147">
        <v>0</v>
      </c>
      <c r="H42" s="147">
        <v>0</v>
      </c>
      <c r="I42" s="147">
        <v>0</v>
      </c>
      <c r="J42" s="147">
        <v>0</v>
      </c>
      <c r="K42" s="147">
        <v>0</v>
      </c>
      <c r="L42" s="147">
        <v>0</v>
      </c>
      <c r="M42" s="147">
        <v>0</v>
      </c>
      <c r="N42" s="147">
        <v>0</v>
      </c>
      <c r="O42" s="18">
        <f t="shared" si="9"/>
        <v>0</v>
      </c>
    </row>
    <row r="43" spans="1:16" ht="15" x14ac:dyDescent="0.2">
      <c r="A43" s="854"/>
      <c r="B43" s="27" t="s">
        <v>154</v>
      </c>
      <c r="C43" s="147">
        <v>40000</v>
      </c>
      <c r="D43" s="147">
        <v>40000</v>
      </c>
      <c r="E43" s="147">
        <v>40000</v>
      </c>
      <c r="F43" s="147">
        <v>40000</v>
      </c>
      <c r="G43" s="147">
        <v>40000</v>
      </c>
      <c r="H43" s="147">
        <v>40000</v>
      </c>
      <c r="I43" s="147">
        <v>40000</v>
      </c>
      <c r="J43" s="147">
        <v>40000</v>
      </c>
      <c r="K43" s="147">
        <v>40000</v>
      </c>
      <c r="L43" s="147">
        <v>40000</v>
      </c>
      <c r="M43" s="147">
        <v>40000</v>
      </c>
      <c r="N43" s="147">
        <v>40000</v>
      </c>
      <c r="O43" s="18">
        <f t="shared" si="9"/>
        <v>480000</v>
      </c>
    </row>
    <row r="44" spans="1:16" ht="15" x14ac:dyDescent="0.2">
      <c r="A44" s="854"/>
      <c r="B44" s="27" t="s">
        <v>155</v>
      </c>
      <c r="C44" s="147">
        <v>200</v>
      </c>
      <c r="D44" s="147">
        <v>200</v>
      </c>
      <c r="E44" s="147">
        <v>200</v>
      </c>
      <c r="F44" s="147">
        <v>200</v>
      </c>
      <c r="G44" s="147">
        <v>200</v>
      </c>
      <c r="H44" s="147">
        <v>200</v>
      </c>
      <c r="I44" s="147">
        <v>200</v>
      </c>
      <c r="J44" s="147">
        <v>200</v>
      </c>
      <c r="K44" s="147">
        <v>200</v>
      </c>
      <c r="L44" s="147">
        <v>200</v>
      </c>
      <c r="M44" s="147">
        <v>200</v>
      </c>
      <c r="N44" s="147">
        <v>300</v>
      </c>
      <c r="O44" s="18">
        <f t="shared" si="9"/>
        <v>2500</v>
      </c>
    </row>
    <row r="45" spans="1:16" ht="15" x14ac:dyDescent="0.2">
      <c r="A45" s="854"/>
      <c r="B45" s="27" t="s">
        <v>156</v>
      </c>
      <c r="C45" s="147">
        <v>0</v>
      </c>
      <c r="D45" s="147">
        <v>0</v>
      </c>
      <c r="E45" s="147">
        <v>0</v>
      </c>
      <c r="F45" s="147">
        <v>0</v>
      </c>
      <c r="G45" s="147">
        <v>0</v>
      </c>
      <c r="H45" s="147">
        <v>0</v>
      </c>
      <c r="I45" s="147">
        <v>0</v>
      </c>
      <c r="J45" s="147">
        <v>0</v>
      </c>
      <c r="K45" s="147">
        <v>0</v>
      </c>
      <c r="L45" s="147">
        <v>0</v>
      </c>
      <c r="M45" s="147">
        <v>0</v>
      </c>
      <c r="N45" s="147">
        <v>0</v>
      </c>
      <c r="O45" s="18">
        <f t="shared" si="9"/>
        <v>0</v>
      </c>
    </row>
    <row r="46" spans="1:16" ht="15" x14ac:dyDescent="0.2">
      <c r="A46" s="854"/>
      <c r="B46" s="27" t="s">
        <v>157</v>
      </c>
      <c r="C46" s="147">
        <v>0</v>
      </c>
      <c r="D46" s="147">
        <v>0</v>
      </c>
      <c r="E46" s="147">
        <v>0</v>
      </c>
      <c r="F46" s="147">
        <v>0</v>
      </c>
      <c r="G46" s="147">
        <v>0</v>
      </c>
      <c r="H46" s="147">
        <v>0</v>
      </c>
      <c r="I46" s="147">
        <v>0</v>
      </c>
      <c r="J46" s="147">
        <v>0</v>
      </c>
      <c r="K46" s="147">
        <v>0</v>
      </c>
      <c r="L46" s="147">
        <v>0</v>
      </c>
      <c r="M46" s="147">
        <v>0</v>
      </c>
      <c r="N46" s="147">
        <v>0</v>
      </c>
      <c r="O46" s="18">
        <f t="shared" si="9"/>
        <v>0</v>
      </c>
    </row>
    <row r="47" spans="1:16" ht="28.5" customHeight="1" x14ac:dyDescent="0.2">
      <c r="A47" s="855"/>
      <c r="B47" s="30" t="s">
        <v>158</v>
      </c>
      <c r="C47" s="147">
        <v>0</v>
      </c>
      <c r="D47" s="147">
        <v>0</v>
      </c>
      <c r="E47" s="147">
        <v>0</v>
      </c>
      <c r="F47" s="147">
        <v>0</v>
      </c>
      <c r="G47" s="147">
        <v>0</v>
      </c>
      <c r="H47" s="147">
        <v>0</v>
      </c>
      <c r="I47" s="147">
        <v>0</v>
      </c>
      <c r="J47" s="147">
        <v>0</v>
      </c>
      <c r="K47" s="147">
        <v>0</v>
      </c>
      <c r="L47" s="147">
        <v>0</v>
      </c>
      <c r="M47" s="147">
        <v>0</v>
      </c>
      <c r="N47" s="147">
        <v>0</v>
      </c>
      <c r="O47" s="31">
        <f t="shared" si="9"/>
        <v>0</v>
      </c>
    </row>
    <row r="48" spans="1:16" ht="15" x14ac:dyDescent="0.2">
      <c r="A48" s="856"/>
      <c r="B48" s="127" t="s">
        <v>479</v>
      </c>
      <c r="C48" s="147">
        <v>0</v>
      </c>
      <c r="D48" s="147">
        <v>0</v>
      </c>
      <c r="E48" s="147">
        <v>0</v>
      </c>
      <c r="F48" s="147">
        <v>0</v>
      </c>
      <c r="G48" s="147">
        <v>0</v>
      </c>
      <c r="H48" s="147">
        <v>0</v>
      </c>
      <c r="I48" s="147">
        <v>0</v>
      </c>
      <c r="J48" s="147">
        <v>0</v>
      </c>
      <c r="K48" s="147">
        <v>0</v>
      </c>
      <c r="L48" s="147">
        <v>0</v>
      </c>
      <c r="M48" s="147">
        <v>0</v>
      </c>
      <c r="N48" s="147">
        <v>0</v>
      </c>
      <c r="O48" s="31">
        <f t="shared" si="9"/>
        <v>0</v>
      </c>
    </row>
    <row r="49" spans="1:19" ht="15" x14ac:dyDescent="0.2">
      <c r="A49" s="857" t="s">
        <v>160</v>
      </c>
      <c r="B49" s="858"/>
      <c r="C49" s="33">
        <f t="shared" ref="C49:N49" si="10">SUM(C38:C48)</f>
        <v>55160</v>
      </c>
      <c r="D49" s="33">
        <f t="shared" si="10"/>
        <v>55260</v>
      </c>
      <c r="E49" s="33">
        <f t="shared" si="10"/>
        <v>55260</v>
      </c>
      <c r="F49" s="33">
        <f t="shared" si="10"/>
        <v>55260</v>
      </c>
      <c r="G49" s="33">
        <f t="shared" si="10"/>
        <v>55260</v>
      </c>
      <c r="H49" s="33">
        <f t="shared" si="10"/>
        <v>55260</v>
      </c>
      <c r="I49" s="33">
        <f t="shared" si="10"/>
        <v>55260</v>
      </c>
      <c r="J49" s="33">
        <f t="shared" si="10"/>
        <v>55260</v>
      </c>
      <c r="K49" s="33">
        <f t="shared" si="10"/>
        <v>62260</v>
      </c>
      <c r="L49" s="33">
        <f t="shared" si="10"/>
        <v>63260</v>
      </c>
      <c r="M49" s="33">
        <f t="shared" si="10"/>
        <v>63100</v>
      </c>
      <c r="N49" s="33">
        <f t="shared" si="10"/>
        <v>65245</v>
      </c>
      <c r="O49" s="34">
        <f t="shared" si="9"/>
        <v>695845</v>
      </c>
    </row>
    <row r="50" spans="1:19" ht="15.75" thickBot="1" x14ac:dyDescent="0.25">
      <c r="A50" s="859" t="s">
        <v>161</v>
      </c>
      <c r="B50" s="860"/>
      <c r="C50" s="35">
        <f t="shared" ref="C50:N50" si="11">C37-C49</f>
        <v>72370</v>
      </c>
      <c r="D50" s="35">
        <f t="shared" si="11"/>
        <v>80286</v>
      </c>
      <c r="E50" s="35">
        <f t="shared" si="11"/>
        <v>107444</v>
      </c>
      <c r="F50" s="35">
        <f t="shared" si="11"/>
        <v>74274</v>
      </c>
      <c r="G50" s="35">
        <f t="shared" si="11"/>
        <v>77942</v>
      </c>
      <c r="H50" s="35">
        <f t="shared" si="11"/>
        <v>77942</v>
      </c>
      <c r="I50" s="35">
        <f t="shared" si="11"/>
        <v>77942</v>
      </c>
      <c r="J50" s="35">
        <f t="shared" si="11"/>
        <v>91174</v>
      </c>
      <c r="K50" s="35">
        <f t="shared" si="11"/>
        <v>71086</v>
      </c>
      <c r="L50" s="35">
        <f t="shared" si="11"/>
        <v>70086</v>
      </c>
      <c r="M50" s="35">
        <f t="shared" si="11"/>
        <v>70246</v>
      </c>
      <c r="N50" s="35">
        <f t="shared" si="11"/>
        <v>68101</v>
      </c>
      <c r="O50" s="36">
        <f t="shared" si="9"/>
        <v>938893</v>
      </c>
    </row>
    <row r="51" spans="1:19" x14ac:dyDescent="0.2">
      <c r="J51" s="16">
        <f>+J37-SUM(J20:J36)</f>
        <v>133346</v>
      </c>
      <c r="M51" s="38">
        <f>+M50-M31</f>
        <v>70246</v>
      </c>
      <c r="Q51" s="38"/>
    </row>
    <row r="52" spans="1:19" ht="13.5" thickBot="1" x14ac:dyDescent="0.25">
      <c r="J52" s="38">
        <f>+J51-J49</f>
        <v>78086</v>
      </c>
    </row>
    <row r="53" spans="1:19" ht="13.5" thickBot="1" x14ac:dyDescent="0.25">
      <c r="B53" s="789" t="s">
        <v>162</v>
      </c>
      <c r="C53" s="861"/>
      <c r="D53" s="861"/>
      <c r="E53" s="861"/>
      <c r="F53" s="862"/>
      <c r="G53" s="863">
        <f>O37</f>
        <v>1634738</v>
      </c>
      <c r="H53" s="864"/>
    </row>
    <row r="54" spans="1:19" ht="13.5" thickBot="1" x14ac:dyDescent="0.25"/>
    <row r="55" spans="1:19" x14ac:dyDescent="0.2">
      <c r="B55" s="830" t="s">
        <v>163</v>
      </c>
      <c r="C55" s="833" t="s">
        <v>164</v>
      </c>
      <c r="D55" s="836" t="s">
        <v>229</v>
      </c>
      <c r="E55" s="837"/>
      <c r="F55" s="838"/>
      <c r="G55" s="839">
        <v>40000</v>
      </c>
      <c r="H55" s="840"/>
      <c r="J55" s="106"/>
    </row>
    <row r="56" spans="1:19" x14ac:dyDescent="0.2">
      <c r="B56" s="831"/>
      <c r="C56" s="834"/>
      <c r="D56" s="841" t="s">
        <v>166</v>
      </c>
      <c r="E56" s="842"/>
      <c r="F56" s="843"/>
      <c r="G56" s="844">
        <f>+O44</f>
        <v>2500</v>
      </c>
      <c r="H56" s="845"/>
      <c r="I56" s="39"/>
      <c r="J56" s="846"/>
      <c r="K56" s="846"/>
      <c r="L56" s="846"/>
      <c r="M56" s="847"/>
      <c r="N56" s="847"/>
      <c r="O56" s="847"/>
    </row>
    <row r="57" spans="1:19" ht="13.5" thickBot="1" x14ac:dyDescent="0.25">
      <c r="B57" s="832"/>
      <c r="C57" s="835"/>
      <c r="D57" s="848" t="s">
        <v>243</v>
      </c>
      <c r="E57" s="849"/>
      <c r="F57" s="850"/>
      <c r="G57" s="851">
        <f>IF(O18&gt;15000,15000,+O18)</f>
        <v>0</v>
      </c>
      <c r="H57" s="852"/>
      <c r="J57" s="47"/>
      <c r="K57" s="47"/>
      <c r="L57" s="47"/>
      <c r="M57" s="47"/>
      <c r="N57" s="47"/>
      <c r="O57" s="47"/>
    </row>
    <row r="58" spans="1:19" ht="13.5" thickBot="1" x14ac:dyDescent="0.25">
      <c r="B58" s="48"/>
      <c r="J58" s="47"/>
      <c r="K58" s="47"/>
      <c r="L58" s="47"/>
      <c r="M58" s="47"/>
      <c r="N58" s="47"/>
      <c r="O58" s="47"/>
    </row>
    <row r="59" spans="1:19" ht="13.5" thickBot="1" x14ac:dyDescent="0.25">
      <c r="B59" s="789" t="s">
        <v>168</v>
      </c>
      <c r="C59" s="790"/>
      <c r="D59" s="790"/>
      <c r="E59" s="790"/>
      <c r="F59" s="791"/>
      <c r="G59" s="825">
        <f>+G53-SUM(G55:H57)</f>
        <v>1592238</v>
      </c>
      <c r="H59" s="826"/>
      <c r="J59" s="827" t="s">
        <v>169</v>
      </c>
      <c r="K59" s="828"/>
      <c r="L59" s="828"/>
      <c r="M59" s="828"/>
      <c r="N59" s="828"/>
      <c r="O59" s="829"/>
    </row>
    <row r="60" spans="1:19" ht="13.5" thickBot="1" x14ac:dyDescent="0.25">
      <c r="B60" s="49"/>
      <c r="C60" s="50"/>
      <c r="D60" s="50"/>
      <c r="E60" s="50"/>
      <c r="F60" s="50"/>
      <c r="G60" s="45"/>
      <c r="H60" s="50"/>
      <c r="J60" s="129"/>
      <c r="K60" s="130"/>
      <c r="L60" s="130"/>
      <c r="M60" s="130"/>
      <c r="N60" s="130"/>
      <c r="O60" s="131"/>
    </row>
    <row r="61" spans="1:19" ht="13.5" thickBot="1" x14ac:dyDescent="0.25">
      <c r="B61" s="789" t="s">
        <v>170</v>
      </c>
      <c r="C61" s="790"/>
      <c r="D61" s="790"/>
      <c r="E61" s="790"/>
      <c r="F61" s="791"/>
      <c r="G61" s="805"/>
      <c r="H61" s="791"/>
      <c r="J61" s="129"/>
      <c r="K61" s="130"/>
      <c r="L61" s="130"/>
      <c r="M61" s="130"/>
      <c r="N61" s="130"/>
      <c r="O61" s="131"/>
    </row>
    <row r="62" spans="1:19" ht="12.75" customHeight="1" x14ac:dyDescent="0.2">
      <c r="B62" s="57" t="s">
        <v>171</v>
      </c>
      <c r="C62" s="806" t="s">
        <v>172</v>
      </c>
      <c r="D62" s="807"/>
      <c r="E62" s="807"/>
      <c r="F62" s="808"/>
      <c r="G62" s="809">
        <v>125360</v>
      </c>
      <c r="H62" s="809"/>
      <c r="I62" s="58"/>
      <c r="J62" s="810" t="s">
        <v>173</v>
      </c>
      <c r="K62" s="811"/>
      <c r="L62" s="811"/>
      <c r="M62" s="811"/>
      <c r="N62" s="811"/>
      <c r="O62" s="812"/>
    </row>
    <row r="63" spans="1:19" ht="12.75" customHeight="1" thickBot="1" x14ac:dyDescent="0.25">
      <c r="D63" s="37"/>
      <c r="I63" s="58"/>
      <c r="J63" s="60" t="s">
        <v>735</v>
      </c>
      <c r="K63" s="132"/>
      <c r="L63" s="132"/>
      <c r="M63" s="133"/>
      <c r="N63" s="133" t="s">
        <v>736</v>
      </c>
      <c r="O63" s="134"/>
      <c r="Q63" s="59"/>
      <c r="R63" s="59"/>
      <c r="S63" s="59"/>
    </row>
    <row r="64" spans="1:19" ht="13.5" thickBot="1" x14ac:dyDescent="0.25">
      <c r="B64" s="789" t="s">
        <v>175</v>
      </c>
      <c r="C64" s="790"/>
      <c r="D64" s="790"/>
      <c r="E64" s="790"/>
      <c r="F64" s="791"/>
      <c r="G64" s="805">
        <f>+G59-G62</f>
        <v>1466878</v>
      </c>
      <c r="H64" s="791"/>
      <c r="I64" s="63"/>
      <c r="J64" s="75" t="s">
        <v>737</v>
      </c>
      <c r="K64" s="39"/>
      <c r="L64" s="39"/>
      <c r="M64" s="39"/>
      <c r="N64" s="39" t="s">
        <v>396</v>
      </c>
      <c r="O64" s="65"/>
      <c r="Q64" s="59"/>
      <c r="R64" s="59"/>
      <c r="S64" s="59"/>
    </row>
    <row r="65" spans="2:19" ht="12.75" customHeight="1" x14ac:dyDescent="0.2">
      <c r="B65" s="48"/>
      <c r="C65" s="48"/>
      <c r="I65" s="63"/>
      <c r="J65" s="64"/>
      <c r="K65" s="39"/>
      <c r="L65" s="39"/>
      <c r="M65" s="39"/>
      <c r="N65" s="39"/>
      <c r="O65" s="65"/>
      <c r="Q65" s="59"/>
      <c r="R65" s="59"/>
      <c r="S65" s="59"/>
    </row>
    <row r="66" spans="2:19" x14ac:dyDescent="0.2">
      <c r="B66" s="66" t="s">
        <v>176</v>
      </c>
      <c r="C66" s="48"/>
      <c r="I66" s="63"/>
      <c r="J66" s="67"/>
      <c r="K66" s="68"/>
      <c r="L66" s="68"/>
      <c r="M66" s="68"/>
      <c r="N66" s="68"/>
      <c r="O66" s="69"/>
      <c r="Q66" s="59"/>
      <c r="R66" s="59"/>
      <c r="S66" s="59"/>
    </row>
    <row r="67" spans="2:19" ht="23.25" thickBot="1" x14ac:dyDescent="0.25">
      <c r="B67" s="66"/>
      <c r="C67" s="48"/>
      <c r="G67" s="70" t="s">
        <v>177</v>
      </c>
      <c r="H67" s="70" t="s">
        <v>178</v>
      </c>
      <c r="I67" s="63"/>
      <c r="J67" s="810" t="s">
        <v>179</v>
      </c>
      <c r="K67" s="811"/>
      <c r="L67" s="71"/>
      <c r="M67" s="71"/>
      <c r="N67" s="71"/>
      <c r="O67" s="158" t="s">
        <v>267</v>
      </c>
      <c r="Q67" s="59"/>
      <c r="R67" s="59"/>
      <c r="S67" s="59"/>
    </row>
    <row r="68" spans="2:19" ht="13.5" customHeight="1" x14ac:dyDescent="0.2">
      <c r="B68" s="802" t="s">
        <v>180</v>
      </c>
      <c r="C68" s="821" t="s">
        <v>181</v>
      </c>
      <c r="D68" s="823" t="s">
        <v>182</v>
      </c>
      <c r="E68" s="824"/>
      <c r="F68" s="824"/>
      <c r="G68" s="73">
        <f>+O43</f>
        <v>480000</v>
      </c>
      <c r="H68" s="74">
        <f>+G68</f>
        <v>480000</v>
      </c>
      <c r="I68" s="63"/>
      <c r="J68" s="181"/>
      <c r="K68" s="58"/>
      <c r="L68" s="39"/>
      <c r="M68" s="39" t="s">
        <v>232</v>
      </c>
      <c r="N68" s="58" t="s">
        <v>670</v>
      </c>
      <c r="O68" s="76"/>
      <c r="Q68" s="59"/>
      <c r="R68" s="59"/>
      <c r="S68" s="59"/>
    </row>
    <row r="69" spans="2:19" ht="12.75" customHeight="1" x14ac:dyDescent="0.2">
      <c r="B69" s="803"/>
      <c r="C69" s="822"/>
      <c r="D69" s="782" t="s">
        <v>184</v>
      </c>
      <c r="E69" s="783"/>
      <c r="F69" s="783"/>
      <c r="G69" s="77">
        <v>0</v>
      </c>
      <c r="H69" s="78">
        <f t="shared" ref="H69:H75" si="12">+G69</f>
        <v>0</v>
      </c>
      <c r="I69" s="63"/>
      <c r="J69" s="165"/>
      <c r="K69" s="68"/>
      <c r="L69" s="135"/>
      <c r="M69" s="39" t="s">
        <v>232</v>
      </c>
      <c r="N69" s="135" t="s">
        <v>670</v>
      </c>
      <c r="O69" s="136"/>
      <c r="Q69" s="59"/>
      <c r="R69" s="59"/>
      <c r="S69" s="59"/>
    </row>
    <row r="70" spans="2:19" ht="12.75" customHeight="1" x14ac:dyDescent="0.2">
      <c r="B70" s="803"/>
      <c r="C70" s="822"/>
      <c r="D70" s="819" t="s">
        <v>185</v>
      </c>
      <c r="E70" s="820"/>
      <c r="F70" s="820"/>
      <c r="G70" s="80">
        <f>O40</f>
        <v>720</v>
      </c>
      <c r="H70" s="78">
        <f t="shared" si="12"/>
        <v>720</v>
      </c>
      <c r="I70" s="63"/>
      <c r="J70" s="230"/>
      <c r="K70" s="58"/>
      <c r="L70" s="135"/>
      <c r="M70" s="39" t="s">
        <v>232</v>
      </c>
      <c r="N70" s="58" t="s">
        <v>670</v>
      </c>
      <c r="O70" s="65"/>
      <c r="Q70" s="59"/>
      <c r="R70" s="59"/>
      <c r="S70" s="59"/>
    </row>
    <row r="71" spans="2:19" ht="12.75" customHeight="1" x14ac:dyDescent="0.2">
      <c r="B71" s="803"/>
      <c r="C71" s="822"/>
      <c r="D71" s="782" t="s">
        <v>186</v>
      </c>
      <c r="E71" s="783"/>
      <c r="F71" s="783"/>
      <c r="G71" s="81">
        <v>0</v>
      </c>
      <c r="H71" s="78">
        <f t="shared" si="12"/>
        <v>0</v>
      </c>
      <c r="I71" s="63"/>
      <c r="J71" s="165"/>
      <c r="K71" s="39"/>
      <c r="L71" s="39"/>
      <c r="M71" s="63" t="s">
        <v>232</v>
      </c>
      <c r="N71" s="58" t="s">
        <v>670</v>
      </c>
      <c r="O71" s="65"/>
    </row>
    <row r="72" spans="2:19" x14ac:dyDescent="0.2">
      <c r="B72" s="803"/>
      <c r="C72" s="822"/>
      <c r="D72" s="784" t="s">
        <v>188</v>
      </c>
      <c r="E72" s="783"/>
      <c r="F72" s="783"/>
      <c r="G72" s="80">
        <v>0</v>
      </c>
      <c r="H72" s="78">
        <f t="shared" si="12"/>
        <v>0</v>
      </c>
      <c r="I72" s="63"/>
      <c r="J72" s="79"/>
      <c r="K72" s="39"/>
      <c r="L72" s="39"/>
      <c r="M72" s="39"/>
      <c r="N72" s="39"/>
      <c r="O72" s="65"/>
    </row>
    <row r="73" spans="2:19" ht="12.75" customHeight="1" x14ac:dyDescent="0.2">
      <c r="B73" s="803"/>
      <c r="C73" s="822"/>
      <c r="D73" s="782" t="s">
        <v>190</v>
      </c>
      <c r="E73" s="783"/>
      <c r="F73" s="783"/>
      <c r="G73" s="84">
        <v>0</v>
      </c>
      <c r="H73" s="78">
        <f t="shared" si="12"/>
        <v>0</v>
      </c>
      <c r="I73" s="63"/>
      <c r="J73" s="82" t="s">
        <v>200</v>
      </c>
      <c r="K73" s="237"/>
      <c r="L73" s="234"/>
      <c r="M73" s="195"/>
      <c r="N73" s="71"/>
      <c r="O73" s="238"/>
    </row>
    <row r="74" spans="2:19" ht="14.25" customHeight="1" x14ac:dyDescent="0.2">
      <c r="B74" s="803"/>
      <c r="C74" s="822"/>
      <c r="D74" s="782" t="s">
        <v>191</v>
      </c>
      <c r="E74" s="783"/>
      <c r="F74" s="783"/>
      <c r="G74" s="81">
        <v>174460</v>
      </c>
      <c r="H74" s="78">
        <f t="shared" si="12"/>
        <v>174460</v>
      </c>
      <c r="I74" s="58"/>
      <c r="J74" s="75"/>
      <c r="K74" s="39"/>
      <c r="L74" s="39"/>
      <c r="M74" s="39"/>
      <c r="N74" s="39"/>
      <c r="O74" s="65"/>
    </row>
    <row r="75" spans="2:19" x14ac:dyDescent="0.2">
      <c r="B75" s="803"/>
      <c r="C75" s="88" t="s">
        <v>192</v>
      </c>
      <c r="D75" s="813" t="s">
        <v>193</v>
      </c>
      <c r="E75" s="814"/>
      <c r="F75" s="814"/>
      <c r="G75" s="80">
        <v>0</v>
      </c>
      <c r="H75" s="78">
        <f t="shared" si="12"/>
        <v>0</v>
      </c>
      <c r="I75" s="58"/>
      <c r="J75" s="75"/>
      <c r="K75" s="39"/>
      <c r="L75" s="39"/>
      <c r="M75" s="39"/>
      <c r="N75" s="39"/>
      <c r="O75" s="65"/>
    </row>
    <row r="76" spans="2:19" ht="13.5" customHeight="1" thickBot="1" x14ac:dyDescent="0.25">
      <c r="B76" s="803"/>
      <c r="C76" s="88" t="s">
        <v>194</v>
      </c>
      <c r="D76" s="815" t="s">
        <v>195</v>
      </c>
      <c r="E76" s="815"/>
      <c r="F76" s="815"/>
      <c r="G76" s="89">
        <v>0</v>
      </c>
      <c r="H76" s="90">
        <f>+G76</f>
        <v>0</v>
      </c>
      <c r="I76" s="63"/>
      <c r="J76" s="79"/>
      <c r="K76" s="39"/>
      <c r="L76" s="39"/>
      <c r="M76" s="39"/>
      <c r="N76" s="39"/>
      <c r="O76" s="65"/>
    </row>
    <row r="77" spans="2:19" ht="13.5" thickBot="1" x14ac:dyDescent="0.25">
      <c r="B77" s="803"/>
      <c r="C77" s="93"/>
      <c r="D77" s="94"/>
      <c r="E77" s="816" t="s">
        <v>117</v>
      </c>
      <c r="F77" s="817"/>
      <c r="G77" s="95">
        <f>SUM(G68:G76)</f>
        <v>655180</v>
      </c>
      <c r="H77" s="96">
        <f>IF(SUM(G68:G74)&lt;150000,SUM(G68:G74),150000)+IF(+G75&lt;20000,+G75,20000)</f>
        <v>150000</v>
      </c>
      <c r="I77" s="63"/>
      <c r="J77" s="82" t="s">
        <v>187</v>
      </c>
      <c r="K77" s="195"/>
      <c r="L77" s="195"/>
      <c r="M77" s="195"/>
      <c r="N77" s="195"/>
      <c r="O77" s="196"/>
    </row>
    <row r="78" spans="2:19" x14ac:dyDescent="0.2">
      <c r="B78" s="803"/>
      <c r="C78" s="100" t="s">
        <v>196</v>
      </c>
      <c r="D78" s="782" t="s">
        <v>187</v>
      </c>
      <c r="E78" s="783"/>
      <c r="F78" s="818"/>
      <c r="G78" s="73">
        <v>10409</v>
      </c>
      <c r="H78" s="101">
        <f>+IF(+G78&lt;25000,+G78,25000)</f>
        <v>10409</v>
      </c>
      <c r="I78" s="87"/>
      <c r="J78" s="60" t="s">
        <v>189</v>
      </c>
      <c r="K78" s="58"/>
      <c r="L78" s="58"/>
      <c r="M78" s="58"/>
      <c r="N78" s="58"/>
      <c r="O78" s="76">
        <v>0</v>
      </c>
    </row>
    <row r="79" spans="2:19" ht="12.75" customHeight="1" x14ac:dyDescent="0.2">
      <c r="B79" s="803"/>
      <c r="C79" s="100" t="s">
        <v>197</v>
      </c>
      <c r="D79" s="784" t="s">
        <v>198</v>
      </c>
      <c r="E79" s="785"/>
      <c r="F79" s="786"/>
      <c r="G79" s="102"/>
      <c r="H79" s="103">
        <f>+IF(+G79&lt;40000,+G79,40000)</f>
        <v>0</v>
      </c>
      <c r="I79" s="63"/>
      <c r="J79" s="75" t="s">
        <v>738</v>
      </c>
      <c r="K79" s="50"/>
      <c r="L79" s="50"/>
      <c r="M79" s="50"/>
      <c r="N79" s="50"/>
      <c r="O79" s="83"/>
    </row>
    <row r="80" spans="2:19" ht="13.5" thickBot="1" x14ac:dyDescent="0.25">
      <c r="B80" s="803"/>
      <c r="C80" s="100" t="s">
        <v>199</v>
      </c>
      <c r="D80" s="784" t="s">
        <v>200</v>
      </c>
      <c r="E80" s="785"/>
      <c r="F80" s="786"/>
      <c r="G80" s="81"/>
      <c r="H80" s="104">
        <f>+G80</f>
        <v>0</v>
      </c>
      <c r="I80" s="63"/>
      <c r="J80" s="185" t="s">
        <v>739</v>
      </c>
      <c r="K80" s="98"/>
      <c r="L80" s="98"/>
      <c r="M80" s="98"/>
      <c r="N80" s="98"/>
      <c r="O80" s="99"/>
    </row>
    <row r="81" spans="2:13" x14ac:dyDescent="0.2">
      <c r="B81" s="803"/>
      <c r="C81" s="100" t="s">
        <v>201</v>
      </c>
      <c r="D81" s="784" t="s">
        <v>202</v>
      </c>
      <c r="E81" s="785"/>
      <c r="F81" s="786"/>
      <c r="G81" s="81"/>
      <c r="H81" s="104">
        <v>0</v>
      </c>
      <c r="I81" s="63"/>
    </row>
    <row r="82" spans="2:13" ht="13.5" thickBot="1" x14ac:dyDescent="0.25">
      <c r="B82" s="804"/>
      <c r="C82" s="100" t="s">
        <v>203</v>
      </c>
      <c r="D82" s="784" t="s">
        <v>204</v>
      </c>
      <c r="E82" s="785"/>
      <c r="F82" s="786"/>
      <c r="G82" s="102"/>
      <c r="H82" s="103">
        <f>+IF(+G82&lt;100000,+G82,10000)</f>
        <v>0</v>
      </c>
      <c r="I82" s="63"/>
    </row>
    <row r="83" spans="2:13" ht="15.75" thickBot="1" x14ac:dyDescent="0.3">
      <c r="B83" s="787" t="s">
        <v>205</v>
      </c>
      <c r="C83" s="788"/>
      <c r="D83" s="788"/>
      <c r="E83" s="788"/>
      <c r="F83" s="788"/>
      <c r="G83" s="107">
        <f>SUM(G78:G82)</f>
        <v>10409</v>
      </c>
      <c r="H83" s="108">
        <f>SUM(H77:H82)</f>
        <v>160409</v>
      </c>
      <c r="J83" s="106"/>
      <c r="K83" s="264"/>
      <c r="L83" s="264"/>
    </row>
    <row r="84" spans="2:13" ht="13.5" thickBot="1" x14ac:dyDescent="0.25"/>
    <row r="85" spans="2:13" ht="13.5" thickBot="1" x14ac:dyDescent="0.25">
      <c r="B85" s="789" t="s">
        <v>206</v>
      </c>
      <c r="C85" s="790"/>
      <c r="D85" s="790"/>
      <c r="E85" s="790"/>
      <c r="F85" s="791"/>
      <c r="G85" s="792">
        <f>+G64-H83</f>
        <v>1306469</v>
      </c>
      <c r="H85" s="791"/>
      <c r="J85" s="109">
        <f>C37+D37+E37+F37</f>
        <v>555314</v>
      </c>
      <c r="K85" s="16" t="s">
        <v>235</v>
      </c>
    </row>
    <row r="86" spans="2:13" x14ac:dyDescent="0.2">
      <c r="B86" s="110"/>
      <c r="F86" s="105"/>
      <c r="J86" s="109">
        <f>G37+H37+I37</f>
        <v>399606</v>
      </c>
      <c r="K86" s="16" t="s">
        <v>236</v>
      </c>
    </row>
    <row r="87" spans="2:13" x14ac:dyDescent="0.2">
      <c r="C87" s="793" t="s">
        <v>207</v>
      </c>
      <c r="D87" s="794"/>
      <c r="E87" s="111" t="s">
        <v>208</v>
      </c>
      <c r="F87" s="111" t="s">
        <v>209</v>
      </c>
      <c r="G87" s="111" t="s">
        <v>210</v>
      </c>
      <c r="H87" s="111" t="s">
        <v>211</v>
      </c>
      <c r="J87" s="109">
        <f>J37+K37+L37</f>
        <v>413126</v>
      </c>
      <c r="K87" s="47" t="s">
        <v>237</v>
      </c>
      <c r="L87" s="16">
        <f>+J87/3</f>
        <v>137708.66666666666</v>
      </c>
    </row>
    <row r="88" spans="2:13" x14ac:dyDescent="0.2">
      <c r="C88" s="795" t="str">
        <f>IF(I6="M","0          - 250000","0          -  250000")</f>
        <v>0          - 250000</v>
      </c>
      <c r="D88" s="796"/>
      <c r="E88" s="112">
        <v>0</v>
      </c>
      <c r="F88" s="113">
        <f>IF(I6="M",(IF(G85&lt;250000,G85,250000)),(IF(G85&lt;250000,G85,250000)))</f>
        <v>250000</v>
      </c>
      <c r="G88" s="113">
        <f>G85-F88</f>
        <v>1056469</v>
      </c>
      <c r="H88" s="113">
        <f>E88*F88</f>
        <v>0</v>
      </c>
      <c r="J88" s="16">
        <f>M37+N37</f>
        <v>266692</v>
      </c>
      <c r="K88" s="1" t="s">
        <v>238</v>
      </c>
      <c r="L88" s="16">
        <f>+J88/2</f>
        <v>133346</v>
      </c>
    </row>
    <row r="89" spans="2:13" x14ac:dyDescent="0.2">
      <c r="C89" s="795" t="str">
        <f>IF(I6="M","250001 - 500000","250001-500000")</f>
        <v>250001 - 500000</v>
      </c>
      <c r="D89" s="796"/>
      <c r="E89" s="112">
        <v>0.05</v>
      </c>
      <c r="F89" s="113">
        <f>IF(I6="M",(IF(G88&lt;250000,G88,250000)),(IF(G88&lt;250000,G88,250000)))</f>
        <v>250000</v>
      </c>
      <c r="G89" s="113">
        <f>G88-F89</f>
        <v>806469</v>
      </c>
      <c r="H89" s="114">
        <f>ROUND(E89*F89,0.1)</f>
        <v>12500</v>
      </c>
      <c r="J89" s="115">
        <f>SUM(J85:J88)</f>
        <v>1634738</v>
      </c>
    </row>
    <row r="90" spans="2:13" x14ac:dyDescent="0.2">
      <c r="C90" s="797" t="s">
        <v>212</v>
      </c>
      <c r="D90" s="798"/>
      <c r="E90" s="112">
        <v>0.2</v>
      </c>
      <c r="F90" s="113">
        <f>IF(G89&lt;500000,G89,500000)</f>
        <v>500000</v>
      </c>
      <c r="G90" s="113">
        <f>G89-F90</f>
        <v>306469</v>
      </c>
      <c r="H90" s="114">
        <f>ROUND(E90*F90,0.1)</f>
        <v>100000</v>
      </c>
      <c r="J90" s="16">
        <f>+G85</f>
        <v>1306469</v>
      </c>
    </row>
    <row r="91" spans="2:13" x14ac:dyDescent="0.2">
      <c r="C91" s="795" t="s">
        <v>213</v>
      </c>
      <c r="D91" s="796"/>
      <c r="E91" s="112">
        <v>0.3</v>
      </c>
      <c r="F91" s="113">
        <f>G90</f>
        <v>306469</v>
      </c>
      <c r="G91" s="113">
        <f>G90-F91</f>
        <v>0</v>
      </c>
      <c r="H91" s="114">
        <f>ROUND(E91*F91,0.1)</f>
        <v>91941</v>
      </c>
      <c r="J91" s="16">
        <f>+J89-J90</f>
        <v>328269</v>
      </c>
    </row>
    <row r="92" spans="2:13" ht="13.5" thickBot="1" x14ac:dyDescent="0.25">
      <c r="B92" s="116"/>
      <c r="C92" s="117"/>
      <c r="D92" s="47"/>
      <c r="E92" s="47"/>
      <c r="F92" s="47"/>
      <c r="K92" s="118"/>
    </row>
    <row r="93" spans="2:13" ht="13.5" thickBot="1" x14ac:dyDescent="0.25">
      <c r="B93" s="799" t="s">
        <v>239</v>
      </c>
      <c r="C93" s="800"/>
      <c r="D93" s="800"/>
      <c r="E93" s="800"/>
      <c r="F93" s="801"/>
      <c r="G93" s="771">
        <f>H88+H89+H90+H91</f>
        <v>204441</v>
      </c>
      <c r="H93" s="772"/>
    </row>
    <row r="94" spans="2:13" ht="13.5" thickBot="1" x14ac:dyDescent="0.25">
      <c r="B94" s="119" t="s">
        <v>215</v>
      </c>
      <c r="C94" s="120"/>
      <c r="D94" s="120"/>
      <c r="E94" s="120"/>
      <c r="F94" s="120"/>
      <c r="G94" s="884">
        <f>IF((G64&lt;500000),5000,0)</f>
        <v>0</v>
      </c>
      <c r="H94" s="885">
        <f>IF(H92&lt;200000,0,IF(H92&lt;220000,((H92-200000)*10%),IF(H92&lt;=500000,2000,IF(H92&gt;=500000,0))))</f>
        <v>0</v>
      </c>
      <c r="J94" s="1"/>
      <c r="K94" s="121">
        <f>G85-500000</f>
        <v>806469</v>
      </c>
      <c r="L94" s="121"/>
      <c r="M94" s="16">
        <f>K94*20%</f>
        <v>161293.80000000002</v>
      </c>
    </row>
    <row r="95" spans="2:13" ht="13.5" thickBot="1" x14ac:dyDescent="0.25">
      <c r="B95" s="122" t="s">
        <v>216</v>
      </c>
      <c r="C95" s="123"/>
      <c r="D95" s="123"/>
      <c r="E95" s="123"/>
      <c r="F95" s="123"/>
      <c r="G95" s="771">
        <f>IF((G93-G94)&lt;0,0,(G93-G94))</f>
        <v>204441</v>
      </c>
      <c r="H95" s="772"/>
      <c r="I95" s="37"/>
      <c r="J95" s="16" t="s">
        <v>740</v>
      </c>
      <c r="M95" s="16">
        <v>25000</v>
      </c>
    </row>
    <row r="96" spans="2:13" ht="13.5" thickBot="1" x14ac:dyDescent="0.25">
      <c r="B96" s="773" t="s">
        <v>240</v>
      </c>
      <c r="C96" s="774"/>
      <c r="D96" s="774"/>
      <c r="E96" s="774"/>
      <c r="F96" s="775"/>
      <c r="G96" s="776">
        <f>ROUND((IF(G95&gt;0,(G95*4%),0)),0)</f>
        <v>8178</v>
      </c>
      <c r="H96" s="777"/>
      <c r="I96" s="37"/>
      <c r="M96" s="105">
        <f>M94+M95</f>
        <v>186293.80000000002</v>
      </c>
    </row>
    <row r="97" spans="2:9" ht="13.5" thickBot="1" x14ac:dyDescent="0.25">
      <c r="B97" s="778" t="s">
        <v>218</v>
      </c>
      <c r="C97" s="779"/>
      <c r="D97" s="779"/>
      <c r="E97" s="779"/>
      <c r="F97" s="779"/>
      <c r="G97" s="780">
        <f>G95+G96</f>
        <v>212619</v>
      </c>
      <c r="H97" s="781"/>
      <c r="I97" s="121"/>
    </row>
    <row r="98" spans="2:9" ht="13.5" thickBot="1" x14ac:dyDescent="0.25">
      <c r="B98" s="765" t="s">
        <v>219</v>
      </c>
      <c r="C98" s="766"/>
      <c r="D98" s="766"/>
      <c r="E98" s="766"/>
      <c r="F98" s="766"/>
      <c r="G98" s="767">
        <f>O38</f>
        <v>212625</v>
      </c>
      <c r="H98" s="768"/>
      <c r="I98" s="121"/>
    </row>
    <row r="99" spans="2:9" ht="13.5" thickBot="1" x14ac:dyDescent="0.25">
      <c r="B99" s="765" t="str">
        <f>IF(G99&gt;0,"TAX PAYABLE","TAX REFUND")</f>
        <v>TAX REFUND</v>
      </c>
      <c r="C99" s="766"/>
      <c r="D99" s="766"/>
      <c r="E99" s="766"/>
      <c r="F99" s="766"/>
      <c r="G99" s="767">
        <f>+G97-G98</f>
        <v>-6</v>
      </c>
      <c r="H99" s="768"/>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c r="I106" s="121"/>
    </row>
    <row r="107" spans="2:9" x14ac:dyDescent="0.2">
      <c r="C107" s="39"/>
      <c r="D107" s="39"/>
      <c r="E107" s="39"/>
      <c r="F107" s="39"/>
      <c r="G107" s="39"/>
      <c r="H107" s="39"/>
    </row>
  </sheetData>
  <mergeCells count="92">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8:A48"/>
    <mergeCell ref="A5:C5"/>
    <mergeCell ref="D5:F5"/>
    <mergeCell ref="G5:H5"/>
    <mergeCell ref="I5:O5"/>
    <mergeCell ref="A6:C6"/>
    <mergeCell ref="D6:F6"/>
    <mergeCell ref="G6:H6"/>
    <mergeCell ref="J6:O6"/>
    <mergeCell ref="L7:O7"/>
    <mergeCell ref="A8:B8"/>
    <mergeCell ref="A21:A33"/>
    <mergeCell ref="A35:B35"/>
    <mergeCell ref="A36:B36"/>
    <mergeCell ref="A49:B49"/>
    <mergeCell ref="A50:B50"/>
    <mergeCell ref="B53:F53"/>
    <mergeCell ref="G53:H53"/>
    <mergeCell ref="B55:B57"/>
    <mergeCell ref="C55:C57"/>
    <mergeCell ref="D55:F55"/>
    <mergeCell ref="G55:H55"/>
    <mergeCell ref="D56:F56"/>
    <mergeCell ref="G56:H56"/>
    <mergeCell ref="B64:F64"/>
    <mergeCell ref="G64:H64"/>
    <mergeCell ref="J56:L56"/>
    <mergeCell ref="M56:O56"/>
    <mergeCell ref="D57:F57"/>
    <mergeCell ref="G57:H57"/>
    <mergeCell ref="B59:F59"/>
    <mergeCell ref="G59:H59"/>
    <mergeCell ref="J59:O59"/>
    <mergeCell ref="B61:F61"/>
    <mergeCell ref="G61:H61"/>
    <mergeCell ref="C62:F62"/>
    <mergeCell ref="G62:H62"/>
    <mergeCell ref="J62:O62"/>
    <mergeCell ref="D80:F80"/>
    <mergeCell ref="J67:K67"/>
    <mergeCell ref="B68:B82"/>
    <mergeCell ref="C68:C74"/>
    <mergeCell ref="D68:F68"/>
    <mergeCell ref="D69:F69"/>
    <mergeCell ref="D70:F70"/>
    <mergeCell ref="D71:F71"/>
    <mergeCell ref="D72:F72"/>
    <mergeCell ref="D73:F73"/>
    <mergeCell ref="D74:F74"/>
    <mergeCell ref="D75:F75"/>
    <mergeCell ref="D76:F76"/>
    <mergeCell ref="E77:F77"/>
    <mergeCell ref="D78:F78"/>
    <mergeCell ref="D79:F79"/>
    <mergeCell ref="G93:H93"/>
    <mergeCell ref="D81:F81"/>
    <mergeCell ref="D82:F82"/>
    <mergeCell ref="B83:F83"/>
    <mergeCell ref="B85:F85"/>
    <mergeCell ref="G85:H85"/>
    <mergeCell ref="C87:D87"/>
    <mergeCell ref="C88:D88"/>
    <mergeCell ref="C89:D89"/>
    <mergeCell ref="C90:D90"/>
    <mergeCell ref="C91:D91"/>
    <mergeCell ref="B93:F93"/>
    <mergeCell ref="B98:F98"/>
    <mergeCell ref="G98:H98"/>
    <mergeCell ref="B99:F99"/>
    <mergeCell ref="G99:H99"/>
    <mergeCell ref="G94:H94"/>
    <mergeCell ref="G95:H95"/>
    <mergeCell ref="B96:F96"/>
    <mergeCell ref="G96:H96"/>
    <mergeCell ref="B97:F97"/>
    <mergeCell ref="G97:H97"/>
  </mergeCells>
  <conditionalFormatting sqref="B99:F99 B93:F97">
    <cfRule type="cellIs" dxfId="1931" priority="5" stopIfTrue="1" operator="equal">
      <formula>"TAX PAYABLE"</formula>
    </cfRule>
    <cfRule type="cellIs" dxfId="1930" priority="6" stopIfTrue="1" operator="equal">
      <formula>"TAX REFUND"</formula>
    </cfRule>
  </conditionalFormatting>
  <conditionalFormatting sqref="G99:H99">
    <cfRule type="cellIs" dxfId="1929" priority="3" stopIfTrue="1" operator="greaterThan">
      <formula>0</formula>
    </cfRule>
    <cfRule type="cellIs" dxfId="1928" priority="4" stopIfTrue="1" operator="lessThanOrEqual">
      <formula>0</formula>
    </cfRule>
  </conditionalFormatting>
  <conditionalFormatting sqref="G94:H94">
    <cfRule type="cellIs" dxfId="1927" priority="1" stopIfTrue="1" operator="lessThan">
      <formula>0</formula>
    </cfRule>
    <cfRule type="cellIs" dxfId="1926" priority="2" stopIfTrue="1" operator="greaterThan">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$Q$8:$Q$9</formula1>
    </dataValidation>
  </dataValidations>
  <pageMargins left="0.7" right="0.7" top="0.75" bottom="0.75" header="0.3" footer="0.3"/>
  <pageSetup paperSize="5" orientation="landscape" horizontalDpi="300" verticalDpi="300" r:id="rId1"/>
  <headerFooter alignWithMargins="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7"/>
  <sheetViews>
    <sheetView topLeftCell="A58" workbookViewId="0">
      <selection activeCell="L81" sqref="L81"/>
    </sheetView>
  </sheetViews>
  <sheetFormatPr defaultRowHeight="12.75" x14ac:dyDescent="0.2"/>
  <cols>
    <col min="1" max="1" width="5" style="16" customWidth="1"/>
    <col min="2" max="2" width="18.5703125" style="37" customWidth="1"/>
    <col min="3" max="3" width="8.140625" style="16" customWidth="1"/>
    <col min="4" max="4" width="7.5703125" style="16" customWidth="1"/>
    <col min="5" max="5" width="8.5703125" style="16" bestFit="1" customWidth="1"/>
    <col min="6" max="6" width="8.140625" style="16" customWidth="1"/>
    <col min="7" max="7" width="8.85546875" style="16" customWidth="1"/>
    <col min="8" max="8" width="8.140625" style="16" customWidth="1"/>
    <col min="9" max="9" width="7.140625" style="16" bestFit="1" customWidth="1"/>
    <col min="10" max="10" width="9.5703125" style="16" customWidth="1"/>
    <col min="11" max="14" width="7.7109375" style="16" customWidth="1"/>
    <col min="15" max="15" width="8"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8.5703125" style="16" customWidth="1"/>
    <col min="259" max="259" width="8.140625" style="16" customWidth="1"/>
    <col min="260" max="260" width="7.5703125" style="16" customWidth="1"/>
    <col min="261" max="261" width="8.5703125" style="16" bestFit="1" customWidth="1"/>
    <col min="262" max="262" width="8.140625" style="16" customWidth="1"/>
    <col min="263" max="263" width="8.85546875" style="16" customWidth="1"/>
    <col min="264" max="264" width="8.140625" style="16" customWidth="1"/>
    <col min="265" max="265" width="7.140625" style="16" bestFit="1" customWidth="1"/>
    <col min="266" max="266" width="9.5703125" style="16" customWidth="1"/>
    <col min="267" max="270" width="7.7109375" style="16" customWidth="1"/>
    <col min="271" max="271" width="8"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8.5703125" style="16" customWidth="1"/>
    <col min="515" max="515" width="8.140625" style="16" customWidth="1"/>
    <col min="516" max="516" width="7.5703125" style="16" customWidth="1"/>
    <col min="517" max="517" width="8.5703125" style="16" bestFit="1" customWidth="1"/>
    <col min="518" max="518" width="8.140625" style="16" customWidth="1"/>
    <col min="519" max="519" width="8.85546875" style="16" customWidth="1"/>
    <col min="520" max="520" width="8.140625" style="16" customWidth="1"/>
    <col min="521" max="521" width="7.140625" style="16" bestFit="1" customWidth="1"/>
    <col min="522" max="522" width="9.5703125" style="16" customWidth="1"/>
    <col min="523" max="526" width="7.7109375" style="16" customWidth="1"/>
    <col min="527" max="527" width="8"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8.5703125" style="16" customWidth="1"/>
    <col min="771" max="771" width="8.140625" style="16" customWidth="1"/>
    <col min="772" max="772" width="7.5703125" style="16" customWidth="1"/>
    <col min="773" max="773" width="8.5703125" style="16" bestFit="1" customWidth="1"/>
    <col min="774" max="774" width="8.140625" style="16" customWidth="1"/>
    <col min="775" max="775" width="8.85546875" style="16" customWidth="1"/>
    <col min="776" max="776" width="8.140625" style="16" customWidth="1"/>
    <col min="777" max="777" width="7.140625" style="16" bestFit="1" customWidth="1"/>
    <col min="778" max="778" width="9.5703125" style="16" customWidth="1"/>
    <col min="779" max="782" width="7.7109375" style="16" customWidth="1"/>
    <col min="783" max="783" width="8"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8.5703125" style="16" customWidth="1"/>
    <col min="1027" max="1027" width="8.140625" style="16" customWidth="1"/>
    <col min="1028" max="1028" width="7.5703125" style="16" customWidth="1"/>
    <col min="1029" max="1029" width="8.5703125" style="16" bestFit="1" customWidth="1"/>
    <col min="1030" max="1030" width="8.140625" style="16" customWidth="1"/>
    <col min="1031" max="1031" width="8.85546875" style="16" customWidth="1"/>
    <col min="1032" max="1032" width="8.140625" style="16" customWidth="1"/>
    <col min="1033" max="1033" width="7.140625" style="16" bestFit="1" customWidth="1"/>
    <col min="1034" max="1034" width="9.5703125" style="16" customWidth="1"/>
    <col min="1035" max="1038" width="7.7109375" style="16" customWidth="1"/>
    <col min="1039" max="1039" width="8"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8.5703125" style="16" customWidth="1"/>
    <col min="1283" max="1283" width="8.140625" style="16" customWidth="1"/>
    <col min="1284" max="1284" width="7.5703125" style="16" customWidth="1"/>
    <col min="1285" max="1285" width="8.5703125" style="16" bestFit="1" customWidth="1"/>
    <col min="1286" max="1286" width="8.140625" style="16" customWidth="1"/>
    <col min="1287" max="1287" width="8.85546875" style="16" customWidth="1"/>
    <col min="1288" max="1288" width="8.140625" style="16" customWidth="1"/>
    <col min="1289" max="1289" width="7.140625" style="16" bestFit="1" customWidth="1"/>
    <col min="1290" max="1290" width="9.5703125" style="16" customWidth="1"/>
    <col min="1291" max="1294" width="7.7109375" style="16" customWidth="1"/>
    <col min="1295" max="1295" width="8"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8.5703125" style="16" customWidth="1"/>
    <col min="1539" max="1539" width="8.140625" style="16" customWidth="1"/>
    <col min="1540" max="1540" width="7.5703125" style="16" customWidth="1"/>
    <col min="1541" max="1541" width="8.5703125" style="16" bestFit="1" customWidth="1"/>
    <col min="1542" max="1542" width="8.140625" style="16" customWidth="1"/>
    <col min="1543" max="1543" width="8.85546875" style="16" customWidth="1"/>
    <col min="1544" max="1544" width="8.140625" style="16" customWidth="1"/>
    <col min="1545" max="1545" width="7.140625" style="16" bestFit="1" customWidth="1"/>
    <col min="1546" max="1546" width="9.5703125" style="16" customWidth="1"/>
    <col min="1547" max="1550" width="7.7109375" style="16" customWidth="1"/>
    <col min="1551" max="1551" width="8"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8.5703125" style="16" customWidth="1"/>
    <col min="1795" max="1795" width="8.140625" style="16" customWidth="1"/>
    <col min="1796" max="1796" width="7.5703125" style="16" customWidth="1"/>
    <col min="1797" max="1797" width="8.5703125" style="16" bestFit="1" customWidth="1"/>
    <col min="1798" max="1798" width="8.140625" style="16" customWidth="1"/>
    <col min="1799" max="1799" width="8.85546875" style="16" customWidth="1"/>
    <col min="1800" max="1800" width="8.140625" style="16" customWidth="1"/>
    <col min="1801" max="1801" width="7.140625" style="16" bestFit="1" customWidth="1"/>
    <col min="1802" max="1802" width="9.5703125" style="16" customWidth="1"/>
    <col min="1803" max="1806" width="7.7109375" style="16" customWidth="1"/>
    <col min="1807" max="1807" width="8"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8.5703125" style="16" customWidth="1"/>
    <col min="2051" max="2051" width="8.140625" style="16" customWidth="1"/>
    <col min="2052" max="2052" width="7.5703125" style="16" customWidth="1"/>
    <col min="2053" max="2053" width="8.5703125" style="16" bestFit="1" customWidth="1"/>
    <col min="2054" max="2054" width="8.140625" style="16" customWidth="1"/>
    <col min="2055" max="2055" width="8.85546875" style="16" customWidth="1"/>
    <col min="2056" max="2056" width="8.140625" style="16" customWidth="1"/>
    <col min="2057" max="2057" width="7.140625" style="16" bestFit="1" customWidth="1"/>
    <col min="2058" max="2058" width="9.5703125" style="16" customWidth="1"/>
    <col min="2059" max="2062" width="7.7109375" style="16" customWidth="1"/>
    <col min="2063" max="2063" width="8"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8.5703125" style="16" customWidth="1"/>
    <col min="2307" max="2307" width="8.140625" style="16" customWidth="1"/>
    <col min="2308" max="2308" width="7.5703125" style="16" customWidth="1"/>
    <col min="2309" max="2309" width="8.5703125" style="16" bestFit="1" customWidth="1"/>
    <col min="2310" max="2310" width="8.140625" style="16" customWidth="1"/>
    <col min="2311" max="2311" width="8.85546875" style="16" customWidth="1"/>
    <col min="2312" max="2312" width="8.140625" style="16" customWidth="1"/>
    <col min="2313" max="2313" width="7.140625" style="16" bestFit="1" customWidth="1"/>
    <col min="2314" max="2314" width="9.5703125" style="16" customWidth="1"/>
    <col min="2315" max="2318" width="7.7109375" style="16" customWidth="1"/>
    <col min="2319" max="2319" width="8"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8.5703125" style="16" customWidth="1"/>
    <col min="2563" max="2563" width="8.140625" style="16" customWidth="1"/>
    <col min="2564" max="2564" width="7.5703125" style="16" customWidth="1"/>
    <col min="2565" max="2565" width="8.5703125" style="16" bestFit="1" customWidth="1"/>
    <col min="2566" max="2566" width="8.140625" style="16" customWidth="1"/>
    <col min="2567" max="2567" width="8.85546875" style="16" customWidth="1"/>
    <col min="2568" max="2568" width="8.140625" style="16" customWidth="1"/>
    <col min="2569" max="2569" width="7.140625" style="16" bestFit="1" customWidth="1"/>
    <col min="2570" max="2570" width="9.5703125" style="16" customWidth="1"/>
    <col min="2571" max="2574" width="7.7109375" style="16" customWidth="1"/>
    <col min="2575" max="2575" width="8"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8.5703125" style="16" customWidth="1"/>
    <col min="2819" max="2819" width="8.140625" style="16" customWidth="1"/>
    <col min="2820" max="2820" width="7.5703125" style="16" customWidth="1"/>
    <col min="2821" max="2821" width="8.5703125" style="16" bestFit="1" customWidth="1"/>
    <col min="2822" max="2822" width="8.140625" style="16" customWidth="1"/>
    <col min="2823" max="2823" width="8.85546875" style="16" customWidth="1"/>
    <col min="2824" max="2824" width="8.140625" style="16" customWidth="1"/>
    <col min="2825" max="2825" width="7.140625" style="16" bestFit="1" customWidth="1"/>
    <col min="2826" max="2826" width="9.5703125" style="16" customWidth="1"/>
    <col min="2827" max="2830" width="7.7109375" style="16" customWidth="1"/>
    <col min="2831" max="2831" width="8"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8.5703125" style="16" customWidth="1"/>
    <col min="3075" max="3075" width="8.140625" style="16" customWidth="1"/>
    <col min="3076" max="3076" width="7.5703125" style="16" customWidth="1"/>
    <col min="3077" max="3077" width="8.5703125" style="16" bestFit="1" customWidth="1"/>
    <col min="3078" max="3078" width="8.140625" style="16" customWidth="1"/>
    <col min="3079" max="3079" width="8.85546875" style="16" customWidth="1"/>
    <col min="3080" max="3080" width="8.140625" style="16" customWidth="1"/>
    <col min="3081" max="3081" width="7.140625" style="16" bestFit="1" customWidth="1"/>
    <col min="3082" max="3082" width="9.5703125" style="16" customWidth="1"/>
    <col min="3083" max="3086" width="7.7109375" style="16" customWidth="1"/>
    <col min="3087" max="3087" width="8"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8.5703125" style="16" customWidth="1"/>
    <col min="3331" max="3331" width="8.140625" style="16" customWidth="1"/>
    <col min="3332" max="3332" width="7.5703125" style="16" customWidth="1"/>
    <col min="3333" max="3333" width="8.5703125" style="16" bestFit="1" customWidth="1"/>
    <col min="3334" max="3334" width="8.140625" style="16" customWidth="1"/>
    <col min="3335" max="3335" width="8.85546875" style="16" customWidth="1"/>
    <col min="3336" max="3336" width="8.140625" style="16" customWidth="1"/>
    <col min="3337" max="3337" width="7.140625" style="16" bestFit="1" customWidth="1"/>
    <col min="3338" max="3338" width="9.5703125" style="16" customWidth="1"/>
    <col min="3339" max="3342" width="7.7109375" style="16" customWidth="1"/>
    <col min="3343" max="3343" width="8"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8.5703125" style="16" customWidth="1"/>
    <col min="3587" max="3587" width="8.140625" style="16" customWidth="1"/>
    <col min="3588" max="3588" width="7.5703125" style="16" customWidth="1"/>
    <col min="3589" max="3589" width="8.5703125" style="16" bestFit="1" customWidth="1"/>
    <col min="3590" max="3590" width="8.140625" style="16" customWidth="1"/>
    <col min="3591" max="3591" width="8.85546875" style="16" customWidth="1"/>
    <col min="3592" max="3592" width="8.140625" style="16" customWidth="1"/>
    <col min="3593" max="3593" width="7.140625" style="16" bestFit="1" customWidth="1"/>
    <col min="3594" max="3594" width="9.5703125" style="16" customWidth="1"/>
    <col min="3595" max="3598" width="7.7109375" style="16" customWidth="1"/>
    <col min="3599" max="3599" width="8"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8.5703125" style="16" customWidth="1"/>
    <col min="3843" max="3843" width="8.140625" style="16" customWidth="1"/>
    <col min="3844" max="3844" width="7.5703125" style="16" customWidth="1"/>
    <col min="3845" max="3845" width="8.5703125" style="16" bestFit="1" customWidth="1"/>
    <col min="3846" max="3846" width="8.140625" style="16" customWidth="1"/>
    <col min="3847" max="3847" width="8.85546875" style="16" customWidth="1"/>
    <col min="3848" max="3848" width="8.140625" style="16" customWidth="1"/>
    <col min="3849" max="3849" width="7.140625" style="16" bestFit="1" customWidth="1"/>
    <col min="3850" max="3850" width="9.5703125" style="16" customWidth="1"/>
    <col min="3851" max="3854" width="7.7109375" style="16" customWidth="1"/>
    <col min="3855" max="3855" width="8"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8.5703125" style="16" customWidth="1"/>
    <col min="4099" max="4099" width="8.140625" style="16" customWidth="1"/>
    <col min="4100" max="4100" width="7.5703125" style="16" customWidth="1"/>
    <col min="4101" max="4101" width="8.5703125" style="16" bestFit="1" customWidth="1"/>
    <col min="4102" max="4102" width="8.140625" style="16" customWidth="1"/>
    <col min="4103" max="4103" width="8.85546875" style="16" customWidth="1"/>
    <col min="4104" max="4104" width="8.140625" style="16" customWidth="1"/>
    <col min="4105" max="4105" width="7.140625" style="16" bestFit="1" customWidth="1"/>
    <col min="4106" max="4106" width="9.5703125" style="16" customWidth="1"/>
    <col min="4107" max="4110" width="7.7109375" style="16" customWidth="1"/>
    <col min="4111" max="4111" width="8"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8.5703125" style="16" customWidth="1"/>
    <col min="4355" max="4355" width="8.140625" style="16" customWidth="1"/>
    <col min="4356" max="4356" width="7.5703125" style="16" customWidth="1"/>
    <col min="4357" max="4357" width="8.5703125" style="16" bestFit="1" customWidth="1"/>
    <col min="4358" max="4358" width="8.140625" style="16" customWidth="1"/>
    <col min="4359" max="4359" width="8.85546875" style="16" customWidth="1"/>
    <col min="4360" max="4360" width="8.140625" style="16" customWidth="1"/>
    <col min="4361" max="4361" width="7.140625" style="16" bestFit="1" customWidth="1"/>
    <col min="4362" max="4362" width="9.5703125" style="16" customWidth="1"/>
    <col min="4363" max="4366" width="7.7109375" style="16" customWidth="1"/>
    <col min="4367" max="4367" width="8"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8.5703125" style="16" customWidth="1"/>
    <col min="4611" max="4611" width="8.140625" style="16" customWidth="1"/>
    <col min="4612" max="4612" width="7.5703125" style="16" customWidth="1"/>
    <col min="4613" max="4613" width="8.5703125" style="16" bestFit="1" customWidth="1"/>
    <col min="4614" max="4614" width="8.140625" style="16" customWidth="1"/>
    <col min="4615" max="4615" width="8.85546875" style="16" customWidth="1"/>
    <col min="4616" max="4616" width="8.140625" style="16" customWidth="1"/>
    <col min="4617" max="4617" width="7.140625" style="16" bestFit="1" customWidth="1"/>
    <col min="4618" max="4618" width="9.5703125" style="16" customWidth="1"/>
    <col min="4619" max="4622" width="7.7109375" style="16" customWidth="1"/>
    <col min="4623" max="4623" width="8"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8.5703125" style="16" customWidth="1"/>
    <col min="4867" max="4867" width="8.140625" style="16" customWidth="1"/>
    <col min="4868" max="4868" width="7.5703125" style="16" customWidth="1"/>
    <col min="4869" max="4869" width="8.5703125" style="16" bestFit="1" customWidth="1"/>
    <col min="4870" max="4870" width="8.140625" style="16" customWidth="1"/>
    <col min="4871" max="4871" width="8.85546875" style="16" customWidth="1"/>
    <col min="4872" max="4872" width="8.140625" style="16" customWidth="1"/>
    <col min="4873" max="4873" width="7.140625" style="16" bestFit="1" customWidth="1"/>
    <col min="4874" max="4874" width="9.5703125" style="16" customWidth="1"/>
    <col min="4875" max="4878" width="7.7109375" style="16" customWidth="1"/>
    <col min="4879" max="4879" width="8"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8.5703125" style="16" customWidth="1"/>
    <col min="5123" max="5123" width="8.140625" style="16" customWidth="1"/>
    <col min="5124" max="5124" width="7.5703125" style="16" customWidth="1"/>
    <col min="5125" max="5125" width="8.5703125" style="16" bestFit="1" customWidth="1"/>
    <col min="5126" max="5126" width="8.140625" style="16" customWidth="1"/>
    <col min="5127" max="5127" width="8.85546875" style="16" customWidth="1"/>
    <col min="5128" max="5128" width="8.140625" style="16" customWidth="1"/>
    <col min="5129" max="5129" width="7.140625" style="16" bestFit="1" customWidth="1"/>
    <col min="5130" max="5130" width="9.5703125" style="16" customWidth="1"/>
    <col min="5131" max="5134" width="7.7109375" style="16" customWidth="1"/>
    <col min="5135" max="5135" width="8"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8.5703125" style="16" customWidth="1"/>
    <col min="5379" max="5379" width="8.140625" style="16" customWidth="1"/>
    <col min="5380" max="5380" width="7.5703125" style="16" customWidth="1"/>
    <col min="5381" max="5381" width="8.5703125" style="16" bestFit="1" customWidth="1"/>
    <col min="5382" max="5382" width="8.140625" style="16" customWidth="1"/>
    <col min="5383" max="5383" width="8.85546875" style="16" customWidth="1"/>
    <col min="5384" max="5384" width="8.140625" style="16" customWidth="1"/>
    <col min="5385" max="5385" width="7.140625" style="16" bestFit="1" customWidth="1"/>
    <col min="5386" max="5386" width="9.5703125" style="16" customWidth="1"/>
    <col min="5387" max="5390" width="7.7109375" style="16" customWidth="1"/>
    <col min="5391" max="5391" width="8"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8.5703125" style="16" customWidth="1"/>
    <col min="5635" max="5635" width="8.140625" style="16" customWidth="1"/>
    <col min="5636" max="5636" width="7.5703125" style="16" customWidth="1"/>
    <col min="5637" max="5637" width="8.5703125" style="16" bestFit="1" customWidth="1"/>
    <col min="5638" max="5638" width="8.140625" style="16" customWidth="1"/>
    <col min="5639" max="5639" width="8.85546875" style="16" customWidth="1"/>
    <col min="5640" max="5640" width="8.140625" style="16" customWidth="1"/>
    <col min="5641" max="5641" width="7.140625" style="16" bestFit="1" customWidth="1"/>
    <col min="5642" max="5642" width="9.5703125" style="16" customWidth="1"/>
    <col min="5643" max="5646" width="7.7109375" style="16" customWidth="1"/>
    <col min="5647" max="5647" width="8"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8.5703125" style="16" customWidth="1"/>
    <col min="5891" max="5891" width="8.140625" style="16" customWidth="1"/>
    <col min="5892" max="5892" width="7.5703125" style="16" customWidth="1"/>
    <col min="5893" max="5893" width="8.5703125" style="16" bestFit="1" customWidth="1"/>
    <col min="5894" max="5894" width="8.140625" style="16" customWidth="1"/>
    <col min="5895" max="5895" width="8.85546875" style="16" customWidth="1"/>
    <col min="5896" max="5896" width="8.140625" style="16" customWidth="1"/>
    <col min="5897" max="5897" width="7.140625" style="16" bestFit="1" customWidth="1"/>
    <col min="5898" max="5898" width="9.5703125" style="16" customWidth="1"/>
    <col min="5899" max="5902" width="7.7109375" style="16" customWidth="1"/>
    <col min="5903" max="5903" width="8"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8.5703125" style="16" customWidth="1"/>
    <col min="6147" max="6147" width="8.140625" style="16" customWidth="1"/>
    <col min="6148" max="6148" width="7.5703125" style="16" customWidth="1"/>
    <col min="6149" max="6149" width="8.5703125" style="16" bestFit="1" customWidth="1"/>
    <col min="6150" max="6150" width="8.140625" style="16" customWidth="1"/>
    <col min="6151" max="6151" width="8.85546875" style="16" customWidth="1"/>
    <col min="6152" max="6152" width="8.140625" style="16" customWidth="1"/>
    <col min="6153" max="6153" width="7.140625" style="16" bestFit="1" customWidth="1"/>
    <col min="6154" max="6154" width="9.5703125" style="16" customWidth="1"/>
    <col min="6155" max="6158" width="7.7109375" style="16" customWidth="1"/>
    <col min="6159" max="6159" width="8"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8.5703125" style="16" customWidth="1"/>
    <col min="6403" max="6403" width="8.140625" style="16" customWidth="1"/>
    <col min="6404" max="6404" width="7.5703125" style="16" customWidth="1"/>
    <col min="6405" max="6405" width="8.5703125" style="16" bestFit="1" customWidth="1"/>
    <col min="6406" max="6406" width="8.140625" style="16" customWidth="1"/>
    <col min="6407" max="6407" width="8.85546875" style="16" customWidth="1"/>
    <col min="6408" max="6408" width="8.140625" style="16" customWidth="1"/>
    <col min="6409" max="6409" width="7.140625" style="16" bestFit="1" customWidth="1"/>
    <col min="6410" max="6410" width="9.5703125" style="16" customWidth="1"/>
    <col min="6411" max="6414" width="7.7109375" style="16" customWidth="1"/>
    <col min="6415" max="6415" width="8"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8.5703125" style="16" customWidth="1"/>
    <col min="6659" max="6659" width="8.140625" style="16" customWidth="1"/>
    <col min="6660" max="6660" width="7.5703125" style="16" customWidth="1"/>
    <col min="6661" max="6661" width="8.5703125" style="16" bestFit="1" customWidth="1"/>
    <col min="6662" max="6662" width="8.140625" style="16" customWidth="1"/>
    <col min="6663" max="6663" width="8.85546875" style="16" customWidth="1"/>
    <col min="6664" max="6664" width="8.140625" style="16" customWidth="1"/>
    <col min="6665" max="6665" width="7.140625" style="16" bestFit="1" customWidth="1"/>
    <col min="6666" max="6666" width="9.5703125" style="16" customWidth="1"/>
    <col min="6667" max="6670" width="7.7109375" style="16" customWidth="1"/>
    <col min="6671" max="6671" width="8"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8.5703125" style="16" customWidth="1"/>
    <col min="6915" max="6915" width="8.140625" style="16" customWidth="1"/>
    <col min="6916" max="6916" width="7.5703125" style="16" customWidth="1"/>
    <col min="6917" max="6917" width="8.5703125" style="16" bestFit="1" customWidth="1"/>
    <col min="6918" max="6918" width="8.140625" style="16" customWidth="1"/>
    <col min="6919" max="6919" width="8.85546875" style="16" customWidth="1"/>
    <col min="6920" max="6920" width="8.140625" style="16" customWidth="1"/>
    <col min="6921" max="6921" width="7.140625" style="16" bestFit="1" customWidth="1"/>
    <col min="6922" max="6922" width="9.5703125" style="16" customWidth="1"/>
    <col min="6923" max="6926" width="7.7109375" style="16" customWidth="1"/>
    <col min="6927" max="6927" width="8"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8.5703125" style="16" customWidth="1"/>
    <col min="7171" max="7171" width="8.140625" style="16" customWidth="1"/>
    <col min="7172" max="7172" width="7.5703125" style="16" customWidth="1"/>
    <col min="7173" max="7173" width="8.5703125" style="16" bestFit="1" customWidth="1"/>
    <col min="7174" max="7174" width="8.140625" style="16" customWidth="1"/>
    <col min="7175" max="7175" width="8.85546875" style="16" customWidth="1"/>
    <col min="7176" max="7176" width="8.140625" style="16" customWidth="1"/>
    <col min="7177" max="7177" width="7.140625" style="16" bestFit="1" customWidth="1"/>
    <col min="7178" max="7178" width="9.5703125" style="16" customWidth="1"/>
    <col min="7179" max="7182" width="7.7109375" style="16" customWidth="1"/>
    <col min="7183" max="7183" width="8"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8.5703125" style="16" customWidth="1"/>
    <col min="7427" max="7427" width="8.140625" style="16" customWidth="1"/>
    <col min="7428" max="7428" width="7.5703125" style="16" customWidth="1"/>
    <col min="7429" max="7429" width="8.5703125" style="16" bestFit="1" customWidth="1"/>
    <col min="7430" max="7430" width="8.140625" style="16" customWidth="1"/>
    <col min="7431" max="7431" width="8.85546875" style="16" customWidth="1"/>
    <col min="7432" max="7432" width="8.140625" style="16" customWidth="1"/>
    <col min="7433" max="7433" width="7.140625" style="16" bestFit="1" customWidth="1"/>
    <col min="7434" max="7434" width="9.5703125" style="16" customWidth="1"/>
    <col min="7435" max="7438" width="7.7109375" style="16" customWidth="1"/>
    <col min="7439" max="7439" width="8"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8.5703125" style="16" customWidth="1"/>
    <col min="7683" max="7683" width="8.140625" style="16" customWidth="1"/>
    <col min="7684" max="7684" width="7.5703125" style="16" customWidth="1"/>
    <col min="7685" max="7685" width="8.5703125" style="16" bestFit="1" customWidth="1"/>
    <col min="7686" max="7686" width="8.140625" style="16" customWidth="1"/>
    <col min="7687" max="7687" width="8.85546875" style="16" customWidth="1"/>
    <col min="7688" max="7688" width="8.140625" style="16" customWidth="1"/>
    <col min="7689" max="7689" width="7.140625" style="16" bestFit="1" customWidth="1"/>
    <col min="7690" max="7690" width="9.5703125" style="16" customWidth="1"/>
    <col min="7691" max="7694" width="7.7109375" style="16" customWidth="1"/>
    <col min="7695" max="7695" width="8"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8.5703125" style="16" customWidth="1"/>
    <col min="7939" max="7939" width="8.140625" style="16" customWidth="1"/>
    <col min="7940" max="7940" width="7.5703125" style="16" customWidth="1"/>
    <col min="7941" max="7941" width="8.5703125" style="16" bestFit="1" customWidth="1"/>
    <col min="7942" max="7942" width="8.140625" style="16" customWidth="1"/>
    <col min="7943" max="7943" width="8.85546875" style="16" customWidth="1"/>
    <col min="7944" max="7944" width="8.140625" style="16" customWidth="1"/>
    <col min="7945" max="7945" width="7.140625" style="16" bestFit="1" customWidth="1"/>
    <col min="7946" max="7946" width="9.5703125" style="16" customWidth="1"/>
    <col min="7947" max="7950" width="7.7109375" style="16" customWidth="1"/>
    <col min="7951" max="7951" width="8"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8.5703125" style="16" customWidth="1"/>
    <col min="8195" max="8195" width="8.140625" style="16" customWidth="1"/>
    <col min="8196" max="8196" width="7.5703125" style="16" customWidth="1"/>
    <col min="8197" max="8197" width="8.5703125" style="16" bestFit="1" customWidth="1"/>
    <col min="8198" max="8198" width="8.140625" style="16" customWidth="1"/>
    <col min="8199" max="8199" width="8.85546875" style="16" customWidth="1"/>
    <col min="8200" max="8200" width="8.140625" style="16" customWidth="1"/>
    <col min="8201" max="8201" width="7.140625" style="16" bestFit="1" customWidth="1"/>
    <col min="8202" max="8202" width="9.5703125" style="16" customWidth="1"/>
    <col min="8203" max="8206" width="7.7109375" style="16" customWidth="1"/>
    <col min="8207" max="8207" width="8"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8.5703125" style="16" customWidth="1"/>
    <col min="8451" max="8451" width="8.140625" style="16" customWidth="1"/>
    <col min="8452" max="8452" width="7.5703125" style="16" customWidth="1"/>
    <col min="8453" max="8453" width="8.5703125" style="16" bestFit="1" customWidth="1"/>
    <col min="8454" max="8454" width="8.140625" style="16" customWidth="1"/>
    <col min="8455" max="8455" width="8.85546875" style="16" customWidth="1"/>
    <col min="8456" max="8456" width="8.140625" style="16" customWidth="1"/>
    <col min="8457" max="8457" width="7.140625" style="16" bestFit="1" customWidth="1"/>
    <col min="8458" max="8458" width="9.5703125" style="16" customWidth="1"/>
    <col min="8459" max="8462" width="7.7109375" style="16" customWidth="1"/>
    <col min="8463" max="8463" width="8"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8.5703125" style="16" customWidth="1"/>
    <col min="8707" max="8707" width="8.140625" style="16" customWidth="1"/>
    <col min="8708" max="8708" width="7.5703125" style="16" customWidth="1"/>
    <col min="8709" max="8709" width="8.5703125" style="16" bestFit="1" customWidth="1"/>
    <col min="8710" max="8710" width="8.140625" style="16" customWidth="1"/>
    <col min="8711" max="8711" width="8.85546875" style="16" customWidth="1"/>
    <col min="8712" max="8712" width="8.140625" style="16" customWidth="1"/>
    <col min="8713" max="8713" width="7.140625" style="16" bestFit="1" customWidth="1"/>
    <col min="8714" max="8714" width="9.5703125" style="16" customWidth="1"/>
    <col min="8715" max="8718" width="7.7109375" style="16" customWidth="1"/>
    <col min="8719" max="8719" width="8"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8.5703125" style="16" customWidth="1"/>
    <col min="8963" max="8963" width="8.140625" style="16" customWidth="1"/>
    <col min="8964" max="8964" width="7.5703125" style="16" customWidth="1"/>
    <col min="8965" max="8965" width="8.5703125" style="16" bestFit="1" customWidth="1"/>
    <col min="8966" max="8966" width="8.140625" style="16" customWidth="1"/>
    <col min="8967" max="8967" width="8.85546875" style="16" customWidth="1"/>
    <col min="8968" max="8968" width="8.140625" style="16" customWidth="1"/>
    <col min="8969" max="8969" width="7.140625" style="16" bestFit="1" customWidth="1"/>
    <col min="8970" max="8970" width="9.5703125" style="16" customWidth="1"/>
    <col min="8971" max="8974" width="7.7109375" style="16" customWidth="1"/>
    <col min="8975" max="8975" width="8"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8.5703125" style="16" customWidth="1"/>
    <col min="9219" max="9219" width="8.140625" style="16" customWidth="1"/>
    <col min="9220" max="9220" width="7.5703125" style="16" customWidth="1"/>
    <col min="9221" max="9221" width="8.5703125" style="16" bestFit="1" customWidth="1"/>
    <col min="9222" max="9222" width="8.140625" style="16" customWidth="1"/>
    <col min="9223" max="9223" width="8.85546875" style="16" customWidth="1"/>
    <col min="9224" max="9224" width="8.140625" style="16" customWidth="1"/>
    <col min="9225" max="9225" width="7.140625" style="16" bestFit="1" customWidth="1"/>
    <col min="9226" max="9226" width="9.5703125" style="16" customWidth="1"/>
    <col min="9227" max="9230" width="7.7109375" style="16" customWidth="1"/>
    <col min="9231" max="9231" width="8"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8.5703125" style="16" customWidth="1"/>
    <col min="9475" max="9475" width="8.140625" style="16" customWidth="1"/>
    <col min="9476" max="9476" width="7.5703125" style="16" customWidth="1"/>
    <col min="9477" max="9477" width="8.5703125" style="16" bestFit="1" customWidth="1"/>
    <col min="9478" max="9478" width="8.140625" style="16" customWidth="1"/>
    <col min="9479" max="9479" width="8.85546875" style="16" customWidth="1"/>
    <col min="9480" max="9480" width="8.140625" style="16" customWidth="1"/>
    <col min="9481" max="9481" width="7.140625" style="16" bestFit="1" customWidth="1"/>
    <col min="9482" max="9482" width="9.5703125" style="16" customWidth="1"/>
    <col min="9483" max="9486" width="7.7109375" style="16" customWidth="1"/>
    <col min="9487" max="9487" width="8"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8.5703125" style="16" customWidth="1"/>
    <col min="9731" max="9731" width="8.140625" style="16" customWidth="1"/>
    <col min="9732" max="9732" width="7.5703125" style="16" customWidth="1"/>
    <col min="9733" max="9733" width="8.5703125" style="16" bestFit="1" customWidth="1"/>
    <col min="9734" max="9734" width="8.140625" style="16" customWidth="1"/>
    <col min="9735" max="9735" width="8.85546875" style="16" customWidth="1"/>
    <col min="9736" max="9736" width="8.140625" style="16" customWidth="1"/>
    <col min="9737" max="9737" width="7.140625" style="16" bestFit="1" customWidth="1"/>
    <col min="9738" max="9738" width="9.5703125" style="16" customWidth="1"/>
    <col min="9739" max="9742" width="7.7109375" style="16" customWidth="1"/>
    <col min="9743" max="9743" width="8"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8.5703125" style="16" customWidth="1"/>
    <col min="9987" max="9987" width="8.140625" style="16" customWidth="1"/>
    <col min="9988" max="9988" width="7.5703125" style="16" customWidth="1"/>
    <col min="9989" max="9989" width="8.5703125" style="16" bestFit="1" customWidth="1"/>
    <col min="9990" max="9990" width="8.140625" style="16" customWidth="1"/>
    <col min="9991" max="9991" width="8.85546875" style="16" customWidth="1"/>
    <col min="9992" max="9992" width="8.140625" style="16" customWidth="1"/>
    <col min="9993" max="9993" width="7.140625" style="16" bestFit="1" customWidth="1"/>
    <col min="9994" max="9994" width="9.5703125" style="16" customWidth="1"/>
    <col min="9995" max="9998" width="7.7109375" style="16" customWidth="1"/>
    <col min="9999" max="9999" width="8"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8.5703125" style="16" customWidth="1"/>
    <col min="10243" max="10243" width="8.140625" style="16" customWidth="1"/>
    <col min="10244" max="10244" width="7.5703125" style="16" customWidth="1"/>
    <col min="10245" max="10245" width="8.5703125" style="16" bestFit="1" customWidth="1"/>
    <col min="10246" max="10246" width="8.140625" style="16" customWidth="1"/>
    <col min="10247" max="10247" width="8.85546875" style="16" customWidth="1"/>
    <col min="10248" max="10248" width="8.140625" style="16" customWidth="1"/>
    <col min="10249" max="10249" width="7.140625" style="16" bestFit="1" customWidth="1"/>
    <col min="10250" max="10250" width="9.5703125" style="16" customWidth="1"/>
    <col min="10251" max="10254" width="7.7109375" style="16" customWidth="1"/>
    <col min="10255" max="10255" width="8"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8.5703125" style="16" customWidth="1"/>
    <col min="10499" max="10499" width="8.140625" style="16" customWidth="1"/>
    <col min="10500" max="10500" width="7.5703125" style="16" customWidth="1"/>
    <col min="10501" max="10501" width="8.5703125" style="16" bestFit="1" customWidth="1"/>
    <col min="10502" max="10502" width="8.140625" style="16" customWidth="1"/>
    <col min="10503" max="10503" width="8.85546875" style="16" customWidth="1"/>
    <col min="10504" max="10504" width="8.140625" style="16" customWidth="1"/>
    <col min="10505" max="10505" width="7.140625" style="16" bestFit="1" customWidth="1"/>
    <col min="10506" max="10506" width="9.5703125" style="16" customWidth="1"/>
    <col min="10507" max="10510" width="7.7109375" style="16" customWidth="1"/>
    <col min="10511" max="10511" width="8"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8.5703125" style="16" customWidth="1"/>
    <col min="10755" max="10755" width="8.140625" style="16" customWidth="1"/>
    <col min="10756" max="10756" width="7.5703125" style="16" customWidth="1"/>
    <col min="10757" max="10757" width="8.5703125" style="16" bestFit="1" customWidth="1"/>
    <col min="10758" max="10758" width="8.140625" style="16" customWidth="1"/>
    <col min="10759" max="10759" width="8.85546875" style="16" customWidth="1"/>
    <col min="10760" max="10760" width="8.140625" style="16" customWidth="1"/>
    <col min="10761" max="10761" width="7.140625" style="16" bestFit="1" customWidth="1"/>
    <col min="10762" max="10762" width="9.5703125" style="16" customWidth="1"/>
    <col min="10763" max="10766" width="7.7109375" style="16" customWidth="1"/>
    <col min="10767" max="10767" width="8"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8.5703125" style="16" customWidth="1"/>
    <col min="11011" max="11011" width="8.140625" style="16" customWidth="1"/>
    <col min="11012" max="11012" width="7.5703125" style="16" customWidth="1"/>
    <col min="11013" max="11013" width="8.5703125" style="16" bestFit="1" customWidth="1"/>
    <col min="11014" max="11014" width="8.140625" style="16" customWidth="1"/>
    <col min="11015" max="11015" width="8.85546875" style="16" customWidth="1"/>
    <col min="11016" max="11016" width="8.140625" style="16" customWidth="1"/>
    <col min="11017" max="11017" width="7.140625" style="16" bestFit="1" customWidth="1"/>
    <col min="11018" max="11018" width="9.5703125" style="16" customWidth="1"/>
    <col min="11019" max="11022" width="7.7109375" style="16" customWidth="1"/>
    <col min="11023" max="11023" width="8"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8.5703125" style="16" customWidth="1"/>
    <col min="11267" max="11267" width="8.140625" style="16" customWidth="1"/>
    <col min="11268" max="11268" width="7.5703125" style="16" customWidth="1"/>
    <col min="11269" max="11269" width="8.5703125" style="16" bestFit="1" customWidth="1"/>
    <col min="11270" max="11270" width="8.140625" style="16" customWidth="1"/>
    <col min="11271" max="11271" width="8.85546875" style="16" customWidth="1"/>
    <col min="11272" max="11272" width="8.140625" style="16" customWidth="1"/>
    <col min="11273" max="11273" width="7.140625" style="16" bestFit="1" customWidth="1"/>
    <col min="11274" max="11274" width="9.5703125" style="16" customWidth="1"/>
    <col min="11275" max="11278" width="7.7109375" style="16" customWidth="1"/>
    <col min="11279" max="11279" width="8"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8.5703125" style="16" customWidth="1"/>
    <col min="11523" max="11523" width="8.140625" style="16" customWidth="1"/>
    <col min="11524" max="11524" width="7.5703125" style="16" customWidth="1"/>
    <col min="11525" max="11525" width="8.5703125" style="16" bestFit="1" customWidth="1"/>
    <col min="11526" max="11526" width="8.140625" style="16" customWidth="1"/>
    <col min="11527" max="11527" width="8.85546875" style="16" customWidth="1"/>
    <col min="11528" max="11528" width="8.140625" style="16" customWidth="1"/>
    <col min="11529" max="11529" width="7.140625" style="16" bestFit="1" customWidth="1"/>
    <col min="11530" max="11530" width="9.5703125" style="16" customWidth="1"/>
    <col min="11531" max="11534" width="7.7109375" style="16" customWidth="1"/>
    <col min="11535" max="11535" width="8"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8.5703125" style="16" customWidth="1"/>
    <col min="11779" max="11779" width="8.140625" style="16" customWidth="1"/>
    <col min="11780" max="11780" width="7.5703125" style="16" customWidth="1"/>
    <col min="11781" max="11781" width="8.5703125" style="16" bestFit="1" customWidth="1"/>
    <col min="11782" max="11782" width="8.140625" style="16" customWidth="1"/>
    <col min="11783" max="11783" width="8.85546875" style="16" customWidth="1"/>
    <col min="11784" max="11784" width="8.140625" style="16" customWidth="1"/>
    <col min="11785" max="11785" width="7.140625" style="16" bestFit="1" customWidth="1"/>
    <col min="11786" max="11786" width="9.5703125" style="16" customWidth="1"/>
    <col min="11787" max="11790" width="7.7109375" style="16" customWidth="1"/>
    <col min="11791" max="11791" width="8"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8.5703125" style="16" customWidth="1"/>
    <col min="12035" max="12035" width="8.140625" style="16" customWidth="1"/>
    <col min="12036" max="12036" width="7.5703125" style="16" customWidth="1"/>
    <col min="12037" max="12037" width="8.5703125" style="16" bestFit="1" customWidth="1"/>
    <col min="12038" max="12038" width="8.140625" style="16" customWidth="1"/>
    <col min="12039" max="12039" width="8.85546875" style="16" customWidth="1"/>
    <col min="12040" max="12040" width="8.140625" style="16" customWidth="1"/>
    <col min="12041" max="12041" width="7.140625" style="16" bestFit="1" customWidth="1"/>
    <col min="12042" max="12042" width="9.5703125" style="16" customWidth="1"/>
    <col min="12043" max="12046" width="7.7109375" style="16" customWidth="1"/>
    <col min="12047" max="12047" width="8"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8.5703125" style="16" customWidth="1"/>
    <col min="12291" max="12291" width="8.140625" style="16" customWidth="1"/>
    <col min="12292" max="12292" width="7.5703125" style="16" customWidth="1"/>
    <col min="12293" max="12293" width="8.5703125" style="16" bestFit="1" customWidth="1"/>
    <col min="12294" max="12294" width="8.140625" style="16" customWidth="1"/>
    <col min="12295" max="12295" width="8.85546875" style="16" customWidth="1"/>
    <col min="12296" max="12296" width="8.140625" style="16" customWidth="1"/>
    <col min="12297" max="12297" width="7.140625" style="16" bestFit="1" customWidth="1"/>
    <col min="12298" max="12298" width="9.5703125" style="16" customWidth="1"/>
    <col min="12299" max="12302" width="7.7109375" style="16" customWidth="1"/>
    <col min="12303" max="12303" width="8"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8.5703125" style="16" customWidth="1"/>
    <col min="12547" max="12547" width="8.140625" style="16" customWidth="1"/>
    <col min="12548" max="12548" width="7.5703125" style="16" customWidth="1"/>
    <col min="12549" max="12549" width="8.5703125" style="16" bestFit="1" customWidth="1"/>
    <col min="12550" max="12550" width="8.140625" style="16" customWidth="1"/>
    <col min="12551" max="12551" width="8.85546875" style="16" customWidth="1"/>
    <col min="12552" max="12552" width="8.140625" style="16" customWidth="1"/>
    <col min="12553" max="12553" width="7.140625" style="16" bestFit="1" customWidth="1"/>
    <col min="12554" max="12554" width="9.5703125" style="16" customWidth="1"/>
    <col min="12555" max="12558" width="7.7109375" style="16" customWidth="1"/>
    <col min="12559" max="12559" width="8"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8.5703125" style="16" customWidth="1"/>
    <col min="12803" max="12803" width="8.140625" style="16" customWidth="1"/>
    <col min="12804" max="12804" width="7.5703125" style="16" customWidth="1"/>
    <col min="12805" max="12805" width="8.5703125" style="16" bestFit="1" customWidth="1"/>
    <col min="12806" max="12806" width="8.140625" style="16" customWidth="1"/>
    <col min="12807" max="12807" width="8.85546875" style="16" customWidth="1"/>
    <col min="12808" max="12808" width="8.140625" style="16" customWidth="1"/>
    <col min="12809" max="12809" width="7.140625" style="16" bestFit="1" customWidth="1"/>
    <col min="12810" max="12810" width="9.5703125" style="16" customWidth="1"/>
    <col min="12811" max="12814" width="7.7109375" style="16" customWidth="1"/>
    <col min="12815" max="12815" width="8"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8.5703125" style="16" customWidth="1"/>
    <col min="13059" max="13059" width="8.140625" style="16" customWidth="1"/>
    <col min="13060" max="13060" width="7.5703125" style="16" customWidth="1"/>
    <col min="13061" max="13061" width="8.5703125" style="16" bestFit="1" customWidth="1"/>
    <col min="13062" max="13062" width="8.140625" style="16" customWidth="1"/>
    <col min="13063" max="13063" width="8.85546875" style="16" customWidth="1"/>
    <col min="13064" max="13064" width="8.140625" style="16" customWidth="1"/>
    <col min="13065" max="13065" width="7.140625" style="16" bestFit="1" customWidth="1"/>
    <col min="13066" max="13066" width="9.5703125" style="16" customWidth="1"/>
    <col min="13067" max="13070" width="7.7109375" style="16" customWidth="1"/>
    <col min="13071" max="13071" width="8"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8.5703125" style="16" customWidth="1"/>
    <col min="13315" max="13315" width="8.140625" style="16" customWidth="1"/>
    <col min="13316" max="13316" width="7.5703125" style="16" customWidth="1"/>
    <col min="13317" max="13317" width="8.5703125" style="16" bestFit="1" customWidth="1"/>
    <col min="13318" max="13318" width="8.140625" style="16" customWidth="1"/>
    <col min="13319" max="13319" width="8.85546875" style="16" customWidth="1"/>
    <col min="13320" max="13320" width="8.140625" style="16" customWidth="1"/>
    <col min="13321" max="13321" width="7.140625" style="16" bestFit="1" customWidth="1"/>
    <col min="13322" max="13322" width="9.5703125" style="16" customWidth="1"/>
    <col min="13323" max="13326" width="7.7109375" style="16" customWidth="1"/>
    <col min="13327" max="13327" width="8"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8.5703125" style="16" customWidth="1"/>
    <col min="13571" max="13571" width="8.140625" style="16" customWidth="1"/>
    <col min="13572" max="13572" width="7.5703125" style="16" customWidth="1"/>
    <col min="13573" max="13573" width="8.5703125" style="16" bestFit="1" customWidth="1"/>
    <col min="13574" max="13574" width="8.140625" style="16" customWidth="1"/>
    <col min="13575" max="13575" width="8.85546875" style="16" customWidth="1"/>
    <col min="13576" max="13576" width="8.140625" style="16" customWidth="1"/>
    <col min="13577" max="13577" width="7.140625" style="16" bestFit="1" customWidth="1"/>
    <col min="13578" max="13578" width="9.5703125" style="16" customWidth="1"/>
    <col min="13579" max="13582" width="7.7109375" style="16" customWidth="1"/>
    <col min="13583" max="13583" width="8"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8.5703125" style="16" customWidth="1"/>
    <col min="13827" max="13827" width="8.140625" style="16" customWidth="1"/>
    <col min="13828" max="13828" width="7.5703125" style="16" customWidth="1"/>
    <col min="13829" max="13829" width="8.5703125" style="16" bestFit="1" customWidth="1"/>
    <col min="13830" max="13830" width="8.140625" style="16" customWidth="1"/>
    <col min="13831" max="13831" width="8.85546875" style="16" customWidth="1"/>
    <col min="13832" max="13832" width="8.140625" style="16" customWidth="1"/>
    <col min="13833" max="13833" width="7.140625" style="16" bestFit="1" customWidth="1"/>
    <col min="13834" max="13834" width="9.5703125" style="16" customWidth="1"/>
    <col min="13835" max="13838" width="7.7109375" style="16" customWidth="1"/>
    <col min="13839" max="13839" width="8"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8.5703125" style="16" customWidth="1"/>
    <col min="14083" max="14083" width="8.140625" style="16" customWidth="1"/>
    <col min="14084" max="14084" width="7.5703125" style="16" customWidth="1"/>
    <col min="14085" max="14085" width="8.5703125" style="16" bestFit="1" customWidth="1"/>
    <col min="14086" max="14086" width="8.140625" style="16" customWidth="1"/>
    <col min="14087" max="14087" width="8.85546875" style="16" customWidth="1"/>
    <col min="14088" max="14088" width="8.140625" style="16" customWidth="1"/>
    <col min="14089" max="14089" width="7.140625" style="16" bestFit="1" customWidth="1"/>
    <col min="14090" max="14090" width="9.5703125" style="16" customWidth="1"/>
    <col min="14091" max="14094" width="7.7109375" style="16" customWidth="1"/>
    <col min="14095" max="14095" width="8"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8.5703125" style="16" customWidth="1"/>
    <col min="14339" max="14339" width="8.140625" style="16" customWidth="1"/>
    <col min="14340" max="14340" width="7.5703125" style="16" customWidth="1"/>
    <col min="14341" max="14341" width="8.5703125" style="16" bestFit="1" customWidth="1"/>
    <col min="14342" max="14342" width="8.140625" style="16" customWidth="1"/>
    <col min="14343" max="14343" width="8.85546875" style="16" customWidth="1"/>
    <col min="14344" max="14344" width="8.140625" style="16" customWidth="1"/>
    <col min="14345" max="14345" width="7.140625" style="16" bestFit="1" customWidth="1"/>
    <col min="14346" max="14346" width="9.5703125" style="16" customWidth="1"/>
    <col min="14347" max="14350" width="7.7109375" style="16" customWidth="1"/>
    <col min="14351" max="14351" width="8"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8.5703125" style="16" customWidth="1"/>
    <col min="14595" max="14595" width="8.140625" style="16" customWidth="1"/>
    <col min="14596" max="14596" width="7.5703125" style="16" customWidth="1"/>
    <col min="14597" max="14597" width="8.5703125" style="16" bestFit="1" customWidth="1"/>
    <col min="14598" max="14598" width="8.140625" style="16" customWidth="1"/>
    <col min="14599" max="14599" width="8.85546875" style="16" customWidth="1"/>
    <col min="14600" max="14600" width="8.140625" style="16" customWidth="1"/>
    <col min="14601" max="14601" width="7.140625" style="16" bestFit="1" customWidth="1"/>
    <col min="14602" max="14602" width="9.5703125" style="16" customWidth="1"/>
    <col min="14603" max="14606" width="7.7109375" style="16" customWidth="1"/>
    <col min="14607" max="14607" width="8"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8.5703125" style="16" customWidth="1"/>
    <col min="14851" max="14851" width="8.140625" style="16" customWidth="1"/>
    <col min="14852" max="14852" width="7.5703125" style="16" customWidth="1"/>
    <col min="14853" max="14853" width="8.5703125" style="16" bestFit="1" customWidth="1"/>
    <col min="14854" max="14854" width="8.140625" style="16" customWidth="1"/>
    <col min="14855" max="14855" width="8.85546875" style="16" customWidth="1"/>
    <col min="14856" max="14856" width="8.140625" style="16" customWidth="1"/>
    <col min="14857" max="14857" width="7.140625" style="16" bestFit="1" customWidth="1"/>
    <col min="14858" max="14858" width="9.5703125" style="16" customWidth="1"/>
    <col min="14859" max="14862" width="7.7109375" style="16" customWidth="1"/>
    <col min="14863" max="14863" width="8"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8.5703125" style="16" customWidth="1"/>
    <col min="15107" max="15107" width="8.140625" style="16" customWidth="1"/>
    <col min="15108" max="15108" width="7.5703125" style="16" customWidth="1"/>
    <col min="15109" max="15109" width="8.5703125" style="16" bestFit="1" customWidth="1"/>
    <col min="15110" max="15110" width="8.140625" style="16" customWidth="1"/>
    <col min="15111" max="15111" width="8.85546875" style="16" customWidth="1"/>
    <col min="15112" max="15112" width="8.140625" style="16" customWidth="1"/>
    <col min="15113" max="15113" width="7.140625" style="16" bestFit="1" customWidth="1"/>
    <col min="15114" max="15114" width="9.5703125" style="16" customWidth="1"/>
    <col min="15115" max="15118" width="7.7109375" style="16" customWidth="1"/>
    <col min="15119" max="15119" width="8"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8.5703125" style="16" customWidth="1"/>
    <col min="15363" max="15363" width="8.140625" style="16" customWidth="1"/>
    <col min="15364" max="15364" width="7.5703125" style="16" customWidth="1"/>
    <col min="15365" max="15365" width="8.5703125" style="16" bestFit="1" customWidth="1"/>
    <col min="15366" max="15366" width="8.140625" style="16" customWidth="1"/>
    <col min="15367" max="15367" width="8.85546875" style="16" customWidth="1"/>
    <col min="15368" max="15368" width="8.140625" style="16" customWidth="1"/>
    <col min="15369" max="15369" width="7.140625" style="16" bestFit="1" customWidth="1"/>
    <col min="15370" max="15370" width="9.5703125" style="16" customWidth="1"/>
    <col min="15371" max="15374" width="7.7109375" style="16" customWidth="1"/>
    <col min="15375" max="15375" width="8"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8.5703125" style="16" customWidth="1"/>
    <col min="15619" max="15619" width="8.140625" style="16" customWidth="1"/>
    <col min="15620" max="15620" width="7.5703125" style="16" customWidth="1"/>
    <col min="15621" max="15621" width="8.5703125" style="16" bestFit="1" customWidth="1"/>
    <col min="15622" max="15622" width="8.140625" style="16" customWidth="1"/>
    <col min="15623" max="15623" width="8.85546875" style="16" customWidth="1"/>
    <col min="15624" max="15624" width="8.140625" style="16" customWidth="1"/>
    <col min="15625" max="15625" width="7.140625" style="16" bestFit="1" customWidth="1"/>
    <col min="15626" max="15626" width="9.5703125" style="16" customWidth="1"/>
    <col min="15627" max="15630" width="7.7109375" style="16" customWidth="1"/>
    <col min="15631" max="15631" width="8"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8.5703125" style="16" customWidth="1"/>
    <col min="15875" max="15875" width="8.140625" style="16" customWidth="1"/>
    <col min="15876" max="15876" width="7.5703125" style="16" customWidth="1"/>
    <col min="15877" max="15877" width="8.5703125" style="16" bestFit="1" customWidth="1"/>
    <col min="15878" max="15878" width="8.140625" style="16" customWidth="1"/>
    <col min="15879" max="15879" width="8.85546875" style="16" customWidth="1"/>
    <col min="15880" max="15880" width="8.140625" style="16" customWidth="1"/>
    <col min="15881" max="15881" width="7.140625" style="16" bestFit="1" customWidth="1"/>
    <col min="15882" max="15882" width="9.5703125" style="16" customWidth="1"/>
    <col min="15883" max="15886" width="7.7109375" style="16" customWidth="1"/>
    <col min="15887" max="15887" width="8"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8.5703125" style="16" customWidth="1"/>
    <col min="16131" max="16131" width="8.140625" style="16" customWidth="1"/>
    <col min="16132" max="16132" width="7.5703125" style="16" customWidth="1"/>
    <col min="16133" max="16133" width="8.5703125" style="16" bestFit="1" customWidth="1"/>
    <col min="16134" max="16134" width="8.140625" style="16" customWidth="1"/>
    <col min="16135" max="16135" width="8.85546875" style="16" customWidth="1"/>
    <col min="16136" max="16136" width="8.140625" style="16" customWidth="1"/>
    <col min="16137" max="16137" width="7.140625" style="16" bestFit="1" customWidth="1"/>
    <col min="16138" max="16138" width="9.5703125" style="16" customWidth="1"/>
    <col min="16139" max="16142" width="7.7109375" style="16" customWidth="1"/>
    <col min="16143" max="16143" width="8"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67" t="s">
        <v>449</v>
      </c>
      <c r="B1" s="868"/>
      <c r="C1" s="868"/>
      <c r="D1" s="869"/>
      <c r="E1" s="868"/>
      <c r="F1" s="868"/>
      <c r="G1" s="867" t="s">
        <v>102</v>
      </c>
      <c r="H1" s="869"/>
      <c r="I1" s="869" t="s">
        <v>633</v>
      </c>
      <c r="J1" s="868"/>
      <c r="K1" s="868"/>
      <c r="L1" s="870"/>
      <c r="M1" s="870"/>
      <c r="N1" s="870"/>
      <c r="O1" s="870"/>
    </row>
    <row r="2" spans="1:15" s="1" customFormat="1" x14ac:dyDescent="0.2">
      <c r="A2" s="867" t="s">
        <v>103</v>
      </c>
      <c r="B2" s="868"/>
      <c r="C2" s="868"/>
      <c r="D2" s="869"/>
      <c r="E2" s="868"/>
      <c r="F2" s="868"/>
      <c r="G2" s="867" t="s">
        <v>104</v>
      </c>
      <c r="H2" s="869"/>
      <c r="I2" s="869" t="s">
        <v>105</v>
      </c>
      <c r="J2" s="868"/>
      <c r="K2" s="868"/>
      <c r="L2" s="870"/>
      <c r="M2" s="870"/>
      <c r="N2" s="870"/>
      <c r="O2" s="870"/>
    </row>
    <row r="3" spans="1:15" s="1" customFormat="1" x14ac:dyDescent="0.2">
      <c r="A3" s="867" t="s">
        <v>106</v>
      </c>
      <c r="B3" s="868"/>
      <c r="C3" s="868"/>
      <c r="D3" s="881">
        <v>23478</v>
      </c>
      <c r="E3" s="882"/>
      <c r="F3" s="882"/>
      <c r="G3" s="867" t="s">
        <v>107</v>
      </c>
      <c r="H3" s="869"/>
      <c r="I3" s="869" t="s">
        <v>108</v>
      </c>
      <c r="J3" s="868"/>
      <c r="K3" s="868"/>
      <c r="L3" s="870"/>
      <c r="M3" s="870"/>
      <c r="N3" s="870"/>
      <c r="O3" s="870"/>
    </row>
    <row r="4" spans="1:15" s="1" customFormat="1" x14ac:dyDescent="0.2">
      <c r="A4" s="867" t="s">
        <v>476</v>
      </c>
      <c r="B4" s="868"/>
      <c r="C4" s="868"/>
      <c r="D4" s="883" t="s">
        <v>634</v>
      </c>
      <c r="E4" s="868"/>
      <c r="F4" s="868"/>
      <c r="G4" s="867" t="s">
        <v>110</v>
      </c>
      <c r="H4" s="869"/>
      <c r="I4" s="869" t="s">
        <v>635</v>
      </c>
      <c r="J4" s="868"/>
      <c r="K4" s="868"/>
      <c r="L4" s="870"/>
      <c r="M4" s="870"/>
      <c r="N4" s="870"/>
      <c r="O4" s="870"/>
    </row>
    <row r="5" spans="1:15" s="1" customFormat="1" x14ac:dyDescent="0.2">
      <c r="A5" s="867" t="s">
        <v>112</v>
      </c>
      <c r="B5" s="868"/>
      <c r="C5" s="868"/>
      <c r="D5" s="869"/>
      <c r="E5" s="868"/>
      <c r="F5" s="868"/>
      <c r="G5" s="867"/>
      <c r="H5" s="868"/>
      <c r="I5" s="869" t="s">
        <v>113</v>
      </c>
      <c r="J5" s="868"/>
      <c r="K5" s="868"/>
      <c r="L5" s="870"/>
      <c r="M5" s="870"/>
      <c r="N5" s="870"/>
      <c r="O5" s="870"/>
    </row>
    <row r="6" spans="1:15" s="1" customFormat="1" x14ac:dyDescent="0.2">
      <c r="A6" s="871" t="s">
        <v>114</v>
      </c>
      <c r="B6" s="872"/>
      <c r="C6" s="872"/>
      <c r="D6" s="868" t="s">
        <v>571</v>
      </c>
      <c r="E6" s="868"/>
      <c r="F6" s="868"/>
      <c r="G6" s="871" t="s">
        <v>115</v>
      </c>
      <c r="H6" s="871"/>
      <c r="I6" s="2" t="s">
        <v>116</v>
      </c>
      <c r="J6" s="888"/>
      <c r="K6" s="888"/>
      <c r="L6" s="888"/>
      <c r="M6" s="888"/>
      <c r="N6" s="888"/>
      <c r="O6" s="889"/>
    </row>
    <row r="7" spans="1:15" s="1" customFormat="1" ht="13.5" thickBot="1" x14ac:dyDescent="0.25">
      <c r="A7" s="3"/>
      <c r="B7" s="4"/>
      <c r="C7" s="5"/>
      <c r="D7" s="6"/>
      <c r="E7" s="6"/>
      <c r="F7" s="6"/>
      <c r="G7" s="6"/>
      <c r="H7" s="6"/>
      <c r="I7" s="6"/>
      <c r="J7" s="7"/>
      <c r="K7" s="8"/>
      <c r="L7" s="875" t="s">
        <v>223</v>
      </c>
      <c r="M7" s="875"/>
      <c r="N7" s="875"/>
      <c r="O7" s="875"/>
    </row>
    <row r="8" spans="1:15" s="11" customFormat="1" x14ac:dyDescent="0.2">
      <c r="A8" s="876" t="str">
        <f>I1</f>
        <v>Mr. Sanjay S. Wadikar</v>
      </c>
      <c r="B8" s="877"/>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93000</v>
      </c>
      <c r="D9" s="14">
        <v>93000</v>
      </c>
      <c r="E9" s="14">
        <v>93000</v>
      </c>
      <c r="F9" s="14">
        <v>93000</v>
      </c>
      <c r="G9" s="14">
        <v>95800</v>
      </c>
      <c r="H9" s="14">
        <v>95800</v>
      </c>
      <c r="I9" s="14">
        <v>95800</v>
      </c>
      <c r="J9" s="14">
        <v>95800</v>
      </c>
      <c r="K9" s="14">
        <v>95800</v>
      </c>
      <c r="L9" s="14">
        <v>95800</v>
      </c>
      <c r="M9" s="14">
        <v>95800</v>
      </c>
      <c r="N9" s="14">
        <v>95800</v>
      </c>
      <c r="O9" s="15">
        <f>SUM(C9:N9)</f>
        <v>1138400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4650</v>
      </c>
      <c r="D11" s="17">
        <v>6510</v>
      </c>
      <c r="E11" s="17">
        <v>6510</v>
      </c>
      <c r="F11" s="17">
        <v>6510</v>
      </c>
      <c r="G11" s="17">
        <v>6706</v>
      </c>
      <c r="H11" s="17">
        <v>6706</v>
      </c>
      <c r="I11" s="17">
        <v>6706</v>
      </c>
      <c r="J11" s="17">
        <v>8622</v>
      </c>
      <c r="K11" s="17">
        <v>8622</v>
      </c>
      <c r="L11" s="17">
        <v>8622</v>
      </c>
      <c r="M11" s="17">
        <v>8622</v>
      </c>
      <c r="N11" s="17">
        <v>8622</v>
      </c>
      <c r="O11" s="18">
        <f>SUM(C11:N11)</f>
        <v>87408</v>
      </c>
    </row>
    <row r="12" spans="1:15"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customHeight="1" x14ac:dyDescent="0.2">
      <c r="A14" s="12"/>
      <c r="B14" s="13" t="s">
        <v>123</v>
      </c>
      <c r="C14" s="17">
        <v>7560</v>
      </c>
      <c r="D14" s="17">
        <v>7704</v>
      </c>
      <c r="E14" s="17">
        <v>7704</v>
      </c>
      <c r="F14" s="17">
        <v>7704</v>
      </c>
      <c r="G14" s="17">
        <v>7704</v>
      </c>
      <c r="H14" s="17">
        <v>7704</v>
      </c>
      <c r="I14" s="17">
        <v>7704</v>
      </c>
      <c r="J14" s="17">
        <v>7848</v>
      </c>
      <c r="K14" s="17">
        <v>7848</v>
      </c>
      <c r="L14" s="17">
        <v>7848</v>
      </c>
      <c r="M14" s="17">
        <v>7848</v>
      </c>
      <c r="N14" s="17">
        <v>7848</v>
      </c>
      <c r="O14" s="18">
        <f t="shared" si="0"/>
        <v>93024</v>
      </c>
    </row>
    <row r="15" spans="1:15" ht="15"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x14ac:dyDescent="0.2">
      <c r="A16" s="12"/>
      <c r="B16" s="13" t="s">
        <v>636</v>
      </c>
      <c r="C16" s="17">
        <v>0</v>
      </c>
      <c r="D16" s="17">
        <v>0</v>
      </c>
      <c r="E16" s="17">
        <v>0</v>
      </c>
      <c r="F16" s="17">
        <v>0</v>
      </c>
      <c r="G16" s="17">
        <v>0</v>
      </c>
      <c r="H16" s="17">
        <v>0</v>
      </c>
      <c r="I16" s="17">
        <v>0</v>
      </c>
      <c r="J16" s="17">
        <v>0</v>
      </c>
      <c r="K16" s="17">
        <v>0</v>
      </c>
      <c r="L16" s="17">
        <v>0</v>
      </c>
      <c r="M16" s="17">
        <v>0</v>
      </c>
      <c r="N16" s="17">
        <v>0</v>
      </c>
      <c r="O16" s="18">
        <f t="shared" si="0"/>
        <v>0</v>
      </c>
    </row>
    <row r="17" spans="1:15" ht="15" x14ac:dyDescent="0.2">
      <c r="A17" s="12"/>
      <c r="B17" s="13" t="s">
        <v>143</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22320</v>
      </c>
      <c r="D19" s="17">
        <v>22320</v>
      </c>
      <c r="E19" s="17">
        <v>22320</v>
      </c>
      <c r="F19" s="17">
        <v>22320</v>
      </c>
      <c r="G19" s="17">
        <v>22992</v>
      </c>
      <c r="H19" s="17">
        <v>22992</v>
      </c>
      <c r="I19" s="17">
        <v>22992</v>
      </c>
      <c r="J19" s="17">
        <v>22992</v>
      </c>
      <c r="K19" s="17">
        <v>22992</v>
      </c>
      <c r="L19" s="17">
        <v>22992</v>
      </c>
      <c r="M19" s="17">
        <v>22992</v>
      </c>
      <c r="N19" s="17">
        <v>22992</v>
      </c>
      <c r="O19" s="18">
        <f t="shared" si="0"/>
        <v>273216</v>
      </c>
    </row>
    <row r="20" spans="1:15" ht="15" customHeight="1" x14ac:dyDescent="0.2">
      <c r="A20" s="12"/>
      <c r="B20" s="13" t="s">
        <v>637</v>
      </c>
      <c r="C20" s="17">
        <v>0</v>
      </c>
      <c r="D20" s="17">
        <v>0</v>
      </c>
      <c r="E20" s="17">
        <v>0</v>
      </c>
      <c r="F20" s="17">
        <v>0</v>
      </c>
      <c r="G20" s="17">
        <v>0</v>
      </c>
      <c r="H20" s="17">
        <v>0</v>
      </c>
      <c r="I20" s="17">
        <v>0</v>
      </c>
      <c r="J20" s="17">
        <v>6908</v>
      </c>
      <c r="K20" s="17">
        <v>0</v>
      </c>
      <c r="L20" s="17">
        <v>0</v>
      </c>
      <c r="M20" s="17">
        <v>0</v>
      </c>
      <c r="N20" s="17">
        <v>0</v>
      </c>
      <c r="O20" s="18">
        <f t="shared" si="0"/>
        <v>6908</v>
      </c>
    </row>
    <row r="21" spans="1:15" ht="15" hidden="1" customHeight="1" x14ac:dyDescent="0.2">
      <c r="A21" s="878"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hidden="1" customHeight="1" x14ac:dyDescent="0.2">
      <c r="A22" s="879"/>
      <c r="B22" s="19" t="s">
        <v>132</v>
      </c>
      <c r="C22" s="17">
        <v>0</v>
      </c>
      <c r="D22" s="17">
        <v>0</v>
      </c>
      <c r="E22" s="17">
        <v>0</v>
      </c>
      <c r="F22" s="17">
        <v>0</v>
      </c>
      <c r="G22" s="17">
        <v>0</v>
      </c>
      <c r="H22" s="17">
        <v>0</v>
      </c>
      <c r="I22" s="17">
        <v>0</v>
      </c>
      <c r="J22" s="17">
        <v>0</v>
      </c>
      <c r="K22" s="17">
        <v>0</v>
      </c>
      <c r="L22" s="17">
        <v>0</v>
      </c>
      <c r="M22" s="17">
        <v>0</v>
      </c>
      <c r="N22" s="17">
        <v>0</v>
      </c>
      <c r="O22" s="18">
        <f t="shared" si="0"/>
        <v>0</v>
      </c>
    </row>
    <row r="23" spans="1:15" ht="15" hidden="1" customHeight="1" x14ac:dyDescent="0.2">
      <c r="A23" s="879"/>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79"/>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79"/>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79"/>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79"/>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79"/>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79"/>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79"/>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79"/>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hidden="1" customHeight="1" x14ac:dyDescent="0.2">
      <c r="A32" s="879"/>
      <c r="B32" s="21" t="s">
        <v>142</v>
      </c>
      <c r="C32" s="17">
        <v>0</v>
      </c>
      <c r="D32" s="17">
        <v>0</v>
      </c>
      <c r="E32" s="17">
        <v>0</v>
      </c>
      <c r="F32" s="17">
        <v>0</v>
      </c>
      <c r="G32" s="17">
        <v>0</v>
      </c>
      <c r="H32" s="17">
        <v>0</v>
      </c>
      <c r="I32" s="17">
        <v>0</v>
      </c>
      <c r="J32" s="17">
        <v>0</v>
      </c>
      <c r="K32" s="17">
        <v>0</v>
      </c>
      <c r="L32" s="17">
        <v>0</v>
      </c>
      <c r="M32" s="17">
        <v>0</v>
      </c>
      <c r="N32" s="17">
        <v>0</v>
      </c>
      <c r="O32" s="18">
        <f t="shared" si="0"/>
        <v>0</v>
      </c>
    </row>
    <row r="33" spans="1:15" ht="15" hidden="1" customHeight="1" x14ac:dyDescent="0.2">
      <c r="A33" s="880"/>
      <c r="B33" s="19" t="s">
        <v>226</v>
      </c>
      <c r="C33" s="17">
        <v>0</v>
      </c>
      <c r="D33" s="17">
        <v>0</v>
      </c>
      <c r="E33" s="17">
        <v>0</v>
      </c>
      <c r="F33" s="17">
        <v>0</v>
      </c>
      <c r="G33" s="17">
        <v>0</v>
      </c>
      <c r="H33" s="17">
        <v>0</v>
      </c>
      <c r="I33" s="17">
        <v>0</v>
      </c>
      <c r="J33" s="17">
        <v>0</v>
      </c>
      <c r="K33" s="17">
        <v>0</v>
      </c>
      <c r="L33" s="17">
        <v>0</v>
      </c>
      <c r="M33" s="17">
        <v>0</v>
      </c>
      <c r="N33" s="17">
        <v>0</v>
      </c>
      <c r="O33" s="18">
        <f t="shared" si="0"/>
        <v>0</v>
      </c>
    </row>
    <row r="34" spans="1:15" ht="15" customHeight="1" x14ac:dyDescent="0.2">
      <c r="A34" s="865" t="s">
        <v>144</v>
      </c>
      <c r="B34" s="866"/>
      <c r="C34" s="17">
        <v>0</v>
      </c>
      <c r="D34" s="17">
        <v>0</v>
      </c>
      <c r="E34" s="17">
        <v>0</v>
      </c>
      <c r="F34" s="17">
        <v>0</v>
      </c>
      <c r="G34" s="17">
        <v>0</v>
      </c>
      <c r="H34" s="17">
        <v>0</v>
      </c>
      <c r="I34" s="17">
        <v>0</v>
      </c>
      <c r="J34" s="17">
        <v>0</v>
      </c>
      <c r="K34" s="17">
        <v>0</v>
      </c>
      <c r="L34" s="17">
        <v>0</v>
      </c>
      <c r="M34" s="17">
        <v>0</v>
      </c>
      <c r="N34" s="17">
        <v>0</v>
      </c>
      <c r="O34" s="18">
        <f t="shared" si="0"/>
        <v>0</v>
      </c>
    </row>
    <row r="35" spans="1:15" ht="15" customHeight="1" x14ac:dyDescent="0.2">
      <c r="A35" s="865" t="s">
        <v>145</v>
      </c>
      <c r="B35" s="866"/>
      <c r="C35" s="17">
        <v>0</v>
      </c>
      <c r="D35" s="17">
        <v>432</v>
      </c>
      <c r="E35" s="17">
        <v>0</v>
      </c>
      <c r="F35" s="17">
        <v>0</v>
      </c>
      <c r="G35" s="17">
        <v>0</v>
      </c>
      <c r="H35" s="17">
        <v>0</v>
      </c>
      <c r="I35" s="17">
        <v>0</v>
      </c>
      <c r="J35" s="17">
        <v>432</v>
      </c>
      <c r="K35" s="17">
        <v>0</v>
      </c>
      <c r="L35" s="17">
        <v>0</v>
      </c>
      <c r="M35" s="17">
        <v>0</v>
      </c>
      <c r="N35" s="17">
        <v>0</v>
      </c>
      <c r="O35" s="18">
        <f t="shared" si="0"/>
        <v>864</v>
      </c>
    </row>
    <row r="36" spans="1:15" ht="15" customHeight="1" x14ac:dyDescent="0.2">
      <c r="A36" s="865" t="s">
        <v>146</v>
      </c>
      <c r="B36" s="866"/>
      <c r="C36" s="17">
        <v>0</v>
      </c>
      <c r="D36" s="17">
        <v>5580</v>
      </c>
      <c r="E36" s="17">
        <v>0</v>
      </c>
      <c r="F36" s="17">
        <v>0</v>
      </c>
      <c r="G36" s="17">
        <v>0</v>
      </c>
      <c r="H36" s="17">
        <v>0</v>
      </c>
      <c r="I36" s="17">
        <v>0</v>
      </c>
      <c r="J36" s="17">
        <v>5748</v>
      </c>
      <c r="K36" s="17">
        <v>0</v>
      </c>
      <c r="L36" s="17">
        <v>0</v>
      </c>
      <c r="M36" s="17">
        <v>0</v>
      </c>
      <c r="N36" s="17">
        <v>0</v>
      </c>
      <c r="O36" s="18">
        <f t="shared" si="0"/>
        <v>11328</v>
      </c>
    </row>
    <row r="37" spans="1:15" ht="15" customHeight="1" x14ac:dyDescent="0.2">
      <c r="A37" s="22"/>
      <c r="B37" s="23" t="s">
        <v>147</v>
      </c>
      <c r="C37" s="24">
        <f t="shared" ref="C37:N37" si="1">SUM(C9:C36)</f>
        <v>127530</v>
      </c>
      <c r="D37" s="24">
        <f t="shared" si="1"/>
        <v>135546</v>
      </c>
      <c r="E37" s="24">
        <f t="shared" si="1"/>
        <v>129534</v>
      </c>
      <c r="F37" s="24">
        <f t="shared" si="1"/>
        <v>129534</v>
      </c>
      <c r="G37" s="24">
        <f t="shared" si="1"/>
        <v>133202</v>
      </c>
      <c r="H37" s="24">
        <f t="shared" si="1"/>
        <v>133202</v>
      </c>
      <c r="I37" s="24">
        <f t="shared" si="1"/>
        <v>133202</v>
      </c>
      <c r="J37" s="24">
        <f t="shared" si="1"/>
        <v>148350</v>
      </c>
      <c r="K37" s="24">
        <f t="shared" si="1"/>
        <v>135262</v>
      </c>
      <c r="L37" s="24">
        <f t="shared" si="1"/>
        <v>135262</v>
      </c>
      <c r="M37" s="24">
        <f t="shared" si="1"/>
        <v>135262</v>
      </c>
      <c r="N37" s="24">
        <f t="shared" si="1"/>
        <v>135262</v>
      </c>
      <c r="O37" s="25">
        <f>SUM(C37:N37)</f>
        <v>1611148</v>
      </c>
    </row>
    <row r="38" spans="1:15" ht="15" customHeight="1" x14ac:dyDescent="0.2">
      <c r="A38" s="853" t="s">
        <v>148</v>
      </c>
      <c r="B38" s="27" t="s">
        <v>149</v>
      </c>
      <c r="C38" s="147">
        <v>16511</v>
      </c>
      <c r="D38" s="147">
        <v>16500</v>
      </c>
      <c r="E38" s="147">
        <v>16500</v>
      </c>
      <c r="F38" s="147">
        <v>16500</v>
      </c>
      <c r="G38" s="147">
        <v>16500</v>
      </c>
      <c r="H38" s="147">
        <v>16500</v>
      </c>
      <c r="I38" s="147">
        <v>16500</v>
      </c>
      <c r="J38" s="147">
        <v>16500</v>
      </c>
      <c r="K38" s="147">
        <v>30000</v>
      </c>
      <c r="L38" s="147">
        <v>34910</v>
      </c>
      <c r="M38" s="147">
        <v>34910</v>
      </c>
      <c r="N38" s="147">
        <v>37505</v>
      </c>
      <c r="O38" s="18">
        <f>SUM(C38:N38)</f>
        <v>269336</v>
      </c>
    </row>
    <row r="39" spans="1:15" ht="15" x14ac:dyDescent="0.2">
      <c r="A39" s="854"/>
      <c r="B39" s="27" t="s">
        <v>150</v>
      </c>
      <c r="C39" s="147">
        <v>0</v>
      </c>
      <c r="D39" s="147">
        <v>0</v>
      </c>
      <c r="E39" s="147">
        <v>0</v>
      </c>
      <c r="F39" s="147">
        <v>0</v>
      </c>
      <c r="G39" s="147">
        <v>0</v>
      </c>
      <c r="H39" s="147">
        <v>0</v>
      </c>
      <c r="I39" s="147">
        <v>0</v>
      </c>
      <c r="J39" s="147">
        <v>0</v>
      </c>
      <c r="K39" s="147">
        <v>0</v>
      </c>
      <c r="L39" s="147">
        <v>0</v>
      </c>
      <c r="M39" s="147">
        <v>0</v>
      </c>
      <c r="N39" s="147">
        <v>0</v>
      </c>
      <c r="O39" s="18">
        <f>SUM(C39:N39)</f>
        <v>0</v>
      </c>
    </row>
    <row r="40" spans="1:15" ht="15" x14ac:dyDescent="0.2">
      <c r="A40" s="854"/>
      <c r="B40" s="27" t="s">
        <v>151</v>
      </c>
      <c r="C40" s="147">
        <v>60</v>
      </c>
      <c r="D40" s="147">
        <v>60</v>
      </c>
      <c r="E40" s="147">
        <v>60</v>
      </c>
      <c r="F40" s="147">
        <v>60</v>
      </c>
      <c r="G40" s="147">
        <v>60</v>
      </c>
      <c r="H40" s="147">
        <v>60</v>
      </c>
      <c r="I40" s="147">
        <v>60</v>
      </c>
      <c r="J40" s="147">
        <v>60</v>
      </c>
      <c r="K40" s="147">
        <v>60</v>
      </c>
      <c r="L40" s="147">
        <v>60</v>
      </c>
      <c r="M40" s="147">
        <v>60</v>
      </c>
      <c r="N40" s="147">
        <v>60</v>
      </c>
      <c r="O40" s="18">
        <f t="shared" ref="O40:O50" si="2">SUM(C40:N40)</f>
        <v>720</v>
      </c>
    </row>
    <row r="41" spans="1:15" ht="15" x14ac:dyDescent="0.2">
      <c r="A41" s="854"/>
      <c r="B41" s="27" t="s">
        <v>152</v>
      </c>
      <c r="C41" s="147">
        <v>0</v>
      </c>
      <c r="D41" s="147">
        <v>0</v>
      </c>
      <c r="E41" s="147">
        <v>0</v>
      </c>
      <c r="F41" s="147">
        <v>0</v>
      </c>
      <c r="G41" s="147">
        <v>0</v>
      </c>
      <c r="H41" s="147">
        <v>0</v>
      </c>
      <c r="I41" s="147">
        <v>0</v>
      </c>
      <c r="J41" s="147">
        <v>0</v>
      </c>
      <c r="K41" s="147">
        <v>0</v>
      </c>
      <c r="L41" s="147">
        <v>0</v>
      </c>
      <c r="M41" s="147">
        <v>0</v>
      </c>
      <c r="N41" s="147">
        <v>0</v>
      </c>
      <c r="O41" s="18">
        <f t="shared" si="2"/>
        <v>0</v>
      </c>
    </row>
    <row r="42" spans="1:15" ht="15" x14ac:dyDescent="0.2">
      <c r="A42" s="854"/>
      <c r="B42" s="27" t="s">
        <v>153</v>
      </c>
      <c r="C42" s="147">
        <v>650</v>
      </c>
      <c r="D42" s="147">
        <v>650</v>
      </c>
      <c r="E42" s="147">
        <v>650</v>
      </c>
      <c r="F42" s="147">
        <v>650</v>
      </c>
      <c r="G42" s="147">
        <v>650</v>
      </c>
      <c r="H42" s="147">
        <v>650</v>
      </c>
      <c r="I42" s="147">
        <v>650</v>
      </c>
      <c r="J42" s="147">
        <v>650</v>
      </c>
      <c r="K42" s="147">
        <v>650</v>
      </c>
      <c r="L42" s="147">
        <v>650</v>
      </c>
      <c r="M42" s="147">
        <v>650</v>
      </c>
      <c r="N42" s="147">
        <v>650</v>
      </c>
      <c r="O42" s="18">
        <f t="shared" si="2"/>
        <v>7800</v>
      </c>
    </row>
    <row r="43" spans="1:15" ht="15" x14ac:dyDescent="0.2">
      <c r="A43" s="854"/>
      <c r="B43" s="27" t="s">
        <v>154</v>
      </c>
      <c r="C43" s="147">
        <v>6000</v>
      </c>
      <c r="D43" s="147">
        <v>6000</v>
      </c>
      <c r="E43" s="147">
        <v>6000</v>
      </c>
      <c r="F43" s="147">
        <v>6000</v>
      </c>
      <c r="G43" s="147">
        <v>6000</v>
      </c>
      <c r="H43" s="147">
        <v>6000</v>
      </c>
      <c r="I43" s="147">
        <v>6000</v>
      </c>
      <c r="J43" s="147">
        <v>6000</v>
      </c>
      <c r="K43" s="147">
        <v>6000</v>
      </c>
      <c r="L43" s="147">
        <v>6000</v>
      </c>
      <c r="M43" s="147">
        <v>6000</v>
      </c>
      <c r="N43" s="147">
        <v>6000</v>
      </c>
      <c r="O43" s="18">
        <f t="shared" si="2"/>
        <v>72000</v>
      </c>
    </row>
    <row r="44" spans="1:15" ht="15" x14ac:dyDescent="0.2">
      <c r="A44" s="854"/>
      <c r="B44" s="27" t="s">
        <v>155</v>
      </c>
      <c r="C44" s="147">
        <v>200</v>
      </c>
      <c r="D44" s="147">
        <v>200</v>
      </c>
      <c r="E44" s="147">
        <v>200</v>
      </c>
      <c r="F44" s="147">
        <v>200</v>
      </c>
      <c r="G44" s="147">
        <v>200</v>
      </c>
      <c r="H44" s="147">
        <v>200</v>
      </c>
      <c r="I44" s="147">
        <v>200</v>
      </c>
      <c r="J44" s="147">
        <v>200</v>
      </c>
      <c r="K44" s="147">
        <v>200</v>
      </c>
      <c r="L44" s="147">
        <v>200</v>
      </c>
      <c r="M44" s="147">
        <v>200</v>
      </c>
      <c r="N44" s="147">
        <v>200</v>
      </c>
      <c r="O44" s="18">
        <f t="shared" si="2"/>
        <v>2400</v>
      </c>
    </row>
    <row r="45" spans="1:15" ht="15" x14ac:dyDescent="0.2">
      <c r="A45" s="854"/>
      <c r="B45" s="27" t="s">
        <v>156</v>
      </c>
      <c r="C45" s="147">
        <v>0</v>
      </c>
      <c r="D45" s="147">
        <v>0</v>
      </c>
      <c r="E45" s="147">
        <v>0</v>
      </c>
      <c r="F45" s="147">
        <v>0</v>
      </c>
      <c r="G45" s="147">
        <v>0</v>
      </c>
      <c r="H45" s="147">
        <v>0</v>
      </c>
      <c r="I45" s="147">
        <v>0</v>
      </c>
      <c r="J45" s="147">
        <v>0</v>
      </c>
      <c r="K45" s="147">
        <v>0</v>
      </c>
      <c r="L45" s="147">
        <v>0</v>
      </c>
      <c r="M45" s="147">
        <v>0</v>
      </c>
      <c r="N45" s="147">
        <v>0</v>
      </c>
      <c r="O45" s="18">
        <f t="shared" si="2"/>
        <v>0</v>
      </c>
    </row>
    <row r="46" spans="1:15" ht="15" x14ac:dyDescent="0.2">
      <c r="A46" s="854"/>
      <c r="B46" s="27" t="s">
        <v>157</v>
      </c>
      <c r="C46" s="147">
        <v>0</v>
      </c>
      <c r="D46" s="147">
        <v>0</v>
      </c>
      <c r="E46" s="147">
        <v>0</v>
      </c>
      <c r="F46" s="147">
        <v>0</v>
      </c>
      <c r="G46" s="147">
        <v>0</v>
      </c>
      <c r="H46" s="147">
        <v>0</v>
      </c>
      <c r="I46" s="147">
        <v>0</v>
      </c>
      <c r="J46" s="147">
        <v>0</v>
      </c>
      <c r="K46" s="147">
        <v>0</v>
      </c>
      <c r="L46" s="147">
        <v>0</v>
      </c>
      <c r="M46" s="147">
        <v>0</v>
      </c>
      <c r="N46" s="147">
        <v>0</v>
      </c>
      <c r="O46" s="18">
        <f t="shared" si="2"/>
        <v>0</v>
      </c>
    </row>
    <row r="47" spans="1:15" ht="28.5" customHeight="1" x14ac:dyDescent="0.2">
      <c r="A47" s="855"/>
      <c r="B47" s="30" t="s">
        <v>158</v>
      </c>
      <c r="C47" s="147">
        <v>0</v>
      </c>
      <c r="D47" s="147">
        <v>0</v>
      </c>
      <c r="E47" s="147">
        <v>0</v>
      </c>
      <c r="F47" s="147">
        <v>0</v>
      </c>
      <c r="G47" s="147">
        <v>0</v>
      </c>
      <c r="H47" s="147">
        <v>0</v>
      </c>
      <c r="I47" s="147">
        <v>0</v>
      </c>
      <c r="J47" s="147">
        <v>0</v>
      </c>
      <c r="K47" s="147">
        <v>0</v>
      </c>
      <c r="L47" s="147">
        <v>0</v>
      </c>
      <c r="M47" s="147">
        <v>0</v>
      </c>
      <c r="N47" s="147">
        <v>0</v>
      </c>
      <c r="O47" s="31">
        <f t="shared" si="2"/>
        <v>0</v>
      </c>
    </row>
    <row r="48" spans="1:15" ht="15" x14ac:dyDescent="0.2">
      <c r="A48" s="856"/>
      <c r="B48" s="127" t="s">
        <v>479</v>
      </c>
      <c r="C48" s="147">
        <v>0</v>
      </c>
      <c r="D48" s="147">
        <v>0</v>
      </c>
      <c r="E48" s="147">
        <v>0</v>
      </c>
      <c r="F48" s="147">
        <v>0</v>
      </c>
      <c r="G48" s="147">
        <v>0</v>
      </c>
      <c r="H48" s="147">
        <v>0</v>
      </c>
      <c r="I48" s="147">
        <v>0</v>
      </c>
      <c r="J48" s="147">
        <v>0</v>
      </c>
      <c r="K48" s="147">
        <v>0</v>
      </c>
      <c r="L48" s="147">
        <v>0</v>
      </c>
      <c r="M48" s="147">
        <v>0</v>
      </c>
      <c r="N48" s="147">
        <v>0</v>
      </c>
      <c r="O48" s="31">
        <f t="shared" si="2"/>
        <v>0</v>
      </c>
    </row>
    <row r="49" spans="1:18" ht="15" x14ac:dyDescent="0.2">
      <c r="A49" s="857" t="s">
        <v>160</v>
      </c>
      <c r="B49" s="858"/>
      <c r="C49" s="33">
        <f t="shared" ref="C49:N49" si="3">SUM(C38:C48)</f>
        <v>23421</v>
      </c>
      <c r="D49" s="33">
        <f t="shared" si="3"/>
        <v>23410</v>
      </c>
      <c r="E49" s="33">
        <f t="shared" si="3"/>
        <v>23410</v>
      </c>
      <c r="F49" s="33">
        <f t="shared" si="3"/>
        <v>23410</v>
      </c>
      <c r="G49" s="33">
        <f t="shared" si="3"/>
        <v>23410</v>
      </c>
      <c r="H49" s="33">
        <f t="shared" si="3"/>
        <v>23410</v>
      </c>
      <c r="I49" s="33">
        <f t="shared" si="3"/>
        <v>23410</v>
      </c>
      <c r="J49" s="33">
        <f t="shared" si="3"/>
        <v>23410</v>
      </c>
      <c r="K49" s="33">
        <f t="shared" si="3"/>
        <v>36910</v>
      </c>
      <c r="L49" s="33">
        <f t="shared" si="3"/>
        <v>41820</v>
      </c>
      <c r="M49" s="33">
        <f t="shared" si="3"/>
        <v>41820</v>
      </c>
      <c r="N49" s="33">
        <f t="shared" si="3"/>
        <v>44415</v>
      </c>
      <c r="O49" s="34">
        <f t="shared" si="2"/>
        <v>352256</v>
      </c>
    </row>
    <row r="50" spans="1:18" ht="15.75" thickBot="1" x14ac:dyDescent="0.25">
      <c r="A50" s="859" t="s">
        <v>161</v>
      </c>
      <c r="B50" s="860"/>
      <c r="C50" s="35">
        <f t="shared" ref="C50:N50" si="4">C37-C49</f>
        <v>104109</v>
      </c>
      <c r="D50" s="35">
        <f t="shared" si="4"/>
        <v>112136</v>
      </c>
      <c r="E50" s="35">
        <f t="shared" si="4"/>
        <v>106124</v>
      </c>
      <c r="F50" s="35">
        <f t="shared" si="4"/>
        <v>106124</v>
      </c>
      <c r="G50" s="35">
        <f t="shared" si="4"/>
        <v>109792</v>
      </c>
      <c r="H50" s="35">
        <f t="shared" si="4"/>
        <v>109792</v>
      </c>
      <c r="I50" s="35">
        <f t="shared" si="4"/>
        <v>109792</v>
      </c>
      <c r="J50" s="35">
        <f t="shared" si="4"/>
        <v>124940</v>
      </c>
      <c r="K50" s="35">
        <f t="shared" si="4"/>
        <v>98352</v>
      </c>
      <c r="L50" s="35">
        <f t="shared" si="4"/>
        <v>93442</v>
      </c>
      <c r="M50" s="35">
        <f t="shared" si="4"/>
        <v>93442</v>
      </c>
      <c r="N50" s="35">
        <f t="shared" si="4"/>
        <v>90847</v>
      </c>
      <c r="O50" s="36">
        <f t="shared" si="2"/>
        <v>1258892</v>
      </c>
      <c r="Q50" s="16">
        <f>61499+54299+10780+56884+57004+58936+61336*2+10383+3454+63397*2+62897+64997+64783</f>
        <v>755382</v>
      </c>
    </row>
    <row r="51" spans="1:18" x14ac:dyDescent="0.2">
      <c r="J51" s="229">
        <f>+J37-SUM(J22:J36)</f>
        <v>142170</v>
      </c>
      <c r="Q51" s="38"/>
    </row>
    <row r="52" spans="1:18" ht="13.5" thickBot="1" x14ac:dyDescent="0.25">
      <c r="J52" s="38">
        <f>+J51-J49</f>
        <v>118760</v>
      </c>
    </row>
    <row r="53" spans="1:18" ht="13.5" thickBot="1" x14ac:dyDescent="0.25">
      <c r="B53" s="789" t="s">
        <v>162</v>
      </c>
      <c r="C53" s="861"/>
      <c r="D53" s="861"/>
      <c r="E53" s="861"/>
      <c r="F53" s="862"/>
      <c r="G53" s="863">
        <f>O37</f>
        <v>1611148</v>
      </c>
      <c r="H53" s="864"/>
    </row>
    <row r="54" spans="1:18" ht="13.5" thickBot="1" x14ac:dyDescent="0.25"/>
    <row r="55" spans="1:18" x14ac:dyDescent="0.2">
      <c r="B55" s="830" t="s">
        <v>163</v>
      </c>
      <c r="C55" s="833" t="s">
        <v>164</v>
      </c>
      <c r="D55" s="836" t="s">
        <v>229</v>
      </c>
      <c r="E55" s="837"/>
      <c r="F55" s="838"/>
      <c r="G55" s="839">
        <v>40000</v>
      </c>
      <c r="H55" s="840"/>
    </row>
    <row r="56" spans="1:18" x14ac:dyDescent="0.2">
      <c r="B56" s="831"/>
      <c r="C56" s="834"/>
      <c r="D56" s="841" t="s">
        <v>166</v>
      </c>
      <c r="E56" s="842"/>
      <c r="F56" s="843"/>
      <c r="G56" s="844">
        <f>+O44</f>
        <v>2400</v>
      </c>
      <c r="H56" s="845"/>
      <c r="I56" s="39"/>
      <c r="J56" s="846"/>
      <c r="K56" s="846"/>
      <c r="L56" s="846"/>
      <c r="M56" s="847"/>
      <c r="N56" s="847"/>
      <c r="O56" s="847"/>
    </row>
    <row r="57" spans="1:18" ht="13.5" thickBot="1" x14ac:dyDescent="0.25">
      <c r="B57" s="832"/>
      <c r="C57" s="835"/>
      <c r="D57" s="848" t="s">
        <v>129</v>
      </c>
      <c r="E57" s="849"/>
      <c r="F57" s="850"/>
      <c r="G57" s="851">
        <v>0</v>
      </c>
      <c r="H57" s="852"/>
      <c r="J57" s="47"/>
      <c r="K57" s="47"/>
      <c r="L57" s="47"/>
      <c r="M57" s="47"/>
      <c r="N57" s="47"/>
      <c r="O57" s="47"/>
    </row>
    <row r="58" spans="1:18" ht="13.5" thickBot="1" x14ac:dyDescent="0.25">
      <c r="B58" s="48"/>
      <c r="J58" s="47"/>
      <c r="K58" s="47"/>
      <c r="L58" s="47"/>
      <c r="M58" s="47"/>
      <c r="N58" s="47"/>
      <c r="O58" s="47"/>
    </row>
    <row r="59" spans="1:18" ht="13.5" thickBot="1" x14ac:dyDescent="0.25">
      <c r="B59" s="789" t="s">
        <v>168</v>
      </c>
      <c r="C59" s="790"/>
      <c r="D59" s="790"/>
      <c r="E59" s="790"/>
      <c r="F59" s="791"/>
      <c r="G59" s="825">
        <f>+G53-SUM(G55:H57)</f>
        <v>1568748</v>
      </c>
      <c r="H59" s="826"/>
      <c r="J59" s="827" t="s">
        <v>169</v>
      </c>
      <c r="K59" s="828"/>
      <c r="L59" s="828"/>
      <c r="M59" s="828"/>
      <c r="N59" s="828"/>
      <c r="O59" s="829"/>
    </row>
    <row r="60" spans="1:18" ht="13.5" thickBot="1" x14ac:dyDescent="0.25">
      <c r="B60" s="49"/>
      <c r="C60" s="50"/>
      <c r="D60" s="50"/>
      <c r="E60" s="50"/>
      <c r="F60" s="50"/>
      <c r="G60" s="45"/>
      <c r="H60" s="50"/>
      <c r="J60" s="129"/>
      <c r="K60" s="130"/>
      <c r="L60" s="130"/>
      <c r="M60" s="130"/>
      <c r="N60" s="130"/>
      <c r="O60" s="131"/>
    </row>
    <row r="61" spans="1:18" ht="13.5" thickBot="1" x14ac:dyDescent="0.25">
      <c r="B61" s="789" t="s">
        <v>170</v>
      </c>
      <c r="C61" s="790"/>
      <c r="D61" s="790"/>
      <c r="E61" s="790"/>
      <c r="F61" s="791"/>
      <c r="G61" s="805"/>
      <c r="H61" s="791"/>
      <c r="J61" s="129"/>
      <c r="K61" s="130"/>
      <c r="L61" s="130"/>
      <c r="M61" s="130"/>
      <c r="N61" s="130"/>
      <c r="O61" s="131"/>
    </row>
    <row r="62" spans="1:18" ht="12.75" customHeight="1" x14ac:dyDescent="0.2">
      <c r="B62" s="57" t="s">
        <v>171</v>
      </c>
      <c r="C62" s="806" t="s">
        <v>172</v>
      </c>
      <c r="D62" s="807"/>
      <c r="E62" s="807"/>
      <c r="F62" s="808"/>
      <c r="G62" s="809">
        <v>0</v>
      </c>
      <c r="H62" s="809"/>
      <c r="I62" s="58"/>
      <c r="J62" s="810" t="s">
        <v>173</v>
      </c>
      <c r="K62" s="811"/>
      <c r="L62" s="811"/>
      <c r="M62" s="811"/>
      <c r="N62" s="811"/>
      <c r="O62" s="812"/>
      <c r="Q62" s="59"/>
      <c r="R62" s="59"/>
    </row>
    <row r="63" spans="1:18" ht="13.5" thickBot="1" x14ac:dyDescent="0.25">
      <c r="D63" s="37"/>
      <c r="I63" s="58"/>
      <c r="J63" s="60" t="s">
        <v>638</v>
      </c>
      <c r="K63" s="132"/>
      <c r="L63" s="132"/>
      <c r="M63" s="133"/>
      <c r="N63" s="133" t="s">
        <v>315</v>
      </c>
      <c r="O63" s="134"/>
      <c r="Q63" s="59"/>
      <c r="R63" s="59"/>
    </row>
    <row r="64" spans="1:18" ht="13.5" thickBot="1" x14ac:dyDescent="0.25">
      <c r="B64" s="789" t="s">
        <v>175</v>
      </c>
      <c r="C64" s="790"/>
      <c r="D64" s="790"/>
      <c r="E64" s="790"/>
      <c r="F64" s="791"/>
      <c r="G64" s="805">
        <f>+G59-G62</f>
        <v>1568748</v>
      </c>
      <c r="H64" s="791"/>
      <c r="I64" s="63"/>
      <c r="J64" s="64"/>
      <c r="K64" s="39"/>
      <c r="L64" s="39"/>
      <c r="M64" s="39"/>
      <c r="N64" s="39" t="s">
        <v>388</v>
      </c>
      <c r="O64" s="65"/>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6.25" customHeight="1" thickBot="1" x14ac:dyDescent="0.25">
      <c r="B67" s="66"/>
      <c r="C67" s="48"/>
      <c r="G67" s="70" t="s">
        <v>177</v>
      </c>
      <c r="H67" s="70" t="s">
        <v>178</v>
      </c>
      <c r="I67" s="63"/>
      <c r="J67" s="810" t="s">
        <v>179</v>
      </c>
      <c r="K67" s="811"/>
      <c r="L67" s="71"/>
      <c r="M67" s="71"/>
      <c r="N67" s="71"/>
      <c r="O67" s="72"/>
      <c r="Q67" s="59"/>
      <c r="R67" s="59"/>
    </row>
    <row r="68" spans="2:18" ht="12.75" customHeight="1" x14ac:dyDescent="0.2">
      <c r="B68" s="802" t="s">
        <v>180</v>
      </c>
      <c r="C68" s="821" t="s">
        <v>181</v>
      </c>
      <c r="D68" s="823" t="s">
        <v>182</v>
      </c>
      <c r="E68" s="824"/>
      <c r="F68" s="824"/>
      <c r="G68" s="73">
        <f>+O43</f>
        <v>72000</v>
      </c>
      <c r="H68" s="74">
        <f t="shared" ref="H68:H76" si="5">+G68</f>
        <v>72000</v>
      </c>
      <c r="I68" s="63"/>
      <c r="J68" s="75" t="s">
        <v>446</v>
      </c>
      <c r="K68" s="58"/>
      <c r="L68" s="58"/>
      <c r="M68" s="58"/>
      <c r="N68" s="58"/>
      <c r="O68" s="76"/>
      <c r="Q68" s="59"/>
      <c r="R68" s="59"/>
    </row>
    <row r="69" spans="2:18" ht="12.75" customHeight="1" x14ac:dyDescent="0.2">
      <c r="B69" s="803"/>
      <c r="C69" s="822"/>
      <c r="D69" s="782" t="s">
        <v>184</v>
      </c>
      <c r="E69" s="783"/>
      <c r="F69" s="783"/>
      <c r="G69" s="77">
        <f>+O47+O69+O70</f>
        <v>0</v>
      </c>
      <c r="H69" s="78">
        <f t="shared" si="5"/>
        <v>0</v>
      </c>
      <c r="I69" s="63"/>
      <c r="J69" s="282">
        <v>19033891</v>
      </c>
      <c r="K69" s="68"/>
      <c r="L69" s="283" t="s">
        <v>639</v>
      </c>
      <c r="M69" s="68"/>
      <c r="N69" s="68"/>
      <c r="O69" s="136"/>
      <c r="P69" s="1" t="s">
        <v>640</v>
      </c>
      <c r="Q69" s="59"/>
      <c r="R69" s="59"/>
    </row>
    <row r="70" spans="2:18" ht="12.75" customHeight="1" x14ac:dyDescent="0.2">
      <c r="B70" s="803"/>
      <c r="C70" s="822"/>
      <c r="D70" s="819" t="s">
        <v>185</v>
      </c>
      <c r="E70" s="820"/>
      <c r="F70" s="820"/>
      <c r="G70" s="80">
        <f>O40</f>
        <v>720</v>
      </c>
      <c r="H70" s="78">
        <f t="shared" si="5"/>
        <v>720</v>
      </c>
      <c r="I70" s="63"/>
      <c r="J70" s="164">
        <v>18457042</v>
      </c>
      <c r="K70" s="68"/>
      <c r="L70" s="283" t="s">
        <v>639</v>
      </c>
      <c r="M70" s="68"/>
      <c r="N70" s="68"/>
      <c r="O70" s="136"/>
    </row>
    <row r="71" spans="2:18" x14ac:dyDescent="0.2">
      <c r="B71" s="803"/>
      <c r="C71" s="822"/>
      <c r="D71" s="782" t="s">
        <v>186</v>
      </c>
      <c r="E71" s="783"/>
      <c r="F71" s="783"/>
      <c r="G71" s="81">
        <v>0</v>
      </c>
      <c r="H71" s="78">
        <f t="shared" si="5"/>
        <v>0</v>
      </c>
      <c r="I71" s="63"/>
      <c r="J71" s="82" t="s">
        <v>187</v>
      </c>
      <c r="K71" s="71"/>
      <c r="L71" s="71"/>
      <c r="M71" s="71"/>
      <c r="N71" s="71"/>
      <c r="O71" s="72"/>
    </row>
    <row r="72" spans="2:18" ht="12.75" customHeight="1" x14ac:dyDescent="0.2">
      <c r="B72" s="803"/>
      <c r="C72" s="822"/>
      <c r="D72" s="784" t="s">
        <v>188</v>
      </c>
      <c r="E72" s="783"/>
      <c r="F72" s="783"/>
      <c r="G72" s="80">
        <v>0</v>
      </c>
      <c r="H72" s="78">
        <f t="shared" si="5"/>
        <v>0</v>
      </c>
      <c r="I72" s="63"/>
      <c r="J72" s="75" t="s">
        <v>189</v>
      </c>
      <c r="K72" s="50"/>
      <c r="L72" s="50"/>
      <c r="M72" s="50"/>
      <c r="N72" s="50"/>
      <c r="O72" s="83">
        <f>O42</f>
        <v>7800</v>
      </c>
    </row>
    <row r="73" spans="2:18" ht="14.25" customHeight="1" x14ac:dyDescent="0.2">
      <c r="B73" s="803"/>
      <c r="C73" s="822"/>
      <c r="D73" s="782" t="s">
        <v>190</v>
      </c>
      <c r="E73" s="783"/>
      <c r="F73" s="783"/>
      <c r="G73" s="84">
        <v>0</v>
      </c>
      <c r="H73" s="78">
        <f t="shared" si="5"/>
        <v>0</v>
      </c>
      <c r="I73" s="63"/>
      <c r="J73" s="75" t="s">
        <v>641</v>
      </c>
      <c r="K73" s="39"/>
      <c r="L73" s="39"/>
      <c r="M73" s="39"/>
      <c r="N73" s="39"/>
      <c r="O73" s="65"/>
    </row>
    <row r="74" spans="2:18" x14ac:dyDescent="0.2">
      <c r="B74" s="803"/>
      <c r="C74" s="822"/>
      <c r="D74" s="782" t="s">
        <v>191</v>
      </c>
      <c r="E74" s="783"/>
      <c r="F74" s="783"/>
      <c r="G74" s="81">
        <v>0</v>
      </c>
      <c r="H74" s="78">
        <f t="shared" si="5"/>
        <v>0</v>
      </c>
      <c r="I74" s="58"/>
      <c r="J74" s="137" t="s">
        <v>642</v>
      </c>
      <c r="K74" s="50"/>
      <c r="L74" s="50"/>
      <c r="M74" s="50"/>
      <c r="N74" s="50"/>
      <c r="O74" s="83"/>
    </row>
    <row r="75" spans="2:18" x14ac:dyDescent="0.2">
      <c r="B75" s="803"/>
      <c r="C75" s="88" t="s">
        <v>192</v>
      </c>
      <c r="D75" s="813" t="s">
        <v>193</v>
      </c>
      <c r="E75" s="814"/>
      <c r="F75" s="814"/>
      <c r="G75" s="80">
        <v>0</v>
      </c>
      <c r="H75" s="78">
        <f t="shared" si="5"/>
        <v>0</v>
      </c>
      <c r="I75" s="58"/>
      <c r="J75" s="79"/>
      <c r="K75" s="39"/>
      <c r="L75" s="39"/>
      <c r="M75" s="39"/>
      <c r="N75" s="39"/>
      <c r="O75" s="65"/>
    </row>
    <row r="76" spans="2:18" ht="13.5" customHeight="1" thickBot="1" x14ac:dyDescent="0.25">
      <c r="B76" s="803"/>
      <c r="C76" s="88" t="s">
        <v>194</v>
      </c>
      <c r="D76" s="815" t="s">
        <v>195</v>
      </c>
      <c r="E76" s="815"/>
      <c r="F76" s="815"/>
      <c r="G76" s="89">
        <v>0</v>
      </c>
      <c r="H76" s="90">
        <f t="shared" si="5"/>
        <v>0</v>
      </c>
      <c r="I76" s="63"/>
      <c r="J76" s="67"/>
      <c r="K76" s="68"/>
      <c r="L76" s="68"/>
      <c r="M76" s="91"/>
      <c r="N76" s="91"/>
      <c r="O76" s="92"/>
    </row>
    <row r="77" spans="2:18" ht="13.5" thickBot="1" x14ac:dyDescent="0.25">
      <c r="B77" s="803"/>
      <c r="C77" s="93"/>
      <c r="D77" s="94"/>
      <c r="E77" s="816" t="s">
        <v>117</v>
      </c>
      <c r="F77" s="817"/>
      <c r="G77" s="95">
        <f>SUM(G68:G76)</f>
        <v>72720</v>
      </c>
      <c r="H77" s="96">
        <f>IF(SUM(G68:G74)&lt;150000,SUM(G68:G74),150000)+IF(+G75&lt;20000,+G75,20000)</f>
        <v>72720</v>
      </c>
      <c r="I77" s="63"/>
      <c r="J77" s="140"/>
      <c r="K77" s="141"/>
      <c r="L77" s="141"/>
      <c r="M77" s="142"/>
      <c r="N77" s="142"/>
      <c r="O77" s="143"/>
    </row>
    <row r="78" spans="2:18" ht="12.75" customHeight="1" x14ac:dyDescent="0.2">
      <c r="B78" s="803"/>
      <c r="C78" s="100" t="s">
        <v>196</v>
      </c>
      <c r="D78" s="782" t="s">
        <v>187</v>
      </c>
      <c r="E78" s="783"/>
      <c r="F78" s="818"/>
      <c r="G78" s="73">
        <f>+O42+O73</f>
        <v>7800</v>
      </c>
      <c r="H78" s="101">
        <f>+IF(+G78&lt;25000,+G78,25000)</f>
        <v>7800</v>
      </c>
      <c r="I78" s="87"/>
    </row>
    <row r="79" spans="2:18" x14ac:dyDescent="0.2">
      <c r="B79" s="803"/>
      <c r="C79" s="100" t="s">
        <v>197</v>
      </c>
      <c r="D79" s="784" t="s">
        <v>198</v>
      </c>
      <c r="E79" s="785"/>
      <c r="F79" s="786"/>
      <c r="G79" s="102"/>
      <c r="H79" s="103">
        <f>+IF(+G79&lt;40000,+G79,40000)</f>
        <v>0</v>
      </c>
      <c r="I79" s="63"/>
    </row>
    <row r="80" spans="2:18" x14ac:dyDescent="0.2">
      <c r="B80" s="803"/>
      <c r="C80" s="100" t="s">
        <v>199</v>
      </c>
      <c r="D80" s="784" t="s">
        <v>200</v>
      </c>
      <c r="E80" s="785"/>
      <c r="F80" s="786"/>
      <c r="G80" s="81"/>
      <c r="H80" s="104">
        <v>0</v>
      </c>
      <c r="I80" s="63"/>
    </row>
    <row r="81" spans="2:12" x14ac:dyDescent="0.2">
      <c r="B81" s="803"/>
      <c r="C81" s="100" t="s">
        <v>201</v>
      </c>
      <c r="D81" s="784" t="s">
        <v>202</v>
      </c>
      <c r="E81" s="785"/>
      <c r="F81" s="786"/>
      <c r="G81" s="81"/>
      <c r="H81" s="104">
        <v>0</v>
      </c>
      <c r="I81" s="63"/>
    </row>
    <row r="82" spans="2:12" ht="13.5" thickBot="1" x14ac:dyDescent="0.25">
      <c r="B82" s="804"/>
      <c r="C82" s="100" t="s">
        <v>203</v>
      </c>
      <c r="D82" s="784" t="s">
        <v>204</v>
      </c>
      <c r="E82" s="785"/>
      <c r="F82" s="786"/>
      <c r="G82" s="102"/>
      <c r="H82" s="103">
        <f>+IF(+G82&lt;100000,+G82,10000)</f>
        <v>0</v>
      </c>
      <c r="I82" s="63"/>
    </row>
    <row r="83" spans="2:12" ht="13.5" thickBot="1" x14ac:dyDescent="0.25">
      <c r="B83" s="787" t="s">
        <v>205</v>
      </c>
      <c r="C83" s="788"/>
      <c r="D83" s="788"/>
      <c r="E83" s="788"/>
      <c r="F83" s="788"/>
      <c r="G83" s="107">
        <f>SUM(G78:G82)</f>
        <v>7800</v>
      </c>
      <c r="H83" s="108">
        <f>SUM(H77:H82)</f>
        <v>80520</v>
      </c>
    </row>
    <row r="84" spans="2:12" ht="13.5" thickBot="1" x14ac:dyDescent="0.25"/>
    <row r="85" spans="2:12" ht="13.5" thickBot="1" x14ac:dyDescent="0.25">
      <c r="B85" s="789" t="s">
        <v>206</v>
      </c>
      <c r="C85" s="790"/>
      <c r="D85" s="790"/>
      <c r="E85" s="790"/>
      <c r="F85" s="791"/>
      <c r="G85" s="792">
        <f>+G64-H83</f>
        <v>1488228</v>
      </c>
      <c r="H85" s="791"/>
      <c r="J85" s="109">
        <f>C37+D37+E37+F37</f>
        <v>522144</v>
      </c>
      <c r="K85" s="16" t="s">
        <v>235</v>
      </c>
    </row>
    <row r="86" spans="2:12" x14ac:dyDescent="0.2">
      <c r="B86" s="110"/>
      <c r="F86" s="105"/>
      <c r="J86" s="109">
        <f>G37+H37+I37</f>
        <v>399606</v>
      </c>
      <c r="K86" s="16" t="s">
        <v>236</v>
      </c>
    </row>
    <row r="87" spans="2:12" x14ac:dyDescent="0.2">
      <c r="C87" s="793" t="s">
        <v>207</v>
      </c>
      <c r="D87" s="794"/>
      <c r="E87" s="111" t="s">
        <v>208</v>
      </c>
      <c r="F87" s="111" t="s">
        <v>209</v>
      </c>
      <c r="G87" s="111" t="s">
        <v>210</v>
      </c>
      <c r="H87" s="111" t="s">
        <v>211</v>
      </c>
      <c r="J87" s="206">
        <f>J37+K37+L37</f>
        <v>418874</v>
      </c>
      <c r="K87" s="47" t="s">
        <v>237</v>
      </c>
    </row>
    <row r="88" spans="2:12" x14ac:dyDescent="0.2">
      <c r="C88" s="795" t="str">
        <f>IF(I6="M","0          - 250000","0          -  250000")</f>
        <v>0          - 250000</v>
      </c>
      <c r="D88" s="796"/>
      <c r="E88" s="112">
        <v>0</v>
      </c>
      <c r="F88" s="113">
        <f>IF(I6="M",(IF(G85&lt;250000,G85,250000)),(IF(G85&lt;250000,G85,250000)))</f>
        <v>250000</v>
      </c>
      <c r="G88" s="113">
        <f>G85-F88</f>
        <v>1238228</v>
      </c>
      <c r="H88" s="113">
        <f>E88*F88</f>
        <v>0</v>
      </c>
      <c r="J88" s="207">
        <f>M37+N37</f>
        <v>270524</v>
      </c>
      <c r="K88" s="1" t="s">
        <v>238</v>
      </c>
    </row>
    <row r="89" spans="2:12" x14ac:dyDescent="0.2">
      <c r="C89" s="795" t="str">
        <f>IF(I6="M","250001 - 500000","250001-500000")</f>
        <v>250001 - 500000</v>
      </c>
      <c r="D89" s="796"/>
      <c r="E89" s="112">
        <v>0.05</v>
      </c>
      <c r="F89" s="113">
        <f>IF(I6="M",(IF(G88&lt;250000,G88,250000)),(IF(G88&lt;250000,G88,250000)))</f>
        <v>250000</v>
      </c>
      <c r="G89" s="113">
        <f>G88-F89</f>
        <v>988228</v>
      </c>
      <c r="H89" s="114">
        <f>ROUND(E89*F89,0.1)</f>
        <v>12500</v>
      </c>
      <c r="J89" s="115">
        <f>SUM(J85:J88)</f>
        <v>1611148</v>
      </c>
    </row>
    <row r="90" spans="2:12" x14ac:dyDescent="0.2">
      <c r="C90" s="797" t="s">
        <v>212</v>
      </c>
      <c r="D90" s="798"/>
      <c r="E90" s="112">
        <v>0.2</v>
      </c>
      <c r="F90" s="113">
        <f>IF(G89&lt;500000,G89,500000)</f>
        <v>500000</v>
      </c>
      <c r="G90" s="113">
        <f>G89-F90</f>
        <v>488228</v>
      </c>
      <c r="H90" s="114">
        <f>ROUND(E90*F90,0.1)</f>
        <v>100000</v>
      </c>
      <c r="J90" s="16">
        <f>+G85</f>
        <v>1488228</v>
      </c>
    </row>
    <row r="91" spans="2:12" x14ac:dyDescent="0.2">
      <c r="C91" s="795" t="s">
        <v>213</v>
      </c>
      <c r="D91" s="796"/>
      <c r="E91" s="112">
        <v>0.3</v>
      </c>
      <c r="F91" s="113">
        <f>G90</f>
        <v>488228</v>
      </c>
      <c r="G91" s="113">
        <f>G90-F91</f>
        <v>0</v>
      </c>
      <c r="H91" s="114">
        <f>ROUND(E91*F91,0.1)</f>
        <v>146468</v>
      </c>
      <c r="J91" s="16">
        <f>+J89-J90</f>
        <v>122920</v>
      </c>
    </row>
    <row r="92" spans="2:12" ht="12.75" customHeight="1" thickBot="1" x14ac:dyDescent="0.25">
      <c r="B92" s="116"/>
      <c r="C92" s="117"/>
      <c r="D92" s="47"/>
      <c r="E92" s="47"/>
      <c r="F92" s="47"/>
    </row>
    <row r="93" spans="2:12" ht="13.5" thickBot="1" x14ac:dyDescent="0.25">
      <c r="B93" s="799" t="s">
        <v>239</v>
      </c>
      <c r="C93" s="800"/>
      <c r="D93" s="800"/>
      <c r="E93" s="800"/>
      <c r="F93" s="801"/>
      <c r="G93" s="771">
        <f>H88+H89+H90+H91</f>
        <v>258968</v>
      </c>
      <c r="H93" s="772"/>
    </row>
    <row r="94" spans="2:12" ht="13.5" thickBot="1" x14ac:dyDescent="0.25">
      <c r="B94" s="119" t="s">
        <v>215</v>
      </c>
      <c r="C94" s="120"/>
      <c r="D94" s="120"/>
      <c r="E94" s="120"/>
      <c r="F94" s="120"/>
      <c r="G94" s="884">
        <f>IF((G64&lt;500000),5000,0)</f>
        <v>0</v>
      </c>
      <c r="H94" s="885">
        <f>IF(H92&lt;200000,0,IF(H92&lt;220000,((H92-200000)*10%),IF(H92&lt;=500000,2000,IF(H92&gt;=500000,0))))</f>
        <v>0</v>
      </c>
      <c r="J94" s="1"/>
      <c r="K94" s="121"/>
      <c r="L94" s="121"/>
    </row>
    <row r="95" spans="2:12" ht="13.5" thickBot="1" x14ac:dyDescent="0.25">
      <c r="B95" s="122" t="s">
        <v>216</v>
      </c>
      <c r="C95" s="123"/>
      <c r="D95" s="123"/>
      <c r="E95" s="123"/>
      <c r="F95" s="123"/>
      <c r="G95" s="771">
        <f>IF((G93-G94)&lt;0,0,(G93-G94))</f>
        <v>258968</v>
      </c>
      <c r="H95" s="772"/>
      <c r="I95" s="37"/>
    </row>
    <row r="96" spans="2:12" ht="13.5" thickBot="1" x14ac:dyDescent="0.25">
      <c r="B96" s="773" t="s">
        <v>240</v>
      </c>
      <c r="C96" s="774"/>
      <c r="D96" s="774"/>
      <c r="E96" s="774"/>
      <c r="F96" s="775"/>
      <c r="G96" s="776">
        <f>ROUND((IF(G95&gt;0,(G95*4%),0)),0)</f>
        <v>10359</v>
      </c>
      <c r="H96" s="777"/>
      <c r="I96" s="37"/>
    </row>
    <row r="97" spans="2:9" ht="13.5" thickBot="1" x14ac:dyDescent="0.25">
      <c r="B97" s="778" t="s">
        <v>218</v>
      </c>
      <c r="C97" s="779"/>
      <c r="D97" s="779"/>
      <c r="E97" s="779"/>
      <c r="F97" s="779"/>
      <c r="G97" s="780">
        <f>G95+G96</f>
        <v>269327</v>
      </c>
      <c r="H97" s="781"/>
      <c r="I97" s="121"/>
    </row>
    <row r="98" spans="2:9" ht="13.5" thickBot="1" x14ac:dyDescent="0.25">
      <c r="B98" s="765" t="s">
        <v>219</v>
      </c>
      <c r="C98" s="766"/>
      <c r="D98" s="766"/>
      <c r="E98" s="766"/>
      <c r="F98" s="766"/>
      <c r="G98" s="767">
        <f>O38</f>
        <v>269336</v>
      </c>
      <c r="H98" s="768"/>
      <c r="I98" s="121"/>
    </row>
    <row r="99" spans="2:9" ht="13.5" thickBot="1" x14ac:dyDescent="0.25">
      <c r="B99" s="765" t="str">
        <f>IF(G99&gt;0,"TAX PAYABLE","TAX REFUND")</f>
        <v>TAX REFUND</v>
      </c>
      <c r="C99" s="766"/>
      <c r="D99" s="766"/>
      <c r="E99" s="766"/>
      <c r="F99" s="766"/>
      <c r="G99" s="767">
        <f>+G97-G98</f>
        <v>-9</v>
      </c>
      <c r="H99" s="768"/>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0:F90 B99:F99 B93:F97">
    <cfRule type="cellIs" dxfId="1925" priority="1" stopIfTrue="1" operator="equal">
      <formula>"TAX PAYABLE"</formula>
    </cfRule>
    <cfRule type="cellIs" dxfId="1924" priority="2" stopIfTrue="1" operator="equal">
      <formula>"TAX REFUND"</formula>
    </cfRule>
  </conditionalFormatting>
  <conditionalFormatting sqref="G99:H99">
    <cfRule type="cellIs" dxfId="1923" priority="3" stopIfTrue="1" operator="greaterThan">
      <formula>0</formula>
    </cfRule>
    <cfRule type="cellIs" dxfId="1922" priority="4"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5" right="0.75" top="1" bottom="1" header="0.5" footer="0.5"/>
  <pageSetup orientation="portrait" verticalDpi="0" r:id="rId1"/>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8"/>
  <sheetViews>
    <sheetView topLeftCell="A58" workbookViewId="0">
      <selection activeCell="K80" sqref="K80"/>
    </sheetView>
  </sheetViews>
  <sheetFormatPr defaultRowHeight="12.75" x14ac:dyDescent="0.2"/>
  <cols>
    <col min="1" max="1" width="5" style="16" customWidth="1"/>
    <col min="2" max="2" width="20.85546875" style="37" customWidth="1"/>
    <col min="3" max="3" width="7.7109375" style="16" customWidth="1"/>
    <col min="4" max="4" width="8.5703125" style="16" customWidth="1"/>
    <col min="5" max="5" width="8.5703125" style="16" bestFit="1" customWidth="1"/>
    <col min="6" max="6" width="8" style="16" customWidth="1"/>
    <col min="7" max="10" width="9" style="16" customWidth="1"/>
    <col min="11" max="14" width="8.28515625" style="16" customWidth="1"/>
    <col min="15" max="15" width="8.140625" style="16" customWidth="1"/>
    <col min="16" max="20" width="9.140625" style="16"/>
    <col min="21" max="21" width="12.42578125" style="16" customWidth="1"/>
    <col min="22" max="22" width="9.140625" style="16"/>
    <col min="23" max="23" width="12" style="16" customWidth="1"/>
    <col min="24" max="256" width="9.140625" style="16"/>
    <col min="257" max="257" width="5" style="16" customWidth="1"/>
    <col min="258" max="258" width="20.85546875" style="16" customWidth="1"/>
    <col min="259" max="259" width="7.7109375" style="16" customWidth="1"/>
    <col min="260" max="260" width="8.5703125" style="16" customWidth="1"/>
    <col min="261" max="261" width="8.5703125" style="16" bestFit="1" customWidth="1"/>
    <col min="262" max="262" width="8" style="16" customWidth="1"/>
    <col min="263" max="266" width="9" style="16" customWidth="1"/>
    <col min="267" max="270" width="8.28515625" style="16" customWidth="1"/>
    <col min="271" max="271" width="8.140625" style="16" customWidth="1"/>
    <col min="272" max="276" width="9.140625" style="16"/>
    <col min="277" max="277" width="12.42578125" style="16" customWidth="1"/>
    <col min="278" max="278" width="9.140625" style="16"/>
    <col min="279" max="279" width="12" style="16" customWidth="1"/>
    <col min="280" max="512" width="9.140625" style="16"/>
    <col min="513" max="513" width="5" style="16" customWidth="1"/>
    <col min="514" max="514" width="20.85546875" style="16" customWidth="1"/>
    <col min="515" max="515" width="7.7109375" style="16" customWidth="1"/>
    <col min="516" max="516" width="8.5703125" style="16" customWidth="1"/>
    <col min="517" max="517" width="8.5703125" style="16" bestFit="1" customWidth="1"/>
    <col min="518" max="518" width="8" style="16" customWidth="1"/>
    <col min="519" max="522" width="9" style="16" customWidth="1"/>
    <col min="523" max="526" width="8.28515625" style="16" customWidth="1"/>
    <col min="527" max="527" width="8.140625" style="16" customWidth="1"/>
    <col min="528" max="532" width="9.140625" style="16"/>
    <col min="533" max="533" width="12.42578125" style="16" customWidth="1"/>
    <col min="534" max="534" width="9.140625" style="16"/>
    <col min="535" max="535" width="12" style="16" customWidth="1"/>
    <col min="536" max="768" width="9.140625" style="16"/>
    <col min="769" max="769" width="5" style="16" customWidth="1"/>
    <col min="770" max="770" width="20.85546875" style="16" customWidth="1"/>
    <col min="771" max="771" width="7.7109375" style="16" customWidth="1"/>
    <col min="772" max="772" width="8.5703125" style="16" customWidth="1"/>
    <col min="773" max="773" width="8.5703125" style="16" bestFit="1" customWidth="1"/>
    <col min="774" max="774" width="8" style="16" customWidth="1"/>
    <col min="775" max="778" width="9" style="16" customWidth="1"/>
    <col min="779" max="782" width="8.28515625" style="16" customWidth="1"/>
    <col min="783" max="783" width="8.140625" style="16" customWidth="1"/>
    <col min="784" max="788" width="9.140625" style="16"/>
    <col min="789" max="789" width="12.42578125" style="16" customWidth="1"/>
    <col min="790" max="790" width="9.140625" style="16"/>
    <col min="791" max="791" width="12" style="16" customWidth="1"/>
    <col min="792" max="1024" width="9.140625" style="16"/>
    <col min="1025" max="1025" width="5" style="16" customWidth="1"/>
    <col min="1026" max="1026" width="20.85546875" style="16" customWidth="1"/>
    <col min="1027" max="1027" width="7.7109375" style="16" customWidth="1"/>
    <col min="1028" max="1028" width="8.5703125" style="16" customWidth="1"/>
    <col min="1029" max="1029" width="8.5703125" style="16" bestFit="1" customWidth="1"/>
    <col min="1030" max="1030" width="8" style="16" customWidth="1"/>
    <col min="1031" max="1034" width="9" style="16" customWidth="1"/>
    <col min="1035" max="1038" width="8.28515625" style="16" customWidth="1"/>
    <col min="1039" max="1039" width="8.140625" style="16" customWidth="1"/>
    <col min="1040" max="1044" width="9.140625" style="16"/>
    <col min="1045" max="1045" width="12.42578125" style="16" customWidth="1"/>
    <col min="1046" max="1046" width="9.140625" style="16"/>
    <col min="1047" max="1047" width="12" style="16" customWidth="1"/>
    <col min="1048" max="1280" width="9.140625" style="16"/>
    <col min="1281" max="1281" width="5" style="16" customWidth="1"/>
    <col min="1282" max="1282" width="20.85546875" style="16" customWidth="1"/>
    <col min="1283" max="1283" width="7.7109375" style="16" customWidth="1"/>
    <col min="1284" max="1284" width="8.5703125" style="16" customWidth="1"/>
    <col min="1285" max="1285" width="8.5703125" style="16" bestFit="1" customWidth="1"/>
    <col min="1286" max="1286" width="8" style="16" customWidth="1"/>
    <col min="1287" max="1290" width="9" style="16" customWidth="1"/>
    <col min="1291" max="1294" width="8.28515625" style="16" customWidth="1"/>
    <col min="1295" max="1295" width="8.140625" style="16" customWidth="1"/>
    <col min="1296" max="1300" width="9.140625" style="16"/>
    <col min="1301" max="1301" width="12.42578125" style="16" customWidth="1"/>
    <col min="1302" max="1302" width="9.140625" style="16"/>
    <col min="1303" max="1303" width="12" style="16" customWidth="1"/>
    <col min="1304" max="1536" width="9.140625" style="16"/>
    <col min="1537" max="1537" width="5" style="16" customWidth="1"/>
    <col min="1538" max="1538" width="20.85546875" style="16" customWidth="1"/>
    <col min="1539" max="1539" width="7.7109375" style="16" customWidth="1"/>
    <col min="1540" max="1540" width="8.5703125" style="16" customWidth="1"/>
    <col min="1541" max="1541" width="8.5703125" style="16" bestFit="1" customWidth="1"/>
    <col min="1542" max="1542" width="8" style="16" customWidth="1"/>
    <col min="1543" max="1546" width="9" style="16" customWidth="1"/>
    <col min="1547" max="1550" width="8.28515625" style="16" customWidth="1"/>
    <col min="1551" max="1551" width="8.140625" style="16" customWidth="1"/>
    <col min="1552" max="1556" width="9.140625" style="16"/>
    <col min="1557" max="1557" width="12.42578125" style="16" customWidth="1"/>
    <col min="1558" max="1558" width="9.140625" style="16"/>
    <col min="1559" max="1559" width="12" style="16" customWidth="1"/>
    <col min="1560" max="1792" width="9.140625" style="16"/>
    <col min="1793" max="1793" width="5" style="16" customWidth="1"/>
    <col min="1794" max="1794" width="20.85546875" style="16" customWidth="1"/>
    <col min="1795" max="1795" width="7.7109375" style="16" customWidth="1"/>
    <col min="1796" max="1796" width="8.5703125" style="16" customWidth="1"/>
    <col min="1797" max="1797" width="8.5703125" style="16" bestFit="1" customWidth="1"/>
    <col min="1798" max="1798" width="8" style="16" customWidth="1"/>
    <col min="1799" max="1802" width="9" style="16" customWidth="1"/>
    <col min="1803" max="1806" width="8.28515625" style="16" customWidth="1"/>
    <col min="1807" max="1807" width="8.140625" style="16" customWidth="1"/>
    <col min="1808" max="1812" width="9.140625" style="16"/>
    <col min="1813" max="1813" width="12.42578125" style="16" customWidth="1"/>
    <col min="1814" max="1814" width="9.140625" style="16"/>
    <col min="1815" max="1815" width="12" style="16" customWidth="1"/>
    <col min="1816" max="2048" width="9.140625" style="16"/>
    <col min="2049" max="2049" width="5" style="16" customWidth="1"/>
    <col min="2050" max="2050" width="20.85546875" style="16" customWidth="1"/>
    <col min="2051" max="2051" width="7.7109375" style="16" customWidth="1"/>
    <col min="2052" max="2052" width="8.5703125" style="16" customWidth="1"/>
    <col min="2053" max="2053" width="8.5703125" style="16" bestFit="1" customWidth="1"/>
    <col min="2054" max="2054" width="8" style="16" customWidth="1"/>
    <col min="2055" max="2058" width="9" style="16" customWidth="1"/>
    <col min="2059" max="2062" width="8.28515625" style="16" customWidth="1"/>
    <col min="2063" max="2063" width="8.140625" style="16" customWidth="1"/>
    <col min="2064" max="2068" width="9.140625" style="16"/>
    <col min="2069" max="2069" width="12.42578125" style="16" customWidth="1"/>
    <col min="2070" max="2070" width="9.140625" style="16"/>
    <col min="2071" max="2071" width="12" style="16" customWidth="1"/>
    <col min="2072" max="2304" width="9.140625" style="16"/>
    <col min="2305" max="2305" width="5" style="16" customWidth="1"/>
    <col min="2306" max="2306" width="20.85546875" style="16" customWidth="1"/>
    <col min="2307" max="2307" width="7.7109375" style="16" customWidth="1"/>
    <col min="2308" max="2308" width="8.5703125" style="16" customWidth="1"/>
    <col min="2309" max="2309" width="8.5703125" style="16" bestFit="1" customWidth="1"/>
    <col min="2310" max="2310" width="8" style="16" customWidth="1"/>
    <col min="2311" max="2314" width="9" style="16" customWidth="1"/>
    <col min="2315" max="2318" width="8.28515625" style="16" customWidth="1"/>
    <col min="2319" max="2319" width="8.140625" style="16" customWidth="1"/>
    <col min="2320" max="2324" width="9.140625" style="16"/>
    <col min="2325" max="2325" width="12.42578125" style="16" customWidth="1"/>
    <col min="2326" max="2326" width="9.140625" style="16"/>
    <col min="2327" max="2327" width="12" style="16" customWidth="1"/>
    <col min="2328" max="2560" width="9.140625" style="16"/>
    <col min="2561" max="2561" width="5" style="16" customWidth="1"/>
    <col min="2562" max="2562" width="20.85546875" style="16" customWidth="1"/>
    <col min="2563" max="2563" width="7.7109375" style="16" customWidth="1"/>
    <col min="2564" max="2564" width="8.5703125" style="16" customWidth="1"/>
    <col min="2565" max="2565" width="8.5703125" style="16" bestFit="1" customWidth="1"/>
    <col min="2566" max="2566" width="8" style="16" customWidth="1"/>
    <col min="2567" max="2570" width="9" style="16" customWidth="1"/>
    <col min="2571" max="2574" width="8.28515625" style="16" customWidth="1"/>
    <col min="2575" max="2575" width="8.140625" style="16" customWidth="1"/>
    <col min="2576" max="2580" width="9.140625" style="16"/>
    <col min="2581" max="2581" width="12.42578125" style="16" customWidth="1"/>
    <col min="2582" max="2582" width="9.140625" style="16"/>
    <col min="2583" max="2583" width="12" style="16" customWidth="1"/>
    <col min="2584" max="2816" width="9.140625" style="16"/>
    <col min="2817" max="2817" width="5" style="16" customWidth="1"/>
    <col min="2818" max="2818" width="20.85546875" style="16" customWidth="1"/>
    <col min="2819" max="2819" width="7.7109375" style="16" customWidth="1"/>
    <col min="2820" max="2820" width="8.5703125" style="16" customWidth="1"/>
    <col min="2821" max="2821" width="8.5703125" style="16" bestFit="1" customWidth="1"/>
    <col min="2822" max="2822" width="8" style="16" customWidth="1"/>
    <col min="2823" max="2826" width="9" style="16" customWidth="1"/>
    <col min="2827" max="2830" width="8.28515625" style="16" customWidth="1"/>
    <col min="2831" max="2831" width="8.140625" style="16" customWidth="1"/>
    <col min="2832" max="2836" width="9.140625" style="16"/>
    <col min="2837" max="2837" width="12.42578125" style="16" customWidth="1"/>
    <col min="2838" max="2838" width="9.140625" style="16"/>
    <col min="2839" max="2839" width="12" style="16" customWidth="1"/>
    <col min="2840" max="3072" width="9.140625" style="16"/>
    <col min="3073" max="3073" width="5" style="16" customWidth="1"/>
    <col min="3074" max="3074" width="20.85546875" style="16" customWidth="1"/>
    <col min="3075" max="3075" width="7.7109375" style="16" customWidth="1"/>
    <col min="3076" max="3076" width="8.5703125" style="16" customWidth="1"/>
    <col min="3077" max="3077" width="8.5703125" style="16" bestFit="1" customWidth="1"/>
    <col min="3078" max="3078" width="8" style="16" customWidth="1"/>
    <col min="3079" max="3082" width="9" style="16" customWidth="1"/>
    <col min="3083" max="3086" width="8.28515625" style="16" customWidth="1"/>
    <col min="3087" max="3087" width="8.140625" style="16" customWidth="1"/>
    <col min="3088" max="3092" width="9.140625" style="16"/>
    <col min="3093" max="3093" width="12.42578125" style="16" customWidth="1"/>
    <col min="3094" max="3094" width="9.140625" style="16"/>
    <col min="3095" max="3095" width="12" style="16" customWidth="1"/>
    <col min="3096" max="3328" width="9.140625" style="16"/>
    <col min="3329" max="3329" width="5" style="16" customWidth="1"/>
    <col min="3330" max="3330" width="20.85546875" style="16" customWidth="1"/>
    <col min="3331" max="3331" width="7.7109375" style="16" customWidth="1"/>
    <col min="3332" max="3332" width="8.5703125" style="16" customWidth="1"/>
    <col min="3333" max="3333" width="8.5703125" style="16" bestFit="1" customWidth="1"/>
    <col min="3334" max="3334" width="8" style="16" customWidth="1"/>
    <col min="3335" max="3338" width="9" style="16" customWidth="1"/>
    <col min="3339" max="3342" width="8.28515625" style="16" customWidth="1"/>
    <col min="3343" max="3343" width="8.140625" style="16" customWidth="1"/>
    <col min="3344" max="3348" width="9.140625" style="16"/>
    <col min="3349" max="3349" width="12.42578125" style="16" customWidth="1"/>
    <col min="3350" max="3350" width="9.140625" style="16"/>
    <col min="3351" max="3351" width="12" style="16" customWidth="1"/>
    <col min="3352" max="3584" width="9.140625" style="16"/>
    <col min="3585" max="3585" width="5" style="16" customWidth="1"/>
    <col min="3586" max="3586" width="20.85546875" style="16" customWidth="1"/>
    <col min="3587" max="3587" width="7.7109375" style="16" customWidth="1"/>
    <col min="3588" max="3588" width="8.5703125" style="16" customWidth="1"/>
    <col min="3589" max="3589" width="8.5703125" style="16" bestFit="1" customWidth="1"/>
    <col min="3590" max="3590" width="8" style="16" customWidth="1"/>
    <col min="3591" max="3594" width="9" style="16" customWidth="1"/>
    <col min="3595" max="3598" width="8.28515625" style="16" customWidth="1"/>
    <col min="3599" max="3599" width="8.140625" style="16" customWidth="1"/>
    <col min="3600" max="3604" width="9.140625" style="16"/>
    <col min="3605" max="3605" width="12.42578125" style="16" customWidth="1"/>
    <col min="3606" max="3606" width="9.140625" style="16"/>
    <col min="3607" max="3607" width="12" style="16" customWidth="1"/>
    <col min="3608" max="3840" width="9.140625" style="16"/>
    <col min="3841" max="3841" width="5" style="16" customWidth="1"/>
    <col min="3842" max="3842" width="20.85546875" style="16" customWidth="1"/>
    <col min="3843" max="3843" width="7.7109375" style="16" customWidth="1"/>
    <col min="3844" max="3844" width="8.5703125" style="16" customWidth="1"/>
    <col min="3845" max="3845" width="8.5703125" style="16" bestFit="1" customWidth="1"/>
    <col min="3846" max="3846" width="8" style="16" customWidth="1"/>
    <col min="3847" max="3850" width="9" style="16" customWidth="1"/>
    <col min="3851" max="3854" width="8.28515625" style="16" customWidth="1"/>
    <col min="3855" max="3855" width="8.140625" style="16" customWidth="1"/>
    <col min="3856" max="3860" width="9.140625" style="16"/>
    <col min="3861" max="3861" width="12.42578125" style="16" customWidth="1"/>
    <col min="3862" max="3862" width="9.140625" style="16"/>
    <col min="3863" max="3863" width="12" style="16" customWidth="1"/>
    <col min="3864" max="4096" width="9.140625" style="16"/>
    <col min="4097" max="4097" width="5" style="16" customWidth="1"/>
    <col min="4098" max="4098" width="20.85546875" style="16" customWidth="1"/>
    <col min="4099" max="4099" width="7.7109375" style="16" customWidth="1"/>
    <col min="4100" max="4100" width="8.5703125" style="16" customWidth="1"/>
    <col min="4101" max="4101" width="8.5703125" style="16" bestFit="1" customWidth="1"/>
    <col min="4102" max="4102" width="8" style="16" customWidth="1"/>
    <col min="4103" max="4106" width="9" style="16" customWidth="1"/>
    <col min="4107" max="4110" width="8.28515625" style="16" customWidth="1"/>
    <col min="4111" max="4111" width="8.140625" style="16" customWidth="1"/>
    <col min="4112" max="4116" width="9.140625" style="16"/>
    <col min="4117" max="4117" width="12.42578125" style="16" customWidth="1"/>
    <col min="4118" max="4118" width="9.140625" style="16"/>
    <col min="4119" max="4119" width="12" style="16" customWidth="1"/>
    <col min="4120" max="4352" width="9.140625" style="16"/>
    <col min="4353" max="4353" width="5" style="16" customWidth="1"/>
    <col min="4354" max="4354" width="20.85546875" style="16" customWidth="1"/>
    <col min="4355" max="4355" width="7.7109375" style="16" customWidth="1"/>
    <col min="4356" max="4356" width="8.5703125" style="16" customWidth="1"/>
    <col min="4357" max="4357" width="8.5703125" style="16" bestFit="1" customWidth="1"/>
    <col min="4358" max="4358" width="8" style="16" customWidth="1"/>
    <col min="4359" max="4362" width="9" style="16" customWidth="1"/>
    <col min="4363" max="4366" width="8.28515625" style="16" customWidth="1"/>
    <col min="4367" max="4367" width="8.140625" style="16" customWidth="1"/>
    <col min="4368" max="4372" width="9.140625" style="16"/>
    <col min="4373" max="4373" width="12.42578125" style="16" customWidth="1"/>
    <col min="4374" max="4374" width="9.140625" style="16"/>
    <col min="4375" max="4375" width="12" style="16" customWidth="1"/>
    <col min="4376" max="4608" width="9.140625" style="16"/>
    <col min="4609" max="4609" width="5" style="16" customWidth="1"/>
    <col min="4610" max="4610" width="20.85546875" style="16" customWidth="1"/>
    <col min="4611" max="4611" width="7.7109375" style="16" customWidth="1"/>
    <col min="4612" max="4612" width="8.5703125" style="16" customWidth="1"/>
    <col min="4613" max="4613" width="8.5703125" style="16" bestFit="1" customWidth="1"/>
    <col min="4614" max="4614" width="8" style="16" customWidth="1"/>
    <col min="4615" max="4618" width="9" style="16" customWidth="1"/>
    <col min="4619" max="4622" width="8.28515625" style="16" customWidth="1"/>
    <col min="4623" max="4623" width="8.140625" style="16" customWidth="1"/>
    <col min="4624" max="4628" width="9.140625" style="16"/>
    <col min="4629" max="4629" width="12.42578125" style="16" customWidth="1"/>
    <col min="4630" max="4630" width="9.140625" style="16"/>
    <col min="4631" max="4631" width="12" style="16" customWidth="1"/>
    <col min="4632" max="4864" width="9.140625" style="16"/>
    <col min="4865" max="4865" width="5" style="16" customWidth="1"/>
    <col min="4866" max="4866" width="20.85546875" style="16" customWidth="1"/>
    <col min="4867" max="4867" width="7.7109375" style="16" customWidth="1"/>
    <col min="4868" max="4868" width="8.5703125" style="16" customWidth="1"/>
    <col min="4869" max="4869" width="8.5703125" style="16" bestFit="1" customWidth="1"/>
    <col min="4870" max="4870" width="8" style="16" customWidth="1"/>
    <col min="4871" max="4874" width="9" style="16" customWidth="1"/>
    <col min="4875" max="4878" width="8.28515625" style="16" customWidth="1"/>
    <col min="4879" max="4879" width="8.140625" style="16" customWidth="1"/>
    <col min="4880" max="4884" width="9.140625" style="16"/>
    <col min="4885" max="4885" width="12.42578125" style="16" customWidth="1"/>
    <col min="4886" max="4886" width="9.140625" style="16"/>
    <col min="4887" max="4887" width="12" style="16" customWidth="1"/>
    <col min="4888" max="5120" width="9.140625" style="16"/>
    <col min="5121" max="5121" width="5" style="16" customWidth="1"/>
    <col min="5122" max="5122" width="20.85546875" style="16" customWidth="1"/>
    <col min="5123" max="5123" width="7.7109375" style="16" customWidth="1"/>
    <col min="5124" max="5124" width="8.5703125" style="16" customWidth="1"/>
    <col min="5125" max="5125" width="8.5703125" style="16" bestFit="1" customWidth="1"/>
    <col min="5126" max="5126" width="8" style="16" customWidth="1"/>
    <col min="5127" max="5130" width="9" style="16" customWidth="1"/>
    <col min="5131" max="5134" width="8.28515625" style="16" customWidth="1"/>
    <col min="5135" max="5135" width="8.140625" style="16" customWidth="1"/>
    <col min="5136" max="5140" width="9.140625" style="16"/>
    <col min="5141" max="5141" width="12.42578125" style="16" customWidth="1"/>
    <col min="5142" max="5142" width="9.140625" style="16"/>
    <col min="5143" max="5143" width="12" style="16" customWidth="1"/>
    <col min="5144" max="5376" width="9.140625" style="16"/>
    <col min="5377" max="5377" width="5" style="16" customWidth="1"/>
    <col min="5378" max="5378" width="20.85546875" style="16" customWidth="1"/>
    <col min="5379" max="5379" width="7.7109375" style="16" customWidth="1"/>
    <col min="5380" max="5380" width="8.5703125" style="16" customWidth="1"/>
    <col min="5381" max="5381" width="8.5703125" style="16" bestFit="1" customWidth="1"/>
    <col min="5382" max="5382" width="8" style="16" customWidth="1"/>
    <col min="5383" max="5386" width="9" style="16" customWidth="1"/>
    <col min="5387" max="5390" width="8.28515625" style="16" customWidth="1"/>
    <col min="5391" max="5391" width="8.140625" style="16" customWidth="1"/>
    <col min="5392" max="5396" width="9.140625" style="16"/>
    <col min="5397" max="5397" width="12.42578125" style="16" customWidth="1"/>
    <col min="5398" max="5398" width="9.140625" style="16"/>
    <col min="5399" max="5399" width="12" style="16" customWidth="1"/>
    <col min="5400" max="5632" width="9.140625" style="16"/>
    <col min="5633" max="5633" width="5" style="16" customWidth="1"/>
    <col min="5634" max="5634" width="20.85546875" style="16" customWidth="1"/>
    <col min="5635" max="5635" width="7.7109375" style="16" customWidth="1"/>
    <col min="5636" max="5636" width="8.5703125" style="16" customWidth="1"/>
    <col min="5637" max="5637" width="8.5703125" style="16" bestFit="1" customWidth="1"/>
    <col min="5638" max="5638" width="8" style="16" customWidth="1"/>
    <col min="5639" max="5642" width="9" style="16" customWidth="1"/>
    <col min="5643" max="5646" width="8.28515625" style="16" customWidth="1"/>
    <col min="5647" max="5647" width="8.140625" style="16" customWidth="1"/>
    <col min="5648" max="5652" width="9.140625" style="16"/>
    <col min="5653" max="5653" width="12.42578125" style="16" customWidth="1"/>
    <col min="5654" max="5654" width="9.140625" style="16"/>
    <col min="5655" max="5655" width="12" style="16" customWidth="1"/>
    <col min="5656" max="5888" width="9.140625" style="16"/>
    <col min="5889" max="5889" width="5" style="16" customWidth="1"/>
    <col min="5890" max="5890" width="20.85546875" style="16" customWidth="1"/>
    <col min="5891" max="5891" width="7.7109375" style="16" customWidth="1"/>
    <col min="5892" max="5892" width="8.5703125" style="16" customWidth="1"/>
    <col min="5893" max="5893" width="8.5703125" style="16" bestFit="1" customWidth="1"/>
    <col min="5894" max="5894" width="8" style="16" customWidth="1"/>
    <col min="5895" max="5898" width="9" style="16" customWidth="1"/>
    <col min="5899" max="5902" width="8.28515625" style="16" customWidth="1"/>
    <col min="5903" max="5903" width="8.140625" style="16" customWidth="1"/>
    <col min="5904" max="5908" width="9.140625" style="16"/>
    <col min="5909" max="5909" width="12.42578125" style="16" customWidth="1"/>
    <col min="5910" max="5910" width="9.140625" style="16"/>
    <col min="5911" max="5911" width="12" style="16" customWidth="1"/>
    <col min="5912" max="6144" width="9.140625" style="16"/>
    <col min="6145" max="6145" width="5" style="16" customWidth="1"/>
    <col min="6146" max="6146" width="20.85546875" style="16" customWidth="1"/>
    <col min="6147" max="6147" width="7.7109375" style="16" customWidth="1"/>
    <col min="6148" max="6148" width="8.5703125" style="16" customWidth="1"/>
    <col min="6149" max="6149" width="8.5703125" style="16" bestFit="1" customWidth="1"/>
    <col min="6150" max="6150" width="8" style="16" customWidth="1"/>
    <col min="6151" max="6154" width="9" style="16" customWidth="1"/>
    <col min="6155" max="6158" width="8.28515625" style="16" customWidth="1"/>
    <col min="6159" max="6159" width="8.140625" style="16" customWidth="1"/>
    <col min="6160" max="6164" width="9.140625" style="16"/>
    <col min="6165" max="6165" width="12.42578125" style="16" customWidth="1"/>
    <col min="6166" max="6166" width="9.140625" style="16"/>
    <col min="6167" max="6167" width="12" style="16" customWidth="1"/>
    <col min="6168" max="6400" width="9.140625" style="16"/>
    <col min="6401" max="6401" width="5" style="16" customWidth="1"/>
    <col min="6402" max="6402" width="20.85546875" style="16" customWidth="1"/>
    <col min="6403" max="6403" width="7.7109375" style="16" customWidth="1"/>
    <col min="6404" max="6404" width="8.5703125" style="16" customWidth="1"/>
    <col min="6405" max="6405" width="8.5703125" style="16" bestFit="1" customWidth="1"/>
    <col min="6406" max="6406" width="8" style="16" customWidth="1"/>
    <col min="6407" max="6410" width="9" style="16" customWidth="1"/>
    <col min="6411" max="6414" width="8.28515625" style="16" customWidth="1"/>
    <col min="6415" max="6415" width="8.140625" style="16" customWidth="1"/>
    <col min="6416" max="6420" width="9.140625" style="16"/>
    <col min="6421" max="6421" width="12.42578125" style="16" customWidth="1"/>
    <col min="6422" max="6422" width="9.140625" style="16"/>
    <col min="6423" max="6423" width="12" style="16" customWidth="1"/>
    <col min="6424" max="6656" width="9.140625" style="16"/>
    <col min="6657" max="6657" width="5" style="16" customWidth="1"/>
    <col min="6658" max="6658" width="20.85546875" style="16" customWidth="1"/>
    <col min="6659" max="6659" width="7.7109375" style="16" customWidth="1"/>
    <col min="6660" max="6660" width="8.5703125" style="16" customWidth="1"/>
    <col min="6661" max="6661" width="8.5703125" style="16" bestFit="1" customWidth="1"/>
    <col min="6662" max="6662" width="8" style="16" customWidth="1"/>
    <col min="6663" max="6666" width="9" style="16" customWidth="1"/>
    <col min="6667" max="6670" width="8.28515625" style="16" customWidth="1"/>
    <col min="6671" max="6671" width="8.140625" style="16" customWidth="1"/>
    <col min="6672" max="6676" width="9.140625" style="16"/>
    <col min="6677" max="6677" width="12.42578125" style="16" customWidth="1"/>
    <col min="6678" max="6678" width="9.140625" style="16"/>
    <col min="6679" max="6679" width="12" style="16" customWidth="1"/>
    <col min="6680" max="6912" width="9.140625" style="16"/>
    <col min="6913" max="6913" width="5" style="16" customWidth="1"/>
    <col min="6914" max="6914" width="20.85546875" style="16" customWidth="1"/>
    <col min="6915" max="6915" width="7.7109375" style="16" customWidth="1"/>
    <col min="6916" max="6916" width="8.5703125" style="16" customWidth="1"/>
    <col min="6917" max="6917" width="8.5703125" style="16" bestFit="1" customWidth="1"/>
    <col min="6918" max="6918" width="8" style="16" customWidth="1"/>
    <col min="6919" max="6922" width="9" style="16" customWidth="1"/>
    <col min="6923" max="6926" width="8.28515625" style="16" customWidth="1"/>
    <col min="6927" max="6927" width="8.140625" style="16" customWidth="1"/>
    <col min="6928" max="6932" width="9.140625" style="16"/>
    <col min="6933" max="6933" width="12.42578125" style="16" customWidth="1"/>
    <col min="6934" max="6934" width="9.140625" style="16"/>
    <col min="6935" max="6935" width="12" style="16" customWidth="1"/>
    <col min="6936" max="7168" width="9.140625" style="16"/>
    <col min="7169" max="7169" width="5" style="16" customWidth="1"/>
    <col min="7170" max="7170" width="20.85546875" style="16" customWidth="1"/>
    <col min="7171" max="7171" width="7.7109375" style="16" customWidth="1"/>
    <col min="7172" max="7172" width="8.5703125" style="16" customWidth="1"/>
    <col min="7173" max="7173" width="8.5703125" style="16" bestFit="1" customWidth="1"/>
    <col min="7174" max="7174" width="8" style="16" customWidth="1"/>
    <col min="7175" max="7178" width="9" style="16" customWidth="1"/>
    <col min="7179" max="7182" width="8.28515625" style="16" customWidth="1"/>
    <col min="7183" max="7183" width="8.140625" style="16" customWidth="1"/>
    <col min="7184" max="7188" width="9.140625" style="16"/>
    <col min="7189" max="7189" width="12.42578125" style="16" customWidth="1"/>
    <col min="7190" max="7190" width="9.140625" style="16"/>
    <col min="7191" max="7191" width="12" style="16" customWidth="1"/>
    <col min="7192" max="7424" width="9.140625" style="16"/>
    <col min="7425" max="7425" width="5" style="16" customWidth="1"/>
    <col min="7426" max="7426" width="20.85546875" style="16" customWidth="1"/>
    <col min="7427" max="7427" width="7.7109375" style="16" customWidth="1"/>
    <col min="7428" max="7428" width="8.5703125" style="16" customWidth="1"/>
    <col min="7429" max="7429" width="8.5703125" style="16" bestFit="1" customWidth="1"/>
    <col min="7430" max="7430" width="8" style="16" customWidth="1"/>
    <col min="7431" max="7434" width="9" style="16" customWidth="1"/>
    <col min="7435" max="7438" width="8.28515625" style="16" customWidth="1"/>
    <col min="7439" max="7439" width="8.140625" style="16" customWidth="1"/>
    <col min="7440" max="7444" width="9.140625" style="16"/>
    <col min="7445" max="7445" width="12.42578125" style="16" customWidth="1"/>
    <col min="7446" max="7446" width="9.140625" style="16"/>
    <col min="7447" max="7447" width="12" style="16" customWidth="1"/>
    <col min="7448" max="7680" width="9.140625" style="16"/>
    <col min="7681" max="7681" width="5" style="16" customWidth="1"/>
    <col min="7682" max="7682" width="20.85546875" style="16" customWidth="1"/>
    <col min="7683" max="7683" width="7.7109375" style="16" customWidth="1"/>
    <col min="7684" max="7684" width="8.5703125" style="16" customWidth="1"/>
    <col min="7685" max="7685" width="8.5703125" style="16" bestFit="1" customWidth="1"/>
    <col min="7686" max="7686" width="8" style="16" customWidth="1"/>
    <col min="7687" max="7690" width="9" style="16" customWidth="1"/>
    <col min="7691" max="7694" width="8.28515625" style="16" customWidth="1"/>
    <col min="7695" max="7695" width="8.140625" style="16" customWidth="1"/>
    <col min="7696" max="7700" width="9.140625" style="16"/>
    <col min="7701" max="7701" width="12.42578125" style="16" customWidth="1"/>
    <col min="7702" max="7702" width="9.140625" style="16"/>
    <col min="7703" max="7703" width="12" style="16" customWidth="1"/>
    <col min="7704" max="7936" width="9.140625" style="16"/>
    <col min="7937" max="7937" width="5" style="16" customWidth="1"/>
    <col min="7938" max="7938" width="20.85546875" style="16" customWidth="1"/>
    <col min="7939" max="7939" width="7.7109375" style="16" customWidth="1"/>
    <col min="7940" max="7940" width="8.5703125" style="16" customWidth="1"/>
    <col min="7941" max="7941" width="8.5703125" style="16" bestFit="1" customWidth="1"/>
    <col min="7942" max="7942" width="8" style="16" customWidth="1"/>
    <col min="7943" max="7946" width="9" style="16" customWidth="1"/>
    <col min="7947" max="7950" width="8.28515625" style="16" customWidth="1"/>
    <col min="7951" max="7951" width="8.140625" style="16" customWidth="1"/>
    <col min="7952" max="7956" width="9.140625" style="16"/>
    <col min="7957" max="7957" width="12.42578125" style="16" customWidth="1"/>
    <col min="7958" max="7958" width="9.140625" style="16"/>
    <col min="7959" max="7959" width="12" style="16" customWidth="1"/>
    <col min="7960" max="8192" width="9.140625" style="16"/>
    <col min="8193" max="8193" width="5" style="16" customWidth="1"/>
    <col min="8194" max="8194" width="20.85546875" style="16" customWidth="1"/>
    <col min="8195" max="8195" width="7.7109375" style="16" customWidth="1"/>
    <col min="8196" max="8196" width="8.5703125" style="16" customWidth="1"/>
    <col min="8197" max="8197" width="8.5703125" style="16" bestFit="1" customWidth="1"/>
    <col min="8198" max="8198" width="8" style="16" customWidth="1"/>
    <col min="8199" max="8202" width="9" style="16" customWidth="1"/>
    <col min="8203" max="8206" width="8.28515625" style="16" customWidth="1"/>
    <col min="8207" max="8207" width="8.140625" style="16" customWidth="1"/>
    <col min="8208" max="8212" width="9.140625" style="16"/>
    <col min="8213" max="8213" width="12.42578125" style="16" customWidth="1"/>
    <col min="8214" max="8214" width="9.140625" style="16"/>
    <col min="8215" max="8215" width="12" style="16" customWidth="1"/>
    <col min="8216" max="8448" width="9.140625" style="16"/>
    <col min="8449" max="8449" width="5" style="16" customWidth="1"/>
    <col min="8450" max="8450" width="20.85546875" style="16" customWidth="1"/>
    <col min="8451" max="8451" width="7.7109375" style="16" customWidth="1"/>
    <col min="8452" max="8452" width="8.5703125" style="16" customWidth="1"/>
    <col min="8453" max="8453" width="8.5703125" style="16" bestFit="1" customWidth="1"/>
    <col min="8454" max="8454" width="8" style="16" customWidth="1"/>
    <col min="8455" max="8458" width="9" style="16" customWidth="1"/>
    <col min="8459" max="8462" width="8.28515625" style="16" customWidth="1"/>
    <col min="8463" max="8463" width="8.140625" style="16" customWidth="1"/>
    <col min="8464" max="8468" width="9.140625" style="16"/>
    <col min="8469" max="8469" width="12.42578125" style="16" customWidth="1"/>
    <col min="8470" max="8470" width="9.140625" style="16"/>
    <col min="8471" max="8471" width="12" style="16" customWidth="1"/>
    <col min="8472" max="8704" width="9.140625" style="16"/>
    <col min="8705" max="8705" width="5" style="16" customWidth="1"/>
    <col min="8706" max="8706" width="20.85546875" style="16" customWidth="1"/>
    <col min="8707" max="8707" width="7.7109375" style="16" customWidth="1"/>
    <col min="8708" max="8708" width="8.5703125" style="16" customWidth="1"/>
    <col min="8709" max="8709" width="8.5703125" style="16" bestFit="1" customWidth="1"/>
    <col min="8710" max="8710" width="8" style="16" customWidth="1"/>
    <col min="8711" max="8714" width="9" style="16" customWidth="1"/>
    <col min="8715" max="8718" width="8.28515625" style="16" customWidth="1"/>
    <col min="8719" max="8719" width="8.140625" style="16" customWidth="1"/>
    <col min="8720" max="8724" width="9.140625" style="16"/>
    <col min="8725" max="8725" width="12.42578125" style="16" customWidth="1"/>
    <col min="8726" max="8726" width="9.140625" style="16"/>
    <col min="8727" max="8727" width="12" style="16" customWidth="1"/>
    <col min="8728" max="8960" width="9.140625" style="16"/>
    <col min="8961" max="8961" width="5" style="16" customWidth="1"/>
    <col min="8962" max="8962" width="20.85546875" style="16" customWidth="1"/>
    <col min="8963" max="8963" width="7.7109375" style="16" customWidth="1"/>
    <col min="8964" max="8964" width="8.5703125" style="16" customWidth="1"/>
    <col min="8965" max="8965" width="8.5703125" style="16" bestFit="1" customWidth="1"/>
    <col min="8966" max="8966" width="8" style="16" customWidth="1"/>
    <col min="8967" max="8970" width="9" style="16" customWidth="1"/>
    <col min="8971" max="8974" width="8.28515625" style="16" customWidth="1"/>
    <col min="8975" max="8975" width="8.140625" style="16" customWidth="1"/>
    <col min="8976" max="8980" width="9.140625" style="16"/>
    <col min="8981" max="8981" width="12.42578125" style="16" customWidth="1"/>
    <col min="8982" max="8982" width="9.140625" style="16"/>
    <col min="8983" max="8983" width="12" style="16" customWidth="1"/>
    <col min="8984" max="9216" width="9.140625" style="16"/>
    <col min="9217" max="9217" width="5" style="16" customWidth="1"/>
    <col min="9218" max="9218" width="20.85546875" style="16" customWidth="1"/>
    <col min="9219" max="9219" width="7.7109375" style="16" customWidth="1"/>
    <col min="9220" max="9220" width="8.5703125" style="16" customWidth="1"/>
    <col min="9221" max="9221" width="8.5703125" style="16" bestFit="1" customWidth="1"/>
    <col min="9222" max="9222" width="8" style="16" customWidth="1"/>
    <col min="9223" max="9226" width="9" style="16" customWidth="1"/>
    <col min="9227" max="9230" width="8.28515625" style="16" customWidth="1"/>
    <col min="9231" max="9231" width="8.140625" style="16" customWidth="1"/>
    <col min="9232" max="9236" width="9.140625" style="16"/>
    <col min="9237" max="9237" width="12.42578125" style="16" customWidth="1"/>
    <col min="9238" max="9238" width="9.140625" style="16"/>
    <col min="9239" max="9239" width="12" style="16" customWidth="1"/>
    <col min="9240" max="9472" width="9.140625" style="16"/>
    <col min="9473" max="9473" width="5" style="16" customWidth="1"/>
    <col min="9474" max="9474" width="20.85546875" style="16" customWidth="1"/>
    <col min="9475" max="9475" width="7.7109375" style="16" customWidth="1"/>
    <col min="9476" max="9476" width="8.5703125" style="16" customWidth="1"/>
    <col min="9477" max="9477" width="8.5703125" style="16" bestFit="1" customWidth="1"/>
    <col min="9478" max="9478" width="8" style="16" customWidth="1"/>
    <col min="9479" max="9482" width="9" style="16" customWidth="1"/>
    <col min="9483" max="9486" width="8.28515625" style="16" customWidth="1"/>
    <col min="9487" max="9487" width="8.140625" style="16" customWidth="1"/>
    <col min="9488" max="9492" width="9.140625" style="16"/>
    <col min="9493" max="9493" width="12.42578125" style="16" customWidth="1"/>
    <col min="9494" max="9494" width="9.140625" style="16"/>
    <col min="9495" max="9495" width="12" style="16" customWidth="1"/>
    <col min="9496" max="9728" width="9.140625" style="16"/>
    <col min="9729" max="9729" width="5" style="16" customWidth="1"/>
    <col min="9730" max="9730" width="20.85546875" style="16" customWidth="1"/>
    <col min="9731" max="9731" width="7.7109375" style="16" customWidth="1"/>
    <col min="9732" max="9732" width="8.5703125" style="16" customWidth="1"/>
    <col min="9733" max="9733" width="8.5703125" style="16" bestFit="1" customWidth="1"/>
    <col min="9734" max="9734" width="8" style="16" customWidth="1"/>
    <col min="9735" max="9738" width="9" style="16" customWidth="1"/>
    <col min="9739" max="9742" width="8.28515625" style="16" customWidth="1"/>
    <col min="9743" max="9743" width="8.140625" style="16" customWidth="1"/>
    <col min="9744" max="9748" width="9.140625" style="16"/>
    <col min="9749" max="9749" width="12.42578125" style="16" customWidth="1"/>
    <col min="9750" max="9750" width="9.140625" style="16"/>
    <col min="9751" max="9751" width="12" style="16" customWidth="1"/>
    <col min="9752" max="9984" width="9.140625" style="16"/>
    <col min="9985" max="9985" width="5" style="16" customWidth="1"/>
    <col min="9986" max="9986" width="20.85546875" style="16" customWidth="1"/>
    <col min="9987" max="9987" width="7.7109375" style="16" customWidth="1"/>
    <col min="9988" max="9988" width="8.5703125" style="16" customWidth="1"/>
    <col min="9989" max="9989" width="8.5703125" style="16" bestFit="1" customWidth="1"/>
    <col min="9990" max="9990" width="8" style="16" customWidth="1"/>
    <col min="9991" max="9994" width="9" style="16" customWidth="1"/>
    <col min="9995" max="9998" width="8.28515625" style="16" customWidth="1"/>
    <col min="9999" max="9999" width="8.140625" style="16" customWidth="1"/>
    <col min="10000" max="10004" width="9.140625" style="16"/>
    <col min="10005" max="10005" width="12.42578125" style="16" customWidth="1"/>
    <col min="10006" max="10006" width="9.140625" style="16"/>
    <col min="10007" max="10007" width="12" style="16" customWidth="1"/>
    <col min="10008" max="10240" width="9.140625" style="16"/>
    <col min="10241" max="10241" width="5" style="16" customWidth="1"/>
    <col min="10242" max="10242" width="20.85546875" style="16" customWidth="1"/>
    <col min="10243" max="10243" width="7.7109375" style="16" customWidth="1"/>
    <col min="10244" max="10244" width="8.5703125" style="16" customWidth="1"/>
    <col min="10245" max="10245" width="8.5703125" style="16" bestFit="1" customWidth="1"/>
    <col min="10246" max="10246" width="8" style="16" customWidth="1"/>
    <col min="10247" max="10250" width="9" style="16" customWidth="1"/>
    <col min="10251" max="10254" width="8.28515625" style="16" customWidth="1"/>
    <col min="10255" max="10255" width="8.140625" style="16" customWidth="1"/>
    <col min="10256" max="10260" width="9.140625" style="16"/>
    <col min="10261" max="10261" width="12.42578125" style="16" customWidth="1"/>
    <col min="10262" max="10262" width="9.140625" style="16"/>
    <col min="10263" max="10263" width="12" style="16" customWidth="1"/>
    <col min="10264" max="10496" width="9.140625" style="16"/>
    <col min="10497" max="10497" width="5" style="16" customWidth="1"/>
    <col min="10498" max="10498" width="20.85546875" style="16" customWidth="1"/>
    <col min="10499" max="10499" width="7.7109375" style="16" customWidth="1"/>
    <col min="10500" max="10500" width="8.5703125" style="16" customWidth="1"/>
    <col min="10501" max="10501" width="8.5703125" style="16" bestFit="1" customWidth="1"/>
    <col min="10502" max="10502" width="8" style="16" customWidth="1"/>
    <col min="10503" max="10506" width="9" style="16" customWidth="1"/>
    <col min="10507" max="10510" width="8.28515625" style="16" customWidth="1"/>
    <col min="10511" max="10511" width="8.140625" style="16" customWidth="1"/>
    <col min="10512" max="10516" width="9.140625" style="16"/>
    <col min="10517" max="10517" width="12.42578125" style="16" customWidth="1"/>
    <col min="10518" max="10518" width="9.140625" style="16"/>
    <col min="10519" max="10519" width="12" style="16" customWidth="1"/>
    <col min="10520" max="10752" width="9.140625" style="16"/>
    <col min="10753" max="10753" width="5" style="16" customWidth="1"/>
    <col min="10754" max="10754" width="20.85546875" style="16" customWidth="1"/>
    <col min="10755" max="10755" width="7.7109375" style="16" customWidth="1"/>
    <col min="10756" max="10756" width="8.5703125" style="16" customWidth="1"/>
    <col min="10757" max="10757" width="8.5703125" style="16" bestFit="1" customWidth="1"/>
    <col min="10758" max="10758" width="8" style="16" customWidth="1"/>
    <col min="10759" max="10762" width="9" style="16" customWidth="1"/>
    <col min="10763" max="10766" width="8.28515625" style="16" customWidth="1"/>
    <col min="10767" max="10767" width="8.140625" style="16" customWidth="1"/>
    <col min="10768" max="10772" width="9.140625" style="16"/>
    <col min="10773" max="10773" width="12.42578125" style="16" customWidth="1"/>
    <col min="10774" max="10774" width="9.140625" style="16"/>
    <col min="10775" max="10775" width="12" style="16" customWidth="1"/>
    <col min="10776" max="11008" width="9.140625" style="16"/>
    <col min="11009" max="11009" width="5" style="16" customWidth="1"/>
    <col min="11010" max="11010" width="20.85546875" style="16" customWidth="1"/>
    <col min="11011" max="11011" width="7.7109375" style="16" customWidth="1"/>
    <col min="11012" max="11012" width="8.5703125" style="16" customWidth="1"/>
    <col min="11013" max="11013" width="8.5703125" style="16" bestFit="1" customWidth="1"/>
    <col min="11014" max="11014" width="8" style="16" customWidth="1"/>
    <col min="11015" max="11018" width="9" style="16" customWidth="1"/>
    <col min="11019" max="11022" width="8.28515625" style="16" customWidth="1"/>
    <col min="11023" max="11023" width="8.140625" style="16" customWidth="1"/>
    <col min="11024" max="11028" width="9.140625" style="16"/>
    <col min="11029" max="11029" width="12.42578125" style="16" customWidth="1"/>
    <col min="11030" max="11030" width="9.140625" style="16"/>
    <col min="11031" max="11031" width="12" style="16" customWidth="1"/>
    <col min="11032" max="11264" width="9.140625" style="16"/>
    <col min="11265" max="11265" width="5" style="16" customWidth="1"/>
    <col min="11266" max="11266" width="20.85546875" style="16" customWidth="1"/>
    <col min="11267" max="11267" width="7.7109375" style="16" customWidth="1"/>
    <col min="11268" max="11268" width="8.5703125" style="16" customWidth="1"/>
    <col min="11269" max="11269" width="8.5703125" style="16" bestFit="1" customWidth="1"/>
    <col min="11270" max="11270" width="8" style="16" customWidth="1"/>
    <col min="11271" max="11274" width="9" style="16" customWidth="1"/>
    <col min="11275" max="11278" width="8.28515625" style="16" customWidth="1"/>
    <col min="11279" max="11279" width="8.140625" style="16" customWidth="1"/>
    <col min="11280" max="11284" width="9.140625" style="16"/>
    <col min="11285" max="11285" width="12.42578125" style="16" customWidth="1"/>
    <col min="11286" max="11286" width="9.140625" style="16"/>
    <col min="11287" max="11287" width="12" style="16" customWidth="1"/>
    <col min="11288" max="11520" width="9.140625" style="16"/>
    <col min="11521" max="11521" width="5" style="16" customWidth="1"/>
    <col min="11522" max="11522" width="20.85546875" style="16" customWidth="1"/>
    <col min="11523" max="11523" width="7.7109375" style="16" customWidth="1"/>
    <col min="11524" max="11524" width="8.5703125" style="16" customWidth="1"/>
    <col min="11525" max="11525" width="8.5703125" style="16" bestFit="1" customWidth="1"/>
    <col min="11526" max="11526" width="8" style="16" customWidth="1"/>
    <col min="11527" max="11530" width="9" style="16" customWidth="1"/>
    <col min="11531" max="11534" width="8.28515625" style="16" customWidth="1"/>
    <col min="11535" max="11535" width="8.140625" style="16" customWidth="1"/>
    <col min="11536" max="11540" width="9.140625" style="16"/>
    <col min="11541" max="11541" width="12.42578125" style="16" customWidth="1"/>
    <col min="11542" max="11542" width="9.140625" style="16"/>
    <col min="11543" max="11543" width="12" style="16" customWidth="1"/>
    <col min="11544" max="11776" width="9.140625" style="16"/>
    <col min="11777" max="11777" width="5" style="16" customWidth="1"/>
    <col min="11778" max="11778" width="20.85546875" style="16" customWidth="1"/>
    <col min="11779" max="11779" width="7.7109375" style="16" customWidth="1"/>
    <col min="11780" max="11780" width="8.5703125" style="16" customWidth="1"/>
    <col min="11781" max="11781" width="8.5703125" style="16" bestFit="1" customWidth="1"/>
    <col min="11782" max="11782" width="8" style="16" customWidth="1"/>
    <col min="11783" max="11786" width="9" style="16" customWidth="1"/>
    <col min="11787" max="11790" width="8.28515625" style="16" customWidth="1"/>
    <col min="11791" max="11791" width="8.140625" style="16" customWidth="1"/>
    <col min="11792" max="11796" width="9.140625" style="16"/>
    <col min="11797" max="11797" width="12.42578125" style="16" customWidth="1"/>
    <col min="11798" max="11798" width="9.140625" style="16"/>
    <col min="11799" max="11799" width="12" style="16" customWidth="1"/>
    <col min="11800" max="12032" width="9.140625" style="16"/>
    <col min="12033" max="12033" width="5" style="16" customWidth="1"/>
    <col min="12034" max="12034" width="20.85546875" style="16" customWidth="1"/>
    <col min="12035" max="12035" width="7.7109375" style="16" customWidth="1"/>
    <col min="12036" max="12036" width="8.5703125" style="16" customWidth="1"/>
    <col min="12037" max="12037" width="8.5703125" style="16" bestFit="1" customWidth="1"/>
    <col min="12038" max="12038" width="8" style="16" customWidth="1"/>
    <col min="12039" max="12042" width="9" style="16" customWidth="1"/>
    <col min="12043" max="12046" width="8.28515625" style="16" customWidth="1"/>
    <col min="12047" max="12047" width="8.140625" style="16" customWidth="1"/>
    <col min="12048" max="12052" width="9.140625" style="16"/>
    <col min="12053" max="12053" width="12.42578125" style="16" customWidth="1"/>
    <col min="12054" max="12054" width="9.140625" style="16"/>
    <col min="12055" max="12055" width="12" style="16" customWidth="1"/>
    <col min="12056" max="12288" width="9.140625" style="16"/>
    <col min="12289" max="12289" width="5" style="16" customWidth="1"/>
    <col min="12290" max="12290" width="20.85546875" style="16" customWidth="1"/>
    <col min="12291" max="12291" width="7.7109375" style="16" customWidth="1"/>
    <col min="12292" max="12292" width="8.5703125" style="16" customWidth="1"/>
    <col min="12293" max="12293" width="8.5703125" style="16" bestFit="1" customWidth="1"/>
    <col min="12294" max="12294" width="8" style="16" customWidth="1"/>
    <col min="12295" max="12298" width="9" style="16" customWidth="1"/>
    <col min="12299" max="12302" width="8.28515625" style="16" customWidth="1"/>
    <col min="12303" max="12303" width="8.140625" style="16" customWidth="1"/>
    <col min="12304" max="12308" width="9.140625" style="16"/>
    <col min="12309" max="12309" width="12.42578125" style="16" customWidth="1"/>
    <col min="12310" max="12310" width="9.140625" style="16"/>
    <col min="12311" max="12311" width="12" style="16" customWidth="1"/>
    <col min="12312" max="12544" width="9.140625" style="16"/>
    <col min="12545" max="12545" width="5" style="16" customWidth="1"/>
    <col min="12546" max="12546" width="20.85546875" style="16" customWidth="1"/>
    <col min="12547" max="12547" width="7.7109375" style="16" customWidth="1"/>
    <col min="12548" max="12548" width="8.5703125" style="16" customWidth="1"/>
    <col min="12549" max="12549" width="8.5703125" style="16" bestFit="1" customWidth="1"/>
    <col min="12550" max="12550" width="8" style="16" customWidth="1"/>
    <col min="12551" max="12554" width="9" style="16" customWidth="1"/>
    <col min="12555" max="12558" width="8.28515625" style="16" customWidth="1"/>
    <col min="12559" max="12559" width="8.140625" style="16" customWidth="1"/>
    <col min="12560" max="12564" width="9.140625" style="16"/>
    <col min="12565" max="12565" width="12.42578125" style="16" customWidth="1"/>
    <col min="12566" max="12566" width="9.140625" style="16"/>
    <col min="12567" max="12567" width="12" style="16" customWidth="1"/>
    <col min="12568" max="12800" width="9.140625" style="16"/>
    <col min="12801" max="12801" width="5" style="16" customWidth="1"/>
    <col min="12802" max="12802" width="20.85546875" style="16" customWidth="1"/>
    <col min="12803" max="12803" width="7.7109375" style="16" customWidth="1"/>
    <col min="12804" max="12804" width="8.5703125" style="16" customWidth="1"/>
    <col min="12805" max="12805" width="8.5703125" style="16" bestFit="1" customWidth="1"/>
    <col min="12806" max="12806" width="8" style="16" customWidth="1"/>
    <col min="12807" max="12810" width="9" style="16" customWidth="1"/>
    <col min="12811" max="12814" width="8.28515625" style="16" customWidth="1"/>
    <col min="12815" max="12815" width="8.140625" style="16" customWidth="1"/>
    <col min="12816" max="12820" width="9.140625" style="16"/>
    <col min="12821" max="12821" width="12.42578125" style="16" customWidth="1"/>
    <col min="12822" max="12822" width="9.140625" style="16"/>
    <col min="12823" max="12823" width="12" style="16" customWidth="1"/>
    <col min="12824" max="13056" width="9.140625" style="16"/>
    <col min="13057" max="13057" width="5" style="16" customWidth="1"/>
    <col min="13058" max="13058" width="20.85546875" style="16" customWidth="1"/>
    <col min="13059" max="13059" width="7.7109375" style="16" customWidth="1"/>
    <col min="13060" max="13060" width="8.5703125" style="16" customWidth="1"/>
    <col min="13061" max="13061" width="8.5703125" style="16" bestFit="1" customWidth="1"/>
    <col min="13062" max="13062" width="8" style="16" customWidth="1"/>
    <col min="13063" max="13066" width="9" style="16" customWidth="1"/>
    <col min="13067" max="13070" width="8.28515625" style="16" customWidth="1"/>
    <col min="13071" max="13071" width="8.140625" style="16" customWidth="1"/>
    <col min="13072" max="13076" width="9.140625" style="16"/>
    <col min="13077" max="13077" width="12.42578125" style="16" customWidth="1"/>
    <col min="13078" max="13078" width="9.140625" style="16"/>
    <col min="13079" max="13079" width="12" style="16" customWidth="1"/>
    <col min="13080" max="13312" width="9.140625" style="16"/>
    <col min="13313" max="13313" width="5" style="16" customWidth="1"/>
    <col min="13314" max="13314" width="20.85546875" style="16" customWidth="1"/>
    <col min="13315" max="13315" width="7.7109375" style="16" customWidth="1"/>
    <col min="13316" max="13316" width="8.5703125" style="16" customWidth="1"/>
    <col min="13317" max="13317" width="8.5703125" style="16" bestFit="1" customWidth="1"/>
    <col min="13318" max="13318" width="8" style="16" customWidth="1"/>
    <col min="13319" max="13322" width="9" style="16" customWidth="1"/>
    <col min="13323" max="13326" width="8.28515625" style="16" customWidth="1"/>
    <col min="13327" max="13327" width="8.140625" style="16" customWidth="1"/>
    <col min="13328" max="13332" width="9.140625" style="16"/>
    <col min="13333" max="13333" width="12.42578125" style="16" customWidth="1"/>
    <col min="13334" max="13334" width="9.140625" style="16"/>
    <col min="13335" max="13335" width="12" style="16" customWidth="1"/>
    <col min="13336" max="13568" width="9.140625" style="16"/>
    <col min="13569" max="13569" width="5" style="16" customWidth="1"/>
    <col min="13570" max="13570" width="20.85546875" style="16" customWidth="1"/>
    <col min="13571" max="13571" width="7.7109375" style="16" customWidth="1"/>
    <col min="13572" max="13572" width="8.5703125" style="16" customWidth="1"/>
    <col min="13573" max="13573" width="8.5703125" style="16" bestFit="1" customWidth="1"/>
    <col min="13574" max="13574" width="8" style="16" customWidth="1"/>
    <col min="13575" max="13578" width="9" style="16" customWidth="1"/>
    <col min="13579" max="13582" width="8.28515625" style="16" customWidth="1"/>
    <col min="13583" max="13583" width="8.140625" style="16" customWidth="1"/>
    <col min="13584" max="13588" width="9.140625" style="16"/>
    <col min="13589" max="13589" width="12.42578125" style="16" customWidth="1"/>
    <col min="13590" max="13590" width="9.140625" style="16"/>
    <col min="13591" max="13591" width="12" style="16" customWidth="1"/>
    <col min="13592" max="13824" width="9.140625" style="16"/>
    <col min="13825" max="13825" width="5" style="16" customWidth="1"/>
    <col min="13826" max="13826" width="20.85546875" style="16" customWidth="1"/>
    <col min="13827" max="13827" width="7.7109375" style="16" customWidth="1"/>
    <col min="13828" max="13828" width="8.5703125" style="16" customWidth="1"/>
    <col min="13829" max="13829" width="8.5703125" style="16" bestFit="1" customWidth="1"/>
    <col min="13830" max="13830" width="8" style="16" customWidth="1"/>
    <col min="13831" max="13834" width="9" style="16" customWidth="1"/>
    <col min="13835" max="13838" width="8.28515625" style="16" customWidth="1"/>
    <col min="13839" max="13839" width="8.140625" style="16" customWidth="1"/>
    <col min="13840" max="13844" width="9.140625" style="16"/>
    <col min="13845" max="13845" width="12.42578125" style="16" customWidth="1"/>
    <col min="13846" max="13846" width="9.140625" style="16"/>
    <col min="13847" max="13847" width="12" style="16" customWidth="1"/>
    <col min="13848" max="14080" width="9.140625" style="16"/>
    <col min="14081" max="14081" width="5" style="16" customWidth="1"/>
    <col min="14082" max="14082" width="20.85546875" style="16" customWidth="1"/>
    <col min="14083" max="14083" width="7.7109375" style="16" customWidth="1"/>
    <col min="14084" max="14084" width="8.5703125" style="16" customWidth="1"/>
    <col min="14085" max="14085" width="8.5703125" style="16" bestFit="1" customWidth="1"/>
    <col min="14086" max="14086" width="8" style="16" customWidth="1"/>
    <col min="14087" max="14090" width="9" style="16" customWidth="1"/>
    <col min="14091" max="14094" width="8.28515625" style="16" customWidth="1"/>
    <col min="14095" max="14095" width="8.140625" style="16" customWidth="1"/>
    <col min="14096" max="14100" width="9.140625" style="16"/>
    <col min="14101" max="14101" width="12.42578125" style="16" customWidth="1"/>
    <col min="14102" max="14102" width="9.140625" style="16"/>
    <col min="14103" max="14103" width="12" style="16" customWidth="1"/>
    <col min="14104" max="14336" width="9.140625" style="16"/>
    <col min="14337" max="14337" width="5" style="16" customWidth="1"/>
    <col min="14338" max="14338" width="20.85546875" style="16" customWidth="1"/>
    <col min="14339" max="14339" width="7.7109375" style="16" customWidth="1"/>
    <col min="14340" max="14340" width="8.5703125" style="16" customWidth="1"/>
    <col min="14341" max="14341" width="8.5703125" style="16" bestFit="1" customWidth="1"/>
    <col min="14342" max="14342" width="8" style="16" customWidth="1"/>
    <col min="14343" max="14346" width="9" style="16" customWidth="1"/>
    <col min="14347" max="14350" width="8.28515625" style="16" customWidth="1"/>
    <col min="14351" max="14351" width="8.140625" style="16" customWidth="1"/>
    <col min="14352" max="14356" width="9.140625" style="16"/>
    <col min="14357" max="14357" width="12.42578125" style="16" customWidth="1"/>
    <col min="14358" max="14358" width="9.140625" style="16"/>
    <col min="14359" max="14359" width="12" style="16" customWidth="1"/>
    <col min="14360" max="14592" width="9.140625" style="16"/>
    <col min="14593" max="14593" width="5" style="16" customWidth="1"/>
    <col min="14594" max="14594" width="20.85546875" style="16" customWidth="1"/>
    <col min="14595" max="14595" width="7.7109375" style="16" customWidth="1"/>
    <col min="14596" max="14596" width="8.5703125" style="16" customWidth="1"/>
    <col min="14597" max="14597" width="8.5703125" style="16" bestFit="1" customWidth="1"/>
    <col min="14598" max="14598" width="8" style="16" customWidth="1"/>
    <col min="14599" max="14602" width="9" style="16" customWidth="1"/>
    <col min="14603" max="14606" width="8.28515625" style="16" customWidth="1"/>
    <col min="14607" max="14607" width="8.140625" style="16" customWidth="1"/>
    <col min="14608" max="14612" width="9.140625" style="16"/>
    <col min="14613" max="14613" width="12.42578125" style="16" customWidth="1"/>
    <col min="14614" max="14614" width="9.140625" style="16"/>
    <col min="14615" max="14615" width="12" style="16" customWidth="1"/>
    <col min="14616" max="14848" width="9.140625" style="16"/>
    <col min="14849" max="14849" width="5" style="16" customWidth="1"/>
    <col min="14850" max="14850" width="20.85546875" style="16" customWidth="1"/>
    <col min="14851" max="14851" width="7.7109375" style="16" customWidth="1"/>
    <col min="14852" max="14852" width="8.5703125" style="16" customWidth="1"/>
    <col min="14853" max="14853" width="8.5703125" style="16" bestFit="1" customWidth="1"/>
    <col min="14854" max="14854" width="8" style="16" customWidth="1"/>
    <col min="14855" max="14858" width="9" style="16" customWidth="1"/>
    <col min="14859" max="14862" width="8.28515625" style="16" customWidth="1"/>
    <col min="14863" max="14863" width="8.140625" style="16" customWidth="1"/>
    <col min="14864" max="14868" width="9.140625" style="16"/>
    <col min="14869" max="14869" width="12.42578125" style="16" customWidth="1"/>
    <col min="14870" max="14870" width="9.140625" style="16"/>
    <col min="14871" max="14871" width="12" style="16" customWidth="1"/>
    <col min="14872" max="15104" width="9.140625" style="16"/>
    <col min="15105" max="15105" width="5" style="16" customWidth="1"/>
    <col min="15106" max="15106" width="20.85546875" style="16" customWidth="1"/>
    <col min="15107" max="15107" width="7.7109375" style="16" customWidth="1"/>
    <col min="15108" max="15108" width="8.5703125" style="16" customWidth="1"/>
    <col min="15109" max="15109" width="8.5703125" style="16" bestFit="1" customWidth="1"/>
    <col min="15110" max="15110" width="8" style="16" customWidth="1"/>
    <col min="15111" max="15114" width="9" style="16" customWidth="1"/>
    <col min="15115" max="15118" width="8.28515625" style="16" customWidth="1"/>
    <col min="15119" max="15119" width="8.140625" style="16" customWidth="1"/>
    <col min="15120" max="15124" width="9.140625" style="16"/>
    <col min="15125" max="15125" width="12.42578125" style="16" customWidth="1"/>
    <col min="15126" max="15126" width="9.140625" style="16"/>
    <col min="15127" max="15127" width="12" style="16" customWidth="1"/>
    <col min="15128" max="15360" width="9.140625" style="16"/>
    <col min="15361" max="15361" width="5" style="16" customWidth="1"/>
    <col min="15362" max="15362" width="20.85546875" style="16" customWidth="1"/>
    <col min="15363" max="15363" width="7.7109375" style="16" customWidth="1"/>
    <col min="15364" max="15364" width="8.5703125" style="16" customWidth="1"/>
    <col min="15365" max="15365" width="8.5703125" style="16" bestFit="1" customWidth="1"/>
    <col min="15366" max="15366" width="8" style="16" customWidth="1"/>
    <col min="15367" max="15370" width="9" style="16" customWidth="1"/>
    <col min="15371" max="15374" width="8.28515625" style="16" customWidth="1"/>
    <col min="15375" max="15375" width="8.140625" style="16" customWidth="1"/>
    <col min="15376" max="15380" width="9.140625" style="16"/>
    <col min="15381" max="15381" width="12.42578125" style="16" customWidth="1"/>
    <col min="15382" max="15382" width="9.140625" style="16"/>
    <col min="15383" max="15383" width="12" style="16" customWidth="1"/>
    <col min="15384" max="15616" width="9.140625" style="16"/>
    <col min="15617" max="15617" width="5" style="16" customWidth="1"/>
    <col min="15618" max="15618" width="20.85546875" style="16" customWidth="1"/>
    <col min="15619" max="15619" width="7.7109375" style="16" customWidth="1"/>
    <col min="15620" max="15620" width="8.5703125" style="16" customWidth="1"/>
    <col min="15621" max="15621" width="8.5703125" style="16" bestFit="1" customWidth="1"/>
    <col min="15622" max="15622" width="8" style="16" customWidth="1"/>
    <col min="15623" max="15626" width="9" style="16" customWidth="1"/>
    <col min="15627" max="15630" width="8.28515625" style="16" customWidth="1"/>
    <col min="15631" max="15631" width="8.140625" style="16" customWidth="1"/>
    <col min="15632" max="15636" width="9.140625" style="16"/>
    <col min="15637" max="15637" width="12.42578125" style="16" customWidth="1"/>
    <col min="15638" max="15638" width="9.140625" style="16"/>
    <col min="15639" max="15639" width="12" style="16" customWidth="1"/>
    <col min="15640" max="15872" width="9.140625" style="16"/>
    <col min="15873" max="15873" width="5" style="16" customWidth="1"/>
    <col min="15874" max="15874" width="20.85546875" style="16" customWidth="1"/>
    <col min="15875" max="15875" width="7.7109375" style="16" customWidth="1"/>
    <col min="15876" max="15876" width="8.5703125" style="16" customWidth="1"/>
    <col min="15877" max="15877" width="8.5703125" style="16" bestFit="1" customWidth="1"/>
    <col min="15878" max="15878" width="8" style="16" customWidth="1"/>
    <col min="15879" max="15882" width="9" style="16" customWidth="1"/>
    <col min="15883" max="15886" width="8.28515625" style="16" customWidth="1"/>
    <col min="15887" max="15887" width="8.140625" style="16" customWidth="1"/>
    <col min="15888" max="15892" width="9.140625" style="16"/>
    <col min="15893" max="15893" width="12.42578125" style="16" customWidth="1"/>
    <col min="15894" max="15894" width="9.140625" style="16"/>
    <col min="15895" max="15895" width="12" style="16" customWidth="1"/>
    <col min="15896" max="16128" width="9.140625" style="16"/>
    <col min="16129" max="16129" width="5" style="16" customWidth="1"/>
    <col min="16130" max="16130" width="20.85546875" style="16" customWidth="1"/>
    <col min="16131" max="16131" width="7.7109375" style="16" customWidth="1"/>
    <col min="16132" max="16132" width="8.5703125" style="16" customWidth="1"/>
    <col min="16133" max="16133" width="8.5703125" style="16" bestFit="1" customWidth="1"/>
    <col min="16134" max="16134" width="8" style="16" customWidth="1"/>
    <col min="16135" max="16138" width="9" style="16" customWidth="1"/>
    <col min="16139" max="16142" width="8.28515625" style="16" customWidth="1"/>
    <col min="16143" max="16143" width="8.140625" style="16" customWidth="1"/>
    <col min="16144" max="16148" width="9.140625" style="16"/>
    <col min="16149" max="16149" width="12.42578125" style="16" customWidth="1"/>
    <col min="16150" max="16150" width="9.140625" style="16"/>
    <col min="16151" max="16151" width="12" style="16" customWidth="1"/>
    <col min="16152" max="16384" width="9.140625" style="16"/>
  </cols>
  <sheetData>
    <row r="1" spans="1:17" s="1" customFormat="1" x14ac:dyDescent="0.2">
      <c r="A1" s="867" t="s">
        <v>449</v>
      </c>
      <c r="B1" s="868"/>
      <c r="C1" s="868"/>
      <c r="D1" s="869"/>
      <c r="E1" s="868"/>
      <c r="F1" s="868"/>
      <c r="G1" s="867" t="s">
        <v>102</v>
      </c>
      <c r="H1" s="869"/>
      <c r="I1" s="869" t="s">
        <v>572</v>
      </c>
      <c r="J1" s="868"/>
      <c r="K1" s="868"/>
      <c r="L1" s="870"/>
      <c r="M1" s="870"/>
      <c r="N1" s="870"/>
      <c r="O1" s="870"/>
    </row>
    <row r="2" spans="1:17" s="1" customFormat="1" x14ac:dyDescent="0.2">
      <c r="A2" s="867" t="s">
        <v>103</v>
      </c>
      <c r="B2" s="868"/>
      <c r="C2" s="868"/>
      <c r="D2" s="869"/>
      <c r="E2" s="868"/>
      <c r="F2" s="868"/>
      <c r="G2" s="867" t="s">
        <v>104</v>
      </c>
      <c r="H2" s="869"/>
      <c r="I2" s="869" t="s">
        <v>105</v>
      </c>
      <c r="J2" s="868"/>
      <c r="K2" s="868"/>
      <c r="L2" s="870"/>
      <c r="M2" s="870"/>
      <c r="N2" s="870"/>
      <c r="O2" s="870"/>
    </row>
    <row r="3" spans="1:17" s="1" customFormat="1" x14ac:dyDescent="0.2">
      <c r="A3" s="867" t="s">
        <v>106</v>
      </c>
      <c r="B3" s="868"/>
      <c r="C3" s="868"/>
      <c r="D3" s="883" t="s">
        <v>712</v>
      </c>
      <c r="E3" s="868"/>
      <c r="F3" s="868"/>
      <c r="G3" s="867" t="s">
        <v>107</v>
      </c>
      <c r="H3" s="869"/>
      <c r="I3" s="869" t="s">
        <v>108</v>
      </c>
      <c r="J3" s="868"/>
      <c r="K3" s="868"/>
      <c r="L3" s="870"/>
      <c r="M3" s="870"/>
      <c r="N3" s="870"/>
      <c r="O3" s="870"/>
    </row>
    <row r="4" spans="1:17" s="1" customFormat="1" x14ac:dyDescent="0.2">
      <c r="A4" s="867" t="s">
        <v>109</v>
      </c>
      <c r="B4" s="868"/>
      <c r="C4" s="868"/>
      <c r="D4" s="869"/>
      <c r="E4" s="868"/>
      <c r="F4" s="868"/>
      <c r="G4" s="867" t="s">
        <v>110</v>
      </c>
      <c r="H4" s="869"/>
      <c r="I4" s="869" t="s">
        <v>635</v>
      </c>
      <c r="J4" s="868"/>
      <c r="K4" s="868"/>
      <c r="L4" s="870"/>
      <c r="M4" s="870"/>
      <c r="N4" s="870"/>
      <c r="O4" s="870"/>
    </row>
    <row r="5" spans="1:17" s="1" customFormat="1" x14ac:dyDescent="0.2">
      <c r="A5" s="867" t="s">
        <v>112</v>
      </c>
      <c r="B5" s="868"/>
      <c r="C5" s="868"/>
      <c r="D5" s="869" t="s">
        <v>713</v>
      </c>
      <c r="E5" s="868"/>
      <c r="F5" s="868"/>
      <c r="G5" s="867"/>
      <c r="H5" s="868"/>
      <c r="I5" s="869" t="s">
        <v>113</v>
      </c>
      <c r="J5" s="868"/>
      <c r="K5" s="868"/>
      <c r="L5" s="870"/>
      <c r="M5" s="870"/>
      <c r="N5" s="870"/>
      <c r="O5" s="870"/>
    </row>
    <row r="6" spans="1:17" s="1" customFormat="1" x14ac:dyDescent="0.2">
      <c r="A6" s="871" t="s">
        <v>114</v>
      </c>
      <c r="B6" s="872"/>
      <c r="C6" s="872"/>
      <c r="D6" s="868" t="s">
        <v>573</v>
      </c>
      <c r="E6" s="868"/>
      <c r="F6" s="868"/>
      <c r="G6" s="871" t="s">
        <v>115</v>
      </c>
      <c r="H6" s="871"/>
      <c r="I6" s="2" t="s">
        <v>116</v>
      </c>
      <c r="J6" s="888"/>
      <c r="K6" s="888"/>
      <c r="L6" s="888"/>
      <c r="M6" s="888"/>
      <c r="N6" s="888"/>
      <c r="O6" s="889"/>
    </row>
    <row r="7" spans="1:17" s="1" customFormat="1" ht="13.5" thickBot="1" x14ac:dyDescent="0.25">
      <c r="A7" s="3"/>
      <c r="B7" s="4"/>
      <c r="C7" s="5"/>
      <c r="D7" s="6"/>
      <c r="E7" s="6"/>
      <c r="F7" s="6"/>
      <c r="G7" s="6"/>
      <c r="H7" s="6"/>
      <c r="I7" s="6"/>
      <c r="J7" s="7"/>
      <c r="K7" s="8"/>
      <c r="L7" s="875" t="s">
        <v>223</v>
      </c>
      <c r="M7" s="875"/>
      <c r="N7" s="875"/>
      <c r="O7" s="875"/>
    </row>
    <row r="8" spans="1:17" s="11" customFormat="1" x14ac:dyDescent="0.2">
      <c r="A8" s="876" t="str">
        <f>I1</f>
        <v>Mr. V. N. Kamble</v>
      </c>
      <c r="B8" s="877"/>
      <c r="C8" s="9">
        <v>43160</v>
      </c>
      <c r="D8" s="9">
        <v>43191</v>
      </c>
      <c r="E8" s="9">
        <v>43221</v>
      </c>
      <c r="F8" s="9">
        <v>43252</v>
      </c>
      <c r="G8" s="9">
        <v>43282</v>
      </c>
      <c r="H8" s="9">
        <v>43313</v>
      </c>
      <c r="I8" s="9">
        <v>43344</v>
      </c>
      <c r="J8" s="9">
        <v>43374</v>
      </c>
      <c r="K8" s="9">
        <v>43405</v>
      </c>
      <c r="L8" s="9">
        <v>43435</v>
      </c>
      <c r="M8" s="9">
        <v>43466</v>
      </c>
      <c r="N8" s="9">
        <v>43497</v>
      </c>
      <c r="O8" s="10" t="s">
        <v>117</v>
      </c>
      <c r="Q8" s="11" t="s">
        <v>116</v>
      </c>
    </row>
    <row r="9" spans="1:17" ht="15" x14ac:dyDescent="0.2">
      <c r="A9" s="12"/>
      <c r="B9" s="13" t="s">
        <v>118</v>
      </c>
      <c r="C9" s="14">
        <v>87700</v>
      </c>
      <c r="D9" s="14">
        <f>+C9</f>
        <v>87700</v>
      </c>
      <c r="E9" s="14">
        <f>+D9</f>
        <v>87700</v>
      </c>
      <c r="F9" s="14">
        <f>+E9</f>
        <v>87700</v>
      </c>
      <c r="G9" s="14">
        <v>90300</v>
      </c>
      <c r="H9" s="14">
        <v>0</v>
      </c>
      <c r="I9" s="14">
        <v>0</v>
      </c>
      <c r="J9" s="14">
        <v>0</v>
      </c>
      <c r="K9" s="14">
        <v>0</v>
      </c>
      <c r="L9" s="14">
        <v>0</v>
      </c>
      <c r="M9" s="14">
        <v>0</v>
      </c>
      <c r="N9" s="14">
        <v>0</v>
      </c>
      <c r="O9" s="15">
        <f>SUM(C9:N9)</f>
        <v>441100</v>
      </c>
      <c r="Q9" s="16" t="s">
        <v>222</v>
      </c>
    </row>
    <row r="10" spans="1:17" ht="15" x14ac:dyDescent="0.2">
      <c r="A10" s="12"/>
      <c r="B10" s="13" t="s">
        <v>119</v>
      </c>
      <c r="C10" s="17">
        <v>0</v>
      </c>
      <c r="D10" s="17">
        <f>+C10</f>
        <v>0</v>
      </c>
      <c r="E10" s="17">
        <f t="shared" ref="E10:N25" si="0">+D10</f>
        <v>0</v>
      </c>
      <c r="F10" s="17">
        <f t="shared" si="0"/>
        <v>0</v>
      </c>
      <c r="G10" s="17">
        <f t="shared" si="0"/>
        <v>0</v>
      </c>
      <c r="H10" s="17">
        <v>0</v>
      </c>
      <c r="I10" s="17">
        <f t="shared" si="0"/>
        <v>0</v>
      </c>
      <c r="J10" s="17">
        <f t="shared" si="0"/>
        <v>0</v>
      </c>
      <c r="K10" s="17">
        <f t="shared" si="0"/>
        <v>0</v>
      </c>
      <c r="L10" s="17">
        <f t="shared" si="0"/>
        <v>0</v>
      </c>
      <c r="M10" s="17">
        <f t="shared" si="0"/>
        <v>0</v>
      </c>
      <c r="N10" s="17">
        <f t="shared" si="0"/>
        <v>0</v>
      </c>
      <c r="O10" s="18">
        <f>SUM(C10:N10)</f>
        <v>0</v>
      </c>
    </row>
    <row r="11" spans="1:17" ht="15" x14ac:dyDescent="0.2">
      <c r="A11" s="12"/>
      <c r="B11" s="13" t="s">
        <v>120</v>
      </c>
      <c r="C11" s="17">
        <v>4385</v>
      </c>
      <c r="D11" s="17">
        <v>6139</v>
      </c>
      <c r="E11" s="17">
        <f t="shared" si="0"/>
        <v>6139</v>
      </c>
      <c r="F11" s="17">
        <f t="shared" si="0"/>
        <v>6139</v>
      </c>
      <c r="G11" s="17">
        <v>6321</v>
      </c>
      <c r="H11" s="17">
        <v>0</v>
      </c>
      <c r="I11" s="17">
        <f t="shared" si="0"/>
        <v>0</v>
      </c>
      <c r="J11" s="17">
        <f t="shared" si="0"/>
        <v>0</v>
      </c>
      <c r="K11" s="17">
        <f t="shared" si="0"/>
        <v>0</v>
      </c>
      <c r="L11" s="17">
        <f t="shared" si="0"/>
        <v>0</v>
      </c>
      <c r="M11" s="17">
        <f t="shared" si="0"/>
        <v>0</v>
      </c>
      <c r="N11" s="17">
        <f t="shared" si="0"/>
        <v>0</v>
      </c>
      <c r="O11" s="18">
        <f>SUM(C11:N11)</f>
        <v>29123</v>
      </c>
    </row>
    <row r="12" spans="1:17" ht="15" hidden="1" x14ac:dyDescent="0.2">
      <c r="A12" s="12"/>
      <c r="B12" s="13" t="s">
        <v>121</v>
      </c>
      <c r="C12" s="17">
        <v>0</v>
      </c>
      <c r="D12" s="17">
        <f>+C12</f>
        <v>0</v>
      </c>
      <c r="E12" s="17">
        <f t="shared" si="0"/>
        <v>0</v>
      </c>
      <c r="F12" s="17">
        <f t="shared" si="0"/>
        <v>0</v>
      </c>
      <c r="G12" s="17">
        <f t="shared" si="0"/>
        <v>0</v>
      </c>
      <c r="H12" s="17">
        <v>0</v>
      </c>
      <c r="I12" s="17">
        <f t="shared" si="0"/>
        <v>0</v>
      </c>
      <c r="J12" s="17">
        <f t="shared" si="0"/>
        <v>0</v>
      </c>
      <c r="K12" s="17">
        <f t="shared" si="0"/>
        <v>0</v>
      </c>
      <c r="L12" s="17">
        <f t="shared" si="0"/>
        <v>0</v>
      </c>
      <c r="M12" s="17">
        <f t="shared" si="0"/>
        <v>0</v>
      </c>
      <c r="N12" s="17">
        <f t="shared" si="0"/>
        <v>0</v>
      </c>
      <c r="O12" s="18">
        <f>SUM(C12:N12)</f>
        <v>0</v>
      </c>
    </row>
    <row r="13" spans="1:17" ht="15" hidden="1" x14ac:dyDescent="0.2">
      <c r="A13" s="12"/>
      <c r="B13" s="13" t="s">
        <v>122</v>
      </c>
      <c r="C13" s="17">
        <v>0</v>
      </c>
      <c r="D13" s="17">
        <f>+C13</f>
        <v>0</v>
      </c>
      <c r="E13" s="17">
        <f t="shared" si="0"/>
        <v>0</v>
      </c>
      <c r="F13" s="17">
        <f t="shared" si="0"/>
        <v>0</v>
      </c>
      <c r="G13" s="17">
        <f t="shared" si="0"/>
        <v>0</v>
      </c>
      <c r="H13" s="17">
        <v>0</v>
      </c>
      <c r="I13" s="17">
        <f t="shared" si="0"/>
        <v>0</v>
      </c>
      <c r="J13" s="17">
        <f t="shared" si="0"/>
        <v>0</v>
      </c>
      <c r="K13" s="17">
        <f t="shared" si="0"/>
        <v>0</v>
      </c>
      <c r="L13" s="17">
        <f t="shared" si="0"/>
        <v>0</v>
      </c>
      <c r="M13" s="17">
        <f t="shared" si="0"/>
        <v>0</v>
      </c>
      <c r="N13" s="17">
        <f t="shared" si="0"/>
        <v>0</v>
      </c>
      <c r="O13" s="18">
        <f t="shared" ref="O13:O36" si="1">SUM(C13:N13)</f>
        <v>0</v>
      </c>
    </row>
    <row r="14" spans="1:17" ht="15" x14ac:dyDescent="0.2">
      <c r="A14" s="12"/>
      <c r="B14" s="13" t="s">
        <v>123</v>
      </c>
      <c r="C14" s="17">
        <v>7560</v>
      </c>
      <c r="D14" s="17">
        <v>7704</v>
      </c>
      <c r="E14" s="17">
        <f t="shared" si="0"/>
        <v>7704</v>
      </c>
      <c r="F14" s="17">
        <f t="shared" si="0"/>
        <v>7704</v>
      </c>
      <c r="G14" s="17">
        <f t="shared" si="0"/>
        <v>7704</v>
      </c>
      <c r="H14" s="17">
        <v>0</v>
      </c>
      <c r="I14" s="17">
        <f t="shared" si="0"/>
        <v>0</v>
      </c>
      <c r="J14" s="17">
        <f t="shared" si="0"/>
        <v>0</v>
      </c>
      <c r="K14" s="17">
        <f t="shared" si="0"/>
        <v>0</v>
      </c>
      <c r="L14" s="17">
        <f t="shared" si="0"/>
        <v>0</v>
      </c>
      <c r="M14" s="17">
        <f t="shared" si="0"/>
        <v>0</v>
      </c>
      <c r="N14" s="17">
        <f t="shared" si="0"/>
        <v>0</v>
      </c>
      <c r="O14" s="18">
        <f t="shared" si="1"/>
        <v>38376</v>
      </c>
    </row>
    <row r="15" spans="1:17" ht="15" hidden="1" x14ac:dyDescent="0.2">
      <c r="A15" s="12"/>
      <c r="B15" s="13" t="s">
        <v>124</v>
      </c>
      <c r="C15" s="17">
        <v>0</v>
      </c>
      <c r="D15" s="17">
        <f t="shared" ref="D15:G34" si="2">+C15</f>
        <v>0</v>
      </c>
      <c r="E15" s="17">
        <f t="shared" si="0"/>
        <v>0</v>
      </c>
      <c r="F15" s="17">
        <f t="shared" si="0"/>
        <v>0</v>
      </c>
      <c r="G15" s="17">
        <f t="shared" si="0"/>
        <v>0</v>
      </c>
      <c r="H15" s="17">
        <v>0</v>
      </c>
      <c r="I15" s="17">
        <f t="shared" si="0"/>
        <v>0</v>
      </c>
      <c r="J15" s="17">
        <f t="shared" si="0"/>
        <v>0</v>
      </c>
      <c r="K15" s="17">
        <f t="shared" si="0"/>
        <v>0</v>
      </c>
      <c r="L15" s="17">
        <f t="shared" si="0"/>
        <v>0</v>
      </c>
      <c r="M15" s="17">
        <f t="shared" si="0"/>
        <v>0</v>
      </c>
      <c r="N15" s="17">
        <f t="shared" si="0"/>
        <v>0</v>
      </c>
      <c r="O15" s="18">
        <f t="shared" si="1"/>
        <v>0</v>
      </c>
    </row>
    <row r="16" spans="1:17" ht="15" hidden="1" x14ac:dyDescent="0.2">
      <c r="A16" s="12"/>
      <c r="B16" s="13" t="s">
        <v>125</v>
      </c>
      <c r="C16" s="17">
        <v>0</v>
      </c>
      <c r="D16" s="17">
        <f t="shared" si="2"/>
        <v>0</v>
      </c>
      <c r="E16" s="17">
        <f t="shared" si="0"/>
        <v>0</v>
      </c>
      <c r="F16" s="17">
        <f t="shared" si="0"/>
        <v>0</v>
      </c>
      <c r="G16" s="17">
        <f t="shared" si="0"/>
        <v>0</v>
      </c>
      <c r="H16" s="17">
        <v>0</v>
      </c>
      <c r="I16" s="17">
        <f t="shared" si="0"/>
        <v>0</v>
      </c>
      <c r="J16" s="17">
        <f t="shared" si="0"/>
        <v>0</v>
      </c>
      <c r="K16" s="17">
        <f t="shared" si="0"/>
        <v>0</v>
      </c>
      <c r="L16" s="17">
        <f t="shared" si="0"/>
        <v>0</v>
      </c>
      <c r="M16" s="17">
        <f t="shared" si="0"/>
        <v>0</v>
      </c>
      <c r="N16" s="17">
        <f t="shared" si="0"/>
        <v>0</v>
      </c>
      <c r="O16" s="18">
        <f t="shared" si="1"/>
        <v>0</v>
      </c>
    </row>
    <row r="17" spans="1:20" ht="15" hidden="1" x14ac:dyDescent="0.2">
      <c r="A17" s="12"/>
      <c r="B17" s="13" t="s">
        <v>126</v>
      </c>
      <c r="C17" s="17">
        <v>0</v>
      </c>
      <c r="D17" s="17">
        <f t="shared" si="2"/>
        <v>0</v>
      </c>
      <c r="E17" s="17">
        <f t="shared" si="0"/>
        <v>0</v>
      </c>
      <c r="F17" s="17">
        <f t="shared" si="0"/>
        <v>0</v>
      </c>
      <c r="G17" s="17">
        <f t="shared" si="0"/>
        <v>0</v>
      </c>
      <c r="H17" s="17">
        <v>0</v>
      </c>
      <c r="I17" s="17">
        <f t="shared" si="0"/>
        <v>0</v>
      </c>
      <c r="J17" s="17">
        <f t="shared" si="0"/>
        <v>0</v>
      </c>
      <c r="K17" s="17">
        <f t="shared" si="0"/>
        <v>0</v>
      </c>
      <c r="L17" s="17">
        <f t="shared" si="0"/>
        <v>0</v>
      </c>
      <c r="M17" s="17">
        <f t="shared" si="0"/>
        <v>0</v>
      </c>
      <c r="N17" s="17">
        <f t="shared" si="0"/>
        <v>0</v>
      </c>
      <c r="O17" s="18">
        <f t="shared" si="1"/>
        <v>0</v>
      </c>
    </row>
    <row r="18" spans="1:20" ht="15" x14ac:dyDescent="0.2">
      <c r="A18" s="12"/>
      <c r="B18" s="13" t="s">
        <v>127</v>
      </c>
      <c r="C18" s="17">
        <v>0</v>
      </c>
      <c r="D18" s="17">
        <f t="shared" si="2"/>
        <v>0</v>
      </c>
      <c r="E18" s="17">
        <f t="shared" si="0"/>
        <v>0</v>
      </c>
      <c r="F18" s="17">
        <f t="shared" si="0"/>
        <v>0</v>
      </c>
      <c r="G18" s="17">
        <f t="shared" si="0"/>
        <v>0</v>
      </c>
      <c r="H18" s="17">
        <v>0</v>
      </c>
      <c r="I18" s="17">
        <f t="shared" si="0"/>
        <v>0</v>
      </c>
      <c r="J18" s="17">
        <f t="shared" si="0"/>
        <v>0</v>
      </c>
      <c r="K18" s="17">
        <f t="shared" si="0"/>
        <v>0</v>
      </c>
      <c r="L18" s="17">
        <f t="shared" si="0"/>
        <v>0</v>
      </c>
      <c r="M18" s="17">
        <f t="shared" si="0"/>
        <v>0</v>
      </c>
      <c r="N18" s="17">
        <f t="shared" si="0"/>
        <v>0</v>
      </c>
      <c r="O18" s="18">
        <f t="shared" si="1"/>
        <v>0</v>
      </c>
    </row>
    <row r="19" spans="1:20" ht="15" x14ac:dyDescent="0.2">
      <c r="A19" s="12"/>
      <c r="B19" s="13" t="s">
        <v>128</v>
      </c>
      <c r="C19" s="17">
        <v>21048</v>
      </c>
      <c r="D19" s="17">
        <f t="shared" si="2"/>
        <v>21048</v>
      </c>
      <c r="E19" s="17">
        <f t="shared" si="0"/>
        <v>21048</v>
      </c>
      <c r="F19" s="17">
        <f t="shared" si="0"/>
        <v>21048</v>
      </c>
      <c r="G19" s="17">
        <v>21672</v>
      </c>
      <c r="H19" s="17">
        <v>0</v>
      </c>
      <c r="I19" s="17">
        <f t="shared" si="0"/>
        <v>0</v>
      </c>
      <c r="J19" s="17">
        <f t="shared" si="0"/>
        <v>0</v>
      </c>
      <c r="K19" s="17">
        <f t="shared" si="0"/>
        <v>0</v>
      </c>
      <c r="L19" s="17">
        <f t="shared" si="0"/>
        <v>0</v>
      </c>
      <c r="M19" s="17">
        <f t="shared" si="0"/>
        <v>0</v>
      </c>
      <c r="N19" s="17">
        <f t="shared" si="0"/>
        <v>0</v>
      </c>
      <c r="O19" s="18">
        <f t="shared" si="1"/>
        <v>105864</v>
      </c>
    </row>
    <row r="20" spans="1:20" ht="15" customHeight="1" x14ac:dyDescent="0.2">
      <c r="A20" s="12"/>
      <c r="B20" s="13" t="s">
        <v>129</v>
      </c>
      <c r="C20" s="17">
        <v>0</v>
      </c>
      <c r="D20" s="17">
        <f t="shared" si="2"/>
        <v>0</v>
      </c>
      <c r="E20" s="17">
        <f t="shared" si="0"/>
        <v>0</v>
      </c>
      <c r="F20" s="17">
        <f t="shared" si="0"/>
        <v>0</v>
      </c>
      <c r="G20" s="17">
        <f t="shared" si="0"/>
        <v>0</v>
      </c>
      <c r="H20" s="17">
        <v>0</v>
      </c>
      <c r="I20" s="17">
        <f t="shared" si="0"/>
        <v>0</v>
      </c>
      <c r="J20" s="17">
        <f t="shared" si="0"/>
        <v>0</v>
      </c>
      <c r="K20" s="17">
        <f t="shared" si="0"/>
        <v>0</v>
      </c>
      <c r="L20" s="17">
        <f t="shared" si="0"/>
        <v>0</v>
      </c>
      <c r="M20" s="17">
        <f t="shared" si="0"/>
        <v>0</v>
      </c>
      <c r="N20" s="17">
        <f t="shared" si="0"/>
        <v>0</v>
      </c>
      <c r="O20" s="18">
        <f t="shared" si="1"/>
        <v>0</v>
      </c>
    </row>
    <row r="21" spans="1:20" ht="15" hidden="1" customHeight="1" x14ac:dyDescent="0.2">
      <c r="A21" s="878" t="s">
        <v>130</v>
      </c>
      <c r="B21" s="19" t="s">
        <v>131</v>
      </c>
      <c r="C21" s="17">
        <v>0</v>
      </c>
      <c r="D21" s="17">
        <f t="shared" si="2"/>
        <v>0</v>
      </c>
      <c r="E21" s="17">
        <f t="shared" si="0"/>
        <v>0</v>
      </c>
      <c r="F21" s="17">
        <f t="shared" si="0"/>
        <v>0</v>
      </c>
      <c r="G21" s="17">
        <f t="shared" si="0"/>
        <v>0</v>
      </c>
      <c r="H21" s="17">
        <v>0</v>
      </c>
      <c r="I21" s="17">
        <f t="shared" si="0"/>
        <v>0</v>
      </c>
      <c r="J21" s="17">
        <f t="shared" si="0"/>
        <v>0</v>
      </c>
      <c r="K21" s="17">
        <f t="shared" si="0"/>
        <v>0</v>
      </c>
      <c r="L21" s="17">
        <f t="shared" si="0"/>
        <v>0</v>
      </c>
      <c r="M21" s="17">
        <f t="shared" si="0"/>
        <v>0</v>
      </c>
      <c r="N21" s="17">
        <f t="shared" si="0"/>
        <v>0</v>
      </c>
      <c r="O21" s="18">
        <f t="shared" si="1"/>
        <v>0</v>
      </c>
    </row>
    <row r="22" spans="1:20" ht="15" customHeight="1" x14ac:dyDescent="0.2">
      <c r="A22" s="879"/>
      <c r="B22" s="19" t="s">
        <v>132</v>
      </c>
      <c r="C22" s="17">
        <v>0</v>
      </c>
      <c r="D22" s="17">
        <f t="shared" si="2"/>
        <v>0</v>
      </c>
      <c r="E22" s="17">
        <f t="shared" si="0"/>
        <v>0</v>
      </c>
      <c r="F22" s="17">
        <f t="shared" si="0"/>
        <v>0</v>
      </c>
      <c r="G22" s="17">
        <f t="shared" si="0"/>
        <v>0</v>
      </c>
      <c r="H22" s="17">
        <v>0</v>
      </c>
      <c r="I22" s="17">
        <f t="shared" si="0"/>
        <v>0</v>
      </c>
      <c r="J22" s="17">
        <f t="shared" si="0"/>
        <v>0</v>
      </c>
      <c r="K22" s="17">
        <f t="shared" si="0"/>
        <v>0</v>
      </c>
      <c r="L22" s="17">
        <f t="shared" si="0"/>
        <v>0</v>
      </c>
      <c r="M22" s="17">
        <f t="shared" si="0"/>
        <v>0</v>
      </c>
      <c r="N22" s="17">
        <f t="shared" si="0"/>
        <v>0</v>
      </c>
      <c r="O22" s="18">
        <f t="shared" si="1"/>
        <v>0</v>
      </c>
    </row>
    <row r="23" spans="1:20" ht="15" hidden="1" customHeight="1" x14ac:dyDescent="0.2">
      <c r="A23" s="879"/>
      <c r="B23" s="19" t="s">
        <v>133</v>
      </c>
      <c r="C23" s="17">
        <v>0</v>
      </c>
      <c r="D23" s="17">
        <f t="shared" si="2"/>
        <v>0</v>
      </c>
      <c r="E23" s="17">
        <f t="shared" si="0"/>
        <v>0</v>
      </c>
      <c r="F23" s="17">
        <f t="shared" si="0"/>
        <v>0</v>
      </c>
      <c r="G23" s="17">
        <f t="shared" si="0"/>
        <v>0</v>
      </c>
      <c r="H23" s="17">
        <v>0</v>
      </c>
      <c r="I23" s="17">
        <f t="shared" si="0"/>
        <v>0</v>
      </c>
      <c r="J23" s="17">
        <f t="shared" si="0"/>
        <v>0</v>
      </c>
      <c r="K23" s="17">
        <f t="shared" si="0"/>
        <v>0</v>
      </c>
      <c r="L23" s="17">
        <f t="shared" si="0"/>
        <v>0</v>
      </c>
      <c r="M23" s="17">
        <f t="shared" si="0"/>
        <v>0</v>
      </c>
      <c r="N23" s="17">
        <f t="shared" si="0"/>
        <v>0</v>
      </c>
      <c r="O23" s="18">
        <f t="shared" si="1"/>
        <v>0</v>
      </c>
    </row>
    <row r="24" spans="1:20" ht="15" hidden="1" customHeight="1" x14ac:dyDescent="0.2">
      <c r="A24" s="879"/>
      <c r="B24" s="19" t="s">
        <v>134</v>
      </c>
      <c r="C24" s="17">
        <v>0</v>
      </c>
      <c r="D24" s="17">
        <f t="shared" si="2"/>
        <v>0</v>
      </c>
      <c r="E24" s="17">
        <f t="shared" si="0"/>
        <v>0</v>
      </c>
      <c r="F24" s="17">
        <f t="shared" si="0"/>
        <v>0</v>
      </c>
      <c r="G24" s="17">
        <f t="shared" si="0"/>
        <v>0</v>
      </c>
      <c r="H24" s="17">
        <v>0</v>
      </c>
      <c r="I24" s="17">
        <f t="shared" si="0"/>
        <v>0</v>
      </c>
      <c r="J24" s="17">
        <f t="shared" si="0"/>
        <v>0</v>
      </c>
      <c r="K24" s="17">
        <f t="shared" si="0"/>
        <v>0</v>
      </c>
      <c r="L24" s="17">
        <f t="shared" si="0"/>
        <v>0</v>
      </c>
      <c r="M24" s="17">
        <f t="shared" si="0"/>
        <v>0</v>
      </c>
      <c r="N24" s="17">
        <f t="shared" si="0"/>
        <v>0</v>
      </c>
      <c r="O24" s="18">
        <f t="shared" si="1"/>
        <v>0</v>
      </c>
    </row>
    <row r="25" spans="1:20" ht="15" hidden="1" customHeight="1" x14ac:dyDescent="0.2">
      <c r="A25" s="879"/>
      <c r="B25" s="19" t="s">
        <v>135</v>
      </c>
      <c r="C25" s="17">
        <v>0</v>
      </c>
      <c r="D25" s="17">
        <f t="shared" si="2"/>
        <v>0</v>
      </c>
      <c r="E25" s="17">
        <f t="shared" si="0"/>
        <v>0</v>
      </c>
      <c r="F25" s="17">
        <f t="shared" si="0"/>
        <v>0</v>
      </c>
      <c r="G25" s="17">
        <f t="shared" si="0"/>
        <v>0</v>
      </c>
      <c r="H25" s="17">
        <v>0</v>
      </c>
      <c r="I25" s="17">
        <f t="shared" si="0"/>
        <v>0</v>
      </c>
      <c r="J25" s="17">
        <f t="shared" si="0"/>
        <v>0</v>
      </c>
      <c r="K25" s="17">
        <f t="shared" si="0"/>
        <v>0</v>
      </c>
      <c r="L25" s="17">
        <f t="shared" si="0"/>
        <v>0</v>
      </c>
      <c r="M25" s="17">
        <f t="shared" si="0"/>
        <v>0</v>
      </c>
      <c r="N25" s="17">
        <f t="shared" si="0"/>
        <v>0</v>
      </c>
      <c r="O25" s="18">
        <f t="shared" si="1"/>
        <v>0</v>
      </c>
    </row>
    <row r="26" spans="1:20" ht="15" hidden="1" customHeight="1" x14ac:dyDescent="0.2">
      <c r="A26" s="879"/>
      <c r="B26" s="19" t="s">
        <v>136</v>
      </c>
      <c r="C26" s="17">
        <v>0</v>
      </c>
      <c r="D26" s="17">
        <f t="shared" si="2"/>
        <v>0</v>
      </c>
      <c r="E26" s="17">
        <f t="shared" si="2"/>
        <v>0</v>
      </c>
      <c r="F26" s="17">
        <f t="shared" si="2"/>
        <v>0</v>
      </c>
      <c r="G26" s="17">
        <f t="shared" si="2"/>
        <v>0</v>
      </c>
      <c r="H26" s="17">
        <v>0</v>
      </c>
      <c r="I26" s="17">
        <f t="shared" ref="I26:N36" si="3">+H26</f>
        <v>0</v>
      </c>
      <c r="J26" s="17">
        <f t="shared" si="3"/>
        <v>0</v>
      </c>
      <c r="K26" s="17">
        <f t="shared" si="3"/>
        <v>0</v>
      </c>
      <c r="L26" s="17">
        <f t="shared" si="3"/>
        <v>0</v>
      </c>
      <c r="M26" s="17">
        <f t="shared" si="3"/>
        <v>0</v>
      </c>
      <c r="N26" s="17">
        <f t="shared" si="3"/>
        <v>0</v>
      </c>
      <c r="O26" s="18">
        <f t="shared" si="1"/>
        <v>0</v>
      </c>
    </row>
    <row r="27" spans="1:20" ht="15" hidden="1" customHeight="1" x14ac:dyDescent="0.2">
      <c r="A27" s="879"/>
      <c r="B27" s="19" t="s">
        <v>137</v>
      </c>
      <c r="C27" s="17">
        <v>0</v>
      </c>
      <c r="D27" s="17">
        <f t="shared" si="2"/>
        <v>0</v>
      </c>
      <c r="E27" s="17">
        <f t="shared" si="2"/>
        <v>0</v>
      </c>
      <c r="F27" s="17">
        <f t="shared" si="2"/>
        <v>0</v>
      </c>
      <c r="G27" s="17">
        <f t="shared" si="2"/>
        <v>0</v>
      </c>
      <c r="H27" s="17">
        <v>0</v>
      </c>
      <c r="I27" s="17">
        <f t="shared" si="3"/>
        <v>0</v>
      </c>
      <c r="J27" s="17">
        <f t="shared" si="3"/>
        <v>0</v>
      </c>
      <c r="K27" s="17">
        <f t="shared" si="3"/>
        <v>0</v>
      </c>
      <c r="L27" s="17">
        <f t="shared" si="3"/>
        <v>0</v>
      </c>
      <c r="M27" s="17">
        <f t="shared" si="3"/>
        <v>0</v>
      </c>
      <c r="N27" s="17">
        <f t="shared" si="3"/>
        <v>0</v>
      </c>
      <c r="O27" s="18">
        <f t="shared" si="1"/>
        <v>0</v>
      </c>
    </row>
    <row r="28" spans="1:20" ht="15" hidden="1" customHeight="1" x14ac:dyDescent="0.2">
      <c r="A28" s="879"/>
      <c r="B28" s="19" t="s">
        <v>138</v>
      </c>
      <c r="C28" s="17">
        <v>0</v>
      </c>
      <c r="D28" s="17">
        <f t="shared" si="2"/>
        <v>0</v>
      </c>
      <c r="E28" s="17">
        <f t="shared" si="2"/>
        <v>0</v>
      </c>
      <c r="F28" s="17">
        <f t="shared" si="2"/>
        <v>0</v>
      </c>
      <c r="G28" s="17">
        <f t="shared" si="2"/>
        <v>0</v>
      </c>
      <c r="H28" s="17">
        <v>0</v>
      </c>
      <c r="I28" s="17">
        <f t="shared" si="3"/>
        <v>0</v>
      </c>
      <c r="J28" s="17">
        <f t="shared" si="3"/>
        <v>0</v>
      </c>
      <c r="K28" s="17">
        <f t="shared" si="3"/>
        <v>0</v>
      </c>
      <c r="L28" s="17">
        <f t="shared" si="3"/>
        <v>0</v>
      </c>
      <c r="M28" s="17">
        <f t="shared" si="3"/>
        <v>0</v>
      </c>
      <c r="N28" s="17">
        <f t="shared" si="3"/>
        <v>0</v>
      </c>
      <c r="O28" s="18">
        <f t="shared" si="1"/>
        <v>0</v>
      </c>
    </row>
    <row r="29" spans="1:20" ht="15" hidden="1" customHeight="1" x14ac:dyDescent="0.2">
      <c r="A29" s="879"/>
      <c r="B29" s="19" t="s">
        <v>139</v>
      </c>
      <c r="C29" s="17">
        <v>0</v>
      </c>
      <c r="D29" s="17">
        <f t="shared" si="2"/>
        <v>0</v>
      </c>
      <c r="E29" s="17">
        <f t="shared" si="2"/>
        <v>0</v>
      </c>
      <c r="F29" s="17">
        <f t="shared" si="2"/>
        <v>0</v>
      </c>
      <c r="G29" s="17">
        <f t="shared" si="2"/>
        <v>0</v>
      </c>
      <c r="H29" s="17">
        <v>0</v>
      </c>
      <c r="I29" s="17">
        <f t="shared" si="3"/>
        <v>0</v>
      </c>
      <c r="J29" s="17">
        <f t="shared" si="3"/>
        <v>0</v>
      </c>
      <c r="K29" s="17">
        <f t="shared" si="3"/>
        <v>0</v>
      </c>
      <c r="L29" s="17">
        <f t="shared" si="3"/>
        <v>0</v>
      </c>
      <c r="M29" s="17">
        <f t="shared" si="3"/>
        <v>0</v>
      </c>
      <c r="N29" s="17">
        <f t="shared" si="3"/>
        <v>0</v>
      </c>
      <c r="O29" s="18">
        <f t="shared" si="1"/>
        <v>0</v>
      </c>
    </row>
    <row r="30" spans="1:20" ht="15" hidden="1" customHeight="1" x14ac:dyDescent="0.2">
      <c r="A30" s="879"/>
      <c r="B30" s="19" t="s">
        <v>140</v>
      </c>
      <c r="C30" s="17">
        <v>0</v>
      </c>
      <c r="D30" s="17">
        <f t="shared" si="2"/>
        <v>0</v>
      </c>
      <c r="E30" s="17">
        <f t="shared" si="2"/>
        <v>0</v>
      </c>
      <c r="F30" s="17">
        <f t="shared" si="2"/>
        <v>0</v>
      </c>
      <c r="G30" s="17">
        <f t="shared" si="2"/>
        <v>0</v>
      </c>
      <c r="H30" s="17">
        <v>0</v>
      </c>
      <c r="I30" s="17">
        <f t="shared" si="3"/>
        <v>0</v>
      </c>
      <c r="J30" s="17">
        <f t="shared" si="3"/>
        <v>0</v>
      </c>
      <c r="K30" s="17">
        <f t="shared" si="3"/>
        <v>0</v>
      </c>
      <c r="L30" s="17">
        <f t="shared" si="3"/>
        <v>0</v>
      </c>
      <c r="M30" s="17">
        <f t="shared" si="3"/>
        <v>0</v>
      </c>
      <c r="N30" s="17">
        <f t="shared" si="3"/>
        <v>0</v>
      </c>
      <c r="O30" s="18">
        <f t="shared" si="1"/>
        <v>0</v>
      </c>
    </row>
    <row r="31" spans="1:20" ht="15" customHeight="1" x14ac:dyDescent="0.2">
      <c r="A31" s="879"/>
      <c r="B31" s="167" t="s">
        <v>246</v>
      </c>
      <c r="C31" s="17">
        <v>0</v>
      </c>
      <c r="D31" s="17">
        <f t="shared" si="2"/>
        <v>0</v>
      </c>
      <c r="E31" s="17">
        <f t="shared" si="2"/>
        <v>0</v>
      </c>
      <c r="F31" s="17">
        <f t="shared" si="2"/>
        <v>0</v>
      </c>
      <c r="G31" s="17">
        <f t="shared" si="2"/>
        <v>0</v>
      </c>
      <c r="H31" s="17">
        <v>0</v>
      </c>
      <c r="I31" s="17">
        <f t="shared" si="3"/>
        <v>0</v>
      </c>
      <c r="J31" s="17">
        <f t="shared" si="3"/>
        <v>0</v>
      </c>
      <c r="K31" s="17">
        <f t="shared" si="3"/>
        <v>0</v>
      </c>
      <c r="L31" s="17">
        <f t="shared" si="3"/>
        <v>0</v>
      </c>
      <c r="M31" s="17">
        <f t="shared" si="3"/>
        <v>0</v>
      </c>
      <c r="N31" s="17">
        <f t="shared" si="3"/>
        <v>0</v>
      </c>
      <c r="O31" s="18">
        <f t="shared" si="1"/>
        <v>0</v>
      </c>
    </row>
    <row r="32" spans="1:20" ht="15" customHeight="1" x14ac:dyDescent="0.2">
      <c r="A32" s="879"/>
      <c r="B32" s="21" t="s">
        <v>142</v>
      </c>
      <c r="C32" s="17">
        <v>0</v>
      </c>
      <c r="D32" s="17">
        <f t="shared" si="2"/>
        <v>0</v>
      </c>
      <c r="E32" s="17">
        <f t="shared" si="2"/>
        <v>0</v>
      </c>
      <c r="F32" s="17">
        <f t="shared" si="2"/>
        <v>0</v>
      </c>
      <c r="G32" s="17">
        <f t="shared" si="2"/>
        <v>0</v>
      </c>
      <c r="H32" s="17">
        <v>0</v>
      </c>
      <c r="I32" s="17">
        <f t="shared" si="3"/>
        <v>0</v>
      </c>
      <c r="J32" s="17">
        <f t="shared" si="3"/>
        <v>0</v>
      </c>
      <c r="K32" s="17">
        <f t="shared" si="3"/>
        <v>0</v>
      </c>
      <c r="L32" s="17">
        <f t="shared" si="3"/>
        <v>0</v>
      </c>
      <c r="M32" s="17">
        <f t="shared" si="3"/>
        <v>0</v>
      </c>
      <c r="N32" s="17">
        <f t="shared" si="3"/>
        <v>0</v>
      </c>
      <c r="O32" s="18">
        <f t="shared" si="1"/>
        <v>0</v>
      </c>
      <c r="Q32" s="16">
        <v>116364</v>
      </c>
      <c r="T32" s="16">
        <v>11000</v>
      </c>
    </row>
    <row r="33" spans="1:20" ht="15" hidden="1" customHeight="1" x14ac:dyDescent="0.2">
      <c r="A33" s="880"/>
      <c r="B33" s="19" t="s">
        <v>226</v>
      </c>
      <c r="C33" s="17">
        <v>0</v>
      </c>
      <c r="D33" s="17">
        <f t="shared" si="2"/>
        <v>0</v>
      </c>
      <c r="E33" s="17">
        <f t="shared" si="2"/>
        <v>0</v>
      </c>
      <c r="F33" s="17">
        <f t="shared" si="2"/>
        <v>0</v>
      </c>
      <c r="G33" s="17">
        <f t="shared" si="2"/>
        <v>0</v>
      </c>
      <c r="H33" s="17">
        <v>0</v>
      </c>
      <c r="I33" s="17">
        <f t="shared" si="3"/>
        <v>0</v>
      </c>
      <c r="J33" s="17">
        <f t="shared" si="3"/>
        <v>0</v>
      </c>
      <c r="K33" s="17">
        <f t="shared" si="3"/>
        <v>0</v>
      </c>
      <c r="L33" s="17">
        <f t="shared" si="3"/>
        <v>0</v>
      </c>
      <c r="M33" s="17">
        <f t="shared" si="3"/>
        <v>0</v>
      </c>
      <c r="N33" s="17">
        <f t="shared" si="3"/>
        <v>0</v>
      </c>
      <c r="O33" s="18">
        <f t="shared" si="1"/>
        <v>0</v>
      </c>
    </row>
    <row r="34" spans="1:20" ht="15" customHeight="1" x14ac:dyDescent="0.2">
      <c r="A34" s="865" t="s">
        <v>143</v>
      </c>
      <c r="B34" s="866"/>
      <c r="C34" s="17">
        <v>0</v>
      </c>
      <c r="D34" s="17">
        <f t="shared" si="2"/>
        <v>0</v>
      </c>
      <c r="E34" s="17">
        <f t="shared" si="2"/>
        <v>0</v>
      </c>
      <c r="F34" s="17">
        <f t="shared" si="2"/>
        <v>0</v>
      </c>
      <c r="G34" s="17">
        <f t="shared" si="2"/>
        <v>0</v>
      </c>
      <c r="H34" s="17">
        <v>0</v>
      </c>
      <c r="I34" s="17">
        <f t="shared" si="3"/>
        <v>0</v>
      </c>
      <c r="J34" s="17">
        <f t="shared" si="3"/>
        <v>0</v>
      </c>
      <c r="K34" s="17">
        <f t="shared" si="3"/>
        <v>0</v>
      </c>
      <c r="L34" s="17">
        <f t="shared" si="3"/>
        <v>0</v>
      </c>
      <c r="M34" s="17">
        <f t="shared" si="3"/>
        <v>0</v>
      </c>
      <c r="N34" s="17">
        <f t="shared" si="3"/>
        <v>0</v>
      </c>
      <c r="O34" s="18">
        <f t="shared" si="1"/>
        <v>0</v>
      </c>
      <c r="T34" s="16">
        <f>14000*6</f>
        <v>84000</v>
      </c>
    </row>
    <row r="35" spans="1:20" ht="15" customHeight="1" x14ac:dyDescent="0.2">
      <c r="A35" s="865" t="s">
        <v>145</v>
      </c>
      <c r="B35" s="866"/>
      <c r="C35" s="17">
        <v>0</v>
      </c>
      <c r="D35" s="17">
        <f t="shared" ref="D35:G36" si="4">+C35</f>
        <v>0</v>
      </c>
      <c r="E35" s="17">
        <f t="shared" si="4"/>
        <v>0</v>
      </c>
      <c r="F35" s="17">
        <f t="shared" si="4"/>
        <v>0</v>
      </c>
      <c r="G35" s="17">
        <f t="shared" si="4"/>
        <v>0</v>
      </c>
      <c r="H35" s="17">
        <v>0</v>
      </c>
      <c r="I35" s="17">
        <f t="shared" si="3"/>
        <v>0</v>
      </c>
      <c r="J35" s="17">
        <f t="shared" si="3"/>
        <v>0</v>
      </c>
      <c r="K35" s="17">
        <f t="shared" si="3"/>
        <v>0</v>
      </c>
      <c r="L35" s="17">
        <f t="shared" si="3"/>
        <v>0</v>
      </c>
      <c r="M35" s="17">
        <f t="shared" si="3"/>
        <v>0</v>
      </c>
      <c r="N35" s="17">
        <f t="shared" si="3"/>
        <v>0</v>
      </c>
      <c r="O35" s="18">
        <f t="shared" si="1"/>
        <v>0</v>
      </c>
      <c r="Q35" s="16">
        <f>SUM(O9:O11)*0.1</f>
        <v>47022.3</v>
      </c>
      <c r="T35" s="16">
        <f>11000*5</f>
        <v>55000</v>
      </c>
    </row>
    <row r="36" spans="1:20" ht="15" customHeight="1" x14ac:dyDescent="0.2">
      <c r="A36" s="865" t="s">
        <v>146</v>
      </c>
      <c r="B36" s="866"/>
      <c r="C36" s="17">
        <v>0</v>
      </c>
      <c r="D36" s="17">
        <f t="shared" si="4"/>
        <v>0</v>
      </c>
      <c r="E36" s="17">
        <f t="shared" si="4"/>
        <v>0</v>
      </c>
      <c r="F36" s="17">
        <f t="shared" si="4"/>
        <v>0</v>
      </c>
      <c r="G36" s="17">
        <f t="shared" si="4"/>
        <v>0</v>
      </c>
      <c r="H36" s="17">
        <v>0</v>
      </c>
      <c r="I36" s="17">
        <f t="shared" si="3"/>
        <v>0</v>
      </c>
      <c r="J36" s="17">
        <f t="shared" si="3"/>
        <v>0</v>
      </c>
      <c r="K36" s="17">
        <f t="shared" si="3"/>
        <v>0</v>
      </c>
      <c r="L36" s="17">
        <f t="shared" si="3"/>
        <v>0</v>
      </c>
      <c r="M36" s="17">
        <f t="shared" si="3"/>
        <v>0</v>
      </c>
      <c r="N36" s="17">
        <f t="shared" si="3"/>
        <v>0</v>
      </c>
      <c r="O36" s="18">
        <f t="shared" si="1"/>
        <v>0</v>
      </c>
      <c r="Q36" s="16">
        <f>T36-Q35</f>
        <v>102977.7</v>
      </c>
      <c r="T36" s="16">
        <f>SUM(T32:T35)</f>
        <v>150000</v>
      </c>
    </row>
    <row r="37" spans="1:20" ht="15" customHeight="1" x14ac:dyDescent="0.2">
      <c r="A37" s="22"/>
      <c r="B37" s="23" t="s">
        <v>147</v>
      </c>
      <c r="C37" s="24">
        <f t="shared" ref="C37:N37" si="5">SUM(C9:C36)</f>
        <v>120693</v>
      </c>
      <c r="D37" s="24">
        <f t="shared" si="5"/>
        <v>122591</v>
      </c>
      <c r="E37" s="24">
        <f t="shared" si="5"/>
        <v>122591</v>
      </c>
      <c r="F37" s="24">
        <f t="shared" si="5"/>
        <v>122591</v>
      </c>
      <c r="G37" s="24">
        <f t="shared" si="5"/>
        <v>125997</v>
      </c>
      <c r="H37" s="24">
        <f t="shared" si="5"/>
        <v>0</v>
      </c>
      <c r="I37" s="24">
        <f t="shared" si="5"/>
        <v>0</v>
      </c>
      <c r="J37" s="24">
        <f t="shared" si="5"/>
        <v>0</v>
      </c>
      <c r="K37" s="24">
        <f t="shared" si="5"/>
        <v>0</v>
      </c>
      <c r="L37" s="24">
        <f t="shared" si="5"/>
        <v>0</v>
      </c>
      <c r="M37" s="24">
        <f t="shared" si="5"/>
        <v>0</v>
      </c>
      <c r="N37" s="24">
        <f t="shared" si="5"/>
        <v>0</v>
      </c>
      <c r="O37" s="25">
        <f>SUM(C37:N37)</f>
        <v>614463</v>
      </c>
      <c r="Q37" s="16">
        <f>SUM(O9:O11)*0.5</f>
        <v>235111.5</v>
      </c>
    </row>
    <row r="38" spans="1:20" ht="15" customHeight="1" x14ac:dyDescent="0.2">
      <c r="A38" s="853" t="s">
        <v>148</v>
      </c>
      <c r="B38" s="27" t="s">
        <v>149</v>
      </c>
      <c r="C38" s="147">
        <v>15000</v>
      </c>
      <c r="D38" s="147">
        <v>15000</v>
      </c>
      <c r="E38" s="147">
        <v>15000</v>
      </c>
      <c r="F38" s="147">
        <v>15000</v>
      </c>
      <c r="G38" s="147">
        <v>15000</v>
      </c>
      <c r="H38" s="147">
        <v>0</v>
      </c>
      <c r="I38" s="147">
        <v>0</v>
      </c>
      <c r="J38" s="147">
        <v>0</v>
      </c>
      <c r="K38" s="147">
        <v>0</v>
      </c>
      <c r="L38" s="147">
        <v>0</v>
      </c>
      <c r="M38" s="147">
        <v>0</v>
      </c>
      <c r="N38" s="147">
        <v>0</v>
      </c>
      <c r="O38" s="18">
        <f>SUM(C38:N38)</f>
        <v>75000</v>
      </c>
      <c r="P38" s="29"/>
    </row>
    <row r="39" spans="1:20" ht="15" x14ac:dyDescent="0.2">
      <c r="A39" s="854"/>
      <c r="B39" s="27" t="s">
        <v>150</v>
      </c>
      <c r="C39" s="147">
        <v>0</v>
      </c>
      <c r="D39" s="147">
        <v>0</v>
      </c>
      <c r="E39" s="147">
        <v>0</v>
      </c>
      <c r="F39" s="147">
        <v>0</v>
      </c>
      <c r="G39" s="147">
        <v>0</v>
      </c>
      <c r="H39" s="147">
        <v>0</v>
      </c>
      <c r="I39" s="147">
        <v>0</v>
      </c>
      <c r="J39" s="147">
        <v>0</v>
      </c>
      <c r="K39" s="147">
        <v>0</v>
      </c>
      <c r="L39" s="147">
        <v>0</v>
      </c>
      <c r="M39" s="147">
        <v>0</v>
      </c>
      <c r="N39" s="147">
        <v>0</v>
      </c>
      <c r="O39" s="18">
        <f>SUM(C39:N39)</f>
        <v>0</v>
      </c>
    </row>
    <row r="40" spans="1:20" ht="15" x14ac:dyDescent="0.2">
      <c r="A40" s="854"/>
      <c r="B40" s="27" t="s">
        <v>151</v>
      </c>
      <c r="C40" s="147">
        <v>60</v>
      </c>
      <c r="D40" s="147">
        <v>60</v>
      </c>
      <c r="E40" s="147">
        <v>60</v>
      </c>
      <c r="F40" s="147">
        <v>60</v>
      </c>
      <c r="G40" s="147">
        <v>60</v>
      </c>
      <c r="H40" s="147">
        <v>0</v>
      </c>
      <c r="I40" s="147">
        <v>0</v>
      </c>
      <c r="J40" s="147">
        <v>0</v>
      </c>
      <c r="K40" s="147">
        <v>0</v>
      </c>
      <c r="L40" s="147">
        <v>0</v>
      </c>
      <c r="M40" s="147">
        <v>0</v>
      </c>
      <c r="N40" s="147">
        <v>0</v>
      </c>
      <c r="O40" s="18">
        <f t="shared" ref="O40:O50" si="6">SUM(C40:N40)</f>
        <v>300</v>
      </c>
    </row>
    <row r="41" spans="1:20" ht="15" x14ac:dyDescent="0.2">
      <c r="A41" s="854"/>
      <c r="B41" s="27" t="s">
        <v>152</v>
      </c>
      <c r="C41" s="147">
        <v>0</v>
      </c>
      <c r="D41" s="147">
        <v>0</v>
      </c>
      <c r="E41" s="147">
        <v>0</v>
      </c>
      <c r="F41" s="147">
        <v>0</v>
      </c>
      <c r="G41" s="147">
        <v>0</v>
      </c>
      <c r="H41" s="147">
        <v>0</v>
      </c>
      <c r="I41" s="147">
        <v>0</v>
      </c>
      <c r="J41" s="147">
        <v>0</v>
      </c>
      <c r="K41" s="147">
        <v>0</v>
      </c>
      <c r="L41" s="147">
        <v>0</v>
      </c>
      <c r="M41" s="147">
        <v>0</v>
      </c>
      <c r="N41" s="147">
        <v>0</v>
      </c>
      <c r="O41" s="18">
        <f t="shared" si="6"/>
        <v>0</v>
      </c>
    </row>
    <row r="42" spans="1:20" ht="15" x14ac:dyDescent="0.2">
      <c r="A42" s="854"/>
      <c r="B42" s="27" t="s">
        <v>153</v>
      </c>
      <c r="C42" s="147">
        <v>0</v>
      </c>
      <c r="D42" s="147">
        <v>0</v>
      </c>
      <c r="E42" s="147">
        <v>0</v>
      </c>
      <c r="F42" s="147">
        <v>0</v>
      </c>
      <c r="G42" s="147">
        <v>0</v>
      </c>
      <c r="H42" s="147">
        <v>0</v>
      </c>
      <c r="I42" s="147">
        <v>0</v>
      </c>
      <c r="J42" s="147">
        <v>0</v>
      </c>
      <c r="K42" s="147">
        <v>0</v>
      </c>
      <c r="L42" s="147">
        <v>0</v>
      </c>
      <c r="M42" s="147">
        <v>0</v>
      </c>
      <c r="N42" s="147">
        <v>0</v>
      </c>
      <c r="O42" s="18">
        <f t="shared" si="6"/>
        <v>0</v>
      </c>
    </row>
    <row r="43" spans="1:20" ht="15" x14ac:dyDescent="0.2">
      <c r="A43" s="854"/>
      <c r="B43" s="27" t="s">
        <v>154</v>
      </c>
      <c r="C43" s="147">
        <v>6000</v>
      </c>
      <c r="D43" s="147">
        <v>6000</v>
      </c>
      <c r="E43" s="147">
        <v>6000</v>
      </c>
      <c r="F43" s="147">
        <v>6000</v>
      </c>
      <c r="G43" s="147">
        <v>6000</v>
      </c>
      <c r="H43" s="147">
        <v>0</v>
      </c>
      <c r="I43" s="147">
        <v>0</v>
      </c>
      <c r="J43" s="147">
        <v>0</v>
      </c>
      <c r="K43" s="147">
        <v>0</v>
      </c>
      <c r="L43" s="147">
        <v>0</v>
      </c>
      <c r="M43" s="147">
        <v>0</v>
      </c>
      <c r="N43" s="147">
        <v>0</v>
      </c>
      <c r="O43" s="18">
        <f t="shared" si="6"/>
        <v>30000</v>
      </c>
    </row>
    <row r="44" spans="1:20" ht="15" x14ac:dyDescent="0.2">
      <c r="A44" s="854"/>
      <c r="B44" s="27" t="s">
        <v>155</v>
      </c>
      <c r="C44" s="147">
        <v>200</v>
      </c>
      <c r="D44" s="147">
        <v>200</v>
      </c>
      <c r="E44" s="147">
        <v>200</v>
      </c>
      <c r="F44" s="147">
        <v>200</v>
      </c>
      <c r="G44" s="147">
        <v>200</v>
      </c>
      <c r="H44" s="147">
        <v>0</v>
      </c>
      <c r="I44" s="147">
        <v>0</v>
      </c>
      <c r="J44" s="147">
        <v>0</v>
      </c>
      <c r="K44" s="147">
        <v>0</v>
      </c>
      <c r="L44" s="147">
        <v>0</v>
      </c>
      <c r="M44" s="147">
        <v>0</v>
      </c>
      <c r="N44" s="147">
        <v>0</v>
      </c>
      <c r="O44" s="18">
        <f t="shared" si="6"/>
        <v>1000</v>
      </c>
    </row>
    <row r="45" spans="1:20" ht="15" x14ac:dyDescent="0.2">
      <c r="A45" s="854"/>
      <c r="B45" s="27" t="s">
        <v>156</v>
      </c>
      <c r="C45" s="147">
        <v>0</v>
      </c>
      <c r="D45" s="147">
        <v>0</v>
      </c>
      <c r="E45" s="147">
        <v>0</v>
      </c>
      <c r="F45" s="147">
        <v>0</v>
      </c>
      <c r="G45" s="147">
        <v>0</v>
      </c>
      <c r="H45" s="147">
        <v>0</v>
      </c>
      <c r="I45" s="147">
        <v>0</v>
      </c>
      <c r="J45" s="147">
        <v>0</v>
      </c>
      <c r="K45" s="147">
        <v>0</v>
      </c>
      <c r="L45" s="147">
        <v>0</v>
      </c>
      <c r="M45" s="147">
        <v>0</v>
      </c>
      <c r="N45" s="147">
        <v>0</v>
      </c>
      <c r="O45" s="18">
        <f t="shared" si="6"/>
        <v>0</v>
      </c>
    </row>
    <row r="46" spans="1:20" ht="15" x14ac:dyDescent="0.2">
      <c r="A46" s="854"/>
      <c r="B46" s="27" t="s">
        <v>157</v>
      </c>
      <c r="C46" s="147">
        <v>0</v>
      </c>
      <c r="D46" s="147">
        <v>0</v>
      </c>
      <c r="E46" s="147">
        <v>0</v>
      </c>
      <c r="F46" s="147">
        <v>0</v>
      </c>
      <c r="G46" s="147">
        <v>0</v>
      </c>
      <c r="H46" s="147">
        <v>0</v>
      </c>
      <c r="I46" s="147">
        <v>0</v>
      </c>
      <c r="J46" s="147">
        <v>0</v>
      </c>
      <c r="K46" s="147">
        <v>0</v>
      </c>
      <c r="L46" s="147">
        <v>0</v>
      </c>
      <c r="M46" s="147">
        <v>0</v>
      </c>
      <c r="N46" s="147">
        <v>0</v>
      </c>
      <c r="O46" s="18">
        <f t="shared" si="6"/>
        <v>0</v>
      </c>
    </row>
    <row r="47" spans="1:20" ht="28.5" customHeight="1" x14ac:dyDescent="0.2">
      <c r="A47" s="855"/>
      <c r="B47" s="30" t="s">
        <v>158</v>
      </c>
      <c r="C47" s="147">
        <v>0</v>
      </c>
      <c r="D47" s="147">
        <v>0</v>
      </c>
      <c r="E47" s="147">
        <v>0</v>
      </c>
      <c r="F47" s="147">
        <v>0</v>
      </c>
      <c r="G47" s="147">
        <v>0</v>
      </c>
      <c r="H47" s="147">
        <v>0</v>
      </c>
      <c r="I47" s="147">
        <v>0</v>
      </c>
      <c r="J47" s="147">
        <v>0</v>
      </c>
      <c r="K47" s="147">
        <v>0</v>
      </c>
      <c r="L47" s="147">
        <v>0</v>
      </c>
      <c r="M47" s="147">
        <v>0</v>
      </c>
      <c r="N47" s="147">
        <v>0</v>
      </c>
      <c r="O47" s="31">
        <f t="shared" si="6"/>
        <v>0</v>
      </c>
    </row>
    <row r="48" spans="1:20" ht="15" x14ac:dyDescent="0.2">
      <c r="A48" s="856"/>
      <c r="B48" s="127" t="s">
        <v>479</v>
      </c>
      <c r="C48" s="147">
        <v>0</v>
      </c>
      <c r="D48" s="147">
        <v>0</v>
      </c>
      <c r="E48" s="147">
        <v>0</v>
      </c>
      <c r="F48" s="147">
        <v>0</v>
      </c>
      <c r="G48" s="147">
        <v>0</v>
      </c>
      <c r="H48" s="147">
        <v>0</v>
      </c>
      <c r="I48" s="147">
        <v>0</v>
      </c>
      <c r="J48" s="147">
        <v>0</v>
      </c>
      <c r="K48" s="147">
        <v>0</v>
      </c>
      <c r="L48" s="147">
        <v>0</v>
      </c>
      <c r="M48" s="147">
        <v>0</v>
      </c>
      <c r="N48" s="147">
        <v>0</v>
      </c>
      <c r="O48" s="31">
        <f t="shared" si="6"/>
        <v>0</v>
      </c>
    </row>
    <row r="49" spans="1:19" ht="15" x14ac:dyDescent="0.2">
      <c r="A49" s="857" t="s">
        <v>160</v>
      </c>
      <c r="B49" s="858"/>
      <c r="C49" s="33">
        <f t="shared" ref="C49:N49" si="7">SUM(C38:C48)</f>
        <v>21260</v>
      </c>
      <c r="D49" s="33">
        <f t="shared" si="7"/>
        <v>21260</v>
      </c>
      <c r="E49" s="33">
        <f t="shared" si="7"/>
        <v>21260</v>
      </c>
      <c r="F49" s="33">
        <f t="shared" si="7"/>
        <v>21260</v>
      </c>
      <c r="G49" s="33">
        <f t="shared" si="7"/>
        <v>21260</v>
      </c>
      <c r="H49" s="33">
        <f t="shared" si="7"/>
        <v>0</v>
      </c>
      <c r="I49" s="33">
        <f t="shared" si="7"/>
        <v>0</v>
      </c>
      <c r="J49" s="33">
        <f t="shared" si="7"/>
        <v>0</v>
      </c>
      <c r="K49" s="33">
        <f t="shared" si="7"/>
        <v>0</v>
      </c>
      <c r="L49" s="33">
        <f t="shared" si="7"/>
        <v>0</v>
      </c>
      <c r="M49" s="33">
        <f t="shared" si="7"/>
        <v>0</v>
      </c>
      <c r="N49" s="33">
        <f t="shared" si="7"/>
        <v>0</v>
      </c>
      <c r="O49" s="34">
        <f t="shared" si="6"/>
        <v>106300</v>
      </c>
    </row>
    <row r="50" spans="1:19" ht="15.75" thickBot="1" x14ac:dyDescent="0.25">
      <c r="A50" s="859" t="s">
        <v>161</v>
      </c>
      <c r="B50" s="860"/>
      <c r="C50" s="35">
        <f t="shared" ref="C50:N50" si="8">C37-C49</f>
        <v>99433</v>
      </c>
      <c r="D50" s="35">
        <f t="shared" si="8"/>
        <v>101331</v>
      </c>
      <c r="E50" s="35">
        <f t="shared" si="8"/>
        <v>101331</v>
      </c>
      <c r="F50" s="35">
        <f t="shared" si="8"/>
        <v>101331</v>
      </c>
      <c r="G50" s="35">
        <f t="shared" si="8"/>
        <v>104737</v>
      </c>
      <c r="H50" s="35">
        <f t="shared" si="8"/>
        <v>0</v>
      </c>
      <c r="I50" s="35">
        <f t="shared" si="8"/>
        <v>0</v>
      </c>
      <c r="J50" s="35">
        <f t="shared" si="8"/>
        <v>0</v>
      </c>
      <c r="K50" s="35">
        <f t="shared" si="8"/>
        <v>0</v>
      </c>
      <c r="L50" s="35">
        <f t="shared" si="8"/>
        <v>0</v>
      </c>
      <c r="M50" s="35">
        <f t="shared" si="8"/>
        <v>0</v>
      </c>
      <c r="N50" s="35">
        <f t="shared" si="8"/>
        <v>0</v>
      </c>
      <c r="O50" s="36">
        <f t="shared" si="6"/>
        <v>508163</v>
      </c>
    </row>
    <row r="51" spans="1:19" x14ac:dyDescent="0.2">
      <c r="J51" s="16">
        <f>+J37-SUM(J20:J36)</f>
        <v>0</v>
      </c>
      <c r="Q51" s="38"/>
    </row>
    <row r="52" spans="1:19" ht="13.5" thickBot="1" x14ac:dyDescent="0.25">
      <c r="J52" s="38">
        <f>+J51-J49</f>
        <v>0</v>
      </c>
    </row>
    <row r="53" spans="1:19" ht="13.5" thickBot="1" x14ac:dyDescent="0.25">
      <c r="B53" s="789" t="s">
        <v>162</v>
      </c>
      <c r="C53" s="861"/>
      <c r="D53" s="861"/>
      <c r="E53" s="861"/>
      <c r="F53" s="862"/>
      <c r="G53" s="863">
        <f>O37</f>
        <v>614463</v>
      </c>
      <c r="H53" s="864"/>
    </row>
    <row r="54" spans="1:19" ht="13.5" thickBot="1" x14ac:dyDescent="0.25"/>
    <row r="55" spans="1:19" x14ac:dyDescent="0.2">
      <c r="B55" s="830" t="s">
        <v>163</v>
      </c>
      <c r="C55" s="833" t="s">
        <v>164</v>
      </c>
      <c r="D55" s="836" t="s">
        <v>229</v>
      </c>
      <c r="E55" s="837"/>
      <c r="F55" s="838"/>
      <c r="G55" s="839">
        <v>40000</v>
      </c>
      <c r="H55" s="840"/>
    </row>
    <row r="56" spans="1:19" x14ac:dyDescent="0.2">
      <c r="B56" s="831"/>
      <c r="C56" s="834"/>
      <c r="D56" s="841" t="s">
        <v>166</v>
      </c>
      <c r="E56" s="842"/>
      <c r="F56" s="843"/>
      <c r="G56" s="844">
        <f>+O44</f>
        <v>1000</v>
      </c>
      <c r="H56" s="845"/>
      <c r="I56" s="39"/>
      <c r="J56" s="846"/>
      <c r="K56" s="846"/>
      <c r="L56" s="846"/>
      <c r="M56" s="847"/>
      <c r="N56" s="847"/>
      <c r="O56" s="847"/>
    </row>
    <row r="57" spans="1:19" x14ac:dyDescent="0.2">
      <c r="B57" s="886"/>
      <c r="C57" s="887"/>
      <c r="D57" s="40" t="s">
        <v>129</v>
      </c>
      <c r="E57" s="41"/>
      <c r="F57" s="42"/>
      <c r="G57" s="43"/>
      <c r="H57" s="44">
        <v>0</v>
      </c>
      <c r="I57" s="39"/>
      <c r="J57" s="45"/>
      <c r="K57" s="45"/>
      <c r="L57" s="45"/>
      <c r="M57" s="46"/>
      <c r="N57" s="46"/>
      <c r="O57" s="46"/>
    </row>
    <row r="58" spans="1:19" ht="13.5" thickBot="1" x14ac:dyDescent="0.25">
      <c r="B58" s="832"/>
      <c r="C58" s="835"/>
      <c r="D58" s="848" t="s">
        <v>714</v>
      </c>
      <c r="E58" s="849"/>
      <c r="F58" s="850"/>
      <c r="G58" s="851">
        <v>0</v>
      </c>
      <c r="H58" s="852"/>
      <c r="J58" s="47"/>
      <c r="K58" s="47"/>
      <c r="L58" s="47"/>
      <c r="M58" s="47"/>
      <c r="N58" s="47"/>
      <c r="O58" s="47"/>
      <c r="R58" s="16">
        <v>26558</v>
      </c>
    </row>
    <row r="59" spans="1:19" ht="13.5" thickBot="1" x14ac:dyDescent="0.25">
      <c r="B59" s="48"/>
      <c r="J59" s="47"/>
      <c r="K59" s="47"/>
      <c r="L59" s="47"/>
      <c r="M59" s="47"/>
      <c r="N59" s="47"/>
      <c r="O59" s="47"/>
    </row>
    <row r="60" spans="1:19" ht="13.5" thickBot="1" x14ac:dyDescent="0.25">
      <c r="B60" s="789" t="s">
        <v>168</v>
      </c>
      <c r="C60" s="790"/>
      <c r="D60" s="790"/>
      <c r="E60" s="790"/>
      <c r="F60" s="791"/>
      <c r="G60" s="825">
        <f>+G53-SUM(G55:H58)</f>
        <v>573463</v>
      </c>
      <c r="H60" s="826"/>
      <c r="J60" s="827" t="s">
        <v>169</v>
      </c>
      <c r="K60" s="828"/>
      <c r="L60" s="828"/>
      <c r="M60" s="828"/>
      <c r="N60" s="828"/>
      <c r="O60" s="829"/>
    </row>
    <row r="61" spans="1:19" ht="13.5" thickBot="1" x14ac:dyDescent="0.25">
      <c r="B61" s="49"/>
      <c r="C61" s="50"/>
      <c r="D61" s="50"/>
      <c r="E61" s="50"/>
      <c r="F61" s="50"/>
      <c r="G61" s="45"/>
      <c r="H61" s="50"/>
      <c r="J61" s="129"/>
      <c r="K61" s="130"/>
      <c r="L61" s="130"/>
      <c r="M61" s="130"/>
      <c r="N61" s="130"/>
      <c r="O61" s="131"/>
    </row>
    <row r="62" spans="1:19" ht="13.5" thickBot="1" x14ac:dyDescent="0.25">
      <c r="B62" s="789" t="s">
        <v>170</v>
      </c>
      <c r="C62" s="790"/>
      <c r="D62" s="790"/>
      <c r="E62" s="790"/>
      <c r="F62" s="791"/>
      <c r="G62" s="805"/>
      <c r="H62" s="791"/>
      <c r="J62" s="129"/>
      <c r="K62" s="130"/>
      <c r="L62" s="130"/>
      <c r="M62" s="130"/>
      <c r="N62" s="130"/>
      <c r="O62" s="131"/>
    </row>
    <row r="63" spans="1:19" ht="12.75" customHeight="1" x14ac:dyDescent="0.2">
      <c r="B63" s="57" t="s">
        <v>171</v>
      </c>
      <c r="C63" s="806" t="s">
        <v>172</v>
      </c>
      <c r="D63" s="807"/>
      <c r="E63" s="807"/>
      <c r="F63" s="808"/>
      <c r="G63" s="809">
        <v>0</v>
      </c>
      <c r="H63" s="809"/>
      <c r="I63" s="58"/>
      <c r="J63" s="810" t="s">
        <v>173</v>
      </c>
      <c r="K63" s="811"/>
      <c r="L63" s="811"/>
      <c r="M63" s="811"/>
      <c r="N63" s="811"/>
      <c r="O63" s="812"/>
      <c r="Q63" s="59"/>
      <c r="R63" s="59"/>
      <c r="S63" s="59"/>
    </row>
    <row r="64" spans="1:19" ht="13.5" thickBot="1" x14ac:dyDescent="0.25">
      <c r="D64" s="37"/>
      <c r="I64" s="58"/>
      <c r="J64" s="60" t="s">
        <v>360</v>
      </c>
      <c r="K64" s="132"/>
      <c r="L64" s="132"/>
      <c r="M64" s="133"/>
      <c r="N64" s="133"/>
      <c r="O64" s="134"/>
      <c r="Q64" s="59"/>
      <c r="R64" s="59"/>
      <c r="S64" s="59"/>
    </row>
    <row r="65" spans="2:19" ht="13.5" thickBot="1" x14ac:dyDescent="0.25">
      <c r="B65" s="789" t="s">
        <v>175</v>
      </c>
      <c r="C65" s="790"/>
      <c r="D65" s="790"/>
      <c r="E65" s="790"/>
      <c r="F65" s="791"/>
      <c r="G65" s="805">
        <f>+G60-G63</f>
        <v>573463</v>
      </c>
      <c r="H65" s="791"/>
      <c r="I65" s="63"/>
      <c r="J65" s="64"/>
      <c r="K65" s="39"/>
      <c r="L65" s="39"/>
      <c r="M65" s="39"/>
      <c r="N65" s="39"/>
      <c r="O65" s="65"/>
      <c r="Q65" s="59"/>
      <c r="R65" s="59"/>
      <c r="S65" s="59"/>
    </row>
    <row r="66" spans="2:19" ht="12.75" customHeight="1" x14ac:dyDescent="0.2">
      <c r="B66" s="48"/>
      <c r="C66" s="48"/>
      <c r="I66" s="63"/>
      <c r="J66" s="64"/>
      <c r="K66" s="39"/>
      <c r="L66" s="39"/>
      <c r="M66" s="39"/>
      <c r="N66" s="39"/>
      <c r="O66" s="65"/>
      <c r="Q66" s="59"/>
      <c r="R66" s="59"/>
      <c r="S66" s="59"/>
    </row>
    <row r="67" spans="2:19" x14ac:dyDescent="0.2">
      <c r="B67" s="66" t="s">
        <v>176</v>
      </c>
      <c r="C67" s="48"/>
      <c r="I67" s="63"/>
      <c r="J67" s="67"/>
      <c r="K67" s="68"/>
      <c r="L67" s="68"/>
      <c r="M67" s="68"/>
      <c r="N67" s="68"/>
      <c r="O67" s="69"/>
      <c r="Q67" s="59"/>
      <c r="R67" s="59"/>
      <c r="S67" s="59"/>
    </row>
    <row r="68" spans="2:19" ht="26.25" customHeight="1" thickBot="1" x14ac:dyDescent="0.25">
      <c r="B68" s="66"/>
      <c r="C68" s="48"/>
      <c r="G68" s="70" t="s">
        <v>177</v>
      </c>
      <c r="H68" s="70" t="s">
        <v>178</v>
      </c>
      <c r="I68" s="63"/>
      <c r="J68" s="810" t="s">
        <v>179</v>
      </c>
      <c r="K68" s="811"/>
      <c r="L68" s="71"/>
      <c r="M68" s="71"/>
      <c r="N68" s="71"/>
      <c r="O68" s="72"/>
      <c r="Q68" s="59"/>
      <c r="R68" s="59"/>
      <c r="S68" s="59"/>
    </row>
    <row r="69" spans="2:19" ht="12.75" customHeight="1" x14ac:dyDescent="0.2">
      <c r="B69" s="802" t="s">
        <v>180</v>
      </c>
      <c r="C69" s="821" t="s">
        <v>181</v>
      </c>
      <c r="D69" s="823" t="s">
        <v>182</v>
      </c>
      <c r="E69" s="824"/>
      <c r="F69" s="824"/>
      <c r="G69" s="73">
        <f>+O43</f>
        <v>30000</v>
      </c>
      <c r="H69" s="74">
        <f t="shared" ref="H69:H77" si="9">+G69</f>
        <v>30000</v>
      </c>
      <c r="I69" s="63"/>
      <c r="J69" s="75" t="s">
        <v>183</v>
      </c>
      <c r="K69" s="58"/>
      <c r="L69" s="58"/>
      <c r="M69" s="58"/>
      <c r="N69" s="58"/>
      <c r="O69" s="76"/>
      <c r="Q69" s="59"/>
      <c r="R69" s="59"/>
      <c r="S69" s="59"/>
    </row>
    <row r="70" spans="2:19" ht="12.75" customHeight="1" x14ac:dyDescent="0.2">
      <c r="B70" s="803"/>
      <c r="C70" s="822"/>
      <c r="D70" s="782" t="s">
        <v>184</v>
      </c>
      <c r="E70" s="783"/>
      <c r="F70" s="783"/>
      <c r="G70" s="77">
        <f>+O47</f>
        <v>0</v>
      </c>
      <c r="H70" s="78">
        <f t="shared" si="9"/>
        <v>0</v>
      </c>
      <c r="I70" s="63"/>
      <c r="J70" s="79"/>
      <c r="K70" s="68"/>
      <c r="L70" s="68"/>
      <c r="M70" s="68"/>
      <c r="N70" s="68"/>
      <c r="O70" s="69"/>
      <c r="Q70" s="59"/>
      <c r="R70" s="59"/>
      <c r="S70" s="59"/>
    </row>
    <row r="71" spans="2:19" ht="12.75" customHeight="1" x14ac:dyDescent="0.2">
      <c r="B71" s="803"/>
      <c r="C71" s="822"/>
      <c r="D71" s="819" t="s">
        <v>185</v>
      </c>
      <c r="E71" s="820"/>
      <c r="F71" s="820"/>
      <c r="G71" s="80">
        <f>O40</f>
        <v>300</v>
      </c>
      <c r="H71" s="78">
        <f t="shared" si="9"/>
        <v>300</v>
      </c>
      <c r="I71" s="63"/>
      <c r="J71" s="67"/>
      <c r="K71" s="68"/>
      <c r="L71" s="68"/>
      <c r="M71" s="68"/>
      <c r="N71" s="68"/>
      <c r="O71" s="69"/>
    </row>
    <row r="72" spans="2:19" x14ac:dyDescent="0.2">
      <c r="B72" s="803"/>
      <c r="C72" s="822"/>
      <c r="D72" s="782" t="s">
        <v>186</v>
      </c>
      <c r="E72" s="783"/>
      <c r="F72" s="783"/>
      <c r="G72" s="81">
        <v>0</v>
      </c>
      <c r="H72" s="78">
        <f t="shared" si="9"/>
        <v>0</v>
      </c>
      <c r="I72" s="63"/>
      <c r="J72" s="82" t="s">
        <v>187</v>
      </c>
      <c r="K72" s="71"/>
      <c r="L72" s="71"/>
      <c r="M72" s="71"/>
      <c r="N72" s="71"/>
      <c r="O72" s="72"/>
    </row>
    <row r="73" spans="2:19" ht="12.75" customHeight="1" x14ac:dyDescent="0.2">
      <c r="B73" s="803"/>
      <c r="C73" s="822"/>
      <c r="D73" s="784" t="s">
        <v>188</v>
      </c>
      <c r="E73" s="783"/>
      <c r="F73" s="783"/>
      <c r="G73" s="80">
        <v>0</v>
      </c>
      <c r="H73" s="78">
        <f t="shared" si="9"/>
        <v>0</v>
      </c>
      <c r="I73" s="63"/>
      <c r="J73" s="75" t="s">
        <v>189</v>
      </c>
      <c r="K73" s="50"/>
      <c r="L73" s="50"/>
      <c r="M73" s="50"/>
      <c r="N73" s="50"/>
      <c r="O73" s="83">
        <f>O42</f>
        <v>0</v>
      </c>
    </row>
    <row r="74" spans="2:19" ht="14.25" customHeight="1" x14ac:dyDescent="0.2">
      <c r="B74" s="803"/>
      <c r="C74" s="822"/>
      <c r="D74" s="782" t="s">
        <v>190</v>
      </c>
      <c r="E74" s="783"/>
      <c r="F74" s="783"/>
      <c r="G74" s="84">
        <v>0</v>
      </c>
      <c r="H74" s="78">
        <f t="shared" si="9"/>
        <v>0</v>
      </c>
      <c r="I74" s="63"/>
      <c r="J74" s="75"/>
      <c r="K74" s="39"/>
      <c r="L74" s="39"/>
      <c r="M74" s="39"/>
      <c r="N74" s="39"/>
      <c r="O74" s="65"/>
    </row>
    <row r="75" spans="2:19" x14ac:dyDescent="0.2">
      <c r="B75" s="803"/>
      <c r="C75" s="822"/>
      <c r="D75" s="782" t="s">
        <v>191</v>
      </c>
      <c r="E75" s="783"/>
      <c r="F75" s="783"/>
      <c r="G75" s="81">
        <v>0</v>
      </c>
      <c r="H75" s="78">
        <f t="shared" si="9"/>
        <v>0</v>
      </c>
      <c r="I75" s="58"/>
      <c r="J75" s="137"/>
      <c r="K75" s="50"/>
      <c r="L75" s="50"/>
      <c r="M75" s="50"/>
      <c r="N75" s="50"/>
      <c r="O75" s="83"/>
    </row>
    <row r="76" spans="2:19" x14ac:dyDescent="0.2">
      <c r="B76" s="803"/>
      <c r="C76" s="88" t="s">
        <v>192</v>
      </c>
      <c r="D76" s="813" t="s">
        <v>193</v>
      </c>
      <c r="E76" s="814"/>
      <c r="F76" s="814"/>
      <c r="G76" s="80">
        <v>0</v>
      </c>
      <c r="H76" s="78">
        <f t="shared" si="9"/>
        <v>0</v>
      </c>
      <c r="I76" s="58"/>
      <c r="J76" s="79"/>
      <c r="K76" s="39"/>
      <c r="L76" s="39"/>
      <c r="M76" s="39"/>
      <c r="N76" s="39"/>
      <c r="O76" s="65"/>
    </row>
    <row r="77" spans="2:19" ht="13.5" customHeight="1" thickBot="1" x14ac:dyDescent="0.25">
      <c r="B77" s="803"/>
      <c r="C77" s="88" t="s">
        <v>194</v>
      </c>
      <c r="D77" s="815" t="s">
        <v>195</v>
      </c>
      <c r="E77" s="815"/>
      <c r="F77" s="815"/>
      <c r="G77" s="89">
        <v>0</v>
      </c>
      <c r="H77" s="90">
        <f t="shared" si="9"/>
        <v>0</v>
      </c>
      <c r="I77" s="63"/>
      <c r="J77" s="67"/>
      <c r="K77" s="68"/>
      <c r="L77" s="68"/>
      <c r="M77" s="91"/>
      <c r="N77" s="91"/>
      <c r="O77" s="92"/>
    </row>
    <row r="78" spans="2:19" ht="13.5" thickBot="1" x14ac:dyDescent="0.25">
      <c r="B78" s="803"/>
      <c r="C78" s="93"/>
      <c r="D78" s="94"/>
      <c r="E78" s="816" t="s">
        <v>117</v>
      </c>
      <c r="F78" s="817"/>
      <c r="G78" s="95">
        <f>SUM(G69:G77)</f>
        <v>30300</v>
      </c>
      <c r="H78" s="96">
        <f>IF(SUM(G69:G75)&lt;150000,SUM(G69:G75),150000)+IF(+G76&lt;20000,+G76,20000)</f>
        <v>30300</v>
      </c>
      <c r="I78" s="63"/>
      <c r="J78" s="140"/>
      <c r="K78" s="141"/>
      <c r="L78" s="141"/>
      <c r="M78" s="142"/>
      <c r="N78" s="142"/>
      <c r="O78" s="143"/>
    </row>
    <row r="79" spans="2:19" ht="12.75" customHeight="1" x14ac:dyDescent="0.2">
      <c r="B79" s="803"/>
      <c r="C79" s="100" t="s">
        <v>196</v>
      </c>
      <c r="D79" s="782" t="s">
        <v>187</v>
      </c>
      <c r="E79" s="783"/>
      <c r="F79" s="818"/>
      <c r="G79" s="73">
        <f>+O42</f>
        <v>0</v>
      </c>
      <c r="H79" s="101">
        <f>+IF(+G79&lt;25000,+G79,25000)</f>
        <v>0</v>
      </c>
      <c r="I79" s="87"/>
    </row>
    <row r="80" spans="2:19" x14ac:dyDescent="0.2">
      <c r="B80" s="803"/>
      <c r="C80" s="100" t="s">
        <v>197</v>
      </c>
      <c r="D80" s="784" t="s">
        <v>198</v>
      </c>
      <c r="E80" s="785"/>
      <c r="F80" s="786"/>
      <c r="G80" s="102"/>
      <c r="H80" s="103">
        <f>+IF(+G80&lt;40000,+G80,40000)</f>
        <v>0</v>
      </c>
      <c r="I80" s="63"/>
    </row>
    <row r="81" spans="2:21" x14ac:dyDescent="0.2">
      <c r="B81" s="803"/>
      <c r="C81" s="100" t="s">
        <v>199</v>
      </c>
      <c r="D81" s="784" t="s">
        <v>200</v>
      </c>
      <c r="E81" s="785"/>
      <c r="F81" s="786"/>
      <c r="G81" s="81"/>
      <c r="H81" s="104">
        <v>0</v>
      </c>
      <c r="I81" s="63"/>
      <c r="J81" s="106"/>
    </row>
    <row r="82" spans="2:21" x14ac:dyDescent="0.2">
      <c r="B82" s="803"/>
      <c r="C82" s="100" t="s">
        <v>201</v>
      </c>
      <c r="D82" s="784" t="s">
        <v>202</v>
      </c>
      <c r="E82" s="785"/>
      <c r="F82" s="786"/>
      <c r="G82" s="81"/>
      <c r="H82" s="104">
        <v>0</v>
      </c>
      <c r="I82" s="63"/>
    </row>
    <row r="83" spans="2:21" ht="13.5" thickBot="1" x14ac:dyDescent="0.25">
      <c r="B83" s="804"/>
      <c r="C83" s="100" t="s">
        <v>203</v>
      </c>
      <c r="D83" s="784" t="s">
        <v>204</v>
      </c>
      <c r="E83" s="785"/>
      <c r="F83" s="786"/>
      <c r="G83" s="102"/>
      <c r="H83" s="103">
        <f>+IF(+G83&lt;100000,+G83,10000)</f>
        <v>0</v>
      </c>
      <c r="I83" s="63"/>
    </row>
    <row r="84" spans="2:21" ht="13.5" thickBot="1" x14ac:dyDescent="0.25">
      <c r="B84" s="787" t="s">
        <v>205</v>
      </c>
      <c r="C84" s="788"/>
      <c r="D84" s="788"/>
      <c r="E84" s="788"/>
      <c r="F84" s="788"/>
      <c r="G84" s="107">
        <f>SUM(G79:G83)</f>
        <v>0</v>
      </c>
      <c r="H84" s="108">
        <f>SUM(H78:H83)</f>
        <v>30300</v>
      </c>
    </row>
    <row r="85" spans="2:21" ht="13.5" thickBot="1" x14ac:dyDescent="0.25"/>
    <row r="86" spans="2:21" ht="13.5" thickBot="1" x14ac:dyDescent="0.25">
      <c r="B86" s="789" t="s">
        <v>206</v>
      </c>
      <c r="C86" s="790"/>
      <c r="D86" s="790"/>
      <c r="E86" s="790"/>
      <c r="F86" s="791"/>
      <c r="G86" s="792">
        <f>+G65-H84</f>
        <v>543163</v>
      </c>
      <c r="H86" s="791"/>
      <c r="J86" s="109">
        <f>C37+D37+E37+F37</f>
        <v>488466</v>
      </c>
      <c r="K86" s="16" t="s">
        <v>235</v>
      </c>
      <c r="T86" s="16">
        <v>85500</v>
      </c>
    </row>
    <row r="87" spans="2:21" x14ac:dyDescent="0.2">
      <c r="B87" s="110"/>
      <c r="F87" s="105"/>
      <c r="J87" s="109">
        <f>G37+H37+I37</f>
        <v>125997</v>
      </c>
      <c r="K87" s="16" t="s">
        <v>236</v>
      </c>
    </row>
    <row r="88" spans="2:21" x14ac:dyDescent="0.2">
      <c r="C88" s="793" t="s">
        <v>207</v>
      </c>
      <c r="D88" s="794"/>
      <c r="E88" s="111" t="s">
        <v>208</v>
      </c>
      <c r="F88" s="111" t="s">
        <v>209</v>
      </c>
      <c r="G88" s="111" t="s">
        <v>210</v>
      </c>
      <c r="H88" s="111" t="s">
        <v>211</v>
      </c>
      <c r="J88" s="109">
        <f>J37+K37+L37</f>
        <v>0</v>
      </c>
      <c r="K88" s="47" t="s">
        <v>237</v>
      </c>
    </row>
    <row r="89" spans="2:21" x14ac:dyDescent="0.2">
      <c r="C89" s="795" t="str">
        <f>IF(I6="M","0          - 250000","0          -  250000")</f>
        <v>0          - 250000</v>
      </c>
      <c r="D89" s="796"/>
      <c r="E89" s="112">
        <v>0</v>
      </c>
      <c r="F89" s="113">
        <f>IF(I6="M",(IF(G86&lt;250000,G86,250000)),(IF(G86&lt;250000,G86,250000)))</f>
        <v>250000</v>
      </c>
      <c r="G89" s="113">
        <f>G86-F89</f>
        <v>293163</v>
      </c>
      <c r="H89" s="113">
        <f>E89*F89</f>
        <v>0</v>
      </c>
      <c r="J89" s="16">
        <f>M37+N37</f>
        <v>0</v>
      </c>
      <c r="K89" s="1" t="s">
        <v>238</v>
      </c>
      <c r="L89" s="16">
        <f>+J89/2</f>
        <v>0</v>
      </c>
    </row>
    <row r="90" spans="2:21" x14ac:dyDescent="0.2">
      <c r="C90" s="795" t="str">
        <f>IF(I6="M","250001 - 500000","250001-500000")</f>
        <v>250001 - 500000</v>
      </c>
      <c r="D90" s="796"/>
      <c r="E90" s="112">
        <v>0.05</v>
      </c>
      <c r="F90" s="113">
        <f>IF(I6="M",(IF(G88&lt;250000,G88,250000)),(IF(G88&lt;250000,G88,250000)))</f>
        <v>250000</v>
      </c>
      <c r="G90" s="113">
        <f>G89-F90</f>
        <v>43163</v>
      </c>
      <c r="H90" s="114">
        <f>ROUND(E90*F90,0.1)</f>
        <v>12500</v>
      </c>
      <c r="J90" s="115">
        <f>SUM(J86:J89)</f>
        <v>614463</v>
      </c>
    </row>
    <row r="91" spans="2:21" x14ac:dyDescent="0.2">
      <c r="C91" s="797" t="s">
        <v>212</v>
      </c>
      <c r="D91" s="798"/>
      <c r="E91" s="112">
        <v>0.2</v>
      </c>
      <c r="F91" s="113">
        <f>IF(G90&lt;500000,G90,500000)</f>
        <v>43163</v>
      </c>
      <c r="G91" s="113">
        <f>G90-F91</f>
        <v>0</v>
      </c>
      <c r="H91" s="114">
        <f>ROUND(E91*F91,0.1)</f>
        <v>8633</v>
      </c>
      <c r="J91" s="16">
        <f>+G86</f>
        <v>543163</v>
      </c>
    </row>
    <row r="92" spans="2:21" x14ac:dyDescent="0.2">
      <c r="C92" s="795" t="s">
        <v>213</v>
      </c>
      <c r="D92" s="796"/>
      <c r="E92" s="112">
        <v>0.3</v>
      </c>
      <c r="F92" s="113">
        <f>G91</f>
        <v>0</v>
      </c>
      <c r="G92" s="113">
        <f>G91-F92</f>
        <v>0</v>
      </c>
      <c r="H92" s="114">
        <f>ROUND(E92*F92,0.1)</f>
        <v>0</v>
      </c>
      <c r="J92" s="16">
        <f>+J90-J91</f>
        <v>71300</v>
      </c>
    </row>
    <row r="93" spans="2:21" ht="12.75" customHeight="1" thickBot="1" x14ac:dyDescent="0.25">
      <c r="B93" s="116"/>
      <c r="C93" s="117"/>
      <c r="D93" s="47"/>
      <c r="E93" s="47"/>
      <c r="F93" s="47"/>
      <c r="J93" s="87"/>
      <c r="K93" s="118"/>
      <c r="O93" s="156" t="s">
        <v>257</v>
      </c>
    </row>
    <row r="94" spans="2:21" ht="13.5" thickBot="1" x14ac:dyDescent="0.25">
      <c r="B94" s="799" t="s">
        <v>239</v>
      </c>
      <c r="C94" s="800"/>
      <c r="D94" s="800"/>
      <c r="E94" s="800"/>
      <c r="F94" s="801"/>
      <c r="G94" s="771">
        <f>H89+H90+H91+H92</f>
        <v>21133</v>
      </c>
      <c r="H94" s="772"/>
      <c r="J94" s="87"/>
      <c r="K94" s="87"/>
      <c r="O94" s="1" t="s">
        <v>347</v>
      </c>
      <c r="T94" s="16">
        <f>(O9+O10+O11)*50%</f>
        <v>235111.5</v>
      </c>
    </row>
    <row r="95" spans="2:21" ht="13.5" thickBot="1" x14ac:dyDescent="0.25">
      <c r="B95" s="119" t="s">
        <v>215</v>
      </c>
      <c r="C95" s="120"/>
      <c r="D95" s="120"/>
      <c r="E95" s="120"/>
      <c r="F95" s="120"/>
      <c r="G95" s="884">
        <f>IF((G65&lt;500000),5000,0)</f>
        <v>0</v>
      </c>
      <c r="H95" s="885">
        <f>IF(H93&lt;200000,0,IF(H93&lt;220000,((H93-200000)*10%),IF(H93&lt;=500000,2000,IF(H93&gt;=500000,0))))</f>
        <v>0</v>
      </c>
      <c r="J95" s="1"/>
      <c r="K95" s="121"/>
      <c r="L95" s="121"/>
      <c r="O95" s="1" t="s">
        <v>348</v>
      </c>
      <c r="T95" s="16">
        <f>O19</f>
        <v>105864</v>
      </c>
    </row>
    <row r="96" spans="2:21" ht="13.5" thickBot="1" x14ac:dyDescent="0.25">
      <c r="B96" s="122" t="s">
        <v>216</v>
      </c>
      <c r="C96" s="123"/>
      <c r="D96" s="123"/>
      <c r="E96" s="123"/>
      <c r="F96" s="123"/>
      <c r="G96" s="771">
        <f>IF((G94-G95)&lt;0,0,(G94-G95))</f>
        <v>21133</v>
      </c>
      <c r="H96" s="772"/>
      <c r="I96" s="37"/>
      <c r="O96" s="16" t="s">
        <v>261</v>
      </c>
      <c r="T96" s="16">
        <f>ROUND((150000)-(+O9+O10+O11)*10%,0.1)</f>
        <v>102978</v>
      </c>
      <c r="U96" s="1"/>
    </row>
    <row r="97" spans="2:20" ht="13.5" thickBot="1" x14ac:dyDescent="0.25">
      <c r="B97" s="773" t="s">
        <v>240</v>
      </c>
      <c r="C97" s="774"/>
      <c r="D97" s="774"/>
      <c r="E97" s="774"/>
      <c r="F97" s="775"/>
      <c r="G97" s="776">
        <f>ROUND((IF(G96&gt;0,(G96*4%),0)),0)</f>
        <v>845</v>
      </c>
      <c r="H97" s="777"/>
      <c r="I97" s="37"/>
    </row>
    <row r="98" spans="2:20" ht="13.5" thickBot="1" x14ac:dyDescent="0.25">
      <c r="B98" s="778" t="s">
        <v>218</v>
      </c>
      <c r="C98" s="779"/>
      <c r="D98" s="779"/>
      <c r="E98" s="779"/>
      <c r="F98" s="779"/>
      <c r="G98" s="780">
        <f>G96+G97</f>
        <v>21978</v>
      </c>
      <c r="H98" s="781"/>
      <c r="I98" s="121"/>
      <c r="O98" s="157" t="s">
        <v>262</v>
      </c>
      <c r="P98" s="87"/>
      <c r="Q98" s="87"/>
      <c r="T98" s="16">
        <v>54074</v>
      </c>
    </row>
    <row r="99" spans="2:20" ht="13.5" thickBot="1" x14ac:dyDescent="0.25">
      <c r="B99" s="765" t="s">
        <v>219</v>
      </c>
      <c r="C99" s="766"/>
      <c r="D99" s="766"/>
      <c r="E99" s="766"/>
      <c r="F99" s="766"/>
      <c r="G99" s="767">
        <f>O38</f>
        <v>75000</v>
      </c>
      <c r="H99" s="768"/>
      <c r="I99" s="121"/>
    </row>
    <row r="100" spans="2:20" ht="13.5" thickBot="1" x14ac:dyDescent="0.25">
      <c r="B100" s="765" t="str">
        <f>IF(G100&gt;0,"TAX PAYABLE","TAX REFUND")</f>
        <v>TAX REFUND</v>
      </c>
      <c r="C100" s="766"/>
      <c r="D100" s="766"/>
      <c r="E100" s="766"/>
      <c r="F100" s="766"/>
      <c r="G100" s="767">
        <f>+G98-G99</f>
        <v>-53022</v>
      </c>
      <c r="H100" s="768"/>
      <c r="I100" s="37"/>
      <c r="O100" s="16" t="s">
        <v>715</v>
      </c>
      <c r="Q100" s="16" t="s">
        <v>716</v>
      </c>
      <c r="R100" s="16">
        <v>11000</v>
      </c>
    </row>
    <row r="101" spans="2:20" x14ac:dyDescent="0.2">
      <c r="C101" s="124"/>
      <c r="D101" s="45"/>
      <c r="E101" s="118"/>
      <c r="F101" s="118"/>
      <c r="G101" s="118"/>
      <c r="H101" s="118"/>
      <c r="I101" s="125"/>
      <c r="O101" s="16" t="s">
        <v>717</v>
      </c>
      <c r="Q101" s="16" t="s">
        <v>718</v>
      </c>
      <c r="R101" s="16">
        <v>84000</v>
      </c>
    </row>
    <row r="102" spans="2:20" x14ac:dyDescent="0.2">
      <c r="C102" s="47"/>
      <c r="D102" s="50"/>
      <c r="E102" s="117"/>
      <c r="F102" s="47"/>
      <c r="G102" s="47"/>
      <c r="H102" s="47"/>
      <c r="I102" s="125"/>
      <c r="O102" s="16" t="s">
        <v>719</v>
      </c>
      <c r="Q102" s="16" t="s">
        <v>720</v>
      </c>
      <c r="R102" s="16">
        <v>55000</v>
      </c>
    </row>
    <row r="103" spans="2:20" x14ac:dyDescent="0.2">
      <c r="C103" s="39"/>
      <c r="D103" s="126"/>
      <c r="E103" s="126"/>
      <c r="F103" s="126"/>
      <c r="G103" s="39"/>
      <c r="H103" s="39"/>
      <c r="I103" s="37"/>
    </row>
    <row r="104" spans="2:20" x14ac:dyDescent="0.2">
      <c r="C104" s="39"/>
      <c r="D104" s="126"/>
      <c r="E104" s="126"/>
      <c r="F104" s="39"/>
      <c r="G104" s="39"/>
      <c r="H104" s="39"/>
      <c r="I104" s="37"/>
    </row>
    <row r="105" spans="2:20" x14ac:dyDescent="0.2">
      <c r="C105" s="39"/>
      <c r="D105" s="126"/>
      <c r="E105" s="126"/>
      <c r="F105" s="39"/>
      <c r="G105" s="39"/>
      <c r="H105" s="39"/>
      <c r="I105" s="37"/>
    </row>
    <row r="106" spans="2:20" x14ac:dyDescent="0.2">
      <c r="C106" s="39"/>
      <c r="D106" s="39"/>
      <c r="E106" s="39"/>
      <c r="F106" s="39"/>
      <c r="G106" s="39"/>
      <c r="H106" s="39"/>
      <c r="I106" s="37"/>
    </row>
    <row r="107" spans="2:20" x14ac:dyDescent="0.2">
      <c r="C107" s="39"/>
      <c r="D107" s="39"/>
      <c r="E107" s="39"/>
      <c r="F107" s="39"/>
      <c r="G107" s="39"/>
      <c r="H107" s="39"/>
    </row>
    <row r="108" spans="2:20" x14ac:dyDescent="0.2">
      <c r="C108" s="39"/>
      <c r="D108" s="39"/>
      <c r="E108" s="39"/>
      <c r="F108" s="39"/>
      <c r="G108" s="39"/>
      <c r="H108"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60:F60"/>
    <mergeCell ref="G60:H60"/>
    <mergeCell ref="J60:O60"/>
    <mergeCell ref="B55:B58"/>
    <mergeCell ref="C55:C58"/>
    <mergeCell ref="D55:F55"/>
    <mergeCell ref="G55:H55"/>
    <mergeCell ref="D56:F56"/>
    <mergeCell ref="G56:H56"/>
    <mergeCell ref="J56:L56"/>
    <mergeCell ref="M56:O56"/>
    <mergeCell ref="D58:F58"/>
    <mergeCell ref="G58:H58"/>
    <mergeCell ref="J63:O63"/>
    <mergeCell ref="D81:F81"/>
    <mergeCell ref="J68:K68"/>
    <mergeCell ref="B65:F65"/>
    <mergeCell ref="G65:H65"/>
    <mergeCell ref="D76:F76"/>
    <mergeCell ref="D77:F77"/>
    <mergeCell ref="E78:F78"/>
    <mergeCell ref="D79:F79"/>
    <mergeCell ref="D80:F80"/>
    <mergeCell ref="D71:F71"/>
    <mergeCell ref="D72:F72"/>
    <mergeCell ref="C69:C75"/>
    <mergeCell ref="D69:F69"/>
    <mergeCell ref="D70:F70"/>
    <mergeCell ref="D74:F74"/>
    <mergeCell ref="G62:H62"/>
    <mergeCell ref="C63:F63"/>
    <mergeCell ref="G63:H63"/>
    <mergeCell ref="B62:F62"/>
    <mergeCell ref="D73:F73"/>
    <mergeCell ref="D75:F75"/>
    <mergeCell ref="G94:H94"/>
    <mergeCell ref="D82:F82"/>
    <mergeCell ref="D83:F83"/>
    <mergeCell ref="B84:F84"/>
    <mergeCell ref="B86:F86"/>
    <mergeCell ref="G86:H86"/>
    <mergeCell ref="C88:D88"/>
    <mergeCell ref="C89:D89"/>
    <mergeCell ref="C90:D90"/>
    <mergeCell ref="C91:D91"/>
    <mergeCell ref="C92:D92"/>
    <mergeCell ref="B94:F94"/>
    <mergeCell ref="B69:B83"/>
    <mergeCell ref="B100:F100"/>
    <mergeCell ref="G100:H100"/>
    <mergeCell ref="G95:H95"/>
    <mergeCell ref="G96:H96"/>
    <mergeCell ref="B97:F97"/>
    <mergeCell ref="G97:H97"/>
    <mergeCell ref="B98:F98"/>
    <mergeCell ref="G98:H98"/>
    <mergeCell ref="B99:F99"/>
    <mergeCell ref="G99:H99"/>
  </mergeCells>
  <conditionalFormatting sqref="B100:F100 B94:F98">
    <cfRule type="cellIs" dxfId="1921" priority="5" stopIfTrue="1" operator="equal">
      <formula>"TAX PAYABLE"</formula>
    </cfRule>
    <cfRule type="cellIs" dxfId="1920" priority="6" stopIfTrue="1" operator="equal">
      <formula>"TAX REFUND"</formula>
    </cfRule>
  </conditionalFormatting>
  <conditionalFormatting sqref="G100:H100">
    <cfRule type="cellIs" dxfId="1919" priority="3" stopIfTrue="1" operator="greaterThan">
      <formula>0</formula>
    </cfRule>
    <cfRule type="cellIs" dxfId="1918" priority="4" stopIfTrue="1" operator="lessThanOrEqual">
      <formula>0</formula>
    </cfRule>
  </conditionalFormatting>
  <conditionalFormatting sqref="G95:H95">
    <cfRule type="cellIs" dxfId="1917" priority="1" stopIfTrue="1" operator="lessThan">
      <formula>0</formula>
    </cfRule>
    <cfRule type="cellIs" dxfId="1916" priority="2" stopIfTrue="1" operator="greaterThan">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$Q$8:$Q$9</formula1>
    </dataValidation>
  </dataValidations>
  <pageMargins left="0.7" right="0.7" top="0.75" bottom="0.75" header="0.3" footer="0.3"/>
  <pageSetup paperSize="5" orientation="landscape" horizontalDpi="300" verticalDpi="300" r:id="rId1"/>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7"/>
  <sheetViews>
    <sheetView topLeftCell="A62" workbookViewId="0">
      <selection activeCell="G78" sqref="G78"/>
    </sheetView>
  </sheetViews>
  <sheetFormatPr defaultRowHeight="12.75" x14ac:dyDescent="0.2"/>
  <cols>
    <col min="1" max="1" width="5" style="16" customWidth="1"/>
    <col min="2" max="2" width="18.85546875" style="37" customWidth="1"/>
    <col min="3" max="3" width="9" style="16" customWidth="1"/>
    <col min="4" max="4" width="7.5703125" style="16" customWidth="1"/>
    <col min="5" max="5" width="8.5703125" style="16" bestFit="1" customWidth="1"/>
    <col min="6" max="6" width="8.140625" style="16" customWidth="1"/>
    <col min="7" max="7" width="9.42578125" style="16" customWidth="1"/>
    <col min="8" max="14" width="8.140625" style="16" customWidth="1"/>
    <col min="15" max="15" width="8.4257812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8.85546875" style="16" customWidth="1"/>
    <col min="259" max="259" width="9" style="16" customWidth="1"/>
    <col min="260" max="260" width="7.5703125" style="16" customWidth="1"/>
    <col min="261" max="261" width="8.5703125" style="16" bestFit="1" customWidth="1"/>
    <col min="262" max="262" width="8.140625" style="16" customWidth="1"/>
    <col min="263" max="263" width="9.42578125" style="16" customWidth="1"/>
    <col min="264" max="270" width="8.140625" style="16" customWidth="1"/>
    <col min="271" max="271" width="8.4257812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8.85546875" style="16" customWidth="1"/>
    <col min="515" max="515" width="9" style="16" customWidth="1"/>
    <col min="516" max="516" width="7.5703125" style="16" customWidth="1"/>
    <col min="517" max="517" width="8.5703125" style="16" bestFit="1" customWidth="1"/>
    <col min="518" max="518" width="8.140625" style="16" customWidth="1"/>
    <col min="519" max="519" width="9.42578125" style="16" customWidth="1"/>
    <col min="520" max="526" width="8.140625" style="16" customWidth="1"/>
    <col min="527" max="527" width="8.4257812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8.85546875" style="16" customWidth="1"/>
    <col min="771" max="771" width="9" style="16" customWidth="1"/>
    <col min="772" max="772" width="7.5703125" style="16" customWidth="1"/>
    <col min="773" max="773" width="8.5703125" style="16" bestFit="1" customWidth="1"/>
    <col min="774" max="774" width="8.140625" style="16" customWidth="1"/>
    <col min="775" max="775" width="9.42578125" style="16" customWidth="1"/>
    <col min="776" max="782" width="8.140625" style="16" customWidth="1"/>
    <col min="783" max="783" width="8.4257812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8.85546875" style="16" customWidth="1"/>
    <col min="1027" max="1027" width="9" style="16" customWidth="1"/>
    <col min="1028" max="1028" width="7.5703125" style="16" customWidth="1"/>
    <col min="1029" max="1029" width="8.5703125" style="16" bestFit="1" customWidth="1"/>
    <col min="1030" max="1030" width="8.140625" style="16" customWidth="1"/>
    <col min="1031" max="1031" width="9.42578125" style="16" customWidth="1"/>
    <col min="1032" max="1038" width="8.140625" style="16" customWidth="1"/>
    <col min="1039" max="1039" width="8.4257812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8.85546875" style="16" customWidth="1"/>
    <col min="1283" max="1283" width="9" style="16" customWidth="1"/>
    <col min="1284" max="1284" width="7.5703125" style="16" customWidth="1"/>
    <col min="1285" max="1285" width="8.5703125" style="16" bestFit="1" customWidth="1"/>
    <col min="1286" max="1286" width="8.140625" style="16" customWidth="1"/>
    <col min="1287" max="1287" width="9.42578125" style="16" customWidth="1"/>
    <col min="1288" max="1294" width="8.140625" style="16" customWidth="1"/>
    <col min="1295" max="1295" width="8.4257812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8.85546875" style="16" customWidth="1"/>
    <col min="1539" max="1539" width="9" style="16" customWidth="1"/>
    <col min="1540" max="1540" width="7.5703125" style="16" customWidth="1"/>
    <col min="1541" max="1541" width="8.5703125" style="16" bestFit="1" customWidth="1"/>
    <col min="1542" max="1542" width="8.140625" style="16" customWidth="1"/>
    <col min="1543" max="1543" width="9.42578125" style="16" customWidth="1"/>
    <col min="1544" max="1550" width="8.140625" style="16" customWidth="1"/>
    <col min="1551" max="1551" width="8.4257812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8.85546875" style="16" customWidth="1"/>
    <col min="1795" max="1795" width="9" style="16" customWidth="1"/>
    <col min="1796" max="1796" width="7.5703125" style="16" customWidth="1"/>
    <col min="1797" max="1797" width="8.5703125" style="16" bestFit="1" customWidth="1"/>
    <col min="1798" max="1798" width="8.140625" style="16" customWidth="1"/>
    <col min="1799" max="1799" width="9.42578125" style="16" customWidth="1"/>
    <col min="1800" max="1806" width="8.140625" style="16" customWidth="1"/>
    <col min="1807" max="1807" width="8.4257812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8.85546875" style="16" customWidth="1"/>
    <col min="2051" max="2051" width="9" style="16" customWidth="1"/>
    <col min="2052" max="2052" width="7.5703125" style="16" customWidth="1"/>
    <col min="2053" max="2053" width="8.5703125" style="16" bestFit="1" customWidth="1"/>
    <col min="2054" max="2054" width="8.140625" style="16" customWidth="1"/>
    <col min="2055" max="2055" width="9.42578125" style="16" customWidth="1"/>
    <col min="2056" max="2062" width="8.140625" style="16" customWidth="1"/>
    <col min="2063" max="2063" width="8.4257812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8.85546875" style="16" customWidth="1"/>
    <col min="2307" max="2307" width="9" style="16" customWidth="1"/>
    <col min="2308" max="2308" width="7.5703125" style="16" customWidth="1"/>
    <col min="2309" max="2309" width="8.5703125" style="16" bestFit="1" customWidth="1"/>
    <col min="2310" max="2310" width="8.140625" style="16" customWidth="1"/>
    <col min="2311" max="2311" width="9.42578125" style="16" customWidth="1"/>
    <col min="2312" max="2318" width="8.140625" style="16" customWidth="1"/>
    <col min="2319" max="2319" width="8.4257812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8.85546875" style="16" customWidth="1"/>
    <col min="2563" max="2563" width="9" style="16" customWidth="1"/>
    <col min="2564" max="2564" width="7.5703125" style="16" customWidth="1"/>
    <col min="2565" max="2565" width="8.5703125" style="16" bestFit="1" customWidth="1"/>
    <col min="2566" max="2566" width="8.140625" style="16" customWidth="1"/>
    <col min="2567" max="2567" width="9.42578125" style="16" customWidth="1"/>
    <col min="2568" max="2574" width="8.140625" style="16" customWidth="1"/>
    <col min="2575" max="2575" width="8.4257812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8.85546875" style="16" customWidth="1"/>
    <col min="2819" max="2819" width="9" style="16" customWidth="1"/>
    <col min="2820" max="2820" width="7.5703125" style="16" customWidth="1"/>
    <col min="2821" max="2821" width="8.5703125" style="16" bestFit="1" customWidth="1"/>
    <col min="2822" max="2822" width="8.140625" style="16" customWidth="1"/>
    <col min="2823" max="2823" width="9.42578125" style="16" customWidth="1"/>
    <col min="2824" max="2830" width="8.140625" style="16" customWidth="1"/>
    <col min="2831" max="2831" width="8.4257812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8.85546875" style="16" customWidth="1"/>
    <col min="3075" max="3075" width="9" style="16" customWidth="1"/>
    <col min="3076" max="3076" width="7.5703125" style="16" customWidth="1"/>
    <col min="3077" max="3077" width="8.5703125" style="16" bestFit="1" customWidth="1"/>
    <col min="3078" max="3078" width="8.140625" style="16" customWidth="1"/>
    <col min="3079" max="3079" width="9.42578125" style="16" customWidth="1"/>
    <col min="3080" max="3086" width="8.140625" style="16" customWidth="1"/>
    <col min="3087" max="3087" width="8.4257812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8.85546875" style="16" customWidth="1"/>
    <col min="3331" max="3331" width="9" style="16" customWidth="1"/>
    <col min="3332" max="3332" width="7.5703125" style="16" customWidth="1"/>
    <col min="3333" max="3333" width="8.5703125" style="16" bestFit="1" customWidth="1"/>
    <col min="3334" max="3334" width="8.140625" style="16" customWidth="1"/>
    <col min="3335" max="3335" width="9.42578125" style="16" customWidth="1"/>
    <col min="3336" max="3342" width="8.140625" style="16" customWidth="1"/>
    <col min="3343" max="3343" width="8.4257812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8.85546875" style="16" customWidth="1"/>
    <col min="3587" max="3587" width="9" style="16" customWidth="1"/>
    <col min="3588" max="3588" width="7.5703125" style="16" customWidth="1"/>
    <col min="3589" max="3589" width="8.5703125" style="16" bestFit="1" customWidth="1"/>
    <col min="3590" max="3590" width="8.140625" style="16" customWidth="1"/>
    <col min="3591" max="3591" width="9.42578125" style="16" customWidth="1"/>
    <col min="3592" max="3598" width="8.140625" style="16" customWidth="1"/>
    <col min="3599" max="3599" width="8.4257812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8.85546875" style="16" customWidth="1"/>
    <col min="3843" max="3843" width="9" style="16" customWidth="1"/>
    <col min="3844" max="3844" width="7.5703125" style="16" customWidth="1"/>
    <col min="3845" max="3845" width="8.5703125" style="16" bestFit="1" customWidth="1"/>
    <col min="3846" max="3846" width="8.140625" style="16" customWidth="1"/>
    <col min="3847" max="3847" width="9.42578125" style="16" customWidth="1"/>
    <col min="3848" max="3854" width="8.140625" style="16" customWidth="1"/>
    <col min="3855" max="3855" width="8.4257812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8.85546875" style="16" customWidth="1"/>
    <col min="4099" max="4099" width="9" style="16" customWidth="1"/>
    <col min="4100" max="4100" width="7.5703125" style="16" customWidth="1"/>
    <col min="4101" max="4101" width="8.5703125" style="16" bestFit="1" customWidth="1"/>
    <col min="4102" max="4102" width="8.140625" style="16" customWidth="1"/>
    <col min="4103" max="4103" width="9.42578125" style="16" customWidth="1"/>
    <col min="4104" max="4110" width="8.140625" style="16" customWidth="1"/>
    <col min="4111" max="4111" width="8.4257812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8.85546875" style="16" customWidth="1"/>
    <col min="4355" max="4355" width="9" style="16" customWidth="1"/>
    <col min="4356" max="4356" width="7.5703125" style="16" customWidth="1"/>
    <col min="4357" max="4357" width="8.5703125" style="16" bestFit="1" customWidth="1"/>
    <col min="4358" max="4358" width="8.140625" style="16" customWidth="1"/>
    <col min="4359" max="4359" width="9.42578125" style="16" customWidth="1"/>
    <col min="4360" max="4366" width="8.140625" style="16" customWidth="1"/>
    <col min="4367" max="4367" width="8.4257812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8.85546875" style="16" customWidth="1"/>
    <col min="4611" max="4611" width="9" style="16" customWidth="1"/>
    <col min="4612" max="4612" width="7.5703125" style="16" customWidth="1"/>
    <col min="4613" max="4613" width="8.5703125" style="16" bestFit="1" customWidth="1"/>
    <col min="4614" max="4614" width="8.140625" style="16" customWidth="1"/>
    <col min="4615" max="4615" width="9.42578125" style="16" customWidth="1"/>
    <col min="4616" max="4622" width="8.140625" style="16" customWidth="1"/>
    <col min="4623" max="4623" width="8.4257812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8.85546875" style="16" customWidth="1"/>
    <col min="4867" max="4867" width="9" style="16" customWidth="1"/>
    <col min="4868" max="4868" width="7.5703125" style="16" customWidth="1"/>
    <col min="4869" max="4869" width="8.5703125" style="16" bestFit="1" customWidth="1"/>
    <col min="4870" max="4870" width="8.140625" style="16" customWidth="1"/>
    <col min="4871" max="4871" width="9.42578125" style="16" customWidth="1"/>
    <col min="4872" max="4878" width="8.140625" style="16" customWidth="1"/>
    <col min="4879" max="4879" width="8.4257812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8.85546875" style="16" customWidth="1"/>
    <col min="5123" max="5123" width="9" style="16" customWidth="1"/>
    <col min="5124" max="5124" width="7.5703125" style="16" customWidth="1"/>
    <col min="5125" max="5125" width="8.5703125" style="16" bestFit="1" customWidth="1"/>
    <col min="5126" max="5126" width="8.140625" style="16" customWidth="1"/>
    <col min="5127" max="5127" width="9.42578125" style="16" customWidth="1"/>
    <col min="5128" max="5134" width="8.140625" style="16" customWidth="1"/>
    <col min="5135" max="5135" width="8.4257812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8.85546875" style="16" customWidth="1"/>
    <col min="5379" max="5379" width="9" style="16" customWidth="1"/>
    <col min="5380" max="5380" width="7.5703125" style="16" customWidth="1"/>
    <col min="5381" max="5381" width="8.5703125" style="16" bestFit="1" customWidth="1"/>
    <col min="5382" max="5382" width="8.140625" style="16" customWidth="1"/>
    <col min="5383" max="5383" width="9.42578125" style="16" customWidth="1"/>
    <col min="5384" max="5390" width="8.140625" style="16" customWidth="1"/>
    <col min="5391" max="5391" width="8.4257812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8.85546875" style="16" customWidth="1"/>
    <col min="5635" max="5635" width="9" style="16" customWidth="1"/>
    <col min="5636" max="5636" width="7.5703125" style="16" customWidth="1"/>
    <col min="5637" max="5637" width="8.5703125" style="16" bestFit="1" customWidth="1"/>
    <col min="5638" max="5638" width="8.140625" style="16" customWidth="1"/>
    <col min="5639" max="5639" width="9.42578125" style="16" customWidth="1"/>
    <col min="5640" max="5646" width="8.140625" style="16" customWidth="1"/>
    <col min="5647" max="5647" width="8.4257812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8.85546875" style="16" customWidth="1"/>
    <col min="5891" max="5891" width="9" style="16" customWidth="1"/>
    <col min="5892" max="5892" width="7.5703125" style="16" customWidth="1"/>
    <col min="5893" max="5893" width="8.5703125" style="16" bestFit="1" customWidth="1"/>
    <col min="5894" max="5894" width="8.140625" style="16" customWidth="1"/>
    <col min="5895" max="5895" width="9.42578125" style="16" customWidth="1"/>
    <col min="5896" max="5902" width="8.140625" style="16" customWidth="1"/>
    <col min="5903" max="5903" width="8.4257812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8.85546875" style="16" customWidth="1"/>
    <col min="6147" max="6147" width="9" style="16" customWidth="1"/>
    <col min="6148" max="6148" width="7.5703125" style="16" customWidth="1"/>
    <col min="6149" max="6149" width="8.5703125" style="16" bestFit="1" customWidth="1"/>
    <col min="6150" max="6150" width="8.140625" style="16" customWidth="1"/>
    <col min="6151" max="6151" width="9.42578125" style="16" customWidth="1"/>
    <col min="6152" max="6158" width="8.140625" style="16" customWidth="1"/>
    <col min="6159" max="6159" width="8.4257812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8.85546875" style="16" customWidth="1"/>
    <col min="6403" max="6403" width="9" style="16" customWidth="1"/>
    <col min="6404" max="6404" width="7.5703125" style="16" customWidth="1"/>
    <col min="6405" max="6405" width="8.5703125" style="16" bestFit="1" customWidth="1"/>
    <col min="6406" max="6406" width="8.140625" style="16" customWidth="1"/>
    <col min="6407" max="6407" width="9.42578125" style="16" customWidth="1"/>
    <col min="6408" max="6414" width="8.140625" style="16" customWidth="1"/>
    <col min="6415" max="6415" width="8.4257812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8.85546875" style="16" customWidth="1"/>
    <col min="6659" max="6659" width="9" style="16" customWidth="1"/>
    <col min="6660" max="6660" width="7.5703125" style="16" customWidth="1"/>
    <col min="6661" max="6661" width="8.5703125" style="16" bestFit="1" customWidth="1"/>
    <col min="6662" max="6662" width="8.140625" style="16" customWidth="1"/>
    <col min="6663" max="6663" width="9.42578125" style="16" customWidth="1"/>
    <col min="6664" max="6670" width="8.140625" style="16" customWidth="1"/>
    <col min="6671" max="6671" width="8.4257812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8.85546875" style="16" customWidth="1"/>
    <col min="6915" max="6915" width="9" style="16" customWidth="1"/>
    <col min="6916" max="6916" width="7.5703125" style="16" customWidth="1"/>
    <col min="6917" max="6917" width="8.5703125" style="16" bestFit="1" customWidth="1"/>
    <col min="6918" max="6918" width="8.140625" style="16" customWidth="1"/>
    <col min="6919" max="6919" width="9.42578125" style="16" customWidth="1"/>
    <col min="6920" max="6926" width="8.140625" style="16" customWidth="1"/>
    <col min="6927" max="6927" width="8.4257812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8.85546875" style="16" customWidth="1"/>
    <col min="7171" max="7171" width="9" style="16" customWidth="1"/>
    <col min="7172" max="7172" width="7.5703125" style="16" customWidth="1"/>
    <col min="7173" max="7173" width="8.5703125" style="16" bestFit="1" customWidth="1"/>
    <col min="7174" max="7174" width="8.140625" style="16" customWidth="1"/>
    <col min="7175" max="7175" width="9.42578125" style="16" customWidth="1"/>
    <col min="7176" max="7182" width="8.140625" style="16" customWidth="1"/>
    <col min="7183" max="7183" width="8.4257812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8.85546875" style="16" customWidth="1"/>
    <col min="7427" max="7427" width="9" style="16" customWidth="1"/>
    <col min="7428" max="7428" width="7.5703125" style="16" customWidth="1"/>
    <col min="7429" max="7429" width="8.5703125" style="16" bestFit="1" customWidth="1"/>
    <col min="7430" max="7430" width="8.140625" style="16" customWidth="1"/>
    <col min="7431" max="7431" width="9.42578125" style="16" customWidth="1"/>
    <col min="7432" max="7438" width="8.140625" style="16" customWidth="1"/>
    <col min="7439" max="7439" width="8.4257812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8.85546875" style="16" customWidth="1"/>
    <col min="7683" max="7683" width="9" style="16" customWidth="1"/>
    <col min="7684" max="7684" width="7.5703125" style="16" customWidth="1"/>
    <col min="7685" max="7685" width="8.5703125" style="16" bestFit="1" customWidth="1"/>
    <col min="7686" max="7686" width="8.140625" style="16" customWidth="1"/>
    <col min="7687" max="7687" width="9.42578125" style="16" customWidth="1"/>
    <col min="7688" max="7694" width="8.140625" style="16" customWidth="1"/>
    <col min="7695" max="7695" width="8.4257812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8.85546875" style="16" customWidth="1"/>
    <col min="7939" max="7939" width="9" style="16" customWidth="1"/>
    <col min="7940" max="7940" width="7.5703125" style="16" customWidth="1"/>
    <col min="7941" max="7941" width="8.5703125" style="16" bestFit="1" customWidth="1"/>
    <col min="7942" max="7942" width="8.140625" style="16" customWidth="1"/>
    <col min="7943" max="7943" width="9.42578125" style="16" customWidth="1"/>
    <col min="7944" max="7950" width="8.140625" style="16" customWidth="1"/>
    <col min="7951" max="7951" width="8.4257812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8.85546875" style="16" customWidth="1"/>
    <col min="8195" max="8195" width="9" style="16" customWidth="1"/>
    <col min="8196" max="8196" width="7.5703125" style="16" customWidth="1"/>
    <col min="8197" max="8197" width="8.5703125" style="16" bestFit="1" customWidth="1"/>
    <col min="8198" max="8198" width="8.140625" style="16" customWidth="1"/>
    <col min="8199" max="8199" width="9.42578125" style="16" customWidth="1"/>
    <col min="8200" max="8206" width="8.140625" style="16" customWidth="1"/>
    <col min="8207" max="8207" width="8.4257812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8.85546875" style="16" customWidth="1"/>
    <col min="8451" max="8451" width="9" style="16" customWidth="1"/>
    <col min="8452" max="8452" width="7.5703125" style="16" customWidth="1"/>
    <col min="8453" max="8453" width="8.5703125" style="16" bestFit="1" customWidth="1"/>
    <col min="8454" max="8454" width="8.140625" style="16" customWidth="1"/>
    <col min="8455" max="8455" width="9.42578125" style="16" customWidth="1"/>
    <col min="8456" max="8462" width="8.140625" style="16" customWidth="1"/>
    <col min="8463" max="8463" width="8.4257812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8.85546875" style="16" customWidth="1"/>
    <col min="8707" max="8707" width="9" style="16" customWidth="1"/>
    <col min="8708" max="8708" width="7.5703125" style="16" customWidth="1"/>
    <col min="8709" max="8709" width="8.5703125" style="16" bestFit="1" customWidth="1"/>
    <col min="8710" max="8710" width="8.140625" style="16" customWidth="1"/>
    <col min="8711" max="8711" width="9.42578125" style="16" customWidth="1"/>
    <col min="8712" max="8718" width="8.140625" style="16" customWidth="1"/>
    <col min="8719" max="8719" width="8.4257812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8.85546875" style="16" customWidth="1"/>
    <col min="8963" max="8963" width="9" style="16" customWidth="1"/>
    <col min="8964" max="8964" width="7.5703125" style="16" customWidth="1"/>
    <col min="8965" max="8965" width="8.5703125" style="16" bestFit="1" customWidth="1"/>
    <col min="8966" max="8966" width="8.140625" style="16" customWidth="1"/>
    <col min="8967" max="8967" width="9.42578125" style="16" customWidth="1"/>
    <col min="8968" max="8974" width="8.140625" style="16" customWidth="1"/>
    <col min="8975" max="8975" width="8.4257812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8.85546875" style="16" customWidth="1"/>
    <col min="9219" max="9219" width="9" style="16" customWidth="1"/>
    <col min="9220" max="9220" width="7.5703125" style="16" customWidth="1"/>
    <col min="9221" max="9221" width="8.5703125" style="16" bestFit="1" customWidth="1"/>
    <col min="9222" max="9222" width="8.140625" style="16" customWidth="1"/>
    <col min="9223" max="9223" width="9.42578125" style="16" customWidth="1"/>
    <col min="9224" max="9230" width="8.140625" style="16" customWidth="1"/>
    <col min="9231" max="9231" width="8.4257812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8.85546875" style="16" customWidth="1"/>
    <col min="9475" max="9475" width="9" style="16" customWidth="1"/>
    <col min="9476" max="9476" width="7.5703125" style="16" customWidth="1"/>
    <col min="9477" max="9477" width="8.5703125" style="16" bestFit="1" customWidth="1"/>
    <col min="9478" max="9478" width="8.140625" style="16" customWidth="1"/>
    <col min="9479" max="9479" width="9.42578125" style="16" customWidth="1"/>
    <col min="9480" max="9486" width="8.140625" style="16" customWidth="1"/>
    <col min="9487" max="9487" width="8.4257812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8.85546875" style="16" customWidth="1"/>
    <col min="9731" max="9731" width="9" style="16" customWidth="1"/>
    <col min="9732" max="9732" width="7.5703125" style="16" customWidth="1"/>
    <col min="9733" max="9733" width="8.5703125" style="16" bestFit="1" customWidth="1"/>
    <col min="9734" max="9734" width="8.140625" style="16" customWidth="1"/>
    <col min="9735" max="9735" width="9.42578125" style="16" customWidth="1"/>
    <col min="9736" max="9742" width="8.140625" style="16" customWidth="1"/>
    <col min="9743" max="9743" width="8.4257812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8.85546875" style="16" customWidth="1"/>
    <col min="9987" max="9987" width="9" style="16" customWidth="1"/>
    <col min="9988" max="9988" width="7.5703125" style="16" customWidth="1"/>
    <col min="9989" max="9989" width="8.5703125" style="16" bestFit="1" customWidth="1"/>
    <col min="9990" max="9990" width="8.140625" style="16" customWidth="1"/>
    <col min="9991" max="9991" width="9.42578125" style="16" customWidth="1"/>
    <col min="9992" max="9998" width="8.140625" style="16" customWidth="1"/>
    <col min="9999" max="9999" width="8.4257812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8.85546875" style="16" customWidth="1"/>
    <col min="10243" max="10243" width="9" style="16" customWidth="1"/>
    <col min="10244" max="10244" width="7.5703125" style="16" customWidth="1"/>
    <col min="10245" max="10245" width="8.5703125" style="16" bestFit="1" customWidth="1"/>
    <col min="10246" max="10246" width="8.140625" style="16" customWidth="1"/>
    <col min="10247" max="10247" width="9.42578125" style="16" customWidth="1"/>
    <col min="10248" max="10254" width="8.140625" style="16" customWidth="1"/>
    <col min="10255" max="10255" width="8.4257812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8.85546875" style="16" customWidth="1"/>
    <col min="10499" max="10499" width="9" style="16" customWidth="1"/>
    <col min="10500" max="10500" width="7.5703125" style="16" customWidth="1"/>
    <col min="10501" max="10501" width="8.5703125" style="16" bestFit="1" customWidth="1"/>
    <col min="10502" max="10502" width="8.140625" style="16" customWidth="1"/>
    <col min="10503" max="10503" width="9.42578125" style="16" customWidth="1"/>
    <col min="10504" max="10510" width="8.140625" style="16" customWidth="1"/>
    <col min="10511" max="10511" width="8.4257812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8.85546875" style="16" customWidth="1"/>
    <col min="10755" max="10755" width="9" style="16" customWidth="1"/>
    <col min="10756" max="10756" width="7.5703125" style="16" customWidth="1"/>
    <col min="10757" max="10757" width="8.5703125" style="16" bestFit="1" customWidth="1"/>
    <col min="10758" max="10758" width="8.140625" style="16" customWidth="1"/>
    <col min="10759" max="10759" width="9.42578125" style="16" customWidth="1"/>
    <col min="10760" max="10766" width="8.140625" style="16" customWidth="1"/>
    <col min="10767" max="10767" width="8.4257812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8.85546875" style="16" customWidth="1"/>
    <col min="11011" max="11011" width="9" style="16" customWidth="1"/>
    <col min="11012" max="11012" width="7.5703125" style="16" customWidth="1"/>
    <col min="11013" max="11013" width="8.5703125" style="16" bestFit="1" customWidth="1"/>
    <col min="11014" max="11014" width="8.140625" style="16" customWidth="1"/>
    <col min="11015" max="11015" width="9.42578125" style="16" customWidth="1"/>
    <col min="11016" max="11022" width="8.140625" style="16" customWidth="1"/>
    <col min="11023" max="11023" width="8.4257812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8.85546875" style="16" customWidth="1"/>
    <col min="11267" max="11267" width="9" style="16" customWidth="1"/>
    <col min="11268" max="11268" width="7.5703125" style="16" customWidth="1"/>
    <col min="11269" max="11269" width="8.5703125" style="16" bestFit="1" customWidth="1"/>
    <col min="11270" max="11270" width="8.140625" style="16" customWidth="1"/>
    <col min="11271" max="11271" width="9.42578125" style="16" customWidth="1"/>
    <col min="11272" max="11278" width="8.140625" style="16" customWidth="1"/>
    <col min="11279" max="11279" width="8.4257812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8.85546875" style="16" customWidth="1"/>
    <col min="11523" max="11523" width="9" style="16" customWidth="1"/>
    <col min="11524" max="11524" width="7.5703125" style="16" customWidth="1"/>
    <col min="11525" max="11525" width="8.5703125" style="16" bestFit="1" customWidth="1"/>
    <col min="11526" max="11526" width="8.140625" style="16" customWidth="1"/>
    <col min="11527" max="11527" width="9.42578125" style="16" customWidth="1"/>
    <col min="11528" max="11534" width="8.140625" style="16" customWidth="1"/>
    <col min="11535" max="11535" width="8.4257812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8.85546875" style="16" customWidth="1"/>
    <col min="11779" max="11779" width="9" style="16" customWidth="1"/>
    <col min="11780" max="11780" width="7.5703125" style="16" customWidth="1"/>
    <col min="11781" max="11781" width="8.5703125" style="16" bestFit="1" customWidth="1"/>
    <col min="11782" max="11782" width="8.140625" style="16" customWidth="1"/>
    <col min="11783" max="11783" width="9.42578125" style="16" customWidth="1"/>
    <col min="11784" max="11790" width="8.140625" style="16" customWidth="1"/>
    <col min="11791" max="11791" width="8.4257812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8.85546875" style="16" customWidth="1"/>
    <col min="12035" max="12035" width="9" style="16" customWidth="1"/>
    <col min="12036" max="12036" width="7.5703125" style="16" customWidth="1"/>
    <col min="12037" max="12037" width="8.5703125" style="16" bestFit="1" customWidth="1"/>
    <col min="12038" max="12038" width="8.140625" style="16" customWidth="1"/>
    <col min="12039" max="12039" width="9.42578125" style="16" customWidth="1"/>
    <col min="12040" max="12046" width="8.140625" style="16" customWidth="1"/>
    <col min="12047" max="12047" width="8.4257812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8.85546875" style="16" customWidth="1"/>
    <col min="12291" max="12291" width="9" style="16" customWidth="1"/>
    <col min="12292" max="12292" width="7.5703125" style="16" customWidth="1"/>
    <col min="12293" max="12293" width="8.5703125" style="16" bestFit="1" customWidth="1"/>
    <col min="12294" max="12294" width="8.140625" style="16" customWidth="1"/>
    <col min="12295" max="12295" width="9.42578125" style="16" customWidth="1"/>
    <col min="12296" max="12302" width="8.140625" style="16" customWidth="1"/>
    <col min="12303" max="12303" width="8.4257812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8.85546875" style="16" customWidth="1"/>
    <col min="12547" max="12547" width="9" style="16" customWidth="1"/>
    <col min="12548" max="12548" width="7.5703125" style="16" customWidth="1"/>
    <col min="12549" max="12549" width="8.5703125" style="16" bestFit="1" customWidth="1"/>
    <col min="12550" max="12550" width="8.140625" style="16" customWidth="1"/>
    <col min="12551" max="12551" width="9.42578125" style="16" customWidth="1"/>
    <col min="12552" max="12558" width="8.140625" style="16" customWidth="1"/>
    <col min="12559" max="12559" width="8.4257812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8.85546875" style="16" customWidth="1"/>
    <col min="12803" max="12803" width="9" style="16" customWidth="1"/>
    <col min="12804" max="12804" width="7.5703125" style="16" customWidth="1"/>
    <col min="12805" max="12805" width="8.5703125" style="16" bestFit="1" customWidth="1"/>
    <col min="12806" max="12806" width="8.140625" style="16" customWidth="1"/>
    <col min="12807" max="12807" width="9.42578125" style="16" customWidth="1"/>
    <col min="12808" max="12814" width="8.140625" style="16" customWidth="1"/>
    <col min="12815" max="12815" width="8.4257812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8.85546875" style="16" customWidth="1"/>
    <col min="13059" max="13059" width="9" style="16" customWidth="1"/>
    <col min="13060" max="13060" width="7.5703125" style="16" customWidth="1"/>
    <col min="13061" max="13061" width="8.5703125" style="16" bestFit="1" customWidth="1"/>
    <col min="13062" max="13062" width="8.140625" style="16" customWidth="1"/>
    <col min="13063" max="13063" width="9.42578125" style="16" customWidth="1"/>
    <col min="13064" max="13070" width="8.140625" style="16" customWidth="1"/>
    <col min="13071" max="13071" width="8.4257812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8.85546875" style="16" customWidth="1"/>
    <col min="13315" max="13315" width="9" style="16" customWidth="1"/>
    <col min="13316" max="13316" width="7.5703125" style="16" customWidth="1"/>
    <col min="13317" max="13317" width="8.5703125" style="16" bestFit="1" customWidth="1"/>
    <col min="13318" max="13318" width="8.140625" style="16" customWidth="1"/>
    <col min="13319" max="13319" width="9.42578125" style="16" customWidth="1"/>
    <col min="13320" max="13326" width="8.140625" style="16" customWidth="1"/>
    <col min="13327" max="13327" width="8.4257812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8.85546875" style="16" customWidth="1"/>
    <col min="13571" max="13571" width="9" style="16" customWidth="1"/>
    <col min="13572" max="13572" width="7.5703125" style="16" customWidth="1"/>
    <col min="13573" max="13573" width="8.5703125" style="16" bestFit="1" customWidth="1"/>
    <col min="13574" max="13574" width="8.140625" style="16" customWidth="1"/>
    <col min="13575" max="13575" width="9.42578125" style="16" customWidth="1"/>
    <col min="13576" max="13582" width="8.140625" style="16" customWidth="1"/>
    <col min="13583" max="13583" width="8.4257812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8.85546875" style="16" customWidth="1"/>
    <col min="13827" max="13827" width="9" style="16" customWidth="1"/>
    <col min="13828" max="13828" width="7.5703125" style="16" customWidth="1"/>
    <col min="13829" max="13829" width="8.5703125" style="16" bestFit="1" customWidth="1"/>
    <col min="13830" max="13830" width="8.140625" style="16" customWidth="1"/>
    <col min="13831" max="13831" width="9.42578125" style="16" customWidth="1"/>
    <col min="13832" max="13838" width="8.140625" style="16" customWidth="1"/>
    <col min="13839" max="13839" width="8.4257812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8.85546875" style="16" customWidth="1"/>
    <col min="14083" max="14083" width="9" style="16" customWidth="1"/>
    <col min="14084" max="14084" width="7.5703125" style="16" customWidth="1"/>
    <col min="14085" max="14085" width="8.5703125" style="16" bestFit="1" customWidth="1"/>
    <col min="14086" max="14086" width="8.140625" style="16" customWidth="1"/>
    <col min="14087" max="14087" width="9.42578125" style="16" customWidth="1"/>
    <col min="14088" max="14094" width="8.140625" style="16" customWidth="1"/>
    <col min="14095" max="14095" width="8.4257812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8.85546875" style="16" customWidth="1"/>
    <col min="14339" max="14339" width="9" style="16" customWidth="1"/>
    <col min="14340" max="14340" width="7.5703125" style="16" customWidth="1"/>
    <col min="14341" max="14341" width="8.5703125" style="16" bestFit="1" customWidth="1"/>
    <col min="14342" max="14342" width="8.140625" style="16" customWidth="1"/>
    <col min="14343" max="14343" width="9.42578125" style="16" customWidth="1"/>
    <col min="14344" max="14350" width="8.140625" style="16" customWidth="1"/>
    <col min="14351" max="14351" width="8.4257812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8.85546875" style="16" customWidth="1"/>
    <col min="14595" max="14595" width="9" style="16" customWidth="1"/>
    <col min="14596" max="14596" width="7.5703125" style="16" customWidth="1"/>
    <col min="14597" max="14597" width="8.5703125" style="16" bestFit="1" customWidth="1"/>
    <col min="14598" max="14598" width="8.140625" style="16" customWidth="1"/>
    <col min="14599" max="14599" width="9.42578125" style="16" customWidth="1"/>
    <col min="14600" max="14606" width="8.140625" style="16" customWidth="1"/>
    <col min="14607" max="14607" width="8.4257812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8.85546875" style="16" customWidth="1"/>
    <col min="14851" max="14851" width="9" style="16" customWidth="1"/>
    <col min="14852" max="14852" width="7.5703125" style="16" customWidth="1"/>
    <col min="14853" max="14853" width="8.5703125" style="16" bestFit="1" customWidth="1"/>
    <col min="14854" max="14854" width="8.140625" style="16" customWidth="1"/>
    <col min="14855" max="14855" width="9.42578125" style="16" customWidth="1"/>
    <col min="14856" max="14862" width="8.140625" style="16" customWidth="1"/>
    <col min="14863" max="14863" width="8.4257812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8.85546875" style="16" customWidth="1"/>
    <col min="15107" max="15107" width="9" style="16" customWidth="1"/>
    <col min="15108" max="15108" width="7.5703125" style="16" customWidth="1"/>
    <col min="15109" max="15109" width="8.5703125" style="16" bestFit="1" customWidth="1"/>
    <col min="15110" max="15110" width="8.140625" style="16" customWidth="1"/>
    <col min="15111" max="15111" width="9.42578125" style="16" customWidth="1"/>
    <col min="15112" max="15118" width="8.140625" style="16" customWidth="1"/>
    <col min="15119" max="15119" width="8.4257812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8.85546875" style="16" customWidth="1"/>
    <col min="15363" max="15363" width="9" style="16" customWidth="1"/>
    <col min="15364" max="15364" width="7.5703125" style="16" customWidth="1"/>
    <col min="15365" max="15365" width="8.5703125" style="16" bestFit="1" customWidth="1"/>
    <col min="15366" max="15366" width="8.140625" style="16" customWidth="1"/>
    <col min="15367" max="15367" width="9.42578125" style="16" customWidth="1"/>
    <col min="15368" max="15374" width="8.140625" style="16" customWidth="1"/>
    <col min="15375" max="15375" width="8.4257812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8.85546875" style="16" customWidth="1"/>
    <col min="15619" max="15619" width="9" style="16" customWidth="1"/>
    <col min="15620" max="15620" width="7.5703125" style="16" customWidth="1"/>
    <col min="15621" max="15621" width="8.5703125" style="16" bestFit="1" customWidth="1"/>
    <col min="15622" max="15622" width="8.140625" style="16" customWidth="1"/>
    <col min="15623" max="15623" width="9.42578125" style="16" customWidth="1"/>
    <col min="15624" max="15630" width="8.140625" style="16" customWidth="1"/>
    <col min="15631" max="15631" width="8.4257812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8.85546875" style="16" customWidth="1"/>
    <col min="15875" max="15875" width="9" style="16" customWidth="1"/>
    <col min="15876" max="15876" width="7.5703125" style="16" customWidth="1"/>
    <col min="15877" max="15877" width="8.5703125" style="16" bestFit="1" customWidth="1"/>
    <col min="15878" max="15878" width="8.140625" style="16" customWidth="1"/>
    <col min="15879" max="15879" width="9.42578125" style="16" customWidth="1"/>
    <col min="15880" max="15886" width="8.140625" style="16" customWidth="1"/>
    <col min="15887" max="15887" width="8.4257812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8.85546875" style="16" customWidth="1"/>
    <col min="16131" max="16131" width="9" style="16" customWidth="1"/>
    <col min="16132" max="16132" width="7.5703125" style="16" customWidth="1"/>
    <col min="16133" max="16133" width="8.5703125" style="16" bestFit="1" customWidth="1"/>
    <col min="16134" max="16134" width="8.140625" style="16" customWidth="1"/>
    <col min="16135" max="16135" width="9.42578125" style="16" customWidth="1"/>
    <col min="16136" max="16142" width="8.140625" style="16" customWidth="1"/>
    <col min="16143" max="16143" width="8.4257812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67" t="s">
        <v>449</v>
      </c>
      <c r="B1" s="868"/>
      <c r="C1" s="868"/>
      <c r="D1" s="869"/>
      <c r="E1" s="868"/>
      <c r="F1" s="868"/>
      <c r="G1" s="867" t="s">
        <v>102</v>
      </c>
      <c r="H1" s="869"/>
      <c r="I1" s="869" t="s">
        <v>577</v>
      </c>
      <c r="J1" s="868"/>
      <c r="K1" s="868"/>
      <c r="L1" s="870"/>
      <c r="M1" s="870"/>
      <c r="N1" s="870"/>
      <c r="O1" s="870"/>
    </row>
    <row r="2" spans="1:15" s="1" customFormat="1" x14ac:dyDescent="0.2">
      <c r="A2" s="867" t="s">
        <v>103</v>
      </c>
      <c r="B2" s="868"/>
      <c r="C2" s="868"/>
      <c r="D2" s="869"/>
      <c r="E2" s="868"/>
      <c r="F2" s="868"/>
      <c r="G2" s="867" t="s">
        <v>104</v>
      </c>
      <c r="H2" s="869"/>
      <c r="I2" s="869" t="s">
        <v>105</v>
      </c>
      <c r="J2" s="868"/>
      <c r="K2" s="868"/>
      <c r="L2" s="870"/>
      <c r="M2" s="870"/>
      <c r="N2" s="870"/>
      <c r="O2" s="870"/>
    </row>
    <row r="3" spans="1:15" s="1" customFormat="1" x14ac:dyDescent="0.2">
      <c r="A3" s="867" t="s">
        <v>106</v>
      </c>
      <c r="B3" s="868"/>
      <c r="C3" s="868"/>
      <c r="D3" s="883" t="s">
        <v>700</v>
      </c>
      <c r="E3" s="868"/>
      <c r="F3" s="868"/>
      <c r="G3" s="867" t="s">
        <v>107</v>
      </c>
      <c r="H3" s="869"/>
      <c r="I3" s="869" t="s">
        <v>108</v>
      </c>
      <c r="J3" s="868"/>
      <c r="K3" s="868"/>
      <c r="L3" s="870"/>
      <c r="M3" s="870"/>
      <c r="N3" s="870"/>
      <c r="O3" s="870"/>
    </row>
    <row r="4" spans="1:15" s="1" customFormat="1" x14ac:dyDescent="0.2">
      <c r="A4" s="867" t="s">
        <v>476</v>
      </c>
      <c r="B4" s="868"/>
      <c r="C4" s="868"/>
      <c r="D4" s="869" t="s">
        <v>701</v>
      </c>
      <c r="E4" s="868"/>
      <c r="F4" s="868"/>
      <c r="G4" s="867" t="s">
        <v>110</v>
      </c>
      <c r="H4" s="869"/>
      <c r="I4" s="869" t="s">
        <v>478</v>
      </c>
      <c r="J4" s="868"/>
      <c r="K4" s="868"/>
      <c r="L4" s="870"/>
      <c r="M4" s="870"/>
      <c r="N4" s="870"/>
      <c r="O4" s="870"/>
    </row>
    <row r="5" spans="1:15" s="1" customFormat="1" x14ac:dyDescent="0.2">
      <c r="A5" s="867" t="s">
        <v>112</v>
      </c>
      <c r="B5" s="868"/>
      <c r="C5" s="868"/>
      <c r="D5" s="869"/>
      <c r="E5" s="868"/>
      <c r="F5" s="868"/>
      <c r="G5" s="867"/>
      <c r="H5" s="868"/>
      <c r="I5" s="869" t="s">
        <v>113</v>
      </c>
      <c r="J5" s="868"/>
      <c r="K5" s="868"/>
      <c r="L5" s="870"/>
      <c r="M5" s="870"/>
      <c r="N5" s="870"/>
      <c r="O5" s="870"/>
    </row>
    <row r="6" spans="1:15" s="1" customFormat="1" x14ac:dyDescent="0.2">
      <c r="A6" s="871" t="s">
        <v>114</v>
      </c>
      <c r="B6" s="872"/>
      <c r="C6" s="872"/>
      <c r="D6" s="868" t="s">
        <v>578</v>
      </c>
      <c r="E6" s="868"/>
      <c r="F6" s="868"/>
      <c r="G6" s="871" t="s">
        <v>115</v>
      </c>
      <c r="H6" s="871"/>
      <c r="I6" s="2" t="s">
        <v>116</v>
      </c>
      <c r="J6" s="888"/>
      <c r="K6" s="888"/>
      <c r="L6" s="888"/>
      <c r="M6" s="888"/>
      <c r="N6" s="888"/>
      <c r="O6" s="889"/>
    </row>
    <row r="7" spans="1:15" s="1" customFormat="1" ht="13.5" thickBot="1" x14ac:dyDescent="0.25">
      <c r="A7" s="3"/>
      <c r="B7" s="4"/>
      <c r="C7" s="5"/>
      <c r="D7" s="6"/>
      <c r="E7" s="6"/>
      <c r="F7" s="6"/>
      <c r="G7" s="6"/>
      <c r="H7" s="6"/>
      <c r="I7" s="6"/>
      <c r="J7" s="7"/>
      <c r="K7" s="8"/>
      <c r="L7" s="875" t="s">
        <v>223</v>
      </c>
      <c r="M7" s="875"/>
      <c r="N7" s="875"/>
      <c r="O7" s="875"/>
    </row>
    <row r="8" spans="1:15" s="11" customFormat="1" x14ac:dyDescent="0.2">
      <c r="A8" s="876" t="str">
        <f>I1</f>
        <v>Mr. Harishchandra Jaiswar</v>
      </c>
      <c r="B8" s="877"/>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104400</v>
      </c>
      <c r="D9" s="14">
        <f>+C9</f>
        <v>104400</v>
      </c>
      <c r="E9" s="14">
        <f>+D9</f>
        <v>104400</v>
      </c>
      <c r="F9" s="14">
        <f>+E9</f>
        <v>104400</v>
      </c>
      <c r="G9" s="14">
        <v>107500</v>
      </c>
      <c r="H9" s="14">
        <v>107500</v>
      </c>
      <c r="I9" s="14">
        <v>107500</v>
      </c>
      <c r="J9" s="14">
        <v>107500</v>
      </c>
      <c r="K9" s="14">
        <v>107500</v>
      </c>
      <c r="L9" s="14">
        <v>107500</v>
      </c>
      <c r="M9" s="14">
        <v>107500</v>
      </c>
      <c r="N9" s="14">
        <v>107500</v>
      </c>
      <c r="O9" s="15">
        <f>SUM(C9:N9)</f>
        <v>1277600</v>
      </c>
    </row>
    <row r="10" spans="1:15" ht="15" x14ac:dyDescent="0.2">
      <c r="A10" s="12"/>
      <c r="B10" s="13" t="s">
        <v>119</v>
      </c>
      <c r="C10" s="17">
        <v>0</v>
      </c>
      <c r="D10" s="17">
        <f>+C10</f>
        <v>0</v>
      </c>
      <c r="E10" s="17">
        <f t="shared" ref="E10:N25" si="0">+D10</f>
        <v>0</v>
      </c>
      <c r="F10" s="17">
        <f t="shared" si="0"/>
        <v>0</v>
      </c>
      <c r="G10" s="17">
        <f t="shared" si="0"/>
        <v>0</v>
      </c>
      <c r="H10" s="17">
        <v>0</v>
      </c>
      <c r="I10" s="17">
        <f t="shared" si="0"/>
        <v>0</v>
      </c>
      <c r="J10" s="17">
        <f t="shared" si="0"/>
        <v>0</v>
      </c>
      <c r="K10" s="17">
        <f t="shared" si="0"/>
        <v>0</v>
      </c>
      <c r="L10" s="17">
        <f t="shared" si="0"/>
        <v>0</v>
      </c>
      <c r="M10" s="17">
        <f t="shared" si="0"/>
        <v>0</v>
      </c>
      <c r="N10" s="17">
        <f t="shared" si="0"/>
        <v>0</v>
      </c>
      <c r="O10" s="18">
        <f>SUM(C10:N10)</f>
        <v>0</v>
      </c>
    </row>
    <row r="11" spans="1:15" ht="15" x14ac:dyDescent="0.2">
      <c r="A11" s="12"/>
      <c r="B11" s="13" t="s">
        <v>120</v>
      </c>
      <c r="C11" s="17">
        <v>5220</v>
      </c>
      <c r="D11" s="17">
        <v>7308</v>
      </c>
      <c r="E11" s="17">
        <f t="shared" si="0"/>
        <v>7308</v>
      </c>
      <c r="F11" s="17">
        <f t="shared" si="0"/>
        <v>7308</v>
      </c>
      <c r="G11" s="17">
        <v>7525</v>
      </c>
      <c r="H11" s="17">
        <v>7525</v>
      </c>
      <c r="I11" s="17">
        <v>7525</v>
      </c>
      <c r="J11" s="17">
        <v>9675</v>
      </c>
      <c r="K11" s="17">
        <f>+J11</f>
        <v>9675</v>
      </c>
      <c r="L11" s="17">
        <f>+K11</f>
        <v>9675</v>
      </c>
      <c r="M11" s="17">
        <f>+L11</f>
        <v>9675</v>
      </c>
      <c r="N11" s="17">
        <f>+M11</f>
        <v>9675</v>
      </c>
      <c r="O11" s="18">
        <f>SUM(C11:N11)</f>
        <v>98094</v>
      </c>
    </row>
    <row r="12" spans="1:15" ht="15" x14ac:dyDescent="0.2">
      <c r="A12" s="12"/>
      <c r="B12" s="13" t="s">
        <v>121</v>
      </c>
      <c r="C12" s="17">
        <v>0</v>
      </c>
      <c r="D12" s="17">
        <f t="shared" ref="D12:G34" si="1">+C12</f>
        <v>0</v>
      </c>
      <c r="E12" s="17">
        <f t="shared" si="0"/>
        <v>0</v>
      </c>
      <c r="F12" s="17">
        <f t="shared" si="0"/>
        <v>0</v>
      </c>
      <c r="G12" s="17">
        <f t="shared" si="0"/>
        <v>0</v>
      </c>
      <c r="H12" s="17">
        <v>0</v>
      </c>
      <c r="I12" s="17">
        <f t="shared" ref="I12:N13" si="2">+H12</f>
        <v>0</v>
      </c>
      <c r="J12" s="17">
        <f t="shared" si="2"/>
        <v>0</v>
      </c>
      <c r="K12" s="17">
        <f t="shared" si="2"/>
        <v>0</v>
      </c>
      <c r="L12" s="17">
        <f t="shared" si="2"/>
        <v>0</v>
      </c>
      <c r="M12" s="17">
        <f t="shared" si="2"/>
        <v>0</v>
      </c>
      <c r="N12" s="17">
        <f t="shared" si="2"/>
        <v>0</v>
      </c>
      <c r="O12" s="18">
        <f>SUM(C12:N12)</f>
        <v>0</v>
      </c>
    </row>
    <row r="13" spans="1:15" x14ac:dyDescent="0.2">
      <c r="A13" s="12"/>
      <c r="B13" s="166" t="s">
        <v>280</v>
      </c>
      <c r="C13" s="17">
        <v>0</v>
      </c>
      <c r="D13" s="17">
        <f t="shared" si="1"/>
        <v>0</v>
      </c>
      <c r="E13" s="17">
        <f t="shared" si="0"/>
        <v>0</v>
      </c>
      <c r="F13" s="17">
        <f t="shared" si="0"/>
        <v>0</v>
      </c>
      <c r="G13" s="17">
        <f t="shared" si="0"/>
        <v>0</v>
      </c>
      <c r="H13" s="17">
        <v>0</v>
      </c>
      <c r="I13" s="17">
        <f t="shared" si="2"/>
        <v>0</v>
      </c>
      <c r="J13" s="17">
        <f t="shared" si="2"/>
        <v>0</v>
      </c>
      <c r="K13" s="17">
        <f t="shared" si="2"/>
        <v>0</v>
      </c>
      <c r="L13" s="17">
        <f t="shared" si="2"/>
        <v>0</v>
      </c>
      <c r="M13" s="17">
        <f t="shared" si="2"/>
        <v>0</v>
      </c>
      <c r="N13" s="17">
        <f t="shared" si="2"/>
        <v>0</v>
      </c>
      <c r="O13" s="18">
        <f t="shared" ref="O13:O35" si="3">SUM(C13:N13)</f>
        <v>0</v>
      </c>
    </row>
    <row r="14" spans="1:15" ht="15" x14ac:dyDescent="0.2">
      <c r="A14" s="12"/>
      <c r="B14" s="13" t="s">
        <v>123</v>
      </c>
      <c r="C14" s="17">
        <v>7560</v>
      </c>
      <c r="D14" s="17">
        <f t="shared" si="1"/>
        <v>7560</v>
      </c>
      <c r="E14" s="17">
        <f t="shared" si="0"/>
        <v>7560</v>
      </c>
      <c r="F14" s="17">
        <f t="shared" si="0"/>
        <v>7560</v>
      </c>
      <c r="G14" s="17">
        <f t="shared" si="0"/>
        <v>7560</v>
      </c>
      <c r="H14" s="17">
        <f>+G14</f>
        <v>7560</v>
      </c>
      <c r="I14" s="17">
        <f>+H14</f>
        <v>7560</v>
      </c>
      <c r="J14" s="17">
        <v>7848</v>
      </c>
      <c r="K14" s="17">
        <f>+J14</f>
        <v>7848</v>
      </c>
      <c r="L14" s="17">
        <f>+K14</f>
        <v>7848</v>
      </c>
      <c r="M14" s="17">
        <f>+L14</f>
        <v>7848</v>
      </c>
      <c r="N14" s="17">
        <f>+M14</f>
        <v>7848</v>
      </c>
      <c r="O14" s="18">
        <f t="shared" si="3"/>
        <v>92160</v>
      </c>
    </row>
    <row r="15" spans="1:15" ht="15" hidden="1" x14ac:dyDescent="0.2">
      <c r="A15" s="12"/>
      <c r="B15" s="13" t="s">
        <v>702</v>
      </c>
      <c r="C15" s="17">
        <v>0</v>
      </c>
      <c r="D15" s="17">
        <f t="shared" si="1"/>
        <v>0</v>
      </c>
      <c r="E15" s="17">
        <f t="shared" si="0"/>
        <v>0</v>
      </c>
      <c r="F15" s="17">
        <f t="shared" si="0"/>
        <v>0</v>
      </c>
      <c r="G15" s="17">
        <f t="shared" si="0"/>
        <v>0</v>
      </c>
      <c r="H15" s="17">
        <v>0</v>
      </c>
      <c r="I15" s="17">
        <f t="shared" ref="I15:N30" si="4">+H15</f>
        <v>0</v>
      </c>
      <c r="J15" s="17">
        <f t="shared" si="4"/>
        <v>0</v>
      </c>
      <c r="K15" s="17">
        <f t="shared" si="4"/>
        <v>0</v>
      </c>
      <c r="L15" s="17">
        <f t="shared" si="4"/>
        <v>0</v>
      </c>
      <c r="M15" s="17">
        <f t="shared" si="4"/>
        <v>0</v>
      </c>
      <c r="N15" s="17">
        <f t="shared" si="4"/>
        <v>0</v>
      </c>
      <c r="O15" s="18">
        <f t="shared" si="3"/>
        <v>0</v>
      </c>
    </row>
    <row r="16" spans="1:15" ht="15" hidden="1" x14ac:dyDescent="0.2">
      <c r="A16" s="12"/>
      <c r="B16" s="13" t="s">
        <v>137</v>
      </c>
      <c r="C16" s="17">
        <v>0</v>
      </c>
      <c r="D16" s="17">
        <f t="shared" si="1"/>
        <v>0</v>
      </c>
      <c r="E16" s="17">
        <f t="shared" si="0"/>
        <v>0</v>
      </c>
      <c r="F16" s="17">
        <f t="shared" si="0"/>
        <v>0</v>
      </c>
      <c r="G16" s="17">
        <f t="shared" si="0"/>
        <v>0</v>
      </c>
      <c r="H16" s="17">
        <v>0</v>
      </c>
      <c r="I16" s="17">
        <f t="shared" si="4"/>
        <v>0</v>
      </c>
      <c r="J16" s="17">
        <f t="shared" si="4"/>
        <v>0</v>
      </c>
      <c r="K16" s="17">
        <f t="shared" si="4"/>
        <v>0</v>
      </c>
      <c r="L16" s="17">
        <f t="shared" si="4"/>
        <v>0</v>
      </c>
      <c r="M16" s="17">
        <f t="shared" si="4"/>
        <v>0</v>
      </c>
      <c r="N16" s="17">
        <f t="shared" si="4"/>
        <v>0</v>
      </c>
      <c r="O16" s="18">
        <f t="shared" si="3"/>
        <v>0</v>
      </c>
    </row>
    <row r="17" spans="1:15" ht="15" hidden="1" x14ac:dyDescent="0.2">
      <c r="A17" s="12"/>
      <c r="B17" s="13" t="s">
        <v>126</v>
      </c>
      <c r="C17" s="17">
        <v>0</v>
      </c>
      <c r="D17" s="17">
        <f t="shared" si="1"/>
        <v>0</v>
      </c>
      <c r="E17" s="17">
        <f t="shared" si="0"/>
        <v>0</v>
      </c>
      <c r="F17" s="17">
        <f t="shared" si="0"/>
        <v>0</v>
      </c>
      <c r="G17" s="17">
        <f t="shared" si="0"/>
        <v>0</v>
      </c>
      <c r="H17" s="17">
        <v>0</v>
      </c>
      <c r="I17" s="17">
        <f t="shared" si="4"/>
        <v>0</v>
      </c>
      <c r="J17" s="17">
        <f t="shared" si="4"/>
        <v>0</v>
      </c>
      <c r="K17" s="17">
        <f t="shared" si="4"/>
        <v>0</v>
      </c>
      <c r="L17" s="17">
        <f t="shared" si="4"/>
        <v>0</v>
      </c>
      <c r="M17" s="17">
        <f t="shared" si="4"/>
        <v>0</v>
      </c>
      <c r="N17" s="17">
        <f t="shared" si="4"/>
        <v>0</v>
      </c>
      <c r="O17" s="18">
        <f t="shared" si="3"/>
        <v>0</v>
      </c>
    </row>
    <row r="18" spans="1:15" ht="15" x14ac:dyDescent="0.2">
      <c r="A18" s="12"/>
      <c r="B18" s="13" t="s">
        <v>458</v>
      </c>
      <c r="C18" s="17">
        <v>0</v>
      </c>
      <c r="D18" s="17">
        <f t="shared" si="1"/>
        <v>0</v>
      </c>
      <c r="E18" s="17">
        <f t="shared" si="0"/>
        <v>0</v>
      </c>
      <c r="F18" s="17">
        <f t="shared" si="0"/>
        <v>0</v>
      </c>
      <c r="G18" s="17">
        <f t="shared" si="0"/>
        <v>0</v>
      </c>
      <c r="H18" s="17">
        <v>0</v>
      </c>
      <c r="I18" s="17">
        <f t="shared" si="4"/>
        <v>0</v>
      </c>
      <c r="J18" s="17">
        <f t="shared" si="4"/>
        <v>0</v>
      </c>
      <c r="K18" s="17">
        <f t="shared" si="4"/>
        <v>0</v>
      </c>
      <c r="L18" s="17">
        <f t="shared" si="4"/>
        <v>0</v>
      </c>
      <c r="M18" s="17">
        <f t="shared" si="4"/>
        <v>0</v>
      </c>
      <c r="N18" s="17">
        <f t="shared" si="4"/>
        <v>0</v>
      </c>
      <c r="O18" s="18">
        <f t="shared" si="3"/>
        <v>0</v>
      </c>
    </row>
    <row r="19" spans="1:15" ht="15" x14ac:dyDescent="0.2">
      <c r="A19" s="12"/>
      <c r="B19" s="13" t="s">
        <v>128</v>
      </c>
      <c r="C19" s="17">
        <v>0</v>
      </c>
      <c r="D19" s="17">
        <f t="shared" si="1"/>
        <v>0</v>
      </c>
      <c r="E19" s="17">
        <f t="shared" si="0"/>
        <v>0</v>
      </c>
      <c r="F19" s="17">
        <f t="shared" si="0"/>
        <v>0</v>
      </c>
      <c r="G19" s="17">
        <f t="shared" si="0"/>
        <v>0</v>
      </c>
      <c r="H19" s="17">
        <v>0</v>
      </c>
      <c r="I19" s="17">
        <f t="shared" si="4"/>
        <v>0</v>
      </c>
      <c r="J19" s="17">
        <f t="shared" si="4"/>
        <v>0</v>
      </c>
      <c r="K19" s="17">
        <f t="shared" si="4"/>
        <v>0</v>
      </c>
      <c r="L19" s="17">
        <f t="shared" si="4"/>
        <v>0</v>
      </c>
      <c r="M19" s="17">
        <f t="shared" si="4"/>
        <v>0</v>
      </c>
      <c r="N19" s="17">
        <f t="shared" si="4"/>
        <v>0</v>
      </c>
      <c r="O19" s="18">
        <f t="shared" si="3"/>
        <v>0</v>
      </c>
    </row>
    <row r="20" spans="1:15" ht="15" customHeight="1" x14ac:dyDescent="0.2">
      <c r="A20" s="12"/>
      <c r="B20" s="13" t="s">
        <v>129</v>
      </c>
      <c r="C20" s="17">
        <v>0</v>
      </c>
      <c r="D20" s="17">
        <f t="shared" si="1"/>
        <v>0</v>
      </c>
      <c r="E20" s="17">
        <f t="shared" si="0"/>
        <v>0</v>
      </c>
      <c r="F20" s="17">
        <f t="shared" si="0"/>
        <v>0</v>
      </c>
      <c r="G20" s="17">
        <f t="shared" si="0"/>
        <v>0</v>
      </c>
      <c r="H20" s="17">
        <v>0</v>
      </c>
      <c r="I20" s="17">
        <f t="shared" si="4"/>
        <v>0</v>
      </c>
      <c r="J20" s="17">
        <f t="shared" si="4"/>
        <v>0</v>
      </c>
      <c r="K20" s="17">
        <f t="shared" si="4"/>
        <v>0</v>
      </c>
      <c r="L20" s="17">
        <f t="shared" si="4"/>
        <v>0</v>
      </c>
      <c r="M20" s="17">
        <f t="shared" si="4"/>
        <v>0</v>
      </c>
      <c r="N20" s="17">
        <f t="shared" si="4"/>
        <v>0</v>
      </c>
      <c r="O20" s="18">
        <f t="shared" si="3"/>
        <v>0</v>
      </c>
    </row>
    <row r="21" spans="1:15" ht="15" hidden="1" customHeight="1" x14ac:dyDescent="0.2">
      <c r="A21" s="878" t="s">
        <v>130</v>
      </c>
      <c r="B21" s="19" t="s">
        <v>131</v>
      </c>
      <c r="C21" s="17">
        <v>0</v>
      </c>
      <c r="D21" s="17">
        <f t="shared" si="1"/>
        <v>0</v>
      </c>
      <c r="E21" s="17">
        <f t="shared" si="0"/>
        <v>0</v>
      </c>
      <c r="F21" s="17">
        <f t="shared" si="0"/>
        <v>0</v>
      </c>
      <c r="G21" s="17">
        <f t="shared" si="0"/>
        <v>0</v>
      </c>
      <c r="H21" s="17">
        <v>0</v>
      </c>
      <c r="I21" s="17">
        <f t="shared" si="4"/>
        <v>0</v>
      </c>
      <c r="J21" s="17">
        <f t="shared" si="4"/>
        <v>0</v>
      </c>
      <c r="K21" s="17">
        <f t="shared" si="4"/>
        <v>0</v>
      </c>
      <c r="L21" s="17">
        <f t="shared" si="4"/>
        <v>0</v>
      </c>
      <c r="M21" s="17">
        <f t="shared" si="4"/>
        <v>0</v>
      </c>
      <c r="N21" s="17">
        <f t="shared" si="4"/>
        <v>0</v>
      </c>
      <c r="O21" s="18">
        <f t="shared" si="3"/>
        <v>0</v>
      </c>
    </row>
    <row r="22" spans="1:15" ht="15" customHeight="1" x14ac:dyDescent="0.2">
      <c r="A22" s="879"/>
      <c r="B22" s="19" t="s">
        <v>132</v>
      </c>
      <c r="C22" s="17">
        <v>0</v>
      </c>
      <c r="D22" s="17">
        <f t="shared" si="1"/>
        <v>0</v>
      </c>
      <c r="E22" s="17">
        <f t="shared" si="0"/>
        <v>0</v>
      </c>
      <c r="F22" s="17">
        <f t="shared" si="0"/>
        <v>0</v>
      </c>
      <c r="G22" s="17">
        <f t="shared" si="0"/>
        <v>0</v>
      </c>
      <c r="H22" s="17">
        <v>0</v>
      </c>
      <c r="I22" s="17">
        <f t="shared" si="4"/>
        <v>0</v>
      </c>
      <c r="J22" s="17">
        <f t="shared" si="4"/>
        <v>0</v>
      </c>
      <c r="K22" s="17">
        <f t="shared" si="4"/>
        <v>0</v>
      </c>
      <c r="L22" s="17">
        <f t="shared" si="4"/>
        <v>0</v>
      </c>
      <c r="M22" s="17">
        <f t="shared" si="4"/>
        <v>0</v>
      </c>
      <c r="N22" s="17">
        <f t="shared" si="4"/>
        <v>0</v>
      </c>
      <c r="O22" s="18">
        <f t="shared" si="3"/>
        <v>0</v>
      </c>
    </row>
    <row r="23" spans="1:15" ht="15" hidden="1" customHeight="1" x14ac:dyDescent="0.2">
      <c r="A23" s="879"/>
      <c r="B23" s="19" t="s">
        <v>133</v>
      </c>
      <c r="C23" s="17">
        <v>0</v>
      </c>
      <c r="D23" s="17">
        <f t="shared" si="1"/>
        <v>0</v>
      </c>
      <c r="E23" s="17">
        <f t="shared" si="0"/>
        <v>0</v>
      </c>
      <c r="F23" s="17">
        <f t="shared" si="0"/>
        <v>0</v>
      </c>
      <c r="G23" s="17">
        <f t="shared" si="0"/>
        <v>0</v>
      </c>
      <c r="H23" s="17">
        <v>0</v>
      </c>
      <c r="I23" s="17">
        <f t="shared" si="4"/>
        <v>0</v>
      </c>
      <c r="J23" s="17">
        <f t="shared" si="4"/>
        <v>0</v>
      </c>
      <c r="K23" s="17">
        <f t="shared" si="4"/>
        <v>0</v>
      </c>
      <c r="L23" s="17">
        <f t="shared" si="4"/>
        <v>0</v>
      </c>
      <c r="M23" s="17">
        <f t="shared" si="4"/>
        <v>0</v>
      </c>
      <c r="N23" s="17">
        <f t="shared" si="4"/>
        <v>0</v>
      </c>
      <c r="O23" s="18">
        <f t="shared" si="3"/>
        <v>0</v>
      </c>
    </row>
    <row r="24" spans="1:15" ht="15" hidden="1" customHeight="1" x14ac:dyDescent="0.2">
      <c r="A24" s="879"/>
      <c r="B24" s="19" t="s">
        <v>134</v>
      </c>
      <c r="C24" s="17">
        <v>0</v>
      </c>
      <c r="D24" s="17">
        <f t="shared" si="1"/>
        <v>0</v>
      </c>
      <c r="E24" s="17">
        <f t="shared" si="0"/>
        <v>0</v>
      </c>
      <c r="F24" s="17">
        <f t="shared" si="0"/>
        <v>0</v>
      </c>
      <c r="G24" s="17">
        <f t="shared" si="0"/>
        <v>0</v>
      </c>
      <c r="H24" s="17">
        <v>0</v>
      </c>
      <c r="I24" s="17">
        <f t="shared" si="4"/>
        <v>0</v>
      </c>
      <c r="J24" s="17">
        <f t="shared" si="4"/>
        <v>0</v>
      </c>
      <c r="K24" s="17">
        <f t="shared" si="4"/>
        <v>0</v>
      </c>
      <c r="L24" s="17">
        <f t="shared" si="4"/>
        <v>0</v>
      </c>
      <c r="M24" s="17">
        <f t="shared" si="4"/>
        <v>0</v>
      </c>
      <c r="N24" s="17">
        <f t="shared" si="4"/>
        <v>0</v>
      </c>
      <c r="O24" s="18">
        <f t="shared" si="3"/>
        <v>0</v>
      </c>
    </row>
    <row r="25" spans="1:15" ht="15" hidden="1" customHeight="1" x14ac:dyDescent="0.2">
      <c r="A25" s="879"/>
      <c r="B25" s="19" t="s">
        <v>135</v>
      </c>
      <c r="C25" s="17">
        <v>0</v>
      </c>
      <c r="D25" s="17">
        <f t="shared" si="1"/>
        <v>0</v>
      </c>
      <c r="E25" s="17">
        <f t="shared" si="0"/>
        <v>0</v>
      </c>
      <c r="F25" s="17">
        <f t="shared" si="0"/>
        <v>0</v>
      </c>
      <c r="G25" s="17">
        <f t="shared" si="0"/>
        <v>0</v>
      </c>
      <c r="H25" s="17">
        <v>0</v>
      </c>
      <c r="I25" s="17">
        <f t="shared" si="4"/>
        <v>0</v>
      </c>
      <c r="J25" s="17">
        <f t="shared" si="4"/>
        <v>0</v>
      </c>
      <c r="K25" s="17">
        <f t="shared" si="4"/>
        <v>0</v>
      </c>
      <c r="L25" s="17">
        <f t="shared" si="4"/>
        <v>0</v>
      </c>
      <c r="M25" s="17">
        <f t="shared" si="4"/>
        <v>0</v>
      </c>
      <c r="N25" s="17">
        <f t="shared" si="4"/>
        <v>0</v>
      </c>
      <c r="O25" s="18">
        <f t="shared" si="3"/>
        <v>0</v>
      </c>
    </row>
    <row r="26" spans="1:15" ht="15" hidden="1" customHeight="1" x14ac:dyDescent="0.2">
      <c r="A26" s="879"/>
      <c r="B26" s="19" t="s">
        <v>136</v>
      </c>
      <c r="C26" s="17">
        <v>0</v>
      </c>
      <c r="D26" s="17">
        <f t="shared" si="1"/>
        <v>0</v>
      </c>
      <c r="E26" s="17">
        <f t="shared" si="1"/>
        <v>0</v>
      </c>
      <c r="F26" s="17">
        <f t="shared" si="1"/>
        <v>0</v>
      </c>
      <c r="G26" s="17">
        <f t="shared" si="1"/>
        <v>0</v>
      </c>
      <c r="H26" s="17">
        <v>0</v>
      </c>
      <c r="I26" s="17">
        <f t="shared" si="4"/>
        <v>0</v>
      </c>
      <c r="J26" s="17">
        <f t="shared" si="4"/>
        <v>0</v>
      </c>
      <c r="K26" s="17">
        <f t="shared" si="4"/>
        <v>0</v>
      </c>
      <c r="L26" s="17">
        <f t="shared" si="4"/>
        <v>0</v>
      </c>
      <c r="M26" s="17">
        <f t="shared" si="4"/>
        <v>0</v>
      </c>
      <c r="N26" s="17">
        <f t="shared" si="4"/>
        <v>0</v>
      </c>
      <c r="O26" s="18">
        <f t="shared" si="3"/>
        <v>0</v>
      </c>
    </row>
    <row r="27" spans="1:15" ht="15" hidden="1" customHeight="1" x14ac:dyDescent="0.2">
      <c r="A27" s="879"/>
      <c r="B27" s="19" t="s">
        <v>137</v>
      </c>
      <c r="C27" s="17">
        <v>0</v>
      </c>
      <c r="D27" s="17">
        <f t="shared" si="1"/>
        <v>0</v>
      </c>
      <c r="E27" s="17">
        <f t="shared" si="1"/>
        <v>0</v>
      </c>
      <c r="F27" s="17">
        <f t="shared" si="1"/>
        <v>0</v>
      </c>
      <c r="G27" s="17">
        <f t="shared" si="1"/>
        <v>0</v>
      </c>
      <c r="H27" s="17">
        <v>0</v>
      </c>
      <c r="I27" s="17">
        <f t="shared" si="4"/>
        <v>0</v>
      </c>
      <c r="J27" s="17">
        <f t="shared" si="4"/>
        <v>0</v>
      </c>
      <c r="K27" s="17">
        <f t="shared" si="4"/>
        <v>0</v>
      </c>
      <c r="L27" s="17">
        <f t="shared" si="4"/>
        <v>0</v>
      </c>
      <c r="M27" s="17">
        <f t="shared" si="4"/>
        <v>0</v>
      </c>
      <c r="N27" s="17">
        <f t="shared" si="4"/>
        <v>0</v>
      </c>
      <c r="O27" s="18">
        <f t="shared" si="3"/>
        <v>0</v>
      </c>
    </row>
    <row r="28" spans="1:15" ht="15" hidden="1" customHeight="1" x14ac:dyDescent="0.2">
      <c r="A28" s="879"/>
      <c r="B28" s="19" t="s">
        <v>138</v>
      </c>
      <c r="C28" s="17">
        <v>0</v>
      </c>
      <c r="D28" s="17">
        <f t="shared" si="1"/>
        <v>0</v>
      </c>
      <c r="E28" s="17">
        <f t="shared" si="1"/>
        <v>0</v>
      </c>
      <c r="F28" s="17">
        <f t="shared" si="1"/>
        <v>0</v>
      </c>
      <c r="G28" s="17">
        <f t="shared" si="1"/>
        <v>0</v>
      </c>
      <c r="H28" s="17">
        <v>0</v>
      </c>
      <c r="I28" s="17">
        <f t="shared" si="4"/>
        <v>0</v>
      </c>
      <c r="J28" s="17">
        <f t="shared" si="4"/>
        <v>0</v>
      </c>
      <c r="K28" s="17">
        <f t="shared" si="4"/>
        <v>0</v>
      </c>
      <c r="L28" s="17">
        <f t="shared" si="4"/>
        <v>0</v>
      </c>
      <c r="M28" s="17">
        <f t="shared" si="4"/>
        <v>0</v>
      </c>
      <c r="N28" s="17">
        <f t="shared" si="4"/>
        <v>0</v>
      </c>
      <c r="O28" s="18">
        <f t="shared" si="3"/>
        <v>0</v>
      </c>
    </row>
    <row r="29" spans="1:15" ht="15" hidden="1" customHeight="1" x14ac:dyDescent="0.2">
      <c r="A29" s="879"/>
      <c r="B29" s="19" t="s">
        <v>139</v>
      </c>
      <c r="C29" s="17">
        <v>0</v>
      </c>
      <c r="D29" s="17">
        <f t="shared" si="1"/>
        <v>0</v>
      </c>
      <c r="E29" s="17">
        <f t="shared" si="1"/>
        <v>0</v>
      </c>
      <c r="F29" s="17">
        <f t="shared" si="1"/>
        <v>0</v>
      </c>
      <c r="G29" s="17">
        <f t="shared" si="1"/>
        <v>0</v>
      </c>
      <c r="H29" s="17">
        <v>0</v>
      </c>
      <c r="I29" s="17">
        <f t="shared" si="4"/>
        <v>0</v>
      </c>
      <c r="J29" s="17">
        <f t="shared" si="4"/>
        <v>0</v>
      </c>
      <c r="K29" s="17">
        <f t="shared" si="4"/>
        <v>0</v>
      </c>
      <c r="L29" s="17">
        <f t="shared" si="4"/>
        <v>0</v>
      </c>
      <c r="M29" s="17">
        <f t="shared" si="4"/>
        <v>0</v>
      </c>
      <c r="N29" s="17">
        <f t="shared" si="4"/>
        <v>0</v>
      </c>
      <c r="O29" s="18">
        <f t="shared" si="3"/>
        <v>0</v>
      </c>
    </row>
    <row r="30" spans="1:15" ht="15" hidden="1" customHeight="1" x14ac:dyDescent="0.2">
      <c r="A30" s="879"/>
      <c r="B30" s="19" t="s">
        <v>140</v>
      </c>
      <c r="C30" s="17">
        <v>0</v>
      </c>
      <c r="D30" s="17">
        <f t="shared" si="1"/>
        <v>0</v>
      </c>
      <c r="E30" s="17">
        <f t="shared" si="1"/>
        <v>0</v>
      </c>
      <c r="F30" s="17">
        <f t="shared" si="1"/>
        <v>0</v>
      </c>
      <c r="G30" s="17">
        <f t="shared" si="1"/>
        <v>0</v>
      </c>
      <c r="H30" s="17">
        <v>0</v>
      </c>
      <c r="I30" s="17">
        <f t="shared" si="4"/>
        <v>0</v>
      </c>
      <c r="J30" s="17">
        <f t="shared" si="4"/>
        <v>0</v>
      </c>
      <c r="K30" s="17">
        <f t="shared" si="4"/>
        <v>0</v>
      </c>
      <c r="L30" s="17">
        <f t="shared" si="4"/>
        <v>0</v>
      </c>
      <c r="M30" s="17">
        <f t="shared" si="4"/>
        <v>0</v>
      </c>
      <c r="N30" s="17">
        <f t="shared" si="4"/>
        <v>0</v>
      </c>
      <c r="O30" s="18">
        <f t="shared" si="3"/>
        <v>0</v>
      </c>
    </row>
    <row r="31" spans="1:15" ht="15" hidden="1" customHeight="1" x14ac:dyDescent="0.2">
      <c r="A31" s="879"/>
      <c r="B31" s="19" t="s">
        <v>225</v>
      </c>
      <c r="C31" s="17">
        <v>0</v>
      </c>
      <c r="D31" s="17">
        <f t="shared" si="1"/>
        <v>0</v>
      </c>
      <c r="E31" s="17">
        <f t="shared" si="1"/>
        <v>0</v>
      </c>
      <c r="F31" s="17">
        <f t="shared" si="1"/>
        <v>0</v>
      </c>
      <c r="G31" s="17">
        <f t="shared" si="1"/>
        <v>0</v>
      </c>
      <c r="H31" s="17">
        <v>0</v>
      </c>
      <c r="I31" s="17">
        <f t="shared" ref="I31:N36" si="5">+H31</f>
        <v>0</v>
      </c>
      <c r="J31" s="17">
        <f t="shared" si="5"/>
        <v>0</v>
      </c>
      <c r="K31" s="17">
        <f t="shared" si="5"/>
        <v>0</v>
      </c>
      <c r="L31" s="17">
        <f t="shared" si="5"/>
        <v>0</v>
      </c>
      <c r="M31" s="17">
        <f t="shared" si="5"/>
        <v>0</v>
      </c>
      <c r="N31" s="17">
        <f t="shared" si="5"/>
        <v>0</v>
      </c>
      <c r="O31" s="18">
        <f t="shared" si="3"/>
        <v>0</v>
      </c>
    </row>
    <row r="32" spans="1:15" ht="15" customHeight="1" x14ac:dyDescent="0.2">
      <c r="A32" s="879"/>
      <c r="B32" s="21" t="s">
        <v>142</v>
      </c>
      <c r="C32" s="17">
        <v>0</v>
      </c>
      <c r="D32" s="17">
        <f t="shared" si="1"/>
        <v>0</v>
      </c>
      <c r="E32" s="17">
        <v>37236</v>
      </c>
      <c r="F32" s="17">
        <v>0</v>
      </c>
      <c r="G32" s="17">
        <f t="shared" si="1"/>
        <v>0</v>
      </c>
      <c r="H32" s="17">
        <v>0</v>
      </c>
      <c r="I32" s="17">
        <f t="shared" si="5"/>
        <v>0</v>
      </c>
      <c r="J32" s="17">
        <f t="shared" si="5"/>
        <v>0</v>
      </c>
      <c r="K32" s="17">
        <f t="shared" si="5"/>
        <v>0</v>
      </c>
      <c r="L32" s="17">
        <f t="shared" si="5"/>
        <v>0</v>
      </c>
      <c r="M32" s="17">
        <f t="shared" si="5"/>
        <v>0</v>
      </c>
      <c r="N32" s="17">
        <f t="shared" si="5"/>
        <v>0</v>
      </c>
      <c r="O32" s="18">
        <f t="shared" si="3"/>
        <v>37236</v>
      </c>
    </row>
    <row r="33" spans="1:17" ht="15" customHeight="1" x14ac:dyDescent="0.2">
      <c r="A33" s="880"/>
      <c r="B33" s="21" t="s">
        <v>246</v>
      </c>
      <c r="C33" s="17">
        <v>0</v>
      </c>
      <c r="D33" s="17">
        <f t="shared" si="1"/>
        <v>0</v>
      </c>
      <c r="E33" s="17">
        <f>+D33</f>
        <v>0</v>
      </c>
      <c r="F33" s="17">
        <f>+E33</f>
        <v>0</v>
      </c>
      <c r="G33" s="17">
        <f t="shared" si="1"/>
        <v>0</v>
      </c>
      <c r="H33" s="17">
        <v>0</v>
      </c>
      <c r="I33" s="17">
        <f t="shared" si="5"/>
        <v>0</v>
      </c>
      <c r="J33" s="17">
        <f t="shared" si="5"/>
        <v>0</v>
      </c>
      <c r="K33" s="17">
        <f t="shared" si="5"/>
        <v>0</v>
      </c>
      <c r="L33" s="17">
        <f t="shared" si="5"/>
        <v>0</v>
      </c>
      <c r="M33" s="17">
        <f t="shared" si="5"/>
        <v>0</v>
      </c>
      <c r="N33" s="17">
        <f t="shared" si="5"/>
        <v>0</v>
      </c>
      <c r="O33" s="18">
        <f t="shared" si="3"/>
        <v>0</v>
      </c>
    </row>
    <row r="34" spans="1:17" ht="15" customHeight="1" x14ac:dyDescent="0.2">
      <c r="A34" s="865" t="s">
        <v>144</v>
      </c>
      <c r="B34" s="866"/>
      <c r="C34" s="17">
        <v>0</v>
      </c>
      <c r="D34" s="17">
        <f t="shared" si="1"/>
        <v>0</v>
      </c>
      <c r="E34" s="17">
        <f>+D34</f>
        <v>0</v>
      </c>
      <c r="F34" s="17">
        <f>+E34</f>
        <v>0</v>
      </c>
      <c r="G34" s="17">
        <f t="shared" si="1"/>
        <v>0</v>
      </c>
      <c r="H34" s="17">
        <v>0</v>
      </c>
      <c r="I34" s="17">
        <f t="shared" si="5"/>
        <v>0</v>
      </c>
      <c r="J34" s="17">
        <f t="shared" si="5"/>
        <v>0</v>
      </c>
      <c r="K34" s="17">
        <f t="shared" si="5"/>
        <v>0</v>
      </c>
      <c r="L34" s="17">
        <f t="shared" si="5"/>
        <v>0</v>
      </c>
      <c r="M34" s="17">
        <f t="shared" si="5"/>
        <v>0</v>
      </c>
      <c r="N34" s="17">
        <f t="shared" si="5"/>
        <v>0</v>
      </c>
      <c r="O34" s="18">
        <f t="shared" si="3"/>
        <v>0</v>
      </c>
    </row>
    <row r="35" spans="1:17" ht="15" customHeight="1" x14ac:dyDescent="0.2">
      <c r="A35" s="865" t="s">
        <v>145</v>
      </c>
      <c r="B35" s="866"/>
      <c r="C35" s="17">
        <v>0</v>
      </c>
      <c r="D35" s="17">
        <v>432</v>
      </c>
      <c r="E35" s="17">
        <v>0</v>
      </c>
      <c r="F35" s="17">
        <f>+E35</f>
        <v>0</v>
      </c>
      <c r="G35" s="17">
        <f t="shared" ref="G35:G36" si="6">+F35</f>
        <v>0</v>
      </c>
      <c r="H35" s="17">
        <v>0</v>
      </c>
      <c r="I35" s="17">
        <f t="shared" si="5"/>
        <v>0</v>
      </c>
      <c r="J35" s="17">
        <v>432</v>
      </c>
      <c r="K35" s="17">
        <v>0</v>
      </c>
      <c r="L35" s="17">
        <f t="shared" si="5"/>
        <v>0</v>
      </c>
      <c r="M35" s="17">
        <f t="shared" si="5"/>
        <v>0</v>
      </c>
      <c r="N35" s="17">
        <f t="shared" si="5"/>
        <v>0</v>
      </c>
      <c r="O35" s="18">
        <f t="shared" si="3"/>
        <v>864</v>
      </c>
    </row>
    <row r="36" spans="1:17" ht="15" customHeight="1" x14ac:dyDescent="0.2">
      <c r="A36" s="865" t="s">
        <v>146</v>
      </c>
      <c r="B36" s="866"/>
      <c r="C36" s="17">
        <v>0</v>
      </c>
      <c r="D36" s="17">
        <v>6264</v>
      </c>
      <c r="E36" s="17">
        <v>0</v>
      </c>
      <c r="F36" s="17">
        <f>+E36</f>
        <v>0</v>
      </c>
      <c r="G36" s="17">
        <f t="shared" si="6"/>
        <v>0</v>
      </c>
      <c r="H36" s="17">
        <v>0</v>
      </c>
      <c r="I36" s="17">
        <f t="shared" si="5"/>
        <v>0</v>
      </c>
      <c r="J36" s="17">
        <v>6450</v>
      </c>
      <c r="K36" s="17">
        <v>0</v>
      </c>
      <c r="L36" s="17">
        <f t="shared" si="5"/>
        <v>0</v>
      </c>
      <c r="M36" s="17">
        <f t="shared" si="5"/>
        <v>0</v>
      </c>
      <c r="N36" s="17">
        <f t="shared" si="5"/>
        <v>0</v>
      </c>
      <c r="O36" s="18">
        <f>SUM(C36:N36)</f>
        <v>12714</v>
      </c>
    </row>
    <row r="37" spans="1:17" ht="15" customHeight="1" x14ac:dyDescent="0.2">
      <c r="A37" s="22"/>
      <c r="B37" s="23" t="s">
        <v>147</v>
      </c>
      <c r="C37" s="24">
        <f t="shared" ref="C37:N37" si="7">SUM(C9:C36)</f>
        <v>117180</v>
      </c>
      <c r="D37" s="24">
        <f t="shared" si="7"/>
        <v>125964</v>
      </c>
      <c r="E37" s="24">
        <f t="shared" si="7"/>
        <v>156504</v>
      </c>
      <c r="F37" s="24">
        <f t="shared" si="7"/>
        <v>119268</v>
      </c>
      <c r="G37" s="24">
        <f t="shared" si="7"/>
        <v>122585</v>
      </c>
      <c r="H37" s="24">
        <f>SUM(H9:H36)</f>
        <v>122585</v>
      </c>
      <c r="I37" s="24">
        <f t="shared" si="7"/>
        <v>122585</v>
      </c>
      <c r="J37" s="24">
        <f t="shared" si="7"/>
        <v>131905</v>
      </c>
      <c r="K37" s="24">
        <f t="shared" si="7"/>
        <v>125023</v>
      </c>
      <c r="L37" s="24">
        <f t="shared" si="7"/>
        <v>125023</v>
      </c>
      <c r="M37" s="24">
        <f t="shared" si="7"/>
        <v>125023</v>
      </c>
      <c r="N37" s="24">
        <f t="shared" si="7"/>
        <v>125023</v>
      </c>
      <c r="O37" s="25">
        <f>SUM(C37:N37)</f>
        <v>1518668</v>
      </c>
    </row>
    <row r="38" spans="1:17" ht="15" customHeight="1" x14ac:dyDescent="0.2">
      <c r="A38" s="853" t="s">
        <v>148</v>
      </c>
      <c r="B38" s="27" t="s">
        <v>149</v>
      </c>
      <c r="C38" s="147">
        <v>13300</v>
      </c>
      <c r="D38" s="147">
        <v>13500</v>
      </c>
      <c r="E38" s="147">
        <v>13500</v>
      </c>
      <c r="F38" s="147">
        <v>13500</v>
      </c>
      <c r="G38" s="147">
        <v>13500</v>
      </c>
      <c r="H38" s="147">
        <v>13500</v>
      </c>
      <c r="I38" s="147">
        <v>13500</v>
      </c>
      <c r="J38" s="147">
        <v>13500</v>
      </c>
      <c r="K38" s="147">
        <v>26000</v>
      </c>
      <c r="L38" s="147">
        <v>16000</v>
      </c>
      <c r="M38" s="147">
        <v>16000</v>
      </c>
      <c r="N38" s="147">
        <v>17105</v>
      </c>
      <c r="O38" s="18">
        <f>SUM(C38:N38)</f>
        <v>182905</v>
      </c>
      <c r="P38" s="29"/>
      <c r="Q38" s="16">
        <f>+O13</f>
        <v>0</v>
      </c>
    </row>
    <row r="39" spans="1:17" ht="15" x14ac:dyDescent="0.2">
      <c r="A39" s="854"/>
      <c r="B39" s="27" t="s">
        <v>150</v>
      </c>
      <c r="C39" s="147">
        <v>0</v>
      </c>
      <c r="D39" s="147">
        <v>0</v>
      </c>
      <c r="E39" s="147">
        <v>0</v>
      </c>
      <c r="F39" s="147">
        <v>0</v>
      </c>
      <c r="G39" s="147">
        <v>0</v>
      </c>
      <c r="H39" s="147">
        <v>0</v>
      </c>
      <c r="I39" s="147">
        <v>0</v>
      </c>
      <c r="J39" s="147">
        <v>0</v>
      </c>
      <c r="K39" s="147">
        <v>0</v>
      </c>
      <c r="L39" s="147">
        <v>0</v>
      </c>
      <c r="M39" s="147">
        <v>0</v>
      </c>
      <c r="N39" s="147">
        <v>0</v>
      </c>
      <c r="O39" s="18">
        <f>SUM(C39:N39)</f>
        <v>0</v>
      </c>
      <c r="Q39" s="16">
        <f>+Q37+Q38</f>
        <v>0</v>
      </c>
    </row>
    <row r="40" spans="1:17" ht="15" x14ac:dyDescent="0.2">
      <c r="A40" s="854"/>
      <c r="B40" s="27" t="s">
        <v>151</v>
      </c>
      <c r="C40" s="147">
        <v>60</v>
      </c>
      <c r="D40" s="147">
        <v>60</v>
      </c>
      <c r="E40" s="147">
        <v>60</v>
      </c>
      <c r="F40" s="147">
        <v>60</v>
      </c>
      <c r="G40" s="147">
        <v>60</v>
      </c>
      <c r="H40" s="147">
        <v>60</v>
      </c>
      <c r="I40" s="147">
        <v>60</v>
      </c>
      <c r="J40" s="147">
        <v>60</v>
      </c>
      <c r="K40" s="147">
        <v>60</v>
      </c>
      <c r="L40" s="147">
        <v>60</v>
      </c>
      <c r="M40" s="147">
        <v>60</v>
      </c>
      <c r="N40" s="147">
        <v>60</v>
      </c>
      <c r="O40" s="18">
        <f t="shared" ref="O40:O50" si="8">SUM(C40:N40)</f>
        <v>720</v>
      </c>
    </row>
    <row r="41" spans="1:17" ht="15" x14ac:dyDescent="0.2">
      <c r="A41" s="854"/>
      <c r="B41" s="27" t="s">
        <v>152</v>
      </c>
      <c r="C41" s="147">
        <v>0</v>
      </c>
      <c r="D41" s="147">
        <v>0</v>
      </c>
      <c r="E41" s="147">
        <v>0</v>
      </c>
      <c r="F41" s="147">
        <v>0</v>
      </c>
      <c r="G41" s="147">
        <v>0</v>
      </c>
      <c r="H41" s="147">
        <v>0</v>
      </c>
      <c r="I41" s="147">
        <v>0</v>
      </c>
      <c r="J41" s="147">
        <v>0</v>
      </c>
      <c r="K41" s="147">
        <v>0</v>
      </c>
      <c r="L41" s="147">
        <v>0</v>
      </c>
      <c r="M41" s="147">
        <v>0</v>
      </c>
      <c r="N41" s="147">
        <v>0</v>
      </c>
      <c r="O41" s="18">
        <f t="shared" si="8"/>
        <v>0</v>
      </c>
    </row>
    <row r="42" spans="1:17" ht="15" x14ac:dyDescent="0.2">
      <c r="A42" s="854"/>
      <c r="B42" s="27" t="s">
        <v>153</v>
      </c>
      <c r="C42" s="147">
        <v>650</v>
      </c>
      <c r="D42" s="147">
        <v>650</v>
      </c>
      <c r="E42" s="147">
        <v>650</v>
      </c>
      <c r="F42" s="147">
        <v>650</v>
      </c>
      <c r="G42" s="147">
        <v>650</v>
      </c>
      <c r="H42" s="147">
        <v>650</v>
      </c>
      <c r="I42" s="147">
        <v>650</v>
      </c>
      <c r="J42" s="147">
        <v>650</v>
      </c>
      <c r="K42" s="147">
        <v>650</v>
      </c>
      <c r="L42" s="147">
        <v>650</v>
      </c>
      <c r="M42" s="147">
        <v>650</v>
      </c>
      <c r="N42" s="147">
        <v>650</v>
      </c>
      <c r="O42" s="18">
        <f t="shared" si="8"/>
        <v>7800</v>
      </c>
    </row>
    <row r="43" spans="1:17" ht="15" x14ac:dyDescent="0.2">
      <c r="A43" s="854"/>
      <c r="B43" s="27" t="s">
        <v>154</v>
      </c>
      <c r="C43" s="147">
        <v>40000</v>
      </c>
      <c r="D43" s="147">
        <v>40000</v>
      </c>
      <c r="E43" s="147">
        <v>40000</v>
      </c>
      <c r="F43" s="147">
        <v>40000</v>
      </c>
      <c r="G43" s="147">
        <v>40000</v>
      </c>
      <c r="H43" s="147">
        <v>40000</v>
      </c>
      <c r="I43" s="147">
        <v>40000</v>
      </c>
      <c r="J43" s="147">
        <v>40000</v>
      </c>
      <c r="K43" s="147">
        <v>40000</v>
      </c>
      <c r="L43" s="147">
        <v>40000</v>
      </c>
      <c r="M43" s="147">
        <v>40000</v>
      </c>
      <c r="N43" s="147">
        <v>40000</v>
      </c>
      <c r="O43" s="18">
        <f t="shared" si="8"/>
        <v>480000</v>
      </c>
    </row>
    <row r="44" spans="1:17" ht="15" x14ac:dyDescent="0.2">
      <c r="A44" s="854"/>
      <c r="B44" s="27" t="s">
        <v>155</v>
      </c>
      <c r="C44" s="147">
        <v>200</v>
      </c>
      <c r="D44" s="147">
        <v>200</v>
      </c>
      <c r="E44" s="147">
        <v>200</v>
      </c>
      <c r="F44" s="147">
        <v>200</v>
      </c>
      <c r="G44" s="147">
        <v>200</v>
      </c>
      <c r="H44" s="147">
        <v>200</v>
      </c>
      <c r="I44" s="147">
        <v>200</v>
      </c>
      <c r="J44" s="147">
        <v>200</v>
      </c>
      <c r="K44" s="147">
        <v>200</v>
      </c>
      <c r="L44" s="147">
        <v>200</v>
      </c>
      <c r="M44" s="147">
        <v>200</v>
      </c>
      <c r="N44" s="147">
        <v>300</v>
      </c>
      <c r="O44" s="18">
        <f t="shared" si="8"/>
        <v>2500</v>
      </c>
    </row>
    <row r="45" spans="1:17" ht="15" x14ac:dyDescent="0.2">
      <c r="A45" s="854"/>
      <c r="B45" s="27" t="s">
        <v>293</v>
      </c>
      <c r="C45" s="147">
        <v>713</v>
      </c>
      <c r="D45" s="147">
        <v>713</v>
      </c>
      <c r="E45" s="147">
        <v>713</v>
      </c>
      <c r="F45" s="147">
        <v>713</v>
      </c>
      <c r="G45" s="147">
        <v>713</v>
      </c>
      <c r="H45" s="147">
        <v>713</v>
      </c>
      <c r="I45" s="147">
        <v>713</v>
      </c>
      <c r="J45" s="147">
        <v>713</v>
      </c>
      <c r="K45" s="147">
        <v>713</v>
      </c>
      <c r="L45" s="147">
        <v>713</v>
      </c>
      <c r="M45" s="147">
        <v>713</v>
      </c>
      <c r="N45" s="147">
        <v>713</v>
      </c>
      <c r="O45" s="18">
        <f t="shared" si="8"/>
        <v>8556</v>
      </c>
    </row>
    <row r="46" spans="1:17" ht="15" x14ac:dyDescent="0.2">
      <c r="A46" s="854"/>
      <c r="B46" s="27" t="s">
        <v>157</v>
      </c>
      <c r="C46" s="147">
        <v>0</v>
      </c>
      <c r="D46" s="147">
        <v>0</v>
      </c>
      <c r="E46" s="147">
        <v>0</v>
      </c>
      <c r="F46" s="147">
        <v>0</v>
      </c>
      <c r="G46" s="147">
        <v>0</v>
      </c>
      <c r="H46" s="147">
        <v>0</v>
      </c>
      <c r="I46" s="147">
        <v>0</v>
      </c>
      <c r="J46" s="147">
        <v>0</v>
      </c>
      <c r="K46" s="147">
        <v>0</v>
      </c>
      <c r="L46" s="147">
        <v>0</v>
      </c>
      <c r="M46" s="147">
        <v>0</v>
      </c>
      <c r="N46" s="147">
        <v>0</v>
      </c>
      <c r="O46" s="18">
        <f t="shared" si="8"/>
        <v>0</v>
      </c>
    </row>
    <row r="47" spans="1:17" ht="28.5" customHeight="1" x14ac:dyDescent="0.2">
      <c r="A47" s="855"/>
      <c r="B47" s="30" t="s">
        <v>158</v>
      </c>
      <c r="C47" s="147">
        <v>0</v>
      </c>
      <c r="D47" s="147">
        <v>0</v>
      </c>
      <c r="E47" s="147">
        <v>0</v>
      </c>
      <c r="F47" s="147">
        <v>0</v>
      </c>
      <c r="G47" s="147">
        <v>0</v>
      </c>
      <c r="H47" s="147">
        <v>0</v>
      </c>
      <c r="I47" s="147">
        <v>0</v>
      </c>
      <c r="J47" s="147">
        <v>0</v>
      </c>
      <c r="K47" s="147">
        <v>0</v>
      </c>
      <c r="L47" s="147">
        <v>0</v>
      </c>
      <c r="M47" s="147">
        <v>0</v>
      </c>
      <c r="N47" s="147">
        <v>0</v>
      </c>
      <c r="O47" s="31">
        <f t="shared" si="8"/>
        <v>0</v>
      </c>
    </row>
    <row r="48" spans="1:17" ht="15" x14ac:dyDescent="0.2">
      <c r="A48" s="856"/>
      <c r="B48" s="127" t="s">
        <v>479</v>
      </c>
      <c r="C48" s="147">
        <v>0</v>
      </c>
      <c r="D48" s="147">
        <v>0</v>
      </c>
      <c r="E48" s="147">
        <v>0</v>
      </c>
      <c r="F48" s="147">
        <v>0</v>
      </c>
      <c r="G48" s="147">
        <v>0</v>
      </c>
      <c r="H48" s="147">
        <v>0</v>
      </c>
      <c r="I48" s="147">
        <v>0</v>
      </c>
      <c r="J48" s="147">
        <v>0</v>
      </c>
      <c r="K48" s="147">
        <v>0</v>
      </c>
      <c r="L48" s="147">
        <v>0</v>
      </c>
      <c r="M48" s="147">
        <v>0</v>
      </c>
      <c r="N48" s="147">
        <v>0</v>
      </c>
      <c r="O48" s="31">
        <f t="shared" si="8"/>
        <v>0</v>
      </c>
    </row>
    <row r="49" spans="1:18" ht="15" x14ac:dyDescent="0.2">
      <c r="A49" s="857" t="s">
        <v>160</v>
      </c>
      <c r="B49" s="858"/>
      <c r="C49" s="33">
        <f t="shared" ref="C49:N49" si="9">SUM(C38:C48)</f>
        <v>54923</v>
      </c>
      <c r="D49" s="33">
        <f t="shared" si="9"/>
        <v>55123</v>
      </c>
      <c r="E49" s="33">
        <f t="shared" si="9"/>
        <v>55123</v>
      </c>
      <c r="F49" s="33">
        <f t="shared" si="9"/>
        <v>55123</v>
      </c>
      <c r="G49" s="33">
        <f t="shared" si="9"/>
        <v>55123</v>
      </c>
      <c r="H49" s="33">
        <f t="shared" si="9"/>
        <v>55123</v>
      </c>
      <c r="I49" s="33">
        <f t="shared" si="9"/>
        <v>55123</v>
      </c>
      <c r="J49" s="33">
        <f t="shared" si="9"/>
        <v>55123</v>
      </c>
      <c r="K49" s="33">
        <f t="shared" si="9"/>
        <v>67623</v>
      </c>
      <c r="L49" s="33">
        <f t="shared" si="9"/>
        <v>57623</v>
      </c>
      <c r="M49" s="33">
        <f t="shared" si="9"/>
        <v>57623</v>
      </c>
      <c r="N49" s="33">
        <f t="shared" si="9"/>
        <v>58828</v>
      </c>
      <c r="O49" s="34">
        <f t="shared" si="8"/>
        <v>682481</v>
      </c>
    </row>
    <row r="50" spans="1:18" ht="15.75" thickBot="1" x14ac:dyDescent="0.25">
      <c r="A50" s="859" t="s">
        <v>161</v>
      </c>
      <c r="B50" s="860"/>
      <c r="C50" s="35">
        <f t="shared" ref="C50:N50" si="10">C37-C49</f>
        <v>62257</v>
      </c>
      <c r="D50" s="35">
        <f t="shared" si="10"/>
        <v>70841</v>
      </c>
      <c r="E50" s="35">
        <f t="shared" si="10"/>
        <v>101381</v>
      </c>
      <c r="F50" s="35">
        <f t="shared" si="10"/>
        <v>64145</v>
      </c>
      <c r="G50" s="35">
        <f t="shared" si="10"/>
        <v>67462</v>
      </c>
      <c r="H50" s="35">
        <f t="shared" si="10"/>
        <v>67462</v>
      </c>
      <c r="I50" s="35">
        <f t="shared" si="10"/>
        <v>67462</v>
      </c>
      <c r="J50" s="35">
        <f t="shared" si="10"/>
        <v>76782</v>
      </c>
      <c r="K50" s="35">
        <f t="shared" si="10"/>
        <v>57400</v>
      </c>
      <c r="L50" s="35">
        <f t="shared" si="10"/>
        <v>67400</v>
      </c>
      <c r="M50" s="35">
        <f t="shared" si="10"/>
        <v>67400</v>
      </c>
      <c r="N50" s="35">
        <f t="shared" si="10"/>
        <v>66195</v>
      </c>
      <c r="O50" s="36">
        <f t="shared" si="8"/>
        <v>836187</v>
      </c>
      <c r="Q50" s="16">
        <f>52570+46770+11864+65590+45382+59272*2+48272+74489+11745+56687+56587+53987*2+53831</f>
        <v>750305</v>
      </c>
    </row>
    <row r="51" spans="1:18" x14ac:dyDescent="0.2">
      <c r="J51" s="16">
        <f>+J37-SUM(J20:J36)</f>
        <v>125023</v>
      </c>
      <c r="M51" s="38"/>
      <c r="Q51" s="38"/>
    </row>
    <row r="52" spans="1:18" ht="13.5" thickBot="1" x14ac:dyDescent="0.25">
      <c r="J52" s="38">
        <f>+J51-J49</f>
        <v>69900</v>
      </c>
    </row>
    <row r="53" spans="1:18" ht="13.5" thickBot="1" x14ac:dyDescent="0.25">
      <c r="B53" s="789" t="s">
        <v>162</v>
      </c>
      <c r="C53" s="861"/>
      <c r="D53" s="861"/>
      <c r="E53" s="861"/>
      <c r="F53" s="862"/>
      <c r="G53" s="863">
        <f>O37</f>
        <v>1518668</v>
      </c>
      <c r="H53" s="864"/>
      <c r="J53" s="38">
        <f>+J52+18622</f>
        <v>88522</v>
      </c>
    </row>
    <row r="54" spans="1:18" ht="13.5" thickBot="1" x14ac:dyDescent="0.25"/>
    <row r="55" spans="1:18" x14ac:dyDescent="0.2">
      <c r="B55" s="830" t="s">
        <v>163</v>
      </c>
      <c r="C55" s="833" t="s">
        <v>164</v>
      </c>
      <c r="D55" s="836" t="s">
        <v>229</v>
      </c>
      <c r="E55" s="837"/>
      <c r="F55" s="838"/>
      <c r="G55" s="839">
        <v>40000</v>
      </c>
      <c r="H55" s="840"/>
    </row>
    <row r="56" spans="1:18" x14ac:dyDescent="0.2">
      <c r="B56" s="831"/>
      <c r="C56" s="834"/>
      <c r="D56" s="841" t="s">
        <v>166</v>
      </c>
      <c r="E56" s="842"/>
      <c r="F56" s="843"/>
      <c r="G56" s="844">
        <f>+O44</f>
        <v>2500</v>
      </c>
      <c r="H56" s="845"/>
      <c r="I56" s="39"/>
      <c r="J56" s="846"/>
      <c r="K56" s="846"/>
      <c r="L56" s="846"/>
      <c r="M56" s="847"/>
      <c r="N56" s="847"/>
      <c r="O56" s="847"/>
    </row>
    <row r="57" spans="1:18" ht="13.5" thickBot="1" x14ac:dyDescent="0.25">
      <c r="B57" s="832"/>
      <c r="C57" s="835"/>
      <c r="D57" s="848" t="s">
        <v>243</v>
      </c>
      <c r="E57" s="849"/>
      <c r="F57" s="850"/>
      <c r="G57" s="851">
        <f>IF(O18&gt;15000,15000,+O18)</f>
        <v>0</v>
      </c>
      <c r="H57" s="852"/>
      <c r="J57" s="47"/>
      <c r="K57" s="47"/>
      <c r="L57" s="47"/>
      <c r="M57" s="47"/>
      <c r="N57" s="47"/>
      <c r="O57" s="47"/>
    </row>
    <row r="58" spans="1:18" ht="13.5" thickBot="1" x14ac:dyDescent="0.25">
      <c r="B58" s="48"/>
      <c r="J58" s="47"/>
      <c r="K58" s="47"/>
      <c r="L58" s="47"/>
      <c r="M58" s="47"/>
      <c r="N58" s="47"/>
      <c r="O58" s="47"/>
    </row>
    <row r="59" spans="1:18" ht="13.5" thickBot="1" x14ac:dyDescent="0.25">
      <c r="B59" s="789" t="s">
        <v>168</v>
      </c>
      <c r="C59" s="790"/>
      <c r="D59" s="790"/>
      <c r="E59" s="790"/>
      <c r="F59" s="791"/>
      <c r="G59" s="825">
        <f>+G53-SUM(G55:H57)</f>
        <v>1476168</v>
      </c>
      <c r="H59" s="826"/>
      <c r="J59" s="827" t="s">
        <v>169</v>
      </c>
      <c r="K59" s="828"/>
      <c r="L59" s="828"/>
      <c r="M59" s="828"/>
      <c r="N59" s="828"/>
      <c r="O59" s="829"/>
    </row>
    <row r="60" spans="1:18" ht="13.5" thickBot="1" x14ac:dyDescent="0.25">
      <c r="B60" s="49"/>
      <c r="C60" s="50"/>
      <c r="D60" s="50"/>
      <c r="E60" s="50"/>
      <c r="F60" s="50"/>
      <c r="G60" s="45"/>
      <c r="H60" s="50"/>
      <c r="J60" s="129"/>
      <c r="K60" s="130"/>
      <c r="L60" s="130"/>
      <c r="M60" s="130"/>
      <c r="N60" s="130"/>
      <c r="O60" s="131"/>
    </row>
    <row r="61" spans="1:18" ht="13.5" thickBot="1" x14ac:dyDescent="0.25">
      <c r="B61" s="789" t="s">
        <v>170</v>
      </c>
      <c r="C61" s="790"/>
      <c r="D61" s="790"/>
      <c r="E61" s="790"/>
      <c r="F61" s="791"/>
      <c r="G61" s="805"/>
      <c r="H61" s="791"/>
      <c r="J61" s="129"/>
      <c r="K61" s="130"/>
      <c r="L61" s="130"/>
      <c r="M61" s="130"/>
      <c r="N61" s="130"/>
      <c r="O61" s="131"/>
    </row>
    <row r="62" spans="1:18" ht="12.75" customHeight="1" x14ac:dyDescent="0.2">
      <c r="B62" s="57" t="s">
        <v>171</v>
      </c>
      <c r="C62" s="806" t="s">
        <v>172</v>
      </c>
      <c r="D62" s="807"/>
      <c r="E62" s="807"/>
      <c r="F62" s="808"/>
      <c r="G62" s="809">
        <v>89955</v>
      </c>
      <c r="H62" s="809"/>
      <c r="I62" s="58"/>
      <c r="J62" s="810" t="s">
        <v>173</v>
      </c>
      <c r="K62" s="811"/>
      <c r="L62" s="811"/>
      <c r="M62" s="811"/>
      <c r="N62" s="811"/>
      <c r="O62" s="812"/>
      <c r="Q62" s="59"/>
      <c r="R62" s="59"/>
    </row>
    <row r="63" spans="1:18" ht="13.5" thickBot="1" x14ac:dyDescent="0.25">
      <c r="D63" s="37"/>
      <c r="I63" s="58"/>
      <c r="J63" s="60" t="s">
        <v>703</v>
      </c>
      <c r="K63" s="61"/>
      <c r="L63" s="61"/>
      <c r="M63" s="61"/>
      <c r="N63" s="61"/>
      <c r="O63" s="62">
        <v>0</v>
      </c>
      <c r="Q63" s="59"/>
      <c r="R63" s="59"/>
    </row>
    <row r="64" spans="1:18" ht="13.5" thickBot="1" x14ac:dyDescent="0.25">
      <c r="B64" s="789" t="s">
        <v>175</v>
      </c>
      <c r="C64" s="790"/>
      <c r="D64" s="790"/>
      <c r="E64" s="790"/>
      <c r="F64" s="791"/>
      <c r="G64" s="805">
        <f>+G59-G62</f>
        <v>1386213</v>
      </c>
      <c r="H64" s="791"/>
      <c r="I64" s="63"/>
      <c r="J64" s="64" t="s">
        <v>704</v>
      </c>
      <c r="K64" s="39"/>
      <c r="L64" s="39"/>
      <c r="M64" s="39"/>
      <c r="N64" s="39" t="s">
        <v>396</v>
      </c>
      <c r="O64" s="65">
        <v>0</v>
      </c>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4" customHeight="1" thickBot="1" x14ac:dyDescent="0.25">
      <c r="B67" s="66"/>
      <c r="C67" s="48"/>
      <c r="G67" s="70" t="s">
        <v>177</v>
      </c>
      <c r="H67" s="70" t="s">
        <v>178</v>
      </c>
      <c r="I67" s="63"/>
      <c r="J67" s="810" t="s">
        <v>179</v>
      </c>
      <c r="K67" s="811"/>
      <c r="L67" s="71"/>
      <c r="M67" s="71"/>
      <c r="N67" s="71"/>
      <c r="O67" s="72"/>
      <c r="Q67" s="59"/>
      <c r="R67" s="59"/>
    </row>
    <row r="68" spans="2:18" ht="12.75" customHeight="1" x14ac:dyDescent="0.2">
      <c r="B68" s="802" t="s">
        <v>180</v>
      </c>
      <c r="C68" s="821" t="s">
        <v>181</v>
      </c>
      <c r="D68" s="823" t="s">
        <v>182</v>
      </c>
      <c r="E68" s="824"/>
      <c r="F68" s="824"/>
      <c r="G68" s="73">
        <f>+O43</f>
        <v>480000</v>
      </c>
      <c r="H68" s="74">
        <f t="shared" ref="H68:H76" si="11">+G68</f>
        <v>480000</v>
      </c>
      <c r="I68" s="63"/>
      <c r="J68" s="181"/>
      <c r="K68" s="58"/>
      <c r="L68" s="58"/>
      <c r="M68" s="135"/>
      <c r="N68" s="135"/>
      <c r="O68" s="76"/>
      <c r="Q68" s="59"/>
      <c r="R68" s="59"/>
    </row>
    <row r="69" spans="2:18" ht="12.75" customHeight="1" x14ac:dyDescent="0.2">
      <c r="B69" s="803"/>
      <c r="C69" s="822"/>
      <c r="D69" s="782" t="s">
        <v>184</v>
      </c>
      <c r="E69" s="783"/>
      <c r="F69" s="783"/>
      <c r="G69" s="77">
        <v>0</v>
      </c>
      <c r="H69" s="78">
        <f t="shared" si="11"/>
        <v>0</v>
      </c>
      <c r="I69" s="63"/>
      <c r="J69" s="181"/>
      <c r="K69" s="135"/>
      <c r="L69" s="135"/>
      <c r="M69" s="135"/>
      <c r="N69" s="135"/>
      <c r="O69" s="136"/>
      <c r="Q69" s="59"/>
      <c r="R69" s="59"/>
    </row>
    <row r="70" spans="2:18" ht="12.75" customHeight="1" x14ac:dyDescent="0.2">
      <c r="B70" s="803"/>
      <c r="C70" s="822"/>
      <c r="D70" s="819" t="s">
        <v>185</v>
      </c>
      <c r="E70" s="820"/>
      <c r="F70" s="820"/>
      <c r="G70" s="80">
        <f>O40</f>
        <v>720</v>
      </c>
      <c r="H70" s="78">
        <f t="shared" si="11"/>
        <v>720</v>
      </c>
      <c r="I70" s="63"/>
      <c r="J70" s="181"/>
      <c r="K70" s="182"/>
      <c r="L70" s="135"/>
      <c r="M70" s="135"/>
      <c r="N70" s="135"/>
      <c r="O70" s="136"/>
    </row>
    <row r="71" spans="2:18" x14ac:dyDescent="0.2">
      <c r="B71" s="803"/>
      <c r="C71" s="822"/>
      <c r="D71" s="782" t="s">
        <v>186</v>
      </c>
      <c r="E71" s="783"/>
      <c r="F71" s="783"/>
      <c r="G71" s="81">
        <v>0</v>
      </c>
      <c r="H71" s="78">
        <f t="shared" si="11"/>
        <v>0</v>
      </c>
      <c r="I71" s="63"/>
      <c r="J71" s="181"/>
      <c r="K71" s="183"/>
      <c r="L71" s="183"/>
      <c r="M71" s="135"/>
      <c r="N71" s="135"/>
      <c r="O71" s="184"/>
    </row>
    <row r="72" spans="2:18" ht="12.75" customHeight="1" x14ac:dyDescent="0.2">
      <c r="B72" s="803"/>
      <c r="C72" s="822"/>
      <c r="D72" s="784" t="s">
        <v>188</v>
      </c>
      <c r="E72" s="783"/>
      <c r="F72" s="783"/>
      <c r="G72" s="80">
        <v>0</v>
      </c>
      <c r="H72" s="78">
        <f t="shared" si="11"/>
        <v>0</v>
      </c>
      <c r="I72" s="63"/>
      <c r="J72" s="181"/>
      <c r="K72" s="183"/>
      <c r="L72" s="183"/>
      <c r="M72" s="135"/>
      <c r="N72" s="135"/>
      <c r="O72" s="184"/>
    </row>
    <row r="73" spans="2:18" ht="14.25" customHeight="1" x14ac:dyDescent="0.2">
      <c r="B73" s="803"/>
      <c r="C73" s="822"/>
      <c r="D73" s="784" t="s">
        <v>705</v>
      </c>
      <c r="E73" s="783"/>
      <c r="F73" s="783"/>
      <c r="G73" s="84">
        <v>0</v>
      </c>
      <c r="H73" s="78">
        <f t="shared" si="11"/>
        <v>0</v>
      </c>
      <c r="I73" s="63"/>
      <c r="J73" s="181"/>
      <c r="K73" s="183"/>
      <c r="L73" s="183"/>
      <c r="M73" s="183"/>
      <c r="N73" s="183"/>
      <c r="O73" s="184"/>
    </row>
    <row r="74" spans="2:18" x14ac:dyDescent="0.2">
      <c r="B74" s="803"/>
      <c r="C74" s="822"/>
      <c r="D74" s="782" t="s">
        <v>191</v>
      </c>
      <c r="E74" s="783"/>
      <c r="F74" s="783"/>
      <c r="G74" s="81">
        <v>0</v>
      </c>
      <c r="H74" s="78">
        <f t="shared" si="11"/>
        <v>0</v>
      </c>
      <c r="I74" s="58"/>
      <c r="J74" s="150"/>
      <c r="K74" s="50"/>
      <c r="L74" s="50"/>
      <c r="M74" s="50"/>
      <c r="N74" s="50"/>
      <c r="O74" s="83"/>
    </row>
    <row r="75" spans="2:18" x14ac:dyDescent="0.2">
      <c r="B75" s="803"/>
      <c r="C75" s="88" t="s">
        <v>192</v>
      </c>
      <c r="D75" s="813" t="s">
        <v>193</v>
      </c>
      <c r="E75" s="814"/>
      <c r="F75" s="814"/>
      <c r="G75" s="80">
        <v>0</v>
      </c>
      <c r="H75" s="78">
        <f t="shared" si="11"/>
        <v>0</v>
      </c>
      <c r="I75" s="58"/>
      <c r="J75" s="82" t="s">
        <v>187</v>
      </c>
      <c r="K75" s="71"/>
      <c r="L75" s="71"/>
      <c r="M75" s="71"/>
      <c r="N75" s="71"/>
      <c r="O75" s="72"/>
    </row>
    <row r="76" spans="2:18" ht="13.5" customHeight="1" thickBot="1" x14ac:dyDescent="0.25">
      <c r="B76" s="803"/>
      <c r="C76" s="88" t="s">
        <v>194</v>
      </c>
      <c r="D76" s="815" t="s">
        <v>195</v>
      </c>
      <c r="E76" s="815"/>
      <c r="F76" s="815"/>
      <c r="G76" s="89">
        <v>0</v>
      </c>
      <c r="H76" s="90">
        <f t="shared" si="11"/>
        <v>0</v>
      </c>
      <c r="I76" s="63"/>
      <c r="J76" s="75" t="s">
        <v>189</v>
      </c>
      <c r="K76" s="50"/>
      <c r="L76" s="50"/>
      <c r="M76" s="50"/>
      <c r="N76" s="50"/>
      <c r="O76" s="83">
        <f>O42</f>
        <v>7800</v>
      </c>
    </row>
    <row r="77" spans="2:18" ht="13.5" thickBot="1" x14ac:dyDescent="0.25">
      <c r="B77" s="803"/>
      <c r="C77" s="93"/>
      <c r="D77" s="94"/>
      <c r="E77" s="816" t="s">
        <v>117</v>
      </c>
      <c r="F77" s="817"/>
      <c r="G77" s="95">
        <f>SUM(G68:G76)</f>
        <v>480720</v>
      </c>
      <c r="H77" s="96">
        <f>IF(SUM(G68:G74)&lt;150000,SUM(G68:G74),150000)+IF(+G75&lt;20000,+G75,20000)</f>
        <v>150000</v>
      </c>
      <c r="I77" s="63"/>
      <c r="J77" s="1070" t="s">
        <v>706</v>
      </c>
      <c r="K77" s="1071"/>
      <c r="L77" s="1071"/>
      <c r="M77" s="142"/>
      <c r="N77" s="142"/>
      <c r="O77" s="143">
        <v>0</v>
      </c>
    </row>
    <row r="78" spans="2:18" ht="12.75" customHeight="1" x14ac:dyDescent="0.2">
      <c r="B78" s="803"/>
      <c r="C78" s="100" t="s">
        <v>196</v>
      </c>
      <c r="D78" s="782" t="s">
        <v>187</v>
      </c>
      <c r="E78" s="783"/>
      <c r="F78" s="818"/>
      <c r="G78" s="73">
        <v>31897</v>
      </c>
      <c r="H78" s="101">
        <f>+IF(+G78&lt;25000,+G78,25000)</f>
        <v>25000</v>
      </c>
      <c r="I78" s="87"/>
    </row>
    <row r="79" spans="2:18" x14ac:dyDescent="0.2">
      <c r="B79" s="803"/>
      <c r="C79" s="100" t="s">
        <v>197</v>
      </c>
      <c r="D79" s="784" t="s">
        <v>198</v>
      </c>
      <c r="E79" s="785"/>
      <c r="F79" s="786"/>
      <c r="G79" s="102">
        <v>0</v>
      </c>
      <c r="H79" s="103">
        <f>+IF(+G79&lt;40000,+G79,40000)</f>
        <v>0</v>
      </c>
      <c r="I79" s="63"/>
    </row>
    <row r="80" spans="2:18" x14ac:dyDescent="0.2">
      <c r="B80" s="803"/>
      <c r="C80" s="289" t="s">
        <v>707</v>
      </c>
      <c r="D80" s="784" t="s">
        <v>174</v>
      </c>
      <c r="E80" s="785"/>
      <c r="F80" s="786"/>
      <c r="G80" s="81">
        <v>0</v>
      </c>
      <c r="H80" s="104">
        <f>+G80</f>
        <v>0</v>
      </c>
      <c r="I80" s="63"/>
      <c r="J80" s="172"/>
      <c r="K80" s="172"/>
      <c r="L80" s="172"/>
    </row>
    <row r="81" spans="2:12" x14ac:dyDescent="0.2">
      <c r="B81" s="803"/>
      <c r="C81" s="100" t="s">
        <v>201</v>
      </c>
      <c r="D81" s="784" t="s">
        <v>202</v>
      </c>
      <c r="E81" s="785"/>
      <c r="F81" s="786"/>
      <c r="G81" s="81">
        <v>0</v>
      </c>
      <c r="H81" s="81">
        <v>0</v>
      </c>
      <c r="I81" s="63"/>
    </row>
    <row r="82" spans="2:12" ht="13.5" thickBot="1" x14ac:dyDescent="0.25">
      <c r="B82" s="804"/>
      <c r="C82" s="100" t="s">
        <v>203</v>
      </c>
      <c r="D82" s="784" t="s">
        <v>204</v>
      </c>
      <c r="E82" s="785"/>
      <c r="F82" s="786"/>
      <c r="G82" s="81">
        <v>0</v>
      </c>
      <c r="H82" s="81">
        <v>0</v>
      </c>
      <c r="I82" s="63"/>
      <c r="J82" s="106"/>
    </row>
    <row r="83" spans="2:12" ht="13.5" thickBot="1" x14ac:dyDescent="0.25">
      <c r="B83" s="787" t="s">
        <v>205</v>
      </c>
      <c r="C83" s="788"/>
      <c r="D83" s="788"/>
      <c r="E83" s="788"/>
      <c r="F83" s="788"/>
      <c r="G83" s="107">
        <f>SUM(G78:G82)</f>
        <v>31897</v>
      </c>
      <c r="H83" s="108">
        <f>SUM(H77:H82)</f>
        <v>175000</v>
      </c>
    </row>
    <row r="84" spans="2:12" ht="13.5" thickBot="1" x14ac:dyDescent="0.25"/>
    <row r="85" spans="2:12" ht="13.5" thickBot="1" x14ac:dyDescent="0.25">
      <c r="B85" s="789" t="s">
        <v>206</v>
      </c>
      <c r="C85" s="790"/>
      <c r="D85" s="790"/>
      <c r="E85" s="790"/>
      <c r="F85" s="791"/>
      <c r="G85" s="792">
        <f>+G64-H83</f>
        <v>1211213</v>
      </c>
      <c r="H85" s="791"/>
      <c r="J85" s="109">
        <f>C37+D37+E37+F37</f>
        <v>518916</v>
      </c>
      <c r="K85" s="16" t="s">
        <v>235</v>
      </c>
    </row>
    <row r="86" spans="2:12" x14ac:dyDescent="0.2">
      <c r="B86" s="110"/>
      <c r="F86" s="105"/>
      <c r="J86" s="109">
        <f>G37+H37+I37</f>
        <v>367755</v>
      </c>
      <c r="K86" s="16" t="s">
        <v>236</v>
      </c>
    </row>
    <row r="87" spans="2:12" x14ac:dyDescent="0.2">
      <c r="C87" s="793" t="s">
        <v>207</v>
      </c>
      <c r="D87" s="794"/>
      <c r="E87" s="111" t="s">
        <v>208</v>
      </c>
      <c r="F87" s="111" t="s">
        <v>209</v>
      </c>
      <c r="G87" s="111" t="s">
        <v>210</v>
      </c>
      <c r="H87" s="111" t="s">
        <v>211</v>
      </c>
      <c r="J87" s="109">
        <f>J37+K37+L37</f>
        <v>381951</v>
      </c>
      <c r="K87" s="47" t="s">
        <v>237</v>
      </c>
    </row>
    <row r="88" spans="2:12" x14ac:dyDescent="0.2">
      <c r="C88" s="795" t="str">
        <f>IF(I6="M","0          - 250000","0          -  250000")</f>
        <v>0          - 250000</v>
      </c>
      <c r="D88" s="796"/>
      <c r="E88" s="112">
        <v>0</v>
      </c>
      <c r="F88" s="113">
        <f>IF(I6="M",(IF(G85&lt;250000,G85,250000)),(IF(G85&lt;250000,G85,250000)))</f>
        <v>250000</v>
      </c>
      <c r="G88" s="113">
        <f>G85-F88</f>
        <v>961213</v>
      </c>
      <c r="H88" s="113">
        <f>E88*F88</f>
        <v>0</v>
      </c>
      <c r="J88" s="16">
        <f>M37+N37</f>
        <v>250046</v>
      </c>
      <c r="K88" s="1" t="s">
        <v>238</v>
      </c>
      <c r="L88" s="16">
        <f>+J88/2</f>
        <v>125023</v>
      </c>
    </row>
    <row r="89" spans="2:12" x14ac:dyDescent="0.2">
      <c r="C89" s="795" t="str">
        <f>IF(I6="M","250001 - 500000","250001-500000")</f>
        <v>250001 - 500000</v>
      </c>
      <c r="D89" s="796"/>
      <c r="E89" s="112">
        <v>0.05</v>
      </c>
      <c r="F89" s="113">
        <f>IF(I6="M",(IF(G88&lt;250000,G88,250000)),(IF(G88&lt;250000,G88,250000)))</f>
        <v>250000</v>
      </c>
      <c r="G89" s="113">
        <f>G88-F89</f>
        <v>711213</v>
      </c>
      <c r="H89" s="114">
        <f>ROUND(E89*F89,0.1)</f>
        <v>12500</v>
      </c>
      <c r="J89" s="115">
        <f>SUM(J85:J88)</f>
        <v>1518668</v>
      </c>
    </row>
    <row r="90" spans="2:12" x14ac:dyDescent="0.2">
      <c r="C90" s="797" t="s">
        <v>212</v>
      </c>
      <c r="D90" s="798"/>
      <c r="E90" s="112">
        <v>0.2</v>
      </c>
      <c r="F90" s="113">
        <f>IF(G89&lt;500000,G89,500000)</f>
        <v>500000</v>
      </c>
      <c r="G90" s="113">
        <f>G89-F90</f>
        <v>211213</v>
      </c>
      <c r="H90" s="114">
        <f>ROUND(E90*F90,0.1)</f>
        <v>100000</v>
      </c>
      <c r="J90" s="16">
        <f>+G85</f>
        <v>1211213</v>
      </c>
    </row>
    <row r="91" spans="2:12" x14ac:dyDescent="0.2">
      <c r="C91" s="795" t="s">
        <v>213</v>
      </c>
      <c r="D91" s="796"/>
      <c r="E91" s="112">
        <v>0.3</v>
      </c>
      <c r="F91" s="113">
        <f>G90</f>
        <v>211213</v>
      </c>
      <c r="G91" s="113">
        <f>G90-F91</f>
        <v>0</v>
      </c>
      <c r="H91" s="114">
        <f>ROUND(E91*F91,0.1)</f>
        <v>63364</v>
      </c>
      <c r="J91" s="16">
        <f>+J89-J90</f>
        <v>307455</v>
      </c>
    </row>
    <row r="92" spans="2:12" ht="12.75" customHeight="1" thickBot="1" x14ac:dyDescent="0.25">
      <c r="B92" s="116"/>
      <c r="C92" s="117"/>
      <c r="D92" s="47"/>
      <c r="E92" s="47"/>
      <c r="F92" s="47"/>
      <c r="K92" s="118"/>
    </row>
    <row r="93" spans="2:12" ht="13.5" thickBot="1" x14ac:dyDescent="0.25">
      <c r="B93" s="799" t="s">
        <v>239</v>
      </c>
      <c r="C93" s="800"/>
      <c r="D93" s="800"/>
      <c r="E93" s="800"/>
      <c r="F93" s="801"/>
      <c r="G93" s="771">
        <f>H88+H89+H90+H91</f>
        <v>175864</v>
      </c>
      <c r="H93" s="772"/>
    </row>
    <row r="94" spans="2:12" ht="13.5" thickBot="1" x14ac:dyDescent="0.25">
      <c r="B94" s="119" t="s">
        <v>215</v>
      </c>
      <c r="C94" s="120"/>
      <c r="D94" s="120"/>
      <c r="E94" s="120"/>
      <c r="F94" s="120"/>
      <c r="G94" s="884">
        <f>IF((G64&lt;500000),5000,0)</f>
        <v>0</v>
      </c>
      <c r="H94" s="885">
        <f>IF(H92&lt;200000,0,IF(H92&lt;220000,((H92-200000)*10%),IF(H92&lt;=500000,2000,IF(H92&gt;=500000,0))))</f>
        <v>0</v>
      </c>
      <c r="J94" s="1"/>
      <c r="K94" s="121"/>
      <c r="L94" s="121"/>
    </row>
    <row r="95" spans="2:12" ht="13.5" thickBot="1" x14ac:dyDescent="0.25">
      <c r="B95" s="122" t="s">
        <v>216</v>
      </c>
      <c r="C95" s="123"/>
      <c r="D95" s="123"/>
      <c r="E95" s="123"/>
      <c r="F95" s="123"/>
      <c r="G95" s="771">
        <f>IF((G93-G94)&lt;0,0,(G93-G94))</f>
        <v>175864</v>
      </c>
      <c r="H95" s="772"/>
      <c r="I95" s="37"/>
    </row>
    <row r="96" spans="2:12" ht="13.5" thickBot="1" x14ac:dyDescent="0.25">
      <c r="B96" s="773" t="s">
        <v>240</v>
      </c>
      <c r="C96" s="774"/>
      <c r="D96" s="774"/>
      <c r="E96" s="774"/>
      <c r="F96" s="775"/>
      <c r="G96" s="776">
        <f>ROUND((IF(G95&gt;0,(G95*4%),0)),0)</f>
        <v>7035</v>
      </c>
      <c r="H96" s="777"/>
      <c r="I96" s="37"/>
    </row>
    <row r="97" spans="2:9" ht="13.5" thickBot="1" x14ac:dyDescent="0.25">
      <c r="B97" s="778" t="s">
        <v>218</v>
      </c>
      <c r="C97" s="779"/>
      <c r="D97" s="779"/>
      <c r="E97" s="779"/>
      <c r="F97" s="779"/>
      <c r="G97" s="780">
        <f>G95+G96</f>
        <v>182899</v>
      </c>
      <c r="H97" s="781"/>
      <c r="I97" s="121"/>
    </row>
    <row r="98" spans="2:9" ht="13.5" thickBot="1" x14ac:dyDescent="0.25">
      <c r="B98" s="765" t="s">
        <v>219</v>
      </c>
      <c r="C98" s="766"/>
      <c r="D98" s="766"/>
      <c r="E98" s="766"/>
      <c r="F98" s="766"/>
      <c r="G98" s="767">
        <f>O38</f>
        <v>182905</v>
      </c>
      <c r="H98" s="768"/>
      <c r="I98" s="121"/>
    </row>
    <row r="99" spans="2:9" ht="13.5" thickBot="1" x14ac:dyDescent="0.25">
      <c r="B99" s="765" t="str">
        <f>IF(G99&gt;0,"TAX PAYABLE","TAX REFUND")</f>
        <v>TAX REFUND</v>
      </c>
      <c r="C99" s="766"/>
      <c r="D99" s="766"/>
      <c r="E99" s="766"/>
      <c r="F99" s="766"/>
      <c r="G99" s="767">
        <f>+G97-G98</f>
        <v>-6</v>
      </c>
      <c r="H99" s="768"/>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4">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G61:H61"/>
    <mergeCell ref="C62:F62"/>
    <mergeCell ref="G62:H62"/>
    <mergeCell ref="J62:O62"/>
    <mergeCell ref="J67:K67"/>
    <mergeCell ref="B64:F64"/>
    <mergeCell ref="G64:H64"/>
    <mergeCell ref="B61:F61"/>
    <mergeCell ref="D70:F70"/>
    <mergeCell ref="D71:F71"/>
    <mergeCell ref="D72:F72"/>
    <mergeCell ref="D73:F73"/>
    <mergeCell ref="D74:F74"/>
    <mergeCell ref="G85:H85"/>
    <mergeCell ref="D75:F75"/>
    <mergeCell ref="D76:F76"/>
    <mergeCell ref="E77:F77"/>
    <mergeCell ref="J77:L77"/>
    <mergeCell ref="D78:F78"/>
    <mergeCell ref="D79:F79"/>
    <mergeCell ref="D80:F80"/>
    <mergeCell ref="D81:F81"/>
    <mergeCell ref="D82:F82"/>
    <mergeCell ref="B83:F83"/>
    <mergeCell ref="B85:F85"/>
    <mergeCell ref="B68:B82"/>
    <mergeCell ref="C68:C74"/>
    <mergeCell ref="D68:F68"/>
    <mergeCell ref="D69:F69"/>
    <mergeCell ref="C87:D87"/>
    <mergeCell ref="C88:D88"/>
    <mergeCell ref="C89:D89"/>
    <mergeCell ref="C90:D90"/>
    <mergeCell ref="C91:D91"/>
    <mergeCell ref="B98:F98"/>
    <mergeCell ref="G98:H98"/>
    <mergeCell ref="B99:F99"/>
    <mergeCell ref="G99:H99"/>
    <mergeCell ref="G93:H93"/>
    <mergeCell ref="G94:H94"/>
    <mergeCell ref="G95:H95"/>
    <mergeCell ref="B96:F96"/>
    <mergeCell ref="G96:H96"/>
    <mergeCell ref="B97:F97"/>
    <mergeCell ref="G97:H97"/>
    <mergeCell ref="B93:F93"/>
  </mergeCells>
  <conditionalFormatting sqref="B99:F99 B93:F97">
    <cfRule type="cellIs" dxfId="1915" priority="5" stopIfTrue="1" operator="equal">
      <formula>"TAX PAYABLE"</formula>
    </cfRule>
    <cfRule type="cellIs" dxfId="1914" priority="6" stopIfTrue="1" operator="equal">
      <formula>"TAX REFUND"</formula>
    </cfRule>
  </conditionalFormatting>
  <conditionalFormatting sqref="G99:H99">
    <cfRule type="cellIs" dxfId="1913" priority="3" stopIfTrue="1" operator="greaterThan">
      <formula>0</formula>
    </cfRule>
    <cfRule type="cellIs" dxfId="1912" priority="4" stopIfTrue="1" operator="lessThanOrEqual">
      <formula>0</formula>
    </cfRule>
  </conditionalFormatting>
  <conditionalFormatting sqref="G94:H94">
    <cfRule type="cellIs" dxfId="1911" priority="1" stopIfTrue="1" operator="lessThan">
      <formula>0</formula>
    </cfRule>
    <cfRule type="cellIs" dxfId="1910" priority="2" stopIfTrue="1" operator="greaterThan">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S107"/>
  <sheetViews>
    <sheetView zoomScaleNormal="100" workbookViewId="0">
      <selection activeCell="O37" sqref="O37"/>
    </sheetView>
  </sheetViews>
  <sheetFormatPr defaultRowHeight="12.75" x14ac:dyDescent="0.2"/>
  <cols>
    <col min="1" max="1" width="5" style="16" customWidth="1"/>
    <col min="2" max="2" width="18.7109375" style="37" customWidth="1"/>
    <col min="3" max="12" width="8.28515625" style="16" customWidth="1"/>
    <col min="13" max="13" width="8.7109375" style="16" bestFit="1" customWidth="1"/>
    <col min="14" max="14" width="9.140625" style="16"/>
    <col min="15" max="15" width="8.42578125" style="16" customWidth="1"/>
    <col min="16" max="16" width="9.140625" style="16"/>
    <col min="17" max="17" width="9.28515625" style="16" bestFit="1" customWidth="1"/>
    <col min="18" max="18" width="9.140625" style="16"/>
    <col min="19" max="19" width="9.28515625" style="16" bestFit="1" customWidth="1"/>
    <col min="20" max="20" width="9.140625" style="16"/>
    <col min="21" max="21" width="12.42578125" style="16" customWidth="1"/>
    <col min="22" max="22" width="9.140625" style="16"/>
    <col min="23" max="23" width="12" style="16" customWidth="1"/>
    <col min="24" max="256" width="9.140625" style="16"/>
    <col min="257" max="257" width="5" style="16" customWidth="1"/>
    <col min="258" max="258" width="18.7109375" style="16" customWidth="1"/>
    <col min="259" max="268" width="8.28515625" style="16" customWidth="1"/>
    <col min="269" max="269" width="8.7109375" style="16" bestFit="1" customWidth="1"/>
    <col min="270" max="270" width="9.140625" style="16"/>
    <col min="271" max="271" width="8.42578125" style="16" customWidth="1"/>
    <col min="272" max="272" width="9.140625" style="16"/>
    <col min="273" max="273" width="9.28515625" style="16" bestFit="1" customWidth="1"/>
    <col min="274" max="274" width="9.140625" style="16"/>
    <col min="275" max="275" width="9.28515625" style="16" bestFit="1" customWidth="1"/>
    <col min="276" max="276" width="9.140625" style="16"/>
    <col min="277" max="277" width="12.42578125" style="16" customWidth="1"/>
    <col min="278" max="278" width="9.140625" style="16"/>
    <col min="279" max="279" width="12" style="16" customWidth="1"/>
    <col min="280" max="512" width="9.140625" style="16"/>
    <col min="513" max="513" width="5" style="16" customWidth="1"/>
    <col min="514" max="514" width="18.7109375" style="16" customWidth="1"/>
    <col min="515" max="524" width="8.28515625" style="16" customWidth="1"/>
    <col min="525" max="525" width="8.7109375" style="16" bestFit="1" customWidth="1"/>
    <col min="526" max="526" width="9.140625" style="16"/>
    <col min="527" max="527" width="8.42578125" style="16" customWidth="1"/>
    <col min="528" max="528" width="9.140625" style="16"/>
    <col min="529" max="529" width="9.28515625" style="16" bestFit="1" customWidth="1"/>
    <col min="530" max="530" width="9.140625" style="16"/>
    <col min="531" max="531" width="9.28515625" style="16" bestFit="1" customWidth="1"/>
    <col min="532" max="532" width="9.140625" style="16"/>
    <col min="533" max="533" width="12.42578125" style="16" customWidth="1"/>
    <col min="534" max="534" width="9.140625" style="16"/>
    <col min="535" max="535" width="12" style="16" customWidth="1"/>
    <col min="536" max="768" width="9.140625" style="16"/>
    <col min="769" max="769" width="5" style="16" customWidth="1"/>
    <col min="770" max="770" width="18.7109375" style="16" customWidth="1"/>
    <col min="771" max="780" width="8.28515625" style="16" customWidth="1"/>
    <col min="781" max="781" width="8.7109375" style="16" bestFit="1" customWidth="1"/>
    <col min="782" max="782" width="9.140625" style="16"/>
    <col min="783" max="783" width="8.42578125" style="16" customWidth="1"/>
    <col min="784" max="784" width="9.140625" style="16"/>
    <col min="785" max="785" width="9.28515625" style="16" bestFit="1" customWidth="1"/>
    <col min="786" max="786" width="9.140625" style="16"/>
    <col min="787" max="787" width="9.28515625" style="16" bestFit="1" customWidth="1"/>
    <col min="788" max="788" width="9.140625" style="16"/>
    <col min="789" max="789" width="12.42578125" style="16" customWidth="1"/>
    <col min="790" max="790" width="9.140625" style="16"/>
    <col min="791" max="791" width="12" style="16" customWidth="1"/>
    <col min="792" max="1024" width="9.140625" style="16"/>
    <col min="1025" max="1025" width="5" style="16" customWidth="1"/>
    <col min="1026" max="1026" width="18.7109375" style="16" customWidth="1"/>
    <col min="1027" max="1036" width="8.28515625" style="16" customWidth="1"/>
    <col min="1037" max="1037" width="8.7109375" style="16" bestFit="1" customWidth="1"/>
    <col min="1038" max="1038" width="9.140625" style="16"/>
    <col min="1039" max="1039" width="8.42578125" style="16" customWidth="1"/>
    <col min="1040" max="1040" width="9.140625" style="16"/>
    <col min="1041" max="1041" width="9.28515625" style="16" bestFit="1" customWidth="1"/>
    <col min="1042" max="1042" width="9.140625" style="16"/>
    <col min="1043" max="1043" width="9.28515625" style="16" bestFit="1" customWidth="1"/>
    <col min="1044" max="1044" width="9.140625" style="16"/>
    <col min="1045" max="1045" width="12.42578125" style="16" customWidth="1"/>
    <col min="1046" max="1046" width="9.140625" style="16"/>
    <col min="1047" max="1047" width="12" style="16" customWidth="1"/>
    <col min="1048" max="1280" width="9.140625" style="16"/>
    <col min="1281" max="1281" width="5" style="16" customWidth="1"/>
    <col min="1282" max="1282" width="18.7109375" style="16" customWidth="1"/>
    <col min="1283" max="1292" width="8.28515625" style="16" customWidth="1"/>
    <col min="1293" max="1293" width="8.7109375" style="16" bestFit="1" customWidth="1"/>
    <col min="1294" max="1294" width="9.140625" style="16"/>
    <col min="1295" max="1295" width="8.42578125" style="16" customWidth="1"/>
    <col min="1296" max="1296" width="9.140625" style="16"/>
    <col min="1297" max="1297" width="9.28515625" style="16" bestFit="1" customWidth="1"/>
    <col min="1298" max="1298" width="9.140625" style="16"/>
    <col min="1299" max="1299" width="9.28515625" style="16" bestFit="1" customWidth="1"/>
    <col min="1300" max="1300" width="9.140625" style="16"/>
    <col min="1301" max="1301" width="12.42578125" style="16" customWidth="1"/>
    <col min="1302" max="1302" width="9.140625" style="16"/>
    <col min="1303" max="1303" width="12" style="16" customWidth="1"/>
    <col min="1304" max="1536" width="9.140625" style="16"/>
    <col min="1537" max="1537" width="5" style="16" customWidth="1"/>
    <col min="1538" max="1538" width="18.7109375" style="16" customWidth="1"/>
    <col min="1539" max="1548" width="8.28515625" style="16" customWidth="1"/>
    <col min="1549" max="1549" width="8.7109375" style="16" bestFit="1" customWidth="1"/>
    <col min="1550" max="1550" width="9.140625" style="16"/>
    <col min="1551" max="1551" width="8.42578125" style="16" customWidth="1"/>
    <col min="1552" max="1552" width="9.140625" style="16"/>
    <col min="1553" max="1553" width="9.28515625" style="16" bestFit="1" customWidth="1"/>
    <col min="1554" max="1554" width="9.140625" style="16"/>
    <col min="1555" max="1555" width="9.28515625" style="16" bestFit="1" customWidth="1"/>
    <col min="1556" max="1556" width="9.140625" style="16"/>
    <col min="1557" max="1557" width="12.42578125" style="16" customWidth="1"/>
    <col min="1558" max="1558" width="9.140625" style="16"/>
    <col min="1559" max="1559" width="12" style="16" customWidth="1"/>
    <col min="1560" max="1792" width="9.140625" style="16"/>
    <col min="1793" max="1793" width="5" style="16" customWidth="1"/>
    <col min="1794" max="1794" width="18.7109375" style="16" customWidth="1"/>
    <col min="1795" max="1804" width="8.28515625" style="16" customWidth="1"/>
    <col min="1805" max="1805" width="8.7109375" style="16" bestFit="1" customWidth="1"/>
    <col min="1806" max="1806" width="9.140625" style="16"/>
    <col min="1807" max="1807" width="8.42578125" style="16" customWidth="1"/>
    <col min="1808" max="1808" width="9.140625" style="16"/>
    <col min="1809" max="1809" width="9.28515625" style="16" bestFit="1" customWidth="1"/>
    <col min="1810" max="1810" width="9.140625" style="16"/>
    <col min="1811" max="1811" width="9.28515625" style="16" bestFit="1" customWidth="1"/>
    <col min="1812" max="1812" width="9.140625" style="16"/>
    <col min="1813" max="1813" width="12.42578125" style="16" customWidth="1"/>
    <col min="1814" max="1814" width="9.140625" style="16"/>
    <col min="1815" max="1815" width="12" style="16" customWidth="1"/>
    <col min="1816" max="2048" width="9.140625" style="16"/>
    <col min="2049" max="2049" width="5" style="16" customWidth="1"/>
    <col min="2050" max="2050" width="18.7109375" style="16" customWidth="1"/>
    <col min="2051" max="2060" width="8.28515625" style="16" customWidth="1"/>
    <col min="2061" max="2061" width="8.7109375" style="16" bestFit="1" customWidth="1"/>
    <col min="2062" max="2062" width="9.140625" style="16"/>
    <col min="2063" max="2063" width="8.42578125" style="16" customWidth="1"/>
    <col min="2064" max="2064" width="9.140625" style="16"/>
    <col min="2065" max="2065" width="9.28515625" style="16" bestFit="1" customWidth="1"/>
    <col min="2066" max="2066" width="9.140625" style="16"/>
    <col min="2067" max="2067" width="9.28515625" style="16" bestFit="1" customWidth="1"/>
    <col min="2068" max="2068" width="9.140625" style="16"/>
    <col min="2069" max="2069" width="12.42578125" style="16" customWidth="1"/>
    <col min="2070" max="2070" width="9.140625" style="16"/>
    <col min="2071" max="2071" width="12" style="16" customWidth="1"/>
    <col min="2072" max="2304" width="9.140625" style="16"/>
    <col min="2305" max="2305" width="5" style="16" customWidth="1"/>
    <col min="2306" max="2306" width="18.7109375" style="16" customWidth="1"/>
    <col min="2307" max="2316" width="8.28515625" style="16" customWidth="1"/>
    <col min="2317" max="2317" width="8.7109375" style="16" bestFit="1" customWidth="1"/>
    <col min="2318" max="2318" width="9.140625" style="16"/>
    <col min="2319" max="2319" width="8.42578125" style="16" customWidth="1"/>
    <col min="2320" max="2320" width="9.140625" style="16"/>
    <col min="2321" max="2321" width="9.28515625" style="16" bestFit="1" customWidth="1"/>
    <col min="2322" max="2322" width="9.140625" style="16"/>
    <col min="2323" max="2323" width="9.28515625" style="16" bestFit="1" customWidth="1"/>
    <col min="2324" max="2324" width="9.140625" style="16"/>
    <col min="2325" max="2325" width="12.42578125" style="16" customWidth="1"/>
    <col min="2326" max="2326" width="9.140625" style="16"/>
    <col min="2327" max="2327" width="12" style="16" customWidth="1"/>
    <col min="2328" max="2560" width="9.140625" style="16"/>
    <col min="2561" max="2561" width="5" style="16" customWidth="1"/>
    <col min="2562" max="2562" width="18.7109375" style="16" customWidth="1"/>
    <col min="2563" max="2572" width="8.28515625" style="16" customWidth="1"/>
    <col min="2573" max="2573" width="8.7109375" style="16" bestFit="1" customWidth="1"/>
    <col min="2574" max="2574" width="9.140625" style="16"/>
    <col min="2575" max="2575" width="8.42578125" style="16" customWidth="1"/>
    <col min="2576" max="2576" width="9.140625" style="16"/>
    <col min="2577" max="2577" width="9.28515625" style="16" bestFit="1" customWidth="1"/>
    <col min="2578" max="2578" width="9.140625" style="16"/>
    <col min="2579" max="2579" width="9.28515625" style="16" bestFit="1" customWidth="1"/>
    <col min="2580" max="2580" width="9.140625" style="16"/>
    <col min="2581" max="2581" width="12.42578125" style="16" customWidth="1"/>
    <col min="2582" max="2582" width="9.140625" style="16"/>
    <col min="2583" max="2583" width="12" style="16" customWidth="1"/>
    <col min="2584" max="2816" width="9.140625" style="16"/>
    <col min="2817" max="2817" width="5" style="16" customWidth="1"/>
    <col min="2818" max="2818" width="18.7109375" style="16" customWidth="1"/>
    <col min="2819" max="2828" width="8.28515625" style="16" customWidth="1"/>
    <col min="2829" max="2829" width="8.7109375" style="16" bestFit="1" customWidth="1"/>
    <col min="2830" max="2830" width="9.140625" style="16"/>
    <col min="2831" max="2831" width="8.42578125" style="16" customWidth="1"/>
    <col min="2832" max="2832" width="9.140625" style="16"/>
    <col min="2833" max="2833" width="9.28515625" style="16" bestFit="1" customWidth="1"/>
    <col min="2834" max="2834" width="9.140625" style="16"/>
    <col min="2835" max="2835" width="9.28515625" style="16" bestFit="1" customWidth="1"/>
    <col min="2836" max="2836" width="9.140625" style="16"/>
    <col min="2837" max="2837" width="12.42578125" style="16" customWidth="1"/>
    <col min="2838" max="2838" width="9.140625" style="16"/>
    <col min="2839" max="2839" width="12" style="16" customWidth="1"/>
    <col min="2840" max="3072" width="9.140625" style="16"/>
    <col min="3073" max="3073" width="5" style="16" customWidth="1"/>
    <col min="3074" max="3074" width="18.7109375" style="16" customWidth="1"/>
    <col min="3075" max="3084" width="8.28515625" style="16" customWidth="1"/>
    <col min="3085" max="3085" width="8.7109375" style="16" bestFit="1" customWidth="1"/>
    <col min="3086" max="3086" width="9.140625" style="16"/>
    <col min="3087" max="3087" width="8.42578125" style="16" customWidth="1"/>
    <col min="3088" max="3088" width="9.140625" style="16"/>
    <col min="3089" max="3089" width="9.28515625" style="16" bestFit="1" customWidth="1"/>
    <col min="3090" max="3090" width="9.140625" style="16"/>
    <col min="3091" max="3091" width="9.28515625" style="16" bestFit="1" customWidth="1"/>
    <col min="3092" max="3092" width="9.140625" style="16"/>
    <col min="3093" max="3093" width="12.42578125" style="16" customWidth="1"/>
    <col min="3094" max="3094" width="9.140625" style="16"/>
    <col min="3095" max="3095" width="12" style="16" customWidth="1"/>
    <col min="3096" max="3328" width="9.140625" style="16"/>
    <col min="3329" max="3329" width="5" style="16" customWidth="1"/>
    <col min="3330" max="3330" width="18.7109375" style="16" customWidth="1"/>
    <col min="3331" max="3340" width="8.28515625" style="16" customWidth="1"/>
    <col min="3341" max="3341" width="8.7109375" style="16" bestFit="1" customWidth="1"/>
    <col min="3342" max="3342" width="9.140625" style="16"/>
    <col min="3343" max="3343" width="8.42578125" style="16" customWidth="1"/>
    <col min="3344" max="3344" width="9.140625" style="16"/>
    <col min="3345" max="3345" width="9.28515625" style="16" bestFit="1" customWidth="1"/>
    <col min="3346" max="3346" width="9.140625" style="16"/>
    <col min="3347" max="3347" width="9.28515625" style="16" bestFit="1" customWidth="1"/>
    <col min="3348" max="3348" width="9.140625" style="16"/>
    <col min="3349" max="3349" width="12.42578125" style="16" customWidth="1"/>
    <col min="3350" max="3350" width="9.140625" style="16"/>
    <col min="3351" max="3351" width="12" style="16" customWidth="1"/>
    <col min="3352" max="3584" width="9.140625" style="16"/>
    <col min="3585" max="3585" width="5" style="16" customWidth="1"/>
    <col min="3586" max="3586" width="18.7109375" style="16" customWidth="1"/>
    <col min="3587" max="3596" width="8.28515625" style="16" customWidth="1"/>
    <col min="3597" max="3597" width="8.7109375" style="16" bestFit="1" customWidth="1"/>
    <col min="3598" max="3598" width="9.140625" style="16"/>
    <col min="3599" max="3599" width="8.42578125" style="16" customWidth="1"/>
    <col min="3600" max="3600" width="9.140625" style="16"/>
    <col min="3601" max="3601" width="9.28515625" style="16" bestFit="1" customWidth="1"/>
    <col min="3602" max="3602" width="9.140625" style="16"/>
    <col min="3603" max="3603" width="9.28515625" style="16" bestFit="1" customWidth="1"/>
    <col min="3604" max="3604" width="9.140625" style="16"/>
    <col min="3605" max="3605" width="12.42578125" style="16" customWidth="1"/>
    <col min="3606" max="3606" width="9.140625" style="16"/>
    <col min="3607" max="3607" width="12" style="16" customWidth="1"/>
    <col min="3608" max="3840" width="9.140625" style="16"/>
    <col min="3841" max="3841" width="5" style="16" customWidth="1"/>
    <col min="3842" max="3842" width="18.7109375" style="16" customWidth="1"/>
    <col min="3843" max="3852" width="8.28515625" style="16" customWidth="1"/>
    <col min="3853" max="3853" width="8.7109375" style="16" bestFit="1" customWidth="1"/>
    <col min="3854" max="3854" width="9.140625" style="16"/>
    <col min="3855" max="3855" width="8.42578125" style="16" customWidth="1"/>
    <col min="3856" max="3856" width="9.140625" style="16"/>
    <col min="3857" max="3857" width="9.28515625" style="16" bestFit="1" customWidth="1"/>
    <col min="3858" max="3858" width="9.140625" style="16"/>
    <col min="3859" max="3859" width="9.28515625" style="16" bestFit="1" customWidth="1"/>
    <col min="3860" max="3860" width="9.140625" style="16"/>
    <col min="3861" max="3861" width="12.42578125" style="16" customWidth="1"/>
    <col min="3862" max="3862" width="9.140625" style="16"/>
    <col min="3863" max="3863" width="12" style="16" customWidth="1"/>
    <col min="3864" max="4096" width="9.140625" style="16"/>
    <col min="4097" max="4097" width="5" style="16" customWidth="1"/>
    <col min="4098" max="4098" width="18.7109375" style="16" customWidth="1"/>
    <col min="4099" max="4108" width="8.28515625" style="16" customWidth="1"/>
    <col min="4109" max="4109" width="8.7109375" style="16" bestFit="1" customWidth="1"/>
    <col min="4110" max="4110" width="9.140625" style="16"/>
    <col min="4111" max="4111" width="8.42578125" style="16" customWidth="1"/>
    <col min="4112" max="4112" width="9.140625" style="16"/>
    <col min="4113" max="4113" width="9.28515625" style="16" bestFit="1" customWidth="1"/>
    <col min="4114" max="4114" width="9.140625" style="16"/>
    <col min="4115" max="4115" width="9.28515625" style="16" bestFit="1" customWidth="1"/>
    <col min="4116" max="4116" width="9.140625" style="16"/>
    <col min="4117" max="4117" width="12.42578125" style="16" customWidth="1"/>
    <col min="4118" max="4118" width="9.140625" style="16"/>
    <col min="4119" max="4119" width="12" style="16" customWidth="1"/>
    <col min="4120" max="4352" width="9.140625" style="16"/>
    <col min="4353" max="4353" width="5" style="16" customWidth="1"/>
    <col min="4354" max="4354" width="18.7109375" style="16" customWidth="1"/>
    <col min="4355" max="4364" width="8.28515625" style="16" customWidth="1"/>
    <col min="4365" max="4365" width="8.7109375" style="16" bestFit="1" customWidth="1"/>
    <col min="4366" max="4366" width="9.140625" style="16"/>
    <col min="4367" max="4367" width="8.42578125" style="16" customWidth="1"/>
    <col min="4368" max="4368" width="9.140625" style="16"/>
    <col min="4369" max="4369" width="9.28515625" style="16" bestFit="1" customWidth="1"/>
    <col min="4370" max="4370" width="9.140625" style="16"/>
    <col min="4371" max="4371" width="9.28515625" style="16" bestFit="1" customWidth="1"/>
    <col min="4372" max="4372" width="9.140625" style="16"/>
    <col min="4373" max="4373" width="12.42578125" style="16" customWidth="1"/>
    <col min="4374" max="4374" width="9.140625" style="16"/>
    <col min="4375" max="4375" width="12" style="16" customWidth="1"/>
    <col min="4376" max="4608" width="9.140625" style="16"/>
    <col min="4609" max="4609" width="5" style="16" customWidth="1"/>
    <col min="4610" max="4610" width="18.7109375" style="16" customWidth="1"/>
    <col min="4611" max="4620" width="8.28515625" style="16" customWidth="1"/>
    <col min="4621" max="4621" width="8.7109375" style="16" bestFit="1" customWidth="1"/>
    <col min="4622" max="4622" width="9.140625" style="16"/>
    <col min="4623" max="4623" width="8.42578125" style="16" customWidth="1"/>
    <col min="4624" max="4624" width="9.140625" style="16"/>
    <col min="4625" max="4625" width="9.28515625" style="16" bestFit="1" customWidth="1"/>
    <col min="4626" max="4626" width="9.140625" style="16"/>
    <col min="4627" max="4627" width="9.28515625" style="16" bestFit="1" customWidth="1"/>
    <col min="4628" max="4628" width="9.140625" style="16"/>
    <col min="4629" max="4629" width="12.42578125" style="16" customWidth="1"/>
    <col min="4630" max="4630" width="9.140625" style="16"/>
    <col min="4631" max="4631" width="12" style="16" customWidth="1"/>
    <col min="4632" max="4864" width="9.140625" style="16"/>
    <col min="4865" max="4865" width="5" style="16" customWidth="1"/>
    <col min="4866" max="4866" width="18.7109375" style="16" customWidth="1"/>
    <col min="4867" max="4876" width="8.28515625" style="16" customWidth="1"/>
    <col min="4877" max="4877" width="8.7109375" style="16" bestFit="1" customWidth="1"/>
    <col min="4878" max="4878" width="9.140625" style="16"/>
    <col min="4879" max="4879" width="8.42578125" style="16" customWidth="1"/>
    <col min="4880" max="4880" width="9.140625" style="16"/>
    <col min="4881" max="4881" width="9.28515625" style="16" bestFit="1" customWidth="1"/>
    <col min="4882" max="4882" width="9.140625" style="16"/>
    <col min="4883" max="4883" width="9.28515625" style="16" bestFit="1" customWidth="1"/>
    <col min="4884" max="4884" width="9.140625" style="16"/>
    <col min="4885" max="4885" width="12.42578125" style="16" customWidth="1"/>
    <col min="4886" max="4886" width="9.140625" style="16"/>
    <col min="4887" max="4887" width="12" style="16" customWidth="1"/>
    <col min="4888" max="5120" width="9.140625" style="16"/>
    <col min="5121" max="5121" width="5" style="16" customWidth="1"/>
    <col min="5122" max="5122" width="18.7109375" style="16" customWidth="1"/>
    <col min="5123" max="5132" width="8.28515625" style="16" customWidth="1"/>
    <col min="5133" max="5133" width="8.7109375" style="16" bestFit="1" customWidth="1"/>
    <col min="5134" max="5134" width="9.140625" style="16"/>
    <col min="5135" max="5135" width="8.42578125" style="16" customWidth="1"/>
    <col min="5136" max="5136" width="9.140625" style="16"/>
    <col min="5137" max="5137" width="9.28515625" style="16" bestFit="1" customWidth="1"/>
    <col min="5138" max="5138" width="9.140625" style="16"/>
    <col min="5139" max="5139" width="9.28515625" style="16" bestFit="1" customWidth="1"/>
    <col min="5140" max="5140" width="9.140625" style="16"/>
    <col min="5141" max="5141" width="12.42578125" style="16" customWidth="1"/>
    <col min="5142" max="5142" width="9.140625" style="16"/>
    <col min="5143" max="5143" width="12" style="16" customWidth="1"/>
    <col min="5144" max="5376" width="9.140625" style="16"/>
    <col min="5377" max="5377" width="5" style="16" customWidth="1"/>
    <col min="5378" max="5378" width="18.7109375" style="16" customWidth="1"/>
    <col min="5379" max="5388" width="8.28515625" style="16" customWidth="1"/>
    <col min="5389" max="5389" width="8.7109375" style="16" bestFit="1" customWidth="1"/>
    <col min="5390" max="5390" width="9.140625" style="16"/>
    <col min="5391" max="5391" width="8.42578125" style="16" customWidth="1"/>
    <col min="5392" max="5392" width="9.140625" style="16"/>
    <col min="5393" max="5393" width="9.28515625" style="16" bestFit="1" customWidth="1"/>
    <col min="5394" max="5394" width="9.140625" style="16"/>
    <col min="5395" max="5395" width="9.28515625" style="16" bestFit="1" customWidth="1"/>
    <col min="5396" max="5396" width="9.140625" style="16"/>
    <col min="5397" max="5397" width="12.42578125" style="16" customWidth="1"/>
    <col min="5398" max="5398" width="9.140625" style="16"/>
    <col min="5399" max="5399" width="12" style="16" customWidth="1"/>
    <col min="5400" max="5632" width="9.140625" style="16"/>
    <col min="5633" max="5633" width="5" style="16" customWidth="1"/>
    <col min="5634" max="5634" width="18.7109375" style="16" customWidth="1"/>
    <col min="5635" max="5644" width="8.28515625" style="16" customWidth="1"/>
    <col min="5645" max="5645" width="8.7109375" style="16" bestFit="1" customWidth="1"/>
    <col min="5646" max="5646" width="9.140625" style="16"/>
    <col min="5647" max="5647" width="8.42578125" style="16" customWidth="1"/>
    <col min="5648" max="5648" width="9.140625" style="16"/>
    <col min="5649" max="5649" width="9.28515625" style="16" bestFit="1" customWidth="1"/>
    <col min="5650" max="5650" width="9.140625" style="16"/>
    <col min="5651" max="5651" width="9.28515625" style="16" bestFit="1" customWidth="1"/>
    <col min="5652" max="5652" width="9.140625" style="16"/>
    <col min="5653" max="5653" width="12.42578125" style="16" customWidth="1"/>
    <col min="5654" max="5654" width="9.140625" style="16"/>
    <col min="5655" max="5655" width="12" style="16" customWidth="1"/>
    <col min="5656" max="5888" width="9.140625" style="16"/>
    <col min="5889" max="5889" width="5" style="16" customWidth="1"/>
    <col min="5890" max="5890" width="18.7109375" style="16" customWidth="1"/>
    <col min="5891" max="5900" width="8.28515625" style="16" customWidth="1"/>
    <col min="5901" max="5901" width="8.7109375" style="16" bestFit="1" customWidth="1"/>
    <col min="5902" max="5902" width="9.140625" style="16"/>
    <col min="5903" max="5903" width="8.42578125" style="16" customWidth="1"/>
    <col min="5904" max="5904" width="9.140625" style="16"/>
    <col min="5905" max="5905" width="9.28515625" style="16" bestFit="1" customWidth="1"/>
    <col min="5906" max="5906" width="9.140625" style="16"/>
    <col min="5907" max="5907" width="9.28515625" style="16" bestFit="1" customWidth="1"/>
    <col min="5908" max="5908" width="9.140625" style="16"/>
    <col min="5909" max="5909" width="12.42578125" style="16" customWidth="1"/>
    <col min="5910" max="5910" width="9.140625" style="16"/>
    <col min="5911" max="5911" width="12" style="16" customWidth="1"/>
    <col min="5912" max="6144" width="9.140625" style="16"/>
    <col min="6145" max="6145" width="5" style="16" customWidth="1"/>
    <col min="6146" max="6146" width="18.7109375" style="16" customWidth="1"/>
    <col min="6147" max="6156" width="8.28515625" style="16" customWidth="1"/>
    <col min="6157" max="6157" width="8.7109375" style="16" bestFit="1" customWidth="1"/>
    <col min="6158" max="6158" width="9.140625" style="16"/>
    <col min="6159" max="6159" width="8.42578125" style="16" customWidth="1"/>
    <col min="6160" max="6160" width="9.140625" style="16"/>
    <col min="6161" max="6161" width="9.28515625" style="16" bestFit="1" customWidth="1"/>
    <col min="6162" max="6162" width="9.140625" style="16"/>
    <col min="6163" max="6163" width="9.28515625" style="16" bestFit="1" customWidth="1"/>
    <col min="6164" max="6164" width="9.140625" style="16"/>
    <col min="6165" max="6165" width="12.42578125" style="16" customWidth="1"/>
    <col min="6166" max="6166" width="9.140625" style="16"/>
    <col min="6167" max="6167" width="12" style="16" customWidth="1"/>
    <col min="6168" max="6400" width="9.140625" style="16"/>
    <col min="6401" max="6401" width="5" style="16" customWidth="1"/>
    <col min="6402" max="6402" width="18.7109375" style="16" customWidth="1"/>
    <col min="6403" max="6412" width="8.28515625" style="16" customWidth="1"/>
    <col min="6413" max="6413" width="8.7109375" style="16" bestFit="1" customWidth="1"/>
    <col min="6414" max="6414" width="9.140625" style="16"/>
    <col min="6415" max="6415" width="8.42578125" style="16" customWidth="1"/>
    <col min="6416" max="6416" width="9.140625" style="16"/>
    <col min="6417" max="6417" width="9.28515625" style="16" bestFit="1" customWidth="1"/>
    <col min="6418" max="6418" width="9.140625" style="16"/>
    <col min="6419" max="6419" width="9.28515625" style="16" bestFit="1" customWidth="1"/>
    <col min="6420" max="6420" width="9.140625" style="16"/>
    <col min="6421" max="6421" width="12.42578125" style="16" customWidth="1"/>
    <col min="6422" max="6422" width="9.140625" style="16"/>
    <col min="6423" max="6423" width="12" style="16" customWidth="1"/>
    <col min="6424" max="6656" width="9.140625" style="16"/>
    <col min="6657" max="6657" width="5" style="16" customWidth="1"/>
    <col min="6658" max="6658" width="18.7109375" style="16" customWidth="1"/>
    <col min="6659" max="6668" width="8.28515625" style="16" customWidth="1"/>
    <col min="6669" max="6669" width="8.7109375" style="16" bestFit="1" customWidth="1"/>
    <col min="6670" max="6670" width="9.140625" style="16"/>
    <col min="6671" max="6671" width="8.42578125" style="16" customWidth="1"/>
    <col min="6672" max="6672" width="9.140625" style="16"/>
    <col min="6673" max="6673" width="9.28515625" style="16" bestFit="1" customWidth="1"/>
    <col min="6674" max="6674" width="9.140625" style="16"/>
    <col min="6675" max="6675" width="9.28515625" style="16" bestFit="1" customWidth="1"/>
    <col min="6676" max="6676" width="9.140625" style="16"/>
    <col min="6677" max="6677" width="12.42578125" style="16" customWidth="1"/>
    <col min="6678" max="6678" width="9.140625" style="16"/>
    <col min="6679" max="6679" width="12" style="16" customWidth="1"/>
    <col min="6680" max="6912" width="9.140625" style="16"/>
    <col min="6913" max="6913" width="5" style="16" customWidth="1"/>
    <col min="6914" max="6914" width="18.7109375" style="16" customWidth="1"/>
    <col min="6915" max="6924" width="8.28515625" style="16" customWidth="1"/>
    <col min="6925" max="6925" width="8.7109375" style="16" bestFit="1" customWidth="1"/>
    <col min="6926" max="6926" width="9.140625" style="16"/>
    <col min="6927" max="6927" width="8.42578125" style="16" customWidth="1"/>
    <col min="6928" max="6928" width="9.140625" style="16"/>
    <col min="6929" max="6929" width="9.28515625" style="16" bestFit="1" customWidth="1"/>
    <col min="6930" max="6930" width="9.140625" style="16"/>
    <col min="6931" max="6931" width="9.28515625" style="16" bestFit="1" customWidth="1"/>
    <col min="6932" max="6932" width="9.140625" style="16"/>
    <col min="6933" max="6933" width="12.42578125" style="16" customWidth="1"/>
    <col min="6934" max="6934" width="9.140625" style="16"/>
    <col min="6935" max="6935" width="12" style="16" customWidth="1"/>
    <col min="6936" max="7168" width="9.140625" style="16"/>
    <col min="7169" max="7169" width="5" style="16" customWidth="1"/>
    <col min="7170" max="7170" width="18.7109375" style="16" customWidth="1"/>
    <col min="7171" max="7180" width="8.28515625" style="16" customWidth="1"/>
    <col min="7181" max="7181" width="8.7109375" style="16" bestFit="1" customWidth="1"/>
    <col min="7182" max="7182" width="9.140625" style="16"/>
    <col min="7183" max="7183" width="8.42578125" style="16" customWidth="1"/>
    <col min="7184" max="7184" width="9.140625" style="16"/>
    <col min="7185" max="7185" width="9.28515625" style="16" bestFit="1" customWidth="1"/>
    <col min="7186" max="7186" width="9.140625" style="16"/>
    <col min="7187" max="7187" width="9.28515625" style="16" bestFit="1" customWidth="1"/>
    <col min="7188" max="7188" width="9.140625" style="16"/>
    <col min="7189" max="7189" width="12.42578125" style="16" customWidth="1"/>
    <col min="7190" max="7190" width="9.140625" style="16"/>
    <col min="7191" max="7191" width="12" style="16" customWidth="1"/>
    <col min="7192" max="7424" width="9.140625" style="16"/>
    <col min="7425" max="7425" width="5" style="16" customWidth="1"/>
    <col min="7426" max="7426" width="18.7109375" style="16" customWidth="1"/>
    <col min="7427" max="7436" width="8.28515625" style="16" customWidth="1"/>
    <col min="7437" max="7437" width="8.7109375" style="16" bestFit="1" customWidth="1"/>
    <col min="7438" max="7438" width="9.140625" style="16"/>
    <col min="7439" max="7439" width="8.42578125" style="16" customWidth="1"/>
    <col min="7440" max="7440" width="9.140625" style="16"/>
    <col min="7441" max="7441" width="9.28515625" style="16" bestFit="1" customWidth="1"/>
    <col min="7442" max="7442" width="9.140625" style="16"/>
    <col min="7443" max="7443" width="9.28515625" style="16" bestFit="1" customWidth="1"/>
    <col min="7444" max="7444" width="9.140625" style="16"/>
    <col min="7445" max="7445" width="12.42578125" style="16" customWidth="1"/>
    <col min="7446" max="7446" width="9.140625" style="16"/>
    <col min="7447" max="7447" width="12" style="16" customWidth="1"/>
    <col min="7448" max="7680" width="9.140625" style="16"/>
    <col min="7681" max="7681" width="5" style="16" customWidth="1"/>
    <col min="7682" max="7682" width="18.7109375" style="16" customWidth="1"/>
    <col min="7683" max="7692" width="8.28515625" style="16" customWidth="1"/>
    <col min="7693" max="7693" width="8.7109375" style="16" bestFit="1" customWidth="1"/>
    <col min="7694" max="7694" width="9.140625" style="16"/>
    <col min="7695" max="7695" width="8.42578125" style="16" customWidth="1"/>
    <col min="7696" max="7696" width="9.140625" style="16"/>
    <col min="7697" max="7697" width="9.28515625" style="16" bestFit="1" customWidth="1"/>
    <col min="7698" max="7698" width="9.140625" style="16"/>
    <col min="7699" max="7699" width="9.28515625" style="16" bestFit="1" customWidth="1"/>
    <col min="7700" max="7700" width="9.140625" style="16"/>
    <col min="7701" max="7701" width="12.42578125" style="16" customWidth="1"/>
    <col min="7702" max="7702" width="9.140625" style="16"/>
    <col min="7703" max="7703" width="12" style="16" customWidth="1"/>
    <col min="7704" max="7936" width="9.140625" style="16"/>
    <col min="7937" max="7937" width="5" style="16" customWidth="1"/>
    <col min="7938" max="7938" width="18.7109375" style="16" customWidth="1"/>
    <col min="7939" max="7948" width="8.28515625" style="16" customWidth="1"/>
    <col min="7949" max="7949" width="8.7109375" style="16" bestFit="1" customWidth="1"/>
    <col min="7950" max="7950" width="9.140625" style="16"/>
    <col min="7951" max="7951" width="8.42578125" style="16" customWidth="1"/>
    <col min="7952" max="7952" width="9.140625" style="16"/>
    <col min="7953" max="7953" width="9.28515625" style="16" bestFit="1" customWidth="1"/>
    <col min="7954" max="7954" width="9.140625" style="16"/>
    <col min="7955" max="7955" width="9.28515625" style="16" bestFit="1" customWidth="1"/>
    <col min="7956" max="7956" width="9.140625" style="16"/>
    <col min="7957" max="7957" width="12.42578125" style="16" customWidth="1"/>
    <col min="7958" max="7958" width="9.140625" style="16"/>
    <col min="7959" max="7959" width="12" style="16" customWidth="1"/>
    <col min="7960" max="8192" width="9.140625" style="16"/>
    <col min="8193" max="8193" width="5" style="16" customWidth="1"/>
    <col min="8194" max="8194" width="18.7109375" style="16" customWidth="1"/>
    <col min="8195" max="8204" width="8.28515625" style="16" customWidth="1"/>
    <col min="8205" max="8205" width="8.7109375" style="16" bestFit="1" customWidth="1"/>
    <col min="8206" max="8206" width="9.140625" style="16"/>
    <col min="8207" max="8207" width="8.42578125" style="16" customWidth="1"/>
    <col min="8208" max="8208" width="9.140625" style="16"/>
    <col min="8209" max="8209" width="9.28515625" style="16" bestFit="1" customWidth="1"/>
    <col min="8210" max="8210" width="9.140625" style="16"/>
    <col min="8211" max="8211" width="9.28515625" style="16" bestFit="1" customWidth="1"/>
    <col min="8212" max="8212" width="9.140625" style="16"/>
    <col min="8213" max="8213" width="12.42578125" style="16" customWidth="1"/>
    <col min="8214" max="8214" width="9.140625" style="16"/>
    <col min="8215" max="8215" width="12" style="16" customWidth="1"/>
    <col min="8216" max="8448" width="9.140625" style="16"/>
    <col min="8449" max="8449" width="5" style="16" customWidth="1"/>
    <col min="8450" max="8450" width="18.7109375" style="16" customWidth="1"/>
    <col min="8451" max="8460" width="8.28515625" style="16" customWidth="1"/>
    <col min="8461" max="8461" width="8.7109375" style="16" bestFit="1" customWidth="1"/>
    <col min="8462" max="8462" width="9.140625" style="16"/>
    <col min="8463" max="8463" width="8.42578125" style="16" customWidth="1"/>
    <col min="8464" max="8464" width="9.140625" style="16"/>
    <col min="8465" max="8465" width="9.28515625" style="16" bestFit="1" customWidth="1"/>
    <col min="8466" max="8466" width="9.140625" style="16"/>
    <col min="8467" max="8467" width="9.28515625" style="16" bestFit="1" customWidth="1"/>
    <col min="8468" max="8468" width="9.140625" style="16"/>
    <col min="8469" max="8469" width="12.42578125" style="16" customWidth="1"/>
    <col min="8470" max="8470" width="9.140625" style="16"/>
    <col min="8471" max="8471" width="12" style="16" customWidth="1"/>
    <col min="8472" max="8704" width="9.140625" style="16"/>
    <col min="8705" max="8705" width="5" style="16" customWidth="1"/>
    <col min="8706" max="8706" width="18.7109375" style="16" customWidth="1"/>
    <col min="8707" max="8716" width="8.28515625" style="16" customWidth="1"/>
    <col min="8717" max="8717" width="8.7109375" style="16" bestFit="1" customWidth="1"/>
    <col min="8718" max="8718" width="9.140625" style="16"/>
    <col min="8719" max="8719" width="8.42578125" style="16" customWidth="1"/>
    <col min="8720" max="8720" width="9.140625" style="16"/>
    <col min="8721" max="8721" width="9.28515625" style="16" bestFit="1" customWidth="1"/>
    <col min="8722" max="8722" width="9.140625" style="16"/>
    <col min="8723" max="8723" width="9.28515625" style="16" bestFit="1" customWidth="1"/>
    <col min="8724" max="8724" width="9.140625" style="16"/>
    <col min="8725" max="8725" width="12.42578125" style="16" customWidth="1"/>
    <col min="8726" max="8726" width="9.140625" style="16"/>
    <col min="8727" max="8727" width="12" style="16" customWidth="1"/>
    <col min="8728" max="8960" width="9.140625" style="16"/>
    <col min="8961" max="8961" width="5" style="16" customWidth="1"/>
    <col min="8962" max="8962" width="18.7109375" style="16" customWidth="1"/>
    <col min="8963" max="8972" width="8.28515625" style="16" customWidth="1"/>
    <col min="8973" max="8973" width="8.7109375" style="16" bestFit="1" customWidth="1"/>
    <col min="8974" max="8974" width="9.140625" style="16"/>
    <col min="8975" max="8975" width="8.42578125" style="16" customWidth="1"/>
    <col min="8976" max="8976" width="9.140625" style="16"/>
    <col min="8977" max="8977" width="9.28515625" style="16" bestFit="1" customWidth="1"/>
    <col min="8978" max="8978" width="9.140625" style="16"/>
    <col min="8979" max="8979" width="9.28515625" style="16" bestFit="1" customWidth="1"/>
    <col min="8980" max="8980" width="9.140625" style="16"/>
    <col min="8981" max="8981" width="12.42578125" style="16" customWidth="1"/>
    <col min="8982" max="8982" width="9.140625" style="16"/>
    <col min="8983" max="8983" width="12" style="16" customWidth="1"/>
    <col min="8984" max="9216" width="9.140625" style="16"/>
    <col min="9217" max="9217" width="5" style="16" customWidth="1"/>
    <col min="9218" max="9218" width="18.7109375" style="16" customWidth="1"/>
    <col min="9219" max="9228" width="8.28515625" style="16" customWidth="1"/>
    <col min="9229" max="9229" width="8.7109375" style="16" bestFit="1" customWidth="1"/>
    <col min="9230" max="9230" width="9.140625" style="16"/>
    <col min="9231" max="9231" width="8.42578125" style="16" customWidth="1"/>
    <col min="9232" max="9232" width="9.140625" style="16"/>
    <col min="9233" max="9233" width="9.28515625" style="16" bestFit="1" customWidth="1"/>
    <col min="9234" max="9234" width="9.140625" style="16"/>
    <col min="9235" max="9235" width="9.28515625" style="16" bestFit="1" customWidth="1"/>
    <col min="9236" max="9236" width="9.140625" style="16"/>
    <col min="9237" max="9237" width="12.42578125" style="16" customWidth="1"/>
    <col min="9238" max="9238" width="9.140625" style="16"/>
    <col min="9239" max="9239" width="12" style="16" customWidth="1"/>
    <col min="9240" max="9472" width="9.140625" style="16"/>
    <col min="9473" max="9473" width="5" style="16" customWidth="1"/>
    <col min="9474" max="9474" width="18.7109375" style="16" customWidth="1"/>
    <col min="9475" max="9484" width="8.28515625" style="16" customWidth="1"/>
    <col min="9485" max="9485" width="8.7109375" style="16" bestFit="1" customWidth="1"/>
    <col min="9486" max="9486" width="9.140625" style="16"/>
    <col min="9487" max="9487" width="8.42578125" style="16" customWidth="1"/>
    <col min="9488" max="9488" width="9.140625" style="16"/>
    <col min="9489" max="9489" width="9.28515625" style="16" bestFit="1" customWidth="1"/>
    <col min="9490" max="9490" width="9.140625" style="16"/>
    <col min="9491" max="9491" width="9.28515625" style="16" bestFit="1" customWidth="1"/>
    <col min="9492" max="9492" width="9.140625" style="16"/>
    <col min="9493" max="9493" width="12.42578125" style="16" customWidth="1"/>
    <col min="9494" max="9494" width="9.140625" style="16"/>
    <col min="9495" max="9495" width="12" style="16" customWidth="1"/>
    <col min="9496" max="9728" width="9.140625" style="16"/>
    <col min="9729" max="9729" width="5" style="16" customWidth="1"/>
    <col min="9730" max="9730" width="18.7109375" style="16" customWidth="1"/>
    <col min="9731" max="9740" width="8.28515625" style="16" customWidth="1"/>
    <col min="9741" max="9741" width="8.7109375" style="16" bestFit="1" customWidth="1"/>
    <col min="9742" max="9742" width="9.140625" style="16"/>
    <col min="9743" max="9743" width="8.42578125" style="16" customWidth="1"/>
    <col min="9744" max="9744" width="9.140625" style="16"/>
    <col min="9745" max="9745" width="9.28515625" style="16" bestFit="1" customWidth="1"/>
    <col min="9746" max="9746" width="9.140625" style="16"/>
    <col min="9747" max="9747" width="9.28515625" style="16" bestFit="1" customWidth="1"/>
    <col min="9748" max="9748" width="9.140625" style="16"/>
    <col min="9749" max="9749" width="12.42578125" style="16" customWidth="1"/>
    <col min="9750" max="9750" width="9.140625" style="16"/>
    <col min="9751" max="9751" width="12" style="16" customWidth="1"/>
    <col min="9752" max="9984" width="9.140625" style="16"/>
    <col min="9985" max="9985" width="5" style="16" customWidth="1"/>
    <col min="9986" max="9986" width="18.7109375" style="16" customWidth="1"/>
    <col min="9987" max="9996" width="8.28515625" style="16" customWidth="1"/>
    <col min="9997" max="9997" width="8.7109375" style="16" bestFit="1" customWidth="1"/>
    <col min="9998" max="9998" width="9.140625" style="16"/>
    <col min="9999" max="9999" width="8.42578125" style="16" customWidth="1"/>
    <col min="10000" max="10000" width="9.140625" style="16"/>
    <col min="10001" max="10001" width="9.28515625" style="16" bestFit="1" customWidth="1"/>
    <col min="10002" max="10002" width="9.140625" style="16"/>
    <col min="10003" max="10003" width="9.28515625" style="16" bestFit="1" customWidth="1"/>
    <col min="10004" max="10004" width="9.140625" style="16"/>
    <col min="10005" max="10005" width="12.42578125" style="16" customWidth="1"/>
    <col min="10006" max="10006" width="9.140625" style="16"/>
    <col min="10007" max="10007" width="12" style="16" customWidth="1"/>
    <col min="10008" max="10240" width="9.140625" style="16"/>
    <col min="10241" max="10241" width="5" style="16" customWidth="1"/>
    <col min="10242" max="10242" width="18.7109375" style="16" customWidth="1"/>
    <col min="10243" max="10252" width="8.28515625" style="16" customWidth="1"/>
    <col min="10253" max="10253" width="8.7109375" style="16" bestFit="1" customWidth="1"/>
    <col min="10254" max="10254" width="9.140625" style="16"/>
    <col min="10255" max="10255" width="8.42578125" style="16" customWidth="1"/>
    <col min="10256" max="10256" width="9.140625" style="16"/>
    <col min="10257" max="10257" width="9.28515625" style="16" bestFit="1" customWidth="1"/>
    <col min="10258" max="10258" width="9.140625" style="16"/>
    <col min="10259" max="10259" width="9.28515625" style="16" bestFit="1" customWidth="1"/>
    <col min="10260" max="10260" width="9.140625" style="16"/>
    <col min="10261" max="10261" width="12.42578125" style="16" customWidth="1"/>
    <col min="10262" max="10262" width="9.140625" style="16"/>
    <col min="10263" max="10263" width="12" style="16" customWidth="1"/>
    <col min="10264" max="10496" width="9.140625" style="16"/>
    <col min="10497" max="10497" width="5" style="16" customWidth="1"/>
    <col min="10498" max="10498" width="18.7109375" style="16" customWidth="1"/>
    <col min="10499" max="10508" width="8.28515625" style="16" customWidth="1"/>
    <col min="10509" max="10509" width="8.7109375" style="16" bestFit="1" customWidth="1"/>
    <col min="10510" max="10510" width="9.140625" style="16"/>
    <col min="10511" max="10511" width="8.42578125" style="16" customWidth="1"/>
    <col min="10512" max="10512" width="9.140625" style="16"/>
    <col min="10513" max="10513" width="9.28515625" style="16" bestFit="1" customWidth="1"/>
    <col min="10514" max="10514" width="9.140625" style="16"/>
    <col min="10515" max="10515" width="9.28515625" style="16" bestFit="1" customWidth="1"/>
    <col min="10516" max="10516" width="9.140625" style="16"/>
    <col min="10517" max="10517" width="12.42578125" style="16" customWidth="1"/>
    <col min="10518" max="10518" width="9.140625" style="16"/>
    <col min="10519" max="10519" width="12" style="16" customWidth="1"/>
    <col min="10520" max="10752" width="9.140625" style="16"/>
    <col min="10753" max="10753" width="5" style="16" customWidth="1"/>
    <col min="10754" max="10754" width="18.7109375" style="16" customWidth="1"/>
    <col min="10755" max="10764" width="8.28515625" style="16" customWidth="1"/>
    <col min="10765" max="10765" width="8.7109375" style="16" bestFit="1" customWidth="1"/>
    <col min="10766" max="10766" width="9.140625" style="16"/>
    <col min="10767" max="10767" width="8.42578125" style="16" customWidth="1"/>
    <col min="10768" max="10768" width="9.140625" style="16"/>
    <col min="10769" max="10769" width="9.28515625" style="16" bestFit="1" customWidth="1"/>
    <col min="10770" max="10770" width="9.140625" style="16"/>
    <col min="10771" max="10771" width="9.28515625" style="16" bestFit="1" customWidth="1"/>
    <col min="10772" max="10772" width="9.140625" style="16"/>
    <col min="10773" max="10773" width="12.42578125" style="16" customWidth="1"/>
    <col min="10774" max="10774" width="9.140625" style="16"/>
    <col min="10775" max="10775" width="12" style="16" customWidth="1"/>
    <col min="10776" max="11008" width="9.140625" style="16"/>
    <col min="11009" max="11009" width="5" style="16" customWidth="1"/>
    <col min="11010" max="11010" width="18.7109375" style="16" customWidth="1"/>
    <col min="11011" max="11020" width="8.28515625" style="16" customWidth="1"/>
    <col min="11021" max="11021" width="8.7109375" style="16" bestFit="1" customWidth="1"/>
    <col min="11022" max="11022" width="9.140625" style="16"/>
    <col min="11023" max="11023" width="8.42578125" style="16" customWidth="1"/>
    <col min="11024" max="11024" width="9.140625" style="16"/>
    <col min="11025" max="11025" width="9.28515625" style="16" bestFit="1" customWidth="1"/>
    <col min="11026" max="11026" width="9.140625" style="16"/>
    <col min="11027" max="11027" width="9.28515625" style="16" bestFit="1" customWidth="1"/>
    <col min="11028" max="11028" width="9.140625" style="16"/>
    <col min="11029" max="11029" width="12.42578125" style="16" customWidth="1"/>
    <col min="11030" max="11030" width="9.140625" style="16"/>
    <col min="11031" max="11031" width="12" style="16" customWidth="1"/>
    <col min="11032" max="11264" width="9.140625" style="16"/>
    <col min="11265" max="11265" width="5" style="16" customWidth="1"/>
    <col min="11266" max="11266" width="18.7109375" style="16" customWidth="1"/>
    <col min="11267" max="11276" width="8.28515625" style="16" customWidth="1"/>
    <col min="11277" max="11277" width="8.7109375" style="16" bestFit="1" customWidth="1"/>
    <col min="11278" max="11278" width="9.140625" style="16"/>
    <col min="11279" max="11279" width="8.42578125" style="16" customWidth="1"/>
    <col min="11280" max="11280" width="9.140625" style="16"/>
    <col min="11281" max="11281" width="9.28515625" style="16" bestFit="1" customWidth="1"/>
    <col min="11282" max="11282" width="9.140625" style="16"/>
    <col min="11283" max="11283" width="9.28515625" style="16" bestFit="1" customWidth="1"/>
    <col min="11284" max="11284" width="9.140625" style="16"/>
    <col min="11285" max="11285" width="12.42578125" style="16" customWidth="1"/>
    <col min="11286" max="11286" width="9.140625" style="16"/>
    <col min="11287" max="11287" width="12" style="16" customWidth="1"/>
    <col min="11288" max="11520" width="9.140625" style="16"/>
    <col min="11521" max="11521" width="5" style="16" customWidth="1"/>
    <col min="11522" max="11522" width="18.7109375" style="16" customWidth="1"/>
    <col min="11523" max="11532" width="8.28515625" style="16" customWidth="1"/>
    <col min="11533" max="11533" width="8.7109375" style="16" bestFit="1" customWidth="1"/>
    <col min="11534" max="11534" width="9.140625" style="16"/>
    <col min="11535" max="11535" width="8.42578125" style="16" customWidth="1"/>
    <col min="11536" max="11536" width="9.140625" style="16"/>
    <col min="11537" max="11537" width="9.28515625" style="16" bestFit="1" customWidth="1"/>
    <col min="11538" max="11538" width="9.140625" style="16"/>
    <col min="11539" max="11539" width="9.28515625" style="16" bestFit="1" customWidth="1"/>
    <col min="11540" max="11540" width="9.140625" style="16"/>
    <col min="11541" max="11541" width="12.42578125" style="16" customWidth="1"/>
    <col min="11542" max="11542" width="9.140625" style="16"/>
    <col min="11543" max="11543" width="12" style="16" customWidth="1"/>
    <col min="11544" max="11776" width="9.140625" style="16"/>
    <col min="11777" max="11777" width="5" style="16" customWidth="1"/>
    <col min="11778" max="11778" width="18.7109375" style="16" customWidth="1"/>
    <col min="11779" max="11788" width="8.28515625" style="16" customWidth="1"/>
    <col min="11789" max="11789" width="8.7109375" style="16" bestFit="1" customWidth="1"/>
    <col min="11790" max="11790" width="9.140625" style="16"/>
    <col min="11791" max="11791" width="8.42578125" style="16" customWidth="1"/>
    <col min="11792" max="11792" width="9.140625" style="16"/>
    <col min="11793" max="11793" width="9.28515625" style="16" bestFit="1" customWidth="1"/>
    <col min="11794" max="11794" width="9.140625" style="16"/>
    <col min="11795" max="11795" width="9.28515625" style="16" bestFit="1" customWidth="1"/>
    <col min="11796" max="11796" width="9.140625" style="16"/>
    <col min="11797" max="11797" width="12.42578125" style="16" customWidth="1"/>
    <col min="11798" max="11798" width="9.140625" style="16"/>
    <col min="11799" max="11799" width="12" style="16" customWidth="1"/>
    <col min="11800" max="12032" width="9.140625" style="16"/>
    <col min="12033" max="12033" width="5" style="16" customWidth="1"/>
    <col min="12034" max="12034" width="18.7109375" style="16" customWidth="1"/>
    <col min="12035" max="12044" width="8.28515625" style="16" customWidth="1"/>
    <col min="12045" max="12045" width="8.7109375" style="16" bestFit="1" customWidth="1"/>
    <col min="12046" max="12046" width="9.140625" style="16"/>
    <col min="12047" max="12047" width="8.42578125" style="16" customWidth="1"/>
    <col min="12048" max="12048" width="9.140625" style="16"/>
    <col min="12049" max="12049" width="9.28515625" style="16" bestFit="1" customWidth="1"/>
    <col min="12050" max="12050" width="9.140625" style="16"/>
    <col min="12051" max="12051" width="9.28515625" style="16" bestFit="1" customWidth="1"/>
    <col min="12052" max="12052" width="9.140625" style="16"/>
    <col min="12053" max="12053" width="12.42578125" style="16" customWidth="1"/>
    <col min="12054" max="12054" width="9.140625" style="16"/>
    <col min="12055" max="12055" width="12" style="16" customWidth="1"/>
    <col min="12056" max="12288" width="9.140625" style="16"/>
    <col min="12289" max="12289" width="5" style="16" customWidth="1"/>
    <col min="12290" max="12290" width="18.7109375" style="16" customWidth="1"/>
    <col min="12291" max="12300" width="8.28515625" style="16" customWidth="1"/>
    <col min="12301" max="12301" width="8.7109375" style="16" bestFit="1" customWidth="1"/>
    <col min="12302" max="12302" width="9.140625" style="16"/>
    <col min="12303" max="12303" width="8.42578125" style="16" customWidth="1"/>
    <col min="12304" max="12304" width="9.140625" style="16"/>
    <col min="12305" max="12305" width="9.28515625" style="16" bestFit="1" customWidth="1"/>
    <col min="12306" max="12306" width="9.140625" style="16"/>
    <col min="12307" max="12307" width="9.28515625" style="16" bestFit="1" customWidth="1"/>
    <col min="12308" max="12308" width="9.140625" style="16"/>
    <col min="12309" max="12309" width="12.42578125" style="16" customWidth="1"/>
    <col min="12310" max="12310" width="9.140625" style="16"/>
    <col min="12311" max="12311" width="12" style="16" customWidth="1"/>
    <col min="12312" max="12544" width="9.140625" style="16"/>
    <col min="12545" max="12545" width="5" style="16" customWidth="1"/>
    <col min="12546" max="12546" width="18.7109375" style="16" customWidth="1"/>
    <col min="12547" max="12556" width="8.28515625" style="16" customWidth="1"/>
    <col min="12557" max="12557" width="8.7109375" style="16" bestFit="1" customWidth="1"/>
    <col min="12558" max="12558" width="9.140625" style="16"/>
    <col min="12559" max="12559" width="8.42578125" style="16" customWidth="1"/>
    <col min="12560" max="12560" width="9.140625" style="16"/>
    <col min="12561" max="12561" width="9.28515625" style="16" bestFit="1" customWidth="1"/>
    <col min="12562" max="12562" width="9.140625" style="16"/>
    <col min="12563" max="12563" width="9.28515625" style="16" bestFit="1" customWidth="1"/>
    <col min="12564" max="12564" width="9.140625" style="16"/>
    <col min="12565" max="12565" width="12.42578125" style="16" customWidth="1"/>
    <col min="12566" max="12566" width="9.140625" style="16"/>
    <col min="12567" max="12567" width="12" style="16" customWidth="1"/>
    <col min="12568" max="12800" width="9.140625" style="16"/>
    <col min="12801" max="12801" width="5" style="16" customWidth="1"/>
    <col min="12802" max="12802" width="18.7109375" style="16" customWidth="1"/>
    <col min="12803" max="12812" width="8.28515625" style="16" customWidth="1"/>
    <col min="12813" max="12813" width="8.7109375" style="16" bestFit="1" customWidth="1"/>
    <col min="12814" max="12814" width="9.140625" style="16"/>
    <col min="12815" max="12815" width="8.42578125" style="16" customWidth="1"/>
    <col min="12816" max="12816" width="9.140625" style="16"/>
    <col min="12817" max="12817" width="9.28515625" style="16" bestFit="1" customWidth="1"/>
    <col min="12818" max="12818" width="9.140625" style="16"/>
    <col min="12819" max="12819" width="9.28515625" style="16" bestFit="1" customWidth="1"/>
    <col min="12820" max="12820" width="9.140625" style="16"/>
    <col min="12821" max="12821" width="12.42578125" style="16" customWidth="1"/>
    <col min="12822" max="12822" width="9.140625" style="16"/>
    <col min="12823" max="12823" width="12" style="16" customWidth="1"/>
    <col min="12824" max="13056" width="9.140625" style="16"/>
    <col min="13057" max="13057" width="5" style="16" customWidth="1"/>
    <col min="13058" max="13058" width="18.7109375" style="16" customWidth="1"/>
    <col min="13059" max="13068" width="8.28515625" style="16" customWidth="1"/>
    <col min="13069" max="13069" width="8.7109375" style="16" bestFit="1" customWidth="1"/>
    <col min="13070" max="13070" width="9.140625" style="16"/>
    <col min="13071" max="13071" width="8.42578125" style="16" customWidth="1"/>
    <col min="13072" max="13072" width="9.140625" style="16"/>
    <col min="13073" max="13073" width="9.28515625" style="16" bestFit="1" customWidth="1"/>
    <col min="13074" max="13074" width="9.140625" style="16"/>
    <col min="13075" max="13075" width="9.28515625" style="16" bestFit="1" customWidth="1"/>
    <col min="13076" max="13076" width="9.140625" style="16"/>
    <col min="13077" max="13077" width="12.42578125" style="16" customWidth="1"/>
    <col min="13078" max="13078" width="9.140625" style="16"/>
    <col min="13079" max="13079" width="12" style="16" customWidth="1"/>
    <col min="13080" max="13312" width="9.140625" style="16"/>
    <col min="13313" max="13313" width="5" style="16" customWidth="1"/>
    <col min="13314" max="13314" width="18.7109375" style="16" customWidth="1"/>
    <col min="13315" max="13324" width="8.28515625" style="16" customWidth="1"/>
    <col min="13325" max="13325" width="8.7109375" style="16" bestFit="1" customWidth="1"/>
    <col min="13326" max="13326" width="9.140625" style="16"/>
    <col min="13327" max="13327" width="8.42578125" style="16" customWidth="1"/>
    <col min="13328" max="13328" width="9.140625" style="16"/>
    <col min="13329" max="13329" width="9.28515625" style="16" bestFit="1" customWidth="1"/>
    <col min="13330" max="13330" width="9.140625" style="16"/>
    <col min="13331" max="13331" width="9.28515625" style="16" bestFit="1" customWidth="1"/>
    <col min="13332" max="13332" width="9.140625" style="16"/>
    <col min="13333" max="13333" width="12.42578125" style="16" customWidth="1"/>
    <col min="13334" max="13334" width="9.140625" style="16"/>
    <col min="13335" max="13335" width="12" style="16" customWidth="1"/>
    <col min="13336" max="13568" width="9.140625" style="16"/>
    <col min="13569" max="13569" width="5" style="16" customWidth="1"/>
    <col min="13570" max="13570" width="18.7109375" style="16" customWidth="1"/>
    <col min="13571" max="13580" width="8.28515625" style="16" customWidth="1"/>
    <col min="13581" max="13581" width="8.7109375" style="16" bestFit="1" customWidth="1"/>
    <col min="13582" max="13582" width="9.140625" style="16"/>
    <col min="13583" max="13583" width="8.42578125" style="16" customWidth="1"/>
    <col min="13584" max="13584" width="9.140625" style="16"/>
    <col min="13585" max="13585" width="9.28515625" style="16" bestFit="1" customWidth="1"/>
    <col min="13586" max="13586" width="9.140625" style="16"/>
    <col min="13587" max="13587" width="9.28515625" style="16" bestFit="1" customWidth="1"/>
    <col min="13588" max="13588" width="9.140625" style="16"/>
    <col min="13589" max="13589" width="12.42578125" style="16" customWidth="1"/>
    <col min="13590" max="13590" width="9.140625" style="16"/>
    <col min="13591" max="13591" width="12" style="16" customWidth="1"/>
    <col min="13592" max="13824" width="9.140625" style="16"/>
    <col min="13825" max="13825" width="5" style="16" customWidth="1"/>
    <col min="13826" max="13826" width="18.7109375" style="16" customWidth="1"/>
    <col min="13827" max="13836" width="8.28515625" style="16" customWidth="1"/>
    <col min="13837" max="13837" width="8.7109375" style="16" bestFit="1" customWidth="1"/>
    <col min="13838" max="13838" width="9.140625" style="16"/>
    <col min="13839" max="13839" width="8.42578125" style="16" customWidth="1"/>
    <col min="13840" max="13840" width="9.140625" style="16"/>
    <col min="13841" max="13841" width="9.28515625" style="16" bestFit="1" customWidth="1"/>
    <col min="13842" max="13842" width="9.140625" style="16"/>
    <col min="13843" max="13843" width="9.28515625" style="16" bestFit="1" customWidth="1"/>
    <col min="13844" max="13844" width="9.140625" style="16"/>
    <col min="13845" max="13845" width="12.42578125" style="16" customWidth="1"/>
    <col min="13846" max="13846" width="9.140625" style="16"/>
    <col min="13847" max="13847" width="12" style="16" customWidth="1"/>
    <col min="13848" max="14080" width="9.140625" style="16"/>
    <col min="14081" max="14081" width="5" style="16" customWidth="1"/>
    <col min="14082" max="14082" width="18.7109375" style="16" customWidth="1"/>
    <col min="14083" max="14092" width="8.28515625" style="16" customWidth="1"/>
    <col min="14093" max="14093" width="8.7109375" style="16" bestFit="1" customWidth="1"/>
    <col min="14094" max="14094" width="9.140625" style="16"/>
    <col min="14095" max="14095" width="8.42578125" style="16" customWidth="1"/>
    <col min="14096" max="14096" width="9.140625" style="16"/>
    <col min="14097" max="14097" width="9.28515625" style="16" bestFit="1" customWidth="1"/>
    <col min="14098" max="14098" width="9.140625" style="16"/>
    <col min="14099" max="14099" width="9.28515625" style="16" bestFit="1" customWidth="1"/>
    <col min="14100" max="14100" width="9.140625" style="16"/>
    <col min="14101" max="14101" width="12.42578125" style="16" customWidth="1"/>
    <col min="14102" max="14102" width="9.140625" style="16"/>
    <col min="14103" max="14103" width="12" style="16" customWidth="1"/>
    <col min="14104" max="14336" width="9.140625" style="16"/>
    <col min="14337" max="14337" width="5" style="16" customWidth="1"/>
    <col min="14338" max="14338" width="18.7109375" style="16" customWidth="1"/>
    <col min="14339" max="14348" width="8.28515625" style="16" customWidth="1"/>
    <col min="14349" max="14349" width="8.7109375" style="16" bestFit="1" customWidth="1"/>
    <col min="14350" max="14350" width="9.140625" style="16"/>
    <col min="14351" max="14351" width="8.42578125" style="16" customWidth="1"/>
    <col min="14352" max="14352" width="9.140625" style="16"/>
    <col min="14353" max="14353" width="9.28515625" style="16" bestFit="1" customWidth="1"/>
    <col min="14354" max="14354" width="9.140625" style="16"/>
    <col min="14355" max="14355" width="9.28515625" style="16" bestFit="1" customWidth="1"/>
    <col min="14356" max="14356" width="9.140625" style="16"/>
    <col min="14357" max="14357" width="12.42578125" style="16" customWidth="1"/>
    <col min="14358" max="14358" width="9.140625" style="16"/>
    <col min="14359" max="14359" width="12" style="16" customWidth="1"/>
    <col min="14360" max="14592" width="9.140625" style="16"/>
    <col min="14593" max="14593" width="5" style="16" customWidth="1"/>
    <col min="14594" max="14594" width="18.7109375" style="16" customWidth="1"/>
    <col min="14595" max="14604" width="8.28515625" style="16" customWidth="1"/>
    <col min="14605" max="14605" width="8.7109375" style="16" bestFit="1" customWidth="1"/>
    <col min="14606" max="14606" width="9.140625" style="16"/>
    <col min="14607" max="14607" width="8.42578125" style="16" customWidth="1"/>
    <col min="14608" max="14608" width="9.140625" style="16"/>
    <col min="14609" max="14609" width="9.28515625" style="16" bestFit="1" customWidth="1"/>
    <col min="14610" max="14610" width="9.140625" style="16"/>
    <col min="14611" max="14611" width="9.28515625" style="16" bestFit="1" customWidth="1"/>
    <col min="14612" max="14612" width="9.140625" style="16"/>
    <col min="14613" max="14613" width="12.42578125" style="16" customWidth="1"/>
    <col min="14614" max="14614" width="9.140625" style="16"/>
    <col min="14615" max="14615" width="12" style="16" customWidth="1"/>
    <col min="14616" max="14848" width="9.140625" style="16"/>
    <col min="14849" max="14849" width="5" style="16" customWidth="1"/>
    <col min="14850" max="14850" width="18.7109375" style="16" customWidth="1"/>
    <col min="14851" max="14860" width="8.28515625" style="16" customWidth="1"/>
    <col min="14861" max="14861" width="8.7109375" style="16" bestFit="1" customWidth="1"/>
    <col min="14862" max="14862" width="9.140625" style="16"/>
    <col min="14863" max="14863" width="8.42578125" style="16" customWidth="1"/>
    <col min="14864" max="14864" width="9.140625" style="16"/>
    <col min="14865" max="14865" width="9.28515625" style="16" bestFit="1" customWidth="1"/>
    <col min="14866" max="14866" width="9.140625" style="16"/>
    <col min="14867" max="14867" width="9.28515625" style="16" bestFit="1" customWidth="1"/>
    <col min="14868" max="14868" width="9.140625" style="16"/>
    <col min="14869" max="14869" width="12.42578125" style="16" customWidth="1"/>
    <col min="14870" max="14870" width="9.140625" style="16"/>
    <col min="14871" max="14871" width="12" style="16" customWidth="1"/>
    <col min="14872" max="15104" width="9.140625" style="16"/>
    <col min="15105" max="15105" width="5" style="16" customWidth="1"/>
    <col min="15106" max="15106" width="18.7109375" style="16" customWidth="1"/>
    <col min="15107" max="15116" width="8.28515625" style="16" customWidth="1"/>
    <col min="15117" max="15117" width="8.7109375" style="16" bestFit="1" customWidth="1"/>
    <col min="15118" max="15118" width="9.140625" style="16"/>
    <col min="15119" max="15119" width="8.42578125" style="16" customWidth="1"/>
    <col min="15120" max="15120" width="9.140625" style="16"/>
    <col min="15121" max="15121" width="9.28515625" style="16" bestFit="1" customWidth="1"/>
    <col min="15122" max="15122" width="9.140625" style="16"/>
    <col min="15123" max="15123" width="9.28515625" style="16" bestFit="1" customWidth="1"/>
    <col min="15124" max="15124" width="9.140625" style="16"/>
    <col min="15125" max="15125" width="12.42578125" style="16" customWidth="1"/>
    <col min="15126" max="15126" width="9.140625" style="16"/>
    <col min="15127" max="15127" width="12" style="16" customWidth="1"/>
    <col min="15128" max="15360" width="9.140625" style="16"/>
    <col min="15361" max="15361" width="5" style="16" customWidth="1"/>
    <col min="15362" max="15362" width="18.7109375" style="16" customWidth="1"/>
    <col min="15363" max="15372" width="8.28515625" style="16" customWidth="1"/>
    <col min="15373" max="15373" width="8.7109375" style="16" bestFit="1" customWidth="1"/>
    <col min="15374" max="15374" width="9.140625" style="16"/>
    <col min="15375" max="15375" width="8.42578125" style="16" customWidth="1"/>
    <col min="15376" max="15376" width="9.140625" style="16"/>
    <col min="15377" max="15377" width="9.28515625" style="16" bestFit="1" customWidth="1"/>
    <col min="15378" max="15378" width="9.140625" style="16"/>
    <col min="15379" max="15379" width="9.28515625" style="16" bestFit="1" customWidth="1"/>
    <col min="15380" max="15380" width="9.140625" style="16"/>
    <col min="15381" max="15381" width="12.42578125" style="16" customWidth="1"/>
    <col min="15382" max="15382" width="9.140625" style="16"/>
    <col min="15383" max="15383" width="12" style="16" customWidth="1"/>
    <col min="15384" max="15616" width="9.140625" style="16"/>
    <col min="15617" max="15617" width="5" style="16" customWidth="1"/>
    <col min="15618" max="15618" width="18.7109375" style="16" customWidth="1"/>
    <col min="15619" max="15628" width="8.28515625" style="16" customWidth="1"/>
    <col min="15629" max="15629" width="8.7109375" style="16" bestFit="1" customWidth="1"/>
    <col min="15630" max="15630" width="9.140625" style="16"/>
    <col min="15631" max="15631" width="8.42578125" style="16" customWidth="1"/>
    <col min="15632" max="15632" width="9.140625" style="16"/>
    <col min="15633" max="15633" width="9.28515625" style="16" bestFit="1" customWidth="1"/>
    <col min="15634" max="15634" width="9.140625" style="16"/>
    <col min="15635" max="15635" width="9.28515625" style="16" bestFit="1" customWidth="1"/>
    <col min="15636" max="15636" width="9.140625" style="16"/>
    <col min="15637" max="15637" width="12.42578125" style="16" customWidth="1"/>
    <col min="15638" max="15638" width="9.140625" style="16"/>
    <col min="15639" max="15639" width="12" style="16" customWidth="1"/>
    <col min="15640" max="15872" width="9.140625" style="16"/>
    <col min="15873" max="15873" width="5" style="16" customWidth="1"/>
    <col min="15874" max="15874" width="18.7109375" style="16" customWidth="1"/>
    <col min="15875" max="15884" width="8.28515625" style="16" customWidth="1"/>
    <col min="15885" max="15885" width="8.7109375" style="16" bestFit="1" customWidth="1"/>
    <col min="15886" max="15886" width="9.140625" style="16"/>
    <col min="15887" max="15887" width="8.42578125" style="16" customWidth="1"/>
    <col min="15888" max="15888" width="9.140625" style="16"/>
    <col min="15889" max="15889" width="9.28515625" style="16" bestFit="1" customWidth="1"/>
    <col min="15890" max="15890" width="9.140625" style="16"/>
    <col min="15891" max="15891" width="9.28515625" style="16" bestFit="1" customWidth="1"/>
    <col min="15892" max="15892" width="9.140625" style="16"/>
    <col min="15893" max="15893" width="12.42578125" style="16" customWidth="1"/>
    <col min="15894" max="15894" width="9.140625" style="16"/>
    <col min="15895" max="15895" width="12" style="16" customWidth="1"/>
    <col min="15896" max="16128" width="9.140625" style="16"/>
    <col min="16129" max="16129" width="5" style="16" customWidth="1"/>
    <col min="16130" max="16130" width="18.7109375" style="16" customWidth="1"/>
    <col min="16131" max="16140" width="8.28515625" style="16" customWidth="1"/>
    <col min="16141" max="16141" width="8.7109375" style="16" bestFit="1" customWidth="1"/>
    <col min="16142" max="16142" width="9.140625" style="16"/>
    <col min="16143" max="16143" width="8.42578125" style="16" customWidth="1"/>
    <col min="16144" max="16144" width="9.140625" style="16"/>
    <col min="16145" max="16145" width="9.28515625" style="16" bestFit="1" customWidth="1"/>
    <col min="16146" max="16146" width="9.140625" style="16"/>
    <col min="16147" max="16147" width="9.28515625" style="16" bestFit="1" customWidth="1"/>
    <col min="16148" max="16148" width="9.140625" style="16"/>
    <col min="16149" max="16149" width="12.42578125" style="16" customWidth="1"/>
    <col min="16150" max="16150" width="9.140625" style="16"/>
    <col min="16151" max="16151" width="12" style="16" customWidth="1"/>
    <col min="16152" max="16384" width="9.140625" style="16"/>
  </cols>
  <sheetData>
    <row r="1" spans="1:17" s="1" customFormat="1" x14ac:dyDescent="0.2">
      <c r="A1" s="867" t="s">
        <v>449</v>
      </c>
      <c r="B1" s="868"/>
      <c r="C1" s="868"/>
      <c r="D1" s="869"/>
      <c r="E1" s="868"/>
      <c r="F1" s="868"/>
      <c r="G1" s="867" t="s">
        <v>102</v>
      </c>
      <c r="H1" s="869"/>
      <c r="I1" s="869" t="s">
        <v>575</v>
      </c>
      <c r="J1" s="868"/>
      <c r="K1" s="868"/>
      <c r="L1" s="870"/>
      <c r="M1" s="870"/>
      <c r="N1" s="870"/>
      <c r="O1" s="870"/>
    </row>
    <row r="2" spans="1:17" s="1" customFormat="1" x14ac:dyDescent="0.2">
      <c r="A2" s="867" t="s">
        <v>103</v>
      </c>
      <c r="B2" s="868"/>
      <c r="C2" s="868"/>
      <c r="D2" s="869"/>
      <c r="E2" s="868"/>
      <c r="F2" s="868"/>
      <c r="G2" s="867" t="s">
        <v>104</v>
      </c>
      <c r="H2" s="869"/>
      <c r="I2" s="869" t="s">
        <v>105</v>
      </c>
      <c r="J2" s="868"/>
      <c r="K2" s="868"/>
      <c r="L2" s="870"/>
      <c r="M2" s="870"/>
      <c r="N2" s="870"/>
      <c r="O2" s="870"/>
    </row>
    <row r="3" spans="1:17" s="1" customFormat="1" x14ac:dyDescent="0.2">
      <c r="A3" s="867" t="s">
        <v>106</v>
      </c>
      <c r="B3" s="868"/>
      <c r="C3" s="868"/>
      <c r="D3" s="883" t="s">
        <v>708</v>
      </c>
      <c r="E3" s="868"/>
      <c r="F3" s="868"/>
      <c r="G3" s="867" t="s">
        <v>107</v>
      </c>
      <c r="H3" s="869"/>
      <c r="I3" s="869" t="s">
        <v>108</v>
      </c>
      <c r="J3" s="868"/>
      <c r="K3" s="868"/>
      <c r="L3" s="870"/>
      <c r="M3" s="870"/>
      <c r="N3" s="870"/>
      <c r="O3" s="870"/>
    </row>
    <row r="4" spans="1:17" s="1" customFormat="1" x14ac:dyDescent="0.2">
      <c r="A4" s="867" t="s">
        <v>476</v>
      </c>
      <c r="B4" s="868"/>
      <c r="C4" s="868"/>
      <c r="D4" s="869"/>
      <c r="E4" s="868"/>
      <c r="F4" s="868"/>
      <c r="G4" s="867" t="s">
        <v>110</v>
      </c>
      <c r="H4" s="869"/>
      <c r="I4" s="869" t="s">
        <v>709</v>
      </c>
      <c r="J4" s="868"/>
      <c r="K4" s="868"/>
      <c r="L4" s="870"/>
      <c r="M4" s="870"/>
      <c r="N4" s="870"/>
      <c r="O4" s="870"/>
    </row>
    <row r="5" spans="1:17" s="1" customFormat="1" x14ac:dyDescent="0.2">
      <c r="A5" s="867" t="s">
        <v>112</v>
      </c>
      <c r="B5" s="868"/>
      <c r="C5" s="868"/>
      <c r="D5" s="869"/>
      <c r="E5" s="868"/>
      <c r="F5" s="868"/>
      <c r="G5" s="867"/>
      <c r="H5" s="868"/>
      <c r="I5" s="869" t="s">
        <v>113</v>
      </c>
      <c r="J5" s="868"/>
      <c r="K5" s="868"/>
      <c r="L5" s="870"/>
      <c r="M5" s="870"/>
      <c r="N5" s="870"/>
      <c r="O5" s="870"/>
    </row>
    <row r="6" spans="1:17" s="1" customFormat="1" x14ac:dyDescent="0.2">
      <c r="A6" s="871" t="s">
        <v>114</v>
      </c>
      <c r="B6" s="872"/>
      <c r="C6" s="872"/>
      <c r="D6" s="868" t="s">
        <v>576</v>
      </c>
      <c r="E6" s="868"/>
      <c r="F6" s="868"/>
      <c r="G6" s="871" t="s">
        <v>115</v>
      </c>
      <c r="H6" s="871"/>
      <c r="I6" s="2" t="s">
        <v>116</v>
      </c>
      <c r="J6" s="888"/>
      <c r="K6" s="888"/>
      <c r="L6" s="888"/>
      <c r="M6" s="888"/>
      <c r="N6" s="888"/>
      <c r="O6" s="889"/>
    </row>
    <row r="7" spans="1:17" s="1" customFormat="1" ht="13.5" thickBot="1" x14ac:dyDescent="0.25">
      <c r="A7" s="3"/>
      <c r="B7" s="4"/>
      <c r="C7" s="5"/>
      <c r="D7" s="6"/>
      <c r="E7" s="6"/>
      <c r="F7" s="6"/>
      <c r="G7" s="6"/>
      <c r="H7" s="6"/>
      <c r="I7" s="6"/>
      <c r="J7" s="7"/>
      <c r="K7" s="8"/>
      <c r="L7" s="875" t="s">
        <v>223</v>
      </c>
      <c r="M7" s="875"/>
      <c r="N7" s="875"/>
      <c r="O7" s="875"/>
    </row>
    <row r="8" spans="1:17" s="11" customFormat="1" ht="16.5" customHeight="1" x14ac:dyDescent="0.2">
      <c r="A8" s="876" t="str">
        <f>I1</f>
        <v>Mr. P. B. Tuse</v>
      </c>
      <c r="B8" s="877"/>
      <c r="C8" s="9">
        <v>43160</v>
      </c>
      <c r="D8" s="9">
        <v>43191</v>
      </c>
      <c r="E8" s="9">
        <v>43221</v>
      </c>
      <c r="F8" s="9">
        <v>43252</v>
      </c>
      <c r="G8" s="9">
        <v>43282</v>
      </c>
      <c r="H8" s="9">
        <v>43313</v>
      </c>
      <c r="I8" s="9">
        <v>43344</v>
      </c>
      <c r="J8" s="9">
        <v>43374</v>
      </c>
      <c r="K8" s="9">
        <v>43405</v>
      </c>
      <c r="L8" s="9">
        <v>43435</v>
      </c>
      <c r="M8" s="9">
        <v>43466</v>
      </c>
      <c r="N8" s="9">
        <v>43497</v>
      </c>
      <c r="O8" s="10" t="s">
        <v>117</v>
      </c>
      <c r="Q8" s="11" t="s">
        <v>116</v>
      </c>
    </row>
    <row r="9" spans="1:17" ht="15" x14ac:dyDescent="0.2">
      <c r="A9" s="12"/>
      <c r="B9" s="13" t="s">
        <v>118</v>
      </c>
      <c r="C9" s="14">
        <v>88700</v>
      </c>
      <c r="D9" s="14">
        <f>+C9</f>
        <v>88700</v>
      </c>
      <c r="E9" s="14">
        <f>+D9</f>
        <v>88700</v>
      </c>
      <c r="F9" s="14">
        <v>0</v>
      </c>
      <c r="G9" s="14">
        <v>0</v>
      </c>
      <c r="H9" s="14">
        <v>0</v>
      </c>
      <c r="I9" s="14">
        <v>0</v>
      </c>
      <c r="J9" s="14">
        <v>0</v>
      </c>
      <c r="K9" s="14">
        <v>0</v>
      </c>
      <c r="L9" s="14">
        <v>0</v>
      </c>
      <c r="M9" s="14">
        <v>0</v>
      </c>
      <c r="N9" s="14">
        <v>0</v>
      </c>
      <c r="O9" s="15">
        <f>SUM(C9:N9)</f>
        <v>266100</v>
      </c>
      <c r="Q9" s="16" t="s">
        <v>222</v>
      </c>
    </row>
    <row r="10" spans="1:17" ht="15" x14ac:dyDescent="0.2">
      <c r="A10" s="12"/>
      <c r="B10" s="13" t="s">
        <v>119</v>
      </c>
      <c r="C10" s="17">
        <v>0</v>
      </c>
      <c r="D10" s="17">
        <f>+C10</f>
        <v>0</v>
      </c>
      <c r="E10" s="17">
        <f t="shared" ref="E10:N25" si="0">+D10</f>
        <v>0</v>
      </c>
      <c r="F10" s="17">
        <f t="shared" si="0"/>
        <v>0</v>
      </c>
      <c r="G10" s="17">
        <f t="shared" si="0"/>
        <v>0</v>
      </c>
      <c r="H10" s="17">
        <v>0</v>
      </c>
      <c r="I10" s="17">
        <f t="shared" si="0"/>
        <v>0</v>
      </c>
      <c r="J10" s="17">
        <f t="shared" si="0"/>
        <v>0</v>
      </c>
      <c r="K10" s="17">
        <f t="shared" si="0"/>
        <v>0</v>
      </c>
      <c r="L10" s="17">
        <f t="shared" si="0"/>
        <v>0</v>
      </c>
      <c r="M10" s="17">
        <f t="shared" si="0"/>
        <v>0</v>
      </c>
      <c r="N10" s="17">
        <f t="shared" si="0"/>
        <v>0</v>
      </c>
      <c r="O10" s="18">
        <f>SUM(C10:N10)</f>
        <v>0</v>
      </c>
    </row>
    <row r="11" spans="1:17" ht="15" x14ac:dyDescent="0.2">
      <c r="A11" s="12"/>
      <c r="B11" s="13" t="s">
        <v>120</v>
      </c>
      <c r="C11" s="17">
        <v>4435</v>
      </c>
      <c r="D11" s="17">
        <v>6209</v>
      </c>
      <c r="E11" s="17">
        <f t="shared" si="0"/>
        <v>6209</v>
      </c>
      <c r="F11" s="17">
        <v>0</v>
      </c>
      <c r="G11" s="17">
        <v>0</v>
      </c>
      <c r="H11" s="17">
        <v>0</v>
      </c>
      <c r="I11" s="17">
        <f t="shared" si="0"/>
        <v>0</v>
      </c>
      <c r="J11" s="17">
        <f t="shared" si="0"/>
        <v>0</v>
      </c>
      <c r="K11" s="17">
        <f t="shared" si="0"/>
        <v>0</v>
      </c>
      <c r="L11" s="17">
        <f t="shared" si="0"/>
        <v>0</v>
      </c>
      <c r="M11" s="17">
        <f t="shared" si="0"/>
        <v>0</v>
      </c>
      <c r="N11" s="17">
        <f t="shared" si="0"/>
        <v>0</v>
      </c>
      <c r="O11" s="18">
        <f>SUM(C11:N11)</f>
        <v>16853</v>
      </c>
    </row>
    <row r="12" spans="1:17" ht="15" x14ac:dyDescent="0.2">
      <c r="A12" s="12"/>
      <c r="B12" s="13" t="s">
        <v>710</v>
      </c>
      <c r="C12" s="17">
        <v>0</v>
      </c>
      <c r="D12" s="17">
        <f>+C12</f>
        <v>0</v>
      </c>
      <c r="E12" s="17">
        <f t="shared" si="0"/>
        <v>0</v>
      </c>
      <c r="F12" s="17">
        <f>+E12</f>
        <v>0</v>
      </c>
      <c r="G12" s="17">
        <f>+F12</f>
        <v>0</v>
      </c>
      <c r="H12" s="17">
        <v>0</v>
      </c>
      <c r="I12" s="17">
        <f t="shared" si="0"/>
        <v>0</v>
      </c>
      <c r="J12" s="17">
        <f t="shared" si="0"/>
        <v>0</v>
      </c>
      <c r="K12" s="17">
        <f t="shared" si="0"/>
        <v>0</v>
      </c>
      <c r="L12" s="17">
        <f t="shared" si="0"/>
        <v>0</v>
      </c>
      <c r="M12" s="17">
        <f t="shared" si="0"/>
        <v>0</v>
      </c>
      <c r="N12" s="17">
        <f t="shared" si="0"/>
        <v>0</v>
      </c>
      <c r="O12" s="18">
        <f>SUM(C12:N12)</f>
        <v>0</v>
      </c>
    </row>
    <row r="13" spans="1:17" ht="15" x14ac:dyDescent="0.2">
      <c r="A13" s="12"/>
      <c r="B13" s="13" t="s">
        <v>122</v>
      </c>
      <c r="C13" s="17">
        <v>0</v>
      </c>
      <c r="D13" s="17">
        <f>+C13</f>
        <v>0</v>
      </c>
      <c r="E13" s="17">
        <f t="shared" si="0"/>
        <v>0</v>
      </c>
      <c r="F13" s="17">
        <f>+E13</f>
        <v>0</v>
      </c>
      <c r="G13" s="17">
        <f>+F13</f>
        <v>0</v>
      </c>
      <c r="H13" s="17">
        <v>0</v>
      </c>
      <c r="I13" s="17">
        <f t="shared" si="0"/>
        <v>0</v>
      </c>
      <c r="J13" s="17">
        <f t="shared" si="0"/>
        <v>0</v>
      </c>
      <c r="K13" s="17">
        <f t="shared" si="0"/>
        <v>0</v>
      </c>
      <c r="L13" s="17">
        <f t="shared" si="0"/>
        <v>0</v>
      </c>
      <c r="M13" s="17">
        <f t="shared" si="0"/>
        <v>0</v>
      </c>
      <c r="N13" s="17">
        <f t="shared" si="0"/>
        <v>0</v>
      </c>
      <c r="O13" s="18">
        <f t="shared" ref="O13:O36" si="1">SUM(C13:N13)</f>
        <v>0</v>
      </c>
    </row>
    <row r="14" spans="1:17" ht="15" x14ac:dyDescent="0.2">
      <c r="A14" s="12"/>
      <c r="B14" s="13" t="s">
        <v>123</v>
      </c>
      <c r="C14" s="17">
        <v>3780</v>
      </c>
      <c r="D14" s="17">
        <v>3852</v>
      </c>
      <c r="E14" s="17">
        <f t="shared" si="0"/>
        <v>3852</v>
      </c>
      <c r="F14" s="17">
        <v>0</v>
      </c>
      <c r="G14" s="17">
        <f>+F14</f>
        <v>0</v>
      </c>
      <c r="H14" s="17">
        <v>0</v>
      </c>
      <c r="I14" s="17">
        <f t="shared" si="0"/>
        <v>0</v>
      </c>
      <c r="J14" s="17">
        <f t="shared" si="0"/>
        <v>0</v>
      </c>
      <c r="K14" s="17">
        <f t="shared" si="0"/>
        <v>0</v>
      </c>
      <c r="L14" s="17">
        <f t="shared" si="0"/>
        <v>0</v>
      </c>
      <c r="M14" s="17">
        <f t="shared" si="0"/>
        <v>0</v>
      </c>
      <c r="N14" s="17">
        <f t="shared" si="0"/>
        <v>0</v>
      </c>
      <c r="O14" s="18">
        <f t="shared" si="1"/>
        <v>11484</v>
      </c>
    </row>
    <row r="15" spans="1:17" ht="18" customHeight="1" x14ac:dyDescent="0.2">
      <c r="A15" s="12"/>
      <c r="B15" s="217" t="s">
        <v>280</v>
      </c>
      <c r="C15" s="17">
        <v>0</v>
      </c>
      <c r="D15" s="17">
        <f t="shared" ref="D15:G34" si="2">+C15</f>
        <v>0</v>
      </c>
      <c r="E15" s="17">
        <f t="shared" si="0"/>
        <v>0</v>
      </c>
      <c r="F15" s="17">
        <f>+E15</f>
        <v>0</v>
      </c>
      <c r="G15" s="17">
        <f>+F15</f>
        <v>0</v>
      </c>
      <c r="H15" s="17">
        <v>0</v>
      </c>
      <c r="I15" s="17">
        <f t="shared" si="0"/>
        <v>0</v>
      </c>
      <c r="J15" s="17">
        <f t="shared" si="0"/>
        <v>0</v>
      </c>
      <c r="K15" s="17">
        <f t="shared" si="0"/>
        <v>0</v>
      </c>
      <c r="L15" s="17">
        <f t="shared" si="0"/>
        <v>0</v>
      </c>
      <c r="M15" s="17">
        <f t="shared" si="0"/>
        <v>0</v>
      </c>
      <c r="N15" s="17">
        <f t="shared" si="0"/>
        <v>0</v>
      </c>
      <c r="O15" s="18">
        <f t="shared" si="1"/>
        <v>0</v>
      </c>
    </row>
    <row r="16" spans="1:17" ht="15" x14ac:dyDescent="0.2">
      <c r="A16" s="12"/>
      <c r="B16" s="13" t="s">
        <v>132</v>
      </c>
      <c r="C16" s="17">
        <v>0</v>
      </c>
      <c r="D16" s="17">
        <f t="shared" si="2"/>
        <v>0</v>
      </c>
      <c r="E16" s="17">
        <f t="shared" si="0"/>
        <v>0</v>
      </c>
      <c r="F16" s="17">
        <f>+E16</f>
        <v>0</v>
      </c>
      <c r="G16" s="17">
        <f>+F16</f>
        <v>0</v>
      </c>
      <c r="H16" s="17">
        <v>0</v>
      </c>
      <c r="I16" s="17">
        <f t="shared" si="0"/>
        <v>0</v>
      </c>
      <c r="J16" s="17">
        <v>6908</v>
      </c>
      <c r="K16" s="17">
        <v>0</v>
      </c>
      <c r="L16" s="17">
        <f t="shared" si="0"/>
        <v>0</v>
      </c>
      <c r="M16" s="17">
        <f t="shared" si="0"/>
        <v>0</v>
      </c>
      <c r="N16" s="17">
        <f t="shared" si="0"/>
        <v>0</v>
      </c>
      <c r="O16" s="18">
        <f t="shared" si="1"/>
        <v>6908</v>
      </c>
    </row>
    <row r="17" spans="1:19" ht="45" x14ac:dyDescent="0.2">
      <c r="A17" s="12"/>
      <c r="B17" s="13" t="s">
        <v>246</v>
      </c>
      <c r="C17" s="17">
        <v>0</v>
      </c>
      <c r="D17" s="17">
        <f t="shared" si="2"/>
        <v>0</v>
      </c>
      <c r="E17" s="17">
        <f t="shared" si="0"/>
        <v>0</v>
      </c>
      <c r="F17" s="17">
        <f>+E17</f>
        <v>0</v>
      </c>
      <c r="G17" s="17">
        <f>+F17</f>
        <v>0</v>
      </c>
      <c r="H17" s="17">
        <v>0</v>
      </c>
      <c r="I17" s="17">
        <v>0</v>
      </c>
      <c r="J17" s="17">
        <f>+I17</f>
        <v>0</v>
      </c>
      <c r="K17" s="17">
        <f>+J17</f>
        <v>0</v>
      </c>
      <c r="L17" s="17">
        <f>+K17</f>
        <v>0</v>
      </c>
      <c r="M17" s="17">
        <f>+L17</f>
        <v>0</v>
      </c>
      <c r="N17" s="17">
        <f>+M17</f>
        <v>0</v>
      </c>
      <c r="O17" s="18">
        <f t="shared" si="1"/>
        <v>0</v>
      </c>
    </row>
    <row r="18" spans="1:19" ht="15" customHeight="1" x14ac:dyDescent="0.2">
      <c r="A18" s="12"/>
      <c r="B18" s="13" t="s">
        <v>458</v>
      </c>
      <c r="C18" s="17">
        <v>0</v>
      </c>
      <c r="D18" s="17">
        <f t="shared" si="2"/>
        <v>0</v>
      </c>
      <c r="E18" s="17">
        <f t="shared" si="0"/>
        <v>0</v>
      </c>
      <c r="F18" s="17">
        <f>+E18</f>
        <v>0</v>
      </c>
      <c r="G18" s="17">
        <f>+F18</f>
        <v>0</v>
      </c>
      <c r="H18" s="17">
        <v>0</v>
      </c>
      <c r="I18" s="17">
        <f t="shared" ref="I18:N33" si="3">+H18</f>
        <v>0</v>
      </c>
      <c r="J18" s="17">
        <f t="shared" si="3"/>
        <v>0</v>
      </c>
      <c r="K18" s="17">
        <f t="shared" si="3"/>
        <v>0</v>
      </c>
      <c r="L18" s="17">
        <f t="shared" si="3"/>
        <v>0</v>
      </c>
      <c r="M18" s="17">
        <f t="shared" si="3"/>
        <v>0</v>
      </c>
      <c r="N18" s="17">
        <f t="shared" si="3"/>
        <v>0</v>
      </c>
      <c r="O18" s="18">
        <f t="shared" si="1"/>
        <v>0</v>
      </c>
    </row>
    <row r="19" spans="1:19" ht="15" x14ac:dyDescent="0.2">
      <c r="A19" s="12"/>
      <c r="B19" s="13" t="s">
        <v>128</v>
      </c>
      <c r="C19" s="17">
        <v>21288</v>
      </c>
      <c r="D19" s="17">
        <f t="shared" si="2"/>
        <v>21288</v>
      </c>
      <c r="E19" s="17">
        <f t="shared" si="0"/>
        <v>21288</v>
      </c>
      <c r="F19" s="17">
        <v>0</v>
      </c>
      <c r="G19" s="17">
        <v>0</v>
      </c>
      <c r="H19" s="17">
        <v>0</v>
      </c>
      <c r="I19" s="17">
        <f t="shared" si="3"/>
        <v>0</v>
      </c>
      <c r="J19" s="17">
        <f t="shared" si="3"/>
        <v>0</v>
      </c>
      <c r="K19" s="17">
        <f t="shared" si="3"/>
        <v>0</v>
      </c>
      <c r="L19" s="17">
        <f t="shared" si="3"/>
        <v>0</v>
      </c>
      <c r="M19" s="17">
        <f t="shared" si="3"/>
        <v>0</v>
      </c>
      <c r="N19" s="17">
        <f t="shared" si="3"/>
        <v>0</v>
      </c>
      <c r="O19" s="18">
        <f t="shared" si="1"/>
        <v>63864</v>
      </c>
    </row>
    <row r="20" spans="1:19" ht="15" x14ac:dyDescent="0.2">
      <c r="A20" s="12"/>
      <c r="B20" s="13" t="s">
        <v>129</v>
      </c>
      <c r="C20" s="17">
        <v>0</v>
      </c>
      <c r="D20" s="17">
        <f t="shared" si="2"/>
        <v>0</v>
      </c>
      <c r="E20" s="17">
        <f t="shared" si="0"/>
        <v>0</v>
      </c>
      <c r="F20" s="17">
        <f t="shared" si="0"/>
        <v>0</v>
      </c>
      <c r="G20" s="17">
        <f t="shared" si="0"/>
        <v>0</v>
      </c>
      <c r="H20" s="17">
        <v>0</v>
      </c>
      <c r="I20" s="17">
        <f t="shared" si="3"/>
        <v>0</v>
      </c>
      <c r="J20" s="17">
        <f t="shared" si="3"/>
        <v>0</v>
      </c>
      <c r="K20" s="17">
        <f t="shared" si="3"/>
        <v>0</v>
      </c>
      <c r="L20" s="17">
        <f t="shared" si="3"/>
        <v>0</v>
      </c>
      <c r="M20" s="17">
        <f t="shared" si="3"/>
        <v>0</v>
      </c>
      <c r="N20" s="17">
        <f t="shared" si="3"/>
        <v>0</v>
      </c>
      <c r="O20" s="18">
        <f t="shared" si="1"/>
        <v>0</v>
      </c>
    </row>
    <row r="21" spans="1:19" ht="17.25" hidden="1" customHeight="1" x14ac:dyDescent="0.2">
      <c r="A21" s="878" t="s">
        <v>130</v>
      </c>
      <c r="B21" s="290" t="s">
        <v>246</v>
      </c>
      <c r="C21" s="17">
        <v>0</v>
      </c>
      <c r="D21" s="17">
        <f t="shared" si="2"/>
        <v>0</v>
      </c>
      <c r="E21" s="17">
        <f t="shared" si="0"/>
        <v>0</v>
      </c>
      <c r="F21" s="17">
        <f t="shared" si="0"/>
        <v>0</v>
      </c>
      <c r="G21" s="17">
        <f t="shared" si="0"/>
        <v>0</v>
      </c>
      <c r="H21" s="17">
        <v>0</v>
      </c>
      <c r="I21" s="17">
        <f t="shared" si="3"/>
        <v>0</v>
      </c>
      <c r="J21" s="17">
        <f t="shared" si="3"/>
        <v>0</v>
      </c>
      <c r="K21" s="17">
        <f t="shared" si="3"/>
        <v>0</v>
      </c>
      <c r="L21" s="17">
        <f t="shared" si="3"/>
        <v>0</v>
      </c>
      <c r="M21" s="17">
        <f t="shared" si="3"/>
        <v>0</v>
      </c>
      <c r="N21" s="17">
        <f t="shared" si="3"/>
        <v>0</v>
      </c>
      <c r="O21" s="18">
        <f t="shared" si="1"/>
        <v>0</v>
      </c>
      <c r="S21" s="16">
        <v>25200</v>
      </c>
    </row>
    <row r="22" spans="1:19" ht="15" hidden="1" customHeight="1" x14ac:dyDescent="0.2">
      <c r="A22" s="879"/>
      <c r="B22" s="19" t="s">
        <v>132</v>
      </c>
      <c r="C22" s="17">
        <v>0</v>
      </c>
      <c r="D22" s="17">
        <f t="shared" si="2"/>
        <v>0</v>
      </c>
      <c r="E22" s="17">
        <f t="shared" si="0"/>
        <v>0</v>
      </c>
      <c r="F22" s="17">
        <f t="shared" si="0"/>
        <v>0</v>
      </c>
      <c r="G22" s="17">
        <f t="shared" si="0"/>
        <v>0</v>
      </c>
      <c r="H22" s="17">
        <v>0</v>
      </c>
      <c r="I22" s="17">
        <f t="shared" si="3"/>
        <v>0</v>
      </c>
      <c r="J22" s="17">
        <f t="shared" si="3"/>
        <v>0</v>
      </c>
      <c r="K22" s="17">
        <f t="shared" si="3"/>
        <v>0</v>
      </c>
      <c r="L22" s="17">
        <f t="shared" si="3"/>
        <v>0</v>
      </c>
      <c r="M22" s="17">
        <f t="shared" si="3"/>
        <v>0</v>
      </c>
      <c r="N22" s="17">
        <f t="shared" si="3"/>
        <v>0</v>
      </c>
      <c r="O22" s="18">
        <f t="shared" si="1"/>
        <v>0</v>
      </c>
    </row>
    <row r="23" spans="1:19" ht="15" hidden="1" customHeight="1" x14ac:dyDescent="0.2">
      <c r="A23" s="879"/>
      <c r="B23" s="19" t="s">
        <v>133</v>
      </c>
      <c r="C23" s="17">
        <v>0</v>
      </c>
      <c r="D23" s="17">
        <f t="shared" si="2"/>
        <v>0</v>
      </c>
      <c r="E23" s="17">
        <f t="shared" si="0"/>
        <v>0</v>
      </c>
      <c r="F23" s="17">
        <f t="shared" si="0"/>
        <v>0</v>
      </c>
      <c r="G23" s="17">
        <f t="shared" si="0"/>
        <v>0</v>
      </c>
      <c r="H23" s="17">
        <v>0</v>
      </c>
      <c r="I23" s="17">
        <f t="shared" si="3"/>
        <v>0</v>
      </c>
      <c r="J23" s="17">
        <f t="shared" si="3"/>
        <v>0</v>
      </c>
      <c r="K23" s="17">
        <f t="shared" si="3"/>
        <v>0</v>
      </c>
      <c r="L23" s="17">
        <f t="shared" si="3"/>
        <v>0</v>
      </c>
      <c r="M23" s="17">
        <f t="shared" si="3"/>
        <v>0</v>
      </c>
      <c r="N23" s="17">
        <f t="shared" si="3"/>
        <v>0</v>
      </c>
      <c r="O23" s="18">
        <f t="shared" si="1"/>
        <v>0</v>
      </c>
    </row>
    <row r="24" spans="1:19" ht="15" hidden="1" customHeight="1" x14ac:dyDescent="0.2">
      <c r="A24" s="879"/>
      <c r="B24" s="19" t="s">
        <v>134</v>
      </c>
      <c r="C24" s="17">
        <v>0</v>
      </c>
      <c r="D24" s="17">
        <f t="shared" si="2"/>
        <v>0</v>
      </c>
      <c r="E24" s="17">
        <f t="shared" si="0"/>
        <v>0</v>
      </c>
      <c r="F24" s="17">
        <f t="shared" si="0"/>
        <v>0</v>
      </c>
      <c r="G24" s="17">
        <f t="shared" si="0"/>
        <v>0</v>
      </c>
      <c r="H24" s="17">
        <v>0</v>
      </c>
      <c r="I24" s="17">
        <f t="shared" si="3"/>
        <v>0</v>
      </c>
      <c r="J24" s="17">
        <f t="shared" si="3"/>
        <v>0</v>
      </c>
      <c r="K24" s="17">
        <f t="shared" si="3"/>
        <v>0</v>
      </c>
      <c r="L24" s="17">
        <f t="shared" si="3"/>
        <v>0</v>
      </c>
      <c r="M24" s="17">
        <f t="shared" si="3"/>
        <v>0</v>
      </c>
      <c r="N24" s="17">
        <f t="shared" si="3"/>
        <v>0</v>
      </c>
      <c r="O24" s="18">
        <f t="shared" si="1"/>
        <v>0</v>
      </c>
    </row>
    <row r="25" spans="1:19" ht="15" hidden="1" customHeight="1" x14ac:dyDescent="0.2">
      <c r="A25" s="879"/>
      <c r="B25" s="19" t="s">
        <v>135</v>
      </c>
      <c r="C25" s="17">
        <v>0</v>
      </c>
      <c r="D25" s="17">
        <f t="shared" si="2"/>
        <v>0</v>
      </c>
      <c r="E25" s="17">
        <f t="shared" si="0"/>
        <v>0</v>
      </c>
      <c r="F25" s="17">
        <f t="shared" si="0"/>
        <v>0</v>
      </c>
      <c r="G25" s="17">
        <f t="shared" si="0"/>
        <v>0</v>
      </c>
      <c r="H25" s="17">
        <v>0</v>
      </c>
      <c r="I25" s="17">
        <f t="shared" si="3"/>
        <v>0</v>
      </c>
      <c r="J25" s="17">
        <f t="shared" si="3"/>
        <v>0</v>
      </c>
      <c r="K25" s="17">
        <f t="shared" si="3"/>
        <v>0</v>
      </c>
      <c r="L25" s="17">
        <f t="shared" si="3"/>
        <v>0</v>
      </c>
      <c r="M25" s="17">
        <f t="shared" si="3"/>
        <v>0</v>
      </c>
      <c r="N25" s="17">
        <f t="shared" si="3"/>
        <v>0</v>
      </c>
      <c r="O25" s="18">
        <f t="shared" si="1"/>
        <v>0</v>
      </c>
    </row>
    <row r="26" spans="1:19" ht="15" hidden="1" customHeight="1" x14ac:dyDescent="0.2">
      <c r="A26" s="879"/>
      <c r="B26" s="19" t="s">
        <v>136</v>
      </c>
      <c r="C26" s="17">
        <v>0</v>
      </c>
      <c r="D26" s="17">
        <f t="shared" si="2"/>
        <v>0</v>
      </c>
      <c r="E26" s="17">
        <f t="shared" si="2"/>
        <v>0</v>
      </c>
      <c r="F26" s="17">
        <f t="shared" si="2"/>
        <v>0</v>
      </c>
      <c r="G26" s="17">
        <f t="shared" si="2"/>
        <v>0</v>
      </c>
      <c r="H26" s="17">
        <v>0</v>
      </c>
      <c r="I26" s="17">
        <f t="shared" si="3"/>
        <v>0</v>
      </c>
      <c r="J26" s="17">
        <f t="shared" si="3"/>
        <v>0</v>
      </c>
      <c r="K26" s="17">
        <f t="shared" si="3"/>
        <v>0</v>
      </c>
      <c r="L26" s="17">
        <f t="shared" si="3"/>
        <v>0</v>
      </c>
      <c r="M26" s="17">
        <f t="shared" si="3"/>
        <v>0</v>
      </c>
      <c r="N26" s="17">
        <f t="shared" si="3"/>
        <v>0</v>
      </c>
      <c r="O26" s="18">
        <f t="shared" si="1"/>
        <v>0</v>
      </c>
    </row>
    <row r="27" spans="1:19" ht="15" hidden="1" customHeight="1" x14ac:dyDescent="0.2">
      <c r="A27" s="879"/>
      <c r="B27" s="19" t="s">
        <v>137</v>
      </c>
      <c r="C27" s="17">
        <v>0</v>
      </c>
      <c r="D27" s="17">
        <f t="shared" si="2"/>
        <v>0</v>
      </c>
      <c r="E27" s="17">
        <f t="shared" si="2"/>
        <v>0</v>
      </c>
      <c r="F27" s="17">
        <f t="shared" si="2"/>
        <v>0</v>
      </c>
      <c r="G27" s="17">
        <f t="shared" si="2"/>
        <v>0</v>
      </c>
      <c r="H27" s="17">
        <v>0</v>
      </c>
      <c r="I27" s="17">
        <f t="shared" si="3"/>
        <v>0</v>
      </c>
      <c r="J27" s="17">
        <f t="shared" si="3"/>
        <v>0</v>
      </c>
      <c r="K27" s="17">
        <f t="shared" si="3"/>
        <v>0</v>
      </c>
      <c r="L27" s="17">
        <f t="shared" si="3"/>
        <v>0</v>
      </c>
      <c r="M27" s="17">
        <f t="shared" si="3"/>
        <v>0</v>
      </c>
      <c r="N27" s="17">
        <f t="shared" si="3"/>
        <v>0</v>
      </c>
      <c r="O27" s="18">
        <f t="shared" si="1"/>
        <v>0</v>
      </c>
    </row>
    <row r="28" spans="1:19" ht="15" hidden="1" customHeight="1" x14ac:dyDescent="0.2">
      <c r="A28" s="879"/>
      <c r="B28" s="19" t="s">
        <v>138</v>
      </c>
      <c r="C28" s="17">
        <v>0</v>
      </c>
      <c r="D28" s="17">
        <f t="shared" si="2"/>
        <v>0</v>
      </c>
      <c r="E28" s="17">
        <f t="shared" si="2"/>
        <v>0</v>
      </c>
      <c r="F28" s="17">
        <f t="shared" si="2"/>
        <v>0</v>
      </c>
      <c r="G28" s="17">
        <f t="shared" si="2"/>
        <v>0</v>
      </c>
      <c r="H28" s="17">
        <v>0</v>
      </c>
      <c r="I28" s="17">
        <f t="shared" si="3"/>
        <v>0</v>
      </c>
      <c r="J28" s="17">
        <f t="shared" si="3"/>
        <v>0</v>
      </c>
      <c r="K28" s="17">
        <f t="shared" si="3"/>
        <v>0</v>
      </c>
      <c r="L28" s="17">
        <f t="shared" si="3"/>
        <v>0</v>
      </c>
      <c r="M28" s="17">
        <f t="shared" si="3"/>
        <v>0</v>
      </c>
      <c r="N28" s="17">
        <f t="shared" si="3"/>
        <v>0</v>
      </c>
      <c r="O28" s="18">
        <f t="shared" si="1"/>
        <v>0</v>
      </c>
    </row>
    <row r="29" spans="1:19" ht="15" hidden="1" customHeight="1" x14ac:dyDescent="0.2">
      <c r="A29" s="879"/>
      <c r="B29" s="19" t="s">
        <v>139</v>
      </c>
      <c r="C29" s="17">
        <v>0</v>
      </c>
      <c r="D29" s="17">
        <f t="shared" si="2"/>
        <v>0</v>
      </c>
      <c r="E29" s="17">
        <f t="shared" si="2"/>
        <v>0</v>
      </c>
      <c r="F29" s="17">
        <f t="shared" si="2"/>
        <v>0</v>
      </c>
      <c r="G29" s="17">
        <f t="shared" si="2"/>
        <v>0</v>
      </c>
      <c r="H29" s="17">
        <v>0</v>
      </c>
      <c r="I29" s="17">
        <f t="shared" si="3"/>
        <v>0</v>
      </c>
      <c r="J29" s="17">
        <f t="shared" si="3"/>
        <v>0</v>
      </c>
      <c r="K29" s="17">
        <f t="shared" si="3"/>
        <v>0</v>
      </c>
      <c r="L29" s="17">
        <f t="shared" si="3"/>
        <v>0</v>
      </c>
      <c r="M29" s="17">
        <f t="shared" si="3"/>
        <v>0</v>
      </c>
      <c r="N29" s="17">
        <f t="shared" si="3"/>
        <v>0</v>
      </c>
      <c r="O29" s="18">
        <f t="shared" si="1"/>
        <v>0</v>
      </c>
    </row>
    <row r="30" spans="1:19" ht="15" hidden="1" customHeight="1" x14ac:dyDescent="0.2">
      <c r="A30" s="879"/>
      <c r="B30" s="19" t="s">
        <v>140</v>
      </c>
      <c r="C30" s="17">
        <v>0</v>
      </c>
      <c r="D30" s="17">
        <f t="shared" si="2"/>
        <v>0</v>
      </c>
      <c r="E30" s="17">
        <f t="shared" si="2"/>
        <v>0</v>
      </c>
      <c r="F30" s="17">
        <f t="shared" si="2"/>
        <v>0</v>
      </c>
      <c r="G30" s="17">
        <f t="shared" si="2"/>
        <v>0</v>
      </c>
      <c r="H30" s="17">
        <v>0</v>
      </c>
      <c r="I30" s="17">
        <f t="shared" si="3"/>
        <v>0</v>
      </c>
      <c r="J30" s="17">
        <f t="shared" si="3"/>
        <v>0</v>
      </c>
      <c r="K30" s="17">
        <f t="shared" si="3"/>
        <v>0</v>
      </c>
      <c r="L30" s="17">
        <f t="shared" si="3"/>
        <v>0</v>
      </c>
      <c r="M30" s="17">
        <f t="shared" si="3"/>
        <v>0</v>
      </c>
      <c r="N30" s="17">
        <f t="shared" si="3"/>
        <v>0</v>
      </c>
      <c r="O30" s="18">
        <f t="shared" si="1"/>
        <v>0</v>
      </c>
    </row>
    <row r="31" spans="1:19" ht="15" hidden="1" customHeight="1" x14ac:dyDescent="0.2">
      <c r="A31" s="879"/>
      <c r="B31" s="19" t="s">
        <v>225</v>
      </c>
      <c r="C31" s="17">
        <v>0</v>
      </c>
      <c r="D31" s="17">
        <f t="shared" si="2"/>
        <v>0</v>
      </c>
      <c r="E31" s="17">
        <f t="shared" si="2"/>
        <v>0</v>
      </c>
      <c r="F31" s="17">
        <f t="shared" si="2"/>
        <v>0</v>
      </c>
      <c r="G31" s="17">
        <f t="shared" si="2"/>
        <v>0</v>
      </c>
      <c r="H31" s="17">
        <v>0</v>
      </c>
      <c r="I31" s="17">
        <f t="shared" si="3"/>
        <v>0</v>
      </c>
      <c r="J31" s="17">
        <f t="shared" si="3"/>
        <v>0</v>
      </c>
      <c r="K31" s="17">
        <f t="shared" si="3"/>
        <v>0</v>
      </c>
      <c r="L31" s="17">
        <f t="shared" si="3"/>
        <v>0</v>
      </c>
      <c r="M31" s="17">
        <f t="shared" si="3"/>
        <v>0</v>
      </c>
      <c r="N31" s="17">
        <f t="shared" si="3"/>
        <v>0</v>
      </c>
      <c r="O31" s="18">
        <f t="shared" si="1"/>
        <v>0</v>
      </c>
    </row>
    <row r="32" spans="1:19" ht="15" hidden="1" customHeight="1" x14ac:dyDescent="0.2">
      <c r="A32" s="879"/>
      <c r="B32" s="21" t="s">
        <v>142</v>
      </c>
      <c r="C32" s="17">
        <v>0</v>
      </c>
      <c r="D32" s="17">
        <f t="shared" si="2"/>
        <v>0</v>
      </c>
      <c r="E32" s="17">
        <f t="shared" si="2"/>
        <v>0</v>
      </c>
      <c r="F32" s="17">
        <f t="shared" si="2"/>
        <v>0</v>
      </c>
      <c r="G32" s="17">
        <f t="shared" si="2"/>
        <v>0</v>
      </c>
      <c r="H32" s="17">
        <v>0</v>
      </c>
      <c r="I32" s="17">
        <f t="shared" si="3"/>
        <v>0</v>
      </c>
      <c r="J32" s="17">
        <f t="shared" si="3"/>
        <v>0</v>
      </c>
      <c r="K32" s="17">
        <f t="shared" si="3"/>
        <v>0</v>
      </c>
      <c r="L32" s="17">
        <f t="shared" si="3"/>
        <v>0</v>
      </c>
      <c r="M32" s="17">
        <f t="shared" si="3"/>
        <v>0</v>
      </c>
      <c r="N32" s="17">
        <f t="shared" si="3"/>
        <v>0</v>
      </c>
      <c r="O32" s="18">
        <f t="shared" si="1"/>
        <v>0</v>
      </c>
    </row>
    <row r="33" spans="1:17" ht="19.5" hidden="1" customHeight="1" x14ac:dyDescent="0.2">
      <c r="A33" s="880"/>
      <c r="B33" s="19" t="s">
        <v>226</v>
      </c>
      <c r="C33" s="17">
        <v>0</v>
      </c>
      <c r="D33" s="17">
        <f t="shared" si="2"/>
        <v>0</v>
      </c>
      <c r="E33" s="17">
        <f t="shared" si="2"/>
        <v>0</v>
      </c>
      <c r="F33" s="17">
        <f t="shared" si="2"/>
        <v>0</v>
      </c>
      <c r="G33" s="17">
        <f t="shared" si="2"/>
        <v>0</v>
      </c>
      <c r="H33" s="17">
        <v>0</v>
      </c>
      <c r="I33" s="17">
        <f t="shared" si="3"/>
        <v>0</v>
      </c>
      <c r="J33" s="17">
        <f t="shared" si="3"/>
        <v>0</v>
      </c>
      <c r="K33" s="17">
        <f t="shared" si="3"/>
        <v>0</v>
      </c>
      <c r="L33" s="17">
        <f t="shared" si="3"/>
        <v>0</v>
      </c>
      <c r="M33" s="17">
        <f t="shared" si="3"/>
        <v>0</v>
      </c>
      <c r="N33" s="17">
        <f t="shared" si="3"/>
        <v>0</v>
      </c>
      <c r="O33" s="18">
        <f t="shared" si="1"/>
        <v>0</v>
      </c>
    </row>
    <row r="34" spans="1:17" ht="15" customHeight="1" x14ac:dyDescent="0.2">
      <c r="A34" s="219"/>
      <c r="B34" s="220" t="s">
        <v>142</v>
      </c>
      <c r="C34" s="17">
        <v>0</v>
      </c>
      <c r="D34" s="17">
        <f t="shared" si="2"/>
        <v>0</v>
      </c>
      <c r="E34" s="17">
        <f t="shared" si="2"/>
        <v>0</v>
      </c>
      <c r="F34" s="17">
        <f t="shared" si="2"/>
        <v>0</v>
      </c>
      <c r="G34" s="17">
        <f t="shared" si="2"/>
        <v>0</v>
      </c>
      <c r="H34" s="17">
        <v>0</v>
      </c>
      <c r="I34" s="17">
        <f t="shared" ref="I34:N36" si="4">+H34</f>
        <v>0</v>
      </c>
      <c r="J34" s="17">
        <f t="shared" si="4"/>
        <v>0</v>
      </c>
      <c r="K34" s="17">
        <f t="shared" si="4"/>
        <v>0</v>
      </c>
      <c r="L34" s="17">
        <f t="shared" si="4"/>
        <v>0</v>
      </c>
      <c r="M34" s="17">
        <f t="shared" si="4"/>
        <v>0</v>
      </c>
      <c r="N34" s="17">
        <f t="shared" si="4"/>
        <v>0</v>
      </c>
      <c r="O34" s="18">
        <f t="shared" si="1"/>
        <v>0</v>
      </c>
    </row>
    <row r="35" spans="1:17" ht="15" customHeight="1" x14ac:dyDescent="0.2">
      <c r="A35" s="865" t="s">
        <v>145</v>
      </c>
      <c r="B35" s="866"/>
      <c r="C35" s="17">
        <v>0</v>
      </c>
      <c r="D35" s="17">
        <v>216</v>
      </c>
      <c r="E35" s="17">
        <v>0</v>
      </c>
      <c r="F35" s="17">
        <f t="shared" ref="F35:G36" si="5">+E35</f>
        <v>0</v>
      </c>
      <c r="G35" s="17">
        <f t="shared" si="5"/>
        <v>0</v>
      </c>
      <c r="H35" s="17">
        <v>0</v>
      </c>
      <c r="I35" s="17">
        <f t="shared" si="4"/>
        <v>0</v>
      </c>
      <c r="J35" s="17">
        <f t="shared" si="4"/>
        <v>0</v>
      </c>
      <c r="K35" s="17">
        <f t="shared" si="4"/>
        <v>0</v>
      </c>
      <c r="L35" s="17">
        <f t="shared" si="4"/>
        <v>0</v>
      </c>
      <c r="M35" s="17">
        <f t="shared" si="4"/>
        <v>0</v>
      </c>
      <c r="N35" s="17">
        <f t="shared" si="4"/>
        <v>0</v>
      </c>
      <c r="O35" s="18">
        <f t="shared" si="1"/>
        <v>216</v>
      </c>
    </row>
    <row r="36" spans="1:17" ht="15" customHeight="1" x14ac:dyDescent="0.2">
      <c r="A36" s="865" t="s">
        <v>146</v>
      </c>
      <c r="B36" s="866"/>
      <c r="C36" s="17">
        <v>0</v>
      </c>
      <c r="D36" s="17">
        <v>5322</v>
      </c>
      <c r="E36" s="17">
        <v>0</v>
      </c>
      <c r="F36" s="17">
        <f t="shared" si="5"/>
        <v>0</v>
      </c>
      <c r="G36" s="17">
        <f t="shared" si="5"/>
        <v>0</v>
      </c>
      <c r="H36" s="17">
        <v>0</v>
      </c>
      <c r="I36" s="17">
        <f t="shared" si="4"/>
        <v>0</v>
      </c>
      <c r="J36" s="17">
        <f t="shared" si="4"/>
        <v>0</v>
      </c>
      <c r="K36" s="17">
        <f t="shared" si="4"/>
        <v>0</v>
      </c>
      <c r="L36" s="17">
        <f t="shared" si="4"/>
        <v>0</v>
      </c>
      <c r="M36" s="17">
        <f t="shared" si="4"/>
        <v>0</v>
      </c>
      <c r="N36" s="17">
        <f t="shared" si="4"/>
        <v>0</v>
      </c>
      <c r="O36" s="18">
        <f t="shared" si="1"/>
        <v>5322</v>
      </c>
    </row>
    <row r="37" spans="1:17" ht="15" x14ac:dyDescent="0.2">
      <c r="A37" s="22"/>
      <c r="B37" s="23" t="s">
        <v>147</v>
      </c>
      <c r="C37" s="24">
        <f t="shared" ref="C37:N37" si="6">SUM(C9:C36)</f>
        <v>118203</v>
      </c>
      <c r="D37" s="24">
        <f t="shared" si="6"/>
        <v>125587</v>
      </c>
      <c r="E37" s="24">
        <f t="shared" si="6"/>
        <v>120049</v>
      </c>
      <c r="F37" s="24">
        <f t="shared" si="6"/>
        <v>0</v>
      </c>
      <c r="G37" s="24">
        <f t="shared" si="6"/>
        <v>0</v>
      </c>
      <c r="H37" s="24">
        <f t="shared" si="6"/>
        <v>0</v>
      </c>
      <c r="I37" s="24">
        <f t="shared" si="6"/>
        <v>0</v>
      </c>
      <c r="J37" s="24">
        <f t="shared" si="6"/>
        <v>6908</v>
      </c>
      <c r="K37" s="24">
        <f t="shared" si="6"/>
        <v>0</v>
      </c>
      <c r="L37" s="24">
        <f t="shared" si="6"/>
        <v>0</v>
      </c>
      <c r="M37" s="24">
        <f t="shared" si="6"/>
        <v>0</v>
      </c>
      <c r="N37" s="24">
        <f t="shared" si="6"/>
        <v>0</v>
      </c>
      <c r="O37" s="25">
        <f t="shared" ref="O37:O50" si="7">SUM(C37:N37)</f>
        <v>370747</v>
      </c>
    </row>
    <row r="38" spans="1:17" ht="15" customHeight="1" x14ac:dyDescent="0.2">
      <c r="A38" s="853" t="s">
        <v>148</v>
      </c>
      <c r="B38" s="27" t="s">
        <v>149</v>
      </c>
      <c r="C38" s="147">
        <v>0</v>
      </c>
      <c r="D38" s="147">
        <v>0</v>
      </c>
      <c r="E38" s="147">
        <v>0</v>
      </c>
      <c r="F38" s="147">
        <v>0</v>
      </c>
      <c r="G38" s="147">
        <v>0</v>
      </c>
      <c r="H38" s="147">
        <v>0</v>
      </c>
      <c r="I38" s="147">
        <v>0</v>
      </c>
      <c r="J38" s="147">
        <v>0</v>
      </c>
      <c r="K38" s="147">
        <v>0</v>
      </c>
      <c r="L38" s="147">
        <v>0</v>
      </c>
      <c r="M38" s="147">
        <v>0</v>
      </c>
      <c r="N38" s="147">
        <v>0</v>
      </c>
      <c r="O38" s="18">
        <f t="shared" si="7"/>
        <v>0</v>
      </c>
      <c r="P38" s="29"/>
      <c r="Q38" s="16">
        <f>+O15</f>
        <v>0</v>
      </c>
    </row>
    <row r="39" spans="1:17" ht="15" x14ac:dyDescent="0.2">
      <c r="A39" s="854"/>
      <c r="B39" s="27" t="s">
        <v>150</v>
      </c>
      <c r="C39" s="147">
        <v>0</v>
      </c>
      <c r="D39" s="147">
        <v>0</v>
      </c>
      <c r="E39" s="147">
        <v>0</v>
      </c>
      <c r="F39" s="147">
        <v>0</v>
      </c>
      <c r="G39" s="147">
        <v>0</v>
      </c>
      <c r="H39" s="147">
        <v>0</v>
      </c>
      <c r="I39" s="147">
        <v>0</v>
      </c>
      <c r="J39" s="147">
        <v>0</v>
      </c>
      <c r="K39" s="147">
        <v>0</v>
      </c>
      <c r="L39" s="147">
        <v>0</v>
      </c>
      <c r="M39" s="147">
        <v>0</v>
      </c>
      <c r="N39" s="147">
        <v>0</v>
      </c>
      <c r="O39" s="18">
        <f t="shared" si="7"/>
        <v>0</v>
      </c>
      <c r="Q39" s="16">
        <f>+Q37+Q38</f>
        <v>0</v>
      </c>
    </row>
    <row r="40" spans="1:17" ht="15" x14ac:dyDescent="0.2">
      <c r="A40" s="854"/>
      <c r="B40" s="27" t="s">
        <v>151</v>
      </c>
      <c r="C40" s="147">
        <v>60</v>
      </c>
      <c r="D40" s="147">
        <v>60</v>
      </c>
      <c r="E40" s="147">
        <v>60</v>
      </c>
      <c r="F40" s="147">
        <v>0</v>
      </c>
      <c r="G40" s="147">
        <v>0</v>
      </c>
      <c r="H40" s="147">
        <v>0</v>
      </c>
      <c r="I40" s="147">
        <v>0</v>
      </c>
      <c r="J40" s="147">
        <v>0</v>
      </c>
      <c r="K40" s="147">
        <v>0</v>
      </c>
      <c r="L40" s="147">
        <v>0</v>
      </c>
      <c r="M40" s="147">
        <v>0</v>
      </c>
      <c r="N40" s="147">
        <v>0</v>
      </c>
      <c r="O40" s="18">
        <f t="shared" si="7"/>
        <v>180</v>
      </c>
    </row>
    <row r="41" spans="1:17" ht="15" x14ac:dyDescent="0.2">
      <c r="A41" s="854"/>
      <c r="B41" s="27" t="s">
        <v>152</v>
      </c>
      <c r="C41" s="147">
        <v>0</v>
      </c>
      <c r="D41" s="147">
        <v>0</v>
      </c>
      <c r="E41" s="147">
        <v>0</v>
      </c>
      <c r="F41" s="147">
        <v>0</v>
      </c>
      <c r="G41" s="147">
        <v>0</v>
      </c>
      <c r="H41" s="147">
        <v>0</v>
      </c>
      <c r="I41" s="147">
        <v>0</v>
      </c>
      <c r="J41" s="147">
        <v>0</v>
      </c>
      <c r="K41" s="147">
        <v>0</v>
      </c>
      <c r="L41" s="147">
        <v>0</v>
      </c>
      <c r="M41" s="147">
        <v>0</v>
      </c>
      <c r="N41" s="147">
        <v>0</v>
      </c>
      <c r="O41" s="18">
        <f t="shared" si="7"/>
        <v>0</v>
      </c>
    </row>
    <row r="42" spans="1:17" ht="15" x14ac:dyDescent="0.2">
      <c r="A42" s="854"/>
      <c r="B42" s="27" t="s">
        <v>153</v>
      </c>
      <c r="C42" s="147">
        <v>650</v>
      </c>
      <c r="D42" s="147">
        <v>650</v>
      </c>
      <c r="E42" s="147">
        <v>650</v>
      </c>
      <c r="F42" s="147">
        <v>0</v>
      </c>
      <c r="G42" s="147">
        <v>0</v>
      </c>
      <c r="H42" s="147">
        <v>0</v>
      </c>
      <c r="I42" s="147">
        <v>0</v>
      </c>
      <c r="J42" s="147">
        <v>0</v>
      </c>
      <c r="K42" s="147">
        <v>0</v>
      </c>
      <c r="L42" s="147">
        <v>0</v>
      </c>
      <c r="M42" s="147">
        <v>0</v>
      </c>
      <c r="N42" s="147">
        <v>0</v>
      </c>
      <c r="O42" s="18">
        <f t="shared" si="7"/>
        <v>1950</v>
      </c>
    </row>
    <row r="43" spans="1:17" ht="15" x14ac:dyDescent="0.2">
      <c r="A43" s="854"/>
      <c r="B43" s="27" t="s">
        <v>154</v>
      </c>
      <c r="C43" s="147">
        <v>0</v>
      </c>
      <c r="D43" s="147">
        <v>0</v>
      </c>
      <c r="E43" s="147">
        <v>0</v>
      </c>
      <c r="F43" s="147">
        <v>0</v>
      </c>
      <c r="G43" s="147">
        <v>0</v>
      </c>
      <c r="H43" s="147">
        <v>0</v>
      </c>
      <c r="I43" s="147">
        <v>0</v>
      </c>
      <c r="J43" s="147">
        <v>0</v>
      </c>
      <c r="K43" s="147">
        <v>0</v>
      </c>
      <c r="L43" s="147">
        <v>0</v>
      </c>
      <c r="M43" s="147">
        <v>0</v>
      </c>
      <c r="N43" s="147">
        <v>0</v>
      </c>
      <c r="O43" s="18">
        <f t="shared" si="7"/>
        <v>0</v>
      </c>
    </row>
    <row r="44" spans="1:17" ht="15" x14ac:dyDescent="0.2">
      <c r="A44" s="854"/>
      <c r="B44" s="27" t="s">
        <v>155</v>
      </c>
      <c r="C44" s="147">
        <v>200</v>
      </c>
      <c r="D44" s="147">
        <v>200</v>
      </c>
      <c r="E44" s="147">
        <v>200</v>
      </c>
      <c r="F44" s="147">
        <v>0</v>
      </c>
      <c r="G44" s="147">
        <v>0</v>
      </c>
      <c r="H44" s="147">
        <v>0</v>
      </c>
      <c r="I44" s="147">
        <v>0</v>
      </c>
      <c r="J44" s="147">
        <v>0</v>
      </c>
      <c r="K44" s="147">
        <v>0</v>
      </c>
      <c r="L44" s="147">
        <v>0</v>
      </c>
      <c r="M44" s="147">
        <v>0</v>
      </c>
      <c r="N44" s="147">
        <v>0</v>
      </c>
      <c r="O44" s="18">
        <f t="shared" si="7"/>
        <v>600</v>
      </c>
    </row>
    <row r="45" spans="1:17" ht="15" x14ac:dyDescent="0.2">
      <c r="A45" s="854"/>
      <c r="B45" s="27" t="s">
        <v>156</v>
      </c>
      <c r="C45" s="147">
        <v>0</v>
      </c>
      <c r="D45" s="147">
        <v>0</v>
      </c>
      <c r="E45" s="147">
        <v>0</v>
      </c>
      <c r="F45" s="147">
        <v>0</v>
      </c>
      <c r="G45" s="147">
        <v>0</v>
      </c>
      <c r="H45" s="147">
        <v>0</v>
      </c>
      <c r="I45" s="147">
        <v>0</v>
      </c>
      <c r="J45" s="147">
        <v>0</v>
      </c>
      <c r="K45" s="147">
        <v>0</v>
      </c>
      <c r="L45" s="147">
        <v>0</v>
      </c>
      <c r="M45" s="147">
        <v>0</v>
      </c>
      <c r="N45" s="147">
        <v>0</v>
      </c>
      <c r="O45" s="18">
        <f t="shared" si="7"/>
        <v>0</v>
      </c>
    </row>
    <row r="46" spans="1:17" ht="15" x14ac:dyDescent="0.2">
      <c r="A46" s="854"/>
      <c r="B46" s="27" t="s">
        <v>157</v>
      </c>
      <c r="C46" s="147">
        <v>0</v>
      </c>
      <c r="D46" s="147">
        <v>0</v>
      </c>
      <c r="E46" s="147">
        <v>0</v>
      </c>
      <c r="F46" s="147">
        <v>0</v>
      </c>
      <c r="G46" s="147">
        <v>0</v>
      </c>
      <c r="H46" s="147">
        <v>0</v>
      </c>
      <c r="I46" s="147">
        <v>0</v>
      </c>
      <c r="J46" s="147">
        <v>0</v>
      </c>
      <c r="K46" s="147">
        <v>0</v>
      </c>
      <c r="L46" s="147">
        <v>0</v>
      </c>
      <c r="M46" s="147">
        <v>0</v>
      </c>
      <c r="N46" s="147">
        <v>0</v>
      </c>
      <c r="O46" s="18">
        <f t="shared" si="7"/>
        <v>0</v>
      </c>
    </row>
    <row r="47" spans="1:17" ht="28.5" customHeight="1" x14ac:dyDescent="0.2">
      <c r="A47" s="855"/>
      <c r="B47" s="30" t="s">
        <v>158</v>
      </c>
      <c r="C47" s="147">
        <v>0</v>
      </c>
      <c r="D47" s="147">
        <v>0</v>
      </c>
      <c r="E47" s="147">
        <v>0</v>
      </c>
      <c r="F47" s="147">
        <v>0</v>
      </c>
      <c r="G47" s="147">
        <v>0</v>
      </c>
      <c r="H47" s="147">
        <v>0</v>
      </c>
      <c r="I47" s="147">
        <v>0</v>
      </c>
      <c r="J47" s="147">
        <v>0</v>
      </c>
      <c r="K47" s="147">
        <v>0</v>
      </c>
      <c r="L47" s="147">
        <v>0</v>
      </c>
      <c r="M47" s="147">
        <v>0</v>
      </c>
      <c r="N47" s="147">
        <v>0</v>
      </c>
      <c r="O47" s="31">
        <f t="shared" si="7"/>
        <v>0</v>
      </c>
    </row>
    <row r="48" spans="1:17" ht="15" x14ac:dyDescent="0.2">
      <c r="A48" s="856"/>
      <c r="B48" s="127" t="s">
        <v>479</v>
      </c>
      <c r="C48" s="147">
        <v>0</v>
      </c>
      <c r="D48" s="147">
        <v>0</v>
      </c>
      <c r="E48" s="147">
        <v>0</v>
      </c>
      <c r="F48" s="147">
        <v>0</v>
      </c>
      <c r="G48" s="147">
        <v>0</v>
      </c>
      <c r="H48" s="147">
        <v>0</v>
      </c>
      <c r="I48" s="147">
        <v>0</v>
      </c>
      <c r="J48" s="147">
        <v>0</v>
      </c>
      <c r="K48" s="147">
        <v>0</v>
      </c>
      <c r="L48" s="147">
        <v>0</v>
      </c>
      <c r="M48" s="147">
        <v>0</v>
      </c>
      <c r="N48" s="147">
        <v>0</v>
      </c>
      <c r="O48" s="31">
        <f t="shared" si="7"/>
        <v>0</v>
      </c>
    </row>
    <row r="49" spans="1:19" ht="15" x14ac:dyDescent="0.2">
      <c r="A49" s="857" t="s">
        <v>160</v>
      </c>
      <c r="B49" s="858"/>
      <c r="C49" s="33">
        <f>SUM(C38:C48)</f>
        <v>910</v>
      </c>
      <c r="D49" s="33">
        <f t="shared" ref="D49:N49" si="8">SUM(D38:D48)</f>
        <v>910</v>
      </c>
      <c r="E49" s="33">
        <f t="shared" si="8"/>
        <v>910</v>
      </c>
      <c r="F49" s="33">
        <f t="shared" si="8"/>
        <v>0</v>
      </c>
      <c r="G49" s="33">
        <f t="shared" si="8"/>
        <v>0</v>
      </c>
      <c r="H49" s="33">
        <f t="shared" si="8"/>
        <v>0</v>
      </c>
      <c r="I49" s="33">
        <f t="shared" si="8"/>
        <v>0</v>
      </c>
      <c r="J49" s="33">
        <f t="shared" si="8"/>
        <v>0</v>
      </c>
      <c r="K49" s="33">
        <f t="shared" si="8"/>
        <v>0</v>
      </c>
      <c r="L49" s="33">
        <f t="shared" si="8"/>
        <v>0</v>
      </c>
      <c r="M49" s="33">
        <f t="shared" si="8"/>
        <v>0</v>
      </c>
      <c r="N49" s="33">
        <f t="shared" si="8"/>
        <v>0</v>
      </c>
      <c r="O49" s="34">
        <f t="shared" si="7"/>
        <v>2730</v>
      </c>
    </row>
    <row r="50" spans="1:19" ht="15.75" thickBot="1" x14ac:dyDescent="0.25">
      <c r="A50" s="859" t="s">
        <v>161</v>
      </c>
      <c r="B50" s="860"/>
      <c r="C50" s="35">
        <f t="shared" ref="C50:N50" si="9">C37-C49</f>
        <v>117293</v>
      </c>
      <c r="D50" s="35">
        <f t="shared" si="9"/>
        <v>124677</v>
      </c>
      <c r="E50" s="35">
        <f t="shared" si="9"/>
        <v>119139</v>
      </c>
      <c r="F50" s="35">
        <f t="shared" si="9"/>
        <v>0</v>
      </c>
      <c r="G50" s="35">
        <f t="shared" si="9"/>
        <v>0</v>
      </c>
      <c r="H50" s="35">
        <f t="shared" si="9"/>
        <v>0</v>
      </c>
      <c r="I50" s="35">
        <f t="shared" si="9"/>
        <v>0</v>
      </c>
      <c r="J50" s="35">
        <f t="shared" si="9"/>
        <v>6908</v>
      </c>
      <c r="K50" s="35">
        <f t="shared" si="9"/>
        <v>0</v>
      </c>
      <c r="L50" s="35">
        <f t="shared" si="9"/>
        <v>0</v>
      </c>
      <c r="M50" s="35">
        <f t="shared" si="9"/>
        <v>0</v>
      </c>
      <c r="N50" s="35">
        <f t="shared" si="9"/>
        <v>0</v>
      </c>
      <c r="O50" s="36">
        <f t="shared" si="7"/>
        <v>368017</v>
      </c>
      <c r="Q50" s="16">
        <f>64026+58528+11128+62398+62518+64513+63813+63313+10719+3454+65586*2+65286+55186+55015</f>
        <v>771069</v>
      </c>
    </row>
    <row r="51" spans="1:19" x14ac:dyDescent="0.2">
      <c r="J51" s="16">
        <f>+J37-SUM(J20:J36)</f>
        <v>6908</v>
      </c>
      <c r="Q51" s="38"/>
    </row>
    <row r="52" spans="1:19" ht="13.5" thickBot="1" x14ac:dyDescent="0.25">
      <c r="J52" s="38">
        <f>+J51-J49</f>
        <v>6908</v>
      </c>
    </row>
    <row r="53" spans="1:19" ht="13.5" thickBot="1" x14ac:dyDescent="0.25">
      <c r="B53" s="789" t="s">
        <v>162</v>
      </c>
      <c r="C53" s="861"/>
      <c r="D53" s="861"/>
      <c r="E53" s="861"/>
      <c r="F53" s="862"/>
      <c r="G53" s="863">
        <f>O37</f>
        <v>370747</v>
      </c>
      <c r="H53" s="864"/>
    </row>
    <row r="54" spans="1:19" ht="13.5" thickBot="1" x14ac:dyDescent="0.25"/>
    <row r="55" spans="1:19" x14ac:dyDescent="0.2">
      <c r="B55" s="830" t="s">
        <v>163</v>
      </c>
      <c r="C55" s="833" t="s">
        <v>164</v>
      </c>
      <c r="D55" s="836" t="s">
        <v>229</v>
      </c>
      <c r="E55" s="837"/>
      <c r="F55" s="838"/>
      <c r="G55" s="839">
        <v>40000</v>
      </c>
      <c r="H55" s="840"/>
    </row>
    <row r="56" spans="1:19" x14ac:dyDescent="0.2">
      <c r="B56" s="831"/>
      <c r="C56" s="834"/>
      <c r="D56" s="841" t="s">
        <v>166</v>
      </c>
      <c r="E56" s="842"/>
      <c r="F56" s="843"/>
      <c r="G56" s="844">
        <f>+O44</f>
        <v>600</v>
      </c>
      <c r="H56" s="845"/>
      <c r="I56" s="39"/>
      <c r="J56" s="846"/>
      <c r="K56" s="846"/>
      <c r="L56" s="846"/>
      <c r="M56" s="847"/>
      <c r="N56" s="847"/>
      <c r="O56" s="847"/>
    </row>
    <row r="57" spans="1:19" ht="13.5" thickBot="1" x14ac:dyDescent="0.25">
      <c r="B57" s="832"/>
      <c r="C57" s="835"/>
      <c r="D57" s="848" t="s">
        <v>243</v>
      </c>
      <c r="E57" s="849"/>
      <c r="F57" s="850"/>
      <c r="G57" s="851">
        <f>IF(O18&gt;15000,15000,+O18)</f>
        <v>0</v>
      </c>
      <c r="H57" s="852"/>
      <c r="J57" s="47"/>
      <c r="K57" s="47"/>
      <c r="L57" s="47"/>
      <c r="M57" s="47"/>
      <c r="N57" s="47"/>
      <c r="O57" s="47"/>
    </row>
    <row r="58" spans="1:19" ht="13.5" thickBot="1" x14ac:dyDescent="0.25">
      <c r="B58" s="48"/>
      <c r="J58" s="47"/>
      <c r="K58" s="47"/>
      <c r="L58" s="47"/>
      <c r="M58" s="47"/>
      <c r="N58" s="47"/>
      <c r="O58" s="47"/>
    </row>
    <row r="59" spans="1:19" ht="13.5" thickBot="1" x14ac:dyDescent="0.25">
      <c r="B59" s="789" t="s">
        <v>168</v>
      </c>
      <c r="C59" s="790"/>
      <c r="D59" s="790"/>
      <c r="E59" s="790"/>
      <c r="F59" s="791"/>
      <c r="G59" s="825">
        <f>+G53-SUM(G55:H57)</f>
        <v>330147</v>
      </c>
      <c r="H59" s="826"/>
      <c r="J59" s="827" t="s">
        <v>169</v>
      </c>
      <c r="K59" s="828"/>
      <c r="L59" s="828"/>
      <c r="M59" s="828"/>
      <c r="N59" s="828"/>
      <c r="O59" s="829"/>
    </row>
    <row r="60" spans="1:19" ht="13.5" thickBot="1" x14ac:dyDescent="0.25">
      <c r="B60" s="49"/>
      <c r="C60" s="50"/>
      <c r="D60" s="50"/>
      <c r="E60" s="50"/>
      <c r="F60" s="50"/>
      <c r="G60" s="45"/>
      <c r="H60" s="50"/>
      <c r="J60" s="129"/>
      <c r="K60" s="130"/>
      <c r="L60" s="130"/>
      <c r="M60" s="130"/>
      <c r="N60" s="130"/>
      <c r="O60" s="131"/>
    </row>
    <row r="61" spans="1:19" ht="13.5" thickBot="1" x14ac:dyDescent="0.25">
      <c r="B61" s="789" t="s">
        <v>170</v>
      </c>
      <c r="C61" s="790"/>
      <c r="D61" s="790"/>
      <c r="E61" s="790"/>
      <c r="F61" s="791"/>
      <c r="G61" s="805"/>
      <c r="H61" s="791"/>
      <c r="J61" s="129"/>
      <c r="K61" s="130"/>
      <c r="L61" s="130"/>
      <c r="M61" s="130"/>
      <c r="N61" s="130"/>
      <c r="O61" s="131"/>
    </row>
    <row r="62" spans="1:19" ht="12.75" customHeight="1" x14ac:dyDescent="0.2">
      <c r="B62" s="57" t="s">
        <v>171</v>
      </c>
      <c r="C62" s="806" t="s">
        <v>172</v>
      </c>
      <c r="D62" s="807"/>
      <c r="E62" s="807"/>
      <c r="F62" s="808"/>
      <c r="G62" s="809">
        <v>0</v>
      </c>
      <c r="H62" s="809"/>
      <c r="I62" s="58"/>
      <c r="J62" s="810" t="s">
        <v>173</v>
      </c>
      <c r="K62" s="811"/>
      <c r="L62" s="811"/>
      <c r="M62" s="811"/>
      <c r="N62" s="811"/>
      <c r="O62" s="812"/>
      <c r="Q62" s="59"/>
      <c r="R62" s="59"/>
      <c r="S62" s="59"/>
    </row>
    <row r="63" spans="1:19" ht="13.5" thickBot="1" x14ac:dyDescent="0.25">
      <c r="D63" s="37"/>
      <c r="I63" s="58"/>
      <c r="J63" s="60" t="s">
        <v>711</v>
      </c>
      <c r="K63" s="132"/>
      <c r="L63" s="132"/>
      <c r="M63" s="133"/>
      <c r="N63" s="133"/>
      <c r="O63" s="134"/>
      <c r="Q63" s="59"/>
      <c r="R63" s="59"/>
      <c r="S63" s="59"/>
    </row>
    <row r="64" spans="1:19" ht="13.5" thickBot="1" x14ac:dyDescent="0.25">
      <c r="B64" s="789" t="s">
        <v>175</v>
      </c>
      <c r="C64" s="790"/>
      <c r="D64" s="790"/>
      <c r="E64" s="790"/>
      <c r="F64" s="791"/>
      <c r="G64" s="805">
        <f>+G59-G62</f>
        <v>330147</v>
      </c>
      <c r="H64" s="791"/>
      <c r="I64" s="63"/>
      <c r="J64" s="75"/>
      <c r="K64" s="39"/>
      <c r="L64" s="39"/>
      <c r="M64" s="39"/>
      <c r="N64" s="39"/>
      <c r="O64" s="65"/>
      <c r="Q64" s="59"/>
      <c r="R64" s="59"/>
      <c r="S64" s="59"/>
    </row>
    <row r="65" spans="2:19" ht="12.75" customHeight="1" x14ac:dyDescent="0.2">
      <c r="B65" s="48"/>
      <c r="C65" s="48"/>
      <c r="I65" s="63"/>
      <c r="J65" s="64"/>
      <c r="K65" s="39"/>
      <c r="L65" s="39"/>
      <c r="M65" s="39"/>
      <c r="N65" s="39"/>
      <c r="O65" s="65"/>
      <c r="Q65" s="59"/>
      <c r="R65" s="59"/>
      <c r="S65" s="59"/>
    </row>
    <row r="66" spans="2:19" x14ac:dyDescent="0.2">
      <c r="B66" s="66" t="s">
        <v>176</v>
      </c>
      <c r="C66" s="48"/>
      <c r="I66" s="63"/>
      <c r="J66" s="67"/>
      <c r="K66" s="68"/>
      <c r="L66" s="68"/>
      <c r="M66" s="68"/>
      <c r="N66" s="68"/>
      <c r="O66" s="69"/>
      <c r="Q66" s="59"/>
      <c r="R66" s="59"/>
      <c r="S66" s="59"/>
    </row>
    <row r="67" spans="2:19" ht="25.5" customHeight="1" thickBot="1" x14ac:dyDescent="0.25">
      <c r="B67" s="66"/>
      <c r="C67" s="48"/>
      <c r="G67" s="70" t="s">
        <v>177</v>
      </c>
      <c r="H67" s="70" t="s">
        <v>178</v>
      </c>
      <c r="I67" s="63"/>
      <c r="J67" s="810" t="s">
        <v>179</v>
      </c>
      <c r="K67" s="811"/>
      <c r="L67" s="71"/>
      <c r="M67" s="71"/>
      <c r="N67" s="71"/>
      <c r="O67" s="158" t="s">
        <v>267</v>
      </c>
      <c r="Q67" s="59"/>
      <c r="R67" s="59"/>
      <c r="S67" s="59"/>
    </row>
    <row r="68" spans="2:19" ht="12.75" customHeight="1" x14ac:dyDescent="0.2">
      <c r="B68" s="802" t="s">
        <v>180</v>
      </c>
      <c r="C68" s="821" t="s">
        <v>181</v>
      </c>
      <c r="D68" s="823" t="s">
        <v>182</v>
      </c>
      <c r="E68" s="824"/>
      <c r="F68" s="824"/>
      <c r="G68" s="73">
        <f>+O43</f>
        <v>0</v>
      </c>
      <c r="H68" s="74">
        <f>+G68</f>
        <v>0</v>
      </c>
      <c r="I68" s="63"/>
      <c r="J68" s="75" t="s">
        <v>183</v>
      </c>
      <c r="K68" s="58"/>
      <c r="L68" s="58"/>
      <c r="M68" s="58"/>
      <c r="N68" s="58"/>
      <c r="O68" s="76"/>
      <c r="Q68" s="59"/>
      <c r="R68" s="59"/>
      <c r="S68" s="59"/>
    </row>
    <row r="69" spans="2:19" ht="12.75" customHeight="1" x14ac:dyDescent="0.2">
      <c r="B69" s="803"/>
      <c r="C69" s="822"/>
      <c r="D69" s="782" t="s">
        <v>184</v>
      </c>
      <c r="E69" s="783"/>
      <c r="F69" s="783"/>
      <c r="G69" s="77">
        <f>+O47</f>
        <v>0</v>
      </c>
      <c r="H69" s="78">
        <f t="shared" ref="H69:H75" si="10">+G69</f>
        <v>0</v>
      </c>
      <c r="I69" s="63"/>
      <c r="J69" s="181"/>
      <c r="K69" s="58"/>
      <c r="L69" s="58"/>
      <c r="M69" s="183"/>
      <c r="N69" s="68"/>
      <c r="O69" s="136"/>
      <c r="Q69" s="59"/>
      <c r="R69" s="59"/>
      <c r="S69" s="59"/>
    </row>
    <row r="70" spans="2:19" ht="12.75" customHeight="1" x14ac:dyDescent="0.2">
      <c r="B70" s="803"/>
      <c r="C70" s="822"/>
      <c r="D70" s="819" t="s">
        <v>185</v>
      </c>
      <c r="E70" s="820"/>
      <c r="F70" s="820"/>
      <c r="G70" s="80">
        <f>O40</f>
        <v>180</v>
      </c>
      <c r="H70" s="78">
        <f t="shared" si="10"/>
        <v>180</v>
      </c>
      <c r="I70" s="63"/>
      <c r="J70" s="75"/>
      <c r="K70" s="68"/>
      <c r="L70" s="68"/>
      <c r="M70" s="68"/>
      <c r="N70" s="68"/>
      <c r="O70" s="69"/>
    </row>
    <row r="71" spans="2:19" x14ac:dyDescent="0.2">
      <c r="B71" s="803"/>
      <c r="C71" s="822"/>
      <c r="D71" s="782" t="s">
        <v>186</v>
      </c>
      <c r="E71" s="783"/>
      <c r="F71" s="783"/>
      <c r="G71" s="81">
        <v>0</v>
      </c>
      <c r="H71" s="78">
        <f t="shared" si="10"/>
        <v>0</v>
      </c>
      <c r="I71" s="63"/>
      <c r="J71" s="75"/>
      <c r="K71" s="58"/>
      <c r="L71" s="58"/>
      <c r="M71" s="183"/>
      <c r="N71" s="58"/>
      <c r="O71" s="76"/>
    </row>
    <row r="72" spans="2:19" ht="12.75" customHeight="1" x14ac:dyDescent="0.2">
      <c r="B72" s="803"/>
      <c r="C72" s="822"/>
      <c r="D72" s="784" t="s">
        <v>361</v>
      </c>
      <c r="E72" s="783"/>
      <c r="F72" s="783"/>
      <c r="G72" s="80">
        <v>0</v>
      </c>
      <c r="H72" s="78">
        <f t="shared" si="10"/>
        <v>0</v>
      </c>
      <c r="I72" s="63"/>
      <c r="J72" s="75"/>
      <c r="K72" s="50"/>
      <c r="L72" s="50"/>
      <c r="M72" s="183"/>
      <c r="N72" s="50"/>
      <c r="O72" s="83"/>
    </row>
    <row r="73" spans="2:19" ht="14.25" customHeight="1" x14ac:dyDescent="0.2">
      <c r="B73" s="803"/>
      <c r="C73" s="822"/>
      <c r="D73" s="782" t="s">
        <v>190</v>
      </c>
      <c r="E73" s="783"/>
      <c r="F73" s="783"/>
      <c r="G73" s="84">
        <v>0</v>
      </c>
      <c r="H73" s="78">
        <f t="shared" si="10"/>
        <v>0</v>
      </c>
      <c r="I73" s="63"/>
      <c r="J73" s="64"/>
      <c r="K73" s="39"/>
      <c r="L73" s="39"/>
      <c r="M73" s="39"/>
      <c r="N73" s="39"/>
      <c r="O73" s="65"/>
    </row>
    <row r="74" spans="2:19" x14ac:dyDescent="0.2">
      <c r="B74" s="803"/>
      <c r="C74" s="822"/>
      <c r="D74" s="782" t="s">
        <v>191</v>
      </c>
      <c r="E74" s="783"/>
      <c r="F74" s="783"/>
      <c r="G74" s="81">
        <v>0</v>
      </c>
      <c r="H74" s="78">
        <f t="shared" si="10"/>
        <v>0</v>
      </c>
      <c r="I74" s="58"/>
      <c r="J74" s="82" t="s">
        <v>187</v>
      </c>
      <c r="K74" s="71"/>
      <c r="L74" s="71"/>
      <c r="M74" s="71"/>
      <c r="N74" s="71"/>
      <c r="O74" s="72"/>
    </row>
    <row r="75" spans="2:19" x14ac:dyDescent="0.2">
      <c r="B75" s="803"/>
      <c r="C75" s="88" t="s">
        <v>192</v>
      </c>
      <c r="D75" s="813" t="s">
        <v>193</v>
      </c>
      <c r="E75" s="814"/>
      <c r="F75" s="814"/>
      <c r="G75" s="80">
        <v>0</v>
      </c>
      <c r="H75" s="78">
        <f t="shared" si="10"/>
        <v>0</v>
      </c>
      <c r="I75" s="58"/>
      <c r="J75" s="75" t="s">
        <v>189</v>
      </c>
      <c r="K75" s="50"/>
      <c r="L75" s="50"/>
      <c r="M75" s="50"/>
      <c r="N75" s="50"/>
      <c r="O75" s="83">
        <v>7800</v>
      </c>
    </row>
    <row r="76" spans="2:19" ht="13.5" customHeight="1" thickBot="1" x14ac:dyDescent="0.25">
      <c r="B76" s="803"/>
      <c r="C76" s="88" t="s">
        <v>194</v>
      </c>
      <c r="D76" s="815" t="s">
        <v>195</v>
      </c>
      <c r="E76" s="815"/>
      <c r="F76" s="815"/>
      <c r="G76" s="89">
        <v>0</v>
      </c>
      <c r="H76" s="90">
        <f>+G76</f>
        <v>0</v>
      </c>
      <c r="I76" s="63"/>
      <c r="J76" s="75"/>
      <c r="K76" s="50"/>
      <c r="L76" s="68"/>
      <c r="M76" s="91"/>
      <c r="N76" s="91"/>
      <c r="O76" s="92"/>
    </row>
    <row r="77" spans="2:19" ht="13.5" thickBot="1" x14ac:dyDescent="0.25">
      <c r="B77" s="803"/>
      <c r="C77" s="93"/>
      <c r="D77" s="94"/>
      <c r="E77" s="816" t="s">
        <v>117</v>
      </c>
      <c r="F77" s="817"/>
      <c r="G77" s="95">
        <f>SUM(G68:G76)</f>
        <v>180</v>
      </c>
      <c r="H77" s="96">
        <f>IF(SUM(G68:G74)&lt;150000,SUM(G68:G74),150000)+IF(+G75&lt;20000,+G75,20000)</f>
        <v>180</v>
      </c>
      <c r="I77" s="63"/>
      <c r="J77" s="140"/>
      <c r="K77" s="141"/>
      <c r="L77" s="141"/>
      <c r="M77" s="142"/>
      <c r="N77" s="142"/>
      <c r="O77" s="143"/>
    </row>
    <row r="78" spans="2:19" ht="12.75" customHeight="1" x14ac:dyDescent="0.2">
      <c r="B78" s="803"/>
      <c r="C78" s="100" t="s">
        <v>196</v>
      </c>
      <c r="D78" s="782" t="s">
        <v>187</v>
      </c>
      <c r="E78" s="783"/>
      <c r="F78" s="818"/>
      <c r="G78" s="73">
        <v>42800</v>
      </c>
      <c r="H78" s="101">
        <f>+IF(+G78&lt;25000,+G78,25000)</f>
        <v>25000</v>
      </c>
      <c r="I78" s="87"/>
    </row>
    <row r="79" spans="2:19" x14ac:dyDescent="0.2">
      <c r="B79" s="803"/>
      <c r="C79" s="100" t="s">
        <v>197</v>
      </c>
      <c r="D79" s="784" t="s">
        <v>198</v>
      </c>
      <c r="E79" s="785"/>
      <c r="F79" s="786"/>
      <c r="G79" s="102"/>
      <c r="H79" s="103">
        <f>+IF(+G79&lt;40000,+G79,40000)</f>
        <v>0</v>
      </c>
      <c r="I79" s="63"/>
    </row>
    <row r="80" spans="2:19" x14ac:dyDescent="0.2">
      <c r="B80" s="803"/>
      <c r="C80" s="100" t="s">
        <v>199</v>
      </c>
      <c r="D80" s="784" t="s">
        <v>200</v>
      </c>
      <c r="E80" s="785"/>
      <c r="F80" s="786"/>
      <c r="G80" s="81"/>
      <c r="H80" s="104">
        <v>0</v>
      </c>
      <c r="I80" s="63"/>
      <c r="J80" s="106"/>
    </row>
    <row r="81" spans="2:12" x14ac:dyDescent="0.2">
      <c r="B81" s="803"/>
      <c r="C81" s="100" t="s">
        <v>201</v>
      </c>
      <c r="D81" s="784" t="s">
        <v>202</v>
      </c>
      <c r="E81" s="785"/>
      <c r="F81" s="786"/>
      <c r="G81" s="81"/>
      <c r="H81" s="104">
        <v>0</v>
      </c>
      <c r="I81" s="63"/>
    </row>
    <row r="82" spans="2:12" ht="13.5" thickBot="1" x14ac:dyDescent="0.25">
      <c r="B82" s="804"/>
      <c r="C82" s="100" t="s">
        <v>203</v>
      </c>
      <c r="D82" s="784" t="s">
        <v>204</v>
      </c>
      <c r="E82" s="785"/>
      <c r="F82" s="786"/>
      <c r="G82" s="102"/>
      <c r="H82" s="222">
        <f>+IF(+G82&lt;100000,+G82,10000)</f>
        <v>0</v>
      </c>
      <c r="I82" s="63"/>
    </row>
    <row r="83" spans="2:12" ht="13.5" thickBot="1" x14ac:dyDescent="0.25">
      <c r="B83" s="787" t="s">
        <v>205</v>
      </c>
      <c r="C83" s="788"/>
      <c r="D83" s="788"/>
      <c r="E83" s="788"/>
      <c r="F83" s="788"/>
      <c r="G83" s="107">
        <f>SUM(G78:G82)</f>
        <v>42800</v>
      </c>
      <c r="H83" s="108">
        <f>SUM(H77:H82)</f>
        <v>25180</v>
      </c>
    </row>
    <row r="84" spans="2:12" ht="13.5" thickBot="1" x14ac:dyDescent="0.25"/>
    <row r="85" spans="2:12" ht="13.5" thickBot="1" x14ac:dyDescent="0.25">
      <c r="B85" s="789" t="s">
        <v>206</v>
      </c>
      <c r="C85" s="790"/>
      <c r="D85" s="790"/>
      <c r="E85" s="790"/>
      <c r="F85" s="791"/>
      <c r="G85" s="792">
        <f>+G64-H83</f>
        <v>304967</v>
      </c>
      <c r="H85" s="791"/>
      <c r="J85" s="109">
        <f>C37+D37+E37+F37</f>
        <v>363839</v>
      </c>
      <c r="K85" s="16" t="s">
        <v>235</v>
      </c>
    </row>
    <row r="86" spans="2:12" x14ac:dyDescent="0.2">
      <c r="B86" s="110"/>
      <c r="F86" s="105"/>
      <c r="J86" s="109">
        <f>G37+H37+I37</f>
        <v>0</v>
      </c>
      <c r="K86" s="16" t="s">
        <v>236</v>
      </c>
    </row>
    <row r="87" spans="2:12" x14ac:dyDescent="0.2">
      <c r="C87" s="793" t="s">
        <v>207</v>
      </c>
      <c r="D87" s="794"/>
      <c r="E87" s="111" t="s">
        <v>208</v>
      </c>
      <c r="F87" s="111" t="s">
        <v>209</v>
      </c>
      <c r="G87" s="111" t="s">
        <v>210</v>
      </c>
      <c r="H87" s="111" t="s">
        <v>211</v>
      </c>
      <c r="J87" s="109">
        <f>J37+K37+L37</f>
        <v>6908</v>
      </c>
      <c r="K87" s="47" t="s">
        <v>237</v>
      </c>
    </row>
    <row r="88" spans="2:12" x14ac:dyDescent="0.2">
      <c r="C88" s="795" t="str">
        <f>IF(I6="M","0          - 250000","0          -  250000")</f>
        <v>0          - 250000</v>
      </c>
      <c r="D88" s="796"/>
      <c r="E88" s="112">
        <v>0</v>
      </c>
      <c r="F88" s="113">
        <f>IF(I6="M",(IF(G85&lt;250000,G85,250000)),(IF(G85&lt;250000,G85,250000)))</f>
        <v>250000</v>
      </c>
      <c r="G88" s="113">
        <f>G85-F88</f>
        <v>54967</v>
      </c>
      <c r="H88" s="113">
        <f>E88*F88</f>
        <v>0</v>
      </c>
      <c r="J88" s="16">
        <f>M37+N37</f>
        <v>0</v>
      </c>
      <c r="K88" s="1" t="s">
        <v>238</v>
      </c>
    </row>
    <row r="89" spans="2:12" x14ac:dyDescent="0.2">
      <c r="C89" s="795" t="str">
        <f>IF(I6="M","250001 - 500000","250001-500000")</f>
        <v>250001 - 500000</v>
      </c>
      <c r="D89" s="796"/>
      <c r="E89" s="112">
        <v>0.05</v>
      </c>
      <c r="F89" s="113">
        <f>IF(I6="M",(IF(G88&lt;250000,G88,250000)),(IF(G88&lt;250000,G88,250000)))</f>
        <v>54967</v>
      </c>
      <c r="G89" s="113">
        <f>G88-F89</f>
        <v>0</v>
      </c>
      <c r="H89" s="114">
        <f>ROUND(E89*F89,0.1)</f>
        <v>2748</v>
      </c>
      <c r="J89" s="115">
        <f>SUM(J85:J88)</f>
        <v>370747</v>
      </c>
    </row>
    <row r="90" spans="2:12" x14ac:dyDescent="0.2">
      <c r="C90" s="797" t="s">
        <v>212</v>
      </c>
      <c r="D90" s="798"/>
      <c r="E90" s="112">
        <v>0.2</v>
      </c>
      <c r="F90" s="113">
        <f>IF(G89&lt;500000,G89,500000)</f>
        <v>0</v>
      </c>
      <c r="G90" s="113">
        <f>G89-F90</f>
        <v>0</v>
      </c>
      <c r="H90" s="114">
        <f>ROUND(E90*F90,0.1)</f>
        <v>0</v>
      </c>
      <c r="J90" s="16">
        <f>+G85</f>
        <v>304967</v>
      </c>
    </row>
    <row r="91" spans="2:12" x14ac:dyDescent="0.2">
      <c r="C91" s="795" t="s">
        <v>213</v>
      </c>
      <c r="D91" s="796"/>
      <c r="E91" s="112">
        <v>0.3</v>
      </c>
      <c r="F91" s="113">
        <f>G90</f>
        <v>0</v>
      </c>
      <c r="G91" s="113">
        <f>G90-F91</f>
        <v>0</v>
      </c>
      <c r="H91" s="114">
        <f>ROUND(E91*F91,0.1)</f>
        <v>0</v>
      </c>
      <c r="J91" s="16">
        <f>+J89-J90</f>
        <v>65780</v>
      </c>
    </row>
    <row r="92" spans="2:12" ht="12.75" customHeight="1" thickBot="1" x14ac:dyDescent="0.25">
      <c r="B92" s="116"/>
      <c r="C92" s="117"/>
      <c r="D92" s="47"/>
      <c r="E92" s="47"/>
      <c r="F92" s="47"/>
      <c r="J92" s="87"/>
      <c r="K92" s="118"/>
    </row>
    <row r="93" spans="2:12" ht="13.5" thickBot="1" x14ac:dyDescent="0.25">
      <c r="B93" s="799" t="s">
        <v>239</v>
      </c>
      <c r="C93" s="800"/>
      <c r="D93" s="800"/>
      <c r="E93" s="800"/>
      <c r="F93" s="801"/>
      <c r="G93" s="771">
        <f>H88+H89+H90+H91</f>
        <v>2748</v>
      </c>
      <c r="H93" s="772"/>
      <c r="J93" s="87"/>
      <c r="K93" s="87"/>
    </row>
    <row r="94" spans="2:12" ht="13.5" thickBot="1" x14ac:dyDescent="0.25">
      <c r="B94" s="119" t="s">
        <v>215</v>
      </c>
      <c r="C94" s="120"/>
      <c r="D94" s="120"/>
      <c r="E94" s="120"/>
      <c r="F94" s="120"/>
      <c r="G94" s="884">
        <f>IF((G64&lt;500000),5000,0)</f>
        <v>5000</v>
      </c>
      <c r="H94" s="885">
        <f>IF(H92&lt;200000,0,IF(H92&lt;220000,((H92-200000)*10%),IF(H92&lt;=500000,2000,IF(H92&gt;=500000,0))))</f>
        <v>0</v>
      </c>
      <c r="J94" s="1"/>
      <c r="K94" s="121"/>
      <c r="L94" s="121"/>
    </row>
    <row r="95" spans="2:12" ht="13.5" thickBot="1" x14ac:dyDescent="0.25">
      <c r="B95" s="122" t="s">
        <v>216</v>
      </c>
      <c r="C95" s="123"/>
      <c r="D95" s="123"/>
      <c r="E95" s="123"/>
      <c r="F95" s="123"/>
      <c r="G95" s="771">
        <f>IF((G93-G94)&lt;0,0,(G93-G94))</f>
        <v>0</v>
      </c>
      <c r="H95" s="772"/>
      <c r="I95" s="37"/>
    </row>
    <row r="96" spans="2:12" ht="13.5" thickBot="1" x14ac:dyDescent="0.25">
      <c r="B96" s="773" t="s">
        <v>217</v>
      </c>
      <c r="C96" s="774"/>
      <c r="D96" s="774"/>
      <c r="E96" s="774"/>
      <c r="F96" s="775"/>
      <c r="G96" s="776">
        <f>ROUND((IF(G95&gt;0,(G95*3%),0)),0)</f>
        <v>0</v>
      </c>
      <c r="H96" s="777"/>
      <c r="I96" s="37"/>
    </row>
    <row r="97" spans="2:9" ht="13.5" thickBot="1" x14ac:dyDescent="0.25">
      <c r="B97" s="778" t="s">
        <v>218</v>
      </c>
      <c r="C97" s="779"/>
      <c r="D97" s="779"/>
      <c r="E97" s="779"/>
      <c r="F97" s="779"/>
      <c r="G97" s="780">
        <f>G95+G96</f>
        <v>0</v>
      </c>
      <c r="H97" s="781"/>
      <c r="I97" s="121"/>
    </row>
    <row r="98" spans="2:9" ht="13.5" thickBot="1" x14ac:dyDescent="0.25">
      <c r="B98" s="765" t="s">
        <v>219</v>
      </c>
      <c r="C98" s="766"/>
      <c r="D98" s="766"/>
      <c r="E98" s="766"/>
      <c r="F98" s="766"/>
      <c r="G98" s="767">
        <f>O38</f>
        <v>0</v>
      </c>
      <c r="H98" s="768"/>
      <c r="I98" s="121"/>
    </row>
    <row r="99" spans="2:9" ht="13.5" thickBot="1" x14ac:dyDescent="0.25">
      <c r="B99" s="765" t="str">
        <f>IF(G99&gt;0,"TAX PAYABLE","TAX REFUND")</f>
        <v>TAX REFUND</v>
      </c>
      <c r="C99" s="766"/>
      <c r="D99" s="766"/>
      <c r="E99" s="766"/>
      <c r="F99" s="766"/>
      <c r="G99" s="767">
        <f>+G97-G98</f>
        <v>0</v>
      </c>
      <c r="H99" s="768"/>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c r="I106" s="121"/>
    </row>
    <row r="107" spans="2:9" x14ac:dyDescent="0.2">
      <c r="C107" s="39"/>
      <c r="D107" s="39"/>
      <c r="E107" s="39"/>
      <c r="F107" s="39"/>
      <c r="G107" s="39"/>
      <c r="H107" s="39"/>
    </row>
  </sheetData>
  <mergeCells count="92">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8:A48"/>
    <mergeCell ref="A5:C5"/>
    <mergeCell ref="D5:F5"/>
    <mergeCell ref="G5:H5"/>
    <mergeCell ref="I5:O5"/>
    <mergeCell ref="A6:C6"/>
    <mergeCell ref="D6:F6"/>
    <mergeCell ref="G6:H6"/>
    <mergeCell ref="J6:O6"/>
    <mergeCell ref="L7:O7"/>
    <mergeCell ref="A8:B8"/>
    <mergeCell ref="A21:A33"/>
    <mergeCell ref="A35:B35"/>
    <mergeCell ref="A36:B36"/>
    <mergeCell ref="A49:B49"/>
    <mergeCell ref="A50:B50"/>
    <mergeCell ref="B53:F53"/>
    <mergeCell ref="G53:H53"/>
    <mergeCell ref="B55:B57"/>
    <mergeCell ref="C55:C57"/>
    <mergeCell ref="D55:F55"/>
    <mergeCell ref="G55:H55"/>
    <mergeCell ref="D56:F56"/>
    <mergeCell ref="G56:H56"/>
    <mergeCell ref="B64:F64"/>
    <mergeCell ref="G64:H64"/>
    <mergeCell ref="J56:L56"/>
    <mergeCell ref="M56:O56"/>
    <mergeCell ref="D57:F57"/>
    <mergeCell ref="G57:H57"/>
    <mergeCell ref="B59:F59"/>
    <mergeCell ref="G59:H59"/>
    <mergeCell ref="J59:O59"/>
    <mergeCell ref="B61:F61"/>
    <mergeCell ref="G61:H61"/>
    <mergeCell ref="C62:F62"/>
    <mergeCell ref="G62:H62"/>
    <mergeCell ref="J62:O62"/>
    <mergeCell ref="D80:F80"/>
    <mergeCell ref="J67:K67"/>
    <mergeCell ref="B68:B82"/>
    <mergeCell ref="C68:C74"/>
    <mergeCell ref="D68:F68"/>
    <mergeCell ref="D69:F69"/>
    <mergeCell ref="D70:F70"/>
    <mergeCell ref="D71:F71"/>
    <mergeCell ref="D72:F72"/>
    <mergeCell ref="D73:F73"/>
    <mergeCell ref="D74:F74"/>
    <mergeCell ref="D75:F75"/>
    <mergeCell ref="D76:F76"/>
    <mergeCell ref="E77:F77"/>
    <mergeCell ref="D78:F78"/>
    <mergeCell ref="D79:F79"/>
    <mergeCell ref="G93:H93"/>
    <mergeCell ref="D81:F81"/>
    <mergeCell ref="D82:F82"/>
    <mergeCell ref="B83:F83"/>
    <mergeCell ref="B85:F85"/>
    <mergeCell ref="G85:H85"/>
    <mergeCell ref="C87:D87"/>
    <mergeCell ref="C88:D88"/>
    <mergeCell ref="C89:D89"/>
    <mergeCell ref="C90:D90"/>
    <mergeCell ref="C91:D91"/>
    <mergeCell ref="B93:F93"/>
    <mergeCell ref="B98:F98"/>
    <mergeCell ref="G98:H98"/>
    <mergeCell ref="B99:F99"/>
    <mergeCell ref="G99:H99"/>
    <mergeCell ref="G94:H94"/>
    <mergeCell ref="G95:H95"/>
    <mergeCell ref="B96:F96"/>
    <mergeCell ref="G96:H96"/>
    <mergeCell ref="B97:F97"/>
    <mergeCell ref="G97:H97"/>
  </mergeCells>
  <conditionalFormatting sqref="B99:F99 B93:F97">
    <cfRule type="cellIs" dxfId="1909" priority="5" stopIfTrue="1" operator="equal">
      <formula>"TAX PAYABLE"</formula>
    </cfRule>
    <cfRule type="cellIs" dxfId="1908" priority="6" stopIfTrue="1" operator="equal">
      <formula>"TAX REFUND"</formula>
    </cfRule>
  </conditionalFormatting>
  <conditionalFormatting sqref="G99:H99">
    <cfRule type="cellIs" dxfId="1907" priority="3" stopIfTrue="1" operator="greaterThan">
      <formula>0</formula>
    </cfRule>
    <cfRule type="cellIs" dxfId="1906" priority="4" stopIfTrue="1" operator="lessThanOrEqual">
      <formula>0</formula>
    </cfRule>
  </conditionalFormatting>
  <conditionalFormatting sqref="G94:H94">
    <cfRule type="cellIs" dxfId="1905" priority="1" stopIfTrue="1" operator="lessThan">
      <formula>0</formula>
    </cfRule>
    <cfRule type="cellIs" dxfId="1904" priority="2" stopIfTrue="1" operator="greaterThan">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$Q$8:$Q$9</formula1>
    </dataValidation>
  </dataValidations>
  <pageMargins left="1.45" right="0.7" top="1" bottom="0.5" header="0.3" footer="0.3"/>
  <pageSetup paperSize="9" scale="76" orientation="landscape" horizontalDpi="300" verticalDpi="300" r:id="rId1"/>
  <headerFooter alignWithMargins="0"/>
  <rowBreaks count="1" manualBreakCount="1">
    <brk id="50" max="16383" man="1"/>
  </rowBreaks>
  <legacyDrawing r:id="rId2"/>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109"/>
  <sheetViews>
    <sheetView topLeftCell="A63" workbookViewId="0">
      <selection activeCell="Q37" sqref="Q37"/>
    </sheetView>
  </sheetViews>
  <sheetFormatPr defaultRowHeight="12.75" x14ac:dyDescent="0.2"/>
  <cols>
    <col min="1" max="1" width="5" style="16" customWidth="1"/>
    <col min="2" max="2" width="17.85546875" style="37" customWidth="1"/>
    <col min="3" max="3" width="8.5703125" style="16" customWidth="1"/>
    <col min="4" max="4" width="8.28515625" style="16" customWidth="1"/>
    <col min="5" max="8" width="7.5703125" style="16" customWidth="1"/>
    <col min="9" max="14" width="7.85546875" style="16" customWidth="1"/>
    <col min="15" max="15" width="8.140625" style="16" customWidth="1"/>
    <col min="16" max="20" width="9.140625" style="16"/>
    <col min="21" max="21" width="12.42578125" style="16" customWidth="1"/>
    <col min="22" max="22" width="9.140625" style="16"/>
    <col min="23" max="23" width="12" style="16" customWidth="1"/>
    <col min="24" max="256" width="9.140625" style="16"/>
    <col min="257" max="257" width="5" style="16" customWidth="1"/>
    <col min="258" max="258" width="17.85546875" style="16" customWidth="1"/>
    <col min="259" max="259" width="8.5703125" style="16" customWidth="1"/>
    <col min="260" max="260" width="8.28515625" style="16" customWidth="1"/>
    <col min="261" max="264" width="7.5703125" style="16" customWidth="1"/>
    <col min="265" max="270" width="7.85546875" style="16" customWidth="1"/>
    <col min="271" max="271" width="8.140625" style="16" customWidth="1"/>
    <col min="272" max="276" width="9.140625" style="16"/>
    <col min="277" max="277" width="12.42578125" style="16" customWidth="1"/>
    <col min="278" max="278" width="9.140625" style="16"/>
    <col min="279" max="279" width="12" style="16" customWidth="1"/>
    <col min="280" max="512" width="9.140625" style="16"/>
    <col min="513" max="513" width="5" style="16" customWidth="1"/>
    <col min="514" max="514" width="17.85546875" style="16" customWidth="1"/>
    <col min="515" max="515" width="8.5703125" style="16" customWidth="1"/>
    <col min="516" max="516" width="8.28515625" style="16" customWidth="1"/>
    <col min="517" max="520" width="7.5703125" style="16" customWidth="1"/>
    <col min="521" max="526" width="7.85546875" style="16" customWidth="1"/>
    <col min="527" max="527" width="8.140625" style="16" customWidth="1"/>
    <col min="528" max="532" width="9.140625" style="16"/>
    <col min="533" max="533" width="12.42578125" style="16" customWidth="1"/>
    <col min="534" max="534" width="9.140625" style="16"/>
    <col min="535" max="535" width="12" style="16" customWidth="1"/>
    <col min="536" max="768" width="9.140625" style="16"/>
    <col min="769" max="769" width="5" style="16" customWidth="1"/>
    <col min="770" max="770" width="17.85546875" style="16" customWidth="1"/>
    <col min="771" max="771" width="8.5703125" style="16" customWidth="1"/>
    <col min="772" max="772" width="8.28515625" style="16" customWidth="1"/>
    <col min="773" max="776" width="7.5703125" style="16" customWidth="1"/>
    <col min="777" max="782" width="7.85546875" style="16" customWidth="1"/>
    <col min="783" max="783" width="8.140625" style="16" customWidth="1"/>
    <col min="784" max="788" width="9.140625" style="16"/>
    <col min="789" max="789" width="12.42578125" style="16" customWidth="1"/>
    <col min="790" max="790" width="9.140625" style="16"/>
    <col min="791" max="791" width="12" style="16" customWidth="1"/>
    <col min="792" max="1024" width="9.140625" style="16"/>
    <col min="1025" max="1025" width="5" style="16" customWidth="1"/>
    <col min="1026" max="1026" width="17.85546875" style="16" customWidth="1"/>
    <col min="1027" max="1027" width="8.5703125" style="16" customWidth="1"/>
    <col min="1028" max="1028" width="8.28515625" style="16" customWidth="1"/>
    <col min="1029" max="1032" width="7.5703125" style="16" customWidth="1"/>
    <col min="1033" max="1038" width="7.85546875" style="16" customWidth="1"/>
    <col min="1039" max="1039" width="8.140625" style="16" customWidth="1"/>
    <col min="1040" max="1044" width="9.140625" style="16"/>
    <col min="1045" max="1045" width="12.42578125" style="16" customWidth="1"/>
    <col min="1046" max="1046" width="9.140625" style="16"/>
    <col min="1047" max="1047" width="12" style="16" customWidth="1"/>
    <col min="1048" max="1280" width="9.140625" style="16"/>
    <col min="1281" max="1281" width="5" style="16" customWidth="1"/>
    <col min="1282" max="1282" width="17.85546875" style="16" customWidth="1"/>
    <col min="1283" max="1283" width="8.5703125" style="16" customWidth="1"/>
    <col min="1284" max="1284" width="8.28515625" style="16" customWidth="1"/>
    <col min="1285" max="1288" width="7.5703125" style="16" customWidth="1"/>
    <col min="1289" max="1294" width="7.85546875" style="16" customWidth="1"/>
    <col min="1295" max="1295" width="8.140625" style="16" customWidth="1"/>
    <col min="1296" max="1300" width="9.140625" style="16"/>
    <col min="1301" max="1301" width="12.42578125" style="16" customWidth="1"/>
    <col min="1302" max="1302" width="9.140625" style="16"/>
    <col min="1303" max="1303" width="12" style="16" customWidth="1"/>
    <col min="1304" max="1536" width="9.140625" style="16"/>
    <col min="1537" max="1537" width="5" style="16" customWidth="1"/>
    <col min="1538" max="1538" width="17.85546875" style="16" customWidth="1"/>
    <col min="1539" max="1539" width="8.5703125" style="16" customWidth="1"/>
    <col min="1540" max="1540" width="8.28515625" style="16" customWidth="1"/>
    <col min="1541" max="1544" width="7.5703125" style="16" customWidth="1"/>
    <col min="1545" max="1550" width="7.85546875" style="16" customWidth="1"/>
    <col min="1551" max="1551" width="8.140625" style="16" customWidth="1"/>
    <col min="1552" max="1556" width="9.140625" style="16"/>
    <col min="1557" max="1557" width="12.42578125" style="16" customWidth="1"/>
    <col min="1558" max="1558" width="9.140625" style="16"/>
    <col min="1559" max="1559" width="12" style="16" customWidth="1"/>
    <col min="1560" max="1792" width="9.140625" style="16"/>
    <col min="1793" max="1793" width="5" style="16" customWidth="1"/>
    <col min="1794" max="1794" width="17.85546875" style="16" customWidth="1"/>
    <col min="1795" max="1795" width="8.5703125" style="16" customWidth="1"/>
    <col min="1796" max="1796" width="8.28515625" style="16" customWidth="1"/>
    <col min="1797" max="1800" width="7.5703125" style="16" customWidth="1"/>
    <col min="1801" max="1806" width="7.85546875" style="16" customWidth="1"/>
    <col min="1807" max="1807" width="8.140625" style="16" customWidth="1"/>
    <col min="1808" max="1812" width="9.140625" style="16"/>
    <col min="1813" max="1813" width="12.42578125" style="16" customWidth="1"/>
    <col min="1814" max="1814" width="9.140625" style="16"/>
    <col min="1815" max="1815" width="12" style="16" customWidth="1"/>
    <col min="1816" max="2048" width="9.140625" style="16"/>
    <col min="2049" max="2049" width="5" style="16" customWidth="1"/>
    <col min="2050" max="2050" width="17.85546875" style="16" customWidth="1"/>
    <col min="2051" max="2051" width="8.5703125" style="16" customWidth="1"/>
    <col min="2052" max="2052" width="8.28515625" style="16" customWidth="1"/>
    <col min="2053" max="2056" width="7.5703125" style="16" customWidth="1"/>
    <col min="2057" max="2062" width="7.85546875" style="16" customWidth="1"/>
    <col min="2063" max="2063" width="8.140625" style="16" customWidth="1"/>
    <col min="2064" max="2068" width="9.140625" style="16"/>
    <col min="2069" max="2069" width="12.42578125" style="16" customWidth="1"/>
    <col min="2070" max="2070" width="9.140625" style="16"/>
    <col min="2071" max="2071" width="12" style="16" customWidth="1"/>
    <col min="2072" max="2304" width="9.140625" style="16"/>
    <col min="2305" max="2305" width="5" style="16" customWidth="1"/>
    <col min="2306" max="2306" width="17.85546875" style="16" customWidth="1"/>
    <col min="2307" max="2307" width="8.5703125" style="16" customWidth="1"/>
    <col min="2308" max="2308" width="8.28515625" style="16" customWidth="1"/>
    <col min="2309" max="2312" width="7.5703125" style="16" customWidth="1"/>
    <col min="2313" max="2318" width="7.85546875" style="16" customWidth="1"/>
    <col min="2319" max="2319" width="8.140625" style="16" customWidth="1"/>
    <col min="2320" max="2324" width="9.140625" style="16"/>
    <col min="2325" max="2325" width="12.42578125" style="16" customWidth="1"/>
    <col min="2326" max="2326" width="9.140625" style="16"/>
    <col min="2327" max="2327" width="12" style="16" customWidth="1"/>
    <col min="2328" max="2560" width="9.140625" style="16"/>
    <col min="2561" max="2561" width="5" style="16" customWidth="1"/>
    <col min="2562" max="2562" width="17.85546875" style="16" customWidth="1"/>
    <col min="2563" max="2563" width="8.5703125" style="16" customWidth="1"/>
    <col min="2564" max="2564" width="8.28515625" style="16" customWidth="1"/>
    <col min="2565" max="2568" width="7.5703125" style="16" customWidth="1"/>
    <col min="2569" max="2574" width="7.85546875" style="16" customWidth="1"/>
    <col min="2575" max="2575" width="8.140625" style="16" customWidth="1"/>
    <col min="2576" max="2580" width="9.140625" style="16"/>
    <col min="2581" max="2581" width="12.42578125" style="16" customWidth="1"/>
    <col min="2582" max="2582" width="9.140625" style="16"/>
    <col min="2583" max="2583" width="12" style="16" customWidth="1"/>
    <col min="2584" max="2816" width="9.140625" style="16"/>
    <col min="2817" max="2817" width="5" style="16" customWidth="1"/>
    <col min="2818" max="2818" width="17.85546875" style="16" customWidth="1"/>
    <col min="2819" max="2819" width="8.5703125" style="16" customWidth="1"/>
    <col min="2820" max="2820" width="8.28515625" style="16" customWidth="1"/>
    <col min="2821" max="2824" width="7.5703125" style="16" customWidth="1"/>
    <col min="2825" max="2830" width="7.85546875" style="16" customWidth="1"/>
    <col min="2831" max="2831" width="8.140625" style="16" customWidth="1"/>
    <col min="2832" max="2836" width="9.140625" style="16"/>
    <col min="2837" max="2837" width="12.42578125" style="16" customWidth="1"/>
    <col min="2838" max="2838" width="9.140625" style="16"/>
    <col min="2839" max="2839" width="12" style="16" customWidth="1"/>
    <col min="2840" max="3072" width="9.140625" style="16"/>
    <col min="3073" max="3073" width="5" style="16" customWidth="1"/>
    <col min="3074" max="3074" width="17.85546875" style="16" customWidth="1"/>
    <col min="3075" max="3075" width="8.5703125" style="16" customWidth="1"/>
    <col min="3076" max="3076" width="8.28515625" style="16" customWidth="1"/>
    <col min="3077" max="3080" width="7.5703125" style="16" customWidth="1"/>
    <col min="3081" max="3086" width="7.85546875" style="16" customWidth="1"/>
    <col min="3087" max="3087" width="8.140625" style="16" customWidth="1"/>
    <col min="3088" max="3092" width="9.140625" style="16"/>
    <col min="3093" max="3093" width="12.42578125" style="16" customWidth="1"/>
    <col min="3094" max="3094" width="9.140625" style="16"/>
    <col min="3095" max="3095" width="12" style="16" customWidth="1"/>
    <col min="3096" max="3328" width="9.140625" style="16"/>
    <col min="3329" max="3329" width="5" style="16" customWidth="1"/>
    <col min="3330" max="3330" width="17.85546875" style="16" customWidth="1"/>
    <col min="3331" max="3331" width="8.5703125" style="16" customWidth="1"/>
    <col min="3332" max="3332" width="8.28515625" style="16" customWidth="1"/>
    <col min="3333" max="3336" width="7.5703125" style="16" customWidth="1"/>
    <col min="3337" max="3342" width="7.85546875" style="16" customWidth="1"/>
    <col min="3343" max="3343" width="8.140625" style="16" customWidth="1"/>
    <col min="3344" max="3348" width="9.140625" style="16"/>
    <col min="3349" max="3349" width="12.42578125" style="16" customWidth="1"/>
    <col min="3350" max="3350" width="9.140625" style="16"/>
    <col min="3351" max="3351" width="12" style="16" customWidth="1"/>
    <col min="3352" max="3584" width="9.140625" style="16"/>
    <col min="3585" max="3585" width="5" style="16" customWidth="1"/>
    <col min="3586" max="3586" width="17.85546875" style="16" customWidth="1"/>
    <col min="3587" max="3587" width="8.5703125" style="16" customWidth="1"/>
    <col min="3588" max="3588" width="8.28515625" style="16" customWidth="1"/>
    <col min="3589" max="3592" width="7.5703125" style="16" customWidth="1"/>
    <col min="3593" max="3598" width="7.85546875" style="16" customWidth="1"/>
    <col min="3599" max="3599" width="8.140625" style="16" customWidth="1"/>
    <col min="3600" max="3604" width="9.140625" style="16"/>
    <col min="3605" max="3605" width="12.42578125" style="16" customWidth="1"/>
    <col min="3606" max="3606" width="9.140625" style="16"/>
    <col min="3607" max="3607" width="12" style="16" customWidth="1"/>
    <col min="3608" max="3840" width="9.140625" style="16"/>
    <col min="3841" max="3841" width="5" style="16" customWidth="1"/>
    <col min="3842" max="3842" width="17.85546875" style="16" customWidth="1"/>
    <col min="3843" max="3843" width="8.5703125" style="16" customWidth="1"/>
    <col min="3844" max="3844" width="8.28515625" style="16" customWidth="1"/>
    <col min="3845" max="3848" width="7.5703125" style="16" customWidth="1"/>
    <col min="3849" max="3854" width="7.85546875" style="16" customWidth="1"/>
    <col min="3855" max="3855" width="8.140625" style="16" customWidth="1"/>
    <col min="3856" max="3860" width="9.140625" style="16"/>
    <col min="3861" max="3861" width="12.42578125" style="16" customWidth="1"/>
    <col min="3862" max="3862" width="9.140625" style="16"/>
    <col min="3863" max="3863" width="12" style="16" customWidth="1"/>
    <col min="3864" max="4096" width="9.140625" style="16"/>
    <col min="4097" max="4097" width="5" style="16" customWidth="1"/>
    <col min="4098" max="4098" width="17.85546875" style="16" customWidth="1"/>
    <col min="4099" max="4099" width="8.5703125" style="16" customWidth="1"/>
    <col min="4100" max="4100" width="8.28515625" style="16" customWidth="1"/>
    <col min="4101" max="4104" width="7.5703125" style="16" customWidth="1"/>
    <col min="4105" max="4110" width="7.85546875" style="16" customWidth="1"/>
    <col min="4111" max="4111" width="8.140625" style="16" customWidth="1"/>
    <col min="4112" max="4116" width="9.140625" style="16"/>
    <col min="4117" max="4117" width="12.42578125" style="16" customWidth="1"/>
    <col min="4118" max="4118" width="9.140625" style="16"/>
    <col min="4119" max="4119" width="12" style="16" customWidth="1"/>
    <col min="4120" max="4352" width="9.140625" style="16"/>
    <col min="4353" max="4353" width="5" style="16" customWidth="1"/>
    <col min="4354" max="4354" width="17.85546875" style="16" customWidth="1"/>
    <col min="4355" max="4355" width="8.5703125" style="16" customWidth="1"/>
    <col min="4356" max="4356" width="8.28515625" style="16" customWidth="1"/>
    <col min="4357" max="4360" width="7.5703125" style="16" customWidth="1"/>
    <col min="4361" max="4366" width="7.85546875" style="16" customWidth="1"/>
    <col min="4367" max="4367" width="8.140625" style="16" customWidth="1"/>
    <col min="4368" max="4372" width="9.140625" style="16"/>
    <col min="4373" max="4373" width="12.42578125" style="16" customWidth="1"/>
    <col min="4374" max="4374" width="9.140625" style="16"/>
    <col min="4375" max="4375" width="12" style="16" customWidth="1"/>
    <col min="4376" max="4608" width="9.140625" style="16"/>
    <col min="4609" max="4609" width="5" style="16" customWidth="1"/>
    <col min="4610" max="4610" width="17.85546875" style="16" customWidth="1"/>
    <col min="4611" max="4611" width="8.5703125" style="16" customWidth="1"/>
    <col min="4612" max="4612" width="8.28515625" style="16" customWidth="1"/>
    <col min="4613" max="4616" width="7.5703125" style="16" customWidth="1"/>
    <col min="4617" max="4622" width="7.85546875" style="16" customWidth="1"/>
    <col min="4623" max="4623" width="8.140625" style="16" customWidth="1"/>
    <col min="4624" max="4628" width="9.140625" style="16"/>
    <col min="4629" max="4629" width="12.42578125" style="16" customWidth="1"/>
    <col min="4630" max="4630" width="9.140625" style="16"/>
    <col min="4631" max="4631" width="12" style="16" customWidth="1"/>
    <col min="4632" max="4864" width="9.140625" style="16"/>
    <col min="4865" max="4865" width="5" style="16" customWidth="1"/>
    <col min="4866" max="4866" width="17.85546875" style="16" customWidth="1"/>
    <col min="4867" max="4867" width="8.5703125" style="16" customWidth="1"/>
    <col min="4868" max="4868" width="8.28515625" style="16" customWidth="1"/>
    <col min="4869" max="4872" width="7.5703125" style="16" customWidth="1"/>
    <col min="4873" max="4878" width="7.85546875" style="16" customWidth="1"/>
    <col min="4879" max="4879" width="8.140625" style="16" customWidth="1"/>
    <col min="4880" max="4884" width="9.140625" style="16"/>
    <col min="4885" max="4885" width="12.42578125" style="16" customWidth="1"/>
    <col min="4886" max="4886" width="9.140625" style="16"/>
    <col min="4887" max="4887" width="12" style="16" customWidth="1"/>
    <col min="4888" max="5120" width="9.140625" style="16"/>
    <col min="5121" max="5121" width="5" style="16" customWidth="1"/>
    <col min="5122" max="5122" width="17.85546875" style="16" customWidth="1"/>
    <col min="5123" max="5123" width="8.5703125" style="16" customWidth="1"/>
    <col min="5124" max="5124" width="8.28515625" style="16" customWidth="1"/>
    <col min="5125" max="5128" width="7.5703125" style="16" customWidth="1"/>
    <col min="5129" max="5134" width="7.85546875" style="16" customWidth="1"/>
    <col min="5135" max="5135" width="8.140625" style="16" customWidth="1"/>
    <col min="5136" max="5140" width="9.140625" style="16"/>
    <col min="5141" max="5141" width="12.42578125" style="16" customWidth="1"/>
    <col min="5142" max="5142" width="9.140625" style="16"/>
    <col min="5143" max="5143" width="12" style="16" customWidth="1"/>
    <col min="5144" max="5376" width="9.140625" style="16"/>
    <col min="5377" max="5377" width="5" style="16" customWidth="1"/>
    <col min="5378" max="5378" width="17.85546875" style="16" customWidth="1"/>
    <col min="5379" max="5379" width="8.5703125" style="16" customWidth="1"/>
    <col min="5380" max="5380" width="8.28515625" style="16" customWidth="1"/>
    <col min="5381" max="5384" width="7.5703125" style="16" customWidth="1"/>
    <col min="5385" max="5390" width="7.85546875" style="16" customWidth="1"/>
    <col min="5391" max="5391" width="8.140625" style="16" customWidth="1"/>
    <col min="5392" max="5396" width="9.140625" style="16"/>
    <col min="5397" max="5397" width="12.42578125" style="16" customWidth="1"/>
    <col min="5398" max="5398" width="9.140625" style="16"/>
    <col min="5399" max="5399" width="12" style="16" customWidth="1"/>
    <col min="5400" max="5632" width="9.140625" style="16"/>
    <col min="5633" max="5633" width="5" style="16" customWidth="1"/>
    <col min="5634" max="5634" width="17.85546875" style="16" customWidth="1"/>
    <col min="5635" max="5635" width="8.5703125" style="16" customWidth="1"/>
    <col min="5636" max="5636" width="8.28515625" style="16" customWidth="1"/>
    <col min="5637" max="5640" width="7.5703125" style="16" customWidth="1"/>
    <col min="5641" max="5646" width="7.85546875" style="16" customWidth="1"/>
    <col min="5647" max="5647" width="8.140625" style="16" customWidth="1"/>
    <col min="5648" max="5652" width="9.140625" style="16"/>
    <col min="5653" max="5653" width="12.42578125" style="16" customWidth="1"/>
    <col min="5654" max="5654" width="9.140625" style="16"/>
    <col min="5655" max="5655" width="12" style="16" customWidth="1"/>
    <col min="5656" max="5888" width="9.140625" style="16"/>
    <col min="5889" max="5889" width="5" style="16" customWidth="1"/>
    <col min="5890" max="5890" width="17.85546875" style="16" customWidth="1"/>
    <col min="5891" max="5891" width="8.5703125" style="16" customWidth="1"/>
    <col min="5892" max="5892" width="8.28515625" style="16" customWidth="1"/>
    <col min="5893" max="5896" width="7.5703125" style="16" customWidth="1"/>
    <col min="5897" max="5902" width="7.85546875" style="16" customWidth="1"/>
    <col min="5903" max="5903" width="8.140625" style="16" customWidth="1"/>
    <col min="5904" max="5908" width="9.140625" style="16"/>
    <col min="5909" max="5909" width="12.42578125" style="16" customWidth="1"/>
    <col min="5910" max="5910" width="9.140625" style="16"/>
    <col min="5911" max="5911" width="12" style="16" customWidth="1"/>
    <col min="5912" max="6144" width="9.140625" style="16"/>
    <col min="6145" max="6145" width="5" style="16" customWidth="1"/>
    <col min="6146" max="6146" width="17.85546875" style="16" customWidth="1"/>
    <col min="6147" max="6147" width="8.5703125" style="16" customWidth="1"/>
    <col min="6148" max="6148" width="8.28515625" style="16" customWidth="1"/>
    <col min="6149" max="6152" width="7.5703125" style="16" customWidth="1"/>
    <col min="6153" max="6158" width="7.85546875" style="16" customWidth="1"/>
    <col min="6159" max="6159" width="8.140625" style="16" customWidth="1"/>
    <col min="6160" max="6164" width="9.140625" style="16"/>
    <col min="6165" max="6165" width="12.42578125" style="16" customWidth="1"/>
    <col min="6166" max="6166" width="9.140625" style="16"/>
    <col min="6167" max="6167" width="12" style="16" customWidth="1"/>
    <col min="6168" max="6400" width="9.140625" style="16"/>
    <col min="6401" max="6401" width="5" style="16" customWidth="1"/>
    <col min="6402" max="6402" width="17.85546875" style="16" customWidth="1"/>
    <col min="6403" max="6403" width="8.5703125" style="16" customWidth="1"/>
    <col min="6404" max="6404" width="8.28515625" style="16" customWidth="1"/>
    <col min="6405" max="6408" width="7.5703125" style="16" customWidth="1"/>
    <col min="6409" max="6414" width="7.85546875" style="16" customWidth="1"/>
    <col min="6415" max="6415" width="8.140625" style="16" customWidth="1"/>
    <col min="6416" max="6420" width="9.140625" style="16"/>
    <col min="6421" max="6421" width="12.42578125" style="16" customWidth="1"/>
    <col min="6422" max="6422" width="9.140625" style="16"/>
    <col min="6423" max="6423" width="12" style="16" customWidth="1"/>
    <col min="6424" max="6656" width="9.140625" style="16"/>
    <col min="6657" max="6657" width="5" style="16" customWidth="1"/>
    <col min="6658" max="6658" width="17.85546875" style="16" customWidth="1"/>
    <col min="6659" max="6659" width="8.5703125" style="16" customWidth="1"/>
    <col min="6660" max="6660" width="8.28515625" style="16" customWidth="1"/>
    <col min="6661" max="6664" width="7.5703125" style="16" customWidth="1"/>
    <col min="6665" max="6670" width="7.85546875" style="16" customWidth="1"/>
    <col min="6671" max="6671" width="8.140625" style="16" customWidth="1"/>
    <col min="6672" max="6676" width="9.140625" style="16"/>
    <col min="6677" max="6677" width="12.42578125" style="16" customWidth="1"/>
    <col min="6678" max="6678" width="9.140625" style="16"/>
    <col min="6679" max="6679" width="12" style="16" customWidth="1"/>
    <col min="6680" max="6912" width="9.140625" style="16"/>
    <col min="6913" max="6913" width="5" style="16" customWidth="1"/>
    <col min="6914" max="6914" width="17.85546875" style="16" customWidth="1"/>
    <col min="6915" max="6915" width="8.5703125" style="16" customWidth="1"/>
    <col min="6916" max="6916" width="8.28515625" style="16" customWidth="1"/>
    <col min="6917" max="6920" width="7.5703125" style="16" customWidth="1"/>
    <col min="6921" max="6926" width="7.85546875" style="16" customWidth="1"/>
    <col min="6927" max="6927" width="8.140625" style="16" customWidth="1"/>
    <col min="6928" max="6932" width="9.140625" style="16"/>
    <col min="6933" max="6933" width="12.42578125" style="16" customWidth="1"/>
    <col min="6934" max="6934" width="9.140625" style="16"/>
    <col min="6935" max="6935" width="12" style="16" customWidth="1"/>
    <col min="6936" max="7168" width="9.140625" style="16"/>
    <col min="7169" max="7169" width="5" style="16" customWidth="1"/>
    <col min="7170" max="7170" width="17.85546875" style="16" customWidth="1"/>
    <col min="7171" max="7171" width="8.5703125" style="16" customWidth="1"/>
    <col min="7172" max="7172" width="8.28515625" style="16" customWidth="1"/>
    <col min="7173" max="7176" width="7.5703125" style="16" customWidth="1"/>
    <col min="7177" max="7182" width="7.85546875" style="16" customWidth="1"/>
    <col min="7183" max="7183" width="8.140625" style="16" customWidth="1"/>
    <col min="7184" max="7188" width="9.140625" style="16"/>
    <col min="7189" max="7189" width="12.42578125" style="16" customWidth="1"/>
    <col min="7190" max="7190" width="9.140625" style="16"/>
    <col min="7191" max="7191" width="12" style="16" customWidth="1"/>
    <col min="7192" max="7424" width="9.140625" style="16"/>
    <col min="7425" max="7425" width="5" style="16" customWidth="1"/>
    <col min="7426" max="7426" width="17.85546875" style="16" customWidth="1"/>
    <col min="7427" max="7427" width="8.5703125" style="16" customWidth="1"/>
    <col min="7428" max="7428" width="8.28515625" style="16" customWidth="1"/>
    <col min="7429" max="7432" width="7.5703125" style="16" customWidth="1"/>
    <col min="7433" max="7438" width="7.85546875" style="16" customWidth="1"/>
    <col min="7439" max="7439" width="8.140625" style="16" customWidth="1"/>
    <col min="7440" max="7444" width="9.140625" style="16"/>
    <col min="7445" max="7445" width="12.42578125" style="16" customWidth="1"/>
    <col min="7446" max="7446" width="9.140625" style="16"/>
    <col min="7447" max="7447" width="12" style="16" customWidth="1"/>
    <col min="7448" max="7680" width="9.140625" style="16"/>
    <col min="7681" max="7681" width="5" style="16" customWidth="1"/>
    <col min="7682" max="7682" width="17.85546875" style="16" customWidth="1"/>
    <col min="7683" max="7683" width="8.5703125" style="16" customWidth="1"/>
    <col min="7684" max="7684" width="8.28515625" style="16" customWidth="1"/>
    <col min="7685" max="7688" width="7.5703125" style="16" customWidth="1"/>
    <col min="7689" max="7694" width="7.85546875" style="16" customWidth="1"/>
    <col min="7695" max="7695" width="8.140625" style="16" customWidth="1"/>
    <col min="7696" max="7700" width="9.140625" style="16"/>
    <col min="7701" max="7701" width="12.42578125" style="16" customWidth="1"/>
    <col min="7702" max="7702" width="9.140625" style="16"/>
    <col min="7703" max="7703" width="12" style="16" customWidth="1"/>
    <col min="7704" max="7936" width="9.140625" style="16"/>
    <col min="7937" max="7937" width="5" style="16" customWidth="1"/>
    <col min="7938" max="7938" width="17.85546875" style="16" customWidth="1"/>
    <col min="7939" max="7939" width="8.5703125" style="16" customWidth="1"/>
    <col min="7940" max="7940" width="8.28515625" style="16" customWidth="1"/>
    <col min="7941" max="7944" width="7.5703125" style="16" customWidth="1"/>
    <col min="7945" max="7950" width="7.85546875" style="16" customWidth="1"/>
    <col min="7951" max="7951" width="8.140625" style="16" customWidth="1"/>
    <col min="7952" max="7956" width="9.140625" style="16"/>
    <col min="7957" max="7957" width="12.42578125" style="16" customWidth="1"/>
    <col min="7958" max="7958" width="9.140625" style="16"/>
    <col min="7959" max="7959" width="12" style="16" customWidth="1"/>
    <col min="7960" max="8192" width="9.140625" style="16"/>
    <col min="8193" max="8193" width="5" style="16" customWidth="1"/>
    <col min="8194" max="8194" width="17.85546875" style="16" customWidth="1"/>
    <col min="8195" max="8195" width="8.5703125" style="16" customWidth="1"/>
    <col min="8196" max="8196" width="8.28515625" style="16" customWidth="1"/>
    <col min="8197" max="8200" width="7.5703125" style="16" customWidth="1"/>
    <col min="8201" max="8206" width="7.85546875" style="16" customWidth="1"/>
    <col min="8207" max="8207" width="8.140625" style="16" customWidth="1"/>
    <col min="8208" max="8212" width="9.140625" style="16"/>
    <col min="8213" max="8213" width="12.42578125" style="16" customWidth="1"/>
    <col min="8214" max="8214" width="9.140625" style="16"/>
    <col min="8215" max="8215" width="12" style="16" customWidth="1"/>
    <col min="8216" max="8448" width="9.140625" style="16"/>
    <col min="8449" max="8449" width="5" style="16" customWidth="1"/>
    <col min="8450" max="8450" width="17.85546875" style="16" customWidth="1"/>
    <col min="8451" max="8451" width="8.5703125" style="16" customWidth="1"/>
    <col min="8452" max="8452" width="8.28515625" style="16" customWidth="1"/>
    <col min="8453" max="8456" width="7.5703125" style="16" customWidth="1"/>
    <col min="8457" max="8462" width="7.85546875" style="16" customWidth="1"/>
    <col min="8463" max="8463" width="8.140625" style="16" customWidth="1"/>
    <col min="8464" max="8468" width="9.140625" style="16"/>
    <col min="8469" max="8469" width="12.42578125" style="16" customWidth="1"/>
    <col min="8470" max="8470" width="9.140625" style="16"/>
    <col min="8471" max="8471" width="12" style="16" customWidth="1"/>
    <col min="8472" max="8704" width="9.140625" style="16"/>
    <col min="8705" max="8705" width="5" style="16" customWidth="1"/>
    <col min="8706" max="8706" width="17.85546875" style="16" customWidth="1"/>
    <col min="8707" max="8707" width="8.5703125" style="16" customWidth="1"/>
    <col min="8708" max="8708" width="8.28515625" style="16" customWidth="1"/>
    <col min="8709" max="8712" width="7.5703125" style="16" customWidth="1"/>
    <col min="8713" max="8718" width="7.85546875" style="16" customWidth="1"/>
    <col min="8719" max="8719" width="8.140625" style="16" customWidth="1"/>
    <col min="8720" max="8724" width="9.140625" style="16"/>
    <col min="8725" max="8725" width="12.42578125" style="16" customWidth="1"/>
    <col min="8726" max="8726" width="9.140625" style="16"/>
    <col min="8727" max="8727" width="12" style="16" customWidth="1"/>
    <col min="8728" max="8960" width="9.140625" style="16"/>
    <col min="8961" max="8961" width="5" style="16" customWidth="1"/>
    <col min="8962" max="8962" width="17.85546875" style="16" customWidth="1"/>
    <col min="8963" max="8963" width="8.5703125" style="16" customWidth="1"/>
    <col min="8964" max="8964" width="8.28515625" style="16" customWidth="1"/>
    <col min="8965" max="8968" width="7.5703125" style="16" customWidth="1"/>
    <col min="8969" max="8974" width="7.85546875" style="16" customWidth="1"/>
    <col min="8975" max="8975" width="8.140625" style="16" customWidth="1"/>
    <col min="8976" max="8980" width="9.140625" style="16"/>
    <col min="8981" max="8981" width="12.42578125" style="16" customWidth="1"/>
    <col min="8982" max="8982" width="9.140625" style="16"/>
    <col min="8983" max="8983" width="12" style="16" customWidth="1"/>
    <col min="8984" max="9216" width="9.140625" style="16"/>
    <col min="9217" max="9217" width="5" style="16" customWidth="1"/>
    <col min="9218" max="9218" width="17.85546875" style="16" customWidth="1"/>
    <col min="9219" max="9219" width="8.5703125" style="16" customWidth="1"/>
    <col min="9220" max="9220" width="8.28515625" style="16" customWidth="1"/>
    <col min="9221" max="9224" width="7.5703125" style="16" customWidth="1"/>
    <col min="9225" max="9230" width="7.85546875" style="16" customWidth="1"/>
    <col min="9231" max="9231" width="8.140625" style="16" customWidth="1"/>
    <col min="9232" max="9236" width="9.140625" style="16"/>
    <col min="9237" max="9237" width="12.42578125" style="16" customWidth="1"/>
    <col min="9238" max="9238" width="9.140625" style="16"/>
    <col min="9239" max="9239" width="12" style="16" customWidth="1"/>
    <col min="9240" max="9472" width="9.140625" style="16"/>
    <col min="9473" max="9473" width="5" style="16" customWidth="1"/>
    <col min="9474" max="9474" width="17.85546875" style="16" customWidth="1"/>
    <col min="9475" max="9475" width="8.5703125" style="16" customWidth="1"/>
    <col min="9476" max="9476" width="8.28515625" style="16" customWidth="1"/>
    <col min="9477" max="9480" width="7.5703125" style="16" customWidth="1"/>
    <col min="9481" max="9486" width="7.85546875" style="16" customWidth="1"/>
    <col min="9487" max="9487" width="8.140625" style="16" customWidth="1"/>
    <col min="9488" max="9492" width="9.140625" style="16"/>
    <col min="9493" max="9493" width="12.42578125" style="16" customWidth="1"/>
    <col min="9494" max="9494" width="9.140625" style="16"/>
    <col min="9495" max="9495" width="12" style="16" customWidth="1"/>
    <col min="9496" max="9728" width="9.140625" style="16"/>
    <col min="9729" max="9729" width="5" style="16" customWidth="1"/>
    <col min="9730" max="9730" width="17.85546875" style="16" customWidth="1"/>
    <col min="9731" max="9731" width="8.5703125" style="16" customWidth="1"/>
    <col min="9732" max="9732" width="8.28515625" style="16" customWidth="1"/>
    <col min="9733" max="9736" width="7.5703125" style="16" customWidth="1"/>
    <col min="9737" max="9742" width="7.85546875" style="16" customWidth="1"/>
    <col min="9743" max="9743" width="8.140625" style="16" customWidth="1"/>
    <col min="9744" max="9748" width="9.140625" style="16"/>
    <col min="9749" max="9749" width="12.42578125" style="16" customWidth="1"/>
    <col min="9750" max="9750" width="9.140625" style="16"/>
    <col min="9751" max="9751" width="12" style="16" customWidth="1"/>
    <col min="9752" max="9984" width="9.140625" style="16"/>
    <col min="9985" max="9985" width="5" style="16" customWidth="1"/>
    <col min="9986" max="9986" width="17.85546875" style="16" customWidth="1"/>
    <col min="9987" max="9987" width="8.5703125" style="16" customWidth="1"/>
    <col min="9988" max="9988" width="8.28515625" style="16" customWidth="1"/>
    <col min="9989" max="9992" width="7.5703125" style="16" customWidth="1"/>
    <col min="9993" max="9998" width="7.85546875" style="16" customWidth="1"/>
    <col min="9999" max="9999" width="8.140625" style="16" customWidth="1"/>
    <col min="10000" max="10004" width="9.140625" style="16"/>
    <col min="10005" max="10005" width="12.42578125" style="16" customWidth="1"/>
    <col min="10006" max="10006" width="9.140625" style="16"/>
    <col min="10007" max="10007" width="12" style="16" customWidth="1"/>
    <col min="10008" max="10240" width="9.140625" style="16"/>
    <col min="10241" max="10241" width="5" style="16" customWidth="1"/>
    <col min="10242" max="10242" width="17.85546875" style="16" customWidth="1"/>
    <col min="10243" max="10243" width="8.5703125" style="16" customWidth="1"/>
    <col min="10244" max="10244" width="8.28515625" style="16" customWidth="1"/>
    <col min="10245" max="10248" width="7.5703125" style="16" customWidth="1"/>
    <col min="10249" max="10254" width="7.85546875" style="16" customWidth="1"/>
    <col min="10255" max="10255" width="8.140625" style="16" customWidth="1"/>
    <col min="10256" max="10260" width="9.140625" style="16"/>
    <col min="10261" max="10261" width="12.42578125" style="16" customWidth="1"/>
    <col min="10262" max="10262" width="9.140625" style="16"/>
    <col min="10263" max="10263" width="12" style="16" customWidth="1"/>
    <col min="10264" max="10496" width="9.140625" style="16"/>
    <col min="10497" max="10497" width="5" style="16" customWidth="1"/>
    <col min="10498" max="10498" width="17.85546875" style="16" customWidth="1"/>
    <col min="10499" max="10499" width="8.5703125" style="16" customWidth="1"/>
    <col min="10500" max="10500" width="8.28515625" style="16" customWidth="1"/>
    <col min="10501" max="10504" width="7.5703125" style="16" customWidth="1"/>
    <col min="10505" max="10510" width="7.85546875" style="16" customWidth="1"/>
    <col min="10511" max="10511" width="8.140625" style="16" customWidth="1"/>
    <col min="10512" max="10516" width="9.140625" style="16"/>
    <col min="10517" max="10517" width="12.42578125" style="16" customWidth="1"/>
    <col min="10518" max="10518" width="9.140625" style="16"/>
    <col min="10519" max="10519" width="12" style="16" customWidth="1"/>
    <col min="10520" max="10752" width="9.140625" style="16"/>
    <col min="10753" max="10753" width="5" style="16" customWidth="1"/>
    <col min="10754" max="10754" width="17.85546875" style="16" customWidth="1"/>
    <col min="10755" max="10755" width="8.5703125" style="16" customWidth="1"/>
    <col min="10756" max="10756" width="8.28515625" style="16" customWidth="1"/>
    <col min="10757" max="10760" width="7.5703125" style="16" customWidth="1"/>
    <col min="10761" max="10766" width="7.85546875" style="16" customWidth="1"/>
    <col min="10767" max="10767" width="8.140625" style="16" customWidth="1"/>
    <col min="10768" max="10772" width="9.140625" style="16"/>
    <col min="10773" max="10773" width="12.42578125" style="16" customWidth="1"/>
    <col min="10774" max="10774" width="9.140625" style="16"/>
    <col min="10775" max="10775" width="12" style="16" customWidth="1"/>
    <col min="10776" max="11008" width="9.140625" style="16"/>
    <col min="11009" max="11009" width="5" style="16" customWidth="1"/>
    <col min="11010" max="11010" width="17.85546875" style="16" customWidth="1"/>
    <col min="11011" max="11011" width="8.5703125" style="16" customWidth="1"/>
    <col min="11012" max="11012" width="8.28515625" style="16" customWidth="1"/>
    <col min="11013" max="11016" width="7.5703125" style="16" customWidth="1"/>
    <col min="11017" max="11022" width="7.85546875" style="16" customWidth="1"/>
    <col min="11023" max="11023" width="8.140625" style="16" customWidth="1"/>
    <col min="11024" max="11028" width="9.140625" style="16"/>
    <col min="11029" max="11029" width="12.42578125" style="16" customWidth="1"/>
    <col min="11030" max="11030" width="9.140625" style="16"/>
    <col min="11031" max="11031" width="12" style="16" customWidth="1"/>
    <col min="11032" max="11264" width="9.140625" style="16"/>
    <col min="11265" max="11265" width="5" style="16" customWidth="1"/>
    <col min="11266" max="11266" width="17.85546875" style="16" customWidth="1"/>
    <col min="11267" max="11267" width="8.5703125" style="16" customWidth="1"/>
    <col min="11268" max="11268" width="8.28515625" style="16" customWidth="1"/>
    <col min="11269" max="11272" width="7.5703125" style="16" customWidth="1"/>
    <col min="11273" max="11278" width="7.85546875" style="16" customWidth="1"/>
    <col min="11279" max="11279" width="8.140625" style="16" customWidth="1"/>
    <col min="11280" max="11284" width="9.140625" style="16"/>
    <col min="11285" max="11285" width="12.42578125" style="16" customWidth="1"/>
    <col min="11286" max="11286" width="9.140625" style="16"/>
    <col min="11287" max="11287" width="12" style="16" customWidth="1"/>
    <col min="11288" max="11520" width="9.140625" style="16"/>
    <col min="11521" max="11521" width="5" style="16" customWidth="1"/>
    <col min="11522" max="11522" width="17.85546875" style="16" customWidth="1"/>
    <col min="11523" max="11523" width="8.5703125" style="16" customWidth="1"/>
    <col min="11524" max="11524" width="8.28515625" style="16" customWidth="1"/>
    <col min="11525" max="11528" width="7.5703125" style="16" customWidth="1"/>
    <col min="11529" max="11534" width="7.85546875" style="16" customWidth="1"/>
    <col min="11535" max="11535" width="8.140625" style="16" customWidth="1"/>
    <col min="11536" max="11540" width="9.140625" style="16"/>
    <col min="11541" max="11541" width="12.42578125" style="16" customWidth="1"/>
    <col min="11542" max="11542" width="9.140625" style="16"/>
    <col min="11543" max="11543" width="12" style="16" customWidth="1"/>
    <col min="11544" max="11776" width="9.140625" style="16"/>
    <col min="11777" max="11777" width="5" style="16" customWidth="1"/>
    <col min="11778" max="11778" width="17.85546875" style="16" customWidth="1"/>
    <col min="11779" max="11779" width="8.5703125" style="16" customWidth="1"/>
    <col min="11780" max="11780" width="8.28515625" style="16" customWidth="1"/>
    <col min="11781" max="11784" width="7.5703125" style="16" customWidth="1"/>
    <col min="11785" max="11790" width="7.85546875" style="16" customWidth="1"/>
    <col min="11791" max="11791" width="8.140625" style="16" customWidth="1"/>
    <col min="11792" max="11796" width="9.140625" style="16"/>
    <col min="11797" max="11797" width="12.42578125" style="16" customWidth="1"/>
    <col min="11798" max="11798" width="9.140625" style="16"/>
    <col min="11799" max="11799" width="12" style="16" customWidth="1"/>
    <col min="11800" max="12032" width="9.140625" style="16"/>
    <col min="12033" max="12033" width="5" style="16" customWidth="1"/>
    <col min="12034" max="12034" width="17.85546875" style="16" customWidth="1"/>
    <col min="12035" max="12035" width="8.5703125" style="16" customWidth="1"/>
    <col min="12036" max="12036" width="8.28515625" style="16" customWidth="1"/>
    <col min="12037" max="12040" width="7.5703125" style="16" customWidth="1"/>
    <col min="12041" max="12046" width="7.85546875" style="16" customWidth="1"/>
    <col min="12047" max="12047" width="8.140625" style="16" customWidth="1"/>
    <col min="12048" max="12052" width="9.140625" style="16"/>
    <col min="12053" max="12053" width="12.42578125" style="16" customWidth="1"/>
    <col min="12054" max="12054" width="9.140625" style="16"/>
    <col min="12055" max="12055" width="12" style="16" customWidth="1"/>
    <col min="12056" max="12288" width="9.140625" style="16"/>
    <col min="12289" max="12289" width="5" style="16" customWidth="1"/>
    <col min="12290" max="12290" width="17.85546875" style="16" customWidth="1"/>
    <col min="12291" max="12291" width="8.5703125" style="16" customWidth="1"/>
    <col min="12292" max="12292" width="8.28515625" style="16" customWidth="1"/>
    <col min="12293" max="12296" width="7.5703125" style="16" customWidth="1"/>
    <col min="12297" max="12302" width="7.85546875" style="16" customWidth="1"/>
    <col min="12303" max="12303" width="8.140625" style="16" customWidth="1"/>
    <col min="12304" max="12308" width="9.140625" style="16"/>
    <col min="12309" max="12309" width="12.42578125" style="16" customWidth="1"/>
    <col min="12310" max="12310" width="9.140625" style="16"/>
    <col min="12311" max="12311" width="12" style="16" customWidth="1"/>
    <col min="12312" max="12544" width="9.140625" style="16"/>
    <col min="12545" max="12545" width="5" style="16" customWidth="1"/>
    <col min="12546" max="12546" width="17.85546875" style="16" customWidth="1"/>
    <col min="12547" max="12547" width="8.5703125" style="16" customWidth="1"/>
    <col min="12548" max="12548" width="8.28515625" style="16" customWidth="1"/>
    <col min="12549" max="12552" width="7.5703125" style="16" customWidth="1"/>
    <col min="12553" max="12558" width="7.85546875" style="16" customWidth="1"/>
    <col min="12559" max="12559" width="8.140625" style="16" customWidth="1"/>
    <col min="12560" max="12564" width="9.140625" style="16"/>
    <col min="12565" max="12565" width="12.42578125" style="16" customWidth="1"/>
    <col min="12566" max="12566" width="9.140625" style="16"/>
    <col min="12567" max="12567" width="12" style="16" customWidth="1"/>
    <col min="12568" max="12800" width="9.140625" style="16"/>
    <col min="12801" max="12801" width="5" style="16" customWidth="1"/>
    <col min="12802" max="12802" width="17.85546875" style="16" customWidth="1"/>
    <col min="12803" max="12803" width="8.5703125" style="16" customWidth="1"/>
    <col min="12804" max="12804" width="8.28515625" style="16" customWidth="1"/>
    <col min="12805" max="12808" width="7.5703125" style="16" customWidth="1"/>
    <col min="12809" max="12814" width="7.85546875" style="16" customWidth="1"/>
    <col min="12815" max="12815" width="8.140625" style="16" customWidth="1"/>
    <col min="12816" max="12820" width="9.140625" style="16"/>
    <col min="12821" max="12821" width="12.42578125" style="16" customWidth="1"/>
    <col min="12822" max="12822" width="9.140625" style="16"/>
    <col min="12823" max="12823" width="12" style="16" customWidth="1"/>
    <col min="12824" max="13056" width="9.140625" style="16"/>
    <col min="13057" max="13057" width="5" style="16" customWidth="1"/>
    <col min="13058" max="13058" width="17.85546875" style="16" customWidth="1"/>
    <col min="13059" max="13059" width="8.5703125" style="16" customWidth="1"/>
    <col min="13060" max="13060" width="8.28515625" style="16" customWidth="1"/>
    <col min="13061" max="13064" width="7.5703125" style="16" customWidth="1"/>
    <col min="13065" max="13070" width="7.85546875" style="16" customWidth="1"/>
    <col min="13071" max="13071" width="8.140625" style="16" customWidth="1"/>
    <col min="13072" max="13076" width="9.140625" style="16"/>
    <col min="13077" max="13077" width="12.42578125" style="16" customWidth="1"/>
    <col min="13078" max="13078" width="9.140625" style="16"/>
    <col min="13079" max="13079" width="12" style="16" customWidth="1"/>
    <col min="13080" max="13312" width="9.140625" style="16"/>
    <col min="13313" max="13313" width="5" style="16" customWidth="1"/>
    <col min="13314" max="13314" width="17.85546875" style="16" customWidth="1"/>
    <col min="13315" max="13315" width="8.5703125" style="16" customWidth="1"/>
    <col min="13316" max="13316" width="8.28515625" style="16" customWidth="1"/>
    <col min="13317" max="13320" width="7.5703125" style="16" customWidth="1"/>
    <col min="13321" max="13326" width="7.85546875" style="16" customWidth="1"/>
    <col min="13327" max="13327" width="8.140625" style="16" customWidth="1"/>
    <col min="13328" max="13332" width="9.140625" style="16"/>
    <col min="13333" max="13333" width="12.42578125" style="16" customWidth="1"/>
    <col min="13334" max="13334" width="9.140625" style="16"/>
    <col min="13335" max="13335" width="12" style="16" customWidth="1"/>
    <col min="13336" max="13568" width="9.140625" style="16"/>
    <col min="13569" max="13569" width="5" style="16" customWidth="1"/>
    <col min="13570" max="13570" width="17.85546875" style="16" customWidth="1"/>
    <col min="13571" max="13571" width="8.5703125" style="16" customWidth="1"/>
    <col min="13572" max="13572" width="8.28515625" style="16" customWidth="1"/>
    <col min="13573" max="13576" width="7.5703125" style="16" customWidth="1"/>
    <col min="13577" max="13582" width="7.85546875" style="16" customWidth="1"/>
    <col min="13583" max="13583" width="8.140625" style="16" customWidth="1"/>
    <col min="13584" max="13588" width="9.140625" style="16"/>
    <col min="13589" max="13589" width="12.42578125" style="16" customWidth="1"/>
    <col min="13590" max="13590" width="9.140625" style="16"/>
    <col min="13591" max="13591" width="12" style="16" customWidth="1"/>
    <col min="13592" max="13824" width="9.140625" style="16"/>
    <col min="13825" max="13825" width="5" style="16" customWidth="1"/>
    <col min="13826" max="13826" width="17.85546875" style="16" customWidth="1"/>
    <col min="13827" max="13827" width="8.5703125" style="16" customWidth="1"/>
    <col min="13828" max="13828" width="8.28515625" style="16" customWidth="1"/>
    <col min="13829" max="13832" width="7.5703125" style="16" customWidth="1"/>
    <col min="13833" max="13838" width="7.85546875" style="16" customWidth="1"/>
    <col min="13839" max="13839" width="8.140625" style="16" customWidth="1"/>
    <col min="13840" max="13844" width="9.140625" style="16"/>
    <col min="13845" max="13845" width="12.42578125" style="16" customWidth="1"/>
    <col min="13846" max="13846" width="9.140625" style="16"/>
    <col min="13847" max="13847" width="12" style="16" customWidth="1"/>
    <col min="13848" max="14080" width="9.140625" style="16"/>
    <col min="14081" max="14081" width="5" style="16" customWidth="1"/>
    <col min="14082" max="14082" width="17.85546875" style="16" customWidth="1"/>
    <col min="14083" max="14083" width="8.5703125" style="16" customWidth="1"/>
    <col min="14084" max="14084" width="8.28515625" style="16" customWidth="1"/>
    <col min="14085" max="14088" width="7.5703125" style="16" customWidth="1"/>
    <col min="14089" max="14094" width="7.85546875" style="16" customWidth="1"/>
    <col min="14095" max="14095" width="8.140625" style="16" customWidth="1"/>
    <col min="14096" max="14100" width="9.140625" style="16"/>
    <col min="14101" max="14101" width="12.42578125" style="16" customWidth="1"/>
    <col min="14102" max="14102" width="9.140625" style="16"/>
    <col min="14103" max="14103" width="12" style="16" customWidth="1"/>
    <col min="14104" max="14336" width="9.140625" style="16"/>
    <col min="14337" max="14337" width="5" style="16" customWidth="1"/>
    <col min="14338" max="14338" width="17.85546875" style="16" customWidth="1"/>
    <col min="14339" max="14339" width="8.5703125" style="16" customWidth="1"/>
    <col min="14340" max="14340" width="8.28515625" style="16" customWidth="1"/>
    <col min="14341" max="14344" width="7.5703125" style="16" customWidth="1"/>
    <col min="14345" max="14350" width="7.85546875" style="16" customWidth="1"/>
    <col min="14351" max="14351" width="8.140625" style="16" customWidth="1"/>
    <col min="14352" max="14356" width="9.140625" style="16"/>
    <col min="14357" max="14357" width="12.42578125" style="16" customWidth="1"/>
    <col min="14358" max="14358" width="9.140625" style="16"/>
    <col min="14359" max="14359" width="12" style="16" customWidth="1"/>
    <col min="14360" max="14592" width="9.140625" style="16"/>
    <col min="14593" max="14593" width="5" style="16" customWidth="1"/>
    <col min="14594" max="14594" width="17.85546875" style="16" customWidth="1"/>
    <col min="14595" max="14595" width="8.5703125" style="16" customWidth="1"/>
    <col min="14596" max="14596" width="8.28515625" style="16" customWidth="1"/>
    <col min="14597" max="14600" width="7.5703125" style="16" customWidth="1"/>
    <col min="14601" max="14606" width="7.85546875" style="16" customWidth="1"/>
    <col min="14607" max="14607" width="8.140625" style="16" customWidth="1"/>
    <col min="14608" max="14612" width="9.140625" style="16"/>
    <col min="14613" max="14613" width="12.42578125" style="16" customWidth="1"/>
    <col min="14614" max="14614" width="9.140625" style="16"/>
    <col min="14615" max="14615" width="12" style="16" customWidth="1"/>
    <col min="14616" max="14848" width="9.140625" style="16"/>
    <col min="14849" max="14849" width="5" style="16" customWidth="1"/>
    <col min="14850" max="14850" width="17.85546875" style="16" customWidth="1"/>
    <col min="14851" max="14851" width="8.5703125" style="16" customWidth="1"/>
    <col min="14852" max="14852" width="8.28515625" style="16" customWidth="1"/>
    <col min="14853" max="14856" width="7.5703125" style="16" customWidth="1"/>
    <col min="14857" max="14862" width="7.85546875" style="16" customWidth="1"/>
    <col min="14863" max="14863" width="8.140625" style="16" customWidth="1"/>
    <col min="14864" max="14868" width="9.140625" style="16"/>
    <col min="14869" max="14869" width="12.42578125" style="16" customWidth="1"/>
    <col min="14870" max="14870" width="9.140625" style="16"/>
    <col min="14871" max="14871" width="12" style="16" customWidth="1"/>
    <col min="14872" max="15104" width="9.140625" style="16"/>
    <col min="15105" max="15105" width="5" style="16" customWidth="1"/>
    <col min="15106" max="15106" width="17.85546875" style="16" customWidth="1"/>
    <col min="15107" max="15107" width="8.5703125" style="16" customWidth="1"/>
    <col min="15108" max="15108" width="8.28515625" style="16" customWidth="1"/>
    <col min="15109" max="15112" width="7.5703125" style="16" customWidth="1"/>
    <col min="15113" max="15118" width="7.85546875" style="16" customWidth="1"/>
    <col min="15119" max="15119" width="8.140625" style="16" customWidth="1"/>
    <col min="15120" max="15124" width="9.140625" style="16"/>
    <col min="15125" max="15125" width="12.42578125" style="16" customWidth="1"/>
    <col min="15126" max="15126" width="9.140625" style="16"/>
    <col min="15127" max="15127" width="12" style="16" customWidth="1"/>
    <col min="15128" max="15360" width="9.140625" style="16"/>
    <col min="15361" max="15361" width="5" style="16" customWidth="1"/>
    <col min="15362" max="15362" width="17.85546875" style="16" customWidth="1"/>
    <col min="15363" max="15363" width="8.5703125" style="16" customWidth="1"/>
    <col min="15364" max="15364" width="8.28515625" style="16" customWidth="1"/>
    <col min="15365" max="15368" width="7.5703125" style="16" customWidth="1"/>
    <col min="15369" max="15374" width="7.85546875" style="16" customWidth="1"/>
    <col min="15375" max="15375" width="8.140625" style="16" customWidth="1"/>
    <col min="15376" max="15380" width="9.140625" style="16"/>
    <col min="15381" max="15381" width="12.42578125" style="16" customWidth="1"/>
    <col min="15382" max="15382" width="9.140625" style="16"/>
    <col min="15383" max="15383" width="12" style="16" customWidth="1"/>
    <col min="15384" max="15616" width="9.140625" style="16"/>
    <col min="15617" max="15617" width="5" style="16" customWidth="1"/>
    <col min="15618" max="15618" width="17.85546875" style="16" customWidth="1"/>
    <col min="15619" max="15619" width="8.5703125" style="16" customWidth="1"/>
    <col min="15620" max="15620" width="8.28515625" style="16" customWidth="1"/>
    <col min="15621" max="15624" width="7.5703125" style="16" customWidth="1"/>
    <col min="15625" max="15630" width="7.85546875" style="16" customWidth="1"/>
    <col min="15631" max="15631" width="8.140625" style="16" customWidth="1"/>
    <col min="15632" max="15636" width="9.140625" style="16"/>
    <col min="15637" max="15637" width="12.42578125" style="16" customWidth="1"/>
    <col min="15638" max="15638" width="9.140625" style="16"/>
    <col min="15639" max="15639" width="12" style="16" customWidth="1"/>
    <col min="15640" max="15872" width="9.140625" style="16"/>
    <col min="15873" max="15873" width="5" style="16" customWidth="1"/>
    <col min="15874" max="15874" width="17.85546875" style="16" customWidth="1"/>
    <col min="15875" max="15875" width="8.5703125" style="16" customWidth="1"/>
    <col min="15876" max="15876" width="8.28515625" style="16" customWidth="1"/>
    <col min="15877" max="15880" width="7.5703125" style="16" customWidth="1"/>
    <col min="15881" max="15886" width="7.85546875" style="16" customWidth="1"/>
    <col min="15887" max="15887" width="8.140625" style="16" customWidth="1"/>
    <col min="15888" max="15892" width="9.140625" style="16"/>
    <col min="15893" max="15893" width="12.42578125" style="16" customWidth="1"/>
    <col min="15894" max="15894" width="9.140625" style="16"/>
    <col min="15895" max="15895" width="12" style="16" customWidth="1"/>
    <col min="15896" max="16128" width="9.140625" style="16"/>
    <col min="16129" max="16129" width="5" style="16" customWidth="1"/>
    <col min="16130" max="16130" width="17.85546875" style="16" customWidth="1"/>
    <col min="16131" max="16131" width="8.5703125" style="16" customWidth="1"/>
    <col min="16132" max="16132" width="8.28515625" style="16" customWidth="1"/>
    <col min="16133" max="16136" width="7.5703125" style="16" customWidth="1"/>
    <col min="16137" max="16142" width="7.85546875" style="16" customWidth="1"/>
    <col min="16143" max="16143" width="8.140625" style="16" customWidth="1"/>
    <col min="16144" max="16148" width="9.140625" style="16"/>
    <col min="16149" max="16149" width="12.42578125" style="16" customWidth="1"/>
    <col min="16150" max="16150" width="9.140625" style="16"/>
    <col min="16151" max="16151" width="12" style="16" customWidth="1"/>
    <col min="16152" max="16384" width="9.140625" style="16"/>
  </cols>
  <sheetData>
    <row r="1" spans="1:17" s="1" customFormat="1" x14ac:dyDescent="0.2">
      <c r="A1" s="867" t="s">
        <v>449</v>
      </c>
      <c r="B1" s="868"/>
      <c r="C1" s="868"/>
      <c r="D1" s="869"/>
      <c r="E1" s="868"/>
      <c r="F1" s="868"/>
      <c r="G1" s="867" t="s">
        <v>102</v>
      </c>
      <c r="H1" s="869"/>
      <c r="I1" s="869" t="s">
        <v>579</v>
      </c>
      <c r="J1" s="868"/>
      <c r="K1" s="868"/>
      <c r="L1" s="870"/>
      <c r="M1" s="870"/>
      <c r="N1" s="870"/>
      <c r="O1" s="870"/>
    </row>
    <row r="2" spans="1:17" s="1" customFormat="1" x14ac:dyDescent="0.2">
      <c r="A2" s="867" t="s">
        <v>103</v>
      </c>
      <c r="B2" s="868"/>
      <c r="C2" s="868"/>
      <c r="D2" s="869"/>
      <c r="E2" s="868"/>
      <c r="F2" s="868"/>
      <c r="G2" s="867" t="s">
        <v>104</v>
      </c>
      <c r="H2" s="869"/>
      <c r="I2" s="869" t="s">
        <v>105</v>
      </c>
      <c r="J2" s="868"/>
      <c r="K2" s="868"/>
      <c r="L2" s="870"/>
      <c r="M2" s="870"/>
      <c r="N2" s="870"/>
      <c r="O2" s="870"/>
    </row>
    <row r="3" spans="1:17" s="1" customFormat="1" x14ac:dyDescent="0.2">
      <c r="A3" s="867" t="s">
        <v>106</v>
      </c>
      <c r="B3" s="868"/>
      <c r="C3" s="868"/>
      <c r="D3" s="883" t="s">
        <v>695</v>
      </c>
      <c r="E3" s="868"/>
      <c r="F3" s="868"/>
      <c r="G3" s="867" t="s">
        <v>107</v>
      </c>
      <c r="H3" s="869"/>
      <c r="I3" s="869" t="s">
        <v>108</v>
      </c>
      <c r="J3" s="868"/>
      <c r="K3" s="868"/>
      <c r="L3" s="870"/>
      <c r="M3" s="870"/>
      <c r="N3" s="870"/>
      <c r="O3" s="870"/>
    </row>
    <row r="4" spans="1:17" s="1" customFormat="1" x14ac:dyDescent="0.2">
      <c r="A4" s="867" t="s">
        <v>109</v>
      </c>
      <c r="B4" s="868"/>
      <c r="C4" s="868"/>
      <c r="D4" s="869" t="s">
        <v>696</v>
      </c>
      <c r="E4" s="868"/>
      <c r="F4" s="868"/>
      <c r="G4" s="867" t="s">
        <v>110</v>
      </c>
      <c r="H4" s="869"/>
      <c r="I4" s="869" t="s">
        <v>697</v>
      </c>
      <c r="J4" s="868"/>
      <c r="K4" s="868"/>
      <c r="L4" s="870"/>
      <c r="M4" s="870"/>
      <c r="N4" s="870"/>
      <c r="O4" s="870"/>
    </row>
    <row r="5" spans="1:17" s="1" customFormat="1" x14ac:dyDescent="0.2">
      <c r="A5" s="867" t="s">
        <v>112</v>
      </c>
      <c r="B5" s="868"/>
      <c r="C5" s="868"/>
      <c r="D5" s="869" t="s">
        <v>696</v>
      </c>
      <c r="E5" s="868"/>
      <c r="F5" s="868"/>
      <c r="G5" s="867"/>
      <c r="H5" s="868"/>
      <c r="I5" s="869" t="s">
        <v>113</v>
      </c>
      <c r="J5" s="868"/>
      <c r="K5" s="868"/>
      <c r="L5" s="870"/>
      <c r="M5" s="870"/>
      <c r="N5" s="870"/>
      <c r="O5" s="870"/>
    </row>
    <row r="6" spans="1:17" s="1" customFormat="1" x14ac:dyDescent="0.2">
      <c r="A6" s="871" t="s">
        <v>114</v>
      </c>
      <c r="B6" s="872"/>
      <c r="C6" s="872"/>
      <c r="D6" s="868" t="s">
        <v>580</v>
      </c>
      <c r="E6" s="868"/>
      <c r="F6" s="868"/>
      <c r="G6" s="871" t="s">
        <v>115</v>
      </c>
      <c r="H6" s="871"/>
      <c r="I6" s="2" t="s">
        <v>116</v>
      </c>
      <c r="J6" s="888"/>
      <c r="K6" s="888"/>
      <c r="L6" s="888"/>
      <c r="M6" s="888"/>
      <c r="N6" s="888"/>
      <c r="O6" s="889"/>
    </row>
    <row r="7" spans="1:17" s="1" customFormat="1" ht="13.5" thickBot="1" x14ac:dyDescent="0.25">
      <c r="A7" s="3"/>
      <c r="B7" s="4"/>
      <c r="C7" s="5"/>
      <c r="D7" s="6"/>
      <c r="E7" s="6"/>
      <c r="F7" s="6"/>
      <c r="G7" s="6"/>
      <c r="H7" s="6"/>
      <c r="I7" s="6"/>
      <c r="J7" s="7"/>
      <c r="K7" s="8"/>
      <c r="L7" s="875" t="s">
        <v>223</v>
      </c>
      <c r="M7" s="875"/>
      <c r="N7" s="875"/>
      <c r="O7" s="875"/>
    </row>
    <row r="8" spans="1:17" s="11" customFormat="1" ht="16.5" customHeight="1" x14ac:dyDescent="0.2">
      <c r="A8" s="876" t="str">
        <f>I1</f>
        <v>Mr. P. A. Parab</v>
      </c>
      <c r="B8" s="877"/>
      <c r="C8" s="9">
        <v>43160</v>
      </c>
      <c r="D8" s="9">
        <v>43191</v>
      </c>
      <c r="E8" s="9">
        <v>43221</v>
      </c>
      <c r="F8" s="9">
        <v>43252</v>
      </c>
      <c r="G8" s="9">
        <v>43282</v>
      </c>
      <c r="H8" s="9">
        <v>43313</v>
      </c>
      <c r="I8" s="9">
        <v>43344</v>
      </c>
      <c r="J8" s="9">
        <v>43374</v>
      </c>
      <c r="K8" s="9">
        <v>43405</v>
      </c>
      <c r="L8" s="9">
        <v>43435</v>
      </c>
      <c r="M8" s="9">
        <v>43466</v>
      </c>
      <c r="N8" s="9">
        <v>43497</v>
      </c>
      <c r="O8" s="10" t="s">
        <v>117</v>
      </c>
      <c r="Q8" s="11" t="s">
        <v>116</v>
      </c>
    </row>
    <row r="9" spans="1:17" ht="15" x14ac:dyDescent="0.2">
      <c r="A9" s="12"/>
      <c r="B9" s="13" t="s">
        <v>118</v>
      </c>
      <c r="C9" s="14">
        <v>66000</v>
      </c>
      <c r="D9" s="14">
        <v>66000</v>
      </c>
      <c r="E9" s="14">
        <v>66000</v>
      </c>
      <c r="F9" s="14">
        <v>66000</v>
      </c>
      <c r="G9" s="14">
        <v>68000</v>
      </c>
      <c r="H9" s="14">
        <v>68000</v>
      </c>
      <c r="I9" s="14">
        <v>68000</v>
      </c>
      <c r="J9" s="14">
        <v>68000</v>
      </c>
      <c r="K9" s="14">
        <v>68000</v>
      </c>
      <c r="L9" s="14">
        <v>68000</v>
      </c>
      <c r="M9" s="14">
        <v>68000</v>
      </c>
      <c r="N9" s="14">
        <v>68000</v>
      </c>
      <c r="O9" s="15">
        <f>SUM(C9:N9)</f>
        <v>808000</v>
      </c>
      <c r="Q9" s="16" t="s">
        <v>222</v>
      </c>
    </row>
    <row r="10" spans="1:17"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7" ht="15" x14ac:dyDescent="0.2">
      <c r="A11" s="12"/>
      <c r="B11" s="13" t="s">
        <v>120</v>
      </c>
      <c r="C11" s="17">
        <v>3300</v>
      </c>
      <c r="D11" s="17">
        <v>4620</v>
      </c>
      <c r="E11" s="17">
        <v>4620</v>
      </c>
      <c r="F11" s="17">
        <v>4620</v>
      </c>
      <c r="G11" s="17">
        <v>4760</v>
      </c>
      <c r="H11" s="17">
        <v>4760</v>
      </c>
      <c r="I11" s="17">
        <v>4760</v>
      </c>
      <c r="J11" s="17">
        <v>6120</v>
      </c>
      <c r="K11" s="17">
        <v>6120</v>
      </c>
      <c r="L11" s="17">
        <v>6120</v>
      </c>
      <c r="M11" s="17">
        <v>6120</v>
      </c>
      <c r="N11" s="17">
        <v>6120</v>
      </c>
      <c r="O11" s="18">
        <f>SUM(C11:N11)</f>
        <v>62040</v>
      </c>
    </row>
    <row r="12" spans="1:17"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7"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7" si="0">SUM(C13:N13)</f>
        <v>0</v>
      </c>
    </row>
    <row r="14" spans="1:17" ht="15" x14ac:dyDescent="0.2">
      <c r="A14" s="12"/>
      <c r="B14" s="13" t="s">
        <v>123</v>
      </c>
      <c r="C14" s="17">
        <v>3780</v>
      </c>
      <c r="D14" s="17">
        <v>3852</v>
      </c>
      <c r="E14" s="17">
        <v>3852</v>
      </c>
      <c r="F14" s="17">
        <v>3852</v>
      </c>
      <c r="G14" s="17">
        <v>3852</v>
      </c>
      <c r="H14" s="17">
        <v>3852</v>
      </c>
      <c r="I14" s="17">
        <v>3852</v>
      </c>
      <c r="J14" s="17">
        <v>3924</v>
      </c>
      <c r="K14" s="17">
        <v>3924</v>
      </c>
      <c r="L14" s="17">
        <v>3924</v>
      </c>
      <c r="M14" s="17">
        <v>3924</v>
      </c>
      <c r="N14" s="17">
        <v>3924</v>
      </c>
      <c r="O14" s="18">
        <f t="shared" si="0"/>
        <v>46512</v>
      </c>
    </row>
    <row r="15" spans="1:17"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7" ht="15" hidden="1" x14ac:dyDescent="0.2">
      <c r="A16" s="12"/>
      <c r="B16" s="13" t="s">
        <v>405</v>
      </c>
      <c r="C16" s="17">
        <v>0</v>
      </c>
      <c r="D16" s="17">
        <v>0</v>
      </c>
      <c r="E16" s="17">
        <v>0</v>
      </c>
      <c r="F16" s="17">
        <v>0</v>
      </c>
      <c r="G16" s="17">
        <v>0</v>
      </c>
      <c r="H16" s="17">
        <v>0</v>
      </c>
      <c r="I16" s="17">
        <v>0</v>
      </c>
      <c r="J16" s="17">
        <v>0</v>
      </c>
      <c r="K16" s="17">
        <v>0</v>
      </c>
      <c r="L16" s="17">
        <v>0</v>
      </c>
      <c r="M16" s="17">
        <v>0</v>
      </c>
      <c r="N16" s="17">
        <v>0</v>
      </c>
      <c r="O16" s="18">
        <f t="shared" si="0"/>
        <v>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hidden="1"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15840</v>
      </c>
      <c r="D19" s="17">
        <v>15840</v>
      </c>
      <c r="E19" s="17">
        <v>15840</v>
      </c>
      <c r="F19" s="17">
        <v>15840</v>
      </c>
      <c r="G19" s="17">
        <v>16320</v>
      </c>
      <c r="H19" s="17">
        <v>16320</v>
      </c>
      <c r="I19" s="17">
        <v>16320</v>
      </c>
      <c r="J19" s="17">
        <v>16320</v>
      </c>
      <c r="K19" s="17">
        <v>16320</v>
      </c>
      <c r="L19" s="17">
        <v>16320</v>
      </c>
      <c r="M19" s="17">
        <v>16320</v>
      </c>
      <c r="N19" s="17">
        <v>16320</v>
      </c>
      <c r="O19" s="18">
        <f t="shared" si="0"/>
        <v>193920</v>
      </c>
    </row>
    <row r="20" spans="1:15" ht="15" x14ac:dyDescent="0.2">
      <c r="A20" s="12"/>
      <c r="B20" s="13" t="s">
        <v>224</v>
      </c>
      <c r="C20" s="17">
        <v>0</v>
      </c>
      <c r="D20" s="17">
        <v>0</v>
      </c>
      <c r="E20" s="17">
        <v>0</v>
      </c>
      <c r="F20" s="17">
        <v>0</v>
      </c>
      <c r="G20" s="17">
        <v>0</v>
      </c>
      <c r="H20" s="17">
        <v>0</v>
      </c>
      <c r="I20" s="17">
        <v>0</v>
      </c>
      <c r="J20" s="17">
        <v>0</v>
      </c>
      <c r="K20" s="17">
        <v>0</v>
      </c>
      <c r="L20" s="17">
        <v>0</v>
      </c>
      <c r="M20" s="17">
        <v>0</v>
      </c>
      <c r="N20" s="17">
        <v>0</v>
      </c>
      <c r="O20" s="18">
        <f t="shared" si="0"/>
        <v>0</v>
      </c>
    </row>
    <row r="21" spans="1:15" ht="15.75" customHeight="1" x14ac:dyDescent="0.2">
      <c r="A21" s="12"/>
      <c r="B21" s="13" t="s">
        <v>129</v>
      </c>
      <c r="C21" s="17">
        <v>0</v>
      </c>
      <c r="D21" s="17">
        <v>0</v>
      </c>
      <c r="E21" s="17">
        <v>0</v>
      </c>
      <c r="F21" s="17">
        <v>26250</v>
      </c>
      <c r="G21" s="17">
        <v>0</v>
      </c>
      <c r="H21" s="17">
        <v>0</v>
      </c>
      <c r="I21" s="17">
        <v>0</v>
      </c>
      <c r="J21" s="17">
        <v>0</v>
      </c>
      <c r="K21" s="17">
        <v>0</v>
      </c>
      <c r="L21" s="17">
        <v>0</v>
      </c>
      <c r="M21" s="17">
        <v>0</v>
      </c>
      <c r="N21" s="17">
        <v>0</v>
      </c>
      <c r="O21" s="18">
        <f t="shared" si="0"/>
        <v>26250</v>
      </c>
    </row>
    <row r="22" spans="1:15" ht="15" hidden="1" x14ac:dyDescent="0.2">
      <c r="A22" s="878" t="s">
        <v>130</v>
      </c>
      <c r="B22" s="19" t="s">
        <v>131</v>
      </c>
      <c r="C22" s="17">
        <v>0</v>
      </c>
      <c r="D22" s="17">
        <v>0</v>
      </c>
      <c r="E22" s="17">
        <v>0</v>
      </c>
      <c r="F22" s="17">
        <v>0</v>
      </c>
      <c r="G22" s="17">
        <v>0</v>
      </c>
      <c r="H22" s="17">
        <v>0</v>
      </c>
      <c r="I22" s="17">
        <v>0</v>
      </c>
      <c r="J22" s="17">
        <v>0</v>
      </c>
      <c r="K22" s="17">
        <v>0</v>
      </c>
      <c r="L22" s="17">
        <v>0</v>
      </c>
      <c r="M22" s="17">
        <v>0</v>
      </c>
      <c r="N22" s="17">
        <v>0</v>
      </c>
      <c r="O22" s="18">
        <f t="shared" si="0"/>
        <v>0</v>
      </c>
    </row>
    <row r="23" spans="1:15" ht="15" customHeight="1" x14ac:dyDescent="0.2">
      <c r="A23" s="879"/>
      <c r="B23" s="19" t="s">
        <v>132</v>
      </c>
      <c r="C23" s="17">
        <v>0</v>
      </c>
      <c r="D23" s="17">
        <v>0</v>
      </c>
      <c r="E23" s="17">
        <v>0</v>
      </c>
      <c r="F23" s="17">
        <v>0</v>
      </c>
      <c r="G23" s="17">
        <v>0</v>
      </c>
      <c r="H23" s="17">
        <v>0</v>
      </c>
      <c r="I23" s="17">
        <v>0</v>
      </c>
      <c r="J23" s="17">
        <v>6908</v>
      </c>
      <c r="K23" s="17">
        <v>0</v>
      </c>
      <c r="L23" s="17">
        <v>0</v>
      </c>
      <c r="M23" s="17">
        <v>0</v>
      </c>
      <c r="N23" s="17">
        <v>0</v>
      </c>
      <c r="O23" s="18">
        <f t="shared" si="0"/>
        <v>6908</v>
      </c>
    </row>
    <row r="24" spans="1:15" ht="15" hidden="1" customHeight="1" x14ac:dyDescent="0.2">
      <c r="A24" s="879"/>
      <c r="B24" s="19" t="s">
        <v>133</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79"/>
      <c r="B25" s="19" t="s">
        <v>134</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79"/>
      <c r="B26" s="19" t="s">
        <v>135</v>
      </c>
      <c r="C26" s="17">
        <v>0</v>
      </c>
      <c r="D26" s="17">
        <v>0</v>
      </c>
      <c r="E26" s="17">
        <v>0</v>
      </c>
      <c r="F26" s="17">
        <v>0</v>
      </c>
      <c r="G26" s="17">
        <v>0</v>
      </c>
      <c r="H26" s="17">
        <v>0</v>
      </c>
      <c r="I26" s="17">
        <v>0</v>
      </c>
      <c r="J26" s="17">
        <v>0</v>
      </c>
      <c r="K26" s="17">
        <v>0</v>
      </c>
      <c r="L26" s="17">
        <v>0</v>
      </c>
      <c r="M26" s="17">
        <v>0</v>
      </c>
      <c r="N26" s="17">
        <v>0</v>
      </c>
      <c r="O26" s="18">
        <f t="shared" si="0"/>
        <v>0</v>
      </c>
    </row>
    <row r="27" spans="1:15" ht="15" hidden="1" x14ac:dyDescent="0.2">
      <c r="A27" s="879"/>
      <c r="B27" s="19" t="s">
        <v>136</v>
      </c>
      <c r="C27" s="17">
        <v>0</v>
      </c>
      <c r="D27" s="17">
        <v>0</v>
      </c>
      <c r="E27" s="17">
        <v>0</v>
      </c>
      <c r="F27" s="17">
        <v>0</v>
      </c>
      <c r="G27" s="17">
        <v>0</v>
      </c>
      <c r="H27" s="17">
        <v>0</v>
      </c>
      <c r="I27" s="17">
        <v>0</v>
      </c>
      <c r="J27" s="17">
        <v>0</v>
      </c>
      <c r="K27" s="17">
        <v>0</v>
      </c>
      <c r="L27" s="17">
        <v>0</v>
      </c>
      <c r="M27" s="17">
        <v>0</v>
      </c>
      <c r="N27" s="17">
        <v>0</v>
      </c>
      <c r="O27" s="18">
        <f t="shared" si="0"/>
        <v>0</v>
      </c>
    </row>
    <row r="28" spans="1:15" ht="15" hidden="1" x14ac:dyDescent="0.2">
      <c r="A28" s="879"/>
      <c r="B28" s="19" t="s">
        <v>137</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79"/>
      <c r="B29" s="19" t="s">
        <v>138</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79"/>
      <c r="B30" s="19" t="s">
        <v>139</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79"/>
      <c r="B31" s="19" t="s">
        <v>140</v>
      </c>
      <c r="C31" s="17">
        <v>0</v>
      </c>
      <c r="D31" s="17">
        <v>0</v>
      </c>
      <c r="E31" s="17">
        <v>0</v>
      </c>
      <c r="F31" s="17">
        <v>0</v>
      </c>
      <c r="G31" s="17">
        <v>0</v>
      </c>
      <c r="H31" s="17">
        <v>0</v>
      </c>
      <c r="I31" s="17">
        <v>0</v>
      </c>
      <c r="J31" s="17">
        <v>0</v>
      </c>
      <c r="K31" s="17">
        <v>0</v>
      </c>
      <c r="L31" s="17">
        <v>0</v>
      </c>
      <c r="M31" s="17">
        <v>0</v>
      </c>
      <c r="N31" s="17">
        <v>0</v>
      </c>
      <c r="O31" s="18">
        <f t="shared" si="0"/>
        <v>0</v>
      </c>
    </row>
    <row r="32" spans="1:15" ht="15" hidden="1" customHeight="1" x14ac:dyDescent="0.2">
      <c r="A32" s="879"/>
      <c r="B32" s="19" t="s">
        <v>225</v>
      </c>
      <c r="C32" s="17">
        <v>0</v>
      </c>
      <c r="D32" s="17">
        <v>0</v>
      </c>
      <c r="E32" s="17">
        <v>0</v>
      </c>
      <c r="F32" s="17">
        <v>0</v>
      </c>
      <c r="G32" s="17">
        <v>0</v>
      </c>
      <c r="H32" s="17">
        <v>0</v>
      </c>
      <c r="I32" s="17">
        <v>0</v>
      </c>
      <c r="J32" s="17">
        <v>0</v>
      </c>
      <c r="K32" s="17">
        <v>0</v>
      </c>
      <c r="L32" s="17">
        <v>0</v>
      </c>
      <c r="M32" s="17">
        <v>0</v>
      </c>
      <c r="N32" s="17">
        <v>0</v>
      </c>
      <c r="O32" s="18">
        <f t="shared" si="0"/>
        <v>0</v>
      </c>
    </row>
    <row r="33" spans="1:16" ht="15" customHeight="1" x14ac:dyDescent="0.2">
      <c r="A33" s="879"/>
      <c r="B33" s="21" t="s">
        <v>142</v>
      </c>
      <c r="C33" s="17">
        <v>0</v>
      </c>
      <c r="D33" s="17">
        <v>0</v>
      </c>
      <c r="E33" s="17">
        <v>55761</v>
      </c>
      <c r="F33" s="17">
        <v>0</v>
      </c>
      <c r="G33" s="17">
        <v>0</v>
      </c>
      <c r="H33" s="17">
        <v>0</v>
      </c>
      <c r="I33" s="17">
        <v>0</v>
      </c>
      <c r="J33" s="17">
        <v>0</v>
      </c>
      <c r="K33" s="17">
        <v>0</v>
      </c>
      <c r="L33" s="17">
        <v>0</v>
      </c>
      <c r="M33" s="17">
        <v>0</v>
      </c>
      <c r="N33" s="17">
        <v>0</v>
      </c>
      <c r="O33" s="18">
        <f t="shared" si="0"/>
        <v>55761</v>
      </c>
    </row>
    <row r="34" spans="1:16" ht="15" customHeight="1" x14ac:dyDescent="0.2">
      <c r="A34" s="880"/>
      <c r="B34" s="19" t="s">
        <v>143</v>
      </c>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219"/>
      <c r="B35" s="220" t="s">
        <v>141</v>
      </c>
      <c r="C35" s="17">
        <v>0</v>
      </c>
      <c r="D35" s="17">
        <v>0</v>
      </c>
      <c r="E35" s="17">
        <v>0</v>
      </c>
      <c r="F35" s="17">
        <v>0</v>
      </c>
      <c r="G35" s="17">
        <v>0</v>
      </c>
      <c r="H35" s="17">
        <v>0</v>
      </c>
      <c r="I35" s="17">
        <v>0</v>
      </c>
      <c r="J35" s="17">
        <v>0</v>
      </c>
      <c r="K35" s="17">
        <v>0</v>
      </c>
      <c r="L35" s="17">
        <v>0</v>
      </c>
      <c r="M35" s="17">
        <v>0</v>
      </c>
      <c r="N35" s="17">
        <v>0</v>
      </c>
      <c r="O35" s="18">
        <f t="shared" si="0"/>
        <v>0</v>
      </c>
    </row>
    <row r="36" spans="1:16" ht="15" customHeight="1" x14ac:dyDescent="0.2">
      <c r="A36" s="865" t="s">
        <v>145</v>
      </c>
      <c r="B36" s="866"/>
      <c r="C36" s="17">
        <v>0</v>
      </c>
      <c r="D36" s="17">
        <v>216</v>
      </c>
      <c r="E36" s="17">
        <v>0</v>
      </c>
      <c r="F36" s="17">
        <v>0</v>
      </c>
      <c r="G36" s="17">
        <v>0</v>
      </c>
      <c r="H36" s="17">
        <v>0</v>
      </c>
      <c r="I36" s="17">
        <v>0</v>
      </c>
      <c r="J36" s="17">
        <v>216</v>
      </c>
      <c r="K36" s="17">
        <v>0</v>
      </c>
      <c r="L36" s="17">
        <v>0</v>
      </c>
      <c r="M36" s="17">
        <v>0</v>
      </c>
      <c r="N36" s="17">
        <v>0</v>
      </c>
      <c r="O36" s="18">
        <f t="shared" si="0"/>
        <v>432</v>
      </c>
    </row>
    <row r="37" spans="1:16" ht="15" customHeight="1" x14ac:dyDescent="0.2">
      <c r="A37" s="865" t="s">
        <v>146</v>
      </c>
      <c r="B37" s="866"/>
      <c r="C37" s="17">
        <v>0</v>
      </c>
      <c r="D37" s="17">
        <v>3960</v>
      </c>
      <c r="E37" s="17">
        <v>0</v>
      </c>
      <c r="F37" s="17">
        <v>0</v>
      </c>
      <c r="G37" s="17">
        <v>0</v>
      </c>
      <c r="H37" s="17">
        <v>0</v>
      </c>
      <c r="I37" s="17">
        <v>0</v>
      </c>
      <c r="J37" s="17">
        <v>4080</v>
      </c>
      <c r="K37" s="17">
        <v>0</v>
      </c>
      <c r="L37" s="17">
        <v>0</v>
      </c>
      <c r="M37" s="17">
        <v>0</v>
      </c>
      <c r="N37" s="17">
        <v>0</v>
      </c>
      <c r="O37" s="18">
        <f t="shared" si="0"/>
        <v>8040</v>
      </c>
    </row>
    <row r="38" spans="1:16" ht="15" customHeight="1" x14ac:dyDescent="0.2">
      <c r="A38" s="22"/>
      <c r="B38" s="23" t="s">
        <v>147</v>
      </c>
      <c r="C38" s="24">
        <f t="shared" ref="C38:N38" si="1">SUM(C9:C37)</f>
        <v>88920</v>
      </c>
      <c r="D38" s="24">
        <f t="shared" si="1"/>
        <v>94488</v>
      </c>
      <c r="E38" s="24">
        <f t="shared" si="1"/>
        <v>146073</v>
      </c>
      <c r="F38" s="24">
        <f t="shared" si="1"/>
        <v>116562</v>
      </c>
      <c r="G38" s="24">
        <f t="shared" si="1"/>
        <v>92932</v>
      </c>
      <c r="H38" s="24">
        <f t="shared" si="1"/>
        <v>92932</v>
      </c>
      <c r="I38" s="24">
        <f t="shared" si="1"/>
        <v>92932</v>
      </c>
      <c r="J38" s="24">
        <f t="shared" si="1"/>
        <v>105568</v>
      </c>
      <c r="K38" s="24">
        <f t="shared" si="1"/>
        <v>94364</v>
      </c>
      <c r="L38" s="24">
        <f t="shared" si="1"/>
        <v>94364</v>
      </c>
      <c r="M38" s="24">
        <f t="shared" si="1"/>
        <v>94364</v>
      </c>
      <c r="N38" s="24">
        <f t="shared" si="1"/>
        <v>94364</v>
      </c>
      <c r="O38" s="25">
        <f t="shared" ref="O38:O51" si="2">SUM(C38:N38)</f>
        <v>1207863</v>
      </c>
    </row>
    <row r="39" spans="1:16" ht="15" customHeight="1" x14ac:dyDescent="0.2">
      <c r="A39" s="853" t="s">
        <v>148</v>
      </c>
      <c r="B39" s="27" t="s">
        <v>149</v>
      </c>
      <c r="C39" s="147">
        <v>7900</v>
      </c>
      <c r="D39" s="147">
        <v>7900</v>
      </c>
      <c r="E39" s="147">
        <v>13476</v>
      </c>
      <c r="F39" s="147">
        <v>7900</v>
      </c>
      <c r="G39" s="147">
        <v>7900</v>
      </c>
      <c r="H39" s="147">
        <v>7900</v>
      </c>
      <c r="I39" s="147">
        <v>8000</v>
      </c>
      <c r="J39" s="147">
        <v>8000</v>
      </c>
      <c r="K39" s="147">
        <v>4700</v>
      </c>
      <c r="L39" s="147">
        <v>3500</v>
      </c>
      <c r="M39" s="147">
        <v>3500</v>
      </c>
      <c r="N39" s="147">
        <v>4300</v>
      </c>
      <c r="O39" s="18">
        <f t="shared" si="2"/>
        <v>84976</v>
      </c>
      <c r="P39" s="29"/>
    </row>
    <row r="40" spans="1:16" ht="15" customHeight="1" x14ac:dyDescent="0.2">
      <c r="A40" s="854"/>
      <c r="B40" s="27" t="s">
        <v>150</v>
      </c>
      <c r="C40" s="147">
        <v>0</v>
      </c>
      <c r="D40" s="147">
        <v>0</v>
      </c>
      <c r="E40" s="147">
        <v>0</v>
      </c>
      <c r="F40" s="147">
        <v>0</v>
      </c>
      <c r="G40" s="147">
        <v>0</v>
      </c>
      <c r="H40" s="147">
        <v>0</v>
      </c>
      <c r="I40" s="147">
        <v>0</v>
      </c>
      <c r="J40" s="147">
        <v>0</v>
      </c>
      <c r="K40" s="147">
        <v>0</v>
      </c>
      <c r="L40" s="147">
        <v>0</v>
      </c>
      <c r="M40" s="147">
        <v>0</v>
      </c>
      <c r="N40" s="147">
        <v>0</v>
      </c>
      <c r="O40" s="18">
        <f t="shared" si="2"/>
        <v>0</v>
      </c>
    </row>
    <row r="41" spans="1:16" ht="15" customHeight="1" x14ac:dyDescent="0.2">
      <c r="A41" s="854"/>
      <c r="B41" s="27" t="s">
        <v>151</v>
      </c>
      <c r="C41" s="147">
        <v>60</v>
      </c>
      <c r="D41" s="147">
        <v>60</v>
      </c>
      <c r="E41" s="147">
        <v>60</v>
      </c>
      <c r="F41" s="147">
        <v>60</v>
      </c>
      <c r="G41" s="147">
        <v>60</v>
      </c>
      <c r="H41" s="147">
        <v>60</v>
      </c>
      <c r="I41" s="147">
        <v>60</v>
      </c>
      <c r="J41" s="147">
        <v>60</v>
      </c>
      <c r="K41" s="147">
        <v>60</v>
      </c>
      <c r="L41" s="147">
        <v>60</v>
      </c>
      <c r="M41" s="147">
        <v>60</v>
      </c>
      <c r="N41" s="147">
        <v>60</v>
      </c>
      <c r="O41" s="18">
        <f t="shared" si="2"/>
        <v>720</v>
      </c>
    </row>
    <row r="42" spans="1:16" ht="15" x14ac:dyDescent="0.2">
      <c r="A42" s="854"/>
      <c r="B42" s="27" t="s">
        <v>152</v>
      </c>
      <c r="C42" s="147">
        <v>0</v>
      </c>
      <c r="D42" s="147">
        <v>0</v>
      </c>
      <c r="E42" s="147">
        <v>0</v>
      </c>
      <c r="F42" s="147">
        <v>0</v>
      </c>
      <c r="G42" s="147">
        <v>0</v>
      </c>
      <c r="H42" s="147">
        <v>0</v>
      </c>
      <c r="I42" s="147">
        <v>0</v>
      </c>
      <c r="J42" s="147">
        <v>0</v>
      </c>
      <c r="K42" s="147">
        <v>0</v>
      </c>
      <c r="L42" s="147">
        <v>0</v>
      </c>
      <c r="M42" s="147">
        <v>0</v>
      </c>
      <c r="N42" s="147">
        <v>0</v>
      </c>
      <c r="O42" s="18">
        <f t="shared" si="2"/>
        <v>0</v>
      </c>
    </row>
    <row r="43" spans="1:16" ht="15" x14ac:dyDescent="0.2">
      <c r="A43" s="854"/>
      <c r="B43" s="27" t="s">
        <v>153</v>
      </c>
      <c r="C43" s="147">
        <v>650</v>
      </c>
      <c r="D43" s="147">
        <v>650</v>
      </c>
      <c r="E43" s="147">
        <v>650</v>
      </c>
      <c r="F43" s="147">
        <v>650</v>
      </c>
      <c r="G43" s="147">
        <v>650</v>
      </c>
      <c r="H43" s="147">
        <v>650</v>
      </c>
      <c r="I43" s="147">
        <v>650</v>
      </c>
      <c r="J43" s="147">
        <v>650</v>
      </c>
      <c r="K43" s="147">
        <v>650</v>
      </c>
      <c r="L43" s="147">
        <v>650</v>
      </c>
      <c r="M43" s="147">
        <v>650</v>
      </c>
      <c r="N43" s="147">
        <v>650</v>
      </c>
      <c r="O43" s="18">
        <f t="shared" si="2"/>
        <v>7800</v>
      </c>
    </row>
    <row r="44" spans="1:16" ht="15" x14ac:dyDescent="0.2">
      <c r="A44" s="854"/>
      <c r="B44" s="27" t="s">
        <v>154</v>
      </c>
      <c r="C44" s="147">
        <v>20000</v>
      </c>
      <c r="D44" s="147">
        <v>20000</v>
      </c>
      <c r="E44" s="147">
        <v>20000</v>
      </c>
      <c r="F44" s="147">
        <v>20000</v>
      </c>
      <c r="G44" s="147">
        <v>20000</v>
      </c>
      <c r="H44" s="147">
        <v>20000</v>
      </c>
      <c r="I44" s="147">
        <v>20000</v>
      </c>
      <c r="J44" s="147">
        <v>20000</v>
      </c>
      <c r="K44" s="147">
        <v>20000</v>
      </c>
      <c r="L44" s="147">
        <v>20000</v>
      </c>
      <c r="M44" s="147">
        <v>20000</v>
      </c>
      <c r="N44" s="147">
        <v>20000</v>
      </c>
      <c r="O44" s="18">
        <f t="shared" si="2"/>
        <v>240000</v>
      </c>
    </row>
    <row r="45" spans="1:16" ht="15" x14ac:dyDescent="0.2">
      <c r="A45" s="854"/>
      <c r="B45" s="27" t="s">
        <v>155</v>
      </c>
      <c r="C45" s="147">
        <v>200</v>
      </c>
      <c r="D45" s="147">
        <v>200</v>
      </c>
      <c r="E45" s="147">
        <v>200</v>
      </c>
      <c r="F45" s="147">
        <v>200</v>
      </c>
      <c r="G45" s="147">
        <v>200</v>
      </c>
      <c r="H45" s="147">
        <v>200</v>
      </c>
      <c r="I45" s="147">
        <v>200</v>
      </c>
      <c r="J45" s="147">
        <v>200</v>
      </c>
      <c r="K45" s="147">
        <v>200</v>
      </c>
      <c r="L45" s="147">
        <v>200</v>
      </c>
      <c r="M45" s="147">
        <v>200</v>
      </c>
      <c r="N45" s="147">
        <v>200</v>
      </c>
      <c r="O45" s="18">
        <f t="shared" si="2"/>
        <v>2400</v>
      </c>
    </row>
    <row r="46" spans="1:16" ht="30" x14ac:dyDescent="0.2">
      <c r="A46" s="854"/>
      <c r="B46" s="27" t="s">
        <v>424</v>
      </c>
      <c r="C46" s="147">
        <v>0</v>
      </c>
      <c r="D46" s="147">
        <v>0</v>
      </c>
      <c r="E46" s="147">
        <v>0</v>
      </c>
      <c r="F46" s="147">
        <v>0</v>
      </c>
      <c r="G46" s="147">
        <v>0</v>
      </c>
      <c r="H46" s="147">
        <v>0</v>
      </c>
      <c r="I46" s="147">
        <v>0</v>
      </c>
      <c r="J46" s="147">
        <v>0</v>
      </c>
      <c r="K46" s="147">
        <v>0</v>
      </c>
      <c r="L46" s="147">
        <v>0</v>
      </c>
      <c r="M46" s="147">
        <v>0</v>
      </c>
      <c r="N46" s="147">
        <v>0</v>
      </c>
      <c r="O46" s="18">
        <f t="shared" si="2"/>
        <v>0</v>
      </c>
    </row>
    <row r="47" spans="1:16" ht="15" x14ac:dyDescent="0.2">
      <c r="A47" s="854"/>
      <c r="B47" s="27" t="s">
        <v>157</v>
      </c>
      <c r="C47" s="147">
        <v>0</v>
      </c>
      <c r="D47" s="147">
        <v>0</v>
      </c>
      <c r="E47" s="147">
        <v>0</v>
      </c>
      <c r="F47" s="147">
        <v>0</v>
      </c>
      <c r="G47" s="147">
        <v>0</v>
      </c>
      <c r="H47" s="147">
        <v>0</v>
      </c>
      <c r="I47" s="147">
        <v>0</v>
      </c>
      <c r="J47" s="147">
        <v>0</v>
      </c>
      <c r="K47" s="147">
        <v>0</v>
      </c>
      <c r="L47" s="147">
        <v>0</v>
      </c>
      <c r="M47" s="147">
        <v>0</v>
      </c>
      <c r="N47" s="147">
        <v>0</v>
      </c>
      <c r="O47" s="18">
        <f t="shared" si="2"/>
        <v>0</v>
      </c>
    </row>
    <row r="48" spans="1:16" ht="28.5" customHeight="1" x14ac:dyDescent="0.2">
      <c r="A48" s="855"/>
      <c r="B48" s="30" t="s">
        <v>158</v>
      </c>
      <c r="C48" s="147">
        <v>0</v>
      </c>
      <c r="D48" s="147">
        <v>0</v>
      </c>
      <c r="E48" s="147">
        <v>0</v>
      </c>
      <c r="F48" s="147">
        <v>0</v>
      </c>
      <c r="G48" s="147">
        <v>0</v>
      </c>
      <c r="H48" s="147">
        <v>0</v>
      </c>
      <c r="I48" s="147">
        <v>0</v>
      </c>
      <c r="J48" s="147">
        <v>0</v>
      </c>
      <c r="K48" s="147">
        <v>0</v>
      </c>
      <c r="L48" s="147">
        <v>0</v>
      </c>
      <c r="M48" s="147">
        <v>0</v>
      </c>
      <c r="N48" s="147">
        <v>0</v>
      </c>
      <c r="O48" s="31">
        <f t="shared" si="2"/>
        <v>0</v>
      </c>
    </row>
    <row r="49" spans="1:19" x14ac:dyDescent="0.2">
      <c r="A49" s="856"/>
      <c r="B49" s="169" t="s">
        <v>283</v>
      </c>
      <c r="C49" s="147">
        <v>0</v>
      </c>
      <c r="D49" s="147">
        <v>0</v>
      </c>
      <c r="E49" s="147">
        <v>0</v>
      </c>
      <c r="F49" s="147">
        <v>0</v>
      </c>
      <c r="G49" s="147">
        <v>0</v>
      </c>
      <c r="H49" s="147">
        <v>0</v>
      </c>
      <c r="I49" s="147">
        <v>0</v>
      </c>
      <c r="J49" s="147">
        <v>0</v>
      </c>
      <c r="K49" s="147">
        <v>0</v>
      </c>
      <c r="L49" s="147">
        <v>0</v>
      </c>
      <c r="M49" s="147">
        <v>0</v>
      </c>
      <c r="N49" s="147">
        <v>0</v>
      </c>
      <c r="O49" s="31">
        <f t="shared" si="2"/>
        <v>0</v>
      </c>
    </row>
    <row r="50" spans="1:19" ht="15" x14ac:dyDescent="0.2">
      <c r="A50" s="857" t="s">
        <v>160</v>
      </c>
      <c r="B50" s="858"/>
      <c r="C50" s="33">
        <f t="shared" ref="C50:N50" si="3">SUM(C39:C49)</f>
        <v>28810</v>
      </c>
      <c r="D50" s="33">
        <f t="shared" si="3"/>
        <v>28810</v>
      </c>
      <c r="E50" s="33">
        <f t="shared" si="3"/>
        <v>34386</v>
      </c>
      <c r="F50" s="33">
        <f t="shared" si="3"/>
        <v>28810</v>
      </c>
      <c r="G50" s="33">
        <f t="shared" si="3"/>
        <v>28810</v>
      </c>
      <c r="H50" s="33">
        <f t="shared" si="3"/>
        <v>28810</v>
      </c>
      <c r="I50" s="33">
        <f t="shared" si="3"/>
        <v>28910</v>
      </c>
      <c r="J50" s="33">
        <f t="shared" si="3"/>
        <v>28910</v>
      </c>
      <c r="K50" s="33">
        <f t="shared" si="3"/>
        <v>25610</v>
      </c>
      <c r="L50" s="33">
        <f t="shared" si="3"/>
        <v>24410</v>
      </c>
      <c r="M50" s="33">
        <f t="shared" si="3"/>
        <v>24410</v>
      </c>
      <c r="N50" s="33">
        <f t="shared" si="3"/>
        <v>25210</v>
      </c>
      <c r="O50" s="34">
        <f t="shared" si="2"/>
        <v>335896</v>
      </c>
    </row>
    <row r="51" spans="1:19" ht="15.75" thickBot="1" x14ac:dyDescent="0.25">
      <c r="A51" s="859" t="s">
        <v>161</v>
      </c>
      <c r="B51" s="860"/>
      <c r="C51" s="35">
        <f t="shared" ref="C51:N51" si="4">C38-C50</f>
        <v>60110</v>
      </c>
      <c r="D51" s="35">
        <f t="shared" si="4"/>
        <v>65678</v>
      </c>
      <c r="E51" s="35">
        <f t="shared" si="4"/>
        <v>111687</v>
      </c>
      <c r="F51" s="35">
        <f t="shared" si="4"/>
        <v>87752</v>
      </c>
      <c r="G51" s="35">
        <f t="shared" si="4"/>
        <v>64122</v>
      </c>
      <c r="H51" s="35">
        <f t="shared" si="4"/>
        <v>64122</v>
      </c>
      <c r="I51" s="35">
        <f t="shared" si="4"/>
        <v>64022</v>
      </c>
      <c r="J51" s="35">
        <f t="shared" si="4"/>
        <v>76658</v>
      </c>
      <c r="K51" s="35">
        <f t="shared" si="4"/>
        <v>68754</v>
      </c>
      <c r="L51" s="35">
        <f t="shared" si="4"/>
        <v>69954</v>
      </c>
      <c r="M51" s="35">
        <f t="shared" si="4"/>
        <v>69954</v>
      </c>
      <c r="N51" s="35">
        <f t="shared" si="4"/>
        <v>69154</v>
      </c>
      <c r="O51" s="36">
        <f t="shared" si="2"/>
        <v>871967</v>
      </c>
    </row>
    <row r="52" spans="1:19" x14ac:dyDescent="0.2">
      <c r="J52" s="16">
        <f>+J38-SUM(J21:J37)</f>
        <v>94364</v>
      </c>
      <c r="Q52" s="38"/>
    </row>
    <row r="53" spans="1:19" ht="13.5" thickBot="1" x14ac:dyDescent="0.25">
      <c r="J53" s="38">
        <f>+J52-J50</f>
        <v>65454</v>
      </c>
    </row>
    <row r="54" spans="1:19" ht="13.5" thickBot="1" x14ac:dyDescent="0.25">
      <c r="B54" s="789" t="s">
        <v>162</v>
      </c>
      <c r="C54" s="861"/>
      <c r="D54" s="861"/>
      <c r="E54" s="861"/>
      <c r="F54" s="862"/>
      <c r="G54" s="863">
        <f>O38</f>
        <v>1207863</v>
      </c>
      <c r="H54" s="864"/>
    </row>
    <row r="55" spans="1:19" ht="13.5" thickBot="1" x14ac:dyDescent="0.25"/>
    <row r="56" spans="1:19" x14ac:dyDescent="0.2">
      <c r="B56" s="830" t="s">
        <v>163</v>
      </c>
      <c r="C56" s="833" t="s">
        <v>164</v>
      </c>
      <c r="D56" s="836" t="s">
        <v>229</v>
      </c>
      <c r="E56" s="837"/>
      <c r="F56" s="838"/>
      <c r="G56" s="839">
        <v>40000</v>
      </c>
      <c r="H56" s="840"/>
    </row>
    <row r="57" spans="1:19" x14ac:dyDescent="0.2">
      <c r="B57" s="831"/>
      <c r="C57" s="834"/>
      <c r="D57" s="841" t="s">
        <v>166</v>
      </c>
      <c r="E57" s="842"/>
      <c r="F57" s="843"/>
      <c r="G57" s="844">
        <f>+O45</f>
        <v>2400</v>
      </c>
      <c r="H57" s="845"/>
      <c r="I57" s="39"/>
      <c r="J57" s="846"/>
      <c r="K57" s="846"/>
      <c r="L57" s="846"/>
      <c r="M57" s="847"/>
      <c r="N57" s="847"/>
      <c r="O57" s="847"/>
    </row>
    <row r="58" spans="1:19" x14ac:dyDescent="0.2">
      <c r="B58" s="886"/>
      <c r="C58" s="887"/>
      <c r="D58" s="40" t="s">
        <v>129</v>
      </c>
      <c r="E58" s="41"/>
      <c r="F58" s="42"/>
      <c r="G58" s="43"/>
      <c r="H58" s="44">
        <v>0</v>
      </c>
      <c r="I58" s="39"/>
      <c r="J58" s="45"/>
      <c r="K58" s="45"/>
      <c r="L58" s="45"/>
      <c r="M58" s="46"/>
      <c r="N58" s="46"/>
      <c r="O58" s="46"/>
    </row>
    <row r="59" spans="1:19" ht="13.5" thickBot="1" x14ac:dyDescent="0.25">
      <c r="B59" s="832"/>
      <c r="C59" s="835"/>
      <c r="D59" s="848" t="s">
        <v>243</v>
      </c>
      <c r="E59" s="849"/>
      <c r="F59" s="850"/>
      <c r="G59" s="851">
        <f>IF(O18&gt;15000,15000,+O18)</f>
        <v>0</v>
      </c>
      <c r="H59" s="852"/>
      <c r="J59" s="47"/>
      <c r="K59" s="47"/>
      <c r="L59" s="47"/>
      <c r="M59" s="47"/>
      <c r="N59" s="47"/>
      <c r="O59" s="47"/>
    </row>
    <row r="60" spans="1:19" ht="13.5" thickBot="1" x14ac:dyDescent="0.25">
      <c r="B60" s="48"/>
      <c r="J60" s="47"/>
      <c r="K60" s="47"/>
      <c r="L60" s="47"/>
      <c r="M60" s="47"/>
      <c r="N60" s="47"/>
      <c r="O60" s="47"/>
    </row>
    <row r="61" spans="1:19" ht="13.5" thickBot="1" x14ac:dyDescent="0.25">
      <c r="B61" s="789" t="s">
        <v>168</v>
      </c>
      <c r="C61" s="790"/>
      <c r="D61" s="790"/>
      <c r="E61" s="790"/>
      <c r="F61" s="791"/>
      <c r="G61" s="825">
        <f>+G54-SUM(G56:H59)</f>
        <v>1165463</v>
      </c>
      <c r="H61" s="826"/>
      <c r="J61" s="827" t="s">
        <v>169</v>
      </c>
      <c r="K61" s="828"/>
      <c r="L61" s="828"/>
      <c r="M61" s="828"/>
      <c r="N61" s="828"/>
      <c r="O61" s="829"/>
    </row>
    <row r="62" spans="1:19" ht="13.5" thickBot="1" x14ac:dyDescent="0.25">
      <c r="B62" s="49"/>
      <c r="C62" s="50"/>
      <c r="D62" s="50"/>
      <c r="E62" s="50"/>
      <c r="F62" s="50"/>
      <c r="G62" s="45"/>
      <c r="H62" s="50"/>
      <c r="J62" s="129"/>
      <c r="K62" s="130"/>
      <c r="L62" s="130"/>
      <c r="M62" s="130"/>
      <c r="N62" s="130"/>
      <c r="O62" s="131"/>
    </row>
    <row r="63" spans="1:19" ht="13.5" thickBot="1" x14ac:dyDescent="0.25">
      <c r="B63" s="789" t="s">
        <v>170</v>
      </c>
      <c r="C63" s="790"/>
      <c r="D63" s="790"/>
      <c r="E63" s="790"/>
      <c r="F63" s="791"/>
      <c r="G63" s="805"/>
      <c r="H63" s="791"/>
      <c r="J63" s="129"/>
      <c r="K63" s="130"/>
      <c r="L63" s="130"/>
      <c r="M63" s="130"/>
      <c r="N63" s="130"/>
      <c r="O63" s="131"/>
    </row>
    <row r="64" spans="1:19" ht="12.75" customHeight="1" x14ac:dyDescent="0.2">
      <c r="B64" s="57" t="s">
        <v>171</v>
      </c>
      <c r="C64" s="806" t="s">
        <v>172</v>
      </c>
      <c r="D64" s="807"/>
      <c r="E64" s="807"/>
      <c r="F64" s="808"/>
      <c r="G64" s="809">
        <v>144453</v>
      </c>
      <c r="H64" s="809"/>
      <c r="I64" s="58"/>
      <c r="J64" s="810" t="s">
        <v>173</v>
      </c>
      <c r="K64" s="811"/>
      <c r="L64" s="811"/>
      <c r="M64" s="811"/>
      <c r="N64" s="811"/>
      <c r="O64" s="812"/>
      <c r="Q64" s="59"/>
      <c r="R64" s="59"/>
      <c r="S64" s="59"/>
    </row>
    <row r="65" spans="2:19" ht="13.5" thickBot="1" x14ac:dyDescent="0.25">
      <c r="D65" s="37"/>
      <c r="I65" s="58"/>
      <c r="J65" s="60" t="s">
        <v>360</v>
      </c>
      <c r="K65" s="132"/>
      <c r="L65" s="132"/>
      <c r="M65" s="133"/>
      <c r="N65" s="133"/>
      <c r="O65" s="134"/>
      <c r="Q65" s="59"/>
      <c r="R65" s="59"/>
      <c r="S65" s="59"/>
    </row>
    <row r="66" spans="2:19" ht="13.5" thickBot="1" x14ac:dyDescent="0.25">
      <c r="B66" s="789" t="s">
        <v>175</v>
      </c>
      <c r="C66" s="790"/>
      <c r="D66" s="790"/>
      <c r="E66" s="790"/>
      <c r="F66" s="791"/>
      <c r="G66" s="805">
        <f>+G61-G64</f>
        <v>1021010</v>
      </c>
      <c r="H66" s="791"/>
      <c r="I66" s="63"/>
      <c r="J66" s="64"/>
      <c r="K66" s="39"/>
      <c r="L66" s="39"/>
      <c r="M66" s="39"/>
      <c r="N66" s="39"/>
      <c r="O66" s="65"/>
      <c r="Q66" s="59"/>
      <c r="R66" s="59"/>
      <c r="S66" s="59"/>
    </row>
    <row r="67" spans="2:19" ht="13.5" customHeight="1" x14ac:dyDescent="0.2">
      <c r="B67" s="48"/>
      <c r="C67" s="48"/>
      <c r="I67" s="63"/>
      <c r="J67" s="64"/>
      <c r="K67" s="39"/>
      <c r="L67" s="39"/>
      <c r="M67" s="39"/>
      <c r="N67" s="39"/>
      <c r="O67" s="65"/>
      <c r="Q67" s="59"/>
      <c r="R67" s="59"/>
      <c r="S67" s="59"/>
    </row>
    <row r="68" spans="2:19" x14ac:dyDescent="0.2">
      <c r="B68" s="66" t="s">
        <v>176</v>
      </c>
      <c r="C68" s="48"/>
      <c r="I68" s="63"/>
      <c r="J68" s="67"/>
      <c r="K68" s="68"/>
      <c r="L68" s="68"/>
      <c r="M68" s="68"/>
      <c r="N68" s="68"/>
      <c r="O68" s="69"/>
      <c r="Q68" s="59"/>
      <c r="R68" s="59"/>
      <c r="S68" s="59"/>
    </row>
    <row r="69" spans="2:19" ht="24.75" customHeight="1" thickBot="1" x14ac:dyDescent="0.25">
      <c r="B69" s="66"/>
      <c r="C69" s="48"/>
      <c r="G69" s="70" t="s">
        <v>177</v>
      </c>
      <c r="H69" s="70" t="s">
        <v>178</v>
      </c>
      <c r="I69" s="63"/>
      <c r="J69" s="810" t="s">
        <v>179</v>
      </c>
      <c r="K69" s="811"/>
      <c r="L69" s="71"/>
      <c r="M69" s="71"/>
      <c r="N69" s="71"/>
      <c r="O69" s="158" t="s">
        <v>267</v>
      </c>
      <c r="Q69" s="59"/>
      <c r="R69" s="59"/>
      <c r="S69" s="59"/>
    </row>
    <row r="70" spans="2:19" ht="12.75" customHeight="1" x14ac:dyDescent="0.2">
      <c r="B70" s="802" t="s">
        <v>180</v>
      </c>
      <c r="C70" s="821" t="s">
        <v>181</v>
      </c>
      <c r="D70" s="823" t="s">
        <v>182</v>
      </c>
      <c r="E70" s="824"/>
      <c r="F70" s="824"/>
      <c r="G70" s="73">
        <f>+O44</f>
        <v>240000</v>
      </c>
      <c r="H70" s="74">
        <f>+G70</f>
        <v>240000</v>
      </c>
      <c r="I70" s="63"/>
      <c r="J70" s="75" t="s">
        <v>183</v>
      </c>
      <c r="K70" s="58"/>
      <c r="L70" s="58"/>
      <c r="M70" s="58"/>
      <c r="N70" s="58"/>
      <c r="O70" s="76"/>
      <c r="Q70" s="59"/>
      <c r="R70" s="59"/>
      <c r="S70" s="59"/>
    </row>
    <row r="71" spans="2:19" ht="12.75" customHeight="1" x14ac:dyDescent="0.2">
      <c r="B71" s="803"/>
      <c r="C71" s="822"/>
      <c r="D71" s="782" t="s">
        <v>184</v>
      </c>
      <c r="E71" s="783"/>
      <c r="F71" s="783"/>
      <c r="G71" s="77">
        <f>+O48</f>
        <v>0</v>
      </c>
      <c r="H71" s="78">
        <f t="shared" ref="H71:H77" si="5">+G71</f>
        <v>0</v>
      </c>
      <c r="I71" s="63"/>
      <c r="J71" s="75"/>
      <c r="K71" s="68"/>
      <c r="L71" s="68"/>
      <c r="M71" s="68"/>
      <c r="N71" s="68"/>
      <c r="O71" s="69"/>
      <c r="Q71" s="59"/>
      <c r="R71" s="59"/>
      <c r="S71" s="59"/>
    </row>
    <row r="72" spans="2:19" ht="12.75" customHeight="1" x14ac:dyDescent="0.2">
      <c r="B72" s="803"/>
      <c r="C72" s="822"/>
      <c r="D72" s="819" t="s">
        <v>185</v>
      </c>
      <c r="E72" s="820"/>
      <c r="F72" s="820"/>
      <c r="G72" s="80">
        <f>O41</f>
        <v>720</v>
      </c>
      <c r="H72" s="78">
        <f t="shared" si="5"/>
        <v>720</v>
      </c>
      <c r="I72" s="63"/>
      <c r="J72" s="75"/>
      <c r="K72" s="68"/>
      <c r="L72" s="68"/>
      <c r="M72" s="68"/>
      <c r="N72" s="68"/>
      <c r="O72" s="69"/>
    </row>
    <row r="73" spans="2:19" x14ac:dyDescent="0.2">
      <c r="B73" s="803"/>
      <c r="C73" s="822"/>
      <c r="D73" s="782" t="s">
        <v>186</v>
      </c>
      <c r="E73" s="783"/>
      <c r="F73" s="783"/>
      <c r="G73" s="81">
        <v>0</v>
      </c>
      <c r="H73" s="78">
        <f t="shared" si="5"/>
        <v>0</v>
      </c>
      <c r="I73" s="63"/>
      <c r="J73" s="286"/>
      <c r="K73" s="58"/>
      <c r="L73" s="58"/>
      <c r="M73" s="183"/>
      <c r="N73" s="58"/>
      <c r="O73" s="76"/>
    </row>
    <row r="74" spans="2:19" ht="12.75" customHeight="1" x14ac:dyDescent="0.2">
      <c r="B74" s="803"/>
      <c r="C74" s="822"/>
      <c r="D74" s="784" t="s">
        <v>188</v>
      </c>
      <c r="E74" s="783"/>
      <c r="F74" s="783"/>
      <c r="G74" s="80">
        <v>0</v>
      </c>
      <c r="H74" s="78">
        <f t="shared" si="5"/>
        <v>0</v>
      </c>
      <c r="I74" s="63"/>
      <c r="J74" s="64"/>
      <c r="K74" s="50"/>
      <c r="L74" s="50"/>
      <c r="M74" s="183"/>
      <c r="N74" s="50"/>
      <c r="O74" s="83"/>
    </row>
    <row r="75" spans="2:19" ht="14.25" customHeight="1" x14ac:dyDescent="0.2">
      <c r="B75" s="803"/>
      <c r="C75" s="822"/>
      <c r="D75" s="782" t="s">
        <v>190</v>
      </c>
      <c r="E75" s="783"/>
      <c r="F75" s="783"/>
      <c r="G75" s="84">
        <v>0</v>
      </c>
      <c r="H75" s="78">
        <f t="shared" si="5"/>
        <v>0</v>
      </c>
      <c r="I75" s="63"/>
      <c r="J75" s="64"/>
      <c r="K75" s="39"/>
      <c r="L75" s="39"/>
      <c r="M75" s="39"/>
      <c r="N75" s="39"/>
      <c r="O75" s="65"/>
    </row>
    <row r="76" spans="2:19" x14ac:dyDescent="0.2">
      <c r="B76" s="803"/>
      <c r="C76" s="822"/>
      <c r="D76" s="782" t="s">
        <v>191</v>
      </c>
      <c r="E76" s="783"/>
      <c r="F76" s="783"/>
      <c r="G76" s="81">
        <v>93341</v>
      </c>
      <c r="H76" s="78">
        <f t="shared" si="5"/>
        <v>93341</v>
      </c>
      <c r="I76" s="58"/>
      <c r="J76" s="82" t="s">
        <v>187</v>
      </c>
      <c r="K76" s="71"/>
      <c r="L76" s="71"/>
      <c r="M76" s="71"/>
      <c r="N76" s="71"/>
      <c r="O76" s="72"/>
    </row>
    <row r="77" spans="2:19" x14ac:dyDescent="0.2">
      <c r="B77" s="803"/>
      <c r="C77" s="88" t="s">
        <v>192</v>
      </c>
      <c r="D77" s="813" t="s">
        <v>193</v>
      </c>
      <c r="E77" s="814"/>
      <c r="F77" s="814"/>
      <c r="G77" s="80">
        <v>0</v>
      </c>
      <c r="H77" s="78">
        <f t="shared" si="5"/>
        <v>0</v>
      </c>
      <c r="I77" s="58"/>
      <c r="J77" s="75" t="s">
        <v>189</v>
      </c>
      <c r="K77" s="50"/>
      <c r="L77" s="50"/>
      <c r="M77" s="50"/>
      <c r="N77" s="50"/>
      <c r="O77" s="83">
        <f>O43</f>
        <v>7800</v>
      </c>
    </row>
    <row r="78" spans="2:19" ht="13.5" customHeight="1" thickBot="1" x14ac:dyDescent="0.25">
      <c r="B78" s="803"/>
      <c r="C78" s="88" t="s">
        <v>194</v>
      </c>
      <c r="D78" s="815" t="s">
        <v>195</v>
      </c>
      <c r="E78" s="815"/>
      <c r="F78" s="815"/>
      <c r="G78" s="89">
        <v>0</v>
      </c>
      <c r="H78" s="90">
        <f>+G78</f>
        <v>0</v>
      </c>
      <c r="I78" s="63"/>
      <c r="J78" s="75" t="s">
        <v>698</v>
      </c>
      <c r="K78" s="68"/>
      <c r="L78" s="68"/>
      <c r="M78" s="287"/>
      <c r="N78" s="287"/>
      <c r="O78" s="92">
        <v>0</v>
      </c>
    </row>
    <row r="79" spans="2:19" ht="13.5" thickBot="1" x14ac:dyDescent="0.25">
      <c r="B79" s="803"/>
      <c r="C79" s="93"/>
      <c r="D79" s="94"/>
      <c r="E79" s="816" t="s">
        <v>117</v>
      </c>
      <c r="F79" s="817"/>
      <c r="G79" s="95">
        <f>SUM(G70:G78)</f>
        <v>334061</v>
      </c>
      <c r="H79" s="96">
        <f>IF(SUM(G70:G76)&lt;150000,SUM(G70:G76),150000)+IF(+G77&lt;20000,+G77,20000)</f>
        <v>150000</v>
      </c>
      <c r="I79" s="63"/>
      <c r="J79" s="288" t="s">
        <v>699</v>
      </c>
      <c r="K79" s="141"/>
      <c r="L79" s="141"/>
      <c r="M79" s="142"/>
      <c r="N79" s="142"/>
      <c r="O79" s="143"/>
    </row>
    <row r="80" spans="2:19" ht="12.75" customHeight="1" x14ac:dyDescent="0.2">
      <c r="B80" s="803"/>
      <c r="C80" s="100" t="s">
        <v>196</v>
      </c>
      <c r="D80" s="782" t="s">
        <v>187</v>
      </c>
      <c r="E80" s="783"/>
      <c r="F80" s="818"/>
      <c r="G80" s="73">
        <v>25643</v>
      </c>
      <c r="H80" s="101">
        <f>+IF(+G80&lt;25000,+G80,25000)</f>
        <v>25000</v>
      </c>
      <c r="I80" s="87"/>
    </row>
    <row r="81" spans="2:12" x14ac:dyDescent="0.2">
      <c r="B81" s="803"/>
      <c r="C81" s="100" t="s">
        <v>197</v>
      </c>
      <c r="D81" s="784" t="s">
        <v>198</v>
      </c>
      <c r="E81" s="785"/>
      <c r="F81" s="786"/>
      <c r="G81" s="102"/>
      <c r="H81" s="103">
        <f>+IF(+G81&lt;40000,+G81,40000)</f>
        <v>0</v>
      </c>
      <c r="I81" s="63"/>
    </row>
    <row r="82" spans="2:12" x14ac:dyDescent="0.2">
      <c r="B82" s="803"/>
      <c r="C82" s="100" t="s">
        <v>199</v>
      </c>
      <c r="D82" s="784" t="s">
        <v>200</v>
      </c>
      <c r="E82" s="785"/>
      <c r="F82" s="786"/>
      <c r="G82" s="81"/>
      <c r="H82" s="104">
        <v>0</v>
      </c>
      <c r="I82" s="63"/>
      <c r="J82" s="106"/>
    </row>
    <row r="83" spans="2:12" x14ac:dyDescent="0.2">
      <c r="B83" s="803"/>
      <c r="C83" s="100" t="s">
        <v>201</v>
      </c>
      <c r="D83" s="784" t="s">
        <v>202</v>
      </c>
      <c r="E83" s="785"/>
      <c r="F83" s="786"/>
      <c r="G83" s="81"/>
      <c r="H83" s="104">
        <v>0</v>
      </c>
      <c r="I83" s="63"/>
    </row>
    <row r="84" spans="2:12" ht="13.5" thickBot="1" x14ac:dyDescent="0.25">
      <c r="B84" s="804"/>
      <c r="C84" s="100" t="s">
        <v>203</v>
      </c>
      <c r="D84" s="784" t="s">
        <v>204</v>
      </c>
      <c r="E84" s="785"/>
      <c r="F84" s="786"/>
      <c r="G84" s="102"/>
      <c r="H84" s="103">
        <f>+IF(+G84&lt;100000,+G84,10000)</f>
        <v>0</v>
      </c>
      <c r="I84" s="63"/>
    </row>
    <row r="85" spans="2:12" ht="13.5" thickBot="1" x14ac:dyDescent="0.25">
      <c r="B85" s="787" t="s">
        <v>205</v>
      </c>
      <c r="C85" s="788"/>
      <c r="D85" s="788"/>
      <c r="E85" s="788"/>
      <c r="F85" s="788"/>
      <c r="G85" s="107">
        <f>SUM(G80:G84)</f>
        <v>25643</v>
      </c>
      <c r="H85" s="108">
        <f>SUM(H79:H84)</f>
        <v>175000</v>
      </c>
    </row>
    <row r="86" spans="2:12" ht="13.5" thickBot="1" x14ac:dyDescent="0.25"/>
    <row r="87" spans="2:12" ht="13.5" thickBot="1" x14ac:dyDescent="0.25">
      <c r="B87" s="789" t="s">
        <v>206</v>
      </c>
      <c r="C87" s="790"/>
      <c r="D87" s="790"/>
      <c r="E87" s="790"/>
      <c r="F87" s="791"/>
      <c r="G87" s="792">
        <f>+G66-H85</f>
        <v>846010</v>
      </c>
      <c r="H87" s="791"/>
      <c r="J87" s="109">
        <f>C38+D38+E38+F38</f>
        <v>446043</v>
      </c>
      <c r="K87" s="16" t="s">
        <v>235</v>
      </c>
    </row>
    <row r="88" spans="2:12" x14ac:dyDescent="0.2">
      <c r="B88" s="110"/>
      <c r="F88" s="105"/>
      <c r="J88" s="109">
        <f>G38+H38+I38</f>
        <v>278796</v>
      </c>
      <c r="K88" s="16" t="s">
        <v>236</v>
      </c>
    </row>
    <row r="89" spans="2:12" x14ac:dyDescent="0.2">
      <c r="C89" s="793" t="s">
        <v>207</v>
      </c>
      <c r="D89" s="794"/>
      <c r="E89" s="111" t="s">
        <v>208</v>
      </c>
      <c r="F89" s="111" t="s">
        <v>209</v>
      </c>
      <c r="G89" s="111" t="s">
        <v>210</v>
      </c>
      <c r="H89" s="111" t="s">
        <v>211</v>
      </c>
      <c r="J89" s="109">
        <f>J38+K38+L38</f>
        <v>294296</v>
      </c>
      <c r="K89" s="47" t="s">
        <v>237</v>
      </c>
      <c r="L89" s="16">
        <f>+J89/3</f>
        <v>98098.666666666672</v>
      </c>
    </row>
    <row r="90" spans="2:12" x14ac:dyDescent="0.2">
      <c r="C90" s="795" t="str">
        <f>IF(I6="M","0          - 250000","0          -  250000")</f>
        <v>0          - 250000</v>
      </c>
      <c r="D90" s="796"/>
      <c r="E90" s="112">
        <v>0</v>
      </c>
      <c r="F90" s="113">
        <f>IF(I6="M",(IF(G87&lt;250000,G87,250000)),(IF(G87&lt;250000,G87,250000)))</f>
        <v>250000</v>
      </c>
      <c r="G90" s="113">
        <f>G87-F90</f>
        <v>596010</v>
      </c>
      <c r="H90" s="113">
        <f>E90*F90</f>
        <v>0</v>
      </c>
      <c r="J90" s="16">
        <f>M38+N38</f>
        <v>188728</v>
      </c>
      <c r="K90" s="1" t="s">
        <v>238</v>
      </c>
    </row>
    <row r="91" spans="2:12" x14ac:dyDescent="0.2">
      <c r="C91" s="795" t="str">
        <f>IF(I6="M","250001 - 500000","250001-500000")</f>
        <v>250001 - 500000</v>
      </c>
      <c r="D91" s="796"/>
      <c r="E91" s="112">
        <v>0.05</v>
      </c>
      <c r="F91" s="113">
        <f>IF(I6="M",(IF(G89&lt;250000,G89,250000)),(IF(G89&lt;250000,G89,250000)))</f>
        <v>250000</v>
      </c>
      <c r="G91" s="113">
        <f>G90-F91</f>
        <v>346010</v>
      </c>
      <c r="H91" s="114">
        <f>ROUND(E91*F91,0.1)</f>
        <v>12500</v>
      </c>
      <c r="J91" s="115">
        <f>SUM(J87:J90)</f>
        <v>1207863</v>
      </c>
    </row>
    <row r="92" spans="2:12" x14ac:dyDescent="0.2">
      <c r="C92" s="797" t="s">
        <v>212</v>
      </c>
      <c r="D92" s="798"/>
      <c r="E92" s="112">
        <v>0.2</v>
      </c>
      <c r="F92" s="113">
        <f>IF(G91&lt;500000,G91,500000)</f>
        <v>346010</v>
      </c>
      <c r="G92" s="113">
        <f>G91-F92</f>
        <v>0</v>
      </c>
      <c r="H92" s="114">
        <f>ROUND(E92*F92,0.1)</f>
        <v>69202</v>
      </c>
      <c r="J92" s="16">
        <f>+G87</f>
        <v>846010</v>
      </c>
    </row>
    <row r="93" spans="2:12" x14ac:dyDescent="0.2">
      <c r="C93" s="795" t="s">
        <v>213</v>
      </c>
      <c r="D93" s="796"/>
      <c r="E93" s="112">
        <v>0.3</v>
      </c>
      <c r="F93" s="113">
        <f>G92</f>
        <v>0</v>
      </c>
      <c r="G93" s="113">
        <f>G92-F93</f>
        <v>0</v>
      </c>
      <c r="H93" s="114">
        <f>ROUND(E93*F93,0.1)</f>
        <v>0</v>
      </c>
      <c r="J93" s="16">
        <f>+J91-J92</f>
        <v>361853</v>
      </c>
    </row>
    <row r="94" spans="2:12" ht="12.75" customHeight="1" thickBot="1" x14ac:dyDescent="0.25">
      <c r="B94" s="116"/>
      <c r="C94" s="117"/>
      <c r="D94" s="47"/>
      <c r="E94" s="47"/>
      <c r="F94" s="47"/>
      <c r="J94" s="87"/>
      <c r="K94" s="118"/>
    </row>
    <row r="95" spans="2:12" ht="13.5" thickBot="1" x14ac:dyDescent="0.25">
      <c r="B95" s="799" t="s">
        <v>239</v>
      </c>
      <c r="C95" s="800"/>
      <c r="D95" s="800"/>
      <c r="E95" s="800"/>
      <c r="F95" s="801"/>
      <c r="G95" s="771">
        <f>H90+H91+H92+H93</f>
        <v>81702</v>
      </c>
      <c r="H95" s="772"/>
      <c r="J95" s="87"/>
      <c r="K95" s="87"/>
    </row>
    <row r="96" spans="2:12" ht="13.5" thickBot="1" x14ac:dyDescent="0.25">
      <c r="B96" s="119" t="s">
        <v>215</v>
      </c>
      <c r="C96" s="120"/>
      <c r="D96" s="120"/>
      <c r="E96" s="120"/>
      <c r="F96" s="120"/>
      <c r="G96" s="884">
        <f>IF((G66&lt;500000),5000,0)</f>
        <v>0</v>
      </c>
      <c r="H96" s="885">
        <f>IF(H94&lt;200000,0,IF(H94&lt;220000,((H94-200000)*10%),IF(H94&lt;=500000,2000,IF(H94&gt;=500000,0))))</f>
        <v>0</v>
      </c>
      <c r="J96" s="157"/>
      <c r="K96" s="159"/>
      <c r="L96" s="121"/>
    </row>
    <row r="97" spans="2:9" ht="13.5" thickBot="1" x14ac:dyDescent="0.25">
      <c r="B97" s="122" t="s">
        <v>216</v>
      </c>
      <c r="C97" s="123"/>
      <c r="D97" s="123"/>
      <c r="E97" s="123"/>
      <c r="F97" s="123"/>
      <c r="G97" s="771">
        <f>IF((G95-G96)&lt;0,0,(G95-G96))</f>
        <v>81702</v>
      </c>
      <c r="H97" s="772"/>
      <c r="I97" s="37"/>
    </row>
    <row r="98" spans="2:9" ht="13.5" thickBot="1" x14ac:dyDescent="0.25">
      <c r="B98" s="773" t="s">
        <v>240</v>
      </c>
      <c r="C98" s="774"/>
      <c r="D98" s="774"/>
      <c r="E98" s="774"/>
      <c r="F98" s="775"/>
      <c r="G98" s="776">
        <f>ROUND((IF(G97&gt;0,(G97*4%),0)),0)</f>
        <v>3268</v>
      </c>
      <c r="H98" s="777"/>
      <c r="I98" s="37"/>
    </row>
    <row r="99" spans="2:9" ht="13.5" thickBot="1" x14ac:dyDescent="0.25">
      <c r="B99" s="778" t="s">
        <v>218</v>
      </c>
      <c r="C99" s="779"/>
      <c r="D99" s="779"/>
      <c r="E99" s="779"/>
      <c r="F99" s="779"/>
      <c r="G99" s="780">
        <f>G97+G98</f>
        <v>84970</v>
      </c>
      <c r="H99" s="781"/>
      <c r="I99" s="121"/>
    </row>
    <row r="100" spans="2:9" ht="13.5" thickBot="1" x14ac:dyDescent="0.25">
      <c r="B100" s="765" t="s">
        <v>219</v>
      </c>
      <c r="C100" s="766"/>
      <c r="D100" s="766"/>
      <c r="E100" s="766"/>
      <c r="F100" s="766"/>
      <c r="G100" s="767">
        <f>O39</f>
        <v>84976</v>
      </c>
      <c r="H100" s="768"/>
      <c r="I100" s="121"/>
    </row>
    <row r="101" spans="2:9" ht="13.5" thickBot="1" x14ac:dyDescent="0.25">
      <c r="B101" s="765" t="str">
        <f>IF(G101&gt;0,"TAX PAYABLE","TAX REFUND")</f>
        <v>TAX REFUND</v>
      </c>
      <c r="C101" s="766"/>
      <c r="D101" s="766"/>
      <c r="E101" s="766"/>
      <c r="F101" s="766"/>
      <c r="G101" s="767">
        <f>+G99-G100</f>
        <v>-6</v>
      </c>
      <c r="H101" s="768"/>
      <c r="I101" s="37"/>
    </row>
    <row r="102" spans="2:9" x14ac:dyDescent="0.2">
      <c r="C102" s="124"/>
      <c r="D102" s="45"/>
      <c r="E102" s="118"/>
      <c r="F102" s="118"/>
      <c r="G102" s="118"/>
      <c r="H102" s="118"/>
      <c r="I102" s="125"/>
    </row>
    <row r="103" spans="2:9" x14ac:dyDescent="0.2">
      <c r="C103" s="47"/>
      <c r="D103" s="50"/>
      <c r="E103" s="117"/>
      <c r="F103" s="47"/>
      <c r="G103" s="47"/>
      <c r="H103" s="47"/>
      <c r="I103" s="125"/>
    </row>
    <row r="104" spans="2:9" x14ac:dyDescent="0.2">
      <c r="C104" s="39"/>
      <c r="D104" s="126"/>
      <c r="E104" s="126"/>
      <c r="F104" s="126"/>
      <c r="G104" s="39"/>
      <c r="H104" s="39"/>
      <c r="I104" s="37"/>
    </row>
    <row r="105" spans="2:9" x14ac:dyDescent="0.2">
      <c r="C105" s="39"/>
      <c r="D105" s="126"/>
      <c r="E105" s="126"/>
      <c r="F105" s="39"/>
      <c r="G105" s="39"/>
      <c r="H105" s="39"/>
      <c r="I105" s="37"/>
    </row>
    <row r="106" spans="2:9" x14ac:dyDescent="0.2">
      <c r="C106" s="39"/>
      <c r="D106" s="126"/>
      <c r="E106" s="126"/>
      <c r="F106" s="39"/>
      <c r="G106" s="39"/>
      <c r="H106" s="39"/>
      <c r="I106" s="37"/>
    </row>
    <row r="107" spans="2:9" x14ac:dyDescent="0.2">
      <c r="C107" s="39"/>
      <c r="D107" s="39"/>
      <c r="E107" s="39"/>
      <c r="F107" s="39"/>
      <c r="G107" s="39"/>
      <c r="H107" s="39"/>
      <c r="I107" s="37"/>
    </row>
    <row r="108" spans="2:9" x14ac:dyDescent="0.2">
      <c r="C108" s="39"/>
      <c r="D108" s="39"/>
      <c r="E108" s="39"/>
      <c r="F108" s="39"/>
      <c r="G108" s="39"/>
      <c r="H108" s="39"/>
      <c r="I108" s="121"/>
    </row>
    <row r="109" spans="2:9" x14ac:dyDescent="0.2">
      <c r="C109" s="39"/>
      <c r="D109" s="39"/>
      <c r="E109" s="39"/>
      <c r="F109" s="39"/>
      <c r="G109" s="39"/>
      <c r="H109" s="39"/>
    </row>
  </sheetData>
  <mergeCells count="92">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9:A49"/>
    <mergeCell ref="A5:C5"/>
    <mergeCell ref="D5:F5"/>
    <mergeCell ref="G5:H5"/>
    <mergeCell ref="I5:O5"/>
    <mergeCell ref="A6:C6"/>
    <mergeCell ref="D6:F6"/>
    <mergeCell ref="G6:H6"/>
    <mergeCell ref="J6:O6"/>
    <mergeCell ref="L7:O7"/>
    <mergeCell ref="A8:B8"/>
    <mergeCell ref="A22:A34"/>
    <mergeCell ref="A36:B36"/>
    <mergeCell ref="A37:B37"/>
    <mergeCell ref="A50:B50"/>
    <mergeCell ref="A51:B51"/>
    <mergeCell ref="B54:F54"/>
    <mergeCell ref="G54:H54"/>
    <mergeCell ref="B56:B59"/>
    <mergeCell ref="C56:C59"/>
    <mergeCell ref="D56:F56"/>
    <mergeCell ref="G56:H56"/>
    <mergeCell ref="D57:F57"/>
    <mergeCell ref="G57:H57"/>
    <mergeCell ref="B66:F66"/>
    <mergeCell ref="G66:H66"/>
    <mergeCell ref="J57:L57"/>
    <mergeCell ref="M57:O57"/>
    <mergeCell ref="D59:F59"/>
    <mergeCell ref="G59:H59"/>
    <mergeCell ref="B61:F61"/>
    <mergeCell ref="G61:H61"/>
    <mergeCell ref="J61:O61"/>
    <mergeCell ref="B63:F63"/>
    <mergeCell ref="G63:H63"/>
    <mergeCell ref="C64:F64"/>
    <mergeCell ref="G64:H64"/>
    <mergeCell ref="J64:O64"/>
    <mergeCell ref="D82:F82"/>
    <mergeCell ref="J69:K69"/>
    <mergeCell ref="B70:B84"/>
    <mergeCell ref="C70:C76"/>
    <mergeCell ref="D70:F70"/>
    <mergeCell ref="D71:F71"/>
    <mergeCell ref="D72:F72"/>
    <mergeCell ref="D73:F73"/>
    <mergeCell ref="D74:F74"/>
    <mergeCell ref="D75:F75"/>
    <mergeCell ref="D76:F76"/>
    <mergeCell ref="D77:F77"/>
    <mergeCell ref="D78:F78"/>
    <mergeCell ref="E79:F79"/>
    <mergeCell ref="D80:F80"/>
    <mergeCell ref="D81:F81"/>
    <mergeCell ref="G95:H95"/>
    <mergeCell ref="D83:F83"/>
    <mergeCell ref="D84:F84"/>
    <mergeCell ref="B85:F85"/>
    <mergeCell ref="B87:F87"/>
    <mergeCell ref="G87:H87"/>
    <mergeCell ref="C89:D89"/>
    <mergeCell ref="C90:D90"/>
    <mergeCell ref="C91:D91"/>
    <mergeCell ref="C92:D92"/>
    <mergeCell ref="C93:D93"/>
    <mergeCell ref="B95:F95"/>
    <mergeCell ref="B100:F100"/>
    <mergeCell ref="G100:H100"/>
    <mergeCell ref="B101:F101"/>
    <mergeCell ref="G101:H101"/>
    <mergeCell ref="G96:H96"/>
    <mergeCell ref="G97:H97"/>
    <mergeCell ref="B98:F98"/>
    <mergeCell ref="G98:H98"/>
    <mergeCell ref="B99:F99"/>
    <mergeCell ref="G99:H99"/>
  </mergeCells>
  <conditionalFormatting sqref="B92:F92 B101:F101 B95:F99">
    <cfRule type="cellIs" dxfId="1903" priority="3" stopIfTrue="1" operator="equal">
      <formula>"TAX PAYABLE"</formula>
    </cfRule>
    <cfRule type="cellIs" dxfId="1902" priority="4" stopIfTrue="1" operator="equal">
      <formula>"TAX REFUND"</formula>
    </cfRule>
  </conditionalFormatting>
  <conditionalFormatting sqref="G92:H92">
    <cfRule type="cellIs" dxfId="1901" priority="5" stopIfTrue="1" operator="lessThan">
      <formula>0</formula>
    </cfRule>
    <cfRule type="cellIs" dxfId="1900" priority="6" stopIfTrue="1" operator="greaterThan">
      <formula>0</formula>
    </cfRule>
  </conditionalFormatting>
  <conditionalFormatting sqref="G101:H101">
    <cfRule type="cellIs" dxfId="1899" priority="1" stopIfTrue="1" operator="greaterThan">
      <formula>0</formula>
    </cfRule>
    <cfRule type="cellIs" dxfId="1898"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$Q$8:$Q$9</formula1>
    </dataValidation>
  </dataValidations>
  <pageMargins left="0.7" right="0.7" top="0.75" bottom="0.75" header="0.3" footer="0.3"/>
  <pageSetup paperSize="5" orientation="landscape" horizontalDpi="300" verticalDpi="300" r:id="rId1"/>
  <headerFooter alignWithMargins="0"/>
  <legacyDrawing r:id="rId2"/>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S112"/>
  <sheetViews>
    <sheetView topLeftCell="A65" workbookViewId="0">
      <selection activeCell="I83" sqref="A1:S112"/>
    </sheetView>
  </sheetViews>
  <sheetFormatPr defaultRowHeight="12.75" x14ac:dyDescent="0.2"/>
  <cols>
    <col min="1" max="1" width="4" style="16" bestFit="1" customWidth="1"/>
    <col min="2" max="2" width="18" style="37" customWidth="1"/>
    <col min="3" max="14" width="7.5703125" style="16" customWidth="1"/>
    <col min="15" max="20" width="9.140625" style="16"/>
    <col min="21" max="21" width="12.42578125" style="16" customWidth="1"/>
    <col min="22" max="22" width="9.140625" style="16"/>
    <col min="23" max="23" width="12" style="16" customWidth="1"/>
    <col min="24" max="256" width="9.140625" style="16"/>
    <col min="257" max="257" width="4" style="16" bestFit="1" customWidth="1"/>
    <col min="258" max="258" width="18" style="16" customWidth="1"/>
    <col min="259" max="270" width="7.5703125" style="16" customWidth="1"/>
    <col min="271" max="276" width="9.140625" style="16"/>
    <col min="277" max="277" width="12.42578125" style="16" customWidth="1"/>
    <col min="278" max="278" width="9.140625" style="16"/>
    <col min="279" max="279" width="12" style="16" customWidth="1"/>
    <col min="280" max="512" width="9.140625" style="16"/>
    <col min="513" max="513" width="4" style="16" bestFit="1" customWidth="1"/>
    <col min="514" max="514" width="18" style="16" customWidth="1"/>
    <col min="515" max="526" width="7.5703125" style="16" customWidth="1"/>
    <col min="527" max="532" width="9.140625" style="16"/>
    <col min="533" max="533" width="12.42578125" style="16" customWidth="1"/>
    <col min="534" max="534" width="9.140625" style="16"/>
    <col min="535" max="535" width="12" style="16" customWidth="1"/>
    <col min="536" max="768" width="9.140625" style="16"/>
    <col min="769" max="769" width="4" style="16" bestFit="1" customWidth="1"/>
    <col min="770" max="770" width="18" style="16" customWidth="1"/>
    <col min="771" max="782" width="7.5703125" style="16" customWidth="1"/>
    <col min="783" max="788" width="9.140625" style="16"/>
    <col min="789" max="789" width="12.42578125" style="16" customWidth="1"/>
    <col min="790" max="790" width="9.140625" style="16"/>
    <col min="791" max="791" width="12" style="16" customWidth="1"/>
    <col min="792" max="1024" width="9.140625" style="16"/>
    <col min="1025" max="1025" width="4" style="16" bestFit="1" customWidth="1"/>
    <col min="1026" max="1026" width="18" style="16" customWidth="1"/>
    <col min="1027" max="1038" width="7.5703125" style="16" customWidth="1"/>
    <col min="1039" max="1044" width="9.140625" style="16"/>
    <col min="1045" max="1045" width="12.42578125" style="16" customWidth="1"/>
    <col min="1046" max="1046" width="9.140625" style="16"/>
    <col min="1047" max="1047" width="12" style="16" customWidth="1"/>
    <col min="1048" max="1280" width="9.140625" style="16"/>
    <col min="1281" max="1281" width="4" style="16" bestFit="1" customWidth="1"/>
    <col min="1282" max="1282" width="18" style="16" customWidth="1"/>
    <col min="1283" max="1294" width="7.5703125" style="16" customWidth="1"/>
    <col min="1295" max="1300" width="9.140625" style="16"/>
    <col min="1301" max="1301" width="12.42578125" style="16" customWidth="1"/>
    <col min="1302" max="1302" width="9.140625" style="16"/>
    <col min="1303" max="1303" width="12" style="16" customWidth="1"/>
    <col min="1304" max="1536" width="9.140625" style="16"/>
    <col min="1537" max="1537" width="4" style="16" bestFit="1" customWidth="1"/>
    <col min="1538" max="1538" width="18" style="16" customWidth="1"/>
    <col min="1539" max="1550" width="7.5703125" style="16" customWidth="1"/>
    <col min="1551" max="1556" width="9.140625" style="16"/>
    <col min="1557" max="1557" width="12.42578125" style="16" customWidth="1"/>
    <col min="1558" max="1558" width="9.140625" style="16"/>
    <col min="1559" max="1559" width="12" style="16" customWidth="1"/>
    <col min="1560" max="1792" width="9.140625" style="16"/>
    <col min="1793" max="1793" width="4" style="16" bestFit="1" customWidth="1"/>
    <col min="1794" max="1794" width="18" style="16" customWidth="1"/>
    <col min="1795" max="1806" width="7.5703125" style="16" customWidth="1"/>
    <col min="1807" max="1812" width="9.140625" style="16"/>
    <col min="1813" max="1813" width="12.42578125" style="16" customWidth="1"/>
    <col min="1814" max="1814" width="9.140625" style="16"/>
    <col min="1815" max="1815" width="12" style="16" customWidth="1"/>
    <col min="1816" max="2048" width="9.140625" style="16"/>
    <col min="2049" max="2049" width="4" style="16" bestFit="1" customWidth="1"/>
    <col min="2050" max="2050" width="18" style="16" customWidth="1"/>
    <col min="2051" max="2062" width="7.5703125" style="16" customWidth="1"/>
    <col min="2063" max="2068" width="9.140625" style="16"/>
    <col min="2069" max="2069" width="12.42578125" style="16" customWidth="1"/>
    <col min="2070" max="2070" width="9.140625" style="16"/>
    <col min="2071" max="2071" width="12" style="16" customWidth="1"/>
    <col min="2072" max="2304" width="9.140625" style="16"/>
    <col min="2305" max="2305" width="4" style="16" bestFit="1" customWidth="1"/>
    <col min="2306" max="2306" width="18" style="16" customWidth="1"/>
    <col min="2307" max="2318" width="7.5703125" style="16" customWidth="1"/>
    <col min="2319" max="2324" width="9.140625" style="16"/>
    <col min="2325" max="2325" width="12.42578125" style="16" customWidth="1"/>
    <col min="2326" max="2326" width="9.140625" style="16"/>
    <col min="2327" max="2327" width="12" style="16" customWidth="1"/>
    <col min="2328" max="2560" width="9.140625" style="16"/>
    <col min="2561" max="2561" width="4" style="16" bestFit="1" customWidth="1"/>
    <col min="2562" max="2562" width="18" style="16" customWidth="1"/>
    <col min="2563" max="2574" width="7.5703125" style="16" customWidth="1"/>
    <col min="2575" max="2580" width="9.140625" style="16"/>
    <col min="2581" max="2581" width="12.42578125" style="16" customWidth="1"/>
    <col min="2582" max="2582" width="9.140625" style="16"/>
    <col min="2583" max="2583" width="12" style="16" customWidth="1"/>
    <col min="2584" max="2816" width="9.140625" style="16"/>
    <col min="2817" max="2817" width="4" style="16" bestFit="1" customWidth="1"/>
    <col min="2818" max="2818" width="18" style="16" customWidth="1"/>
    <col min="2819" max="2830" width="7.5703125" style="16" customWidth="1"/>
    <col min="2831" max="2836" width="9.140625" style="16"/>
    <col min="2837" max="2837" width="12.42578125" style="16" customWidth="1"/>
    <col min="2838" max="2838" width="9.140625" style="16"/>
    <col min="2839" max="2839" width="12" style="16" customWidth="1"/>
    <col min="2840" max="3072" width="9.140625" style="16"/>
    <col min="3073" max="3073" width="4" style="16" bestFit="1" customWidth="1"/>
    <col min="3074" max="3074" width="18" style="16" customWidth="1"/>
    <col min="3075" max="3086" width="7.5703125" style="16" customWidth="1"/>
    <col min="3087" max="3092" width="9.140625" style="16"/>
    <col min="3093" max="3093" width="12.42578125" style="16" customWidth="1"/>
    <col min="3094" max="3094" width="9.140625" style="16"/>
    <col min="3095" max="3095" width="12" style="16" customWidth="1"/>
    <col min="3096" max="3328" width="9.140625" style="16"/>
    <col min="3329" max="3329" width="4" style="16" bestFit="1" customWidth="1"/>
    <col min="3330" max="3330" width="18" style="16" customWidth="1"/>
    <col min="3331" max="3342" width="7.5703125" style="16" customWidth="1"/>
    <col min="3343" max="3348" width="9.140625" style="16"/>
    <col min="3349" max="3349" width="12.42578125" style="16" customWidth="1"/>
    <col min="3350" max="3350" width="9.140625" style="16"/>
    <col min="3351" max="3351" width="12" style="16" customWidth="1"/>
    <col min="3352" max="3584" width="9.140625" style="16"/>
    <col min="3585" max="3585" width="4" style="16" bestFit="1" customWidth="1"/>
    <col min="3586" max="3586" width="18" style="16" customWidth="1"/>
    <col min="3587" max="3598" width="7.5703125" style="16" customWidth="1"/>
    <col min="3599" max="3604" width="9.140625" style="16"/>
    <col min="3605" max="3605" width="12.42578125" style="16" customWidth="1"/>
    <col min="3606" max="3606" width="9.140625" style="16"/>
    <col min="3607" max="3607" width="12" style="16" customWidth="1"/>
    <col min="3608" max="3840" width="9.140625" style="16"/>
    <col min="3841" max="3841" width="4" style="16" bestFit="1" customWidth="1"/>
    <col min="3842" max="3842" width="18" style="16" customWidth="1"/>
    <col min="3843" max="3854" width="7.5703125" style="16" customWidth="1"/>
    <col min="3855" max="3860" width="9.140625" style="16"/>
    <col min="3861" max="3861" width="12.42578125" style="16" customWidth="1"/>
    <col min="3862" max="3862" width="9.140625" style="16"/>
    <col min="3863" max="3863" width="12" style="16" customWidth="1"/>
    <col min="3864" max="4096" width="9.140625" style="16"/>
    <col min="4097" max="4097" width="4" style="16" bestFit="1" customWidth="1"/>
    <col min="4098" max="4098" width="18" style="16" customWidth="1"/>
    <col min="4099" max="4110" width="7.5703125" style="16" customWidth="1"/>
    <col min="4111" max="4116" width="9.140625" style="16"/>
    <col min="4117" max="4117" width="12.42578125" style="16" customWidth="1"/>
    <col min="4118" max="4118" width="9.140625" style="16"/>
    <col min="4119" max="4119" width="12" style="16" customWidth="1"/>
    <col min="4120" max="4352" width="9.140625" style="16"/>
    <col min="4353" max="4353" width="4" style="16" bestFit="1" customWidth="1"/>
    <col min="4354" max="4354" width="18" style="16" customWidth="1"/>
    <col min="4355" max="4366" width="7.5703125" style="16" customWidth="1"/>
    <col min="4367" max="4372" width="9.140625" style="16"/>
    <col min="4373" max="4373" width="12.42578125" style="16" customWidth="1"/>
    <col min="4374" max="4374" width="9.140625" style="16"/>
    <col min="4375" max="4375" width="12" style="16" customWidth="1"/>
    <col min="4376" max="4608" width="9.140625" style="16"/>
    <col min="4609" max="4609" width="4" style="16" bestFit="1" customWidth="1"/>
    <col min="4610" max="4610" width="18" style="16" customWidth="1"/>
    <col min="4611" max="4622" width="7.5703125" style="16" customWidth="1"/>
    <col min="4623" max="4628" width="9.140625" style="16"/>
    <col min="4629" max="4629" width="12.42578125" style="16" customWidth="1"/>
    <col min="4630" max="4630" width="9.140625" style="16"/>
    <col min="4631" max="4631" width="12" style="16" customWidth="1"/>
    <col min="4632" max="4864" width="9.140625" style="16"/>
    <col min="4865" max="4865" width="4" style="16" bestFit="1" customWidth="1"/>
    <col min="4866" max="4866" width="18" style="16" customWidth="1"/>
    <col min="4867" max="4878" width="7.5703125" style="16" customWidth="1"/>
    <col min="4879" max="4884" width="9.140625" style="16"/>
    <col min="4885" max="4885" width="12.42578125" style="16" customWidth="1"/>
    <col min="4886" max="4886" width="9.140625" style="16"/>
    <col min="4887" max="4887" width="12" style="16" customWidth="1"/>
    <col min="4888" max="5120" width="9.140625" style="16"/>
    <col min="5121" max="5121" width="4" style="16" bestFit="1" customWidth="1"/>
    <col min="5122" max="5122" width="18" style="16" customWidth="1"/>
    <col min="5123" max="5134" width="7.5703125" style="16" customWidth="1"/>
    <col min="5135" max="5140" width="9.140625" style="16"/>
    <col min="5141" max="5141" width="12.42578125" style="16" customWidth="1"/>
    <col min="5142" max="5142" width="9.140625" style="16"/>
    <col min="5143" max="5143" width="12" style="16" customWidth="1"/>
    <col min="5144" max="5376" width="9.140625" style="16"/>
    <col min="5377" max="5377" width="4" style="16" bestFit="1" customWidth="1"/>
    <col min="5378" max="5378" width="18" style="16" customWidth="1"/>
    <col min="5379" max="5390" width="7.5703125" style="16" customWidth="1"/>
    <col min="5391" max="5396" width="9.140625" style="16"/>
    <col min="5397" max="5397" width="12.42578125" style="16" customWidth="1"/>
    <col min="5398" max="5398" width="9.140625" style="16"/>
    <col min="5399" max="5399" width="12" style="16" customWidth="1"/>
    <col min="5400" max="5632" width="9.140625" style="16"/>
    <col min="5633" max="5633" width="4" style="16" bestFit="1" customWidth="1"/>
    <col min="5634" max="5634" width="18" style="16" customWidth="1"/>
    <col min="5635" max="5646" width="7.5703125" style="16" customWidth="1"/>
    <col min="5647" max="5652" width="9.140625" style="16"/>
    <col min="5653" max="5653" width="12.42578125" style="16" customWidth="1"/>
    <col min="5654" max="5654" width="9.140625" style="16"/>
    <col min="5655" max="5655" width="12" style="16" customWidth="1"/>
    <col min="5656" max="5888" width="9.140625" style="16"/>
    <col min="5889" max="5889" width="4" style="16" bestFit="1" customWidth="1"/>
    <col min="5890" max="5890" width="18" style="16" customWidth="1"/>
    <col min="5891" max="5902" width="7.5703125" style="16" customWidth="1"/>
    <col min="5903" max="5908" width="9.140625" style="16"/>
    <col min="5909" max="5909" width="12.42578125" style="16" customWidth="1"/>
    <col min="5910" max="5910" width="9.140625" style="16"/>
    <col min="5911" max="5911" width="12" style="16" customWidth="1"/>
    <col min="5912" max="6144" width="9.140625" style="16"/>
    <col min="6145" max="6145" width="4" style="16" bestFit="1" customWidth="1"/>
    <col min="6146" max="6146" width="18" style="16" customWidth="1"/>
    <col min="6147" max="6158" width="7.5703125" style="16" customWidth="1"/>
    <col min="6159" max="6164" width="9.140625" style="16"/>
    <col min="6165" max="6165" width="12.42578125" style="16" customWidth="1"/>
    <col min="6166" max="6166" width="9.140625" style="16"/>
    <col min="6167" max="6167" width="12" style="16" customWidth="1"/>
    <col min="6168" max="6400" width="9.140625" style="16"/>
    <col min="6401" max="6401" width="4" style="16" bestFit="1" customWidth="1"/>
    <col min="6402" max="6402" width="18" style="16" customWidth="1"/>
    <col min="6403" max="6414" width="7.5703125" style="16" customWidth="1"/>
    <col min="6415" max="6420" width="9.140625" style="16"/>
    <col min="6421" max="6421" width="12.42578125" style="16" customWidth="1"/>
    <col min="6422" max="6422" width="9.140625" style="16"/>
    <col min="6423" max="6423" width="12" style="16" customWidth="1"/>
    <col min="6424" max="6656" width="9.140625" style="16"/>
    <col min="6657" max="6657" width="4" style="16" bestFit="1" customWidth="1"/>
    <col min="6658" max="6658" width="18" style="16" customWidth="1"/>
    <col min="6659" max="6670" width="7.5703125" style="16" customWidth="1"/>
    <col min="6671" max="6676" width="9.140625" style="16"/>
    <col min="6677" max="6677" width="12.42578125" style="16" customWidth="1"/>
    <col min="6678" max="6678" width="9.140625" style="16"/>
    <col min="6679" max="6679" width="12" style="16" customWidth="1"/>
    <col min="6680" max="6912" width="9.140625" style="16"/>
    <col min="6913" max="6913" width="4" style="16" bestFit="1" customWidth="1"/>
    <col min="6914" max="6914" width="18" style="16" customWidth="1"/>
    <col min="6915" max="6926" width="7.5703125" style="16" customWidth="1"/>
    <col min="6927" max="6932" width="9.140625" style="16"/>
    <col min="6933" max="6933" width="12.42578125" style="16" customWidth="1"/>
    <col min="6934" max="6934" width="9.140625" style="16"/>
    <col min="6935" max="6935" width="12" style="16" customWidth="1"/>
    <col min="6936" max="7168" width="9.140625" style="16"/>
    <col min="7169" max="7169" width="4" style="16" bestFit="1" customWidth="1"/>
    <col min="7170" max="7170" width="18" style="16" customWidth="1"/>
    <col min="7171" max="7182" width="7.5703125" style="16" customWidth="1"/>
    <col min="7183" max="7188" width="9.140625" style="16"/>
    <col min="7189" max="7189" width="12.42578125" style="16" customWidth="1"/>
    <col min="7190" max="7190" width="9.140625" style="16"/>
    <col min="7191" max="7191" width="12" style="16" customWidth="1"/>
    <col min="7192" max="7424" width="9.140625" style="16"/>
    <col min="7425" max="7425" width="4" style="16" bestFit="1" customWidth="1"/>
    <col min="7426" max="7426" width="18" style="16" customWidth="1"/>
    <col min="7427" max="7438" width="7.5703125" style="16" customWidth="1"/>
    <col min="7439" max="7444" width="9.140625" style="16"/>
    <col min="7445" max="7445" width="12.42578125" style="16" customWidth="1"/>
    <col min="7446" max="7446" width="9.140625" style="16"/>
    <col min="7447" max="7447" width="12" style="16" customWidth="1"/>
    <col min="7448" max="7680" width="9.140625" style="16"/>
    <col min="7681" max="7681" width="4" style="16" bestFit="1" customWidth="1"/>
    <col min="7682" max="7682" width="18" style="16" customWidth="1"/>
    <col min="7683" max="7694" width="7.5703125" style="16" customWidth="1"/>
    <col min="7695" max="7700" width="9.140625" style="16"/>
    <col min="7701" max="7701" width="12.42578125" style="16" customWidth="1"/>
    <col min="7702" max="7702" width="9.140625" style="16"/>
    <col min="7703" max="7703" width="12" style="16" customWidth="1"/>
    <col min="7704" max="7936" width="9.140625" style="16"/>
    <col min="7937" max="7937" width="4" style="16" bestFit="1" customWidth="1"/>
    <col min="7938" max="7938" width="18" style="16" customWidth="1"/>
    <col min="7939" max="7950" width="7.5703125" style="16" customWidth="1"/>
    <col min="7951" max="7956" width="9.140625" style="16"/>
    <col min="7957" max="7957" width="12.42578125" style="16" customWidth="1"/>
    <col min="7958" max="7958" width="9.140625" style="16"/>
    <col min="7959" max="7959" width="12" style="16" customWidth="1"/>
    <col min="7960" max="8192" width="9.140625" style="16"/>
    <col min="8193" max="8193" width="4" style="16" bestFit="1" customWidth="1"/>
    <col min="8194" max="8194" width="18" style="16" customWidth="1"/>
    <col min="8195" max="8206" width="7.5703125" style="16" customWidth="1"/>
    <col min="8207" max="8212" width="9.140625" style="16"/>
    <col min="8213" max="8213" width="12.42578125" style="16" customWidth="1"/>
    <col min="8214" max="8214" width="9.140625" style="16"/>
    <col min="8215" max="8215" width="12" style="16" customWidth="1"/>
    <col min="8216" max="8448" width="9.140625" style="16"/>
    <col min="8449" max="8449" width="4" style="16" bestFit="1" customWidth="1"/>
    <col min="8450" max="8450" width="18" style="16" customWidth="1"/>
    <col min="8451" max="8462" width="7.5703125" style="16" customWidth="1"/>
    <col min="8463" max="8468" width="9.140625" style="16"/>
    <col min="8469" max="8469" width="12.42578125" style="16" customWidth="1"/>
    <col min="8470" max="8470" width="9.140625" style="16"/>
    <col min="8471" max="8471" width="12" style="16" customWidth="1"/>
    <col min="8472" max="8704" width="9.140625" style="16"/>
    <col min="8705" max="8705" width="4" style="16" bestFit="1" customWidth="1"/>
    <col min="8706" max="8706" width="18" style="16" customWidth="1"/>
    <col min="8707" max="8718" width="7.5703125" style="16" customWidth="1"/>
    <col min="8719" max="8724" width="9.140625" style="16"/>
    <col min="8725" max="8725" width="12.42578125" style="16" customWidth="1"/>
    <col min="8726" max="8726" width="9.140625" style="16"/>
    <col min="8727" max="8727" width="12" style="16" customWidth="1"/>
    <col min="8728" max="8960" width="9.140625" style="16"/>
    <col min="8961" max="8961" width="4" style="16" bestFit="1" customWidth="1"/>
    <col min="8962" max="8962" width="18" style="16" customWidth="1"/>
    <col min="8963" max="8974" width="7.5703125" style="16" customWidth="1"/>
    <col min="8975" max="8980" width="9.140625" style="16"/>
    <col min="8981" max="8981" width="12.42578125" style="16" customWidth="1"/>
    <col min="8982" max="8982" width="9.140625" style="16"/>
    <col min="8983" max="8983" width="12" style="16" customWidth="1"/>
    <col min="8984" max="9216" width="9.140625" style="16"/>
    <col min="9217" max="9217" width="4" style="16" bestFit="1" customWidth="1"/>
    <col min="9218" max="9218" width="18" style="16" customWidth="1"/>
    <col min="9219" max="9230" width="7.5703125" style="16" customWidth="1"/>
    <col min="9231" max="9236" width="9.140625" style="16"/>
    <col min="9237" max="9237" width="12.42578125" style="16" customWidth="1"/>
    <col min="9238" max="9238" width="9.140625" style="16"/>
    <col min="9239" max="9239" width="12" style="16" customWidth="1"/>
    <col min="9240" max="9472" width="9.140625" style="16"/>
    <col min="9473" max="9473" width="4" style="16" bestFit="1" customWidth="1"/>
    <col min="9474" max="9474" width="18" style="16" customWidth="1"/>
    <col min="9475" max="9486" width="7.5703125" style="16" customWidth="1"/>
    <col min="9487" max="9492" width="9.140625" style="16"/>
    <col min="9493" max="9493" width="12.42578125" style="16" customWidth="1"/>
    <col min="9494" max="9494" width="9.140625" style="16"/>
    <col min="9495" max="9495" width="12" style="16" customWidth="1"/>
    <col min="9496" max="9728" width="9.140625" style="16"/>
    <col min="9729" max="9729" width="4" style="16" bestFit="1" customWidth="1"/>
    <col min="9730" max="9730" width="18" style="16" customWidth="1"/>
    <col min="9731" max="9742" width="7.5703125" style="16" customWidth="1"/>
    <col min="9743" max="9748" width="9.140625" style="16"/>
    <col min="9749" max="9749" width="12.42578125" style="16" customWidth="1"/>
    <col min="9750" max="9750" width="9.140625" style="16"/>
    <col min="9751" max="9751" width="12" style="16" customWidth="1"/>
    <col min="9752" max="9984" width="9.140625" style="16"/>
    <col min="9985" max="9985" width="4" style="16" bestFit="1" customWidth="1"/>
    <col min="9986" max="9986" width="18" style="16" customWidth="1"/>
    <col min="9987" max="9998" width="7.5703125" style="16" customWidth="1"/>
    <col min="9999" max="10004" width="9.140625" style="16"/>
    <col min="10005" max="10005" width="12.42578125" style="16" customWidth="1"/>
    <col min="10006" max="10006" width="9.140625" style="16"/>
    <col min="10007" max="10007" width="12" style="16" customWidth="1"/>
    <col min="10008" max="10240" width="9.140625" style="16"/>
    <col min="10241" max="10241" width="4" style="16" bestFit="1" customWidth="1"/>
    <col min="10242" max="10242" width="18" style="16" customWidth="1"/>
    <col min="10243" max="10254" width="7.5703125" style="16" customWidth="1"/>
    <col min="10255" max="10260" width="9.140625" style="16"/>
    <col min="10261" max="10261" width="12.42578125" style="16" customWidth="1"/>
    <col min="10262" max="10262" width="9.140625" style="16"/>
    <col min="10263" max="10263" width="12" style="16" customWidth="1"/>
    <col min="10264" max="10496" width="9.140625" style="16"/>
    <col min="10497" max="10497" width="4" style="16" bestFit="1" customWidth="1"/>
    <col min="10498" max="10498" width="18" style="16" customWidth="1"/>
    <col min="10499" max="10510" width="7.5703125" style="16" customWidth="1"/>
    <col min="10511" max="10516" width="9.140625" style="16"/>
    <col min="10517" max="10517" width="12.42578125" style="16" customWidth="1"/>
    <col min="10518" max="10518" width="9.140625" style="16"/>
    <col min="10519" max="10519" width="12" style="16" customWidth="1"/>
    <col min="10520" max="10752" width="9.140625" style="16"/>
    <col min="10753" max="10753" width="4" style="16" bestFit="1" customWidth="1"/>
    <col min="10754" max="10754" width="18" style="16" customWidth="1"/>
    <col min="10755" max="10766" width="7.5703125" style="16" customWidth="1"/>
    <col min="10767" max="10772" width="9.140625" style="16"/>
    <col min="10773" max="10773" width="12.42578125" style="16" customWidth="1"/>
    <col min="10774" max="10774" width="9.140625" style="16"/>
    <col min="10775" max="10775" width="12" style="16" customWidth="1"/>
    <col min="10776" max="11008" width="9.140625" style="16"/>
    <col min="11009" max="11009" width="4" style="16" bestFit="1" customWidth="1"/>
    <col min="11010" max="11010" width="18" style="16" customWidth="1"/>
    <col min="11011" max="11022" width="7.5703125" style="16" customWidth="1"/>
    <col min="11023" max="11028" width="9.140625" style="16"/>
    <col min="11029" max="11029" width="12.42578125" style="16" customWidth="1"/>
    <col min="11030" max="11030" width="9.140625" style="16"/>
    <col min="11031" max="11031" width="12" style="16" customWidth="1"/>
    <col min="11032" max="11264" width="9.140625" style="16"/>
    <col min="11265" max="11265" width="4" style="16" bestFit="1" customWidth="1"/>
    <col min="11266" max="11266" width="18" style="16" customWidth="1"/>
    <col min="11267" max="11278" width="7.5703125" style="16" customWidth="1"/>
    <col min="11279" max="11284" width="9.140625" style="16"/>
    <col min="11285" max="11285" width="12.42578125" style="16" customWidth="1"/>
    <col min="11286" max="11286" width="9.140625" style="16"/>
    <col min="11287" max="11287" width="12" style="16" customWidth="1"/>
    <col min="11288" max="11520" width="9.140625" style="16"/>
    <col min="11521" max="11521" width="4" style="16" bestFit="1" customWidth="1"/>
    <col min="11522" max="11522" width="18" style="16" customWidth="1"/>
    <col min="11523" max="11534" width="7.5703125" style="16" customWidth="1"/>
    <col min="11535" max="11540" width="9.140625" style="16"/>
    <col min="11541" max="11541" width="12.42578125" style="16" customWidth="1"/>
    <col min="11542" max="11542" width="9.140625" style="16"/>
    <col min="11543" max="11543" width="12" style="16" customWidth="1"/>
    <col min="11544" max="11776" width="9.140625" style="16"/>
    <col min="11777" max="11777" width="4" style="16" bestFit="1" customWidth="1"/>
    <col min="11778" max="11778" width="18" style="16" customWidth="1"/>
    <col min="11779" max="11790" width="7.5703125" style="16" customWidth="1"/>
    <col min="11791" max="11796" width="9.140625" style="16"/>
    <col min="11797" max="11797" width="12.42578125" style="16" customWidth="1"/>
    <col min="11798" max="11798" width="9.140625" style="16"/>
    <col min="11799" max="11799" width="12" style="16" customWidth="1"/>
    <col min="11800" max="12032" width="9.140625" style="16"/>
    <col min="12033" max="12033" width="4" style="16" bestFit="1" customWidth="1"/>
    <col min="12034" max="12034" width="18" style="16" customWidth="1"/>
    <col min="12035" max="12046" width="7.5703125" style="16" customWidth="1"/>
    <col min="12047" max="12052" width="9.140625" style="16"/>
    <col min="12053" max="12053" width="12.42578125" style="16" customWidth="1"/>
    <col min="12054" max="12054" width="9.140625" style="16"/>
    <col min="12055" max="12055" width="12" style="16" customWidth="1"/>
    <col min="12056" max="12288" width="9.140625" style="16"/>
    <col min="12289" max="12289" width="4" style="16" bestFit="1" customWidth="1"/>
    <col min="12290" max="12290" width="18" style="16" customWidth="1"/>
    <col min="12291" max="12302" width="7.5703125" style="16" customWidth="1"/>
    <col min="12303" max="12308" width="9.140625" style="16"/>
    <col min="12309" max="12309" width="12.42578125" style="16" customWidth="1"/>
    <col min="12310" max="12310" width="9.140625" style="16"/>
    <col min="12311" max="12311" width="12" style="16" customWidth="1"/>
    <col min="12312" max="12544" width="9.140625" style="16"/>
    <col min="12545" max="12545" width="4" style="16" bestFit="1" customWidth="1"/>
    <col min="12546" max="12546" width="18" style="16" customWidth="1"/>
    <col min="12547" max="12558" width="7.5703125" style="16" customWidth="1"/>
    <col min="12559" max="12564" width="9.140625" style="16"/>
    <col min="12565" max="12565" width="12.42578125" style="16" customWidth="1"/>
    <col min="12566" max="12566" width="9.140625" style="16"/>
    <col min="12567" max="12567" width="12" style="16" customWidth="1"/>
    <col min="12568" max="12800" width="9.140625" style="16"/>
    <col min="12801" max="12801" width="4" style="16" bestFit="1" customWidth="1"/>
    <col min="12802" max="12802" width="18" style="16" customWidth="1"/>
    <col min="12803" max="12814" width="7.5703125" style="16" customWidth="1"/>
    <col min="12815" max="12820" width="9.140625" style="16"/>
    <col min="12821" max="12821" width="12.42578125" style="16" customWidth="1"/>
    <col min="12822" max="12822" width="9.140625" style="16"/>
    <col min="12823" max="12823" width="12" style="16" customWidth="1"/>
    <col min="12824" max="13056" width="9.140625" style="16"/>
    <col min="13057" max="13057" width="4" style="16" bestFit="1" customWidth="1"/>
    <col min="13058" max="13058" width="18" style="16" customWidth="1"/>
    <col min="13059" max="13070" width="7.5703125" style="16" customWidth="1"/>
    <col min="13071" max="13076" width="9.140625" style="16"/>
    <col min="13077" max="13077" width="12.42578125" style="16" customWidth="1"/>
    <col min="13078" max="13078" width="9.140625" style="16"/>
    <col min="13079" max="13079" width="12" style="16" customWidth="1"/>
    <col min="13080" max="13312" width="9.140625" style="16"/>
    <col min="13313" max="13313" width="4" style="16" bestFit="1" customWidth="1"/>
    <col min="13314" max="13314" width="18" style="16" customWidth="1"/>
    <col min="13315" max="13326" width="7.5703125" style="16" customWidth="1"/>
    <col min="13327" max="13332" width="9.140625" style="16"/>
    <col min="13333" max="13333" width="12.42578125" style="16" customWidth="1"/>
    <col min="13334" max="13334" width="9.140625" style="16"/>
    <col min="13335" max="13335" width="12" style="16" customWidth="1"/>
    <col min="13336" max="13568" width="9.140625" style="16"/>
    <col min="13569" max="13569" width="4" style="16" bestFit="1" customWidth="1"/>
    <col min="13570" max="13570" width="18" style="16" customWidth="1"/>
    <col min="13571" max="13582" width="7.5703125" style="16" customWidth="1"/>
    <col min="13583" max="13588" width="9.140625" style="16"/>
    <col min="13589" max="13589" width="12.42578125" style="16" customWidth="1"/>
    <col min="13590" max="13590" width="9.140625" style="16"/>
    <col min="13591" max="13591" width="12" style="16" customWidth="1"/>
    <col min="13592" max="13824" width="9.140625" style="16"/>
    <col min="13825" max="13825" width="4" style="16" bestFit="1" customWidth="1"/>
    <col min="13826" max="13826" width="18" style="16" customWidth="1"/>
    <col min="13827" max="13838" width="7.5703125" style="16" customWidth="1"/>
    <col min="13839" max="13844" width="9.140625" style="16"/>
    <col min="13845" max="13845" width="12.42578125" style="16" customWidth="1"/>
    <col min="13846" max="13846" width="9.140625" style="16"/>
    <col min="13847" max="13847" width="12" style="16" customWidth="1"/>
    <col min="13848" max="14080" width="9.140625" style="16"/>
    <col min="14081" max="14081" width="4" style="16" bestFit="1" customWidth="1"/>
    <col min="14082" max="14082" width="18" style="16" customWidth="1"/>
    <col min="14083" max="14094" width="7.5703125" style="16" customWidth="1"/>
    <col min="14095" max="14100" width="9.140625" style="16"/>
    <col min="14101" max="14101" width="12.42578125" style="16" customWidth="1"/>
    <col min="14102" max="14102" width="9.140625" style="16"/>
    <col min="14103" max="14103" width="12" style="16" customWidth="1"/>
    <col min="14104" max="14336" width="9.140625" style="16"/>
    <col min="14337" max="14337" width="4" style="16" bestFit="1" customWidth="1"/>
    <col min="14338" max="14338" width="18" style="16" customWidth="1"/>
    <col min="14339" max="14350" width="7.5703125" style="16" customWidth="1"/>
    <col min="14351" max="14356" width="9.140625" style="16"/>
    <col min="14357" max="14357" width="12.42578125" style="16" customWidth="1"/>
    <col min="14358" max="14358" width="9.140625" style="16"/>
    <col min="14359" max="14359" width="12" style="16" customWidth="1"/>
    <col min="14360" max="14592" width="9.140625" style="16"/>
    <col min="14593" max="14593" width="4" style="16" bestFit="1" customWidth="1"/>
    <col min="14594" max="14594" width="18" style="16" customWidth="1"/>
    <col min="14595" max="14606" width="7.5703125" style="16" customWidth="1"/>
    <col min="14607" max="14612" width="9.140625" style="16"/>
    <col min="14613" max="14613" width="12.42578125" style="16" customWidth="1"/>
    <col min="14614" max="14614" width="9.140625" style="16"/>
    <col min="14615" max="14615" width="12" style="16" customWidth="1"/>
    <col min="14616" max="14848" width="9.140625" style="16"/>
    <col min="14849" max="14849" width="4" style="16" bestFit="1" customWidth="1"/>
    <col min="14850" max="14850" width="18" style="16" customWidth="1"/>
    <col min="14851" max="14862" width="7.5703125" style="16" customWidth="1"/>
    <col min="14863" max="14868" width="9.140625" style="16"/>
    <col min="14869" max="14869" width="12.42578125" style="16" customWidth="1"/>
    <col min="14870" max="14870" width="9.140625" style="16"/>
    <col min="14871" max="14871" width="12" style="16" customWidth="1"/>
    <col min="14872" max="15104" width="9.140625" style="16"/>
    <col min="15105" max="15105" width="4" style="16" bestFit="1" customWidth="1"/>
    <col min="15106" max="15106" width="18" style="16" customWidth="1"/>
    <col min="15107" max="15118" width="7.5703125" style="16" customWidth="1"/>
    <col min="15119" max="15124" width="9.140625" style="16"/>
    <col min="15125" max="15125" width="12.42578125" style="16" customWidth="1"/>
    <col min="15126" max="15126" width="9.140625" style="16"/>
    <col min="15127" max="15127" width="12" style="16" customWidth="1"/>
    <col min="15128" max="15360" width="9.140625" style="16"/>
    <col min="15361" max="15361" width="4" style="16" bestFit="1" customWidth="1"/>
    <col min="15362" max="15362" width="18" style="16" customWidth="1"/>
    <col min="15363" max="15374" width="7.5703125" style="16" customWidth="1"/>
    <col min="15375" max="15380" width="9.140625" style="16"/>
    <col min="15381" max="15381" width="12.42578125" style="16" customWidth="1"/>
    <col min="15382" max="15382" width="9.140625" style="16"/>
    <col min="15383" max="15383" width="12" style="16" customWidth="1"/>
    <col min="15384" max="15616" width="9.140625" style="16"/>
    <col min="15617" max="15617" width="4" style="16" bestFit="1" customWidth="1"/>
    <col min="15618" max="15618" width="18" style="16" customWidth="1"/>
    <col min="15619" max="15630" width="7.5703125" style="16" customWidth="1"/>
    <col min="15631" max="15636" width="9.140625" style="16"/>
    <col min="15637" max="15637" width="12.42578125" style="16" customWidth="1"/>
    <col min="15638" max="15638" width="9.140625" style="16"/>
    <col min="15639" max="15639" width="12" style="16" customWidth="1"/>
    <col min="15640" max="15872" width="9.140625" style="16"/>
    <col min="15873" max="15873" width="4" style="16" bestFit="1" customWidth="1"/>
    <col min="15874" max="15874" width="18" style="16" customWidth="1"/>
    <col min="15875" max="15886" width="7.5703125" style="16" customWidth="1"/>
    <col min="15887" max="15892" width="9.140625" style="16"/>
    <col min="15893" max="15893" width="12.42578125" style="16" customWidth="1"/>
    <col min="15894" max="15894" width="9.140625" style="16"/>
    <col min="15895" max="15895" width="12" style="16" customWidth="1"/>
    <col min="15896" max="16128" width="9.140625" style="16"/>
    <col min="16129" max="16129" width="4" style="16" bestFit="1" customWidth="1"/>
    <col min="16130" max="16130" width="18" style="16" customWidth="1"/>
    <col min="16131" max="16142" width="7.5703125" style="16" customWidth="1"/>
    <col min="16143" max="16148" width="9.140625" style="16"/>
    <col min="16149" max="16149" width="12.42578125" style="16" customWidth="1"/>
    <col min="16150" max="16150" width="9.140625" style="16"/>
    <col min="16151" max="16151" width="12" style="16" customWidth="1"/>
    <col min="16152" max="16384" width="9.140625" style="16"/>
  </cols>
  <sheetData>
    <row r="1" spans="1:15" s="1" customFormat="1" x14ac:dyDescent="0.2">
      <c r="A1" s="867" t="s">
        <v>449</v>
      </c>
      <c r="B1" s="868"/>
      <c r="C1" s="868"/>
      <c r="D1" s="869"/>
      <c r="E1" s="868"/>
      <c r="F1" s="868"/>
      <c r="G1" s="867" t="s">
        <v>102</v>
      </c>
      <c r="H1" s="869"/>
      <c r="I1" s="869" t="s">
        <v>1183</v>
      </c>
      <c r="J1" s="868"/>
      <c r="K1" s="868"/>
      <c r="L1" s="870"/>
      <c r="M1" s="870"/>
      <c r="N1" s="870"/>
      <c r="O1" s="870"/>
    </row>
    <row r="2" spans="1:15" s="1" customFormat="1" x14ac:dyDescent="0.2">
      <c r="A2" s="867" t="s">
        <v>103</v>
      </c>
      <c r="B2" s="868"/>
      <c r="C2" s="868"/>
      <c r="D2" s="869" t="s">
        <v>1202</v>
      </c>
      <c r="E2" s="868"/>
      <c r="F2" s="868"/>
      <c r="G2" s="867" t="s">
        <v>104</v>
      </c>
      <c r="H2" s="869"/>
      <c r="I2" s="869" t="s">
        <v>105</v>
      </c>
      <c r="J2" s="868"/>
      <c r="K2" s="868"/>
      <c r="L2" s="870"/>
      <c r="M2" s="870"/>
      <c r="N2" s="870"/>
      <c r="O2" s="870"/>
    </row>
    <row r="3" spans="1:15" s="1" customFormat="1" x14ac:dyDescent="0.2">
      <c r="A3" s="867" t="s">
        <v>106</v>
      </c>
      <c r="B3" s="868"/>
      <c r="C3" s="868"/>
      <c r="D3" s="881" t="s">
        <v>1203</v>
      </c>
      <c r="E3" s="882"/>
      <c r="F3" s="882"/>
      <c r="G3" s="867" t="s">
        <v>107</v>
      </c>
      <c r="H3" s="869"/>
      <c r="I3" s="869" t="s">
        <v>108</v>
      </c>
      <c r="J3" s="868"/>
      <c r="K3" s="868"/>
      <c r="L3" s="870"/>
      <c r="M3" s="870"/>
      <c r="N3" s="870"/>
      <c r="O3" s="870"/>
    </row>
    <row r="4" spans="1:15" s="1" customFormat="1" x14ac:dyDescent="0.2">
      <c r="A4" s="867" t="s">
        <v>109</v>
      </c>
      <c r="B4" s="868"/>
      <c r="C4" s="868"/>
      <c r="D4" s="869"/>
      <c r="E4" s="868"/>
      <c r="F4" s="868"/>
      <c r="G4" s="867" t="s">
        <v>110</v>
      </c>
      <c r="H4" s="869"/>
      <c r="I4" s="869" t="s">
        <v>478</v>
      </c>
      <c r="J4" s="868"/>
      <c r="K4" s="868"/>
      <c r="L4" s="870"/>
      <c r="M4" s="870"/>
      <c r="N4" s="870"/>
      <c r="O4" s="870"/>
    </row>
    <row r="5" spans="1:15" s="1" customFormat="1" x14ac:dyDescent="0.2">
      <c r="A5" s="867" t="s">
        <v>278</v>
      </c>
      <c r="B5" s="868"/>
      <c r="C5" s="868"/>
      <c r="D5" s="869" t="s">
        <v>1204</v>
      </c>
      <c r="E5" s="868"/>
      <c r="F5" s="868"/>
      <c r="G5" s="867"/>
      <c r="H5" s="868"/>
      <c r="I5" s="869" t="s">
        <v>113</v>
      </c>
      <c r="J5" s="868"/>
      <c r="K5" s="868"/>
      <c r="L5" s="870"/>
      <c r="M5" s="870"/>
      <c r="N5" s="870"/>
      <c r="O5" s="870"/>
    </row>
    <row r="6" spans="1:15" s="1" customFormat="1" x14ac:dyDescent="0.2">
      <c r="A6" s="871" t="s">
        <v>114</v>
      </c>
      <c r="B6" s="872"/>
      <c r="C6" s="872"/>
      <c r="D6" s="868" t="s">
        <v>582</v>
      </c>
      <c r="E6" s="868"/>
      <c r="F6" s="868"/>
      <c r="G6" s="871" t="s">
        <v>115</v>
      </c>
      <c r="H6" s="871"/>
      <c r="I6" s="2" t="s">
        <v>116</v>
      </c>
      <c r="J6" s="873" t="s">
        <v>521</v>
      </c>
      <c r="K6" s="873"/>
      <c r="L6" s="873"/>
      <c r="M6" s="873"/>
      <c r="N6" s="873"/>
      <c r="O6" s="874"/>
    </row>
    <row r="7" spans="1:15" s="1" customFormat="1" ht="13.5" thickBot="1" x14ac:dyDescent="0.25">
      <c r="A7" s="45"/>
      <c r="B7" s="412"/>
      <c r="C7" s="5"/>
      <c r="D7" s="413"/>
      <c r="E7" s="413"/>
      <c r="F7" s="413"/>
      <c r="G7" s="1075" t="s">
        <v>223</v>
      </c>
      <c r="H7" s="1076"/>
      <c r="I7" s="1076"/>
      <c r="J7" s="1076"/>
      <c r="K7" s="1076"/>
      <c r="L7" s="1076"/>
      <c r="M7" s="1076"/>
      <c r="N7" s="1076"/>
      <c r="O7" s="1077"/>
    </row>
    <row r="8" spans="1:15" s="11" customFormat="1" x14ac:dyDescent="0.2">
      <c r="A8" s="876" t="str">
        <f>I1</f>
        <v>MR. S.P. Thanekar</v>
      </c>
      <c r="B8" s="877"/>
      <c r="C8" s="9">
        <v>43160</v>
      </c>
      <c r="D8" s="9">
        <v>43191</v>
      </c>
      <c r="E8" s="9">
        <v>43221</v>
      </c>
      <c r="F8" s="9">
        <v>43252</v>
      </c>
      <c r="G8" s="9">
        <v>43282</v>
      </c>
      <c r="H8" s="9">
        <v>43313</v>
      </c>
      <c r="I8" s="9">
        <v>43344</v>
      </c>
      <c r="J8" s="9">
        <v>43374</v>
      </c>
      <c r="K8" s="9">
        <v>43405</v>
      </c>
      <c r="L8" s="9">
        <v>43435</v>
      </c>
      <c r="M8" s="9">
        <v>43466</v>
      </c>
      <c r="N8" s="9">
        <v>43497</v>
      </c>
      <c r="O8" s="10" t="s">
        <v>117</v>
      </c>
    </row>
    <row r="9" spans="1:15" ht="15" customHeight="1" x14ac:dyDescent="0.2">
      <c r="A9" s="12"/>
      <c r="B9" s="13" t="s">
        <v>118</v>
      </c>
      <c r="C9" s="14">
        <v>70000</v>
      </c>
      <c r="D9" s="14">
        <v>70000</v>
      </c>
      <c r="E9" s="14">
        <v>70000</v>
      </c>
      <c r="F9" s="14">
        <v>70000</v>
      </c>
      <c r="G9" s="14">
        <v>72100</v>
      </c>
      <c r="H9" s="14">
        <v>72100</v>
      </c>
      <c r="I9" s="14">
        <v>72100</v>
      </c>
      <c r="J9" s="14">
        <v>72100</v>
      </c>
      <c r="K9" s="14">
        <v>72100</v>
      </c>
      <c r="L9" s="14">
        <v>72100</v>
      </c>
      <c r="M9" s="14">
        <v>72100</v>
      </c>
      <c r="N9" s="14">
        <v>72100</v>
      </c>
      <c r="O9" s="15">
        <f>SUM(C9:N9)</f>
        <v>856800</v>
      </c>
    </row>
    <row r="10" spans="1:15" ht="15" customHeight="1" x14ac:dyDescent="0.2">
      <c r="A10" s="12"/>
      <c r="B10" s="13" t="s">
        <v>119</v>
      </c>
      <c r="C10" s="17"/>
      <c r="D10" s="17"/>
      <c r="E10" s="17"/>
      <c r="F10" s="17"/>
      <c r="G10" s="17"/>
      <c r="H10" s="17"/>
      <c r="I10" s="17"/>
      <c r="J10" s="17"/>
      <c r="K10" s="17"/>
      <c r="L10" s="17"/>
      <c r="M10" s="17"/>
      <c r="N10" s="17"/>
      <c r="O10" s="18">
        <f>SUM(C10:N10)</f>
        <v>0</v>
      </c>
    </row>
    <row r="11" spans="1:15" ht="15" customHeight="1" x14ac:dyDescent="0.2">
      <c r="A11" s="12"/>
      <c r="B11" s="13" t="s">
        <v>120</v>
      </c>
      <c r="C11" s="147">
        <v>3500</v>
      </c>
      <c r="D11" s="147">
        <v>4900</v>
      </c>
      <c r="E11" s="147">
        <v>4900</v>
      </c>
      <c r="F11" s="147">
        <v>4900</v>
      </c>
      <c r="G11" s="147">
        <v>5047</v>
      </c>
      <c r="H11" s="147">
        <v>5047</v>
      </c>
      <c r="I11" s="147">
        <v>5047</v>
      </c>
      <c r="J11" s="147">
        <v>6489</v>
      </c>
      <c r="K11" s="147">
        <v>6489</v>
      </c>
      <c r="L11" s="147">
        <v>6489</v>
      </c>
      <c r="M11" s="147">
        <v>6489</v>
      </c>
      <c r="N11" s="147">
        <v>6489</v>
      </c>
      <c r="O11" s="18">
        <f>SUM(C11:N11)</f>
        <v>65786</v>
      </c>
    </row>
    <row r="12" spans="1:15" ht="15" hidden="1" customHeight="1" x14ac:dyDescent="0.2">
      <c r="A12" s="12"/>
      <c r="B12" s="13" t="s">
        <v>121</v>
      </c>
      <c r="C12" s="17"/>
      <c r="D12" s="17"/>
      <c r="E12" s="17"/>
      <c r="F12" s="17"/>
      <c r="G12" s="17"/>
      <c r="H12" s="17"/>
      <c r="I12" s="17"/>
      <c r="J12" s="147"/>
      <c r="K12" s="147"/>
      <c r="L12" s="147"/>
      <c r="M12" s="147"/>
      <c r="N12" s="147"/>
      <c r="O12" s="18">
        <f>SUM(C12:N12)</f>
        <v>0</v>
      </c>
    </row>
    <row r="13" spans="1:15" ht="15" hidden="1" customHeight="1" x14ac:dyDescent="0.2">
      <c r="A13" s="12"/>
      <c r="B13" s="13" t="s">
        <v>122</v>
      </c>
      <c r="C13" s="17"/>
      <c r="D13" s="17"/>
      <c r="E13" s="17"/>
      <c r="F13" s="17"/>
      <c r="G13" s="17"/>
      <c r="H13" s="17"/>
      <c r="I13" s="17"/>
      <c r="J13" s="147"/>
      <c r="K13" s="147"/>
      <c r="L13" s="147"/>
      <c r="M13" s="147"/>
      <c r="N13" s="147"/>
      <c r="O13" s="18">
        <f t="shared" ref="O13:O31" si="0">SUM(C13:N13)</f>
        <v>0</v>
      </c>
    </row>
    <row r="14" spans="1:15" ht="15" customHeight="1" x14ac:dyDescent="0.2">
      <c r="A14" s="12"/>
      <c r="B14" s="13" t="s">
        <v>123</v>
      </c>
      <c r="C14" s="147">
        <v>3780</v>
      </c>
      <c r="D14" s="147">
        <v>3852</v>
      </c>
      <c r="E14" s="147">
        <v>3852</v>
      </c>
      <c r="F14" s="147">
        <v>3852</v>
      </c>
      <c r="G14" s="147">
        <v>3852</v>
      </c>
      <c r="H14" s="147">
        <v>3852</v>
      </c>
      <c r="I14" s="147">
        <v>3852</v>
      </c>
      <c r="J14" s="147">
        <v>3924</v>
      </c>
      <c r="K14" s="147">
        <v>3924</v>
      </c>
      <c r="L14" s="147">
        <v>3924</v>
      </c>
      <c r="M14" s="147">
        <v>3924</v>
      </c>
      <c r="N14" s="147">
        <v>3924</v>
      </c>
      <c r="O14" s="18">
        <f t="shared" si="0"/>
        <v>46512</v>
      </c>
    </row>
    <row r="15" spans="1:15" ht="15" hidden="1" customHeight="1" x14ac:dyDescent="0.2">
      <c r="A15" s="12"/>
      <c r="B15" s="13" t="s">
        <v>124</v>
      </c>
      <c r="C15" s="17"/>
      <c r="D15" s="17"/>
      <c r="E15" s="17"/>
      <c r="F15" s="17"/>
      <c r="G15" s="17"/>
      <c r="H15" s="17"/>
      <c r="I15" s="17"/>
      <c r="J15" s="147"/>
      <c r="K15" s="147"/>
      <c r="L15" s="147"/>
      <c r="M15" s="147"/>
      <c r="N15" s="147"/>
      <c r="O15" s="18">
        <f t="shared" si="0"/>
        <v>0</v>
      </c>
    </row>
    <row r="16" spans="1:15" ht="15" hidden="1" customHeight="1" x14ac:dyDescent="0.2">
      <c r="A16" s="12"/>
      <c r="B16" s="13" t="s">
        <v>405</v>
      </c>
      <c r="C16" s="17"/>
      <c r="D16" s="17"/>
      <c r="E16" s="17"/>
      <c r="F16" s="17"/>
      <c r="G16" s="17"/>
      <c r="H16" s="17"/>
      <c r="I16" s="17"/>
      <c r="J16" s="147"/>
      <c r="K16" s="147"/>
      <c r="L16" s="147"/>
      <c r="M16" s="147"/>
      <c r="N16" s="147"/>
      <c r="O16" s="18">
        <f t="shared" si="0"/>
        <v>0</v>
      </c>
    </row>
    <row r="17" spans="1:15" ht="15" customHeight="1" x14ac:dyDescent="0.2">
      <c r="A17" s="12"/>
      <c r="B17" s="166" t="s">
        <v>280</v>
      </c>
      <c r="C17" s="17"/>
      <c r="D17" s="17"/>
      <c r="E17" s="17"/>
      <c r="F17" s="17"/>
      <c r="G17" s="17"/>
      <c r="H17" s="17"/>
      <c r="I17" s="17"/>
      <c r="J17" s="147"/>
      <c r="K17" s="147"/>
      <c r="L17" s="147"/>
      <c r="M17" s="147"/>
      <c r="N17" s="147"/>
      <c r="O17" s="18">
        <f t="shared" si="0"/>
        <v>0</v>
      </c>
    </row>
    <row r="18" spans="1:15" ht="15" hidden="1" customHeight="1" x14ac:dyDescent="0.2">
      <c r="A18" s="12"/>
      <c r="B18" s="13" t="s">
        <v>609</v>
      </c>
      <c r="C18" s="17"/>
      <c r="D18" s="17"/>
      <c r="E18" s="17"/>
      <c r="F18" s="17"/>
      <c r="G18" s="17"/>
      <c r="H18" s="17"/>
      <c r="I18" s="17"/>
      <c r="J18" s="147"/>
      <c r="K18" s="147"/>
      <c r="L18" s="147"/>
      <c r="M18" s="147"/>
      <c r="N18" s="147"/>
      <c r="O18" s="18">
        <f t="shared" si="0"/>
        <v>0</v>
      </c>
    </row>
    <row r="19" spans="1:15" ht="15" customHeight="1" x14ac:dyDescent="0.2">
      <c r="A19" s="12"/>
      <c r="B19" s="13" t="s">
        <v>128</v>
      </c>
      <c r="C19" s="147">
        <v>16800</v>
      </c>
      <c r="D19" s="147">
        <v>16800</v>
      </c>
      <c r="E19" s="147">
        <v>16800</v>
      </c>
      <c r="F19" s="147">
        <v>16800</v>
      </c>
      <c r="G19" s="147">
        <v>17304</v>
      </c>
      <c r="H19" s="147">
        <v>17304</v>
      </c>
      <c r="I19" s="147">
        <v>17304</v>
      </c>
      <c r="J19" s="147">
        <v>17304</v>
      </c>
      <c r="K19" s="147">
        <v>17304</v>
      </c>
      <c r="L19" s="147">
        <v>17304</v>
      </c>
      <c r="M19" s="147">
        <v>17304</v>
      </c>
      <c r="N19" s="147">
        <v>17304</v>
      </c>
      <c r="O19" s="18">
        <f t="shared" si="0"/>
        <v>205632</v>
      </c>
    </row>
    <row r="20" spans="1:15" ht="15" customHeight="1" x14ac:dyDescent="0.2">
      <c r="A20" s="12"/>
      <c r="B20" s="13" t="s">
        <v>129</v>
      </c>
      <c r="C20" s="28"/>
      <c r="D20" s="28"/>
      <c r="E20" s="147"/>
      <c r="F20" s="28"/>
      <c r="G20" s="28"/>
      <c r="H20" s="28"/>
      <c r="I20" s="28"/>
      <c r="J20" s="147"/>
      <c r="K20" s="147"/>
      <c r="L20" s="147"/>
      <c r="M20" s="147"/>
      <c r="N20" s="147"/>
      <c r="O20" s="18">
        <f t="shared" si="0"/>
        <v>0</v>
      </c>
    </row>
    <row r="21" spans="1:15" ht="15" hidden="1" customHeight="1" x14ac:dyDescent="0.2">
      <c r="A21" s="878" t="s">
        <v>130</v>
      </c>
      <c r="B21" s="19" t="s">
        <v>131</v>
      </c>
      <c r="C21" s="147"/>
      <c r="D21" s="147"/>
      <c r="E21" s="147"/>
      <c r="F21" s="147"/>
      <c r="G21" s="147"/>
      <c r="H21" s="147"/>
      <c r="I21" s="147"/>
      <c r="J21" s="147"/>
      <c r="K21" s="147"/>
      <c r="L21" s="147"/>
      <c r="M21" s="147"/>
      <c r="N21" s="147"/>
      <c r="O21" s="18">
        <f t="shared" si="0"/>
        <v>0</v>
      </c>
    </row>
    <row r="22" spans="1:15" ht="15" customHeight="1" x14ac:dyDescent="0.2">
      <c r="A22" s="879"/>
      <c r="B22" s="19" t="s">
        <v>132</v>
      </c>
      <c r="C22" s="147"/>
      <c r="D22" s="147"/>
      <c r="E22" s="147"/>
      <c r="F22" s="147"/>
      <c r="G22" s="147"/>
      <c r="H22" s="147"/>
      <c r="I22" s="147"/>
      <c r="J22" s="147">
        <v>6908</v>
      </c>
      <c r="K22" s="147"/>
      <c r="L22" s="147"/>
      <c r="M22" s="147"/>
      <c r="N22" s="147"/>
      <c r="O22" s="18">
        <f t="shared" si="0"/>
        <v>6908</v>
      </c>
    </row>
    <row r="23" spans="1:15" ht="15" customHeight="1" x14ac:dyDescent="0.2">
      <c r="A23" s="879"/>
      <c r="B23" s="19" t="s">
        <v>133</v>
      </c>
      <c r="C23" s="147"/>
      <c r="D23" s="147"/>
      <c r="E23" s="147"/>
      <c r="F23" s="147"/>
      <c r="G23" s="147"/>
      <c r="H23" s="147"/>
      <c r="I23" s="147"/>
      <c r="J23" s="147"/>
      <c r="K23" s="147"/>
      <c r="L23" s="147"/>
      <c r="M23" s="147"/>
      <c r="N23" s="147"/>
      <c r="O23" s="18">
        <f t="shared" si="0"/>
        <v>0</v>
      </c>
    </row>
    <row r="24" spans="1:15" ht="15" hidden="1" customHeight="1" x14ac:dyDescent="0.2">
      <c r="A24" s="879"/>
      <c r="B24" s="19" t="s">
        <v>134</v>
      </c>
      <c r="C24" s="147"/>
      <c r="D24" s="147"/>
      <c r="E24" s="147"/>
      <c r="F24" s="147"/>
      <c r="G24" s="147"/>
      <c r="H24" s="147"/>
      <c r="I24" s="147"/>
      <c r="J24" s="147"/>
      <c r="K24" s="147"/>
      <c r="L24" s="147"/>
      <c r="M24" s="147"/>
      <c r="N24" s="147"/>
      <c r="O24" s="18">
        <f t="shared" si="0"/>
        <v>0</v>
      </c>
    </row>
    <row r="25" spans="1:15" ht="15" hidden="1" customHeight="1" x14ac:dyDescent="0.2">
      <c r="A25" s="879"/>
      <c r="B25" s="19" t="s">
        <v>135</v>
      </c>
      <c r="C25" s="147"/>
      <c r="D25" s="147"/>
      <c r="E25" s="147"/>
      <c r="F25" s="147"/>
      <c r="G25" s="147"/>
      <c r="H25" s="147"/>
      <c r="I25" s="147"/>
      <c r="J25" s="147"/>
      <c r="K25" s="147"/>
      <c r="L25" s="147"/>
      <c r="M25" s="147"/>
      <c r="N25" s="147"/>
      <c r="O25" s="18">
        <f t="shared" si="0"/>
        <v>0</v>
      </c>
    </row>
    <row r="26" spans="1:15" ht="15" hidden="1" customHeight="1" x14ac:dyDescent="0.2">
      <c r="A26" s="879"/>
      <c r="B26" s="19" t="s">
        <v>136</v>
      </c>
      <c r="C26" s="147"/>
      <c r="D26" s="147"/>
      <c r="E26" s="147"/>
      <c r="F26" s="147"/>
      <c r="G26" s="147"/>
      <c r="H26" s="147"/>
      <c r="I26" s="147"/>
      <c r="J26" s="147"/>
      <c r="K26" s="147"/>
      <c r="L26" s="147"/>
      <c r="M26" s="147"/>
      <c r="N26" s="147"/>
      <c r="O26" s="18">
        <f t="shared" si="0"/>
        <v>0</v>
      </c>
    </row>
    <row r="27" spans="1:15" ht="15" hidden="1" customHeight="1" x14ac:dyDescent="0.2">
      <c r="A27" s="879"/>
      <c r="B27" s="19" t="s">
        <v>137</v>
      </c>
      <c r="C27" s="147"/>
      <c r="D27" s="147"/>
      <c r="E27" s="147"/>
      <c r="F27" s="147"/>
      <c r="G27" s="147"/>
      <c r="H27" s="147"/>
      <c r="I27" s="147"/>
      <c r="J27" s="147"/>
      <c r="K27" s="147"/>
      <c r="L27" s="147"/>
      <c r="M27" s="147"/>
      <c r="N27" s="147"/>
      <c r="O27" s="18">
        <f t="shared" si="0"/>
        <v>0</v>
      </c>
    </row>
    <row r="28" spans="1:15" ht="15" hidden="1" customHeight="1" x14ac:dyDescent="0.2">
      <c r="A28" s="879"/>
      <c r="B28" s="19" t="s">
        <v>138</v>
      </c>
      <c r="C28" s="147"/>
      <c r="D28" s="147"/>
      <c r="E28" s="147"/>
      <c r="F28" s="147"/>
      <c r="G28" s="147"/>
      <c r="H28" s="147"/>
      <c r="I28" s="147"/>
      <c r="J28" s="147"/>
      <c r="K28" s="147"/>
      <c r="L28" s="147"/>
      <c r="M28" s="147"/>
      <c r="N28" s="147"/>
      <c r="O28" s="18">
        <f t="shared" si="0"/>
        <v>0</v>
      </c>
    </row>
    <row r="29" spans="1:15" ht="15" hidden="1" customHeight="1" x14ac:dyDescent="0.2">
      <c r="A29" s="879"/>
      <c r="B29" s="19" t="s">
        <v>139</v>
      </c>
      <c r="C29" s="147"/>
      <c r="D29" s="147"/>
      <c r="E29" s="147"/>
      <c r="F29" s="147"/>
      <c r="G29" s="147"/>
      <c r="H29" s="147"/>
      <c r="I29" s="147"/>
      <c r="J29" s="147"/>
      <c r="K29" s="147"/>
      <c r="L29" s="147"/>
      <c r="M29" s="147"/>
      <c r="N29" s="147"/>
      <c r="O29" s="18">
        <f t="shared" si="0"/>
        <v>0</v>
      </c>
    </row>
    <row r="30" spans="1:15" ht="15" hidden="1" customHeight="1" x14ac:dyDescent="0.2">
      <c r="A30" s="879"/>
      <c r="B30" s="19" t="s">
        <v>140</v>
      </c>
      <c r="C30" s="147"/>
      <c r="D30" s="147"/>
      <c r="E30" s="147"/>
      <c r="F30" s="147"/>
      <c r="G30" s="147"/>
      <c r="H30" s="147"/>
      <c r="I30" s="147"/>
      <c r="J30" s="147"/>
      <c r="K30" s="147"/>
      <c r="L30" s="147"/>
      <c r="M30" s="147"/>
      <c r="N30" s="147"/>
      <c r="O30" s="18">
        <f t="shared" si="0"/>
        <v>0</v>
      </c>
    </row>
    <row r="31" spans="1:15" ht="15" hidden="1" customHeight="1" x14ac:dyDescent="0.2">
      <c r="A31" s="879"/>
      <c r="B31" s="19" t="s">
        <v>225</v>
      </c>
      <c r="C31" s="147"/>
      <c r="D31" s="147"/>
      <c r="E31" s="147"/>
      <c r="F31" s="147"/>
      <c r="G31" s="147"/>
      <c r="H31" s="147"/>
      <c r="I31" s="147"/>
      <c r="J31" s="147"/>
      <c r="K31" s="147"/>
      <c r="L31" s="147"/>
      <c r="M31" s="147"/>
      <c r="N31" s="147"/>
      <c r="O31" s="18">
        <f t="shared" si="0"/>
        <v>0</v>
      </c>
    </row>
    <row r="32" spans="1:15" ht="15" customHeight="1" x14ac:dyDescent="0.2">
      <c r="A32" s="879"/>
      <c r="B32" s="414" t="s">
        <v>252</v>
      </c>
      <c r="C32" s="147">
        <v>0</v>
      </c>
      <c r="D32" s="147">
        <v>0</v>
      </c>
      <c r="E32" s="147">
        <v>0</v>
      </c>
      <c r="F32" s="147">
        <v>0</v>
      </c>
      <c r="G32" s="147">
        <v>0</v>
      </c>
      <c r="H32" s="147">
        <v>0</v>
      </c>
      <c r="I32" s="147">
        <v>0</v>
      </c>
      <c r="J32" s="147">
        <v>0</v>
      </c>
      <c r="K32" s="147">
        <v>0</v>
      </c>
      <c r="L32" s="147">
        <v>26196</v>
      </c>
      <c r="M32" s="147">
        <v>0</v>
      </c>
      <c r="N32" s="147">
        <v>0</v>
      </c>
      <c r="O32" s="18">
        <f t="shared" ref="O32:O37" si="1">SUM(C32:N32)</f>
        <v>26196</v>
      </c>
    </row>
    <row r="33" spans="1:16" ht="15" customHeight="1" x14ac:dyDescent="0.2">
      <c r="A33" s="879"/>
      <c r="B33" s="21" t="s">
        <v>142</v>
      </c>
      <c r="C33" s="147"/>
      <c r="D33" s="147"/>
      <c r="E33" s="147"/>
      <c r="F33" s="147"/>
      <c r="G33" s="147"/>
      <c r="H33" s="147"/>
      <c r="I33" s="147"/>
      <c r="J33" s="147"/>
      <c r="K33" s="147"/>
      <c r="L33" s="147"/>
      <c r="M33" s="147"/>
      <c r="N33" s="147"/>
      <c r="O33" s="18">
        <f t="shared" si="1"/>
        <v>0</v>
      </c>
    </row>
    <row r="34" spans="1:16" ht="15" hidden="1" customHeight="1" x14ac:dyDescent="0.2">
      <c r="A34" s="880"/>
      <c r="B34" s="19" t="s">
        <v>226</v>
      </c>
      <c r="C34" s="147"/>
      <c r="D34" s="147"/>
      <c r="E34" s="147"/>
      <c r="F34" s="147"/>
      <c r="G34" s="147"/>
      <c r="H34" s="147"/>
      <c r="I34" s="147"/>
      <c r="J34" s="147"/>
      <c r="K34" s="147"/>
      <c r="L34" s="147"/>
      <c r="M34" s="147"/>
      <c r="N34" s="147"/>
      <c r="O34" s="18">
        <f t="shared" si="1"/>
        <v>0</v>
      </c>
    </row>
    <row r="35" spans="1:16" ht="15" customHeight="1" x14ac:dyDescent="0.2">
      <c r="A35" s="865" t="s">
        <v>144</v>
      </c>
      <c r="B35" s="866"/>
      <c r="C35" s="147"/>
      <c r="D35" s="147"/>
      <c r="E35" s="147"/>
      <c r="F35" s="147"/>
      <c r="G35" s="147"/>
      <c r="H35" s="147"/>
      <c r="I35" s="147"/>
      <c r="J35" s="147"/>
      <c r="K35" s="147"/>
      <c r="L35" s="147"/>
      <c r="M35" s="147"/>
      <c r="N35" s="147"/>
      <c r="O35" s="18">
        <f t="shared" si="1"/>
        <v>0</v>
      </c>
    </row>
    <row r="36" spans="1:16" ht="15" customHeight="1" x14ac:dyDescent="0.2">
      <c r="A36" s="865" t="s">
        <v>145</v>
      </c>
      <c r="B36" s="866"/>
      <c r="C36" s="28"/>
      <c r="D36" s="28">
        <v>216</v>
      </c>
      <c r="E36" s="147"/>
      <c r="F36" s="28"/>
      <c r="G36" s="28"/>
      <c r="H36" s="28"/>
      <c r="I36" s="28"/>
      <c r="J36" s="28">
        <v>216</v>
      </c>
      <c r="K36" s="28"/>
      <c r="L36" s="28"/>
      <c r="M36" s="28"/>
      <c r="N36" s="28"/>
      <c r="O36" s="18">
        <f t="shared" si="1"/>
        <v>432</v>
      </c>
    </row>
    <row r="37" spans="1:16" ht="15" customHeight="1" x14ac:dyDescent="0.2">
      <c r="A37" s="865" t="s">
        <v>146</v>
      </c>
      <c r="B37" s="866"/>
      <c r="C37" s="28"/>
      <c r="D37" s="28">
        <v>4200</v>
      </c>
      <c r="E37" s="147"/>
      <c r="F37" s="147"/>
      <c r="G37" s="147"/>
      <c r="H37" s="147"/>
      <c r="I37" s="147"/>
      <c r="J37" s="147">
        <v>4326</v>
      </c>
      <c r="K37" s="147"/>
      <c r="L37" s="147"/>
      <c r="M37" s="147"/>
      <c r="N37" s="39"/>
      <c r="O37" s="18">
        <f t="shared" si="1"/>
        <v>8526</v>
      </c>
    </row>
    <row r="38" spans="1:16" ht="15" customHeight="1" x14ac:dyDescent="0.2">
      <c r="A38" s="22"/>
      <c r="B38" s="23" t="s">
        <v>147</v>
      </c>
      <c r="C38" s="24">
        <f t="shared" ref="C38:N38" si="2">SUM(C9:C37)</f>
        <v>94080</v>
      </c>
      <c r="D38" s="24">
        <f t="shared" si="2"/>
        <v>99968</v>
      </c>
      <c r="E38" s="24">
        <f t="shared" si="2"/>
        <v>95552</v>
      </c>
      <c r="F38" s="24">
        <f t="shared" si="2"/>
        <v>95552</v>
      </c>
      <c r="G38" s="24">
        <f t="shared" si="2"/>
        <v>98303</v>
      </c>
      <c r="H38" s="24">
        <f t="shared" si="2"/>
        <v>98303</v>
      </c>
      <c r="I38" s="24">
        <f t="shared" si="2"/>
        <v>98303</v>
      </c>
      <c r="J38" s="24">
        <f t="shared" si="2"/>
        <v>111267</v>
      </c>
      <c r="K38" s="24">
        <f t="shared" si="2"/>
        <v>99817</v>
      </c>
      <c r="L38" s="24">
        <f t="shared" si="2"/>
        <v>126013</v>
      </c>
      <c r="M38" s="24">
        <f t="shared" si="2"/>
        <v>99817</v>
      </c>
      <c r="N38" s="24">
        <f t="shared" si="2"/>
        <v>99817</v>
      </c>
      <c r="O38" s="25">
        <f t="shared" ref="O38:O51" si="3">SUM(C38:N38)</f>
        <v>1216792</v>
      </c>
    </row>
    <row r="39" spans="1:16" ht="15" customHeight="1" x14ac:dyDescent="0.25">
      <c r="A39" s="853" t="s">
        <v>148</v>
      </c>
      <c r="B39" s="27" t="s">
        <v>149</v>
      </c>
      <c r="C39" s="28">
        <v>10000</v>
      </c>
      <c r="D39" s="28">
        <v>10000</v>
      </c>
      <c r="E39" s="28">
        <v>10000</v>
      </c>
      <c r="F39" s="28">
        <v>10000</v>
      </c>
      <c r="G39" s="28">
        <v>10000</v>
      </c>
      <c r="H39" s="28">
        <v>10000</v>
      </c>
      <c r="I39" s="28">
        <v>10000</v>
      </c>
      <c r="J39" s="28">
        <v>10000</v>
      </c>
      <c r="K39" s="28">
        <v>9000</v>
      </c>
      <c r="L39" s="28">
        <v>6725</v>
      </c>
      <c r="M39" s="28">
        <v>9420</v>
      </c>
      <c r="N39">
        <v>10650</v>
      </c>
      <c r="O39" s="18">
        <f t="shared" si="3"/>
        <v>115795</v>
      </c>
    </row>
    <row r="40" spans="1:16" ht="15" customHeight="1" x14ac:dyDescent="0.2">
      <c r="A40" s="854"/>
      <c r="B40" s="27" t="s">
        <v>150</v>
      </c>
      <c r="C40" s="147"/>
      <c r="D40" s="147"/>
      <c r="E40" s="147"/>
      <c r="F40" s="147"/>
      <c r="G40" s="147"/>
      <c r="H40" s="147"/>
      <c r="I40" s="147"/>
      <c r="J40" s="147"/>
      <c r="K40" s="147"/>
      <c r="L40" s="147"/>
      <c r="M40" s="147"/>
      <c r="N40" s="147"/>
      <c r="O40" s="18">
        <f t="shared" si="3"/>
        <v>0</v>
      </c>
    </row>
    <row r="41" spans="1:16" ht="15" customHeight="1" x14ac:dyDescent="0.2">
      <c r="A41" s="854"/>
      <c r="B41" s="27" t="s">
        <v>151</v>
      </c>
      <c r="C41" s="147">
        <v>60</v>
      </c>
      <c r="D41" s="147">
        <v>60</v>
      </c>
      <c r="E41" s="147">
        <v>60</v>
      </c>
      <c r="F41" s="147">
        <v>60</v>
      </c>
      <c r="G41" s="147">
        <v>60</v>
      </c>
      <c r="H41" s="147">
        <v>60</v>
      </c>
      <c r="I41" s="147">
        <v>60</v>
      </c>
      <c r="J41" s="147">
        <v>60</v>
      </c>
      <c r="K41" s="147">
        <v>60</v>
      </c>
      <c r="L41" s="147">
        <v>60</v>
      </c>
      <c r="M41" s="147">
        <v>60</v>
      </c>
      <c r="N41" s="147">
        <v>60</v>
      </c>
      <c r="O41" s="18">
        <f t="shared" si="3"/>
        <v>720</v>
      </c>
      <c r="P41" s="284"/>
    </row>
    <row r="42" spans="1:16" ht="15" hidden="1" customHeight="1" x14ac:dyDescent="0.2">
      <c r="A42" s="854"/>
      <c r="B42" s="27" t="s">
        <v>152</v>
      </c>
      <c r="C42" s="147"/>
      <c r="D42" s="147"/>
      <c r="E42" s="147"/>
      <c r="F42" s="147"/>
      <c r="G42" s="147"/>
      <c r="H42" s="147"/>
      <c r="I42" s="147"/>
      <c r="J42" s="147"/>
      <c r="K42" s="147"/>
      <c r="L42" s="147"/>
      <c r="M42" s="147"/>
      <c r="N42" s="147"/>
      <c r="O42" s="18">
        <f t="shared" si="3"/>
        <v>0</v>
      </c>
    </row>
    <row r="43" spans="1:16" ht="15" customHeight="1" x14ac:dyDescent="0.2">
      <c r="A43" s="854"/>
      <c r="B43" s="27" t="s">
        <v>153</v>
      </c>
      <c r="C43" s="28"/>
      <c r="D43" s="28"/>
      <c r="E43" s="28"/>
      <c r="F43" s="28"/>
      <c r="G43" s="28"/>
      <c r="H43" s="28"/>
      <c r="I43" s="28"/>
      <c r="J43" s="28"/>
      <c r="K43" s="28"/>
      <c r="L43" s="28"/>
      <c r="M43" s="28"/>
      <c r="N43" s="28"/>
      <c r="O43" s="18">
        <f t="shared" si="3"/>
        <v>0</v>
      </c>
    </row>
    <row r="44" spans="1:16" ht="15" customHeight="1" x14ac:dyDescent="0.2">
      <c r="A44" s="854"/>
      <c r="B44" s="27" t="s">
        <v>154</v>
      </c>
      <c r="C44" s="28">
        <v>20000</v>
      </c>
      <c r="D44" s="28">
        <v>20000</v>
      </c>
      <c r="E44" s="28">
        <v>20000</v>
      </c>
      <c r="F44" s="28">
        <v>20000</v>
      </c>
      <c r="G44" s="28">
        <v>20000</v>
      </c>
      <c r="H44" s="28">
        <v>20000</v>
      </c>
      <c r="I44" s="28">
        <v>20000</v>
      </c>
      <c r="J44" s="28">
        <v>20000</v>
      </c>
      <c r="K44" s="28">
        <v>20000</v>
      </c>
      <c r="L44" s="28">
        <v>20000</v>
      </c>
      <c r="M44" s="28">
        <v>20000</v>
      </c>
      <c r="N44" s="28">
        <v>20000</v>
      </c>
      <c r="O44" s="18">
        <f t="shared" si="3"/>
        <v>240000</v>
      </c>
    </row>
    <row r="45" spans="1:16" ht="15" customHeight="1" x14ac:dyDescent="0.2">
      <c r="A45" s="854"/>
      <c r="B45" s="27" t="s">
        <v>155</v>
      </c>
      <c r="C45" s="28">
        <v>200</v>
      </c>
      <c r="D45" s="28">
        <v>200</v>
      </c>
      <c r="E45" s="28">
        <v>200</v>
      </c>
      <c r="F45" s="28">
        <v>200</v>
      </c>
      <c r="G45" s="28">
        <v>200</v>
      </c>
      <c r="H45" s="28">
        <v>200</v>
      </c>
      <c r="I45" s="28">
        <v>200</v>
      </c>
      <c r="J45" s="28">
        <v>200</v>
      </c>
      <c r="K45" s="28">
        <v>200</v>
      </c>
      <c r="L45" s="28">
        <v>200</v>
      </c>
      <c r="M45" s="28">
        <v>200</v>
      </c>
      <c r="N45" s="28">
        <v>300</v>
      </c>
      <c r="O45" s="18">
        <f t="shared" si="3"/>
        <v>2500</v>
      </c>
    </row>
    <row r="46" spans="1:16" ht="15" customHeight="1" x14ac:dyDescent="0.2">
      <c r="A46" s="854"/>
      <c r="B46" s="27" t="s">
        <v>156</v>
      </c>
      <c r="C46" s="28"/>
      <c r="D46" s="28"/>
      <c r="E46" s="28"/>
      <c r="F46" s="28"/>
      <c r="G46" s="28"/>
      <c r="H46" s="28"/>
      <c r="I46" s="28"/>
      <c r="J46" s="28"/>
      <c r="K46" s="28"/>
      <c r="L46" s="28"/>
      <c r="M46" s="28"/>
      <c r="N46" s="28"/>
      <c r="O46" s="18">
        <f t="shared" si="3"/>
        <v>0</v>
      </c>
    </row>
    <row r="47" spans="1:16" ht="15" customHeight="1" x14ac:dyDescent="0.2">
      <c r="A47" s="854"/>
      <c r="B47" s="27" t="s">
        <v>157</v>
      </c>
      <c r="C47" s="28"/>
      <c r="D47" s="28"/>
      <c r="E47" s="28"/>
      <c r="F47" s="28"/>
      <c r="G47" s="28"/>
      <c r="H47" s="28"/>
      <c r="I47" s="28"/>
      <c r="J47" s="28"/>
      <c r="K47" s="28"/>
      <c r="L47" s="28"/>
      <c r="M47" s="28"/>
      <c r="N47" s="28"/>
      <c r="O47" s="18">
        <f t="shared" si="3"/>
        <v>0</v>
      </c>
    </row>
    <row r="48" spans="1:16" ht="22.5" x14ac:dyDescent="0.2">
      <c r="A48" s="855"/>
      <c r="B48" s="415" t="s">
        <v>158</v>
      </c>
      <c r="C48" s="256"/>
      <c r="D48" s="28"/>
      <c r="E48" s="28"/>
      <c r="F48" s="28"/>
      <c r="G48" s="28"/>
      <c r="H48" s="28"/>
      <c r="I48" s="28"/>
      <c r="J48" s="28"/>
      <c r="K48" s="28"/>
      <c r="L48" s="28"/>
      <c r="M48" s="28"/>
      <c r="N48" s="28"/>
      <c r="O48" s="31">
        <f t="shared" si="3"/>
        <v>0</v>
      </c>
    </row>
    <row r="49" spans="1:19" ht="15" x14ac:dyDescent="0.2">
      <c r="A49" s="856"/>
      <c r="B49" s="127" t="s">
        <v>1205</v>
      </c>
      <c r="C49" s="293"/>
      <c r="D49" s="28"/>
      <c r="E49" s="28"/>
      <c r="F49" s="28"/>
      <c r="G49" s="28"/>
      <c r="H49" s="28"/>
      <c r="I49" s="28"/>
      <c r="J49" s="28"/>
      <c r="K49" s="28"/>
      <c r="L49" s="28"/>
      <c r="M49" s="28"/>
      <c r="N49" s="28"/>
      <c r="O49" s="31">
        <f t="shared" si="3"/>
        <v>0</v>
      </c>
    </row>
    <row r="50" spans="1:19" ht="15" customHeight="1" x14ac:dyDescent="0.2">
      <c r="A50" s="857" t="s">
        <v>160</v>
      </c>
      <c r="B50" s="858"/>
      <c r="C50" s="33">
        <f t="shared" ref="C50:N50" si="4">SUM(C39:C49)</f>
        <v>30260</v>
      </c>
      <c r="D50" s="33">
        <f t="shared" si="4"/>
        <v>30260</v>
      </c>
      <c r="E50" s="33">
        <f t="shared" si="4"/>
        <v>30260</v>
      </c>
      <c r="F50" s="33">
        <f t="shared" si="4"/>
        <v>30260</v>
      </c>
      <c r="G50" s="33">
        <f t="shared" si="4"/>
        <v>30260</v>
      </c>
      <c r="H50" s="33">
        <f t="shared" si="4"/>
        <v>30260</v>
      </c>
      <c r="I50" s="33">
        <f t="shared" si="4"/>
        <v>30260</v>
      </c>
      <c r="J50" s="33">
        <f t="shared" si="4"/>
        <v>30260</v>
      </c>
      <c r="K50" s="33">
        <f t="shared" si="4"/>
        <v>29260</v>
      </c>
      <c r="L50" s="33">
        <f t="shared" si="4"/>
        <v>26985</v>
      </c>
      <c r="M50" s="33">
        <f t="shared" si="4"/>
        <v>29680</v>
      </c>
      <c r="N50" s="33">
        <f t="shared" si="4"/>
        <v>31010</v>
      </c>
      <c r="O50" s="34">
        <f t="shared" si="3"/>
        <v>359015</v>
      </c>
    </row>
    <row r="51" spans="1:19" ht="15" customHeight="1" thickBot="1" x14ac:dyDescent="0.25">
      <c r="A51" s="859" t="s">
        <v>161</v>
      </c>
      <c r="B51" s="860"/>
      <c r="C51" s="35">
        <f t="shared" ref="C51:N51" si="5">C38-C50</f>
        <v>63820</v>
      </c>
      <c r="D51" s="35">
        <f t="shared" si="5"/>
        <v>69708</v>
      </c>
      <c r="E51" s="35">
        <f t="shared" si="5"/>
        <v>65292</v>
      </c>
      <c r="F51" s="35">
        <f t="shared" si="5"/>
        <v>65292</v>
      </c>
      <c r="G51" s="35">
        <f t="shared" si="5"/>
        <v>68043</v>
      </c>
      <c r="H51" s="35">
        <f t="shared" si="5"/>
        <v>68043</v>
      </c>
      <c r="I51" s="35">
        <f t="shared" si="5"/>
        <v>68043</v>
      </c>
      <c r="J51" s="35">
        <f t="shared" si="5"/>
        <v>81007</v>
      </c>
      <c r="K51" s="35">
        <f t="shared" si="5"/>
        <v>70557</v>
      </c>
      <c r="L51" s="35">
        <f t="shared" si="5"/>
        <v>99028</v>
      </c>
      <c r="M51" s="35">
        <f t="shared" si="5"/>
        <v>70137</v>
      </c>
      <c r="N51" s="35">
        <f t="shared" si="5"/>
        <v>68807</v>
      </c>
      <c r="O51" s="36">
        <f t="shared" si="3"/>
        <v>857777</v>
      </c>
    </row>
    <row r="52" spans="1:19" x14ac:dyDescent="0.2">
      <c r="J52" s="229">
        <f>+J38-SUM(J22:J37)</f>
        <v>99817</v>
      </c>
    </row>
    <row r="53" spans="1:19" ht="13.5" thickBot="1" x14ac:dyDescent="0.25">
      <c r="J53" s="38">
        <f>+J52-J50</f>
        <v>69557</v>
      </c>
    </row>
    <row r="54" spans="1:19" ht="13.5" thickBot="1" x14ac:dyDescent="0.25">
      <c r="B54" s="789" t="s">
        <v>162</v>
      </c>
      <c r="C54" s="861"/>
      <c r="D54" s="861"/>
      <c r="E54" s="861"/>
      <c r="F54" s="862"/>
      <c r="G54" s="863">
        <f>O38</f>
        <v>1216792</v>
      </c>
      <c r="H54" s="864"/>
      <c r="Q54" s="38"/>
    </row>
    <row r="55" spans="1:19" ht="13.5" thickBot="1" x14ac:dyDescent="0.25"/>
    <row r="56" spans="1:19" x14ac:dyDescent="0.2">
      <c r="B56" s="830" t="s">
        <v>163</v>
      </c>
      <c r="C56" s="833" t="s">
        <v>164</v>
      </c>
      <c r="D56" s="836" t="s">
        <v>229</v>
      </c>
      <c r="E56" s="837"/>
      <c r="F56" s="838"/>
      <c r="G56" s="839">
        <v>40000</v>
      </c>
      <c r="H56" s="840"/>
    </row>
    <row r="57" spans="1:19" x14ac:dyDescent="0.2">
      <c r="B57" s="831"/>
      <c r="C57" s="834"/>
      <c r="D57" s="841" t="s">
        <v>166</v>
      </c>
      <c r="E57" s="842"/>
      <c r="F57" s="843"/>
      <c r="G57" s="844">
        <f>+O45</f>
        <v>2500</v>
      </c>
      <c r="H57" s="845"/>
      <c r="I57" s="39"/>
      <c r="J57" s="846"/>
      <c r="K57" s="846"/>
      <c r="L57" s="846"/>
      <c r="M57" s="847"/>
      <c r="N57" s="847"/>
      <c r="O57" s="847"/>
    </row>
    <row r="58" spans="1:19" ht="13.5" thickBot="1" x14ac:dyDescent="0.25">
      <c r="B58" s="832"/>
      <c r="C58" s="835"/>
      <c r="D58" s="848" t="s">
        <v>266</v>
      </c>
      <c r="E58" s="849"/>
      <c r="F58" s="850"/>
      <c r="G58" s="851">
        <v>0</v>
      </c>
      <c r="H58" s="852"/>
      <c r="J58" s="47"/>
      <c r="K58" s="47"/>
      <c r="L58" s="47"/>
      <c r="M58" s="47"/>
      <c r="N58" s="47"/>
      <c r="O58" s="47"/>
    </row>
    <row r="59" spans="1:19" ht="13.5" thickBot="1" x14ac:dyDescent="0.25">
      <c r="B59" s="48"/>
      <c r="J59" s="47"/>
      <c r="K59" s="47"/>
      <c r="L59" s="47"/>
      <c r="M59" s="47"/>
      <c r="N59" s="47"/>
      <c r="O59" s="47"/>
    </row>
    <row r="60" spans="1:19" ht="13.5" thickBot="1" x14ac:dyDescent="0.25">
      <c r="B60" s="789" t="s">
        <v>168</v>
      </c>
      <c r="C60" s="790"/>
      <c r="D60" s="790"/>
      <c r="E60" s="790"/>
      <c r="F60" s="791"/>
      <c r="G60" s="825">
        <f>+G54-SUM(G56:H58)</f>
        <v>1174292</v>
      </c>
      <c r="H60" s="826"/>
      <c r="J60" s="827" t="s">
        <v>169</v>
      </c>
      <c r="K60" s="828"/>
      <c r="L60" s="828"/>
      <c r="M60" s="828"/>
      <c r="N60" s="828"/>
      <c r="O60" s="829"/>
    </row>
    <row r="61" spans="1:19" ht="13.5" thickBot="1" x14ac:dyDescent="0.25">
      <c r="B61" s="49"/>
      <c r="C61" s="50"/>
      <c r="D61" s="50"/>
      <c r="E61" s="50"/>
      <c r="F61" s="50"/>
      <c r="G61" s="45"/>
      <c r="H61" s="50"/>
      <c r="J61" s="129"/>
      <c r="K61" s="130"/>
      <c r="L61" s="130"/>
      <c r="M61" s="130"/>
      <c r="N61" s="130"/>
      <c r="O61" s="131"/>
    </row>
    <row r="62" spans="1:19" ht="13.5" thickBot="1" x14ac:dyDescent="0.25">
      <c r="B62" s="789" t="s">
        <v>170</v>
      </c>
      <c r="C62" s="790"/>
      <c r="D62" s="790"/>
      <c r="E62" s="790"/>
      <c r="F62" s="791"/>
      <c r="G62" s="805"/>
      <c r="H62" s="791"/>
      <c r="J62" s="129"/>
      <c r="K62" s="130"/>
      <c r="L62" s="130"/>
      <c r="M62" s="130"/>
      <c r="N62" s="130"/>
      <c r="O62" s="131"/>
    </row>
    <row r="63" spans="1:19" ht="12.75" customHeight="1" x14ac:dyDescent="0.2">
      <c r="B63" s="57" t="s">
        <v>171</v>
      </c>
      <c r="C63" s="806" t="s">
        <v>172</v>
      </c>
      <c r="D63" s="807"/>
      <c r="E63" s="807"/>
      <c r="F63" s="808"/>
      <c r="G63" s="809">
        <v>5125</v>
      </c>
      <c r="H63" s="809"/>
      <c r="I63" s="58"/>
      <c r="J63" s="810" t="s">
        <v>173</v>
      </c>
      <c r="K63" s="811"/>
      <c r="L63" s="811"/>
      <c r="M63" s="811"/>
      <c r="N63" s="811"/>
      <c r="O63" s="812"/>
      <c r="R63" s="59"/>
      <c r="S63" s="59"/>
    </row>
    <row r="64" spans="1:19" ht="13.5" thickBot="1" x14ac:dyDescent="0.25">
      <c r="D64" s="37"/>
      <c r="I64" s="58"/>
      <c r="J64" s="60" t="s">
        <v>1206</v>
      </c>
      <c r="K64" s="132"/>
      <c r="L64" s="132"/>
      <c r="M64" s="133"/>
      <c r="N64" s="133"/>
      <c r="O64" s="134"/>
      <c r="R64" s="59"/>
      <c r="S64" s="59"/>
    </row>
    <row r="65" spans="2:19" ht="13.5" thickBot="1" x14ac:dyDescent="0.25">
      <c r="B65" s="789" t="s">
        <v>175</v>
      </c>
      <c r="C65" s="790"/>
      <c r="D65" s="790"/>
      <c r="E65" s="790"/>
      <c r="F65" s="791"/>
      <c r="G65" s="805">
        <f>+G60-G63</f>
        <v>1169167</v>
      </c>
      <c r="H65" s="791"/>
      <c r="I65" s="63"/>
      <c r="J65" s="75" t="s">
        <v>648</v>
      </c>
      <c r="K65" s="39"/>
      <c r="L65" s="39"/>
      <c r="M65" s="39"/>
      <c r="N65" s="39"/>
      <c r="O65" s="65"/>
      <c r="Q65" s="59"/>
      <c r="R65" s="59"/>
      <c r="S65" s="59"/>
    </row>
    <row r="66" spans="2:19" ht="12.75" customHeight="1" x14ac:dyDescent="0.2">
      <c r="B66" s="48"/>
      <c r="C66" s="48"/>
      <c r="I66" s="63"/>
      <c r="J66" s="64"/>
      <c r="K66" s="39"/>
      <c r="L66" s="39"/>
      <c r="M66" s="39"/>
      <c r="N66" s="39"/>
      <c r="O66" s="65"/>
      <c r="Q66" s="59"/>
      <c r="R66" s="59"/>
      <c r="S66" s="59"/>
    </row>
    <row r="67" spans="2:19" x14ac:dyDescent="0.2">
      <c r="B67" s="66" t="s">
        <v>176</v>
      </c>
      <c r="C67" s="48"/>
      <c r="I67" s="63"/>
      <c r="J67" s="67"/>
      <c r="K67" s="68"/>
      <c r="L67" s="68"/>
      <c r="M67" s="68"/>
      <c r="N67" s="68"/>
      <c r="O67" s="69"/>
      <c r="Q67" s="59"/>
      <c r="R67" s="59"/>
      <c r="S67" s="59"/>
    </row>
    <row r="68" spans="2:19" ht="25.5" customHeight="1" thickBot="1" x14ac:dyDescent="0.25">
      <c r="B68" s="66"/>
      <c r="C68" s="48"/>
      <c r="G68" s="70" t="s">
        <v>177</v>
      </c>
      <c r="H68" s="70" t="s">
        <v>178</v>
      </c>
      <c r="I68" s="63"/>
      <c r="J68" s="810" t="s">
        <v>179</v>
      </c>
      <c r="K68" s="811"/>
      <c r="L68" s="71"/>
      <c r="M68" s="71"/>
      <c r="N68" s="71"/>
      <c r="O68" s="72"/>
      <c r="Q68" s="59"/>
      <c r="R68" s="59"/>
      <c r="S68" s="59"/>
    </row>
    <row r="69" spans="2:19" x14ac:dyDescent="0.2">
      <c r="B69" s="802" t="s">
        <v>180</v>
      </c>
      <c r="C69" s="821" t="s">
        <v>181</v>
      </c>
      <c r="D69" s="823" t="s">
        <v>182</v>
      </c>
      <c r="E69" s="824"/>
      <c r="F69" s="824"/>
      <c r="G69" s="73">
        <f>+O44</f>
        <v>240000</v>
      </c>
      <c r="H69" s="74">
        <f>+G69</f>
        <v>240000</v>
      </c>
      <c r="I69" s="63"/>
      <c r="J69" s="75" t="s">
        <v>183</v>
      </c>
      <c r="K69" s="58"/>
      <c r="L69" s="58"/>
      <c r="M69" s="58"/>
      <c r="N69" s="58"/>
      <c r="O69" s="76"/>
      <c r="Q69" s="59"/>
    </row>
    <row r="70" spans="2:19" x14ac:dyDescent="0.2">
      <c r="B70" s="803"/>
      <c r="C70" s="822"/>
      <c r="D70" s="782" t="s">
        <v>184</v>
      </c>
      <c r="E70" s="783"/>
      <c r="F70" s="783"/>
      <c r="G70" s="77">
        <f>+O48</f>
        <v>0</v>
      </c>
      <c r="H70" s="78">
        <f t="shared" ref="H70:H76" si="6">+G70</f>
        <v>0</v>
      </c>
      <c r="I70" s="63"/>
      <c r="J70" s="79"/>
      <c r="K70" s="68"/>
      <c r="L70" s="68"/>
      <c r="M70" s="68"/>
      <c r="N70" s="68"/>
      <c r="O70" s="69"/>
      <c r="Q70" s="59"/>
    </row>
    <row r="71" spans="2:19" ht="14.25" customHeight="1" x14ac:dyDescent="0.2">
      <c r="B71" s="803"/>
      <c r="C71" s="822"/>
      <c r="D71" s="819" t="s">
        <v>185</v>
      </c>
      <c r="E71" s="820"/>
      <c r="F71" s="820"/>
      <c r="G71" s="80">
        <f>O41</f>
        <v>720</v>
      </c>
      <c r="H71" s="78">
        <f t="shared" si="6"/>
        <v>720</v>
      </c>
      <c r="I71" s="63"/>
      <c r="J71" s="67"/>
      <c r="K71" s="68"/>
      <c r="L71" s="68"/>
      <c r="M71" s="68"/>
      <c r="N71" s="68"/>
      <c r="O71" s="69"/>
      <c r="Q71" s="59"/>
    </row>
    <row r="72" spans="2:19" x14ac:dyDescent="0.2">
      <c r="B72" s="803"/>
      <c r="C72" s="822"/>
      <c r="D72" s="782" t="s">
        <v>186</v>
      </c>
      <c r="E72" s="783"/>
      <c r="F72" s="783"/>
      <c r="G72" s="81">
        <v>0</v>
      </c>
      <c r="H72" s="78">
        <f t="shared" si="6"/>
        <v>0</v>
      </c>
      <c r="I72" s="63"/>
      <c r="J72" s="82" t="s">
        <v>187</v>
      </c>
      <c r="K72" s="71"/>
      <c r="L72" s="71"/>
      <c r="M72" s="71"/>
      <c r="N72" s="71"/>
      <c r="O72" s="72"/>
      <c r="Q72" s="59"/>
    </row>
    <row r="73" spans="2:19" x14ac:dyDescent="0.2">
      <c r="B73" s="803"/>
      <c r="C73" s="822"/>
      <c r="D73" s="782" t="s">
        <v>1207</v>
      </c>
      <c r="E73" s="783"/>
      <c r="F73" s="783"/>
      <c r="G73" s="80">
        <v>0</v>
      </c>
      <c r="H73" s="78">
        <f t="shared" si="6"/>
        <v>0</v>
      </c>
      <c r="I73" s="63"/>
      <c r="J73" s="75" t="s">
        <v>189</v>
      </c>
      <c r="K73" s="50"/>
      <c r="L73" s="50"/>
      <c r="M73" s="50"/>
      <c r="N73" s="50"/>
      <c r="O73" s="83">
        <v>0</v>
      </c>
    </row>
    <row r="74" spans="2:19" x14ac:dyDescent="0.2">
      <c r="B74" s="803"/>
      <c r="C74" s="822"/>
      <c r="D74" s="782" t="s">
        <v>190</v>
      </c>
      <c r="E74" s="783"/>
      <c r="F74" s="783"/>
      <c r="G74" s="84">
        <v>0</v>
      </c>
      <c r="H74" s="78">
        <f t="shared" si="6"/>
        <v>0</v>
      </c>
      <c r="I74" s="63"/>
      <c r="J74" s="64"/>
      <c r="K74" s="39"/>
      <c r="L74" s="39"/>
      <c r="M74" s="39"/>
      <c r="N74" s="39"/>
      <c r="O74" s="65"/>
    </row>
    <row r="75" spans="2:19" ht="12.75" customHeight="1" x14ac:dyDescent="0.2">
      <c r="B75" s="803"/>
      <c r="C75" s="822"/>
      <c r="D75" s="782" t="s">
        <v>191</v>
      </c>
      <c r="E75" s="783"/>
      <c r="F75" s="783"/>
      <c r="G75" s="81">
        <v>0</v>
      </c>
      <c r="H75" s="78">
        <v>0</v>
      </c>
      <c r="I75" s="58"/>
      <c r="J75" s="150"/>
      <c r="K75" s="50"/>
      <c r="L75" s="50"/>
      <c r="M75" s="50"/>
      <c r="N75" s="50"/>
      <c r="O75" s="83"/>
    </row>
    <row r="76" spans="2:19" x14ac:dyDescent="0.2">
      <c r="B76" s="803"/>
      <c r="C76" s="88" t="s">
        <v>192</v>
      </c>
      <c r="D76" s="1074" t="s">
        <v>1208</v>
      </c>
      <c r="E76" s="814"/>
      <c r="F76" s="814"/>
      <c r="G76" s="80">
        <v>0</v>
      </c>
      <c r="H76" s="78">
        <f t="shared" si="6"/>
        <v>0</v>
      </c>
      <c r="I76" s="58"/>
      <c r="J76" s="79"/>
      <c r="K76" s="39"/>
      <c r="L76" s="39"/>
      <c r="M76" s="39"/>
      <c r="N76" s="39"/>
      <c r="O76" s="65"/>
    </row>
    <row r="77" spans="2:19" ht="13.5" customHeight="1" thickBot="1" x14ac:dyDescent="0.25">
      <c r="B77" s="803"/>
      <c r="C77" s="88" t="s">
        <v>194</v>
      </c>
      <c r="D77" s="815" t="s">
        <v>195</v>
      </c>
      <c r="E77" s="815"/>
      <c r="F77" s="815"/>
      <c r="G77" s="89">
        <v>0</v>
      </c>
      <c r="H77" s="90">
        <f>+G77</f>
        <v>0</v>
      </c>
      <c r="I77" s="63"/>
      <c r="J77" s="67"/>
      <c r="K77" s="68"/>
      <c r="L77" s="68"/>
      <c r="M77" s="91"/>
      <c r="N77" s="91"/>
      <c r="O77" s="92"/>
      <c r="R77" s="59"/>
      <c r="S77" s="59"/>
    </row>
    <row r="78" spans="2:19" ht="12.75" customHeight="1" thickBot="1" x14ac:dyDescent="0.25">
      <c r="B78" s="803"/>
      <c r="C78" s="93"/>
      <c r="D78" s="94"/>
      <c r="E78" s="816" t="s">
        <v>117</v>
      </c>
      <c r="F78" s="817"/>
      <c r="G78" s="95">
        <f>SUM(G69:G77)</f>
        <v>240720</v>
      </c>
      <c r="H78" s="96">
        <f>IF(SUM(G69:G75)&lt;150000,SUM(G69:G75),150000)+IF(+G76&lt;20000,+G76,20000)</f>
        <v>150000</v>
      </c>
      <c r="I78" s="63"/>
      <c r="J78" s="140"/>
      <c r="K78" s="141"/>
      <c r="L78" s="141"/>
      <c r="M78" s="142"/>
      <c r="N78" s="142"/>
      <c r="O78" s="143"/>
      <c r="R78" s="59"/>
      <c r="S78" s="59"/>
    </row>
    <row r="79" spans="2:19" ht="12.75" customHeight="1" x14ac:dyDescent="0.2">
      <c r="B79" s="803"/>
      <c r="C79" s="100" t="s">
        <v>196</v>
      </c>
      <c r="D79" s="782" t="s">
        <v>187</v>
      </c>
      <c r="E79" s="783"/>
      <c r="F79" s="818"/>
      <c r="G79" s="73">
        <v>25000</v>
      </c>
      <c r="H79" s="73">
        <v>25000</v>
      </c>
      <c r="I79" s="87"/>
      <c r="R79" s="59"/>
      <c r="S79" s="59"/>
    </row>
    <row r="80" spans="2:19" x14ac:dyDescent="0.2">
      <c r="B80" s="803"/>
      <c r="C80" s="100" t="s">
        <v>197</v>
      </c>
      <c r="D80" s="784" t="s">
        <v>198</v>
      </c>
      <c r="E80" s="785"/>
      <c r="F80" s="786"/>
      <c r="G80" s="102"/>
      <c r="H80" s="222">
        <f>+IF(+G80&lt;40000,+G80,40000)</f>
        <v>0</v>
      </c>
      <c r="I80" s="63"/>
    </row>
    <row r="81" spans="2:13" x14ac:dyDescent="0.2">
      <c r="B81" s="803"/>
      <c r="C81" s="100" t="s">
        <v>199</v>
      </c>
      <c r="D81" s="784" t="s">
        <v>200</v>
      </c>
      <c r="E81" s="785"/>
      <c r="F81" s="786"/>
      <c r="G81" s="81"/>
      <c r="H81" s="104">
        <v>0</v>
      </c>
      <c r="I81" s="63"/>
      <c r="J81" s="416" t="s">
        <v>1209</v>
      </c>
      <c r="K81" s="416"/>
      <c r="L81" s="416"/>
      <c r="M81" s="416"/>
    </row>
    <row r="82" spans="2:13" x14ac:dyDescent="0.2">
      <c r="B82" s="803"/>
      <c r="C82" s="100" t="s">
        <v>201</v>
      </c>
      <c r="D82" s="784" t="s">
        <v>202</v>
      </c>
      <c r="E82" s="785"/>
      <c r="F82" s="786"/>
      <c r="G82" s="81"/>
      <c r="H82" s="104">
        <v>0</v>
      </c>
      <c r="I82" s="63"/>
    </row>
    <row r="83" spans="2:13" ht="13.5" thickBot="1" x14ac:dyDescent="0.25">
      <c r="B83" s="804"/>
      <c r="C83" s="100" t="s">
        <v>203</v>
      </c>
      <c r="D83" s="784" t="s">
        <v>204</v>
      </c>
      <c r="E83" s="785"/>
      <c r="F83" s="786"/>
      <c r="G83" s="102"/>
      <c r="H83" s="222">
        <f>+IF(+G83&lt;100000,+G83,10000)</f>
        <v>0</v>
      </c>
      <c r="I83" s="63"/>
    </row>
    <row r="84" spans="2:13" ht="13.5" thickBot="1" x14ac:dyDescent="0.25">
      <c r="B84" s="787" t="s">
        <v>205</v>
      </c>
      <c r="C84" s="788"/>
      <c r="D84" s="788"/>
      <c r="E84" s="788"/>
      <c r="F84" s="788"/>
      <c r="G84" s="107">
        <f>SUM(G79:G83)</f>
        <v>25000</v>
      </c>
      <c r="H84" s="108">
        <f>SUM(H78:H83)</f>
        <v>175000</v>
      </c>
    </row>
    <row r="85" spans="2:13" ht="13.5" thickBot="1" x14ac:dyDescent="0.25"/>
    <row r="86" spans="2:13" ht="13.5" thickBot="1" x14ac:dyDescent="0.25">
      <c r="B86" s="789" t="s">
        <v>206</v>
      </c>
      <c r="C86" s="790"/>
      <c r="D86" s="790"/>
      <c r="E86" s="790"/>
      <c r="F86" s="791"/>
      <c r="G86" s="1055">
        <f>ROUND(+G65-H84,-1)</f>
        <v>994170</v>
      </c>
      <c r="H86" s="1056"/>
      <c r="J86" s="109">
        <f>C38+D38+E38+F38</f>
        <v>385152</v>
      </c>
      <c r="K86" s="16" t="s">
        <v>235</v>
      </c>
    </row>
    <row r="87" spans="2:13" x14ac:dyDescent="0.2">
      <c r="B87" s="110"/>
      <c r="F87" s="105"/>
      <c r="J87" s="109">
        <f>G38+H38+I38</f>
        <v>294909</v>
      </c>
      <c r="K87" s="16" t="s">
        <v>236</v>
      </c>
    </row>
    <row r="88" spans="2:13" x14ac:dyDescent="0.2">
      <c r="C88" s="793" t="s">
        <v>207</v>
      </c>
      <c r="D88" s="794"/>
      <c r="E88" s="111" t="s">
        <v>208</v>
      </c>
      <c r="F88" s="111" t="s">
        <v>209</v>
      </c>
      <c r="G88" s="111" t="s">
        <v>210</v>
      </c>
      <c r="H88" s="111" t="s">
        <v>211</v>
      </c>
      <c r="J88" s="109">
        <f>J38+K38+L38</f>
        <v>337097</v>
      </c>
      <c r="K88" s="47" t="s">
        <v>237</v>
      </c>
    </row>
    <row r="89" spans="2:13" x14ac:dyDescent="0.2">
      <c r="C89" s="795" t="str">
        <f>IF(I6="M","0          - 250000","0          -  250000")</f>
        <v>0          - 250000</v>
      </c>
      <c r="D89" s="796"/>
      <c r="E89" s="112">
        <v>0</v>
      </c>
      <c r="F89" s="113">
        <f>IF(I6="M",(IF(G86&lt;250000,G86,250000)),(IF(G86&lt;250000,G86,250000)))</f>
        <v>250000</v>
      </c>
      <c r="G89" s="113">
        <f>G86-F89</f>
        <v>744170</v>
      </c>
      <c r="H89" s="113">
        <f>E89*F89</f>
        <v>0</v>
      </c>
      <c r="J89" s="16">
        <f>M38+N38</f>
        <v>199634</v>
      </c>
      <c r="K89" s="1" t="s">
        <v>238</v>
      </c>
    </row>
    <row r="90" spans="2:13" x14ac:dyDescent="0.2">
      <c r="C90" s="795" t="str">
        <f>IF(I6="M","250001 - 500000","250001-500000")</f>
        <v>250001 - 500000</v>
      </c>
      <c r="D90" s="796"/>
      <c r="E90" s="112">
        <v>0.05</v>
      </c>
      <c r="F90" s="113">
        <f>IF(I6="M",(IF(G89&lt;250000,G89,250000)),(IF(G89&lt;250000,G89,250000)))</f>
        <v>250000</v>
      </c>
      <c r="G90" s="113">
        <f>G89-F90</f>
        <v>494170</v>
      </c>
      <c r="H90" s="114">
        <f>ROUND(E90*F90,0.1)</f>
        <v>12500</v>
      </c>
      <c r="J90" s="115">
        <f>SUM(J86:J89)</f>
        <v>1216792</v>
      </c>
    </row>
    <row r="91" spans="2:13" x14ac:dyDescent="0.2">
      <c r="C91" s="797" t="s">
        <v>212</v>
      </c>
      <c r="D91" s="798"/>
      <c r="E91" s="112">
        <v>0.2</v>
      </c>
      <c r="F91" s="113">
        <f>IF(G90&lt;500000,G90,500000)</f>
        <v>494170</v>
      </c>
      <c r="G91" s="113">
        <f>G90-F91</f>
        <v>0</v>
      </c>
      <c r="H91" s="114">
        <f>ROUND(E91*F91,0.1)</f>
        <v>98834</v>
      </c>
      <c r="J91" s="16">
        <f>+G86</f>
        <v>994170</v>
      </c>
    </row>
    <row r="92" spans="2:13" x14ac:dyDescent="0.2">
      <c r="C92" s="795" t="s">
        <v>213</v>
      </c>
      <c r="D92" s="796"/>
      <c r="E92" s="112">
        <v>0.3</v>
      </c>
      <c r="F92" s="113">
        <f>G91</f>
        <v>0</v>
      </c>
      <c r="G92" s="113">
        <f>G91-F92</f>
        <v>0</v>
      </c>
      <c r="H92" s="114">
        <f>ROUND(E92*F92,0.1)</f>
        <v>0</v>
      </c>
      <c r="J92" s="16">
        <f>+J90-J91</f>
        <v>222622</v>
      </c>
    </row>
    <row r="93" spans="2:13" ht="13.5" thickBot="1" x14ac:dyDescent="0.25">
      <c r="B93" s="116"/>
      <c r="C93" s="117"/>
      <c r="D93" s="47"/>
      <c r="E93" s="47"/>
      <c r="F93" s="47"/>
      <c r="J93" s="16">
        <f>ROUND(+G86/12,0.1)</f>
        <v>82848</v>
      </c>
      <c r="K93" s="223" t="s">
        <v>416</v>
      </c>
    </row>
    <row r="94" spans="2:13" ht="14.25" customHeight="1" thickBot="1" x14ac:dyDescent="0.25">
      <c r="B94" s="799" t="s">
        <v>239</v>
      </c>
      <c r="C94" s="800"/>
      <c r="D94" s="800"/>
      <c r="E94" s="800"/>
      <c r="F94" s="801"/>
      <c r="G94" s="771">
        <f>H89+H90+H91+H92</f>
        <v>111334</v>
      </c>
      <c r="H94" s="772"/>
    </row>
    <row r="95" spans="2:13" ht="14.25" customHeight="1" thickBot="1" x14ac:dyDescent="0.25">
      <c r="B95" s="171" t="s">
        <v>215</v>
      </c>
      <c r="C95" s="155"/>
      <c r="D95" s="155"/>
      <c r="E95" s="155"/>
      <c r="F95" s="155"/>
      <c r="G95" s="1072">
        <f>IF((G65&lt;500000),5000,0)</f>
        <v>0</v>
      </c>
      <c r="H95" s="1073">
        <f>IF(H93&lt;200000,0,IF(H93&lt;220000,((H93-200000)*10%),IF(H93&lt;=500000,2000,IF(H93&gt;=500000,0))))</f>
        <v>0</v>
      </c>
    </row>
    <row r="96" spans="2:13" ht="14.25" customHeight="1" thickBot="1" x14ac:dyDescent="0.25">
      <c r="B96" s="122" t="s">
        <v>216</v>
      </c>
      <c r="C96" s="123"/>
      <c r="D96" s="123"/>
      <c r="E96" s="123"/>
      <c r="F96" s="123"/>
      <c r="G96" s="771">
        <f>IF((G94-G95)&lt;0,0,(G94-G95))</f>
        <v>111334</v>
      </c>
      <c r="H96" s="772"/>
    </row>
    <row r="97" spans="2:10" ht="14.25" customHeight="1" thickBot="1" x14ac:dyDescent="0.25">
      <c r="B97" s="773" t="s">
        <v>217</v>
      </c>
      <c r="C97" s="774"/>
      <c r="D97" s="774"/>
      <c r="E97" s="774"/>
      <c r="F97" s="775"/>
      <c r="G97" s="776">
        <f>ROUND((IF(G96&gt;0,(G96*4%),0)),0)</f>
        <v>4453</v>
      </c>
      <c r="H97" s="777"/>
    </row>
    <row r="98" spans="2:10" ht="14.25" customHeight="1" thickBot="1" x14ac:dyDescent="0.25">
      <c r="B98" s="778" t="s">
        <v>218</v>
      </c>
      <c r="C98" s="779"/>
      <c r="D98" s="779"/>
      <c r="E98" s="779"/>
      <c r="F98" s="779"/>
      <c r="G98" s="780">
        <f>+G96+G97</f>
        <v>115787</v>
      </c>
      <c r="H98" s="781"/>
    </row>
    <row r="99" spans="2:10" ht="13.5" thickBot="1" x14ac:dyDescent="0.25">
      <c r="B99" s="765" t="s">
        <v>219</v>
      </c>
      <c r="C99" s="766"/>
      <c r="D99" s="766"/>
      <c r="E99" s="766"/>
      <c r="F99" s="766"/>
      <c r="G99" s="767">
        <f>O39</f>
        <v>115795</v>
      </c>
      <c r="H99" s="768"/>
    </row>
    <row r="100" spans="2:10" ht="13.5" thickBot="1" x14ac:dyDescent="0.25">
      <c r="B100" s="765" t="str">
        <f>IF(G100&gt;0,"TAX PAYABLE","TAX REFUND")</f>
        <v>TAX REFUND</v>
      </c>
      <c r="C100" s="766"/>
      <c r="D100" s="766"/>
      <c r="E100" s="766"/>
      <c r="F100" s="766"/>
      <c r="G100" s="767">
        <f>+G98-G99</f>
        <v>-8</v>
      </c>
      <c r="H100" s="768"/>
    </row>
    <row r="101" spans="2:10" ht="13.5" thickBot="1" x14ac:dyDescent="0.25">
      <c r="B101" s="765"/>
      <c r="C101" s="766"/>
      <c r="D101" s="766"/>
      <c r="E101" s="766"/>
      <c r="F101" s="766"/>
      <c r="G101" s="767"/>
      <c r="H101" s="768"/>
    </row>
    <row r="102" spans="2:10" ht="13.5" thickBot="1" x14ac:dyDescent="0.25">
      <c r="B102" s="765"/>
      <c r="C102" s="766"/>
      <c r="D102" s="766"/>
      <c r="E102" s="766"/>
      <c r="F102" s="766"/>
      <c r="G102" s="767"/>
      <c r="H102" s="768"/>
    </row>
    <row r="103" spans="2:10" x14ac:dyDescent="0.2">
      <c r="C103" s="124"/>
      <c r="D103" s="45"/>
      <c r="E103" s="118"/>
      <c r="F103" s="118"/>
      <c r="G103" s="118"/>
      <c r="H103" s="118"/>
      <c r="I103" s="87"/>
      <c r="J103" s="87"/>
    </row>
    <row r="104" spans="2:10" x14ac:dyDescent="0.2">
      <c r="C104" s="47"/>
      <c r="D104" s="50"/>
      <c r="E104" s="117"/>
      <c r="F104" s="47"/>
      <c r="G104" s="47"/>
      <c r="H104" s="47"/>
      <c r="I104" s="87"/>
      <c r="J104" s="87"/>
    </row>
    <row r="105" spans="2:10" x14ac:dyDescent="0.2">
      <c r="C105" s="47"/>
      <c r="D105" s="50"/>
      <c r="E105" s="117"/>
      <c r="F105" s="47"/>
      <c r="G105" s="47"/>
      <c r="H105" s="47"/>
      <c r="I105" s="87"/>
      <c r="J105" s="87"/>
    </row>
    <row r="106" spans="2:10" x14ac:dyDescent="0.2">
      <c r="C106" s="63"/>
      <c r="D106" s="417"/>
      <c r="E106" s="417"/>
      <c r="F106" s="417"/>
      <c r="G106" s="63"/>
      <c r="H106" s="63"/>
      <c r="I106" s="87"/>
      <c r="J106" s="87"/>
    </row>
    <row r="107" spans="2:10" x14ac:dyDescent="0.2">
      <c r="C107" s="63"/>
      <c r="D107" s="417"/>
      <c r="E107" s="417"/>
      <c r="F107" s="63"/>
      <c r="G107" s="63"/>
      <c r="H107" s="63"/>
      <c r="I107" s="87"/>
      <c r="J107" s="87"/>
    </row>
    <row r="108" spans="2:10" x14ac:dyDescent="0.2">
      <c r="C108" s="39"/>
      <c r="D108" s="126"/>
      <c r="E108" s="126"/>
      <c r="F108" s="39"/>
      <c r="G108" s="39"/>
      <c r="H108" s="39"/>
    </row>
    <row r="109" spans="2:10" x14ac:dyDescent="0.2">
      <c r="C109" s="39"/>
      <c r="D109" s="39"/>
      <c r="E109" s="39"/>
      <c r="F109" s="39"/>
      <c r="G109" s="39"/>
      <c r="H109" s="39"/>
    </row>
    <row r="110" spans="2:10" x14ac:dyDescent="0.2">
      <c r="C110" s="39"/>
      <c r="D110" s="39"/>
      <c r="E110" s="39"/>
      <c r="F110" s="39"/>
      <c r="G110" s="39"/>
      <c r="H110" s="39"/>
    </row>
    <row r="111" spans="2:10" x14ac:dyDescent="0.2">
      <c r="C111" s="39"/>
      <c r="D111" s="39"/>
      <c r="E111" s="39"/>
      <c r="F111" s="39"/>
      <c r="G111" s="39"/>
      <c r="H111" s="39"/>
    </row>
    <row r="112" spans="2:10" x14ac:dyDescent="0.2">
      <c r="C112" s="124"/>
      <c r="D112" s="45"/>
      <c r="E112" s="118"/>
      <c r="F112" s="118"/>
      <c r="G112" s="118"/>
      <c r="H112" s="118"/>
      <c r="I112" s="87"/>
      <c r="J112" s="87"/>
    </row>
  </sheetData>
  <mergeCells count="97">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7:B37"/>
    <mergeCell ref="A5:C5"/>
    <mergeCell ref="D5:F5"/>
    <mergeCell ref="G5:H5"/>
    <mergeCell ref="I5:O5"/>
    <mergeCell ref="A6:C6"/>
    <mergeCell ref="D6:F6"/>
    <mergeCell ref="G6:H6"/>
    <mergeCell ref="J6:O6"/>
    <mergeCell ref="G7:O7"/>
    <mergeCell ref="A8:B8"/>
    <mergeCell ref="A21:A34"/>
    <mergeCell ref="A35:B35"/>
    <mergeCell ref="A36:B36"/>
    <mergeCell ref="A39:A49"/>
    <mergeCell ref="A50:B50"/>
    <mergeCell ref="A51:B51"/>
    <mergeCell ref="B54:F54"/>
    <mergeCell ref="G54:H54"/>
    <mergeCell ref="B60:F60"/>
    <mergeCell ref="G60:H60"/>
    <mergeCell ref="J60:O60"/>
    <mergeCell ref="B56:B58"/>
    <mergeCell ref="C56:C58"/>
    <mergeCell ref="D56:F56"/>
    <mergeCell ref="G56:H56"/>
    <mergeCell ref="D57:F57"/>
    <mergeCell ref="G57:H57"/>
    <mergeCell ref="J57:L57"/>
    <mergeCell ref="M57:O57"/>
    <mergeCell ref="D58:F58"/>
    <mergeCell ref="G58:H58"/>
    <mergeCell ref="G62:H62"/>
    <mergeCell ref="C63:F63"/>
    <mergeCell ref="G63:H63"/>
    <mergeCell ref="J63:O63"/>
    <mergeCell ref="D81:F81"/>
    <mergeCell ref="J68:K68"/>
    <mergeCell ref="B65:F65"/>
    <mergeCell ref="G65:H65"/>
    <mergeCell ref="B62:F62"/>
    <mergeCell ref="D76:F76"/>
    <mergeCell ref="D77:F77"/>
    <mergeCell ref="E78:F78"/>
    <mergeCell ref="D79:F79"/>
    <mergeCell ref="D80:F80"/>
    <mergeCell ref="D71:F71"/>
    <mergeCell ref="D72:F72"/>
    <mergeCell ref="B94:F94"/>
    <mergeCell ref="B69:B83"/>
    <mergeCell ref="C69:C75"/>
    <mergeCell ref="D69:F69"/>
    <mergeCell ref="D70:F70"/>
    <mergeCell ref="G95:H95"/>
    <mergeCell ref="G96:H96"/>
    <mergeCell ref="D73:F73"/>
    <mergeCell ref="D74:F74"/>
    <mergeCell ref="D75:F75"/>
    <mergeCell ref="G94:H94"/>
    <mergeCell ref="D82:F82"/>
    <mergeCell ref="D83:F83"/>
    <mergeCell ref="B84:F84"/>
    <mergeCell ref="B86:F86"/>
    <mergeCell ref="G86:H86"/>
    <mergeCell ref="C88:D88"/>
    <mergeCell ref="C89:D89"/>
    <mergeCell ref="C90:D90"/>
    <mergeCell ref="C91:D91"/>
    <mergeCell ref="C92:D92"/>
    <mergeCell ref="B97:F97"/>
    <mergeCell ref="G97:H97"/>
    <mergeCell ref="B98:F98"/>
    <mergeCell ref="G98:H98"/>
    <mergeCell ref="B102:F102"/>
    <mergeCell ref="G102:H102"/>
    <mergeCell ref="B99:F99"/>
    <mergeCell ref="G99:H99"/>
    <mergeCell ref="B100:F100"/>
    <mergeCell ref="G100:H100"/>
    <mergeCell ref="B101:F101"/>
    <mergeCell ref="G101:H101"/>
  </mergeCells>
  <conditionalFormatting sqref="B102:F102 B91:F91 B100:F100 B94:F98">
    <cfRule type="cellIs" dxfId="1897" priority="3" stopIfTrue="1" operator="equal">
      <formula>"TAX PAYABLE"</formula>
    </cfRule>
    <cfRule type="cellIs" dxfId="1896" priority="4" stopIfTrue="1" operator="equal">
      <formula>"TAX REFUND"</formula>
    </cfRule>
  </conditionalFormatting>
  <conditionalFormatting sqref="G102:H102 G100:H100">
    <cfRule type="cellIs" dxfId="1895" priority="1" stopIfTrue="1" operator="greaterThan">
      <formula>0</formula>
    </cfRule>
    <cfRule type="cellIs" dxfId="1894"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$Q$8:$Q$9</formula1>
    </dataValidation>
  </dataValidations>
  <pageMargins left="0.7" right="0.7" top="0.75" bottom="0.75" header="0.3" footer="0.3"/>
  <pageSetup paperSize="5" orientation="landscape" horizontalDpi="300" verticalDpi="300" r:id="rId1"/>
  <headerFooter alignWithMargins="0"/>
  <legacy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8"/>
  <sheetViews>
    <sheetView topLeftCell="A55" workbookViewId="0">
      <selection activeCell="R35" sqref="R35"/>
    </sheetView>
  </sheetViews>
  <sheetFormatPr defaultRowHeight="12.75" x14ac:dyDescent="0.2"/>
  <cols>
    <col min="1" max="1" width="5" style="16" customWidth="1"/>
    <col min="2" max="2" width="18.85546875" style="37" customWidth="1"/>
    <col min="3" max="3" width="8.7109375" style="16" customWidth="1"/>
    <col min="4" max="4" width="7.7109375" style="16" customWidth="1"/>
    <col min="5" max="8" width="8.140625" style="16" customWidth="1"/>
    <col min="9" max="15" width="8.28515625" style="16" customWidth="1"/>
    <col min="16" max="20" width="9.140625" style="16"/>
    <col min="21" max="21" width="12.42578125" style="16" customWidth="1"/>
    <col min="22" max="22" width="9.140625" style="16"/>
    <col min="23" max="23" width="12" style="16" customWidth="1"/>
    <col min="24" max="256" width="9.140625" style="16"/>
    <col min="257" max="257" width="5" style="16" customWidth="1"/>
    <col min="258" max="258" width="18.85546875" style="16" customWidth="1"/>
    <col min="259" max="259" width="8.7109375" style="16" customWidth="1"/>
    <col min="260" max="260" width="7.7109375" style="16" customWidth="1"/>
    <col min="261" max="264" width="8.140625" style="16" customWidth="1"/>
    <col min="265" max="271" width="8.28515625" style="16" customWidth="1"/>
    <col min="272" max="276" width="9.140625" style="16"/>
    <col min="277" max="277" width="12.42578125" style="16" customWidth="1"/>
    <col min="278" max="278" width="9.140625" style="16"/>
    <col min="279" max="279" width="12" style="16" customWidth="1"/>
    <col min="280" max="512" width="9.140625" style="16"/>
    <col min="513" max="513" width="5" style="16" customWidth="1"/>
    <col min="514" max="514" width="18.85546875" style="16" customWidth="1"/>
    <col min="515" max="515" width="8.7109375" style="16" customWidth="1"/>
    <col min="516" max="516" width="7.7109375" style="16" customWidth="1"/>
    <col min="517" max="520" width="8.140625" style="16" customWidth="1"/>
    <col min="521" max="527" width="8.28515625" style="16" customWidth="1"/>
    <col min="528" max="532" width="9.140625" style="16"/>
    <col min="533" max="533" width="12.42578125" style="16" customWidth="1"/>
    <col min="534" max="534" width="9.140625" style="16"/>
    <col min="535" max="535" width="12" style="16" customWidth="1"/>
    <col min="536" max="768" width="9.140625" style="16"/>
    <col min="769" max="769" width="5" style="16" customWidth="1"/>
    <col min="770" max="770" width="18.85546875" style="16" customWidth="1"/>
    <col min="771" max="771" width="8.7109375" style="16" customWidth="1"/>
    <col min="772" max="772" width="7.7109375" style="16" customWidth="1"/>
    <col min="773" max="776" width="8.140625" style="16" customWidth="1"/>
    <col min="777" max="783" width="8.28515625" style="16" customWidth="1"/>
    <col min="784" max="788" width="9.140625" style="16"/>
    <col min="789" max="789" width="12.42578125" style="16" customWidth="1"/>
    <col min="790" max="790" width="9.140625" style="16"/>
    <col min="791" max="791" width="12" style="16" customWidth="1"/>
    <col min="792" max="1024" width="9.140625" style="16"/>
    <col min="1025" max="1025" width="5" style="16" customWidth="1"/>
    <col min="1026" max="1026" width="18.85546875" style="16" customWidth="1"/>
    <col min="1027" max="1027" width="8.7109375" style="16" customWidth="1"/>
    <col min="1028" max="1028" width="7.7109375" style="16" customWidth="1"/>
    <col min="1029" max="1032" width="8.140625" style="16" customWidth="1"/>
    <col min="1033" max="1039" width="8.28515625" style="16" customWidth="1"/>
    <col min="1040" max="1044" width="9.140625" style="16"/>
    <col min="1045" max="1045" width="12.42578125" style="16" customWidth="1"/>
    <col min="1046" max="1046" width="9.140625" style="16"/>
    <col min="1047" max="1047" width="12" style="16" customWidth="1"/>
    <col min="1048" max="1280" width="9.140625" style="16"/>
    <col min="1281" max="1281" width="5" style="16" customWidth="1"/>
    <col min="1282" max="1282" width="18.85546875" style="16" customWidth="1"/>
    <col min="1283" max="1283" width="8.7109375" style="16" customWidth="1"/>
    <col min="1284" max="1284" width="7.7109375" style="16" customWidth="1"/>
    <col min="1285" max="1288" width="8.140625" style="16" customWidth="1"/>
    <col min="1289" max="1295" width="8.28515625" style="16" customWidth="1"/>
    <col min="1296" max="1300" width="9.140625" style="16"/>
    <col min="1301" max="1301" width="12.42578125" style="16" customWidth="1"/>
    <col min="1302" max="1302" width="9.140625" style="16"/>
    <col min="1303" max="1303" width="12" style="16" customWidth="1"/>
    <col min="1304" max="1536" width="9.140625" style="16"/>
    <col min="1537" max="1537" width="5" style="16" customWidth="1"/>
    <col min="1538" max="1538" width="18.85546875" style="16" customWidth="1"/>
    <col min="1539" max="1539" width="8.7109375" style="16" customWidth="1"/>
    <col min="1540" max="1540" width="7.7109375" style="16" customWidth="1"/>
    <col min="1541" max="1544" width="8.140625" style="16" customWidth="1"/>
    <col min="1545" max="1551" width="8.28515625" style="16" customWidth="1"/>
    <col min="1552" max="1556" width="9.140625" style="16"/>
    <col min="1557" max="1557" width="12.42578125" style="16" customWidth="1"/>
    <col min="1558" max="1558" width="9.140625" style="16"/>
    <col min="1559" max="1559" width="12" style="16" customWidth="1"/>
    <col min="1560" max="1792" width="9.140625" style="16"/>
    <col min="1793" max="1793" width="5" style="16" customWidth="1"/>
    <col min="1794" max="1794" width="18.85546875" style="16" customWidth="1"/>
    <col min="1795" max="1795" width="8.7109375" style="16" customWidth="1"/>
    <col min="1796" max="1796" width="7.7109375" style="16" customWidth="1"/>
    <col min="1797" max="1800" width="8.140625" style="16" customWidth="1"/>
    <col min="1801" max="1807" width="8.28515625" style="16" customWidth="1"/>
    <col min="1808" max="1812" width="9.140625" style="16"/>
    <col min="1813" max="1813" width="12.42578125" style="16" customWidth="1"/>
    <col min="1814" max="1814" width="9.140625" style="16"/>
    <col min="1815" max="1815" width="12" style="16" customWidth="1"/>
    <col min="1816" max="2048" width="9.140625" style="16"/>
    <col min="2049" max="2049" width="5" style="16" customWidth="1"/>
    <col min="2050" max="2050" width="18.85546875" style="16" customWidth="1"/>
    <col min="2051" max="2051" width="8.7109375" style="16" customWidth="1"/>
    <col min="2052" max="2052" width="7.7109375" style="16" customWidth="1"/>
    <col min="2053" max="2056" width="8.140625" style="16" customWidth="1"/>
    <col min="2057" max="2063" width="8.28515625" style="16" customWidth="1"/>
    <col min="2064" max="2068" width="9.140625" style="16"/>
    <col min="2069" max="2069" width="12.42578125" style="16" customWidth="1"/>
    <col min="2070" max="2070" width="9.140625" style="16"/>
    <col min="2071" max="2071" width="12" style="16" customWidth="1"/>
    <col min="2072" max="2304" width="9.140625" style="16"/>
    <col min="2305" max="2305" width="5" style="16" customWidth="1"/>
    <col min="2306" max="2306" width="18.85546875" style="16" customWidth="1"/>
    <col min="2307" max="2307" width="8.7109375" style="16" customWidth="1"/>
    <col min="2308" max="2308" width="7.7109375" style="16" customWidth="1"/>
    <col min="2309" max="2312" width="8.140625" style="16" customWidth="1"/>
    <col min="2313" max="2319" width="8.28515625" style="16" customWidth="1"/>
    <col min="2320" max="2324" width="9.140625" style="16"/>
    <col min="2325" max="2325" width="12.42578125" style="16" customWidth="1"/>
    <col min="2326" max="2326" width="9.140625" style="16"/>
    <col min="2327" max="2327" width="12" style="16" customWidth="1"/>
    <col min="2328" max="2560" width="9.140625" style="16"/>
    <col min="2561" max="2561" width="5" style="16" customWidth="1"/>
    <col min="2562" max="2562" width="18.85546875" style="16" customWidth="1"/>
    <col min="2563" max="2563" width="8.7109375" style="16" customWidth="1"/>
    <col min="2564" max="2564" width="7.7109375" style="16" customWidth="1"/>
    <col min="2565" max="2568" width="8.140625" style="16" customWidth="1"/>
    <col min="2569" max="2575" width="8.28515625" style="16" customWidth="1"/>
    <col min="2576" max="2580" width="9.140625" style="16"/>
    <col min="2581" max="2581" width="12.42578125" style="16" customWidth="1"/>
    <col min="2582" max="2582" width="9.140625" style="16"/>
    <col min="2583" max="2583" width="12" style="16" customWidth="1"/>
    <col min="2584" max="2816" width="9.140625" style="16"/>
    <col min="2817" max="2817" width="5" style="16" customWidth="1"/>
    <col min="2818" max="2818" width="18.85546875" style="16" customWidth="1"/>
    <col min="2819" max="2819" width="8.7109375" style="16" customWidth="1"/>
    <col min="2820" max="2820" width="7.7109375" style="16" customWidth="1"/>
    <col min="2821" max="2824" width="8.140625" style="16" customWidth="1"/>
    <col min="2825" max="2831" width="8.28515625" style="16" customWidth="1"/>
    <col min="2832" max="2836" width="9.140625" style="16"/>
    <col min="2837" max="2837" width="12.42578125" style="16" customWidth="1"/>
    <col min="2838" max="2838" width="9.140625" style="16"/>
    <col min="2839" max="2839" width="12" style="16" customWidth="1"/>
    <col min="2840" max="3072" width="9.140625" style="16"/>
    <col min="3073" max="3073" width="5" style="16" customWidth="1"/>
    <col min="3074" max="3074" width="18.85546875" style="16" customWidth="1"/>
    <col min="3075" max="3075" width="8.7109375" style="16" customWidth="1"/>
    <col min="3076" max="3076" width="7.7109375" style="16" customWidth="1"/>
    <col min="3077" max="3080" width="8.140625" style="16" customWidth="1"/>
    <col min="3081" max="3087" width="8.28515625" style="16" customWidth="1"/>
    <col min="3088" max="3092" width="9.140625" style="16"/>
    <col min="3093" max="3093" width="12.42578125" style="16" customWidth="1"/>
    <col min="3094" max="3094" width="9.140625" style="16"/>
    <col min="3095" max="3095" width="12" style="16" customWidth="1"/>
    <col min="3096" max="3328" width="9.140625" style="16"/>
    <col min="3329" max="3329" width="5" style="16" customWidth="1"/>
    <col min="3330" max="3330" width="18.85546875" style="16" customWidth="1"/>
    <col min="3331" max="3331" width="8.7109375" style="16" customWidth="1"/>
    <col min="3332" max="3332" width="7.7109375" style="16" customWidth="1"/>
    <col min="3333" max="3336" width="8.140625" style="16" customWidth="1"/>
    <col min="3337" max="3343" width="8.28515625" style="16" customWidth="1"/>
    <col min="3344" max="3348" width="9.140625" style="16"/>
    <col min="3349" max="3349" width="12.42578125" style="16" customWidth="1"/>
    <col min="3350" max="3350" width="9.140625" style="16"/>
    <col min="3351" max="3351" width="12" style="16" customWidth="1"/>
    <col min="3352" max="3584" width="9.140625" style="16"/>
    <col min="3585" max="3585" width="5" style="16" customWidth="1"/>
    <col min="3586" max="3586" width="18.85546875" style="16" customWidth="1"/>
    <col min="3587" max="3587" width="8.7109375" style="16" customWidth="1"/>
    <col min="3588" max="3588" width="7.7109375" style="16" customWidth="1"/>
    <col min="3589" max="3592" width="8.140625" style="16" customWidth="1"/>
    <col min="3593" max="3599" width="8.28515625" style="16" customWidth="1"/>
    <col min="3600" max="3604" width="9.140625" style="16"/>
    <col min="3605" max="3605" width="12.42578125" style="16" customWidth="1"/>
    <col min="3606" max="3606" width="9.140625" style="16"/>
    <col min="3607" max="3607" width="12" style="16" customWidth="1"/>
    <col min="3608" max="3840" width="9.140625" style="16"/>
    <col min="3841" max="3841" width="5" style="16" customWidth="1"/>
    <col min="3842" max="3842" width="18.85546875" style="16" customWidth="1"/>
    <col min="3843" max="3843" width="8.7109375" style="16" customWidth="1"/>
    <col min="3844" max="3844" width="7.7109375" style="16" customWidth="1"/>
    <col min="3845" max="3848" width="8.140625" style="16" customWidth="1"/>
    <col min="3849" max="3855" width="8.28515625" style="16" customWidth="1"/>
    <col min="3856" max="3860" width="9.140625" style="16"/>
    <col min="3861" max="3861" width="12.42578125" style="16" customWidth="1"/>
    <col min="3862" max="3862" width="9.140625" style="16"/>
    <col min="3863" max="3863" width="12" style="16" customWidth="1"/>
    <col min="3864" max="4096" width="9.140625" style="16"/>
    <col min="4097" max="4097" width="5" style="16" customWidth="1"/>
    <col min="4098" max="4098" width="18.85546875" style="16" customWidth="1"/>
    <col min="4099" max="4099" width="8.7109375" style="16" customWidth="1"/>
    <col min="4100" max="4100" width="7.7109375" style="16" customWidth="1"/>
    <col min="4101" max="4104" width="8.140625" style="16" customWidth="1"/>
    <col min="4105" max="4111" width="8.28515625" style="16" customWidth="1"/>
    <col min="4112" max="4116" width="9.140625" style="16"/>
    <col min="4117" max="4117" width="12.42578125" style="16" customWidth="1"/>
    <col min="4118" max="4118" width="9.140625" style="16"/>
    <col min="4119" max="4119" width="12" style="16" customWidth="1"/>
    <col min="4120" max="4352" width="9.140625" style="16"/>
    <col min="4353" max="4353" width="5" style="16" customWidth="1"/>
    <col min="4354" max="4354" width="18.85546875" style="16" customWidth="1"/>
    <col min="4355" max="4355" width="8.7109375" style="16" customWidth="1"/>
    <col min="4356" max="4356" width="7.7109375" style="16" customWidth="1"/>
    <col min="4357" max="4360" width="8.140625" style="16" customWidth="1"/>
    <col min="4361" max="4367" width="8.28515625" style="16" customWidth="1"/>
    <col min="4368" max="4372" width="9.140625" style="16"/>
    <col min="4373" max="4373" width="12.42578125" style="16" customWidth="1"/>
    <col min="4374" max="4374" width="9.140625" style="16"/>
    <col min="4375" max="4375" width="12" style="16" customWidth="1"/>
    <col min="4376" max="4608" width="9.140625" style="16"/>
    <col min="4609" max="4609" width="5" style="16" customWidth="1"/>
    <col min="4610" max="4610" width="18.85546875" style="16" customWidth="1"/>
    <col min="4611" max="4611" width="8.7109375" style="16" customWidth="1"/>
    <col min="4612" max="4612" width="7.7109375" style="16" customWidth="1"/>
    <col min="4613" max="4616" width="8.140625" style="16" customWidth="1"/>
    <col min="4617" max="4623" width="8.28515625" style="16" customWidth="1"/>
    <col min="4624" max="4628" width="9.140625" style="16"/>
    <col min="4629" max="4629" width="12.42578125" style="16" customWidth="1"/>
    <col min="4630" max="4630" width="9.140625" style="16"/>
    <col min="4631" max="4631" width="12" style="16" customWidth="1"/>
    <col min="4632" max="4864" width="9.140625" style="16"/>
    <col min="4865" max="4865" width="5" style="16" customWidth="1"/>
    <col min="4866" max="4866" width="18.85546875" style="16" customWidth="1"/>
    <col min="4867" max="4867" width="8.7109375" style="16" customWidth="1"/>
    <col min="4868" max="4868" width="7.7109375" style="16" customWidth="1"/>
    <col min="4869" max="4872" width="8.140625" style="16" customWidth="1"/>
    <col min="4873" max="4879" width="8.28515625" style="16" customWidth="1"/>
    <col min="4880" max="4884" width="9.140625" style="16"/>
    <col min="4885" max="4885" width="12.42578125" style="16" customWidth="1"/>
    <col min="4886" max="4886" width="9.140625" style="16"/>
    <col min="4887" max="4887" width="12" style="16" customWidth="1"/>
    <col min="4888" max="5120" width="9.140625" style="16"/>
    <col min="5121" max="5121" width="5" style="16" customWidth="1"/>
    <col min="5122" max="5122" width="18.85546875" style="16" customWidth="1"/>
    <col min="5123" max="5123" width="8.7109375" style="16" customWidth="1"/>
    <col min="5124" max="5124" width="7.7109375" style="16" customWidth="1"/>
    <col min="5125" max="5128" width="8.140625" style="16" customWidth="1"/>
    <col min="5129" max="5135" width="8.28515625" style="16" customWidth="1"/>
    <col min="5136" max="5140" width="9.140625" style="16"/>
    <col min="5141" max="5141" width="12.42578125" style="16" customWidth="1"/>
    <col min="5142" max="5142" width="9.140625" style="16"/>
    <col min="5143" max="5143" width="12" style="16" customWidth="1"/>
    <col min="5144" max="5376" width="9.140625" style="16"/>
    <col min="5377" max="5377" width="5" style="16" customWidth="1"/>
    <col min="5378" max="5378" width="18.85546875" style="16" customWidth="1"/>
    <col min="5379" max="5379" width="8.7109375" style="16" customWidth="1"/>
    <col min="5380" max="5380" width="7.7109375" style="16" customWidth="1"/>
    <col min="5381" max="5384" width="8.140625" style="16" customWidth="1"/>
    <col min="5385" max="5391" width="8.28515625" style="16" customWidth="1"/>
    <col min="5392" max="5396" width="9.140625" style="16"/>
    <col min="5397" max="5397" width="12.42578125" style="16" customWidth="1"/>
    <col min="5398" max="5398" width="9.140625" style="16"/>
    <col min="5399" max="5399" width="12" style="16" customWidth="1"/>
    <col min="5400" max="5632" width="9.140625" style="16"/>
    <col min="5633" max="5633" width="5" style="16" customWidth="1"/>
    <col min="5634" max="5634" width="18.85546875" style="16" customWidth="1"/>
    <col min="5635" max="5635" width="8.7109375" style="16" customWidth="1"/>
    <col min="5636" max="5636" width="7.7109375" style="16" customWidth="1"/>
    <col min="5637" max="5640" width="8.140625" style="16" customWidth="1"/>
    <col min="5641" max="5647" width="8.28515625" style="16" customWidth="1"/>
    <col min="5648" max="5652" width="9.140625" style="16"/>
    <col min="5653" max="5653" width="12.42578125" style="16" customWidth="1"/>
    <col min="5654" max="5654" width="9.140625" style="16"/>
    <col min="5655" max="5655" width="12" style="16" customWidth="1"/>
    <col min="5656" max="5888" width="9.140625" style="16"/>
    <col min="5889" max="5889" width="5" style="16" customWidth="1"/>
    <col min="5890" max="5890" width="18.85546875" style="16" customWidth="1"/>
    <col min="5891" max="5891" width="8.7109375" style="16" customWidth="1"/>
    <col min="5892" max="5892" width="7.7109375" style="16" customWidth="1"/>
    <col min="5893" max="5896" width="8.140625" style="16" customWidth="1"/>
    <col min="5897" max="5903" width="8.28515625" style="16" customWidth="1"/>
    <col min="5904" max="5908" width="9.140625" style="16"/>
    <col min="5909" max="5909" width="12.42578125" style="16" customWidth="1"/>
    <col min="5910" max="5910" width="9.140625" style="16"/>
    <col min="5911" max="5911" width="12" style="16" customWidth="1"/>
    <col min="5912" max="6144" width="9.140625" style="16"/>
    <col min="6145" max="6145" width="5" style="16" customWidth="1"/>
    <col min="6146" max="6146" width="18.85546875" style="16" customWidth="1"/>
    <col min="6147" max="6147" width="8.7109375" style="16" customWidth="1"/>
    <col min="6148" max="6148" width="7.7109375" style="16" customWidth="1"/>
    <col min="6149" max="6152" width="8.140625" style="16" customWidth="1"/>
    <col min="6153" max="6159" width="8.28515625" style="16" customWidth="1"/>
    <col min="6160" max="6164" width="9.140625" style="16"/>
    <col min="6165" max="6165" width="12.42578125" style="16" customWidth="1"/>
    <col min="6166" max="6166" width="9.140625" style="16"/>
    <col min="6167" max="6167" width="12" style="16" customWidth="1"/>
    <col min="6168" max="6400" width="9.140625" style="16"/>
    <col min="6401" max="6401" width="5" style="16" customWidth="1"/>
    <col min="6402" max="6402" width="18.85546875" style="16" customWidth="1"/>
    <col min="6403" max="6403" width="8.7109375" style="16" customWidth="1"/>
    <col min="6404" max="6404" width="7.7109375" style="16" customWidth="1"/>
    <col min="6405" max="6408" width="8.140625" style="16" customWidth="1"/>
    <col min="6409" max="6415" width="8.28515625" style="16" customWidth="1"/>
    <col min="6416" max="6420" width="9.140625" style="16"/>
    <col min="6421" max="6421" width="12.42578125" style="16" customWidth="1"/>
    <col min="6422" max="6422" width="9.140625" style="16"/>
    <col min="6423" max="6423" width="12" style="16" customWidth="1"/>
    <col min="6424" max="6656" width="9.140625" style="16"/>
    <col min="6657" max="6657" width="5" style="16" customWidth="1"/>
    <col min="6658" max="6658" width="18.85546875" style="16" customWidth="1"/>
    <col min="6659" max="6659" width="8.7109375" style="16" customWidth="1"/>
    <col min="6660" max="6660" width="7.7109375" style="16" customWidth="1"/>
    <col min="6661" max="6664" width="8.140625" style="16" customWidth="1"/>
    <col min="6665" max="6671" width="8.28515625" style="16" customWidth="1"/>
    <col min="6672" max="6676" width="9.140625" style="16"/>
    <col min="6677" max="6677" width="12.42578125" style="16" customWidth="1"/>
    <col min="6678" max="6678" width="9.140625" style="16"/>
    <col min="6679" max="6679" width="12" style="16" customWidth="1"/>
    <col min="6680" max="6912" width="9.140625" style="16"/>
    <col min="6913" max="6913" width="5" style="16" customWidth="1"/>
    <col min="6914" max="6914" width="18.85546875" style="16" customWidth="1"/>
    <col min="6915" max="6915" width="8.7109375" style="16" customWidth="1"/>
    <col min="6916" max="6916" width="7.7109375" style="16" customWidth="1"/>
    <col min="6917" max="6920" width="8.140625" style="16" customWidth="1"/>
    <col min="6921" max="6927" width="8.28515625" style="16" customWidth="1"/>
    <col min="6928" max="6932" width="9.140625" style="16"/>
    <col min="6933" max="6933" width="12.42578125" style="16" customWidth="1"/>
    <col min="6934" max="6934" width="9.140625" style="16"/>
    <col min="6935" max="6935" width="12" style="16" customWidth="1"/>
    <col min="6936" max="7168" width="9.140625" style="16"/>
    <col min="7169" max="7169" width="5" style="16" customWidth="1"/>
    <col min="7170" max="7170" width="18.85546875" style="16" customWidth="1"/>
    <col min="7171" max="7171" width="8.7109375" style="16" customWidth="1"/>
    <col min="7172" max="7172" width="7.7109375" style="16" customWidth="1"/>
    <col min="7173" max="7176" width="8.140625" style="16" customWidth="1"/>
    <col min="7177" max="7183" width="8.28515625" style="16" customWidth="1"/>
    <col min="7184" max="7188" width="9.140625" style="16"/>
    <col min="7189" max="7189" width="12.42578125" style="16" customWidth="1"/>
    <col min="7190" max="7190" width="9.140625" style="16"/>
    <col min="7191" max="7191" width="12" style="16" customWidth="1"/>
    <col min="7192" max="7424" width="9.140625" style="16"/>
    <col min="7425" max="7425" width="5" style="16" customWidth="1"/>
    <col min="7426" max="7426" width="18.85546875" style="16" customWidth="1"/>
    <col min="7427" max="7427" width="8.7109375" style="16" customWidth="1"/>
    <col min="7428" max="7428" width="7.7109375" style="16" customWidth="1"/>
    <col min="7429" max="7432" width="8.140625" style="16" customWidth="1"/>
    <col min="7433" max="7439" width="8.28515625" style="16" customWidth="1"/>
    <col min="7440" max="7444" width="9.140625" style="16"/>
    <col min="7445" max="7445" width="12.42578125" style="16" customWidth="1"/>
    <col min="7446" max="7446" width="9.140625" style="16"/>
    <col min="7447" max="7447" width="12" style="16" customWidth="1"/>
    <col min="7448" max="7680" width="9.140625" style="16"/>
    <col min="7681" max="7681" width="5" style="16" customWidth="1"/>
    <col min="7682" max="7682" width="18.85546875" style="16" customWidth="1"/>
    <col min="7683" max="7683" width="8.7109375" style="16" customWidth="1"/>
    <col min="7684" max="7684" width="7.7109375" style="16" customWidth="1"/>
    <col min="7685" max="7688" width="8.140625" style="16" customWidth="1"/>
    <col min="7689" max="7695" width="8.28515625" style="16" customWidth="1"/>
    <col min="7696" max="7700" width="9.140625" style="16"/>
    <col min="7701" max="7701" width="12.42578125" style="16" customWidth="1"/>
    <col min="7702" max="7702" width="9.140625" style="16"/>
    <col min="7703" max="7703" width="12" style="16" customWidth="1"/>
    <col min="7704" max="7936" width="9.140625" style="16"/>
    <col min="7937" max="7937" width="5" style="16" customWidth="1"/>
    <col min="7938" max="7938" width="18.85546875" style="16" customWidth="1"/>
    <col min="7939" max="7939" width="8.7109375" style="16" customWidth="1"/>
    <col min="7940" max="7940" width="7.7109375" style="16" customWidth="1"/>
    <col min="7941" max="7944" width="8.140625" style="16" customWidth="1"/>
    <col min="7945" max="7951" width="8.28515625" style="16" customWidth="1"/>
    <col min="7952" max="7956" width="9.140625" style="16"/>
    <col min="7957" max="7957" width="12.42578125" style="16" customWidth="1"/>
    <col min="7958" max="7958" width="9.140625" style="16"/>
    <col min="7959" max="7959" width="12" style="16" customWidth="1"/>
    <col min="7960" max="8192" width="9.140625" style="16"/>
    <col min="8193" max="8193" width="5" style="16" customWidth="1"/>
    <col min="8194" max="8194" width="18.85546875" style="16" customWidth="1"/>
    <col min="8195" max="8195" width="8.7109375" style="16" customWidth="1"/>
    <col min="8196" max="8196" width="7.7109375" style="16" customWidth="1"/>
    <col min="8197" max="8200" width="8.140625" style="16" customWidth="1"/>
    <col min="8201" max="8207" width="8.28515625" style="16" customWidth="1"/>
    <col min="8208" max="8212" width="9.140625" style="16"/>
    <col min="8213" max="8213" width="12.42578125" style="16" customWidth="1"/>
    <col min="8214" max="8214" width="9.140625" style="16"/>
    <col min="8215" max="8215" width="12" style="16" customWidth="1"/>
    <col min="8216" max="8448" width="9.140625" style="16"/>
    <col min="8449" max="8449" width="5" style="16" customWidth="1"/>
    <col min="8450" max="8450" width="18.85546875" style="16" customWidth="1"/>
    <col min="8451" max="8451" width="8.7109375" style="16" customWidth="1"/>
    <col min="8452" max="8452" width="7.7109375" style="16" customWidth="1"/>
    <col min="8453" max="8456" width="8.140625" style="16" customWidth="1"/>
    <col min="8457" max="8463" width="8.28515625" style="16" customWidth="1"/>
    <col min="8464" max="8468" width="9.140625" style="16"/>
    <col min="8469" max="8469" width="12.42578125" style="16" customWidth="1"/>
    <col min="8470" max="8470" width="9.140625" style="16"/>
    <col min="8471" max="8471" width="12" style="16" customWidth="1"/>
    <col min="8472" max="8704" width="9.140625" style="16"/>
    <col min="8705" max="8705" width="5" style="16" customWidth="1"/>
    <col min="8706" max="8706" width="18.85546875" style="16" customWidth="1"/>
    <col min="8707" max="8707" width="8.7109375" style="16" customWidth="1"/>
    <col min="8708" max="8708" width="7.7109375" style="16" customWidth="1"/>
    <col min="8709" max="8712" width="8.140625" style="16" customWidth="1"/>
    <col min="8713" max="8719" width="8.28515625" style="16" customWidth="1"/>
    <col min="8720" max="8724" width="9.140625" style="16"/>
    <col min="8725" max="8725" width="12.42578125" style="16" customWidth="1"/>
    <col min="8726" max="8726" width="9.140625" style="16"/>
    <col min="8727" max="8727" width="12" style="16" customWidth="1"/>
    <col min="8728" max="8960" width="9.140625" style="16"/>
    <col min="8961" max="8961" width="5" style="16" customWidth="1"/>
    <col min="8962" max="8962" width="18.85546875" style="16" customWidth="1"/>
    <col min="8963" max="8963" width="8.7109375" style="16" customWidth="1"/>
    <col min="8964" max="8964" width="7.7109375" style="16" customWidth="1"/>
    <col min="8965" max="8968" width="8.140625" style="16" customWidth="1"/>
    <col min="8969" max="8975" width="8.28515625" style="16" customWidth="1"/>
    <col min="8976" max="8980" width="9.140625" style="16"/>
    <col min="8981" max="8981" width="12.42578125" style="16" customWidth="1"/>
    <col min="8982" max="8982" width="9.140625" style="16"/>
    <col min="8983" max="8983" width="12" style="16" customWidth="1"/>
    <col min="8984" max="9216" width="9.140625" style="16"/>
    <col min="9217" max="9217" width="5" style="16" customWidth="1"/>
    <col min="9218" max="9218" width="18.85546875" style="16" customWidth="1"/>
    <col min="9219" max="9219" width="8.7109375" style="16" customWidth="1"/>
    <col min="9220" max="9220" width="7.7109375" style="16" customWidth="1"/>
    <col min="9221" max="9224" width="8.140625" style="16" customWidth="1"/>
    <col min="9225" max="9231" width="8.28515625" style="16" customWidth="1"/>
    <col min="9232" max="9236" width="9.140625" style="16"/>
    <col min="9237" max="9237" width="12.42578125" style="16" customWidth="1"/>
    <col min="9238" max="9238" width="9.140625" style="16"/>
    <col min="9239" max="9239" width="12" style="16" customWidth="1"/>
    <col min="9240" max="9472" width="9.140625" style="16"/>
    <col min="9473" max="9473" width="5" style="16" customWidth="1"/>
    <col min="9474" max="9474" width="18.85546875" style="16" customWidth="1"/>
    <col min="9475" max="9475" width="8.7109375" style="16" customWidth="1"/>
    <col min="9476" max="9476" width="7.7109375" style="16" customWidth="1"/>
    <col min="9477" max="9480" width="8.140625" style="16" customWidth="1"/>
    <col min="9481" max="9487" width="8.28515625" style="16" customWidth="1"/>
    <col min="9488" max="9492" width="9.140625" style="16"/>
    <col min="9493" max="9493" width="12.42578125" style="16" customWidth="1"/>
    <col min="9494" max="9494" width="9.140625" style="16"/>
    <col min="9495" max="9495" width="12" style="16" customWidth="1"/>
    <col min="9496" max="9728" width="9.140625" style="16"/>
    <col min="9729" max="9729" width="5" style="16" customWidth="1"/>
    <col min="9730" max="9730" width="18.85546875" style="16" customWidth="1"/>
    <col min="9731" max="9731" width="8.7109375" style="16" customWidth="1"/>
    <col min="9732" max="9732" width="7.7109375" style="16" customWidth="1"/>
    <col min="9733" max="9736" width="8.140625" style="16" customWidth="1"/>
    <col min="9737" max="9743" width="8.28515625" style="16" customWidth="1"/>
    <col min="9744" max="9748" width="9.140625" style="16"/>
    <col min="9749" max="9749" width="12.42578125" style="16" customWidth="1"/>
    <col min="9750" max="9750" width="9.140625" style="16"/>
    <col min="9751" max="9751" width="12" style="16" customWidth="1"/>
    <col min="9752" max="9984" width="9.140625" style="16"/>
    <col min="9985" max="9985" width="5" style="16" customWidth="1"/>
    <col min="9986" max="9986" width="18.85546875" style="16" customWidth="1"/>
    <col min="9987" max="9987" width="8.7109375" style="16" customWidth="1"/>
    <col min="9988" max="9988" width="7.7109375" style="16" customWidth="1"/>
    <col min="9989" max="9992" width="8.140625" style="16" customWidth="1"/>
    <col min="9993" max="9999" width="8.28515625" style="16" customWidth="1"/>
    <col min="10000" max="10004" width="9.140625" style="16"/>
    <col min="10005" max="10005" width="12.42578125" style="16" customWidth="1"/>
    <col min="10006" max="10006" width="9.140625" style="16"/>
    <col min="10007" max="10007" width="12" style="16" customWidth="1"/>
    <col min="10008" max="10240" width="9.140625" style="16"/>
    <col min="10241" max="10241" width="5" style="16" customWidth="1"/>
    <col min="10242" max="10242" width="18.85546875" style="16" customWidth="1"/>
    <col min="10243" max="10243" width="8.7109375" style="16" customWidth="1"/>
    <col min="10244" max="10244" width="7.7109375" style="16" customWidth="1"/>
    <col min="10245" max="10248" width="8.140625" style="16" customWidth="1"/>
    <col min="10249" max="10255" width="8.28515625" style="16" customWidth="1"/>
    <col min="10256" max="10260" width="9.140625" style="16"/>
    <col min="10261" max="10261" width="12.42578125" style="16" customWidth="1"/>
    <col min="10262" max="10262" width="9.140625" style="16"/>
    <col min="10263" max="10263" width="12" style="16" customWidth="1"/>
    <col min="10264" max="10496" width="9.140625" style="16"/>
    <col min="10497" max="10497" width="5" style="16" customWidth="1"/>
    <col min="10498" max="10498" width="18.85546875" style="16" customWidth="1"/>
    <col min="10499" max="10499" width="8.7109375" style="16" customWidth="1"/>
    <col min="10500" max="10500" width="7.7109375" style="16" customWidth="1"/>
    <col min="10501" max="10504" width="8.140625" style="16" customWidth="1"/>
    <col min="10505" max="10511" width="8.28515625" style="16" customWidth="1"/>
    <col min="10512" max="10516" width="9.140625" style="16"/>
    <col min="10517" max="10517" width="12.42578125" style="16" customWidth="1"/>
    <col min="10518" max="10518" width="9.140625" style="16"/>
    <col min="10519" max="10519" width="12" style="16" customWidth="1"/>
    <col min="10520" max="10752" width="9.140625" style="16"/>
    <col min="10753" max="10753" width="5" style="16" customWidth="1"/>
    <col min="10754" max="10754" width="18.85546875" style="16" customWidth="1"/>
    <col min="10755" max="10755" width="8.7109375" style="16" customWidth="1"/>
    <col min="10756" max="10756" width="7.7109375" style="16" customWidth="1"/>
    <col min="10757" max="10760" width="8.140625" style="16" customWidth="1"/>
    <col min="10761" max="10767" width="8.28515625" style="16" customWidth="1"/>
    <col min="10768" max="10772" width="9.140625" style="16"/>
    <col min="10773" max="10773" width="12.42578125" style="16" customWidth="1"/>
    <col min="10774" max="10774" width="9.140625" style="16"/>
    <col min="10775" max="10775" width="12" style="16" customWidth="1"/>
    <col min="10776" max="11008" width="9.140625" style="16"/>
    <col min="11009" max="11009" width="5" style="16" customWidth="1"/>
    <col min="11010" max="11010" width="18.85546875" style="16" customWidth="1"/>
    <col min="11011" max="11011" width="8.7109375" style="16" customWidth="1"/>
    <col min="11012" max="11012" width="7.7109375" style="16" customWidth="1"/>
    <col min="11013" max="11016" width="8.140625" style="16" customWidth="1"/>
    <col min="11017" max="11023" width="8.28515625" style="16" customWidth="1"/>
    <col min="11024" max="11028" width="9.140625" style="16"/>
    <col min="11029" max="11029" width="12.42578125" style="16" customWidth="1"/>
    <col min="11030" max="11030" width="9.140625" style="16"/>
    <col min="11031" max="11031" width="12" style="16" customWidth="1"/>
    <col min="11032" max="11264" width="9.140625" style="16"/>
    <col min="11265" max="11265" width="5" style="16" customWidth="1"/>
    <col min="11266" max="11266" width="18.85546875" style="16" customWidth="1"/>
    <col min="11267" max="11267" width="8.7109375" style="16" customWidth="1"/>
    <col min="11268" max="11268" width="7.7109375" style="16" customWidth="1"/>
    <col min="11269" max="11272" width="8.140625" style="16" customWidth="1"/>
    <col min="11273" max="11279" width="8.28515625" style="16" customWidth="1"/>
    <col min="11280" max="11284" width="9.140625" style="16"/>
    <col min="11285" max="11285" width="12.42578125" style="16" customWidth="1"/>
    <col min="11286" max="11286" width="9.140625" style="16"/>
    <col min="11287" max="11287" width="12" style="16" customWidth="1"/>
    <col min="11288" max="11520" width="9.140625" style="16"/>
    <col min="11521" max="11521" width="5" style="16" customWidth="1"/>
    <col min="11522" max="11522" width="18.85546875" style="16" customWidth="1"/>
    <col min="11523" max="11523" width="8.7109375" style="16" customWidth="1"/>
    <col min="11524" max="11524" width="7.7109375" style="16" customWidth="1"/>
    <col min="11525" max="11528" width="8.140625" style="16" customWidth="1"/>
    <col min="11529" max="11535" width="8.28515625" style="16" customWidth="1"/>
    <col min="11536" max="11540" width="9.140625" style="16"/>
    <col min="11541" max="11541" width="12.42578125" style="16" customWidth="1"/>
    <col min="11542" max="11542" width="9.140625" style="16"/>
    <col min="11543" max="11543" width="12" style="16" customWidth="1"/>
    <col min="11544" max="11776" width="9.140625" style="16"/>
    <col min="11777" max="11777" width="5" style="16" customWidth="1"/>
    <col min="11778" max="11778" width="18.85546875" style="16" customWidth="1"/>
    <col min="11779" max="11779" width="8.7109375" style="16" customWidth="1"/>
    <col min="11780" max="11780" width="7.7109375" style="16" customWidth="1"/>
    <col min="11781" max="11784" width="8.140625" style="16" customWidth="1"/>
    <col min="11785" max="11791" width="8.28515625" style="16" customWidth="1"/>
    <col min="11792" max="11796" width="9.140625" style="16"/>
    <col min="11797" max="11797" width="12.42578125" style="16" customWidth="1"/>
    <col min="11798" max="11798" width="9.140625" style="16"/>
    <col min="11799" max="11799" width="12" style="16" customWidth="1"/>
    <col min="11800" max="12032" width="9.140625" style="16"/>
    <col min="12033" max="12033" width="5" style="16" customWidth="1"/>
    <col min="12034" max="12034" width="18.85546875" style="16" customWidth="1"/>
    <col min="12035" max="12035" width="8.7109375" style="16" customWidth="1"/>
    <col min="12036" max="12036" width="7.7109375" style="16" customWidth="1"/>
    <col min="12037" max="12040" width="8.140625" style="16" customWidth="1"/>
    <col min="12041" max="12047" width="8.28515625" style="16" customWidth="1"/>
    <col min="12048" max="12052" width="9.140625" style="16"/>
    <col min="12053" max="12053" width="12.42578125" style="16" customWidth="1"/>
    <col min="12054" max="12054" width="9.140625" style="16"/>
    <col min="12055" max="12055" width="12" style="16" customWidth="1"/>
    <col min="12056" max="12288" width="9.140625" style="16"/>
    <col min="12289" max="12289" width="5" style="16" customWidth="1"/>
    <col min="12290" max="12290" width="18.85546875" style="16" customWidth="1"/>
    <col min="12291" max="12291" width="8.7109375" style="16" customWidth="1"/>
    <col min="12292" max="12292" width="7.7109375" style="16" customWidth="1"/>
    <col min="12293" max="12296" width="8.140625" style="16" customWidth="1"/>
    <col min="12297" max="12303" width="8.28515625" style="16" customWidth="1"/>
    <col min="12304" max="12308" width="9.140625" style="16"/>
    <col min="12309" max="12309" width="12.42578125" style="16" customWidth="1"/>
    <col min="12310" max="12310" width="9.140625" style="16"/>
    <col min="12311" max="12311" width="12" style="16" customWidth="1"/>
    <col min="12312" max="12544" width="9.140625" style="16"/>
    <col min="12545" max="12545" width="5" style="16" customWidth="1"/>
    <col min="12546" max="12546" width="18.85546875" style="16" customWidth="1"/>
    <col min="12547" max="12547" width="8.7109375" style="16" customWidth="1"/>
    <col min="12548" max="12548" width="7.7109375" style="16" customWidth="1"/>
    <col min="12549" max="12552" width="8.140625" style="16" customWidth="1"/>
    <col min="12553" max="12559" width="8.28515625" style="16" customWidth="1"/>
    <col min="12560" max="12564" width="9.140625" style="16"/>
    <col min="12565" max="12565" width="12.42578125" style="16" customWidth="1"/>
    <col min="12566" max="12566" width="9.140625" style="16"/>
    <col min="12567" max="12567" width="12" style="16" customWidth="1"/>
    <col min="12568" max="12800" width="9.140625" style="16"/>
    <col min="12801" max="12801" width="5" style="16" customWidth="1"/>
    <col min="12802" max="12802" width="18.85546875" style="16" customWidth="1"/>
    <col min="12803" max="12803" width="8.7109375" style="16" customWidth="1"/>
    <col min="12804" max="12804" width="7.7109375" style="16" customWidth="1"/>
    <col min="12805" max="12808" width="8.140625" style="16" customWidth="1"/>
    <col min="12809" max="12815" width="8.28515625" style="16" customWidth="1"/>
    <col min="12816" max="12820" width="9.140625" style="16"/>
    <col min="12821" max="12821" width="12.42578125" style="16" customWidth="1"/>
    <col min="12822" max="12822" width="9.140625" style="16"/>
    <col min="12823" max="12823" width="12" style="16" customWidth="1"/>
    <col min="12824" max="13056" width="9.140625" style="16"/>
    <col min="13057" max="13057" width="5" style="16" customWidth="1"/>
    <col min="13058" max="13058" width="18.85546875" style="16" customWidth="1"/>
    <col min="13059" max="13059" width="8.7109375" style="16" customWidth="1"/>
    <col min="13060" max="13060" width="7.7109375" style="16" customWidth="1"/>
    <col min="13061" max="13064" width="8.140625" style="16" customWidth="1"/>
    <col min="13065" max="13071" width="8.28515625" style="16" customWidth="1"/>
    <col min="13072" max="13076" width="9.140625" style="16"/>
    <col min="13077" max="13077" width="12.42578125" style="16" customWidth="1"/>
    <col min="13078" max="13078" width="9.140625" style="16"/>
    <col min="13079" max="13079" width="12" style="16" customWidth="1"/>
    <col min="13080" max="13312" width="9.140625" style="16"/>
    <col min="13313" max="13313" width="5" style="16" customWidth="1"/>
    <col min="13314" max="13314" width="18.85546875" style="16" customWidth="1"/>
    <col min="13315" max="13315" width="8.7109375" style="16" customWidth="1"/>
    <col min="13316" max="13316" width="7.7109375" style="16" customWidth="1"/>
    <col min="13317" max="13320" width="8.140625" style="16" customWidth="1"/>
    <col min="13321" max="13327" width="8.28515625" style="16" customWidth="1"/>
    <col min="13328" max="13332" width="9.140625" style="16"/>
    <col min="13333" max="13333" width="12.42578125" style="16" customWidth="1"/>
    <col min="13334" max="13334" width="9.140625" style="16"/>
    <col min="13335" max="13335" width="12" style="16" customWidth="1"/>
    <col min="13336" max="13568" width="9.140625" style="16"/>
    <col min="13569" max="13569" width="5" style="16" customWidth="1"/>
    <col min="13570" max="13570" width="18.85546875" style="16" customWidth="1"/>
    <col min="13571" max="13571" width="8.7109375" style="16" customWidth="1"/>
    <col min="13572" max="13572" width="7.7109375" style="16" customWidth="1"/>
    <col min="13573" max="13576" width="8.140625" style="16" customWidth="1"/>
    <col min="13577" max="13583" width="8.28515625" style="16" customWidth="1"/>
    <col min="13584" max="13588" width="9.140625" style="16"/>
    <col min="13589" max="13589" width="12.42578125" style="16" customWidth="1"/>
    <col min="13590" max="13590" width="9.140625" style="16"/>
    <col min="13591" max="13591" width="12" style="16" customWidth="1"/>
    <col min="13592" max="13824" width="9.140625" style="16"/>
    <col min="13825" max="13825" width="5" style="16" customWidth="1"/>
    <col min="13826" max="13826" width="18.85546875" style="16" customWidth="1"/>
    <col min="13827" max="13827" width="8.7109375" style="16" customWidth="1"/>
    <col min="13828" max="13828" width="7.7109375" style="16" customWidth="1"/>
    <col min="13829" max="13832" width="8.140625" style="16" customWidth="1"/>
    <col min="13833" max="13839" width="8.28515625" style="16" customWidth="1"/>
    <col min="13840" max="13844" width="9.140625" style="16"/>
    <col min="13845" max="13845" width="12.42578125" style="16" customWidth="1"/>
    <col min="13846" max="13846" width="9.140625" style="16"/>
    <col min="13847" max="13847" width="12" style="16" customWidth="1"/>
    <col min="13848" max="14080" width="9.140625" style="16"/>
    <col min="14081" max="14081" width="5" style="16" customWidth="1"/>
    <col min="14082" max="14082" width="18.85546875" style="16" customWidth="1"/>
    <col min="14083" max="14083" width="8.7109375" style="16" customWidth="1"/>
    <col min="14084" max="14084" width="7.7109375" style="16" customWidth="1"/>
    <col min="14085" max="14088" width="8.140625" style="16" customWidth="1"/>
    <col min="14089" max="14095" width="8.28515625" style="16" customWidth="1"/>
    <col min="14096" max="14100" width="9.140625" style="16"/>
    <col min="14101" max="14101" width="12.42578125" style="16" customWidth="1"/>
    <col min="14102" max="14102" width="9.140625" style="16"/>
    <col min="14103" max="14103" width="12" style="16" customWidth="1"/>
    <col min="14104" max="14336" width="9.140625" style="16"/>
    <col min="14337" max="14337" width="5" style="16" customWidth="1"/>
    <col min="14338" max="14338" width="18.85546875" style="16" customWidth="1"/>
    <col min="14339" max="14339" width="8.7109375" style="16" customWidth="1"/>
    <col min="14340" max="14340" width="7.7109375" style="16" customWidth="1"/>
    <col min="14341" max="14344" width="8.140625" style="16" customWidth="1"/>
    <col min="14345" max="14351" width="8.28515625" style="16" customWidth="1"/>
    <col min="14352" max="14356" width="9.140625" style="16"/>
    <col min="14357" max="14357" width="12.42578125" style="16" customWidth="1"/>
    <col min="14358" max="14358" width="9.140625" style="16"/>
    <col min="14359" max="14359" width="12" style="16" customWidth="1"/>
    <col min="14360" max="14592" width="9.140625" style="16"/>
    <col min="14593" max="14593" width="5" style="16" customWidth="1"/>
    <col min="14594" max="14594" width="18.85546875" style="16" customWidth="1"/>
    <col min="14595" max="14595" width="8.7109375" style="16" customWidth="1"/>
    <col min="14596" max="14596" width="7.7109375" style="16" customWidth="1"/>
    <col min="14597" max="14600" width="8.140625" style="16" customWidth="1"/>
    <col min="14601" max="14607" width="8.28515625" style="16" customWidth="1"/>
    <col min="14608" max="14612" width="9.140625" style="16"/>
    <col min="14613" max="14613" width="12.42578125" style="16" customWidth="1"/>
    <col min="14614" max="14614" width="9.140625" style="16"/>
    <col min="14615" max="14615" width="12" style="16" customWidth="1"/>
    <col min="14616" max="14848" width="9.140625" style="16"/>
    <col min="14849" max="14849" width="5" style="16" customWidth="1"/>
    <col min="14850" max="14850" width="18.85546875" style="16" customWidth="1"/>
    <col min="14851" max="14851" width="8.7109375" style="16" customWidth="1"/>
    <col min="14852" max="14852" width="7.7109375" style="16" customWidth="1"/>
    <col min="14853" max="14856" width="8.140625" style="16" customWidth="1"/>
    <col min="14857" max="14863" width="8.28515625" style="16" customWidth="1"/>
    <col min="14864" max="14868" width="9.140625" style="16"/>
    <col min="14869" max="14869" width="12.42578125" style="16" customWidth="1"/>
    <col min="14870" max="14870" width="9.140625" style="16"/>
    <col min="14871" max="14871" width="12" style="16" customWidth="1"/>
    <col min="14872" max="15104" width="9.140625" style="16"/>
    <col min="15105" max="15105" width="5" style="16" customWidth="1"/>
    <col min="15106" max="15106" width="18.85546875" style="16" customWidth="1"/>
    <col min="15107" max="15107" width="8.7109375" style="16" customWidth="1"/>
    <col min="15108" max="15108" width="7.7109375" style="16" customWidth="1"/>
    <col min="15109" max="15112" width="8.140625" style="16" customWidth="1"/>
    <col min="15113" max="15119" width="8.28515625" style="16" customWidth="1"/>
    <col min="15120" max="15124" width="9.140625" style="16"/>
    <col min="15125" max="15125" width="12.42578125" style="16" customWidth="1"/>
    <col min="15126" max="15126" width="9.140625" style="16"/>
    <col min="15127" max="15127" width="12" style="16" customWidth="1"/>
    <col min="15128" max="15360" width="9.140625" style="16"/>
    <col min="15361" max="15361" width="5" style="16" customWidth="1"/>
    <col min="15362" max="15362" width="18.85546875" style="16" customWidth="1"/>
    <col min="15363" max="15363" width="8.7109375" style="16" customWidth="1"/>
    <col min="15364" max="15364" width="7.7109375" style="16" customWidth="1"/>
    <col min="15365" max="15368" width="8.140625" style="16" customWidth="1"/>
    <col min="15369" max="15375" width="8.28515625" style="16" customWidth="1"/>
    <col min="15376" max="15380" width="9.140625" style="16"/>
    <col min="15381" max="15381" width="12.42578125" style="16" customWidth="1"/>
    <col min="15382" max="15382" width="9.140625" style="16"/>
    <col min="15383" max="15383" width="12" style="16" customWidth="1"/>
    <col min="15384" max="15616" width="9.140625" style="16"/>
    <col min="15617" max="15617" width="5" style="16" customWidth="1"/>
    <col min="15618" max="15618" width="18.85546875" style="16" customWidth="1"/>
    <col min="15619" max="15619" width="8.7109375" style="16" customWidth="1"/>
    <col min="15620" max="15620" width="7.7109375" style="16" customWidth="1"/>
    <col min="15621" max="15624" width="8.140625" style="16" customWidth="1"/>
    <col min="15625" max="15631" width="8.28515625" style="16" customWidth="1"/>
    <col min="15632" max="15636" width="9.140625" style="16"/>
    <col min="15637" max="15637" width="12.42578125" style="16" customWidth="1"/>
    <col min="15638" max="15638" width="9.140625" style="16"/>
    <col min="15639" max="15639" width="12" style="16" customWidth="1"/>
    <col min="15640" max="15872" width="9.140625" style="16"/>
    <col min="15873" max="15873" width="5" style="16" customWidth="1"/>
    <col min="15874" max="15874" width="18.85546875" style="16" customWidth="1"/>
    <col min="15875" max="15875" width="8.7109375" style="16" customWidth="1"/>
    <col min="15876" max="15876" width="7.7109375" style="16" customWidth="1"/>
    <col min="15877" max="15880" width="8.140625" style="16" customWidth="1"/>
    <col min="15881" max="15887" width="8.28515625" style="16" customWidth="1"/>
    <col min="15888" max="15892" width="9.140625" style="16"/>
    <col min="15893" max="15893" width="12.42578125" style="16" customWidth="1"/>
    <col min="15894" max="15894" width="9.140625" style="16"/>
    <col min="15895" max="15895" width="12" style="16" customWidth="1"/>
    <col min="15896" max="16128" width="9.140625" style="16"/>
    <col min="16129" max="16129" width="5" style="16" customWidth="1"/>
    <col min="16130" max="16130" width="18.85546875" style="16" customWidth="1"/>
    <col min="16131" max="16131" width="8.7109375" style="16" customWidth="1"/>
    <col min="16132" max="16132" width="7.7109375" style="16" customWidth="1"/>
    <col min="16133" max="16136" width="8.140625" style="16" customWidth="1"/>
    <col min="16137" max="16143" width="8.28515625" style="16" customWidth="1"/>
    <col min="16144" max="16148" width="9.140625" style="16"/>
    <col min="16149" max="16149" width="12.42578125" style="16" customWidth="1"/>
    <col min="16150" max="16150" width="9.140625" style="16"/>
    <col min="16151" max="16151" width="12" style="16" customWidth="1"/>
    <col min="16152" max="16384" width="9.140625" style="16"/>
  </cols>
  <sheetData>
    <row r="1" spans="1:17" s="1" customFormat="1" x14ac:dyDescent="0.2">
      <c r="A1" s="867" t="s">
        <v>449</v>
      </c>
      <c r="B1" s="868"/>
      <c r="C1" s="868"/>
      <c r="D1" s="869"/>
      <c r="E1" s="868"/>
      <c r="F1" s="868"/>
      <c r="G1" s="867" t="s">
        <v>102</v>
      </c>
      <c r="H1" s="869"/>
      <c r="I1" s="869" t="s">
        <v>583</v>
      </c>
      <c r="J1" s="868"/>
      <c r="K1" s="868"/>
      <c r="L1" s="870"/>
      <c r="M1" s="870"/>
      <c r="N1" s="870"/>
      <c r="O1" s="870"/>
    </row>
    <row r="2" spans="1:17" s="1" customFormat="1" x14ac:dyDescent="0.2">
      <c r="A2" s="867" t="s">
        <v>103</v>
      </c>
      <c r="B2" s="868"/>
      <c r="C2" s="868"/>
      <c r="D2" s="869"/>
      <c r="E2" s="868"/>
      <c r="F2" s="868"/>
      <c r="G2" s="867" t="s">
        <v>104</v>
      </c>
      <c r="H2" s="869"/>
      <c r="I2" s="869" t="s">
        <v>105</v>
      </c>
      <c r="J2" s="868"/>
      <c r="K2" s="868"/>
      <c r="L2" s="870"/>
      <c r="M2" s="870"/>
      <c r="N2" s="870"/>
      <c r="O2" s="870"/>
    </row>
    <row r="3" spans="1:17" s="1" customFormat="1" x14ac:dyDescent="0.2">
      <c r="A3" s="867" t="s">
        <v>106</v>
      </c>
      <c r="B3" s="868"/>
      <c r="C3" s="868"/>
      <c r="D3" s="883" t="s">
        <v>682</v>
      </c>
      <c r="E3" s="868"/>
      <c r="F3" s="868"/>
      <c r="G3" s="867" t="s">
        <v>107</v>
      </c>
      <c r="H3" s="869"/>
      <c r="I3" s="869" t="s">
        <v>108</v>
      </c>
      <c r="J3" s="868"/>
      <c r="K3" s="868"/>
      <c r="L3" s="870"/>
      <c r="M3" s="870"/>
      <c r="N3" s="870"/>
      <c r="O3" s="870"/>
    </row>
    <row r="4" spans="1:17" s="1" customFormat="1" x14ac:dyDescent="0.2">
      <c r="A4" s="867" t="s">
        <v>476</v>
      </c>
      <c r="B4" s="868"/>
      <c r="C4" s="868"/>
      <c r="D4" s="869" t="s">
        <v>683</v>
      </c>
      <c r="E4" s="868"/>
      <c r="F4" s="868"/>
      <c r="G4" s="867" t="s">
        <v>110</v>
      </c>
      <c r="H4" s="869"/>
      <c r="I4" s="869" t="s">
        <v>684</v>
      </c>
      <c r="J4" s="868"/>
      <c r="K4" s="868"/>
      <c r="L4" s="870"/>
      <c r="M4" s="870"/>
      <c r="N4" s="870"/>
      <c r="O4" s="870"/>
    </row>
    <row r="5" spans="1:17" s="1" customFormat="1" x14ac:dyDescent="0.2">
      <c r="A5" s="867" t="s">
        <v>112</v>
      </c>
      <c r="B5" s="868"/>
      <c r="C5" s="868"/>
      <c r="D5" s="869" t="s">
        <v>683</v>
      </c>
      <c r="E5" s="868"/>
      <c r="F5" s="868"/>
      <c r="G5" s="867"/>
      <c r="H5" s="868"/>
      <c r="I5" s="869" t="s">
        <v>113</v>
      </c>
      <c r="J5" s="868"/>
      <c r="K5" s="868"/>
      <c r="L5" s="870"/>
      <c r="M5" s="870"/>
      <c r="N5" s="870"/>
      <c r="O5" s="870"/>
    </row>
    <row r="6" spans="1:17" s="1" customFormat="1" x14ac:dyDescent="0.2">
      <c r="A6" s="871" t="s">
        <v>114</v>
      </c>
      <c r="B6" s="872"/>
      <c r="C6" s="872"/>
      <c r="D6" s="868" t="s">
        <v>584</v>
      </c>
      <c r="E6" s="868"/>
      <c r="F6" s="868"/>
      <c r="G6" s="871" t="s">
        <v>115</v>
      </c>
      <c r="H6" s="871"/>
      <c r="I6" s="2" t="s">
        <v>116</v>
      </c>
      <c r="J6" s="888"/>
      <c r="K6" s="888"/>
      <c r="L6" s="888"/>
      <c r="M6" s="888"/>
      <c r="N6" s="888"/>
      <c r="O6" s="889"/>
    </row>
    <row r="7" spans="1:17" s="1" customFormat="1" ht="13.5" thickBot="1" x14ac:dyDescent="0.25">
      <c r="A7" s="3"/>
      <c r="B7" s="4"/>
      <c r="C7" s="5"/>
      <c r="D7" s="6"/>
      <c r="E7" s="6"/>
      <c r="F7" s="6"/>
      <c r="G7" s="6"/>
      <c r="H7" s="6"/>
      <c r="I7" s="6"/>
      <c r="J7" s="7"/>
      <c r="K7" s="8"/>
      <c r="L7" s="875" t="s">
        <v>223</v>
      </c>
      <c r="M7" s="875"/>
      <c r="N7" s="875"/>
      <c r="O7" s="875"/>
    </row>
    <row r="8" spans="1:17" s="11" customFormat="1" x14ac:dyDescent="0.2">
      <c r="A8" s="876" t="str">
        <f>I1</f>
        <v>Mr. P.B.Singhpal</v>
      </c>
      <c r="B8" s="877"/>
      <c r="C8" s="9">
        <v>43160</v>
      </c>
      <c r="D8" s="9">
        <v>43191</v>
      </c>
      <c r="E8" s="9">
        <v>43221</v>
      </c>
      <c r="F8" s="9">
        <v>43252</v>
      </c>
      <c r="G8" s="9">
        <v>43282</v>
      </c>
      <c r="H8" s="9">
        <v>43313</v>
      </c>
      <c r="I8" s="9">
        <v>43344</v>
      </c>
      <c r="J8" s="9">
        <v>43374</v>
      </c>
      <c r="K8" s="9">
        <v>43405</v>
      </c>
      <c r="L8" s="9">
        <v>43435</v>
      </c>
      <c r="M8" s="9">
        <v>43466</v>
      </c>
      <c r="N8" s="9">
        <v>43497</v>
      </c>
      <c r="O8" s="10" t="s">
        <v>117</v>
      </c>
      <c r="Q8" s="11" t="s">
        <v>116</v>
      </c>
    </row>
    <row r="9" spans="1:17" ht="15" x14ac:dyDescent="0.2">
      <c r="A9" s="12"/>
      <c r="B9" s="13" t="s">
        <v>118</v>
      </c>
      <c r="C9" s="14">
        <v>68000</v>
      </c>
      <c r="D9" s="14">
        <f>+C9</f>
        <v>68000</v>
      </c>
      <c r="E9" s="14">
        <f>+D9</f>
        <v>68000</v>
      </c>
      <c r="F9" s="14">
        <f>+E9</f>
        <v>68000</v>
      </c>
      <c r="G9" s="14">
        <v>70000</v>
      </c>
      <c r="H9" s="14">
        <v>70000</v>
      </c>
      <c r="I9" s="14">
        <v>70000</v>
      </c>
      <c r="J9" s="14">
        <v>70000</v>
      </c>
      <c r="K9" s="14">
        <v>70000</v>
      </c>
      <c r="L9" s="14">
        <v>70000</v>
      </c>
      <c r="M9" s="14">
        <v>70000</v>
      </c>
      <c r="N9" s="14">
        <v>70000</v>
      </c>
      <c r="O9" s="15">
        <f>SUM(C9:N9)</f>
        <v>832000</v>
      </c>
      <c r="Q9" s="16" t="s">
        <v>222</v>
      </c>
    </row>
    <row r="10" spans="1:17"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7" ht="15" x14ac:dyDescent="0.2">
      <c r="A11" s="12"/>
      <c r="B11" s="13" t="s">
        <v>120</v>
      </c>
      <c r="C11" s="17">
        <v>3400</v>
      </c>
      <c r="D11" s="17">
        <v>4760</v>
      </c>
      <c r="E11" s="17">
        <v>4760</v>
      </c>
      <c r="F11" s="17">
        <v>4760</v>
      </c>
      <c r="G11" s="17">
        <v>4900</v>
      </c>
      <c r="H11" s="17">
        <v>4900</v>
      </c>
      <c r="I11" s="17">
        <v>4900</v>
      </c>
      <c r="J11" s="17">
        <v>4900</v>
      </c>
      <c r="K11" s="17">
        <v>4900</v>
      </c>
      <c r="L11" s="17">
        <v>4900</v>
      </c>
      <c r="M11" s="17">
        <v>4900</v>
      </c>
      <c r="N11" s="17">
        <v>4900</v>
      </c>
      <c r="O11" s="18">
        <f>SUM(C11:N11)</f>
        <v>56880</v>
      </c>
    </row>
    <row r="12" spans="1:17"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7"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7" ht="15" x14ac:dyDescent="0.2">
      <c r="A14" s="12"/>
      <c r="B14" s="13" t="s">
        <v>123</v>
      </c>
      <c r="C14" s="17">
        <v>3780</v>
      </c>
      <c r="D14" s="17">
        <v>3752</v>
      </c>
      <c r="E14" s="17">
        <v>3752</v>
      </c>
      <c r="F14" s="17">
        <v>3752</v>
      </c>
      <c r="G14" s="17">
        <v>3752</v>
      </c>
      <c r="H14" s="17">
        <v>3752</v>
      </c>
      <c r="I14" s="17">
        <v>3752</v>
      </c>
      <c r="J14" s="17">
        <v>3924</v>
      </c>
      <c r="K14" s="17">
        <v>3924</v>
      </c>
      <c r="L14" s="17">
        <v>3924</v>
      </c>
      <c r="M14" s="17">
        <v>3924</v>
      </c>
      <c r="N14" s="17">
        <v>3924</v>
      </c>
      <c r="O14" s="18">
        <f t="shared" si="0"/>
        <v>45912</v>
      </c>
    </row>
    <row r="15" spans="1:17" ht="15" x14ac:dyDescent="0.2">
      <c r="A15" s="12"/>
      <c r="B15" s="13" t="s">
        <v>141</v>
      </c>
      <c r="C15" s="17">
        <v>0</v>
      </c>
      <c r="D15" s="17">
        <v>0</v>
      </c>
      <c r="E15" s="17">
        <v>0</v>
      </c>
      <c r="F15" s="17">
        <v>0</v>
      </c>
      <c r="G15" s="17">
        <v>0</v>
      </c>
      <c r="H15" s="17">
        <v>0</v>
      </c>
      <c r="I15" s="17">
        <v>0</v>
      </c>
      <c r="J15" s="17">
        <v>0</v>
      </c>
      <c r="K15" s="17">
        <v>0</v>
      </c>
      <c r="L15" s="17">
        <v>0</v>
      </c>
      <c r="M15" s="17">
        <v>0</v>
      </c>
      <c r="N15" s="17">
        <v>0</v>
      </c>
      <c r="O15" s="18">
        <f t="shared" si="0"/>
        <v>0</v>
      </c>
    </row>
    <row r="16" spans="1:17" ht="30" x14ac:dyDescent="0.2">
      <c r="A16" s="12"/>
      <c r="B16" s="13" t="s">
        <v>685</v>
      </c>
      <c r="C16" s="17">
        <v>0</v>
      </c>
      <c r="D16" s="17">
        <v>0</v>
      </c>
      <c r="E16" s="17">
        <v>56091</v>
      </c>
      <c r="F16" s="17">
        <v>0</v>
      </c>
      <c r="G16" s="17">
        <v>0</v>
      </c>
      <c r="H16" s="17">
        <v>0</v>
      </c>
      <c r="I16" s="17">
        <v>0</v>
      </c>
      <c r="J16" s="17">
        <v>0</v>
      </c>
      <c r="K16" s="17">
        <v>0</v>
      </c>
      <c r="L16" s="17">
        <v>0</v>
      </c>
      <c r="M16" s="17">
        <v>0</v>
      </c>
      <c r="N16" s="17">
        <v>0</v>
      </c>
      <c r="O16" s="18">
        <f t="shared" si="0"/>
        <v>56091</v>
      </c>
    </row>
    <row r="17" spans="1:15" ht="15" x14ac:dyDescent="0.2">
      <c r="A17" s="12"/>
      <c r="B17" s="13" t="s">
        <v>143</v>
      </c>
      <c r="C17" s="17">
        <v>0</v>
      </c>
      <c r="D17" s="17">
        <v>0</v>
      </c>
      <c r="E17" s="17">
        <v>0</v>
      </c>
      <c r="F17" s="17">
        <v>0</v>
      </c>
      <c r="G17" s="17">
        <v>0</v>
      </c>
      <c r="H17" s="17">
        <v>0</v>
      </c>
      <c r="I17" s="17">
        <v>0</v>
      </c>
      <c r="J17" s="17">
        <v>0</v>
      </c>
      <c r="K17" s="17">
        <v>0</v>
      </c>
      <c r="L17" s="17">
        <v>0</v>
      </c>
      <c r="M17" s="17">
        <v>0</v>
      </c>
      <c r="N17" s="17">
        <v>0</v>
      </c>
      <c r="O17" s="18">
        <f t="shared" si="0"/>
        <v>0</v>
      </c>
    </row>
    <row r="18" spans="1:15" ht="16.5" customHeight="1"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16320</v>
      </c>
      <c r="D19" s="17">
        <v>16320</v>
      </c>
      <c r="E19" s="17">
        <v>16320</v>
      </c>
      <c r="F19" s="17">
        <v>16320</v>
      </c>
      <c r="G19" s="17">
        <v>16800</v>
      </c>
      <c r="H19" s="17">
        <v>16800</v>
      </c>
      <c r="I19" s="17">
        <v>16800</v>
      </c>
      <c r="J19" s="17">
        <v>16800</v>
      </c>
      <c r="K19" s="17">
        <v>16800</v>
      </c>
      <c r="L19" s="17">
        <v>16800</v>
      </c>
      <c r="M19" s="17">
        <v>16800</v>
      </c>
      <c r="N19" s="17">
        <v>16800</v>
      </c>
      <c r="O19" s="18">
        <f t="shared" si="0"/>
        <v>199680</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78"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hidden="1" customHeight="1" x14ac:dyDescent="0.2">
      <c r="A22" s="879"/>
      <c r="B22" s="19" t="s">
        <v>132</v>
      </c>
      <c r="C22" s="17">
        <v>0</v>
      </c>
      <c r="D22" s="17">
        <v>0</v>
      </c>
      <c r="E22" s="17">
        <v>0</v>
      </c>
      <c r="F22" s="17">
        <v>0</v>
      </c>
      <c r="G22" s="17">
        <v>0</v>
      </c>
      <c r="H22" s="17">
        <v>0</v>
      </c>
      <c r="I22" s="17">
        <v>0</v>
      </c>
      <c r="J22" s="17">
        <v>0</v>
      </c>
      <c r="K22" s="17">
        <v>0</v>
      </c>
      <c r="L22" s="17">
        <v>0</v>
      </c>
      <c r="M22" s="17">
        <v>0</v>
      </c>
      <c r="N22" s="17">
        <v>0</v>
      </c>
      <c r="O22" s="18">
        <f t="shared" si="0"/>
        <v>0</v>
      </c>
    </row>
    <row r="23" spans="1:15" ht="15" hidden="1" customHeight="1" x14ac:dyDescent="0.2">
      <c r="A23" s="879"/>
      <c r="B23" s="253" t="s">
        <v>252</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79"/>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79"/>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79"/>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79"/>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79"/>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79"/>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79"/>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79"/>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hidden="1" customHeight="1" x14ac:dyDescent="0.2">
      <c r="A32" s="879"/>
      <c r="B32" s="21" t="s">
        <v>142</v>
      </c>
      <c r="C32" s="17">
        <v>0</v>
      </c>
      <c r="D32" s="17">
        <v>0</v>
      </c>
      <c r="E32" s="17">
        <v>0</v>
      </c>
      <c r="F32" s="17">
        <v>0</v>
      </c>
      <c r="G32" s="17">
        <v>0</v>
      </c>
      <c r="H32" s="17">
        <v>0</v>
      </c>
      <c r="I32" s="17">
        <v>0</v>
      </c>
      <c r="J32" s="17">
        <v>0</v>
      </c>
      <c r="K32" s="17">
        <v>0</v>
      </c>
      <c r="L32" s="17">
        <v>0</v>
      </c>
      <c r="M32" s="17">
        <v>0</v>
      </c>
      <c r="N32" s="17">
        <v>0</v>
      </c>
      <c r="O32" s="18">
        <f t="shared" si="0"/>
        <v>0</v>
      </c>
    </row>
    <row r="33" spans="1:16" ht="15" hidden="1" customHeight="1" x14ac:dyDescent="0.2">
      <c r="A33" s="880"/>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865" t="s">
        <v>132</v>
      </c>
      <c r="B34" s="866"/>
      <c r="C34" s="17">
        <v>0</v>
      </c>
      <c r="D34" s="17">
        <v>0</v>
      </c>
      <c r="E34" s="17">
        <v>0</v>
      </c>
      <c r="F34" s="17">
        <v>0</v>
      </c>
      <c r="G34" s="17">
        <v>0</v>
      </c>
      <c r="H34" s="17">
        <v>0</v>
      </c>
      <c r="I34" s="17">
        <v>0</v>
      </c>
      <c r="J34" s="17">
        <v>6908</v>
      </c>
      <c r="K34" s="17">
        <v>0</v>
      </c>
      <c r="L34" s="17">
        <v>0</v>
      </c>
      <c r="M34" s="17">
        <v>0</v>
      </c>
      <c r="N34" s="17">
        <v>0</v>
      </c>
      <c r="O34" s="18">
        <f t="shared" si="0"/>
        <v>6908</v>
      </c>
    </row>
    <row r="35" spans="1:16" ht="15" customHeight="1" x14ac:dyDescent="0.2">
      <c r="A35" s="865" t="s">
        <v>145</v>
      </c>
      <c r="B35" s="866"/>
      <c r="C35" s="17">
        <v>0</v>
      </c>
      <c r="D35" s="17">
        <v>216</v>
      </c>
      <c r="E35" s="17">
        <v>0</v>
      </c>
      <c r="F35" s="17">
        <v>0</v>
      </c>
      <c r="G35" s="17">
        <v>0</v>
      </c>
      <c r="H35" s="17">
        <v>0</v>
      </c>
      <c r="I35" s="17">
        <v>0</v>
      </c>
      <c r="J35" s="17">
        <v>216</v>
      </c>
      <c r="K35" s="17">
        <v>0</v>
      </c>
      <c r="L35" s="17">
        <v>0</v>
      </c>
      <c r="M35" s="17">
        <v>0</v>
      </c>
      <c r="N35" s="17">
        <v>0</v>
      </c>
      <c r="O35" s="18">
        <f t="shared" si="0"/>
        <v>432</v>
      </c>
    </row>
    <row r="36" spans="1:16" ht="15" customHeight="1" x14ac:dyDescent="0.2">
      <c r="A36" s="865" t="s">
        <v>146</v>
      </c>
      <c r="B36" s="866"/>
      <c r="C36" s="17">
        <v>0</v>
      </c>
      <c r="D36" s="17">
        <v>4080</v>
      </c>
      <c r="E36" s="17">
        <v>0</v>
      </c>
      <c r="F36" s="17">
        <v>0</v>
      </c>
      <c r="G36" s="17">
        <v>0</v>
      </c>
      <c r="H36" s="17">
        <v>0</v>
      </c>
      <c r="I36" s="17">
        <v>0</v>
      </c>
      <c r="J36" s="17">
        <v>4200</v>
      </c>
      <c r="K36" s="17">
        <v>0</v>
      </c>
      <c r="L36" s="17">
        <v>0</v>
      </c>
      <c r="M36" s="17">
        <v>0</v>
      </c>
      <c r="N36" s="17">
        <v>0</v>
      </c>
      <c r="O36" s="18">
        <f t="shared" si="0"/>
        <v>8280</v>
      </c>
    </row>
    <row r="37" spans="1:16" ht="15" customHeight="1" x14ac:dyDescent="0.2">
      <c r="A37" s="22"/>
      <c r="B37" s="23" t="s">
        <v>147</v>
      </c>
      <c r="C37" s="24">
        <f t="shared" ref="C37:N37" si="1">SUM(C9:C36)</f>
        <v>91500</v>
      </c>
      <c r="D37" s="24">
        <f t="shared" si="1"/>
        <v>97128</v>
      </c>
      <c r="E37" s="24">
        <f t="shared" si="1"/>
        <v>148923</v>
      </c>
      <c r="F37" s="24">
        <f t="shared" si="1"/>
        <v>92832</v>
      </c>
      <c r="G37" s="24">
        <f t="shared" si="1"/>
        <v>95452</v>
      </c>
      <c r="H37" s="24">
        <f t="shared" si="1"/>
        <v>95452</v>
      </c>
      <c r="I37" s="24">
        <f t="shared" si="1"/>
        <v>95452</v>
      </c>
      <c r="J37" s="24">
        <f t="shared" si="1"/>
        <v>106948</v>
      </c>
      <c r="K37" s="24">
        <f t="shared" si="1"/>
        <v>95624</v>
      </c>
      <c r="L37" s="24">
        <f t="shared" si="1"/>
        <v>95624</v>
      </c>
      <c r="M37" s="24">
        <f t="shared" si="1"/>
        <v>95624</v>
      </c>
      <c r="N37" s="24">
        <f t="shared" si="1"/>
        <v>95624</v>
      </c>
      <c r="O37" s="25">
        <f t="shared" ref="O37:O50" si="2">SUM(C37:N37)</f>
        <v>1206183</v>
      </c>
    </row>
    <row r="38" spans="1:16" ht="15" customHeight="1" x14ac:dyDescent="0.2">
      <c r="A38" s="853" t="s">
        <v>148</v>
      </c>
      <c r="B38" s="27" t="s">
        <v>149</v>
      </c>
      <c r="C38" s="17">
        <v>7200</v>
      </c>
      <c r="D38" s="17">
        <v>7200</v>
      </c>
      <c r="E38" s="17">
        <v>12809</v>
      </c>
      <c r="F38" s="17">
        <v>7200</v>
      </c>
      <c r="G38" s="17">
        <v>7200</v>
      </c>
      <c r="H38" s="17">
        <v>7200</v>
      </c>
      <c r="I38" s="17">
        <v>7500</v>
      </c>
      <c r="J38" s="17">
        <v>7500</v>
      </c>
      <c r="K38" s="17">
        <v>8600</v>
      </c>
      <c r="L38" s="17">
        <v>8550</v>
      </c>
      <c r="M38" s="17">
        <v>8550</v>
      </c>
      <c r="N38" s="17">
        <v>9505</v>
      </c>
      <c r="O38" s="18">
        <f t="shared" si="2"/>
        <v>99014</v>
      </c>
      <c r="P38" s="29"/>
    </row>
    <row r="39" spans="1:16" ht="15" x14ac:dyDescent="0.2">
      <c r="A39" s="854"/>
      <c r="B39" s="27" t="s">
        <v>150</v>
      </c>
      <c r="C39" s="17">
        <v>0</v>
      </c>
      <c r="D39" s="17">
        <v>0</v>
      </c>
      <c r="E39" s="17">
        <v>0</v>
      </c>
      <c r="F39" s="17">
        <v>0</v>
      </c>
      <c r="G39" s="17">
        <v>0</v>
      </c>
      <c r="H39" s="17">
        <v>0</v>
      </c>
      <c r="I39" s="17">
        <v>0</v>
      </c>
      <c r="J39" s="17">
        <v>0</v>
      </c>
      <c r="K39" s="17">
        <v>0</v>
      </c>
      <c r="L39" s="17">
        <v>0</v>
      </c>
      <c r="M39" s="17">
        <v>0</v>
      </c>
      <c r="N39" s="17">
        <v>0</v>
      </c>
      <c r="O39" s="18">
        <f t="shared" si="2"/>
        <v>0</v>
      </c>
    </row>
    <row r="40" spans="1:16" ht="15" x14ac:dyDescent="0.2">
      <c r="A40" s="854"/>
      <c r="B40" s="27" t="s">
        <v>151</v>
      </c>
      <c r="C40" s="17">
        <v>60</v>
      </c>
      <c r="D40" s="17">
        <v>60</v>
      </c>
      <c r="E40" s="17">
        <v>60</v>
      </c>
      <c r="F40" s="17">
        <v>60</v>
      </c>
      <c r="G40" s="17">
        <v>60</v>
      </c>
      <c r="H40" s="17">
        <v>60</v>
      </c>
      <c r="I40" s="17">
        <v>60</v>
      </c>
      <c r="J40" s="17">
        <v>60</v>
      </c>
      <c r="K40" s="17">
        <v>60</v>
      </c>
      <c r="L40" s="17">
        <v>60</v>
      </c>
      <c r="M40" s="17">
        <v>60</v>
      </c>
      <c r="N40" s="17">
        <v>60</v>
      </c>
      <c r="O40" s="18">
        <f t="shared" si="2"/>
        <v>720</v>
      </c>
    </row>
    <row r="41" spans="1:16" ht="15" x14ac:dyDescent="0.2">
      <c r="A41" s="854"/>
      <c r="B41" s="27" t="s">
        <v>152</v>
      </c>
      <c r="C41" s="17">
        <v>0</v>
      </c>
      <c r="D41" s="17">
        <v>0</v>
      </c>
      <c r="E41" s="17">
        <v>0</v>
      </c>
      <c r="F41" s="17">
        <v>0</v>
      </c>
      <c r="G41" s="17">
        <v>0</v>
      </c>
      <c r="H41" s="17">
        <v>0</v>
      </c>
      <c r="I41" s="17">
        <v>0</v>
      </c>
      <c r="J41" s="17">
        <v>0</v>
      </c>
      <c r="K41" s="17">
        <v>0</v>
      </c>
      <c r="L41" s="17">
        <v>0</v>
      </c>
      <c r="M41" s="17">
        <v>0</v>
      </c>
      <c r="N41" s="17">
        <v>0</v>
      </c>
      <c r="O41" s="18">
        <f t="shared" si="2"/>
        <v>0</v>
      </c>
    </row>
    <row r="42" spans="1:16" ht="15" x14ac:dyDescent="0.2">
      <c r="A42" s="854"/>
      <c r="B42" s="27" t="s">
        <v>153</v>
      </c>
      <c r="C42" s="17">
        <v>650</v>
      </c>
      <c r="D42" s="17">
        <v>650</v>
      </c>
      <c r="E42" s="17">
        <v>650</v>
      </c>
      <c r="F42" s="17">
        <v>650</v>
      </c>
      <c r="G42" s="17">
        <v>650</v>
      </c>
      <c r="H42" s="17">
        <v>650</v>
      </c>
      <c r="I42" s="17">
        <v>650</v>
      </c>
      <c r="J42" s="17">
        <v>650</v>
      </c>
      <c r="K42" s="17">
        <v>650</v>
      </c>
      <c r="L42" s="17">
        <v>650</v>
      </c>
      <c r="M42" s="17">
        <v>650</v>
      </c>
      <c r="N42" s="17">
        <v>650</v>
      </c>
      <c r="O42" s="18">
        <f t="shared" si="2"/>
        <v>7800</v>
      </c>
    </row>
    <row r="43" spans="1:16" ht="15" x14ac:dyDescent="0.2">
      <c r="A43" s="854"/>
      <c r="B43" s="27" t="s">
        <v>154</v>
      </c>
      <c r="C43" s="17">
        <v>25000</v>
      </c>
      <c r="D43" s="17">
        <v>25000</v>
      </c>
      <c r="E43" s="17">
        <v>25000</v>
      </c>
      <c r="F43" s="17">
        <v>25000</v>
      </c>
      <c r="G43" s="17">
        <v>25000</v>
      </c>
      <c r="H43" s="17">
        <v>25000</v>
      </c>
      <c r="I43" s="17">
        <v>25000</v>
      </c>
      <c r="J43" s="17">
        <v>25000</v>
      </c>
      <c r="K43" s="17">
        <v>25000</v>
      </c>
      <c r="L43" s="17">
        <v>25000</v>
      </c>
      <c r="M43" s="17">
        <v>25000</v>
      </c>
      <c r="N43" s="17">
        <v>25000</v>
      </c>
      <c r="O43" s="18">
        <f t="shared" si="2"/>
        <v>300000</v>
      </c>
    </row>
    <row r="44" spans="1:16" ht="15" x14ac:dyDescent="0.2">
      <c r="A44" s="854"/>
      <c r="B44" s="27" t="s">
        <v>155</v>
      </c>
      <c r="C44" s="17">
        <v>200</v>
      </c>
      <c r="D44" s="17">
        <v>200</v>
      </c>
      <c r="E44" s="17">
        <v>200</v>
      </c>
      <c r="F44" s="17">
        <v>200</v>
      </c>
      <c r="G44" s="17">
        <v>200</v>
      </c>
      <c r="H44" s="17">
        <v>200</v>
      </c>
      <c r="I44" s="17">
        <v>200</v>
      </c>
      <c r="J44" s="17">
        <v>200</v>
      </c>
      <c r="K44" s="17">
        <v>200</v>
      </c>
      <c r="L44" s="17">
        <v>200</v>
      </c>
      <c r="M44" s="17">
        <v>200</v>
      </c>
      <c r="N44" s="17">
        <v>300</v>
      </c>
      <c r="O44" s="18">
        <f t="shared" si="2"/>
        <v>2500</v>
      </c>
    </row>
    <row r="45" spans="1:16" ht="30" x14ac:dyDescent="0.2">
      <c r="A45" s="854"/>
      <c r="B45" s="27" t="s">
        <v>686</v>
      </c>
      <c r="C45" s="17">
        <v>0</v>
      </c>
      <c r="D45" s="17">
        <v>0</v>
      </c>
      <c r="E45" s="17">
        <v>0</v>
      </c>
      <c r="F45" s="17">
        <v>0</v>
      </c>
      <c r="G45" s="17">
        <v>0</v>
      </c>
      <c r="H45" s="17">
        <v>0</v>
      </c>
      <c r="I45" s="17">
        <v>0</v>
      </c>
      <c r="J45" s="17">
        <v>0</v>
      </c>
      <c r="K45" s="17">
        <v>0</v>
      </c>
      <c r="L45" s="17">
        <v>0</v>
      </c>
      <c r="M45" s="17">
        <v>0</v>
      </c>
      <c r="N45" s="17">
        <v>0</v>
      </c>
      <c r="O45" s="18">
        <f t="shared" si="2"/>
        <v>0</v>
      </c>
    </row>
    <row r="46" spans="1:16" ht="15" x14ac:dyDescent="0.2">
      <c r="A46" s="854"/>
      <c r="B46" s="27" t="s">
        <v>157</v>
      </c>
      <c r="C46" s="17">
        <v>0</v>
      </c>
      <c r="D46" s="17">
        <v>0</v>
      </c>
      <c r="E46" s="17">
        <v>0</v>
      </c>
      <c r="F46" s="17">
        <v>0</v>
      </c>
      <c r="G46" s="17">
        <v>0</v>
      </c>
      <c r="H46" s="17">
        <v>0</v>
      </c>
      <c r="I46" s="17">
        <v>0</v>
      </c>
      <c r="J46" s="17">
        <v>0</v>
      </c>
      <c r="K46" s="17">
        <v>0</v>
      </c>
      <c r="L46" s="17">
        <v>0</v>
      </c>
      <c r="M46" s="17">
        <v>0</v>
      </c>
      <c r="N46" s="17">
        <v>0</v>
      </c>
      <c r="O46" s="18">
        <f t="shared" si="2"/>
        <v>0</v>
      </c>
    </row>
    <row r="47" spans="1:16" ht="28.5" customHeight="1" x14ac:dyDescent="0.2">
      <c r="A47" s="855"/>
      <c r="B47" s="30" t="s">
        <v>158</v>
      </c>
      <c r="C47" s="17">
        <v>0</v>
      </c>
      <c r="D47" s="17">
        <v>0</v>
      </c>
      <c r="E47" s="17">
        <v>0</v>
      </c>
      <c r="F47" s="17">
        <v>0</v>
      </c>
      <c r="G47" s="17">
        <v>0</v>
      </c>
      <c r="H47" s="17">
        <v>0</v>
      </c>
      <c r="I47" s="17">
        <v>0</v>
      </c>
      <c r="J47" s="17">
        <v>0</v>
      </c>
      <c r="K47" s="17">
        <v>0</v>
      </c>
      <c r="L47" s="17">
        <v>0</v>
      </c>
      <c r="M47" s="17">
        <v>0</v>
      </c>
      <c r="N47" s="17">
        <v>0</v>
      </c>
      <c r="O47" s="31">
        <f t="shared" si="2"/>
        <v>0</v>
      </c>
    </row>
    <row r="48" spans="1:16" ht="30" x14ac:dyDescent="0.2">
      <c r="A48" s="856"/>
      <c r="B48" s="127" t="s">
        <v>687</v>
      </c>
      <c r="C48" s="17">
        <v>0</v>
      </c>
      <c r="D48" s="17">
        <v>0</v>
      </c>
      <c r="E48" s="17">
        <v>0</v>
      </c>
      <c r="F48" s="17">
        <v>0</v>
      </c>
      <c r="G48" s="17">
        <v>0</v>
      </c>
      <c r="H48" s="17">
        <v>0</v>
      </c>
      <c r="I48" s="17">
        <v>0</v>
      </c>
      <c r="J48" s="17">
        <v>0</v>
      </c>
      <c r="K48" s="17">
        <v>0</v>
      </c>
      <c r="L48" s="17">
        <v>0</v>
      </c>
      <c r="M48" s="17">
        <v>0</v>
      </c>
      <c r="N48" s="17">
        <v>0</v>
      </c>
      <c r="O48" s="31">
        <f t="shared" si="2"/>
        <v>0</v>
      </c>
    </row>
    <row r="49" spans="1:19" ht="15" x14ac:dyDescent="0.2">
      <c r="A49" s="857" t="s">
        <v>160</v>
      </c>
      <c r="B49" s="858"/>
      <c r="C49" s="33">
        <f t="shared" ref="C49:N49" si="3">SUM(C38:C48)</f>
        <v>33110</v>
      </c>
      <c r="D49" s="33">
        <f t="shared" si="3"/>
        <v>33110</v>
      </c>
      <c r="E49" s="33">
        <f t="shared" si="3"/>
        <v>38719</v>
      </c>
      <c r="F49" s="33">
        <f t="shared" si="3"/>
        <v>33110</v>
      </c>
      <c r="G49" s="33">
        <f t="shared" si="3"/>
        <v>33110</v>
      </c>
      <c r="H49" s="33">
        <f t="shared" si="3"/>
        <v>33110</v>
      </c>
      <c r="I49" s="33">
        <f t="shared" si="3"/>
        <v>33410</v>
      </c>
      <c r="J49" s="33">
        <f t="shared" si="3"/>
        <v>33410</v>
      </c>
      <c r="K49" s="33">
        <f t="shared" si="3"/>
        <v>34510</v>
      </c>
      <c r="L49" s="33">
        <f t="shared" si="3"/>
        <v>34460</v>
      </c>
      <c r="M49" s="33">
        <f t="shared" si="3"/>
        <v>34460</v>
      </c>
      <c r="N49" s="33">
        <f t="shared" si="3"/>
        <v>35515</v>
      </c>
      <c r="O49" s="34">
        <f t="shared" si="2"/>
        <v>410034</v>
      </c>
    </row>
    <row r="50" spans="1:19" ht="15.75" thickBot="1" x14ac:dyDescent="0.25">
      <c r="A50" s="859" t="s">
        <v>161</v>
      </c>
      <c r="B50" s="860"/>
      <c r="C50" s="35">
        <f t="shared" ref="C50:N50" si="4">C37-C49</f>
        <v>58390</v>
      </c>
      <c r="D50" s="35">
        <f t="shared" si="4"/>
        <v>64018</v>
      </c>
      <c r="E50" s="35">
        <f t="shared" si="4"/>
        <v>110204</v>
      </c>
      <c r="F50" s="35">
        <f t="shared" si="4"/>
        <v>59722</v>
      </c>
      <c r="G50" s="35">
        <f t="shared" si="4"/>
        <v>62342</v>
      </c>
      <c r="H50" s="35">
        <f t="shared" si="4"/>
        <v>62342</v>
      </c>
      <c r="I50" s="35">
        <f t="shared" si="4"/>
        <v>62042</v>
      </c>
      <c r="J50" s="35">
        <f t="shared" si="4"/>
        <v>73538</v>
      </c>
      <c r="K50" s="35">
        <f t="shared" si="4"/>
        <v>61114</v>
      </c>
      <c r="L50" s="35">
        <f t="shared" si="4"/>
        <v>61164</v>
      </c>
      <c r="M50" s="35">
        <f t="shared" si="4"/>
        <v>61164</v>
      </c>
      <c r="N50" s="35">
        <f t="shared" si="4"/>
        <v>60109</v>
      </c>
      <c r="O50" s="36">
        <f t="shared" si="2"/>
        <v>796149</v>
      </c>
      <c r="Q50" s="16">
        <f>22042+18642+7156+20321+30000+20441+21764+23564+23164+6897+3454+24638+24313*2+24413+23771</f>
        <v>318893</v>
      </c>
    </row>
    <row r="51" spans="1:19" x14ac:dyDescent="0.2">
      <c r="E51" s="38"/>
      <c r="F51" s="38"/>
      <c r="J51" s="16">
        <f>+J37-SUM(J20:J36)</f>
        <v>95624</v>
      </c>
      <c r="Q51" s="38"/>
    </row>
    <row r="52" spans="1:19" ht="13.5" thickBot="1" x14ac:dyDescent="0.25">
      <c r="J52" s="38">
        <f>+J51-J49</f>
        <v>62214</v>
      </c>
    </row>
    <row r="53" spans="1:19" ht="13.5" thickBot="1" x14ac:dyDescent="0.25">
      <c r="B53" s="789" t="s">
        <v>162</v>
      </c>
      <c r="C53" s="861"/>
      <c r="D53" s="861"/>
      <c r="E53" s="861"/>
      <c r="F53" s="862"/>
      <c r="G53" s="863">
        <f>O37</f>
        <v>1206183</v>
      </c>
      <c r="H53" s="864"/>
    </row>
    <row r="54" spans="1:19" ht="13.5" thickBot="1" x14ac:dyDescent="0.25"/>
    <row r="55" spans="1:19" x14ac:dyDescent="0.2">
      <c r="B55" s="830" t="s">
        <v>163</v>
      </c>
      <c r="C55" s="833" t="s">
        <v>164</v>
      </c>
      <c r="D55" s="836" t="s">
        <v>229</v>
      </c>
      <c r="E55" s="837"/>
      <c r="F55" s="838"/>
      <c r="G55" s="839">
        <v>40000</v>
      </c>
      <c r="H55" s="840"/>
      <c r="J55" s="106"/>
    </row>
    <row r="56" spans="1:19" x14ac:dyDescent="0.2">
      <c r="B56" s="831"/>
      <c r="C56" s="834"/>
      <c r="D56" s="841" t="s">
        <v>166</v>
      </c>
      <c r="E56" s="842"/>
      <c r="F56" s="843"/>
      <c r="G56" s="844">
        <f>+O44</f>
        <v>2500</v>
      </c>
      <c r="H56" s="845"/>
      <c r="I56" s="39"/>
      <c r="J56" s="846"/>
      <c r="K56" s="846"/>
      <c r="L56" s="846"/>
      <c r="M56" s="847"/>
      <c r="N56" s="847"/>
      <c r="O56" s="847"/>
    </row>
    <row r="57" spans="1:19" x14ac:dyDescent="0.2">
      <c r="B57" s="886"/>
      <c r="C57" s="887"/>
      <c r="D57" s="153" t="s">
        <v>129</v>
      </c>
      <c r="E57" s="41"/>
      <c r="F57" s="42"/>
      <c r="G57" s="43"/>
      <c r="H57" s="44">
        <v>2400</v>
      </c>
      <c r="I57" s="39"/>
      <c r="J57" s="45"/>
      <c r="K57" s="45"/>
      <c r="L57" s="45"/>
      <c r="M57" s="46"/>
      <c r="N57" s="46"/>
      <c r="O57" s="46"/>
    </row>
    <row r="58" spans="1:19" ht="13.5" thickBot="1" x14ac:dyDescent="0.25">
      <c r="B58" s="832"/>
      <c r="C58" s="835"/>
      <c r="D58" s="921" t="s">
        <v>688</v>
      </c>
      <c r="E58" s="849"/>
      <c r="F58" s="850"/>
      <c r="G58" s="851">
        <v>90000</v>
      </c>
      <c r="H58" s="852"/>
      <c r="J58" s="47"/>
      <c r="K58" s="47"/>
      <c r="L58" s="47"/>
      <c r="M58" s="47"/>
      <c r="N58" s="47"/>
      <c r="O58" s="47"/>
    </row>
    <row r="59" spans="1:19" ht="13.5" thickBot="1" x14ac:dyDescent="0.25">
      <c r="B59" s="48"/>
      <c r="J59" s="47"/>
      <c r="K59" s="47"/>
      <c r="L59" s="47"/>
      <c r="M59" s="47"/>
      <c r="N59" s="47"/>
      <c r="O59" s="47"/>
    </row>
    <row r="60" spans="1:19" ht="13.5" thickBot="1" x14ac:dyDescent="0.25">
      <c r="B60" s="789" t="s">
        <v>168</v>
      </c>
      <c r="C60" s="790"/>
      <c r="D60" s="790"/>
      <c r="E60" s="790"/>
      <c r="F60" s="791"/>
      <c r="G60" s="825">
        <f>+G53-SUM(G55:H58)</f>
        <v>1071283</v>
      </c>
      <c r="H60" s="826"/>
      <c r="J60" s="827" t="s">
        <v>169</v>
      </c>
      <c r="K60" s="828"/>
      <c r="L60" s="828"/>
      <c r="M60" s="828"/>
      <c r="N60" s="828"/>
      <c r="O60" s="829"/>
    </row>
    <row r="61" spans="1:19" ht="13.5" thickBot="1" x14ac:dyDescent="0.25">
      <c r="B61" s="49"/>
      <c r="C61" s="50"/>
      <c r="D61" s="50"/>
      <c r="E61" s="50"/>
      <c r="F61" s="50"/>
      <c r="G61" s="45"/>
      <c r="H61" s="50"/>
      <c r="J61" s="129"/>
      <c r="K61" s="130"/>
      <c r="L61" s="130"/>
      <c r="M61" s="130"/>
      <c r="N61" s="130"/>
      <c r="O61" s="131"/>
    </row>
    <row r="62" spans="1:19" ht="13.5" thickBot="1" x14ac:dyDescent="0.25">
      <c r="B62" s="789" t="s">
        <v>170</v>
      </c>
      <c r="C62" s="790"/>
      <c r="D62" s="790"/>
      <c r="E62" s="790"/>
      <c r="F62" s="791"/>
      <c r="G62" s="805"/>
      <c r="H62" s="791"/>
      <c r="J62" s="129"/>
      <c r="K62" s="130"/>
      <c r="L62" s="130"/>
      <c r="M62" s="130"/>
      <c r="N62" s="130"/>
      <c r="O62" s="131"/>
    </row>
    <row r="63" spans="1:19" ht="12.75" customHeight="1" x14ac:dyDescent="0.2">
      <c r="B63" s="57" t="s">
        <v>171</v>
      </c>
      <c r="C63" s="806" t="s">
        <v>172</v>
      </c>
      <c r="D63" s="807"/>
      <c r="E63" s="807"/>
      <c r="F63" s="808"/>
      <c r="G63" s="809">
        <v>0</v>
      </c>
      <c r="H63" s="809"/>
      <c r="I63" s="58"/>
      <c r="J63" s="810" t="s">
        <v>173</v>
      </c>
      <c r="K63" s="811"/>
      <c r="L63" s="811"/>
      <c r="M63" s="811"/>
      <c r="N63" s="811"/>
      <c r="O63" s="812"/>
      <c r="Q63" s="59"/>
      <c r="R63" s="59"/>
      <c r="S63" s="59"/>
    </row>
    <row r="64" spans="1:19" ht="13.5" thickBot="1" x14ac:dyDescent="0.25">
      <c r="D64" s="37"/>
      <c r="I64" s="58"/>
      <c r="J64" s="60" t="s">
        <v>254</v>
      </c>
      <c r="K64" s="132"/>
      <c r="L64" s="132"/>
      <c r="M64" s="133"/>
      <c r="N64" s="133"/>
      <c r="O64" s="134"/>
      <c r="Q64" s="59"/>
      <c r="R64" s="59"/>
      <c r="S64" s="59"/>
    </row>
    <row r="65" spans="2:19" ht="13.5" thickBot="1" x14ac:dyDescent="0.25">
      <c r="B65" s="789" t="s">
        <v>175</v>
      </c>
      <c r="C65" s="790"/>
      <c r="D65" s="790"/>
      <c r="E65" s="790"/>
      <c r="F65" s="791"/>
      <c r="G65" s="805">
        <f>+G60-G63</f>
        <v>1071283</v>
      </c>
      <c r="H65" s="791"/>
      <c r="I65" s="63"/>
      <c r="J65" s="75"/>
      <c r="K65" s="39"/>
      <c r="L65" s="39"/>
      <c r="M65" s="39"/>
      <c r="N65" s="39"/>
      <c r="O65" s="65"/>
      <c r="Q65" s="59"/>
      <c r="R65" s="59"/>
      <c r="S65" s="59"/>
    </row>
    <row r="66" spans="2:19" ht="12.75" customHeight="1" x14ac:dyDescent="0.2">
      <c r="B66" s="48"/>
      <c r="C66" s="48"/>
      <c r="I66" s="63"/>
      <c r="J66" s="64"/>
      <c r="K66" s="39"/>
      <c r="L66" s="39"/>
      <c r="M66" s="39"/>
      <c r="N66" s="39"/>
      <c r="O66" s="65"/>
      <c r="Q66" s="59"/>
      <c r="R66" s="59"/>
      <c r="S66" s="59"/>
    </row>
    <row r="67" spans="2:19" x14ac:dyDescent="0.2">
      <c r="B67" s="66" t="s">
        <v>176</v>
      </c>
      <c r="C67" s="48"/>
      <c r="I67" s="63"/>
      <c r="J67" s="67"/>
      <c r="K67" s="68"/>
      <c r="L67" s="68"/>
      <c r="M67" s="68"/>
      <c r="N67" s="68"/>
      <c r="O67" s="69"/>
      <c r="Q67" s="59"/>
      <c r="R67" s="59"/>
      <c r="S67" s="59"/>
    </row>
    <row r="68" spans="2:19" ht="26.25" customHeight="1" thickBot="1" x14ac:dyDescent="0.25">
      <c r="B68" s="66"/>
      <c r="C68" s="48"/>
      <c r="G68" s="70" t="s">
        <v>177</v>
      </c>
      <c r="H68" s="70" t="s">
        <v>178</v>
      </c>
      <c r="I68" s="63"/>
      <c r="J68" s="810" t="s">
        <v>179</v>
      </c>
      <c r="K68" s="811"/>
      <c r="L68" s="71"/>
      <c r="M68" s="71"/>
      <c r="N68" s="71"/>
      <c r="O68" s="158" t="s">
        <v>267</v>
      </c>
      <c r="Q68" s="59"/>
      <c r="R68" s="59"/>
      <c r="S68" s="59"/>
    </row>
    <row r="69" spans="2:19" ht="12.75" customHeight="1" x14ac:dyDescent="0.2">
      <c r="B69" s="802" t="s">
        <v>180</v>
      </c>
      <c r="C69" s="821" t="s">
        <v>181</v>
      </c>
      <c r="D69" s="823" t="s">
        <v>182</v>
      </c>
      <c r="E69" s="824"/>
      <c r="F69" s="824"/>
      <c r="G69" s="73">
        <f>+O43</f>
        <v>300000</v>
      </c>
      <c r="H69" s="74">
        <f t="shared" ref="H69:H77" si="5">+G69</f>
        <v>300000</v>
      </c>
      <c r="I69" s="63"/>
      <c r="J69" s="75" t="s">
        <v>183</v>
      </c>
      <c r="K69" s="58"/>
      <c r="L69" s="58"/>
      <c r="M69" s="58"/>
      <c r="N69" s="58"/>
      <c r="O69" s="76"/>
      <c r="Q69" s="59"/>
      <c r="R69" s="59"/>
      <c r="S69" s="59"/>
    </row>
    <row r="70" spans="2:19" ht="12.75" customHeight="1" x14ac:dyDescent="0.2">
      <c r="B70" s="803"/>
      <c r="C70" s="822"/>
      <c r="D70" s="782" t="s">
        <v>184</v>
      </c>
      <c r="E70" s="783"/>
      <c r="F70" s="783"/>
      <c r="G70" s="77">
        <f>+O47</f>
        <v>0</v>
      </c>
      <c r="H70" s="78">
        <f t="shared" si="5"/>
        <v>0</v>
      </c>
      <c r="I70" s="63"/>
      <c r="J70" s="181"/>
      <c r="K70" s="58"/>
      <c r="L70" s="58"/>
      <c r="M70" s="183"/>
      <c r="N70" s="68"/>
      <c r="O70" s="136"/>
      <c r="Q70" s="59"/>
      <c r="R70" s="59"/>
      <c r="S70" s="59"/>
    </row>
    <row r="71" spans="2:19" ht="12.75" customHeight="1" x14ac:dyDescent="0.2">
      <c r="B71" s="803"/>
      <c r="C71" s="822"/>
      <c r="D71" s="819" t="s">
        <v>185</v>
      </c>
      <c r="E71" s="820"/>
      <c r="F71" s="820"/>
      <c r="G71" s="80">
        <f>O40</f>
        <v>720</v>
      </c>
      <c r="H71" s="78">
        <f t="shared" si="5"/>
        <v>720</v>
      </c>
      <c r="I71" s="63"/>
      <c r="J71" s="75"/>
      <c r="K71" s="68"/>
      <c r="L71" s="68"/>
      <c r="M71" s="68"/>
      <c r="N71" s="68"/>
      <c r="O71" s="69"/>
    </row>
    <row r="72" spans="2:19" x14ac:dyDescent="0.2">
      <c r="B72" s="803"/>
      <c r="C72" s="822"/>
      <c r="D72" s="782" t="s">
        <v>186</v>
      </c>
      <c r="E72" s="783"/>
      <c r="F72" s="783"/>
      <c r="G72" s="81">
        <v>0</v>
      </c>
      <c r="H72" s="78">
        <f t="shared" si="5"/>
        <v>0</v>
      </c>
      <c r="I72" s="63"/>
      <c r="J72" s="181"/>
      <c r="K72" s="58"/>
      <c r="L72" s="58"/>
      <c r="M72" s="183"/>
      <c r="N72" s="58"/>
      <c r="O72" s="76"/>
    </row>
    <row r="73" spans="2:19" ht="12.75" customHeight="1" x14ac:dyDescent="0.2">
      <c r="B73" s="803"/>
      <c r="C73" s="822"/>
      <c r="D73" s="784" t="s">
        <v>188</v>
      </c>
      <c r="E73" s="783"/>
      <c r="F73" s="783"/>
      <c r="G73" s="80">
        <v>0</v>
      </c>
      <c r="H73" s="78">
        <f t="shared" si="5"/>
        <v>0</v>
      </c>
      <c r="I73" s="63"/>
      <c r="J73" s="64"/>
      <c r="K73" s="50"/>
      <c r="L73" s="50"/>
      <c r="M73" s="183"/>
      <c r="N73" s="50"/>
      <c r="O73" s="83"/>
    </row>
    <row r="74" spans="2:19" ht="14.25" customHeight="1" x14ac:dyDescent="0.2">
      <c r="B74" s="803"/>
      <c r="C74" s="822"/>
      <c r="D74" s="782" t="s">
        <v>190</v>
      </c>
      <c r="E74" s="783"/>
      <c r="F74" s="783"/>
      <c r="G74" s="84">
        <v>0</v>
      </c>
      <c r="H74" s="78">
        <f t="shared" si="5"/>
        <v>0</v>
      </c>
      <c r="I74" s="63"/>
      <c r="J74" s="64"/>
      <c r="K74" s="39"/>
      <c r="L74" s="39"/>
      <c r="M74" s="39"/>
      <c r="N74" s="39"/>
      <c r="O74" s="65"/>
    </row>
    <row r="75" spans="2:19" x14ac:dyDescent="0.2">
      <c r="B75" s="803"/>
      <c r="C75" s="822"/>
      <c r="D75" s="782" t="s">
        <v>191</v>
      </c>
      <c r="E75" s="783"/>
      <c r="F75" s="783"/>
      <c r="G75" s="81">
        <v>0</v>
      </c>
      <c r="H75" s="78">
        <f t="shared" si="5"/>
        <v>0</v>
      </c>
      <c r="I75" s="58"/>
      <c r="J75" s="82" t="s">
        <v>187</v>
      </c>
      <c r="K75" s="71"/>
      <c r="L75" s="71"/>
      <c r="M75" s="71"/>
      <c r="N75" s="71"/>
      <c r="O75" s="72"/>
    </row>
    <row r="76" spans="2:19" x14ac:dyDescent="0.2">
      <c r="B76" s="803"/>
      <c r="C76" s="88" t="s">
        <v>192</v>
      </c>
      <c r="D76" s="813" t="s">
        <v>193</v>
      </c>
      <c r="E76" s="814"/>
      <c r="F76" s="814"/>
      <c r="G76" s="80">
        <v>0</v>
      </c>
      <c r="H76" s="78">
        <f t="shared" si="5"/>
        <v>0</v>
      </c>
      <c r="I76" s="58"/>
      <c r="J76" s="75" t="s">
        <v>189</v>
      </c>
      <c r="K76" s="50"/>
      <c r="L76" s="50"/>
      <c r="M76" s="50"/>
      <c r="N76" s="50"/>
      <c r="O76" s="83">
        <f>O42</f>
        <v>7800</v>
      </c>
    </row>
    <row r="77" spans="2:19" ht="13.5" customHeight="1" thickBot="1" x14ac:dyDescent="0.25">
      <c r="B77" s="803"/>
      <c r="C77" s="88" t="s">
        <v>194</v>
      </c>
      <c r="D77" s="815" t="s">
        <v>195</v>
      </c>
      <c r="E77" s="815"/>
      <c r="F77" s="815"/>
      <c r="G77" s="89">
        <v>0</v>
      </c>
      <c r="H77" s="90">
        <f t="shared" si="5"/>
        <v>0</v>
      </c>
      <c r="I77" s="63"/>
      <c r="J77" s="67"/>
      <c r="K77" s="68"/>
      <c r="L77" s="68"/>
      <c r="M77" s="91"/>
      <c r="N77" s="91"/>
      <c r="O77" s="92"/>
    </row>
    <row r="78" spans="2:19" ht="13.5" thickBot="1" x14ac:dyDescent="0.25">
      <c r="B78" s="803"/>
      <c r="C78" s="93"/>
      <c r="D78" s="94"/>
      <c r="E78" s="816" t="s">
        <v>117</v>
      </c>
      <c r="F78" s="817"/>
      <c r="G78" s="95">
        <f>SUM(G69:G77)</f>
        <v>300720</v>
      </c>
      <c r="H78" s="96">
        <f>IF(SUM(G69:G75)&lt;150000,SUM(G69:G75),150000)+IF(+G76&lt;20000,+G76,20000)</f>
        <v>150000</v>
      </c>
      <c r="I78" s="63"/>
      <c r="J78" s="140"/>
      <c r="K78" s="141"/>
      <c r="L78" s="141"/>
      <c r="M78" s="142"/>
      <c r="N78" s="142"/>
      <c r="O78" s="143"/>
    </row>
    <row r="79" spans="2:19" ht="12.75" customHeight="1" x14ac:dyDescent="0.2">
      <c r="B79" s="803"/>
      <c r="C79" s="100" t="s">
        <v>196</v>
      </c>
      <c r="D79" s="782" t="s">
        <v>187</v>
      </c>
      <c r="E79" s="783"/>
      <c r="F79" s="818"/>
      <c r="G79" s="73">
        <f>+O42</f>
        <v>7800</v>
      </c>
      <c r="H79" s="101">
        <f>+IF(+G79&lt;25000,+G79,25000)</f>
        <v>7800</v>
      </c>
      <c r="I79" s="87"/>
      <c r="J79" s="1" t="s">
        <v>689</v>
      </c>
    </row>
    <row r="80" spans="2:19" x14ac:dyDescent="0.2">
      <c r="B80" s="803"/>
      <c r="C80" s="100" t="s">
        <v>197</v>
      </c>
      <c r="D80" s="784" t="s">
        <v>198</v>
      </c>
      <c r="E80" s="785"/>
      <c r="F80" s="786"/>
      <c r="G80" s="102"/>
      <c r="H80" s="103">
        <f>+IF(+G80&lt;40000,+G80,40000)</f>
        <v>0</v>
      </c>
      <c r="I80" s="63"/>
      <c r="J80" s="105" t="s">
        <v>690</v>
      </c>
    </row>
    <row r="81" spans="2:19" x14ac:dyDescent="0.2">
      <c r="B81" s="803"/>
      <c r="C81" s="100" t="s">
        <v>199</v>
      </c>
      <c r="D81" s="784" t="s">
        <v>200</v>
      </c>
      <c r="E81" s="785"/>
      <c r="F81" s="786"/>
      <c r="G81" s="81"/>
      <c r="H81" s="104">
        <v>0</v>
      </c>
      <c r="I81" s="63"/>
      <c r="J81" s="105" t="s">
        <v>691</v>
      </c>
      <c r="K81" s="105"/>
      <c r="L81" s="105"/>
      <c r="M81" s="105"/>
      <c r="N81" s="105"/>
    </row>
    <row r="82" spans="2:19" x14ac:dyDescent="0.2">
      <c r="B82" s="803"/>
      <c r="C82" s="100" t="s">
        <v>201</v>
      </c>
      <c r="D82" s="784" t="s">
        <v>202</v>
      </c>
      <c r="E82" s="785"/>
      <c r="F82" s="786"/>
      <c r="G82" s="81"/>
      <c r="H82" s="104">
        <v>0</v>
      </c>
      <c r="I82" s="63"/>
    </row>
    <row r="83" spans="2:19" ht="15.75" thickBot="1" x14ac:dyDescent="0.3">
      <c r="B83" s="804"/>
      <c r="C83" s="100" t="s">
        <v>203</v>
      </c>
      <c r="D83" s="784" t="s">
        <v>204</v>
      </c>
      <c r="E83" s="785"/>
      <c r="F83" s="786"/>
      <c r="G83" s="102"/>
      <c r="H83" s="103">
        <f>+IF(+G83&lt;100000,+G83,10000)</f>
        <v>0</v>
      </c>
      <c r="I83" s="63"/>
      <c r="J83" s="264"/>
      <c r="K83" s="264"/>
      <c r="L83" s="264"/>
    </row>
    <row r="84" spans="2:19" ht="13.5" thickBot="1" x14ac:dyDescent="0.25">
      <c r="B84" s="787" t="s">
        <v>205</v>
      </c>
      <c r="C84" s="788"/>
      <c r="D84" s="788"/>
      <c r="E84" s="788"/>
      <c r="F84" s="788"/>
      <c r="G84" s="107">
        <f>SUM(G79:G83)</f>
        <v>7800</v>
      </c>
      <c r="H84" s="108">
        <f>SUM(H78:H83)</f>
        <v>157800</v>
      </c>
    </row>
    <row r="85" spans="2:19" ht="13.5" thickBot="1" x14ac:dyDescent="0.25"/>
    <row r="86" spans="2:19" ht="13.5" thickBot="1" x14ac:dyDescent="0.25">
      <c r="B86" s="789" t="s">
        <v>206</v>
      </c>
      <c r="C86" s="790"/>
      <c r="D86" s="790"/>
      <c r="E86" s="790"/>
      <c r="F86" s="791"/>
      <c r="G86" s="792">
        <f>+G65-H84</f>
        <v>913483</v>
      </c>
      <c r="H86" s="791"/>
      <c r="J86" s="109">
        <f>C37+D37+E37+F37</f>
        <v>430383</v>
      </c>
      <c r="K86" s="16" t="s">
        <v>235</v>
      </c>
      <c r="N86" s="156" t="s">
        <v>257</v>
      </c>
    </row>
    <row r="87" spans="2:19" x14ac:dyDescent="0.2">
      <c r="B87" s="110"/>
      <c r="F87" s="105"/>
      <c r="J87" s="109">
        <f>G37+H37+I37</f>
        <v>286356</v>
      </c>
      <c r="K87" s="16" t="s">
        <v>236</v>
      </c>
      <c r="N87" s="1" t="s">
        <v>347</v>
      </c>
      <c r="S87" s="16">
        <f>(O9+O10+O11)*50%</f>
        <v>444440</v>
      </c>
    </row>
    <row r="88" spans="2:19" x14ac:dyDescent="0.2">
      <c r="C88" s="793" t="s">
        <v>207</v>
      </c>
      <c r="D88" s="794"/>
      <c r="E88" s="111" t="s">
        <v>208</v>
      </c>
      <c r="F88" s="111" t="s">
        <v>209</v>
      </c>
      <c r="G88" s="111" t="s">
        <v>210</v>
      </c>
      <c r="H88" s="111" t="s">
        <v>211</v>
      </c>
      <c r="J88" s="109">
        <f>J37+K37+L37</f>
        <v>298196</v>
      </c>
      <c r="K88" s="47" t="s">
        <v>237</v>
      </c>
      <c r="L88" s="16">
        <f>+J88/3</f>
        <v>99398.666666666672</v>
      </c>
      <c r="N88" s="1" t="s">
        <v>348</v>
      </c>
      <c r="S88" s="16">
        <f>O19</f>
        <v>199680</v>
      </c>
    </row>
    <row r="89" spans="2:19" x14ac:dyDescent="0.2">
      <c r="C89" s="795" t="str">
        <f>IF(I6="M","0          - 250000","0          -  250000")</f>
        <v>0          - 250000</v>
      </c>
      <c r="D89" s="796"/>
      <c r="E89" s="112">
        <v>0</v>
      </c>
      <c r="F89" s="113">
        <f>IF(I6="M",(IF(G86&lt;250000,G86,250000)),(IF(G86&lt;250000,G86,250000)))</f>
        <v>250000</v>
      </c>
      <c r="G89" s="113">
        <f>G86-F89</f>
        <v>663483</v>
      </c>
      <c r="H89" s="113">
        <f>E89*F89</f>
        <v>0</v>
      </c>
      <c r="J89" s="109">
        <f>M37+N37</f>
        <v>191248</v>
      </c>
      <c r="K89" s="1" t="s">
        <v>238</v>
      </c>
      <c r="L89" s="16">
        <f>+J89/2</f>
        <v>95624</v>
      </c>
      <c r="N89" s="16" t="s">
        <v>261</v>
      </c>
      <c r="S89" s="16">
        <f>ROUND((32000+56000)-S87*5%,0)</f>
        <v>65778</v>
      </c>
    </row>
    <row r="90" spans="2:19" x14ac:dyDescent="0.2">
      <c r="C90" s="795" t="str">
        <f>IF(I6="M","250001 - 500000","250001-500000")</f>
        <v>250001 - 500000</v>
      </c>
      <c r="D90" s="796"/>
      <c r="E90" s="112">
        <v>0.05</v>
      </c>
      <c r="F90" s="113">
        <f>IF(I6="M",(IF(G88&lt;250000,G88,250000)),(IF(G88&lt;250000,G88,250000)))</f>
        <v>250000</v>
      </c>
      <c r="G90" s="113">
        <f>G89-F90</f>
        <v>413483</v>
      </c>
      <c r="H90" s="114">
        <f>ROUND(E90*F90,0.1)</f>
        <v>12500</v>
      </c>
      <c r="J90" s="115">
        <f>SUM(J86:J89)</f>
        <v>1206183</v>
      </c>
    </row>
    <row r="91" spans="2:19" x14ac:dyDescent="0.2">
      <c r="C91" s="797" t="s">
        <v>212</v>
      </c>
      <c r="D91" s="798"/>
      <c r="E91" s="112">
        <v>0.2</v>
      </c>
      <c r="F91" s="113">
        <f>IF(G90&lt;500000,G90,500000)</f>
        <v>413483</v>
      </c>
      <c r="G91" s="113">
        <f>G90-F91</f>
        <v>0</v>
      </c>
      <c r="H91" s="114">
        <f>ROUND(E91*F91,0.1)</f>
        <v>82697</v>
      </c>
      <c r="J91" s="16">
        <f>+G86</f>
        <v>913483</v>
      </c>
      <c r="N91" s="157" t="s">
        <v>262</v>
      </c>
      <c r="O91" s="87"/>
      <c r="P91" s="87"/>
      <c r="S91" s="284">
        <f>S89</f>
        <v>65778</v>
      </c>
    </row>
    <row r="92" spans="2:19" x14ac:dyDescent="0.2">
      <c r="C92" s="795" t="s">
        <v>213</v>
      </c>
      <c r="D92" s="796"/>
      <c r="E92" s="112">
        <v>0.3</v>
      </c>
      <c r="F92" s="113">
        <f>G91</f>
        <v>0</v>
      </c>
      <c r="G92" s="113">
        <f>G91-F92</f>
        <v>0</v>
      </c>
      <c r="H92" s="114">
        <f>ROUND(E92*F92,0.1)</f>
        <v>0</v>
      </c>
      <c r="J92" s="16">
        <f>+J90-J91</f>
        <v>292700</v>
      </c>
    </row>
    <row r="93" spans="2:19" ht="12.75" customHeight="1" thickBot="1" x14ac:dyDescent="0.25">
      <c r="B93" s="116"/>
      <c r="C93" s="117"/>
      <c r="D93" s="47"/>
      <c r="E93" s="47"/>
      <c r="F93" s="47"/>
      <c r="J93" s="87"/>
      <c r="K93" s="118"/>
      <c r="N93" s="16" t="s">
        <v>692</v>
      </c>
    </row>
    <row r="94" spans="2:19" ht="13.5" thickBot="1" x14ac:dyDescent="0.25">
      <c r="B94" s="799" t="s">
        <v>239</v>
      </c>
      <c r="C94" s="800"/>
      <c r="D94" s="800"/>
      <c r="E94" s="800"/>
      <c r="F94" s="801"/>
      <c r="G94" s="771">
        <f>H89+H90+H91+H92</f>
        <v>95197</v>
      </c>
      <c r="H94" s="772"/>
      <c r="J94" s="87"/>
      <c r="K94" s="87"/>
      <c r="N94" s="16" t="s">
        <v>693</v>
      </c>
    </row>
    <row r="95" spans="2:19" ht="13.5" thickBot="1" x14ac:dyDescent="0.25">
      <c r="B95" s="119" t="s">
        <v>215</v>
      </c>
      <c r="C95" s="120"/>
      <c r="D95" s="120"/>
      <c r="E95" s="120"/>
      <c r="F95" s="120"/>
      <c r="G95" s="884">
        <f>IF((G65&lt;500000),5000,0)</f>
        <v>0</v>
      </c>
      <c r="H95" s="885">
        <f>IF(H93&lt;200000,0,IF(H93&lt;220000,((H93-200000)*10%),IF(H93&lt;=500000,2000,IF(H93&gt;=500000,0))))</f>
        <v>0</v>
      </c>
      <c r="J95" s="1"/>
      <c r="K95" s="121"/>
      <c r="L95" s="121"/>
      <c r="R95" s="285" t="s">
        <v>694</v>
      </c>
    </row>
    <row r="96" spans="2:19" ht="13.5" thickBot="1" x14ac:dyDescent="0.25">
      <c r="B96" s="122" t="s">
        <v>216</v>
      </c>
      <c r="C96" s="123"/>
      <c r="D96" s="123"/>
      <c r="E96" s="123"/>
      <c r="F96" s="123"/>
      <c r="G96" s="771">
        <f>IF((G94-G95)&lt;0,0,(G94-G95))</f>
        <v>95197</v>
      </c>
      <c r="H96" s="772"/>
      <c r="I96" s="37"/>
    </row>
    <row r="97" spans="2:16" ht="13.5" thickBot="1" x14ac:dyDescent="0.25">
      <c r="B97" s="773" t="s">
        <v>240</v>
      </c>
      <c r="C97" s="774"/>
      <c r="D97" s="774"/>
      <c r="E97" s="774"/>
      <c r="F97" s="775"/>
      <c r="G97" s="776">
        <f>ROUND((IF(G96&gt;0,(G96*4%),0)),0)</f>
        <v>3808</v>
      </c>
      <c r="H97" s="777"/>
      <c r="I97" s="37"/>
    </row>
    <row r="98" spans="2:16" ht="13.5" thickBot="1" x14ac:dyDescent="0.25">
      <c r="B98" s="778" t="s">
        <v>218</v>
      </c>
      <c r="C98" s="779"/>
      <c r="D98" s="779"/>
      <c r="E98" s="779"/>
      <c r="F98" s="779"/>
      <c r="G98" s="780">
        <f>G96+G97</f>
        <v>99005</v>
      </c>
      <c r="H98" s="781"/>
      <c r="I98" s="121"/>
    </row>
    <row r="99" spans="2:16" ht="13.5" thickBot="1" x14ac:dyDescent="0.25">
      <c r="B99" s="765" t="s">
        <v>219</v>
      </c>
      <c r="C99" s="766"/>
      <c r="D99" s="766"/>
      <c r="E99" s="766"/>
      <c r="F99" s="766"/>
      <c r="G99" s="767">
        <f>O38</f>
        <v>99014</v>
      </c>
      <c r="H99" s="768"/>
      <c r="I99" s="121"/>
      <c r="N99" s="109"/>
      <c r="O99" s="109"/>
      <c r="P99" s="109"/>
    </row>
    <row r="100" spans="2:16" ht="13.5" thickBot="1" x14ac:dyDescent="0.25">
      <c r="B100" s="765" t="str">
        <f>IF(G100&gt;0,"TAX PAYABLE","TAX REFUND")</f>
        <v>TAX REFUND</v>
      </c>
      <c r="C100" s="766"/>
      <c r="D100" s="766"/>
      <c r="E100" s="766"/>
      <c r="F100" s="766"/>
      <c r="G100" s="767">
        <f>+G98-G99</f>
        <v>-9</v>
      </c>
      <c r="H100" s="768"/>
      <c r="I100" s="37"/>
      <c r="N100" s="109"/>
      <c r="O100" s="109"/>
      <c r="P100" s="109"/>
    </row>
    <row r="101" spans="2:16" x14ac:dyDescent="0.2">
      <c r="C101" s="124"/>
      <c r="D101" s="45"/>
      <c r="E101" s="118"/>
      <c r="F101" s="118"/>
      <c r="G101" s="118"/>
      <c r="H101" s="118"/>
      <c r="I101" s="125"/>
    </row>
    <row r="102" spans="2:16" x14ac:dyDescent="0.2">
      <c r="C102" s="47"/>
      <c r="D102" s="50"/>
      <c r="E102" s="117"/>
      <c r="F102" s="47"/>
      <c r="G102" s="47"/>
      <c r="H102" s="47"/>
      <c r="I102" s="125"/>
    </row>
    <row r="103" spans="2:16" x14ac:dyDescent="0.2">
      <c r="C103" s="39"/>
      <c r="D103" s="126"/>
      <c r="E103" s="126"/>
      <c r="F103" s="126"/>
      <c r="G103" s="39"/>
      <c r="H103" s="39"/>
      <c r="I103" s="37"/>
    </row>
    <row r="104" spans="2:16" x14ac:dyDescent="0.2">
      <c r="C104" s="39"/>
      <c r="D104" s="126"/>
      <c r="E104" s="126"/>
      <c r="F104" s="39"/>
      <c r="G104" s="39"/>
      <c r="H104" s="39"/>
      <c r="I104" s="37"/>
    </row>
    <row r="105" spans="2:16" x14ac:dyDescent="0.2">
      <c r="C105" s="39"/>
      <c r="D105" s="126"/>
      <c r="E105" s="126"/>
      <c r="F105" s="39"/>
      <c r="G105" s="39"/>
      <c r="H105" s="39"/>
      <c r="I105" s="37"/>
    </row>
    <row r="106" spans="2:16" x14ac:dyDescent="0.2">
      <c r="C106" s="39"/>
      <c r="D106" s="39"/>
      <c r="E106" s="39"/>
      <c r="F106" s="39"/>
      <c r="G106" s="39"/>
      <c r="H106" s="39"/>
      <c r="I106" s="37"/>
    </row>
    <row r="107" spans="2:16" x14ac:dyDescent="0.2">
      <c r="C107" s="39"/>
      <c r="D107" s="39"/>
      <c r="E107" s="39"/>
      <c r="F107" s="39"/>
      <c r="G107" s="39"/>
      <c r="H107" s="39"/>
      <c r="I107" s="121"/>
    </row>
    <row r="108" spans="2:16" x14ac:dyDescent="0.2">
      <c r="C108" s="39"/>
      <c r="D108" s="39"/>
      <c r="E108" s="39"/>
      <c r="F108" s="39"/>
      <c r="G108" s="39"/>
      <c r="H108"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60:F60"/>
    <mergeCell ref="G60:H60"/>
    <mergeCell ref="J60:O60"/>
    <mergeCell ref="B55:B58"/>
    <mergeCell ref="C55:C58"/>
    <mergeCell ref="D55:F55"/>
    <mergeCell ref="G55:H55"/>
    <mergeCell ref="D56:F56"/>
    <mergeCell ref="G56:H56"/>
    <mergeCell ref="J56:L56"/>
    <mergeCell ref="M56:O56"/>
    <mergeCell ref="D58:F58"/>
    <mergeCell ref="G58:H58"/>
    <mergeCell ref="J63:O63"/>
    <mergeCell ref="D81:F81"/>
    <mergeCell ref="J68:K68"/>
    <mergeCell ref="B65:F65"/>
    <mergeCell ref="G65:H65"/>
    <mergeCell ref="D76:F76"/>
    <mergeCell ref="D77:F77"/>
    <mergeCell ref="E78:F78"/>
    <mergeCell ref="D79:F79"/>
    <mergeCell ref="D80:F80"/>
    <mergeCell ref="D71:F71"/>
    <mergeCell ref="D72:F72"/>
    <mergeCell ref="C69:C75"/>
    <mergeCell ref="D69:F69"/>
    <mergeCell ref="D70:F70"/>
    <mergeCell ref="D74:F74"/>
    <mergeCell ref="G62:H62"/>
    <mergeCell ref="C63:F63"/>
    <mergeCell ref="G63:H63"/>
    <mergeCell ref="B62:F62"/>
    <mergeCell ref="D73:F73"/>
    <mergeCell ref="D75:F75"/>
    <mergeCell ref="G94:H94"/>
    <mergeCell ref="D82:F82"/>
    <mergeCell ref="D83:F83"/>
    <mergeCell ref="B84:F84"/>
    <mergeCell ref="B86:F86"/>
    <mergeCell ref="G86:H86"/>
    <mergeCell ref="C88:D88"/>
    <mergeCell ref="C89:D89"/>
    <mergeCell ref="C90:D90"/>
    <mergeCell ref="C91:D91"/>
    <mergeCell ref="C92:D92"/>
    <mergeCell ref="B94:F94"/>
    <mergeCell ref="B69:B83"/>
    <mergeCell ref="B100:F100"/>
    <mergeCell ref="G100:H100"/>
    <mergeCell ref="G95:H95"/>
    <mergeCell ref="G96:H96"/>
    <mergeCell ref="B97:F97"/>
    <mergeCell ref="G97:H97"/>
    <mergeCell ref="B98:F98"/>
    <mergeCell ref="G98:H98"/>
    <mergeCell ref="B99:F99"/>
    <mergeCell ref="G99:H99"/>
  </mergeCells>
  <conditionalFormatting sqref="B100:F100 B94:F98">
    <cfRule type="cellIs" dxfId="1893" priority="3" stopIfTrue="1" operator="equal">
      <formula>"TAX PAYABLE"</formula>
    </cfRule>
    <cfRule type="cellIs" dxfId="1892" priority="4" stopIfTrue="1" operator="equal">
      <formula>"TAX REFUND"</formula>
    </cfRule>
  </conditionalFormatting>
  <conditionalFormatting sqref="G100:H100">
    <cfRule type="cellIs" dxfId="1891" priority="1" stopIfTrue="1" operator="greaterThan">
      <formula>0</formula>
    </cfRule>
    <cfRule type="cellIs" dxfId="1890"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$Q$8:$Q$9</formula1>
    </dataValidation>
  </dataValidations>
  <pageMargins left="0.7" right="0.7" top="0.75" bottom="0.75" header="0.3" footer="0.3"/>
  <pageSetup paperSize="5" orientation="landscape" horizontalDpi="300" verticalDpi="300" r:id="rId1"/>
  <headerFooter alignWithMargins="0"/>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8"/>
  <sheetViews>
    <sheetView topLeftCell="A65" workbookViewId="0">
      <selection activeCell="Q36" sqref="Q36"/>
    </sheetView>
  </sheetViews>
  <sheetFormatPr defaultRowHeight="12.75" x14ac:dyDescent="0.2"/>
  <cols>
    <col min="1" max="1" width="5" style="16" customWidth="1"/>
    <col min="2" max="2" width="19.28515625" style="37" customWidth="1"/>
    <col min="3" max="3" width="7.85546875" style="16" customWidth="1"/>
    <col min="4" max="4" width="7.42578125" style="16" customWidth="1"/>
    <col min="5" max="5" width="8.5703125" style="16" bestFit="1" customWidth="1"/>
    <col min="6" max="8" width="8.85546875" style="16" customWidth="1"/>
    <col min="9" max="15" width="7.7109375" style="16" customWidth="1"/>
    <col min="16" max="20" width="9.140625" style="16"/>
    <col min="21" max="21" width="12.42578125" style="16" customWidth="1"/>
    <col min="22" max="22" width="9.140625" style="16"/>
    <col min="23" max="23" width="12" style="16" customWidth="1"/>
    <col min="24" max="256" width="9.140625" style="16"/>
    <col min="257" max="257" width="5" style="16" customWidth="1"/>
    <col min="258" max="258" width="19.28515625" style="16" customWidth="1"/>
    <col min="259" max="259" width="7.85546875" style="16" customWidth="1"/>
    <col min="260" max="260" width="7.42578125" style="16" customWidth="1"/>
    <col min="261" max="261" width="8.5703125" style="16" bestFit="1" customWidth="1"/>
    <col min="262" max="264" width="8.85546875" style="16" customWidth="1"/>
    <col min="265" max="271" width="7.7109375" style="16" customWidth="1"/>
    <col min="272" max="276" width="9.140625" style="16"/>
    <col min="277" max="277" width="12.42578125" style="16" customWidth="1"/>
    <col min="278" max="278" width="9.140625" style="16"/>
    <col min="279" max="279" width="12" style="16" customWidth="1"/>
    <col min="280" max="512" width="9.140625" style="16"/>
    <col min="513" max="513" width="5" style="16" customWidth="1"/>
    <col min="514" max="514" width="19.28515625" style="16" customWidth="1"/>
    <col min="515" max="515" width="7.85546875" style="16" customWidth="1"/>
    <col min="516" max="516" width="7.42578125" style="16" customWidth="1"/>
    <col min="517" max="517" width="8.5703125" style="16" bestFit="1" customWidth="1"/>
    <col min="518" max="520" width="8.85546875" style="16" customWidth="1"/>
    <col min="521" max="527" width="7.7109375" style="16" customWidth="1"/>
    <col min="528" max="532" width="9.140625" style="16"/>
    <col min="533" max="533" width="12.42578125" style="16" customWidth="1"/>
    <col min="534" max="534" width="9.140625" style="16"/>
    <col min="535" max="535" width="12" style="16" customWidth="1"/>
    <col min="536" max="768" width="9.140625" style="16"/>
    <col min="769" max="769" width="5" style="16" customWidth="1"/>
    <col min="770" max="770" width="19.28515625" style="16" customWidth="1"/>
    <col min="771" max="771" width="7.85546875" style="16" customWidth="1"/>
    <col min="772" max="772" width="7.42578125" style="16" customWidth="1"/>
    <col min="773" max="773" width="8.5703125" style="16" bestFit="1" customWidth="1"/>
    <col min="774" max="776" width="8.85546875" style="16" customWidth="1"/>
    <col min="777" max="783" width="7.7109375" style="16" customWidth="1"/>
    <col min="784" max="788" width="9.140625" style="16"/>
    <col min="789" max="789" width="12.42578125" style="16" customWidth="1"/>
    <col min="790" max="790" width="9.140625" style="16"/>
    <col min="791" max="791" width="12" style="16" customWidth="1"/>
    <col min="792" max="1024" width="9.140625" style="16"/>
    <col min="1025" max="1025" width="5" style="16" customWidth="1"/>
    <col min="1026" max="1026" width="19.28515625" style="16" customWidth="1"/>
    <col min="1027" max="1027" width="7.85546875" style="16" customWidth="1"/>
    <col min="1028" max="1028" width="7.42578125" style="16" customWidth="1"/>
    <col min="1029" max="1029" width="8.5703125" style="16" bestFit="1" customWidth="1"/>
    <col min="1030" max="1032" width="8.85546875" style="16" customWidth="1"/>
    <col min="1033" max="1039" width="7.7109375" style="16" customWidth="1"/>
    <col min="1040" max="1044" width="9.140625" style="16"/>
    <col min="1045" max="1045" width="12.42578125" style="16" customWidth="1"/>
    <col min="1046" max="1046" width="9.140625" style="16"/>
    <col min="1047" max="1047" width="12" style="16" customWidth="1"/>
    <col min="1048" max="1280" width="9.140625" style="16"/>
    <col min="1281" max="1281" width="5" style="16" customWidth="1"/>
    <col min="1282" max="1282" width="19.28515625" style="16" customWidth="1"/>
    <col min="1283" max="1283" width="7.85546875" style="16" customWidth="1"/>
    <col min="1284" max="1284" width="7.42578125" style="16" customWidth="1"/>
    <col min="1285" max="1285" width="8.5703125" style="16" bestFit="1" customWidth="1"/>
    <col min="1286" max="1288" width="8.85546875" style="16" customWidth="1"/>
    <col min="1289" max="1295" width="7.7109375" style="16" customWidth="1"/>
    <col min="1296" max="1300" width="9.140625" style="16"/>
    <col min="1301" max="1301" width="12.42578125" style="16" customWidth="1"/>
    <col min="1302" max="1302" width="9.140625" style="16"/>
    <col min="1303" max="1303" width="12" style="16" customWidth="1"/>
    <col min="1304" max="1536" width="9.140625" style="16"/>
    <col min="1537" max="1537" width="5" style="16" customWidth="1"/>
    <col min="1538" max="1538" width="19.28515625" style="16" customWidth="1"/>
    <col min="1539" max="1539" width="7.85546875" style="16" customWidth="1"/>
    <col min="1540" max="1540" width="7.42578125" style="16" customWidth="1"/>
    <col min="1541" max="1541" width="8.5703125" style="16" bestFit="1" customWidth="1"/>
    <col min="1542" max="1544" width="8.85546875" style="16" customWidth="1"/>
    <col min="1545" max="1551" width="7.7109375" style="16" customWidth="1"/>
    <col min="1552" max="1556" width="9.140625" style="16"/>
    <col min="1557" max="1557" width="12.42578125" style="16" customWidth="1"/>
    <col min="1558" max="1558" width="9.140625" style="16"/>
    <col min="1559" max="1559" width="12" style="16" customWidth="1"/>
    <col min="1560" max="1792" width="9.140625" style="16"/>
    <col min="1793" max="1793" width="5" style="16" customWidth="1"/>
    <col min="1794" max="1794" width="19.28515625" style="16" customWidth="1"/>
    <col min="1795" max="1795" width="7.85546875" style="16" customWidth="1"/>
    <col min="1796" max="1796" width="7.42578125" style="16" customWidth="1"/>
    <col min="1797" max="1797" width="8.5703125" style="16" bestFit="1" customWidth="1"/>
    <col min="1798" max="1800" width="8.85546875" style="16" customWidth="1"/>
    <col min="1801" max="1807" width="7.7109375" style="16" customWidth="1"/>
    <col min="1808" max="1812" width="9.140625" style="16"/>
    <col min="1813" max="1813" width="12.42578125" style="16" customWidth="1"/>
    <col min="1814" max="1814" width="9.140625" style="16"/>
    <col min="1815" max="1815" width="12" style="16" customWidth="1"/>
    <col min="1816" max="2048" width="9.140625" style="16"/>
    <col min="2049" max="2049" width="5" style="16" customWidth="1"/>
    <col min="2050" max="2050" width="19.28515625" style="16" customWidth="1"/>
    <col min="2051" max="2051" width="7.85546875" style="16" customWidth="1"/>
    <col min="2052" max="2052" width="7.42578125" style="16" customWidth="1"/>
    <col min="2053" max="2053" width="8.5703125" style="16" bestFit="1" customWidth="1"/>
    <col min="2054" max="2056" width="8.85546875" style="16" customWidth="1"/>
    <col min="2057" max="2063" width="7.7109375" style="16" customWidth="1"/>
    <col min="2064" max="2068" width="9.140625" style="16"/>
    <col min="2069" max="2069" width="12.42578125" style="16" customWidth="1"/>
    <col min="2070" max="2070" width="9.140625" style="16"/>
    <col min="2071" max="2071" width="12" style="16" customWidth="1"/>
    <col min="2072" max="2304" width="9.140625" style="16"/>
    <col min="2305" max="2305" width="5" style="16" customWidth="1"/>
    <col min="2306" max="2306" width="19.28515625" style="16" customWidth="1"/>
    <col min="2307" max="2307" width="7.85546875" style="16" customWidth="1"/>
    <col min="2308" max="2308" width="7.42578125" style="16" customWidth="1"/>
    <col min="2309" max="2309" width="8.5703125" style="16" bestFit="1" customWidth="1"/>
    <col min="2310" max="2312" width="8.85546875" style="16" customWidth="1"/>
    <col min="2313" max="2319" width="7.7109375" style="16" customWidth="1"/>
    <col min="2320" max="2324" width="9.140625" style="16"/>
    <col min="2325" max="2325" width="12.42578125" style="16" customWidth="1"/>
    <col min="2326" max="2326" width="9.140625" style="16"/>
    <col min="2327" max="2327" width="12" style="16" customWidth="1"/>
    <col min="2328" max="2560" width="9.140625" style="16"/>
    <col min="2561" max="2561" width="5" style="16" customWidth="1"/>
    <col min="2562" max="2562" width="19.28515625" style="16" customWidth="1"/>
    <col min="2563" max="2563" width="7.85546875" style="16" customWidth="1"/>
    <col min="2564" max="2564" width="7.42578125" style="16" customWidth="1"/>
    <col min="2565" max="2565" width="8.5703125" style="16" bestFit="1" customWidth="1"/>
    <col min="2566" max="2568" width="8.85546875" style="16" customWidth="1"/>
    <col min="2569" max="2575" width="7.7109375" style="16" customWidth="1"/>
    <col min="2576" max="2580" width="9.140625" style="16"/>
    <col min="2581" max="2581" width="12.42578125" style="16" customWidth="1"/>
    <col min="2582" max="2582" width="9.140625" style="16"/>
    <col min="2583" max="2583" width="12" style="16" customWidth="1"/>
    <col min="2584" max="2816" width="9.140625" style="16"/>
    <col min="2817" max="2817" width="5" style="16" customWidth="1"/>
    <col min="2818" max="2818" width="19.28515625" style="16" customWidth="1"/>
    <col min="2819" max="2819" width="7.85546875" style="16" customWidth="1"/>
    <col min="2820" max="2820" width="7.42578125" style="16" customWidth="1"/>
    <col min="2821" max="2821" width="8.5703125" style="16" bestFit="1" customWidth="1"/>
    <col min="2822" max="2824" width="8.85546875" style="16" customWidth="1"/>
    <col min="2825" max="2831" width="7.7109375" style="16" customWidth="1"/>
    <col min="2832" max="2836" width="9.140625" style="16"/>
    <col min="2837" max="2837" width="12.42578125" style="16" customWidth="1"/>
    <col min="2838" max="2838" width="9.140625" style="16"/>
    <col min="2839" max="2839" width="12" style="16" customWidth="1"/>
    <col min="2840" max="3072" width="9.140625" style="16"/>
    <col min="3073" max="3073" width="5" style="16" customWidth="1"/>
    <col min="3074" max="3074" width="19.28515625" style="16" customWidth="1"/>
    <col min="3075" max="3075" width="7.85546875" style="16" customWidth="1"/>
    <col min="3076" max="3076" width="7.42578125" style="16" customWidth="1"/>
    <col min="3077" max="3077" width="8.5703125" style="16" bestFit="1" customWidth="1"/>
    <col min="3078" max="3080" width="8.85546875" style="16" customWidth="1"/>
    <col min="3081" max="3087" width="7.7109375" style="16" customWidth="1"/>
    <col min="3088" max="3092" width="9.140625" style="16"/>
    <col min="3093" max="3093" width="12.42578125" style="16" customWidth="1"/>
    <col min="3094" max="3094" width="9.140625" style="16"/>
    <col min="3095" max="3095" width="12" style="16" customWidth="1"/>
    <col min="3096" max="3328" width="9.140625" style="16"/>
    <col min="3329" max="3329" width="5" style="16" customWidth="1"/>
    <col min="3330" max="3330" width="19.28515625" style="16" customWidth="1"/>
    <col min="3331" max="3331" width="7.85546875" style="16" customWidth="1"/>
    <col min="3332" max="3332" width="7.42578125" style="16" customWidth="1"/>
    <col min="3333" max="3333" width="8.5703125" style="16" bestFit="1" customWidth="1"/>
    <col min="3334" max="3336" width="8.85546875" style="16" customWidth="1"/>
    <col min="3337" max="3343" width="7.7109375" style="16" customWidth="1"/>
    <col min="3344" max="3348" width="9.140625" style="16"/>
    <col min="3349" max="3349" width="12.42578125" style="16" customWidth="1"/>
    <col min="3350" max="3350" width="9.140625" style="16"/>
    <col min="3351" max="3351" width="12" style="16" customWidth="1"/>
    <col min="3352" max="3584" width="9.140625" style="16"/>
    <col min="3585" max="3585" width="5" style="16" customWidth="1"/>
    <col min="3586" max="3586" width="19.28515625" style="16" customWidth="1"/>
    <col min="3587" max="3587" width="7.85546875" style="16" customWidth="1"/>
    <col min="3588" max="3588" width="7.42578125" style="16" customWidth="1"/>
    <col min="3589" max="3589" width="8.5703125" style="16" bestFit="1" customWidth="1"/>
    <col min="3590" max="3592" width="8.85546875" style="16" customWidth="1"/>
    <col min="3593" max="3599" width="7.7109375" style="16" customWidth="1"/>
    <col min="3600" max="3604" width="9.140625" style="16"/>
    <col min="3605" max="3605" width="12.42578125" style="16" customWidth="1"/>
    <col min="3606" max="3606" width="9.140625" style="16"/>
    <col min="3607" max="3607" width="12" style="16" customWidth="1"/>
    <col min="3608" max="3840" width="9.140625" style="16"/>
    <col min="3841" max="3841" width="5" style="16" customWidth="1"/>
    <col min="3842" max="3842" width="19.28515625" style="16" customWidth="1"/>
    <col min="3843" max="3843" width="7.85546875" style="16" customWidth="1"/>
    <col min="3844" max="3844" width="7.42578125" style="16" customWidth="1"/>
    <col min="3845" max="3845" width="8.5703125" style="16" bestFit="1" customWidth="1"/>
    <col min="3846" max="3848" width="8.85546875" style="16" customWidth="1"/>
    <col min="3849" max="3855" width="7.7109375" style="16" customWidth="1"/>
    <col min="3856" max="3860" width="9.140625" style="16"/>
    <col min="3861" max="3861" width="12.42578125" style="16" customWidth="1"/>
    <col min="3862" max="3862" width="9.140625" style="16"/>
    <col min="3863" max="3863" width="12" style="16" customWidth="1"/>
    <col min="3864" max="4096" width="9.140625" style="16"/>
    <col min="4097" max="4097" width="5" style="16" customWidth="1"/>
    <col min="4098" max="4098" width="19.28515625" style="16" customWidth="1"/>
    <col min="4099" max="4099" width="7.85546875" style="16" customWidth="1"/>
    <col min="4100" max="4100" width="7.42578125" style="16" customWidth="1"/>
    <col min="4101" max="4101" width="8.5703125" style="16" bestFit="1" customWidth="1"/>
    <col min="4102" max="4104" width="8.85546875" style="16" customWidth="1"/>
    <col min="4105" max="4111" width="7.7109375" style="16" customWidth="1"/>
    <col min="4112" max="4116" width="9.140625" style="16"/>
    <col min="4117" max="4117" width="12.42578125" style="16" customWidth="1"/>
    <col min="4118" max="4118" width="9.140625" style="16"/>
    <col min="4119" max="4119" width="12" style="16" customWidth="1"/>
    <col min="4120" max="4352" width="9.140625" style="16"/>
    <col min="4353" max="4353" width="5" style="16" customWidth="1"/>
    <col min="4354" max="4354" width="19.28515625" style="16" customWidth="1"/>
    <col min="4355" max="4355" width="7.85546875" style="16" customWidth="1"/>
    <col min="4356" max="4356" width="7.42578125" style="16" customWidth="1"/>
    <col min="4357" max="4357" width="8.5703125" style="16" bestFit="1" customWidth="1"/>
    <col min="4358" max="4360" width="8.85546875" style="16" customWidth="1"/>
    <col min="4361" max="4367" width="7.7109375" style="16" customWidth="1"/>
    <col min="4368" max="4372" width="9.140625" style="16"/>
    <col min="4373" max="4373" width="12.42578125" style="16" customWidth="1"/>
    <col min="4374" max="4374" width="9.140625" style="16"/>
    <col min="4375" max="4375" width="12" style="16" customWidth="1"/>
    <col min="4376" max="4608" width="9.140625" style="16"/>
    <col min="4609" max="4609" width="5" style="16" customWidth="1"/>
    <col min="4610" max="4610" width="19.28515625" style="16" customWidth="1"/>
    <col min="4611" max="4611" width="7.85546875" style="16" customWidth="1"/>
    <col min="4612" max="4612" width="7.42578125" style="16" customWidth="1"/>
    <col min="4613" max="4613" width="8.5703125" style="16" bestFit="1" customWidth="1"/>
    <col min="4614" max="4616" width="8.85546875" style="16" customWidth="1"/>
    <col min="4617" max="4623" width="7.7109375" style="16" customWidth="1"/>
    <col min="4624" max="4628" width="9.140625" style="16"/>
    <col min="4629" max="4629" width="12.42578125" style="16" customWidth="1"/>
    <col min="4630" max="4630" width="9.140625" style="16"/>
    <col min="4631" max="4631" width="12" style="16" customWidth="1"/>
    <col min="4632" max="4864" width="9.140625" style="16"/>
    <col min="4865" max="4865" width="5" style="16" customWidth="1"/>
    <col min="4866" max="4866" width="19.28515625" style="16" customWidth="1"/>
    <col min="4867" max="4867" width="7.85546875" style="16" customWidth="1"/>
    <col min="4868" max="4868" width="7.42578125" style="16" customWidth="1"/>
    <col min="4869" max="4869" width="8.5703125" style="16" bestFit="1" customWidth="1"/>
    <col min="4870" max="4872" width="8.85546875" style="16" customWidth="1"/>
    <col min="4873" max="4879" width="7.7109375" style="16" customWidth="1"/>
    <col min="4880" max="4884" width="9.140625" style="16"/>
    <col min="4885" max="4885" width="12.42578125" style="16" customWidth="1"/>
    <col min="4886" max="4886" width="9.140625" style="16"/>
    <col min="4887" max="4887" width="12" style="16" customWidth="1"/>
    <col min="4888" max="5120" width="9.140625" style="16"/>
    <col min="5121" max="5121" width="5" style="16" customWidth="1"/>
    <col min="5122" max="5122" width="19.28515625" style="16" customWidth="1"/>
    <col min="5123" max="5123" width="7.85546875" style="16" customWidth="1"/>
    <col min="5124" max="5124" width="7.42578125" style="16" customWidth="1"/>
    <col min="5125" max="5125" width="8.5703125" style="16" bestFit="1" customWidth="1"/>
    <col min="5126" max="5128" width="8.85546875" style="16" customWidth="1"/>
    <col min="5129" max="5135" width="7.7109375" style="16" customWidth="1"/>
    <col min="5136" max="5140" width="9.140625" style="16"/>
    <col min="5141" max="5141" width="12.42578125" style="16" customWidth="1"/>
    <col min="5142" max="5142" width="9.140625" style="16"/>
    <col min="5143" max="5143" width="12" style="16" customWidth="1"/>
    <col min="5144" max="5376" width="9.140625" style="16"/>
    <col min="5377" max="5377" width="5" style="16" customWidth="1"/>
    <col min="5378" max="5378" width="19.28515625" style="16" customWidth="1"/>
    <col min="5379" max="5379" width="7.85546875" style="16" customWidth="1"/>
    <col min="5380" max="5380" width="7.42578125" style="16" customWidth="1"/>
    <col min="5381" max="5381" width="8.5703125" style="16" bestFit="1" customWidth="1"/>
    <col min="5382" max="5384" width="8.85546875" style="16" customWidth="1"/>
    <col min="5385" max="5391" width="7.7109375" style="16" customWidth="1"/>
    <col min="5392" max="5396" width="9.140625" style="16"/>
    <col min="5397" max="5397" width="12.42578125" style="16" customWidth="1"/>
    <col min="5398" max="5398" width="9.140625" style="16"/>
    <col min="5399" max="5399" width="12" style="16" customWidth="1"/>
    <col min="5400" max="5632" width="9.140625" style="16"/>
    <col min="5633" max="5633" width="5" style="16" customWidth="1"/>
    <col min="5634" max="5634" width="19.28515625" style="16" customWidth="1"/>
    <col min="5635" max="5635" width="7.85546875" style="16" customWidth="1"/>
    <col min="5636" max="5636" width="7.42578125" style="16" customWidth="1"/>
    <col min="5637" max="5637" width="8.5703125" style="16" bestFit="1" customWidth="1"/>
    <col min="5638" max="5640" width="8.85546875" style="16" customWidth="1"/>
    <col min="5641" max="5647" width="7.7109375" style="16" customWidth="1"/>
    <col min="5648" max="5652" width="9.140625" style="16"/>
    <col min="5653" max="5653" width="12.42578125" style="16" customWidth="1"/>
    <col min="5654" max="5654" width="9.140625" style="16"/>
    <col min="5655" max="5655" width="12" style="16" customWidth="1"/>
    <col min="5656" max="5888" width="9.140625" style="16"/>
    <col min="5889" max="5889" width="5" style="16" customWidth="1"/>
    <col min="5890" max="5890" width="19.28515625" style="16" customWidth="1"/>
    <col min="5891" max="5891" width="7.85546875" style="16" customWidth="1"/>
    <col min="5892" max="5892" width="7.42578125" style="16" customWidth="1"/>
    <col min="5893" max="5893" width="8.5703125" style="16" bestFit="1" customWidth="1"/>
    <col min="5894" max="5896" width="8.85546875" style="16" customWidth="1"/>
    <col min="5897" max="5903" width="7.7109375" style="16" customWidth="1"/>
    <col min="5904" max="5908" width="9.140625" style="16"/>
    <col min="5909" max="5909" width="12.42578125" style="16" customWidth="1"/>
    <col min="5910" max="5910" width="9.140625" style="16"/>
    <col min="5911" max="5911" width="12" style="16" customWidth="1"/>
    <col min="5912" max="6144" width="9.140625" style="16"/>
    <col min="6145" max="6145" width="5" style="16" customWidth="1"/>
    <col min="6146" max="6146" width="19.28515625" style="16" customWidth="1"/>
    <col min="6147" max="6147" width="7.85546875" style="16" customWidth="1"/>
    <col min="6148" max="6148" width="7.42578125" style="16" customWidth="1"/>
    <col min="6149" max="6149" width="8.5703125" style="16" bestFit="1" customWidth="1"/>
    <col min="6150" max="6152" width="8.85546875" style="16" customWidth="1"/>
    <col min="6153" max="6159" width="7.7109375" style="16" customWidth="1"/>
    <col min="6160" max="6164" width="9.140625" style="16"/>
    <col min="6165" max="6165" width="12.42578125" style="16" customWidth="1"/>
    <col min="6166" max="6166" width="9.140625" style="16"/>
    <col min="6167" max="6167" width="12" style="16" customWidth="1"/>
    <col min="6168" max="6400" width="9.140625" style="16"/>
    <col min="6401" max="6401" width="5" style="16" customWidth="1"/>
    <col min="6402" max="6402" width="19.28515625" style="16" customWidth="1"/>
    <col min="6403" max="6403" width="7.85546875" style="16" customWidth="1"/>
    <col min="6404" max="6404" width="7.42578125" style="16" customWidth="1"/>
    <col min="6405" max="6405" width="8.5703125" style="16" bestFit="1" customWidth="1"/>
    <col min="6406" max="6408" width="8.85546875" style="16" customWidth="1"/>
    <col min="6409" max="6415" width="7.7109375" style="16" customWidth="1"/>
    <col min="6416" max="6420" width="9.140625" style="16"/>
    <col min="6421" max="6421" width="12.42578125" style="16" customWidth="1"/>
    <col min="6422" max="6422" width="9.140625" style="16"/>
    <col min="6423" max="6423" width="12" style="16" customWidth="1"/>
    <col min="6424" max="6656" width="9.140625" style="16"/>
    <col min="6657" max="6657" width="5" style="16" customWidth="1"/>
    <col min="6658" max="6658" width="19.28515625" style="16" customWidth="1"/>
    <col min="6659" max="6659" width="7.85546875" style="16" customWidth="1"/>
    <col min="6660" max="6660" width="7.42578125" style="16" customWidth="1"/>
    <col min="6661" max="6661" width="8.5703125" style="16" bestFit="1" customWidth="1"/>
    <col min="6662" max="6664" width="8.85546875" style="16" customWidth="1"/>
    <col min="6665" max="6671" width="7.7109375" style="16" customWidth="1"/>
    <col min="6672" max="6676" width="9.140625" style="16"/>
    <col min="6677" max="6677" width="12.42578125" style="16" customWidth="1"/>
    <col min="6678" max="6678" width="9.140625" style="16"/>
    <col min="6679" max="6679" width="12" style="16" customWidth="1"/>
    <col min="6680" max="6912" width="9.140625" style="16"/>
    <col min="6913" max="6913" width="5" style="16" customWidth="1"/>
    <col min="6914" max="6914" width="19.28515625" style="16" customWidth="1"/>
    <col min="6915" max="6915" width="7.85546875" style="16" customWidth="1"/>
    <col min="6916" max="6916" width="7.42578125" style="16" customWidth="1"/>
    <col min="6917" max="6917" width="8.5703125" style="16" bestFit="1" customWidth="1"/>
    <col min="6918" max="6920" width="8.85546875" style="16" customWidth="1"/>
    <col min="6921" max="6927" width="7.7109375" style="16" customWidth="1"/>
    <col min="6928" max="6932" width="9.140625" style="16"/>
    <col min="6933" max="6933" width="12.42578125" style="16" customWidth="1"/>
    <col min="6934" max="6934" width="9.140625" style="16"/>
    <col min="6935" max="6935" width="12" style="16" customWidth="1"/>
    <col min="6936" max="7168" width="9.140625" style="16"/>
    <col min="7169" max="7169" width="5" style="16" customWidth="1"/>
    <col min="7170" max="7170" width="19.28515625" style="16" customWidth="1"/>
    <col min="7171" max="7171" width="7.85546875" style="16" customWidth="1"/>
    <col min="7172" max="7172" width="7.42578125" style="16" customWidth="1"/>
    <col min="7173" max="7173" width="8.5703125" style="16" bestFit="1" customWidth="1"/>
    <col min="7174" max="7176" width="8.85546875" style="16" customWidth="1"/>
    <col min="7177" max="7183" width="7.7109375" style="16" customWidth="1"/>
    <col min="7184" max="7188" width="9.140625" style="16"/>
    <col min="7189" max="7189" width="12.42578125" style="16" customWidth="1"/>
    <col min="7190" max="7190" width="9.140625" style="16"/>
    <col min="7191" max="7191" width="12" style="16" customWidth="1"/>
    <col min="7192" max="7424" width="9.140625" style="16"/>
    <col min="7425" max="7425" width="5" style="16" customWidth="1"/>
    <col min="7426" max="7426" width="19.28515625" style="16" customWidth="1"/>
    <col min="7427" max="7427" width="7.85546875" style="16" customWidth="1"/>
    <col min="7428" max="7428" width="7.42578125" style="16" customWidth="1"/>
    <col min="7429" max="7429" width="8.5703125" style="16" bestFit="1" customWidth="1"/>
    <col min="7430" max="7432" width="8.85546875" style="16" customWidth="1"/>
    <col min="7433" max="7439" width="7.7109375" style="16" customWidth="1"/>
    <col min="7440" max="7444" width="9.140625" style="16"/>
    <col min="7445" max="7445" width="12.42578125" style="16" customWidth="1"/>
    <col min="7446" max="7446" width="9.140625" style="16"/>
    <col min="7447" max="7447" width="12" style="16" customWidth="1"/>
    <col min="7448" max="7680" width="9.140625" style="16"/>
    <col min="7681" max="7681" width="5" style="16" customWidth="1"/>
    <col min="7682" max="7682" width="19.28515625" style="16" customWidth="1"/>
    <col min="7683" max="7683" width="7.85546875" style="16" customWidth="1"/>
    <col min="7684" max="7684" width="7.42578125" style="16" customWidth="1"/>
    <col min="7685" max="7685" width="8.5703125" style="16" bestFit="1" customWidth="1"/>
    <col min="7686" max="7688" width="8.85546875" style="16" customWidth="1"/>
    <col min="7689" max="7695" width="7.7109375" style="16" customWidth="1"/>
    <col min="7696" max="7700" width="9.140625" style="16"/>
    <col min="7701" max="7701" width="12.42578125" style="16" customWidth="1"/>
    <col min="7702" max="7702" width="9.140625" style="16"/>
    <col min="7703" max="7703" width="12" style="16" customWidth="1"/>
    <col min="7704" max="7936" width="9.140625" style="16"/>
    <col min="7937" max="7937" width="5" style="16" customWidth="1"/>
    <col min="7938" max="7938" width="19.28515625" style="16" customWidth="1"/>
    <col min="7939" max="7939" width="7.85546875" style="16" customWidth="1"/>
    <col min="7940" max="7940" width="7.42578125" style="16" customWidth="1"/>
    <col min="7941" max="7941" width="8.5703125" style="16" bestFit="1" customWidth="1"/>
    <col min="7942" max="7944" width="8.85546875" style="16" customWidth="1"/>
    <col min="7945" max="7951" width="7.7109375" style="16" customWidth="1"/>
    <col min="7952" max="7956" width="9.140625" style="16"/>
    <col min="7957" max="7957" width="12.42578125" style="16" customWidth="1"/>
    <col min="7958" max="7958" width="9.140625" style="16"/>
    <col min="7959" max="7959" width="12" style="16" customWidth="1"/>
    <col min="7960" max="8192" width="9.140625" style="16"/>
    <col min="8193" max="8193" width="5" style="16" customWidth="1"/>
    <col min="8194" max="8194" width="19.28515625" style="16" customWidth="1"/>
    <col min="8195" max="8195" width="7.85546875" style="16" customWidth="1"/>
    <col min="8196" max="8196" width="7.42578125" style="16" customWidth="1"/>
    <col min="8197" max="8197" width="8.5703125" style="16" bestFit="1" customWidth="1"/>
    <col min="8198" max="8200" width="8.85546875" style="16" customWidth="1"/>
    <col min="8201" max="8207" width="7.7109375" style="16" customWidth="1"/>
    <col min="8208" max="8212" width="9.140625" style="16"/>
    <col min="8213" max="8213" width="12.42578125" style="16" customWidth="1"/>
    <col min="8214" max="8214" width="9.140625" style="16"/>
    <col min="8215" max="8215" width="12" style="16" customWidth="1"/>
    <col min="8216" max="8448" width="9.140625" style="16"/>
    <col min="8449" max="8449" width="5" style="16" customWidth="1"/>
    <col min="8450" max="8450" width="19.28515625" style="16" customWidth="1"/>
    <col min="8451" max="8451" width="7.85546875" style="16" customWidth="1"/>
    <col min="8452" max="8452" width="7.42578125" style="16" customWidth="1"/>
    <col min="8453" max="8453" width="8.5703125" style="16" bestFit="1" customWidth="1"/>
    <col min="8454" max="8456" width="8.85546875" style="16" customWidth="1"/>
    <col min="8457" max="8463" width="7.7109375" style="16" customWidth="1"/>
    <col min="8464" max="8468" width="9.140625" style="16"/>
    <col min="8469" max="8469" width="12.42578125" style="16" customWidth="1"/>
    <col min="8470" max="8470" width="9.140625" style="16"/>
    <col min="8471" max="8471" width="12" style="16" customWidth="1"/>
    <col min="8472" max="8704" width="9.140625" style="16"/>
    <col min="8705" max="8705" width="5" style="16" customWidth="1"/>
    <col min="8706" max="8706" width="19.28515625" style="16" customWidth="1"/>
    <col min="8707" max="8707" width="7.85546875" style="16" customWidth="1"/>
    <col min="8708" max="8708" width="7.42578125" style="16" customWidth="1"/>
    <col min="8709" max="8709" width="8.5703125" style="16" bestFit="1" customWidth="1"/>
    <col min="8710" max="8712" width="8.85546875" style="16" customWidth="1"/>
    <col min="8713" max="8719" width="7.7109375" style="16" customWidth="1"/>
    <col min="8720" max="8724" width="9.140625" style="16"/>
    <col min="8725" max="8725" width="12.42578125" style="16" customWidth="1"/>
    <col min="8726" max="8726" width="9.140625" style="16"/>
    <col min="8727" max="8727" width="12" style="16" customWidth="1"/>
    <col min="8728" max="8960" width="9.140625" style="16"/>
    <col min="8961" max="8961" width="5" style="16" customWidth="1"/>
    <col min="8962" max="8962" width="19.28515625" style="16" customWidth="1"/>
    <col min="8963" max="8963" width="7.85546875" style="16" customWidth="1"/>
    <col min="8964" max="8964" width="7.42578125" style="16" customWidth="1"/>
    <col min="8965" max="8965" width="8.5703125" style="16" bestFit="1" customWidth="1"/>
    <col min="8966" max="8968" width="8.85546875" style="16" customWidth="1"/>
    <col min="8969" max="8975" width="7.7109375" style="16" customWidth="1"/>
    <col min="8976" max="8980" width="9.140625" style="16"/>
    <col min="8981" max="8981" width="12.42578125" style="16" customWidth="1"/>
    <col min="8982" max="8982" width="9.140625" style="16"/>
    <col min="8983" max="8983" width="12" style="16" customWidth="1"/>
    <col min="8984" max="9216" width="9.140625" style="16"/>
    <col min="9217" max="9217" width="5" style="16" customWidth="1"/>
    <col min="9218" max="9218" width="19.28515625" style="16" customWidth="1"/>
    <col min="9219" max="9219" width="7.85546875" style="16" customWidth="1"/>
    <col min="9220" max="9220" width="7.42578125" style="16" customWidth="1"/>
    <col min="9221" max="9221" width="8.5703125" style="16" bestFit="1" customWidth="1"/>
    <col min="9222" max="9224" width="8.85546875" style="16" customWidth="1"/>
    <col min="9225" max="9231" width="7.7109375" style="16" customWidth="1"/>
    <col min="9232" max="9236" width="9.140625" style="16"/>
    <col min="9237" max="9237" width="12.42578125" style="16" customWidth="1"/>
    <col min="9238" max="9238" width="9.140625" style="16"/>
    <col min="9239" max="9239" width="12" style="16" customWidth="1"/>
    <col min="9240" max="9472" width="9.140625" style="16"/>
    <col min="9473" max="9473" width="5" style="16" customWidth="1"/>
    <col min="9474" max="9474" width="19.28515625" style="16" customWidth="1"/>
    <col min="9475" max="9475" width="7.85546875" style="16" customWidth="1"/>
    <col min="9476" max="9476" width="7.42578125" style="16" customWidth="1"/>
    <col min="9477" max="9477" width="8.5703125" style="16" bestFit="1" customWidth="1"/>
    <col min="9478" max="9480" width="8.85546875" style="16" customWidth="1"/>
    <col min="9481" max="9487" width="7.7109375" style="16" customWidth="1"/>
    <col min="9488" max="9492" width="9.140625" style="16"/>
    <col min="9493" max="9493" width="12.42578125" style="16" customWidth="1"/>
    <col min="9494" max="9494" width="9.140625" style="16"/>
    <col min="9495" max="9495" width="12" style="16" customWidth="1"/>
    <col min="9496" max="9728" width="9.140625" style="16"/>
    <col min="9729" max="9729" width="5" style="16" customWidth="1"/>
    <col min="9730" max="9730" width="19.28515625" style="16" customWidth="1"/>
    <col min="9731" max="9731" width="7.85546875" style="16" customWidth="1"/>
    <col min="9732" max="9732" width="7.42578125" style="16" customWidth="1"/>
    <col min="9733" max="9733" width="8.5703125" style="16" bestFit="1" customWidth="1"/>
    <col min="9734" max="9736" width="8.85546875" style="16" customWidth="1"/>
    <col min="9737" max="9743" width="7.7109375" style="16" customWidth="1"/>
    <col min="9744" max="9748" width="9.140625" style="16"/>
    <col min="9749" max="9749" width="12.42578125" style="16" customWidth="1"/>
    <col min="9750" max="9750" width="9.140625" style="16"/>
    <col min="9751" max="9751" width="12" style="16" customWidth="1"/>
    <col min="9752" max="9984" width="9.140625" style="16"/>
    <col min="9985" max="9985" width="5" style="16" customWidth="1"/>
    <col min="9986" max="9986" width="19.28515625" style="16" customWidth="1"/>
    <col min="9987" max="9987" width="7.85546875" style="16" customWidth="1"/>
    <col min="9988" max="9988" width="7.42578125" style="16" customWidth="1"/>
    <col min="9989" max="9989" width="8.5703125" style="16" bestFit="1" customWidth="1"/>
    <col min="9990" max="9992" width="8.85546875" style="16" customWidth="1"/>
    <col min="9993" max="9999" width="7.7109375" style="16" customWidth="1"/>
    <col min="10000" max="10004" width="9.140625" style="16"/>
    <col min="10005" max="10005" width="12.42578125" style="16" customWidth="1"/>
    <col min="10006" max="10006" width="9.140625" style="16"/>
    <col min="10007" max="10007" width="12" style="16" customWidth="1"/>
    <col min="10008" max="10240" width="9.140625" style="16"/>
    <col min="10241" max="10241" width="5" style="16" customWidth="1"/>
    <col min="10242" max="10242" width="19.28515625" style="16" customWidth="1"/>
    <col min="10243" max="10243" width="7.85546875" style="16" customWidth="1"/>
    <col min="10244" max="10244" width="7.42578125" style="16" customWidth="1"/>
    <col min="10245" max="10245" width="8.5703125" style="16" bestFit="1" customWidth="1"/>
    <col min="10246" max="10248" width="8.85546875" style="16" customWidth="1"/>
    <col min="10249" max="10255" width="7.7109375" style="16" customWidth="1"/>
    <col min="10256" max="10260" width="9.140625" style="16"/>
    <col min="10261" max="10261" width="12.42578125" style="16" customWidth="1"/>
    <col min="10262" max="10262" width="9.140625" style="16"/>
    <col min="10263" max="10263" width="12" style="16" customWidth="1"/>
    <col min="10264" max="10496" width="9.140625" style="16"/>
    <col min="10497" max="10497" width="5" style="16" customWidth="1"/>
    <col min="10498" max="10498" width="19.28515625" style="16" customWidth="1"/>
    <col min="10499" max="10499" width="7.85546875" style="16" customWidth="1"/>
    <col min="10500" max="10500" width="7.42578125" style="16" customWidth="1"/>
    <col min="10501" max="10501" width="8.5703125" style="16" bestFit="1" customWidth="1"/>
    <col min="10502" max="10504" width="8.85546875" style="16" customWidth="1"/>
    <col min="10505" max="10511" width="7.7109375" style="16" customWidth="1"/>
    <col min="10512" max="10516" width="9.140625" style="16"/>
    <col min="10517" max="10517" width="12.42578125" style="16" customWidth="1"/>
    <col min="10518" max="10518" width="9.140625" style="16"/>
    <col min="10519" max="10519" width="12" style="16" customWidth="1"/>
    <col min="10520" max="10752" width="9.140625" style="16"/>
    <col min="10753" max="10753" width="5" style="16" customWidth="1"/>
    <col min="10754" max="10754" width="19.28515625" style="16" customWidth="1"/>
    <col min="10755" max="10755" width="7.85546875" style="16" customWidth="1"/>
    <col min="10756" max="10756" width="7.42578125" style="16" customWidth="1"/>
    <col min="10757" max="10757" width="8.5703125" style="16" bestFit="1" customWidth="1"/>
    <col min="10758" max="10760" width="8.85546875" style="16" customWidth="1"/>
    <col min="10761" max="10767" width="7.7109375" style="16" customWidth="1"/>
    <col min="10768" max="10772" width="9.140625" style="16"/>
    <col min="10773" max="10773" width="12.42578125" style="16" customWidth="1"/>
    <col min="10774" max="10774" width="9.140625" style="16"/>
    <col min="10775" max="10775" width="12" style="16" customWidth="1"/>
    <col min="10776" max="11008" width="9.140625" style="16"/>
    <col min="11009" max="11009" width="5" style="16" customWidth="1"/>
    <col min="11010" max="11010" width="19.28515625" style="16" customWidth="1"/>
    <col min="11011" max="11011" width="7.85546875" style="16" customWidth="1"/>
    <col min="11012" max="11012" width="7.42578125" style="16" customWidth="1"/>
    <col min="11013" max="11013" width="8.5703125" style="16" bestFit="1" customWidth="1"/>
    <col min="11014" max="11016" width="8.85546875" style="16" customWidth="1"/>
    <col min="11017" max="11023" width="7.7109375" style="16" customWidth="1"/>
    <col min="11024" max="11028" width="9.140625" style="16"/>
    <col min="11029" max="11029" width="12.42578125" style="16" customWidth="1"/>
    <col min="11030" max="11030" width="9.140625" style="16"/>
    <col min="11031" max="11031" width="12" style="16" customWidth="1"/>
    <col min="11032" max="11264" width="9.140625" style="16"/>
    <col min="11265" max="11265" width="5" style="16" customWidth="1"/>
    <col min="11266" max="11266" width="19.28515625" style="16" customWidth="1"/>
    <col min="11267" max="11267" width="7.85546875" style="16" customWidth="1"/>
    <col min="11268" max="11268" width="7.42578125" style="16" customWidth="1"/>
    <col min="11269" max="11269" width="8.5703125" style="16" bestFit="1" customWidth="1"/>
    <col min="11270" max="11272" width="8.85546875" style="16" customWidth="1"/>
    <col min="11273" max="11279" width="7.7109375" style="16" customWidth="1"/>
    <col min="11280" max="11284" width="9.140625" style="16"/>
    <col min="11285" max="11285" width="12.42578125" style="16" customWidth="1"/>
    <col min="11286" max="11286" width="9.140625" style="16"/>
    <col min="11287" max="11287" width="12" style="16" customWidth="1"/>
    <col min="11288" max="11520" width="9.140625" style="16"/>
    <col min="11521" max="11521" width="5" style="16" customWidth="1"/>
    <col min="11522" max="11522" width="19.28515625" style="16" customWidth="1"/>
    <col min="11523" max="11523" width="7.85546875" style="16" customWidth="1"/>
    <col min="11524" max="11524" width="7.42578125" style="16" customWidth="1"/>
    <col min="11525" max="11525" width="8.5703125" style="16" bestFit="1" customWidth="1"/>
    <col min="11526" max="11528" width="8.85546875" style="16" customWidth="1"/>
    <col min="11529" max="11535" width="7.7109375" style="16" customWidth="1"/>
    <col min="11536" max="11540" width="9.140625" style="16"/>
    <col min="11541" max="11541" width="12.42578125" style="16" customWidth="1"/>
    <col min="11542" max="11542" width="9.140625" style="16"/>
    <col min="11543" max="11543" width="12" style="16" customWidth="1"/>
    <col min="11544" max="11776" width="9.140625" style="16"/>
    <col min="11777" max="11777" width="5" style="16" customWidth="1"/>
    <col min="11778" max="11778" width="19.28515625" style="16" customWidth="1"/>
    <col min="11779" max="11779" width="7.85546875" style="16" customWidth="1"/>
    <col min="11780" max="11780" width="7.42578125" style="16" customWidth="1"/>
    <col min="11781" max="11781" width="8.5703125" style="16" bestFit="1" customWidth="1"/>
    <col min="11782" max="11784" width="8.85546875" style="16" customWidth="1"/>
    <col min="11785" max="11791" width="7.7109375" style="16" customWidth="1"/>
    <col min="11792" max="11796" width="9.140625" style="16"/>
    <col min="11797" max="11797" width="12.42578125" style="16" customWidth="1"/>
    <col min="11798" max="11798" width="9.140625" style="16"/>
    <col min="11799" max="11799" width="12" style="16" customWidth="1"/>
    <col min="11800" max="12032" width="9.140625" style="16"/>
    <col min="12033" max="12033" width="5" style="16" customWidth="1"/>
    <col min="12034" max="12034" width="19.28515625" style="16" customWidth="1"/>
    <col min="12035" max="12035" width="7.85546875" style="16" customWidth="1"/>
    <col min="12036" max="12036" width="7.42578125" style="16" customWidth="1"/>
    <col min="12037" max="12037" width="8.5703125" style="16" bestFit="1" customWidth="1"/>
    <col min="12038" max="12040" width="8.85546875" style="16" customWidth="1"/>
    <col min="12041" max="12047" width="7.7109375" style="16" customWidth="1"/>
    <col min="12048" max="12052" width="9.140625" style="16"/>
    <col min="12053" max="12053" width="12.42578125" style="16" customWidth="1"/>
    <col min="12054" max="12054" width="9.140625" style="16"/>
    <col min="12055" max="12055" width="12" style="16" customWidth="1"/>
    <col min="12056" max="12288" width="9.140625" style="16"/>
    <col min="12289" max="12289" width="5" style="16" customWidth="1"/>
    <col min="12290" max="12290" width="19.28515625" style="16" customWidth="1"/>
    <col min="12291" max="12291" width="7.85546875" style="16" customWidth="1"/>
    <col min="12292" max="12292" width="7.42578125" style="16" customWidth="1"/>
    <col min="12293" max="12293" width="8.5703125" style="16" bestFit="1" customWidth="1"/>
    <col min="12294" max="12296" width="8.85546875" style="16" customWidth="1"/>
    <col min="12297" max="12303" width="7.7109375" style="16" customWidth="1"/>
    <col min="12304" max="12308" width="9.140625" style="16"/>
    <col min="12309" max="12309" width="12.42578125" style="16" customWidth="1"/>
    <col min="12310" max="12310" width="9.140625" style="16"/>
    <col min="12311" max="12311" width="12" style="16" customWidth="1"/>
    <col min="12312" max="12544" width="9.140625" style="16"/>
    <col min="12545" max="12545" width="5" style="16" customWidth="1"/>
    <col min="12546" max="12546" width="19.28515625" style="16" customWidth="1"/>
    <col min="12547" max="12547" width="7.85546875" style="16" customWidth="1"/>
    <col min="12548" max="12548" width="7.42578125" style="16" customWidth="1"/>
    <col min="12549" max="12549" width="8.5703125" style="16" bestFit="1" customWidth="1"/>
    <col min="12550" max="12552" width="8.85546875" style="16" customWidth="1"/>
    <col min="12553" max="12559" width="7.7109375" style="16" customWidth="1"/>
    <col min="12560" max="12564" width="9.140625" style="16"/>
    <col min="12565" max="12565" width="12.42578125" style="16" customWidth="1"/>
    <col min="12566" max="12566" width="9.140625" style="16"/>
    <col min="12567" max="12567" width="12" style="16" customWidth="1"/>
    <col min="12568" max="12800" width="9.140625" style="16"/>
    <col min="12801" max="12801" width="5" style="16" customWidth="1"/>
    <col min="12802" max="12802" width="19.28515625" style="16" customWidth="1"/>
    <col min="12803" max="12803" width="7.85546875" style="16" customWidth="1"/>
    <col min="12804" max="12804" width="7.42578125" style="16" customWidth="1"/>
    <col min="12805" max="12805" width="8.5703125" style="16" bestFit="1" customWidth="1"/>
    <col min="12806" max="12808" width="8.85546875" style="16" customWidth="1"/>
    <col min="12809" max="12815" width="7.7109375" style="16" customWidth="1"/>
    <col min="12816" max="12820" width="9.140625" style="16"/>
    <col min="12821" max="12821" width="12.42578125" style="16" customWidth="1"/>
    <col min="12822" max="12822" width="9.140625" style="16"/>
    <col min="12823" max="12823" width="12" style="16" customWidth="1"/>
    <col min="12824" max="13056" width="9.140625" style="16"/>
    <col min="13057" max="13057" width="5" style="16" customWidth="1"/>
    <col min="13058" max="13058" width="19.28515625" style="16" customWidth="1"/>
    <col min="13059" max="13059" width="7.85546875" style="16" customWidth="1"/>
    <col min="13060" max="13060" width="7.42578125" style="16" customWidth="1"/>
    <col min="13061" max="13061" width="8.5703125" style="16" bestFit="1" customWidth="1"/>
    <col min="13062" max="13064" width="8.85546875" style="16" customWidth="1"/>
    <col min="13065" max="13071" width="7.7109375" style="16" customWidth="1"/>
    <col min="13072" max="13076" width="9.140625" style="16"/>
    <col min="13077" max="13077" width="12.42578125" style="16" customWidth="1"/>
    <col min="13078" max="13078" width="9.140625" style="16"/>
    <col min="13079" max="13079" width="12" style="16" customWidth="1"/>
    <col min="13080" max="13312" width="9.140625" style="16"/>
    <col min="13313" max="13313" width="5" style="16" customWidth="1"/>
    <col min="13314" max="13314" width="19.28515625" style="16" customWidth="1"/>
    <col min="13315" max="13315" width="7.85546875" style="16" customWidth="1"/>
    <col min="13316" max="13316" width="7.42578125" style="16" customWidth="1"/>
    <col min="13317" max="13317" width="8.5703125" style="16" bestFit="1" customWidth="1"/>
    <col min="13318" max="13320" width="8.85546875" style="16" customWidth="1"/>
    <col min="13321" max="13327" width="7.7109375" style="16" customWidth="1"/>
    <col min="13328" max="13332" width="9.140625" style="16"/>
    <col min="13333" max="13333" width="12.42578125" style="16" customWidth="1"/>
    <col min="13334" max="13334" width="9.140625" style="16"/>
    <col min="13335" max="13335" width="12" style="16" customWidth="1"/>
    <col min="13336" max="13568" width="9.140625" style="16"/>
    <col min="13569" max="13569" width="5" style="16" customWidth="1"/>
    <col min="13570" max="13570" width="19.28515625" style="16" customWidth="1"/>
    <col min="13571" max="13571" width="7.85546875" style="16" customWidth="1"/>
    <col min="13572" max="13572" width="7.42578125" style="16" customWidth="1"/>
    <col min="13573" max="13573" width="8.5703125" style="16" bestFit="1" customWidth="1"/>
    <col min="13574" max="13576" width="8.85546875" style="16" customWidth="1"/>
    <col min="13577" max="13583" width="7.7109375" style="16" customWidth="1"/>
    <col min="13584" max="13588" width="9.140625" style="16"/>
    <col min="13589" max="13589" width="12.42578125" style="16" customWidth="1"/>
    <col min="13590" max="13590" width="9.140625" style="16"/>
    <col min="13591" max="13591" width="12" style="16" customWidth="1"/>
    <col min="13592" max="13824" width="9.140625" style="16"/>
    <col min="13825" max="13825" width="5" style="16" customWidth="1"/>
    <col min="13826" max="13826" width="19.28515625" style="16" customWidth="1"/>
    <col min="13827" max="13827" width="7.85546875" style="16" customWidth="1"/>
    <col min="13828" max="13828" width="7.42578125" style="16" customWidth="1"/>
    <col min="13829" max="13829" width="8.5703125" style="16" bestFit="1" customWidth="1"/>
    <col min="13830" max="13832" width="8.85546875" style="16" customWidth="1"/>
    <col min="13833" max="13839" width="7.7109375" style="16" customWidth="1"/>
    <col min="13840" max="13844" width="9.140625" style="16"/>
    <col min="13845" max="13845" width="12.42578125" style="16" customWidth="1"/>
    <col min="13846" max="13846" width="9.140625" style="16"/>
    <col min="13847" max="13847" width="12" style="16" customWidth="1"/>
    <col min="13848" max="14080" width="9.140625" style="16"/>
    <col min="14081" max="14081" width="5" style="16" customWidth="1"/>
    <col min="14082" max="14082" width="19.28515625" style="16" customWidth="1"/>
    <col min="14083" max="14083" width="7.85546875" style="16" customWidth="1"/>
    <col min="14084" max="14084" width="7.42578125" style="16" customWidth="1"/>
    <col min="14085" max="14085" width="8.5703125" style="16" bestFit="1" customWidth="1"/>
    <col min="14086" max="14088" width="8.85546875" style="16" customWidth="1"/>
    <col min="14089" max="14095" width="7.7109375" style="16" customWidth="1"/>
    <col min="14096" max="14100" width="9.140625" style="16"/>
    <col min="14101" max="14101" width="12.42578125" style="16" customWidth="1"/>
    <col min="14102" max="14102" width="9.140625" style="16"/>
    <col min="14103" max="14103" width="12" style="16" customWidth="1"/>
    <col min="14104" max="14336" width="9.140625" style="16"/>
    <col min="14337" max="14337" width="5" style="16" customWidth="1"/>
    <col min="14338" max="14338" width="19.28515625" style="16" customWidth="1"/>
    <col min="14339" max="14339" width="7.85546875" style="16" customWidth="1"/>
    <col min="14340" max="14340" width="7.42578125" style="16" customWidth="1"/>
    <col min="14341" max="14341" width="8.5703125" style="16" bestFit="1" customWidth="1"/>
    <col min="14342" max="14344" width="8.85546875" style="16" customWidth="1"/>
    <col min="14345" max="14351" width="7.7109375" style="16" customWidth="1"/>
    <col min="14352" max="14356" width="9.140625" style="16"/>
    <col min="14357" max="14357" width="12.42578125" style="16" customWidth="1"/>
    <col min="14358" max="14358" width="9.140625" style="16"/>
    <col min="14359" max="14359" width="12" style="16" customWidth="1"/>
    <col min="14360" max="14592" width="9.140625" style="16"/>
    <col min="14593" max="14593" width="5" style="16" customWidth="1"/>
    <col min="14594" max="14594" width="19.28515625" style="16" customWidth="1"/>
    <col min="14595" max="14595" width="7.85546875" style="16" customWidth="1"/>
    <col min="14596" max="14596" width="7.42578125" style="16" customWidth="1"/>
    <col min="14597" max="14597" width="8.5703125" style="16" bestFit="1" customWidth="1"/>
    <col min="14598" max="14600" width="8.85546875" style="16" customWidth="1"/>
    <col min="14601" max="14607" width="7.7109375" style="16" customWidth="1"/>
    <col min="14608" max="14612" width="9.140625" style="16"/>
    <col min="14613" max="14613" width="12.42578125" style="16" customWidth="1"/>
    <col min="14614" max="14614" width="9.140625" style="16"/>
    <col min="14615" max="14615" width="12" style="16" customWidth="1"/>
    <col min="14616" max="14848" width="9.140625" style="16"/>
    <col min="14849" max="14849" width="5" style="16" customWidth="1"/>
    <col min="14850" max="14850" width="19.28515625" style="16" customWidth="1"/>
    <col min="14851" max="14851" width="7.85546875" style="16" customWidth="1"/>
    <col min="14852" max="14852" width="7.42578125" style="16" customWidth="1"/>
    <col min="14853" max="14853" width="8.5703125" style="16" bestFit="1" customWidth="1"/>
    <col min="14854" max="14856" width="8.85546875" style="16" customWidth="1"/>
    <col min="14857" max="14863" width="7.7109375" style="16" customWidth="1"/>
    <col min="14864" max="14868" width="9.140625" style="16"/>
    <col min="14869" max="14869" width="12.42578125" style="16" customWidth="1"/>
    <col min="14870" max="14870" width="9.140625" style="16"/>
    <col min="14871" max="14871" width="12" style="16" customWidth="1"/>
    <col min="14872" max="15104" width="9.140625" style="16"/>
    <col min="15105" max="15105" width="5" style="16" customWidth="1"/>
    <col min="15106" max="15106" width="19.28515625" style="16" customWidth="1"/>
    <col min="15107" max="15107" width="7.85546875" style="16" customWidth="1"/>
    <col min="15108" max="15108" width="7.42578125" style="16" customWidth="1"/>
    <col min="15109" max="15109" width="8.5703125" style="16" bestFit="1" customWidth="1"/>
    <col min="15110" max="15112" width="8.85546875" style="16" customWidth="1"/>
    <col min="15113" max="15119" width="7.7109375" style="16" customWidth="1"/>
    <col min="15120" max="15124" width="9.140625" style="16"/>
    <col min="15125" max="15125" width="12.42578125" style="16" customWidth="1"/>
    <col min="15126" max="15126" width="9.140625" style="16"/>
    <col min="15127" max="15127" width="12" style="16" customWidth="1"/>
    <col min="15128" max="15360" width="9.140625" style="16"/>
    <col min="15361" max="15361" width="5" style="16" customWidth="1"/>
    <col min="15362" max="15362" width="19.28515625" style="16" customWidth="1"/>
    <col min="15363" max="15363" width="7.85546875" style="16" customWidth="1"/>
    <col min="15364" max="15364" width="7.42578125" style="16" customWidth="1"/>
    <col min="15365" max="15365" width="8.5703125" style="16" bestFit="1" customWidth="1"/>
    <col min="15366" max="15368" width="8.85546875" style="16" customWidth="1"/>
    <col min="15369" max="15375" width="7.7109375" style="16" customWidth="1"/>
    <col min="15376" max="15380" width="9.140625" style="16"/>
    <col min="15381" max="15381" width="12.42578125" style="16" customWidth="1"/>
    <col min="15382" max="15382" width="9.140625" style="16"/>
    <col min="15383" max="15383" width="12" style="16" customWidth="1"/>
    <col min="15384" max="15616" width="9.140625" style="16"/>
    <col min="15617" max="15617" width="5" style="16" customWidth="1"/>
    <col min="15618" max="15618" width="19.28515625" style="16" customWidth="1"/>
    <col min="15619" max="15619" width="7.85546875" style="16" customWidth="1"/>
    <col min="15620" max="15620" width="7.42578125" style="16" customWidth="1"/>
    <col min="15621" max="15621" width="8.5703125" style="16" bestFit="1" customWidth="1"/>
    <col min="15622" max="15624" width="8.85546875" style="16" customWidth="1"/>
    <col min="15625" max="15631" width="7.7109375" style="16" customWidth="1"/>
    <col min="15632" max="15636" width="9.140625" style="16"/>
    <col min="15637" max="15637" width="12.42578125" style="16" customWidth="1"/>
    <col min="15638" max="15638" width="9.140625" style="16"/>
    <col min="15639" max="15639" width="12" style="16" customWidth="1"/>
    <col min="15640" max="15872" width="9.140625" style="16"/>
    <col min="15873" max="15873" width="5" style="16" customWidth="1"/>
    <col min="15874" max="15874" width="19.28515625" style="16" customWidth="1"/>
    <col min="15875" max="15875" width="7.85546875" style="16" customWidth="1"/>
    <col min="15876" max="15876" width="7.42578125" style="16" customWidth="1"/>
    <col min="15877" max="15877" width="8.5703125" style="16" bestFit="1" customWidth="1"/>
    <col min="15878" max="15880" width="8.85546875" style="16" customWidth="1"/>
    <col min="15881" max="15887" width="7.7109375" style="16" customWidth="1"/>
    <col min="15888" max="15892" width="9.140625" style="16"/>
    <col min="15893" max="15893" width="12.42578125" style="16" customWidth="1"/>
    <col min="15894" max="15894" width="9.140625" style="16"/>
    <col min="15895" max="15895" width="12" style="16" customWidth="1"/>
    <col min="15896" max="16128" width="9.140625" style="16"/>
    <col min="16129" max="16129" width="5" style="16" customWidth="1"/>
    <col min="16130" max="16130" width="19.28515625" style="16" customWidth="1"/>
    <col min="16131" max="16131" width="7.85546875" style="16" customWidth="1"/>
    <col min="16132" max="16132" width="7.42578125" style="16" customWidth="1"/>
    <col min="16133" max="16133" width="8.5703125" style="16" bestFit="1" customWidth="1"/>
    <col min="16134" max="16136" width="8.85546875" style="16" customWidth="1"/>
    <col min="16137" max="16143" width="7.7109375" style="16" customWidth="1"/>
    <col min="16144" max="16148" width="9.140625" style="16"/>
    <col min="16149" max="16149" width="12.42578125" style="16" customWidth="1"/>
    <col min="16150" max="16150" width="9.140625" style="16"/>
    <col min="16151" max="16151" width="12" style="16" customWidth="1"/>
    <col min="16152" max="16384" width="9.140625" style="16"/>
  </cols>
  <sheetData>
    <row r="1" spans="1:17" s="1" customFormat="1" x14ac:dyDescent="0.2">
      <c r="A1" s="867" t="s">
        <v>449</v>
      </c>
      <c r="B1" s="868"/>
      <c r="C1" s="868"/>
      <c r="D1" s="869"/>
      <c r="E1" s="868"/>
      <c r="F1" s="868"/>
      <c r="G1" s="867" t="s">
        <v>102</v>
      </c>
      <c r="H1" s="869"/>
      <c r="I1" s="869" t="s">
        <v>585</v>
      </c>
      <c r="J1" s="868"/>
      <c r="K1" s="868"/>
      <c r="L1" s="870"/>
      <c r="M1" s="870"/>
      <c r="N1" s="870"/>
      <c r="O1" s="870"/>
    </row>
    <row r="2" spans="1:17" s="1" customFormat="1" x14ac:dyDescent="0.2">
      <c r="A2" s="867" t="s">
        <v>103</v>
      </c>
      <c r="B2" s="868"/>
      <c r="C2" s="868"/>
      <c r="D2" s="869"/>
      <c r="E2" s="868"/>
      <c r="F2" s="868"/>
      <c r="G2" s="867" t="s">
        <v>104</v>
      </c>
      <c r="H2" s="869"/>
      <c r="I2" s="869" t="s">
        <v>105</v>
      </c>
      <c r="J2" s="868"/>
      <c r="K2" s="868"/>
      <c r="L2" s="870"/>
      <c r="M2" s="870"/>
      <c r="N2" s="870"/>
      <c r="O2" s="870"/>
    </row>
    <row r="3" spans="1:17" s="1" customFormat="1" x14ac:dyDescent="0.2">
      <c r="A3" s="867" t="s">
        <v>106</v>
      </c>
      <c r="B3" s="868"/>
      <c r="C3" s="868"/>
      <c r="D3" s="883" t="s">
        <v>680</v>
      </c>
      <c r="E3" s="868"/>
      <c r="F3" s="868"/>
      <c r="G3" s="867" t="s">
        <v>107</v>
      </c>
      <c r="H3" s="869"/>
      <c r="I3" s="869" t="s">
        <v>108</v>
      </c>
      <c r="J3" s="868"/>
      <c r="K3" s="868"/>
      <c r="L3" s="870"/>
      <c r="M3" s="870"/>
      <c r="N3" s="870"/>
      <c r="O3" s="870"/>
    </row>
    <row r="4" spans="1:17" s="1" customFormat="1" x14ac:dyDescent="0.2">
      <c r="A4" s="867" t="s">
        <v>109</v>
      </c>
      <c r="B4" s="868"/>
      <c r="C4" s="868"/>
      <c r="D4" s="869"/>
      <c r="E4" s="868"/>
      <c r="F4" s="868"/>
      <c r="G4" s="867" t="s">
        <v>110</v>
      </c>
      <c r="H4" s="869"/>
      <c r="I4" s="869" t="s">
        <v>392</v>
      </c>
      <c r="J4" s="868"/>
      <c r="K4" s="868"/>
      <c r="L4" s="870"/>
      <c r="M4" s="870"/>
      <c r="N4" s="870"/>
      <c r="O4" s="870"/>
    </row>
    <row r="5" spans="1:17" s="1" customFormat="1" x14ac:dyDescent="0.2">
      <c r="A5" s="867" t="s">
        <v>112</v>
      </c>
      <c r="B5" s="868"/>
      <c r="C5" s="868"/>
      <c r="D5" s="869" t="s">
        <v>681</v>
      </c>
      <c r="E5" s="868"/>
      <c r="F5" s="868"/>
      <c r="G5" s="867"/>
      <c r="H5" s="868"/>
      <c r="I5" s="869" t="s">
        <v>113</v>
      </c>
      <c r="J5" s="868"/>
      <c r="K5" s="868"/>
      <c r="L5" s="870"/>
      <c r="M5" s="870"/>
      <c r="N5" s="870"/>
      <c r="O5" s="870"/>
    </row>
    <row r="6" spans="1:17" s="1" customFormat="1" x14ac:dyDescent="0.2">
      <c r="A6" s="871" t="s">
        <v>114</v>
      </c>
      <c r="B6" s="872"/>
      <c r="C6" s="872"/>
      <c r="D6" s="868" t="s">
        <v>586</v>
      </c>
      <c r="E6" s="868"/>
      <c r="F6" s="868"/>
      <c r="G6" s="871" t="s">
        <v>115</v>
      </c>
      <c r="H6" s="871"/>
      <c r="I6" s="2" t="s">
        <v>116</v>
      </c>
      <c r="J6" s="888"/>
      <c r="K6" s="888"/>
      <c r="L6" s="888"/>
      <c r="M6" s="888"/>
      <c r="N6" s="888"/>
      <c r="O6" s="889"/>
    </row>
    <row r="7" spans="1:17" s="1" customFormat="1" ht="13.5" thickBot="1" x14ac:dyDescent="0.25">
      <c r="A7" s="3"/>
      <c r="B7" s="4"/>
      <c r="C7" s="5"/>
      <c r="D7" s="6"/>
      <c r="E7" s="6"/>
      <c r="F7" s="6"/>
      <c r="G7" s="6"/>
      <c r="H7" s="6"/>
      <c r="I7" s="6"/>
      <c r="J7" s="7"/>
      <c r="K7" s="8"/>
      <c r="L7" s="875" t="s">
        <v>223</v>
      </c>
      <c r="M7" s="875"/>
      <c r="N7" s="875"/>
      <c r="O7" s="875"/>
    </row>
    <row r="8" spans="1:17" s="11" customFormat="1" x14ac:dyDescent="0.2">
      <c r="A8" s="876" t="str">
        <f>I1</f>
        <v>Mr. S. A. Ansari</v>
      </c>
      <c r="B8" s="877"/>
      <c r="C8" s="9">
        <v>43160</v>
      </c>
      <c r="D8" s="9">
        <v>43191</v>
      </c>
      <c r="E8" s="9">
        <v>43221</v>
      </c>
      <c r="F8" s="9">
        <v>43252</v>
      </c>
      <c r="G8" s="9">
        <v>43282</v>
      </c>
      <c r="H8" s="9">
        <v>43313</v>
      </c>
      <c r="I8" s="9">
        <v>43344</v>
      </c>
      <c r="J8" s="9">
        <v>43374</v>
      </c>
      <c r="K8" s="9">
        <v>43405</v>
      </c>
      <c r="L8" s="9">
        <v>43435</v>
      </c>
      <c r="M8" s="9">
        <v>43466</v>
      </c>
      <c r="N8" s="9">
        <v>43497</v>
      </c>
      <c r="O8" s="10" t="s">
        <v>117</v>
      </c>
      <c r="Q8" s="11" t="s">
        <v>116</v>
      </c>
    </row>
    <row r="9" spans="1:17" ht="15" x14ac:dyDescent="0.2">
      <c r="A9" s="12"/>
      <c r="B9" s="13" t="s">
        <v>118</v>
      </c>
      <c r="C9" s="14">
        <v>66000</v>
      </c>
      <c r="D9" s="14">
        <f>+C9</f>
        <v>66000</v>
      </c>
      <c r="E9" s="14">
        <f>+D9</f>
        <v>66000</v>
      </c>
      <c r="F9" s="14">
        <f>+E9</f>
        <v>66000</v>
      </c>
      <c r="G9" s="14">
        <v>68000</v>
      </c>
      <c r="H9" s="14">
        <v>68000</v>
      </c>
      <c r="I9" s="14">
        <v>68000</v>
      </c>
      <c r="J9" s="14">
        <v>68000</v>
      </c>
      <c r="K9" s="14">
        <v>68000</v>
      </c>
      <c r="L9" s="14">
        <v>68000</v>
      </c>
      <c r="M9" s="14">
        <v>68000</v>
      </c>
      <c r="N9" s="14">
        <v>68000</v>
      </c>
      <c r="O9" s="15">
        <f>SUM(C9:N9)</f>
        <v>808000</v>
      </c>
      <c r="Q9" s="16" t="s">
        <v>222</v>
      </c>
    </row>
    <row r="10" spans="1:17"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7" ht="15" x14ac:dyDescent="0.2">
      <c r="A11" s="12"/>
      <c r="B11" s="13" t="s">
        <v>120</v>
      </c>
      <c r="C11" s="17">
        <v>3300</v>
      </c>
      <c r="D11" s="17">
        <v>4620</v>
      </c>
      <c r="E11" s="17">
        <v>4620</v>
      </c>
      <c r="F11" s="17">
        <v>4620</v>
      </c>
      <c r="G11" s="17">
        <v>4760</v>
      </c>
      <c r="H11" s="17">
        <v>4760</v>
      </c>
      <c r="I11" s="17">
        <v>4760</v>
      </c>
      <c r="J11" s="17">
        <v>6120</v>
      </c>
      <c r="K11" s="17">
        <v>6120</v>
      </c>
      <c r="L11" s="17">
        <v>6120</v>
      </c>
      <c r="M11" s="17">
        <v>6120</v>
      </c>
      <c r="N11" s="17">
        <v>6120</v>
      </c>
      <c r="O11" s="18">
        <f>SUM(C11:N11)</f>
        <v>62040</v>
      </c>
    </row>
    <row r="12" spans="1:17"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7"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7" ht="14.25" customHeight="1" x14ac:dyDescent="0.2">
      <c r="A14" s="12"/>
      <c r="B14" s="13" t="s">
        <v>123</v>
      </c>
      <c r="C14" s="17">
        <v>3780</v>
      </c>
      <c r="D14" s="17">
        <v>3752</v>
      </c>
      <c r="E14" s="17">
        <v>3752</v>
      </c>
      <c r="F14" s="17">
        <v>3752</v>
      </c>
      <c r="G14" s="17">
        <v>3752</v>
      </c>
      <c r="H14" s="17">
        <v>3752</v>
      </c>
      <c r="I14" s="17">
        <v>3752</v>
      </c>
      <c r="J14" s="17">
        <v>3924</v>
      </c>
      <c r="K14" s="17">
        <v>3924</v>
      </c>
      <c r="L14" s="17">
        <v>3924</v>
      </c>
      <c r="M14" s="17">
        <v>3924</v>
      </c>
      <c r="N14" s="17">
        <v>3924</v>
      </c>
      <c r="O14" s="18">
        <f t="shared" si="0"/>
        <v>45912</v>
      </c>
    </row>
    <row r="15" spans="1:17" ht="14.25" hidden="1" customHeight="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7" ht="13.5" hidden="1" customHeight="1" x14ac:dyDescent="0.2">
      <c r="A16" s="12"/>
      <c r="B16" s="13" t="s">
        <v>405</v>
      </c>
      <c r="C16" s="17">
        <v>0</v>
      </c>
      <c r="D16" s="17">
        <v>0</v>
      </c>
      <c r="E16" s="17">
        <v>0</v>
      </c>
      <c r="F16" s="17">
        <v>0</v>
      </c>
      <c r="G16" s="17">
        <v>0</v>
      </c>
      <c r="H16" s="17">
        <v>0</v>
      </c>
      <c r="I16" s="17">
        <v>0</v>
      </c>
      <c r="J16" s="17">
        <v>0</v>
      </c>
      <c r="K16" s="17">
        <v>0</v>
      </c>
      <c r="L16" s="17">
        <v>0</v>
      </c>
      <c r="M16" s="17">
        <v>0</v>
      </c>
      <c r="N16" s="17">
        <v>0</v>
      </c>
      <c r="O16" s="18">
        <f t="shared" si="0"/>
        <v>0</v>
      </c>
    </row>
    <row r="17" spans="1:15" ht="14.25" hidden="1" customHeight="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15480</v>
      </c>
      <c r="D19" s="17">
        <v>15480</v>
      </c>
      <c r="E19" s="17">
        <v>15480</v>
      </c>
      <c r="F19" s="17">
        <v>15480</v>
      </c>
      <c r="G19" s="17">
        <v>16320</v>
      </c>
      <c r="H19" s="17">
        <v>16320</v>
      </c>
      <c r="I19" s="17">
        <v>16320</v>
      </c>
      <c r="J19" s="17">
        <v>16320</v>
      </c>
      <c r="K19" s="17">
        <v>16320</v>
      </c>
      <c r="L19" s="17">
        <v>16320</v>
      </c>
      <c r="M19" s="17">
        <v>16320</v>
      </c>
      <c r="N19" s="17">
        <v>16320</v>
      </c>
      <c r="O19" s="18">
        <f t="shared" si="0"/>
        <v>192480</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78"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79"/>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5" ht="15" hidden="1" customHeight="1" x14ac:dyDescent="0.2">
      <c r="A23" s="879"/>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79"/>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79"/>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79"/>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79"/>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79"/>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79"/>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79"/>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79"/>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79"/>
      <c r="B32" s="21" t="s">
        <v>142</v>
      </c>
      <c r="C32" s="17">
        <v>0</v>
      </c>
      <c r="D32" s="17">
        <v>0</v>
      </c>
      <c r="E32" s="17">
        <v>55761</v>
      </c>
      <c r="F32" s="17">
        <v>0</v>
      </c>
      <c r="G32" s="17">
        <v>0</v>
      </c>
      <c r="H32" s="17">
        <v>0</v>
      </c>
      <c r="I32" s="17">
        <v>0</v>
      </c>
      <c r="J32" s="17">
        <v>0</v>
      </c>
      <c r="K32" s="17">
        <v>0</v>
      </c>
      <c r="L32" s="17">
        <v>0</v>
      </c>
      <c r="M32" s="17">
        <v>0</v>
      </c>
      <c r="N32" s="17">
        <v>0</v>
      </c>
      <c r="O32" s="18">
        <f t="shared" si="0"/>
        <v>55761</v>
      </c>
    </row>
    <row r="33" spans="1:16" ht="15" hidden="1" customHeight="1" x14ac:dyDescent="0.2">
      <c r="A33" s="880"/>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865" t="s">
        <v>143</v>
      </c>
      <c r="B34" s="866"/>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865" t="s">
        <v>145</v>
      </c>
      <c r="B35" s="866"/>
      <c r="C35" s="17">
        <v>0</v>
      </c>
      <c r="D35" s="17">
        <v>216</v>
      </c>
      <c r="E35" s="17">
        <v>0</v>
      </c>
      <c r="F35" s="17">
        <v>0</v>
      </c>
      <c r="G35" s="17">
        <v>0</v>
      </c>
      <c r="H35" s="17">
        <v>0</v>
      </c>
      <c r="I35" s="17">
        <v>0</v>
      </c>
      <c r="J35" s="17">
        <v>216</v>
      </c>
      <c r="K35" s="17">
        <v>0</v>
      </c>
      <c r="L35" s="17">
        <v>0</v>
      </c>
      <c r="M35" s="17">
        <v>0</v>
      </c>
      <c r="N35" s="17">
        <v>0</v>
      </c>
      <c r="O35" s="18">
        <f t="shared" si="0"/>
        <v>432</v>
      </c>
    </row>
    <row r="36" spans="1:16" ht="15" customHeight="1" x14ac:dyDescent="0.2">
      <c r="A36" s="865" t="s">
        <v>146</v>
      </c>
      <c r="B36" s="866"/>
      <c r="C36" s="17">
        <v>0</v>
      </c>
      <c r="D36" s="17">
        <v>3960</v>
      </c>
      <c r="E36" s="17">
        <v>0</v>
      </c>
      <c r="F36" s="17">
        <v>0</v>
      </c>
      <c r="G36" s="17">
        <v>0</v>
      </c>
      <c r="H36" s="17">
        <v>0</v>
      </c>
      <c r="I36" s="17">
        <v>0</v>
      </c>
      <c r="J36" s="17">
        <v>4080</v>
      </c>
      <c r="K36" s="17">
        <v>0</v>
      </c>
      <c r="L36" s="17">
        <v>0</v>
      </c>
      <c r="M36" s="17">
        <v>0</v>
      </c>
      <c r="N36" s="17">
        <v>0</v>
      </c>
      <c r="O36" s="18">
        <f t="shared" si="0"/>
        <v>8040</v>
      </c>
    </row>
    <row r="37" spans="1:16" ht="15" customHeight="1" x14ac:dyDescent="0.2">
      <c r="A37" s="22"/>
      <c r="B37" s="23" t="s">
        <v>147</v>
      </c>
      <c r="C37" s="24">
        <f t="shared" ref="C37:N37" si="1">SUM(C9:C36)</f>
        <v>88560</v>
      </c>
      <c r="D37" s="24">
        <f t="shared" si="1"/>
        <v>94028</v>
      </c>
      <c r="E37" s="24">
        <f t="shared" si="1"/>
        <v>145613</v>
      </c>
      <c r="F37" s="24">
        <f t="shared" si="1"/>
        <v>89852</v>
      </c>
      <c r="G37" s="24">
        <f t="shared" si="1"/>
        <v>92832</v>
      </c>
      <c r="H37" s="24">
        <f t="shared" si="1"/>
        <v>92832</v>
      </c>
      <c r="I37" s="24">
        <f t="shared" si="1"/>
        <v>92832</v>
      </c>
      <c r="J37" s="24">
        <f t="shared" si="1"/>
        <v>105568</v>
      </c>
      <c r="K37" s="24">
        <f t="shared" si="1"/>
        <v>94364</v>
      </c>
      <c r="L37" s="24">
        <f t="shared" si="1"/>
        <v>94364</v>
      </c>
      <c r="M37" s="24">
        <f t="shared" si="1"/>
        <v>94364</v>
      </c>
      <c r="N37" s="24">
        <f t="shared" si="1"/>
        <v>94364</v>
      </c>
      <c r="O37" s="25">
        <f>SUM(C37:N37)</f>
        <v>1179573</v>
      </c>
    </row>
    <row r="38" spans="1:16" ht="15" customHeight="1" x14ac:dyDescent="0.25">
      <c r="A38" s="853" t="s">
        <v>148</v>
      </c>
      <c r="B38" s="27" t="s">
        <v>149</v>
      </c>
      <c r="C38" s="147">
        <v>7900</v>
      </c>
      <c r="D38" s="147">
        <v>7900</v>
      </c>
      <c r="E38" s="147">
        <v>13476</v>
      </c>
      <c r="F38" s="147">
        <v>7900</v>
      </c>
      <c r="G38" s="147">
        <v>7900</v>
      </c>
      <c r="H38" s="147">
        <v>7900</v>
      </c>
      <c r="I38" s="147">
        <v>8000</v>
      </c>
      <c r="J38" s="147">
        <v>8000</v>
      </c>
      <c r="K38" s="147">
        <v>10700</v>
      </c>
      <c r="L38" s="147">
        <v>10650</v>
      </c>
      <c r="M38" s="147">
        <v>10650</v>
      </c>
      <c r="N38">
        <v>11720</v>
      </c>
      <c r="O38" s="18">
        <f>SUM(C38:N38)</f>
        <v>112696</v>
      </c>
      <c r="P38" s="29"/>
    </row>
    <row r="39" spans="1:16" ht="15" x14ac:dyDescent="0.2">
      <c r="A39" s="854"/>
      <c r="B39" s="27" t="s">
        <v>150</v>
      </c>
      <c r="C39" s="147">
        <v>0</v>
      </c>
      <c r="D39" s="147">
        <v>0</v>
      </c>
      <c r="E39" s="147">
        <v>0</v>
      </c>
      <c r="F39" s="147">
        <v>0</v>
      </c>
      <c r="G39" s="147">
        <v>0</v>
      </c>
      <c r="H39" s="147">
        <v>0</v>
      </c>
      <c r="I39" s="147">
        <v>0</v>
      </c>
      <c r="J39" s="147">
        <v>0</v>
      </c>
      <c r="K39" s="147">
        <v>0</v>
      </c>
      <c r="L39" s="147">
        <v>0</v>
      </c>
      <c r="M39" s="147">
        <v>0</v>
      </c>
      <c r="N39" s="147">
        <v>0</v>
      </c>
      <c r="O39" s="18">
        <f>SUM(C39:N39)</f>
        <v>0</v>
      </c>
    </row>
    <row r="40" spans="1:16" ht="15" x14ac:dyDescent="0.2">
      <c r="A40" s="854"/>
      <c r="B40" s="27" t="s">
        <v>151</v>
      </c>
      <c r="C40" s="147">
        <v>60</v>
      </c>
      <c r="D40" s="147">
        <v>60</v>
      </c>
      <c r="E40" s="147">
        <v>60</v>
      </c>
      <c r="F40" s="147">
        <v>60</v>
      </c>
      <c r="G40" s="147">
        <v>60</v>
      </c>
      <c r="H40" s="147">
        <v>60</v>
      </c>
      <c r="I40" s="147">
        <v>60</v>
      </c>
      <c r="J40" s="147">
        <v>60</v>
      </c>
      <c r="K40" s="147">
        <v>60</v>
      </c>
      <c r="L40" s="147">
        <v>60</v>
      </c>
      <c r="M40" s="147">
        <v>60</v>
      </c>
      <c r="N40" s="147">
        <v>60</v>
      </c>
      <c r="O40" s="18">
        <f t="shared" ref="O40:O50" si="2">SUM(C40:N40)</f>
        <v>720</v>
      </c>
    </row>
    <row r="41" spans="1:16" ht="15" x14ac:dyDescent="0.2">
      <c r="A41" s="854"/>
      <c r="B41" s="27" t="s">
        <v>152</v>
      </c>
      <c r="C41" s="147">
        <v>0</v>
      </c>
      <c r="D41" s="147">
        <v>0</v>
      </c>
      <c r="E41" s="147">
        <v>0</v>
      </c>
      <c r="F41" s="147">
        <v>0</v>
      </c>
      <c r="G41" s="147">
        <v>0</v>
      </c>
      <c r="H41" s="147">
        <v>0</v>
      </c>
      <c r="I41" s="147">
        <v>0</v>
      </c>
      <c r="J41" s="147">
        <v>0</v>
      </c>
      <c r="K41" s="147">
        <v>0</v>
      </c>
      <c r="L41" s="147">
        <v>0</v>
      </c>
      <c r="M41" s="147">
        <v>0</v>
      </c>
      <c r="N41" s="147">
        <v>0</v>
      </c>
      <c r="O41" s="18">
        <f t="shared" si="2"/>
        <v>0</v>
      </c>
    </row>
    <row r="42" spans="1:16" ht="15" x14ac:dyDescent="0.2">
      <c r="A42" s="854"/>
      <c r="B42" s="27" t="s">
        <v>153</v>
      </c>
      <c r="C42" s="147">
        <v>650</v>
      </c>
      <c r="D42" s="147">
        <v>650</v>
      </c>
      <c r="E42" s="147">
        <v>650</v>
      </c>
      <c r="F42" s="147">
        <v>650</v>
      </c>
      <c r="G42" s="147">
        <v>650</v>
      </c>
      <c r="H42" s="147">
        <v>650</v>
      </c>
      <c r="I42" s="147">
        <v>650</v>
      </c>
      <c r="J42" s="147">
        <v>650</v>
      </c>
      <c r="K42" s="147">
        <v>650</v>
      </c>
      <c r="L42" s="147">
        <v>650</v>
      </c>
      <c r="M42" s="147">
        <v>650</v>
      </c>
      <c r="N42" s="147">
        <v>650</v>
      </c>
      <c r="O42" s="18">
        <f t="shared" si="2"/>
        <v>7800</v>
      </c>
    </row>
    <row r="43" spans="1:16" ht="15" x14ac:dyDescent="0.2">
      <c r="A43" s="854"/>
      <c r="B43" s="27" t="s">
        <v>154</v>
      </c>
      <c r="C43" s="147">
        <v>27000</v>
      </c>
      <c r="D43" s="147">
        <v>27000</v>
      </c>
      <c r="E43" s="147">
        <v>27000</v>
      </c>
      <c r="F43" s="147">
        <v>27000</v>
      </c>
      <c r="G43" s="147">
        <v>27000</v>
      </c>
      <c r="H43" s="147">
        <v>27000</v>
      </c>
      <c r="I43" s="147">
        <v>27000</v>
      </c>
      <c r="J43" s="147">
        <v>27000</v>
      </c>
      <c r="K43" s="147">
        <v>27000</v>
      </c>
      <c r="L43" s="147">
        <v>27000</v>
      </c>
      <c r="M43" s="147">
        <v>27000</v>
      </c>
      <c r="N43" s="147">
        <v>27000</v>
      </c>
      <c r="O43" s="18">
        <f t="shared" si="2"/>
        <v>324000</v>
      </c>
    </row>
    <row r="44" spans="1:16" ht="15" x14ac:dyDescent="0.2">
      <c r="A44" s="854"/>
      <c r="B44" s="27" t="s">
        <v>155</v>
      </c>
      <c r="C44" s="147">
        <v>200</v>
      </c>
      <c r="D44" s="147">
        <v>200</v>
      </c>
      <c r="E44" s="147">
        <v>200</v>
      </c>
      <c r="F44" s="147">
        <v>200</v>
      </c>
      <c r="G44" s="147">
        <v>200</v>
      </c>
      <c r="H44" s="147">
        <v>200</v>
      </c>
      <c r="I44" s="147">
        <v>200</v>
      </c>
      <c r="J44" s="147">
        <v>200</v>
      </c>
      <c r="K44" s="147">
        <v>200</v>
      </c>
      <c r="L44" s="147">
        <v>200</v>
      </c>
      <c r="M44" s="147">
        <v>200</v>
      </c>
      <c r="N44" s="147">
        <v>300</v>
      </c>
      <c r="O44" s="18">
        <f t="shared" si="2"/>
        <v>2500</v>
      </c>
    </row>
    <row r="45" spans="1:16" ht="30" x14ac:dyDescent="0.2">
      <c r="A45" s="854"/>
      <c r="B45" s="27" t="s">
        <v>424</v>
      </c>
      <c r="C45" s="147">
        <v>0</v>
      </c>
      <c r="D45" s="147">
        <v>0</v>
      </c>
      <c r="E45" s="147">
        <v>0</v>
      </c>
      <c r="F45" s="147">
        <v>0</v>
      </c>
      <c r="G45" s="147">
        <v>0</v>
      </c>
      <c r="H45" s="147">
        <v>0</v>
      </c>
      <c r="I45" s="147">
        <v>0</v>
      </c>
      <c r="J45" s="147">
        <v>0</v>
      </c>
      <c r="K45" s="147">
        <v>0</v>
      </c>
      <c r="L45" s="147">
        <v>0</v>
      </c>
      <c r="M45" s="147">
        <v>0</v>
      </c>
      <c r="N45" s="147">
        <v>0</v>
      </c>
      <c r="O45" s="18">
        <f t="shared" si="2"/>
        <v>0</v>
      </c>
    </row>
    <row r="46" spans="1:16" ht="15" x14ac:dyDescent="0.2">
      <c r="A46" s="854"/>
      <c r="B46" s="27" t="s">
        <v>157</v>
      </c>
      <c r="C46" s="147">
        <v>0</v>
      </c>
      <c r="D46" s="147">
        <v>0</v>
      </c>
      <c r="E46" s="147">
        <v>0</v>
      </c>
      <c r="F46" s="147">
        <v>0</v>
      </c>
      <c r="G46" s="147">
        <v>0</v>
      </c>
      <c r="H46" s="147">
        <v>0</v>
      </c>
      <c r="I46" s="147">
        <v>0</v>
      </c>
      <c r="J46" s="147">
        <v>0</v>
      </c>
      <c r="K46" s="147">
        <v>0</v>
      </c>
      <c r="L46" s="147">
        <v>0</v>
      </c>
      <c r="M46" s="147">
        <v>0</v>
      </c>
      <c r="N46" s="147">
        <v>0</v>
      </c>
      <c r="O46" s="18">
        <f t="shared" si="2"/>
        <v>0</v>
      </c>
    </row>
    <row r="47" spans="1:16" ht="28.5" customHeight="1" x14ac:dyDescent="0.2">
      <c r="A47" s="855"/>
      <c r="B47" s="30" t="s">
        <v>158</v>
      </c>
      <c r="C47" s="147">
        <v>267</v>
      </c>
      <c r="D47" s="147">
        <v>267</v>
      </c>
      <c r="E47" s="147">
        <v>267</v>
      </c>
      <c r="F47" s="147">
        <v>267</v>
      </c>
      <c r="G47" s="147">
        <v>267</v>
      </c>
      <c r="H47" s="147">
        <v>0</v>
      </c>
      <c r="I47" s="147">
        <v>0</v>
      </c>
      <c r="J47" s="147">
        <v>0</v>
      </c>
      <c r="K47" s="147">
        <v>0</v>
      </c>
      <c r="L47" s="147">
        <v>0</v>
      </c>
      <c r="M47" s="147">
        <v>0</v>
      </c>
      <c r="N47" s="147">
        <v>0</v>
      </c>
      <c r="O47" s="31">
        <f t="shared" si="2"/>
        <v>1335</v>
      </c>
    </row>
    <row r="48" spans="1:16" ht="15" x14ac:dyDescent="0.2">
      <c r="A48" s="856"/>
      <c r="B48" s="127" t="s">
        <v>479</v>
      </c>
      <c r="C48" s="147">
        <v>0</v>
      </c>
      <c r="D48" s="147">
        <v>0</v>
      </c>
      <c r="E48" s="147">
        <v>0</v>
      </c>
      <c r="F48" s="147">
        <v>0</v>
      </c>
      <c r="G48" s="147">
        <v>0</v>
      </c>
      <c r="H48" s="147">
        <v>0</v>
      </c>
      <c r="I48" s="147">
        <v>0</v>
      </c>
      <c r="J48" s="147">
        <v>0</v>
      </c>
      <c r="K48" s="147">
        <v>0</v>
      </c>
      <c r="L48" s="147">
        <v>0</v>
      </c>
      <c r="M48" s="147">
        <v>0</v>
      </c>
      <c r="N48" s="147">
        <v>0</v>
      </c>
      <c r="O48" s="31">
        <f t="shared" si="2"/>
        <v>0</v>
      </c>
    </row>
    <row r="49" spans="1:19" ht="15" x14ac:dyDescent="0.2">
      <c r="A49" s="857" t="s">
        <v>160</v>
      </c>
      <c r="B49" s="858"/>
      <c r="C49" s="33">
        <f t="shared" ref="C49:N49" si="3">SUM(C38:C48)</f>
        <v>36077</v>
      </c>
      <c r="D49" s="33">
        <f t="shared" si="3"/>
        <v>36077</v>
      </c>
      <c r="E49" s="33">
        <f t="shared" si="3"/>
        <v>41653</v>
      </c>
      <c r="F49" s="33">
        <f t="shared" si="3"/>
        <v>36077</v>
      </c>
      <c r="G49" s="33">
        <f t="shared" si="3"/>
        <v>36077</v>
      </c>
      <c r="H49" s="33">
        <f t="shared" si="3"/>
        <v>35810</v>
      </c>
      <c r="I49" s="33">
        <f t="shared" si="3"/>
        <v>35910</v>
      </c>
      <c r="J49" s="33">
        <f t="shared" si="3"/>
        <v>35910</v>
      </c>
      <c r="K49" s="33">
        <f t="shared" si="3"/>
        <v>38610</v>
      </c>
      <c r="L49" s="33">
        <f t="shared" si="3"/>
        <v>38560</v>
      </c>
      <c r="M49" s="33">
        <f t="shared" si="3"/>
        <v>38560</v>
      </c>
      <c r="N49" s="33">
        <f t="shared" si="3"/>
        <v>39730</v>
      </c>
      <c r="O49" s="34">
        <f t="shared" si="2"/>
        <v>449051</v>
      </c>
    </row>
    <row r="50" spans="1:19" ht="15.75" thickBot="1" x14ac:dyDescent="0.25">
      <c r="A50" s="859" t="s">
        <v>161</v>
      </c>
      <c r="B50" s="860"/>
      <c r="C50" s="35">
        <f t="shared" ref="C50:N50" si="4">C37-C49</f>
        <v>52483</v>
      </c>
      <c r="D50" s="35">
        <f t="shared" si="4"/>
        <v>57951</v>
      </c>
      <c r="E50" s="35">
        <f t="shared" si="4"/>
        <v>103960</v>
      </c>
      <c r="F50" s="35">
        <f t="shared" si="4"/>
        <v>53775</v>
      </c>
      <c r="G50" s="35">
        <f t="shared" si="4"/>
        <v>56755</v>
      </c>
      <c r="H50" s="35">
        <f t="shared" si="4"/>
        <v>57022</v>
      </c>
      <c r="I50" s="35">
        <f t="shared" si="4"/>
        <v>56922</v>
      </c>
      <c r="J50" s="35">
        <f t="shared" si="4"/>
        <v>69658</v>
      </c>
      <c r="K50" s="35">
        <f t="shared" si="4"/>
        <v>55754</v>
      </c>
      <c r="L50" s="35">
        <f t="shared" si="4"/>
        <v>55804</v>
      </c>
      <c r="M50" s="35">
        <f t="shared" si="4"/>
        <v>55804</v>
      </c>
      <c r="N50" s="35">
        <f t="shared" si="4"/>
        <v>54634</v>
      </c>
      <c r="O50" s="36">
        <f t="shared" si="2"/>
        <v>730522</v>
      </c>
      <c r="Q50" s="16">
        <f>23825+21125+7156+22804+8997+22924+24247+25147*2+6897+3454+21846*2+21546*2+21274</f>
        <v>299781</v>
      </c>
    </row>
    <row r="51" spans="1:19" x14ac:dyDescent="0.2">
      <c r="J51" s="16">
        <f>+J37-SUM(J20:J36)</f>
        <v>94364</v>
      </c>
      <c r="Q51" s="38"/>
    </row>
    <row r="52" spans="1:19" ht="13.5" thickBot="1" x14ac:dyDescent="0.25">
      <c r="J52" s="38">
        <f>+J51-J49</f>
        <v>58454</v>
      </c>
    </row>
    <row r="53" spans="1:19" ht="13.5" thickBot="1" x14ac:dyDescent="0.25">
      <c r="B53" s="789" t="s">
        <v>162</v>
      </c>
      <c r="C53" s="861"/>
      <c r="D53" s="861"/>
      <c r="E53" s="861"/>
      <c r="F53" s="862"/>
      <c r="G53" s="863">
        <f>O37</f>
        <v>1179573</v>
      </c>
      <c r="H53" s="864"/>
    </row>
    <row r="54" spans="1:19" ht="13.5" thickBot="1" x14ac:dyDescent="0.25"/>
    <row r="55" spans="1:19" x14ac:dyDescent="0.2">
      <c r="B55" s="830" t="s">
        <v>163</v>
      </c>
      <c r="C55" s="833" t="s">
        <v>164</v>
      </c>
      <c r="D55" s="836" t="s">
        <v>229</v>
      </c>
      <c r="E55" s="837"/>
      <c r="F55" s="838"/>
      <c r="G55" s="839">
        <v>40000</v>
      </c>
      <c r="H55" s="840"/>
    </row>
    <row r="56" spans="1:19" x14ac:dyDescent="0.2">
      <c r="B56" s="831"/>
      <c r="C56" s="834"/>
      <c r="D56" s="841" t="s">
        <v>166</v>
      </c>
      <c r="E56" s="842"/>
      <c r="F56" s="843"/>
      <c r="G56" s="844">
        <f>+O44</f>
        <v>2500</v>
      </c>
      <c r="H56" s="845"/>
      <c r="I56" s="39"/>
      <c r="J56" s="846"/>
      <c r="K56" s="846"/>
      <c r="L56" s="846"/>
      <c r="M56" s="847"/>
      <c r="N56" s="847"/>
      <c r="O56" s="847"/>
    </row>
    <row r="57" spans="1:19" x14ac:dyDescent="0.2">
      <c r="B57" s="886"/>
      <c r="C57" s="887"/>
      <c r="D57" s="153" t="s">
        <v>129</v>
      </c>
      <c r="E57" s="41"/>
      <c r="F57" s="42"/>
      <c r="G57" s="43"/>
      <c r="H57" s="44">
        <v>0</v>
      </c>
      <c r="I57" s="39"/>
      <c r="J57" s="45"/>
      <c r="K57" s="45"/>
      <c r="L57" s="45"/>
      <c r="M57" s="46"/>
      <c r="N57" s="46"/>
      <c r="O57" s="46"/>
    </row>
    <row r="58" spans="1:19" ht="13.5" thickBot="1" x14ac:dyDescent="0.25">
      <c r="B58" s="832"/>
      <c r="C58" s="835"/>
      <c r="D58" s="848" t="s">
        <v>243</v>
      </c>
      <c r="E58" s="849"/>
      <c r="F58" s="850"/>
      <c r="G58" s="851">
        <f>IF(O18&gt;15000,15000,+O18)</f>
        <v>0</v>
      </c>
      <c r="H58" s="852"/>
      <c r="J58" s="47"/>
      <c r="K58" s="47"/>
      <c r="L58" s="47"/>
      <c r="M58" s="47"/>
      <c r="N58" s="47"/>
      <c r="O58" s="47"/>
    </row>
    <row r="59" spans="1:19" ht="13.5" thickBot="1" x14ac:dyDescent="0.25">
      <c r="B59" s="48"/>
      <c r="J59" s="47"/>
      <c r="K59" s="47"/>
      <c r="L59" s="47"/>
      <c r="M59" s="47"/>
      <c r="N59" s="47"/>
      <c r="O59" s="47"/>
    </row>
    <row r="60" spans="1:19" ht="13.5" thickBot="1" x14ac:dyDescent="0.25">
      <c r="B60" s="789" t="s">
        <v>168</v>
      </c>
      <c r="C60" s="790"/>
      <c r="D60" s="790"/>
      <c r="E60" s="790"/>
      <c r="F60" s="791"/>
      <c r="G60" s="825">
        <f>+G53-SUM(G55:H58)</f>
        <v>1137073</v>
      </c>
      <c r="H60" s="826"/>
      <c r="J60" s="827" t="s">
        <v>169</v>
      </c>
      <c r="K60" s="828"/>
      <c r="L60" s="828"/>
      <c r="M60" s="828"/>
      <c r="N60" s="828"/>
      <c r="O60" s="829"/>
    </row>
    <row r="61" spans="1:19" ht="13.5" thickBot="1" x14ac:dyDescent="0.25">
      <c r="B61" s="49"/>
      <c r="C61" s="50"/>
      <c r="D61" s="50"/>
      <c r="E61" s="50"/>
      <c r="F61" s="50"/>
      <c r="G61" s="45"/>
      <c r="H61" s="50"/>
      <c r="J61" s="129"/>
      <c r="K61" s="130"/>
      <c r="L61" s="130"/>
      <c r="M61" s="130"/>
      <c r="N61" s="130"/>
      <c r="O61" s="131"/>
    </row>
    <row r="62" spans="1:19" ht="13.5" thickBot="1" x14ac:dyDescent="0.25">
      <c r="B62" s="789" t="s">
        <v>170</v>
      </c>
      <c r="C62" s="790"/>
      <c r="D62" s="790"/>
      <c r="E62" s="790"/>
      <c r="F62" s="791"/>
      <c r="G62" s="805"/>
      <c r="H62" s="791"/>
      <c r="J62" s="129"/>
      <c r="K62" s="130"/>
      <c r="L62" s="130"/>
      <c r="M62" s="130"/>
      <c r="N62" s="130"/>
      <c r="O62" s="131"/>
    </row>
    <row r="63" spans="1:19" ht="12.75" customHeight="1" x14ac:dyDescent="0.2">
      <c r="B63" s="57" t="s">
        <v>171</v>
      </c>
      <c r="C63" s="806" t="s">
        <v>172</v>
      </c>
      <c r="D63" s="807"/>
      <c r="E63" s="807"/>
      <c r="F63" s="808"/>
      <c r="G63" s="809">
        <v>0</v>
      </c>
      <c r="H63" s="809"/>
      <c r="I63" s="58"/>
      <c r="J63" s="810" t="s">
        <v>173</v>
      </c>
      <c r="K63" s="811"/>
      <c r="L63" s="811"/>
      <c r="M63" s="811"/>
      <c r="N63" s="811"/>
      <c r="O63" s="812"/>
      <c r="Q63" s="59"/>
      <c r="R63" s="59"/>
      <c r="S63" s="59"/>
    </row>
    <row r="64" spans="1:19" ht="13.5" thickBot="1" x14ac:dyDescent="0.25">
      <c r="D64" s="37"/>
      <c r="I64" s="58"/>
      <c r="J64" s="60" t="s">
        <v>254</v>
      </c>
      <c r="K64" s="132"/>
      <c r="L64" s="132"/>
      <c r="M64" s="133"/>
      <c r="N64" s="133"/>
      <c r="O64" s="134"/>
      <c r="Q64" s="59"/>
      <c r="R64" s="59"/>
      <c r="S64" s="59"/>
    </row>
    <row r="65" spans="2:19" ht="13.5" thickBot="1" x14ac:dyDescent="0.25">
      <c r="B65" s="789" t="s">
        <v>175</v>
      </c>
      <c r="C65" s="790"/>
      <c r="D65" s="790"/>
      <c r="E65" s="790"/>
      <c r="F65" s="791"/>
      <c r="G65" s="805">
        <f>+G60-G63</f>
        <v>1137073</v>
      </c>
      <c r="H65" s="791"/>
      <c r="I65" s="63"/>
      <c r="J65" s="75"/>
      <c r="K65" s="39"/>
      <c r="L65" s="39"/>
      <c r="M65" s="39"/>
      <c r="N65" s="39"/>
      <c r="O65" s="65"/>
      <c r="Q65" s="59"/>
      <c r="R65" s="59"/>
      <c r="S65" s="59"/>
    </row>
    <row r="66" spans="2:19" ht="12.75" customHeight="1" x14ac:dyDescent="0.2">
      <c r="B66" s="48"/>
      <c r="C66" s="48"/>
      <c r="I66" s="63"/>
      <c r="J66" s="64"/>
      <c r="K66" s="39"/>
      <c r="L66" s="39"/>
      <c r="M66" s="39"/>
      <c r="N66" s="39"/>
      <c r="O66" s="65"/>
      <c r="Q66" s="59"/>
      <c r="R66" s="59"/>
      <c r="S66" s="59"/>
    </row>
    <row r="67" spans="2:19" x14ac:dyDescent="0.2">
      <c r="B67" s="66" t="s">
        <v>176</v>
      </c>
      <c r="C67" s="48"/>
      <c r="I67" s="63"/>
      <c r="J67" s="67"/>
      <c r="K67" s="68"/>
      <c r="L67" s="68"/>
      <c r="M67" s="68"/>
      <c r="N67" s="68"/>
      <c r="O67" s="69"/>
      <c r="Q67" s="59"/>
      <c r="R67" s="59"/>
      <c r="S67" s="59"/>
    </row>
    <row r="68" spans="2:19" ht="26.25" customHeight="1" thickBot="1" x14ac:dyDescent="0.25">
      <c r="B68" s="66"/>
      <c r="C68" s="48"/>
      <c r="G68" s="70" t="s">
        <v>177</v>
      </c>
      <c r="H68" s="70" t="s">
        <v>178</v>
      </c>
      <c r="I68" s="63"/>
      <c r="J68" s="810" t="s">
        <v>179</v>
      </c>
      <c r="K68" s="811"/>
      <c r="L68" s="71"/>
      <c r="M68" s="71"/>
      <c r="N68" s="71"/>
      <c r="O68" s="158" t="s">
        <v>267</v>
      </c>
      <c r="Q68" s="59"/>
      <c r="R68" s="59"/>
      <c r="S68" s="59"/>
    </row>
    <row r="69" spans="2:19" ht="12.75" customHeight="1" x14ac:dyDescent="0.2">
      <c r="B69" s="802" t="s">
        <v>180</v>
      </c>
      <c r="C69" s="821" t="s">
        <v>181</v>
      </c>
      <c r="D69" s="823" t="s">
        <v>182</v>
      </c>
      <c r="E69" s="824"/>
      <c r="F69" s="824"/>
      <c r="G69" s="73">
        <f>+O43</f>
        <v>324000</v>
      </c>
      <c r="H69" s="74">
        <f t="shared" ref="H69:H77" si="5">+G69</f>
        <v>324000</v>
      </c>
      <c r="I69" s="63"/>
      <c r="J69" s="75" t="s">
        <v>231</v>
      </c>
      <c r="K69" s="58"/>
      <c r="L69" s="58"/>
      <c r="M69" s="135" t="s">
        <v>232</v>
      </c>
      <c r="N69" s="135" t="s">
        <v>233</v>
      </c>
      <c r="O69" s="76">
        <v>0</v>
      </c>
      <c r="Q69" s="59"/>
      <c r="R69" s="59"/>
      <c r="S69" s="59"/>
    </row>
    <row r="70" spans="2:19" ht="12.75" customHeight="1" x14ac:dyDescent="0.2">
      <c r="B70" s="803"/>
      <c r="C70" s="822"/>
      <c r="D70" s="782" t="s">
        <v>184</v>
      </c>
      <c r="E70" s="783"/>
      <c r="F70" s="783"/>
      <c r="G70" s="77">
        <v>0</v>
      </c>
      <c r="H70" s="78">
        <f t="shared" si="5"/>
        <v>0</v>
      </c>
      <c r="I70" s="63"/>
      <c r="J70" s="181"/>
      <c r="K70" s="58"/>
      <c r="L70" s="58"/>
      <c r="M70" s="183"/>
      <c r="N70" s="68"/>
      <c r="O70" s="136"/>
      <c r="Q70" s="59"/>
      <c r="R70" s="59"/>
      <c r="S70" s="59"/>
    </row>
    <row r="71" spans="2:19" ht="12.75" customHeight="1" x14ac:dyDescent="0.2">
      <c r="B71" s="803"/>
      <c r="C71" s="822"/>
      <c r="D71" s="819" t="s">
        <v>185</v>
      </c>
      <c r="E71" s="820"/>
      <c r="F71" s="820"/>
      <c r="G71" s="80">
        <f>O40</f>
        <v>720</v>
      </c>
      <c r="H71" s="78">
        <f t="shared" si="5"/>
        <v>720</v>
      </c>
      <c r="I71" s="63"/>
      <c r="J71" s="75"/>
      <c r="K71" s="68"/>
      <c r="L71" s="68"/>
      <c r="M71" s="68"/>
      <c r="N71" s="68"/>
      <c r="O71" s="69"/>
    </row>
    <row r="72" spans="2:19" x14ac:dyDescent="0.2">
      <c r="B72" s="803"/>
      <c r="C72" s="822"/>
      <c r="D72" s="782" t="s">
        <v>186</v>
      </c>
      <c r="E72" s="783"/>
      <c r="F72" s="783"/>
      <c r="G72" s="81">
        <v>0</v>
      </c>
      <c r="H72" s="78">
        <f t="shared" si="5"/>
        <v>0</v>
      </c>
      <c r="I72" s="63"/>
      <c r="J72" s="181"/>
      <c r="K72" s="58"/>
      <c r="L72" s="58"/>
      <c r="M72" s="183"/>
      <c r="N72" s="58"/>
      <c r="O72" s="76"/>
    </row>
    <row r="73" spans="2:19" ht="12.75" customHeight="1" x14ac:dyDescent="0.2">
      <c r="B73" s="803"/>
      <c r="C73" s="822"/>
      <c r="D73" s="784" t="s">
        <v>188</v>
      </c>
      <c r="E73" s="783"/>
      <c r="F73" s="783"/>
      <c r="G73" s="80">
        <v>0</v>
      </c>
      <c r="H73" s="78">
        <f t="shared" si="5"/>
        <v>0</v>
      </c>
      <c r="I73" s="63"/>
      <c r="J73" s="64"/>
      <c r="K73" s="50"/>
      <c r="L73" s="50"/>
      <c r="M73" s="183"/>
      <c r="N73" s="50"/>
      <c r="O73" s="83"/>
    </row>
    <row r="74" spans="2:19" ht="14.25" customHeight="1" x14ac:dyDescent="0.2">
      <c r="B74" s="803"/>
      <c r="C74" s="822"/>
      <c r="D74" s="782" t="s">
        <v>190</v>
      </c>
      <c r="E74" s="783"/>
      <c r="F74" s="783"/>
      <c r="G74" s="84">
        <v>0</v>
      </c>
      <c r="H74" s="78">
        <f t="shared" si="5"/>
        <v>0</v>
      </c>
      <c r="I74" s="63"/>
      <c r="J74" s="64"/>
      <c r="K74" s="39"/>
      <c r="L74" s="39"/>
      <c r="M74" s="39"/>
      <c r="N74" s="39"/>
      <c r="O74" s="65"/>
    </row>
    <row r="75" spans="2:19" x14ac:dyDescent="0.2">
      <c r="B75" s="803"/>
      <c r="C75" s="822"/>
      <c r="D75" s="782" t="s">
        <v>191</v>
      </c>
      <c r="E75" s="783"/>
      <c r="F75" s="783"/>
      <c r="G75" s="81">
        <v>0</v>
      </c>
      <c r="H75" s="78">
        <f t="shared" si="5"/>
        <v>0</v>
      </c>
      <c r="I75" s="58"/>
      <c r="J75" s="82" t="s">
        <v>187</v>
      </c>
      <c r="K75" s="71"/>
      <c r="L75" s="71"/>
      <c r="M75" s="71"/>
      <c r="N75" s="71"/>
      <c r="O75" s="72"/>
    </row>
    <row r="76" spans="2:19" x14ac:dyDescent="0.2">
      <c r="B76" s="803"/>
      <c r="C76" s="88" t="s">
        <v>192</v>
      </c>
      <c r="D76" s="813" t="s">
        <v>193</v>
      </c>
      <c r="E76" s="814"/>
      <c r="F76" s="814"/>
      <c r="G76" s="80">
        <v>0</v>
      </c>
      <c r="H76" s="78">
        <f t="shared" si="5"/>
        <v>0</v>
      </c>
      <c r="I76" s="58"/>
      <c r="J76" s="75" t="s">
        <v>189</v>
      </c>
      <c r="K76" s="50"/>
      <c r="L76" s="50"/>
      <c r="M76" s="50"/>
      <c r="N76" s="50"/>
      <c r="O76" s="83">
        <f>O42</f>
        <v>7800</v>
      </c>
    </row>
    <row r="77" spans="2:19" ht="13.5" customHeight="1" thickBot="1" x14ac:dyDescent="0.25">
      <c r="B77" s="803"/>
      <c r="C77" s="88" t="s">
        <v>194</v>
      </c>
      <c r="D77" s="815" t="s">
        <v>195</v>
      </c>
      <c r="E77" s="815"/>
      <c r="F77" s="815"/>
      <c r="G77" s="89">
        <v>0</v>
      </c>
      <c r="H77" s="90">
        <f t="shared" si="5"/>
        <v>0</v>
      </c>
      <c r="I77" s="63"/>
      <c r="J77" s="67"/>
      <c r="K77" s="68"/>
      <c r="L77" s="68"/>
      <c r="M77" s="91"/>
      <c r="N77" s="91"/>
      <c r="O77" s="92"/>
    </row>
    <row r="78" spans="2:19" ht="13.5" thickBot="1" x14ac:dyDescent="0.25">
      <c r="B78" s="803"/>
      <c r="C78" s="93"/>
      <c r="D78" s="94"/>
      <c r="E78" s="816" t="s">
        <v>117</v>
      </c>
      <c r="F78" s="817"/>
      <c r="G78" s="95">
        <f>SUM(G69:G77)</f>
        <v>324720</v>
      </c>
      <c r="H78" s="96">
        <f>IF(SUM(G69:G75)&lt;150000,SUM(G69:G75),150000)+IF(+G76&lt;20000,+G76,20000)</f>
        <v>150000</v>
      </c>
      <c r="I78" s="63"/>
      <c r="J78" s="140"/>
      <c r="K78" s="141"/>
      <c r="L78" s="141"/>
      <c r="M78" s="142"/>
      <c r="N78" s="142"/>
      <c r="O78" s="143"/>
    </row>
    <row r="79" spans="2:19" ht="12.75" customHeight="1" x14ac:dyDescent="0.2">
      <c r="B79" s="803"/>
      <c r="C79" s="100" t="s">
        <v>196</v>
      </c>
      <c r="D79" s="782" t="s">
        <v>187</v>
      </c>
      <c r="E79" s="783"/>
      <c r="F79" s="818"/>
      <c r="G79" s="73">
        <f>+O42</f>
        <v>7800</v>
      </c>
      <c r="H79" s="101">
        <f>+IF(+G79&lt;25000,+G79,25000)</f>
        <v>7800</v>
      </c>
      <c r="I79" s="87"/>
    </row>
    <row r="80" spans="2:19" x14ac:dyDescent="0.2">
      <c r="B80" s="803"/>
      <c r="C80" s="100" t="s">
        <v>197</v>
      </c>
      <c r="D80" s="784" t="s">
        <v>198</v>
      </c>
      <c r="E80" s="785"/>
      <c r="F80" s="786"/>
      <c r="G80" s="102"/>
      <c r="H80" s="103">
        <f>+IF(+G80&lt;40000,+G80,40000)</f>
        <v>0</v>
      </c>
      <c r="I80" s="63"/>
    </row>
    <row r="81" spans="2:12" x14ac:dyDescent="0.2">
      <c r="B81" s="803"/>
      <c r="C81" s="100" t="s">
        <v>199</v>
      </c>
      <c r="D81" s="784" t="s">
        <v>200</v>
      </c>
      <c r="E81" s="785"/>
      <c r="F81" s="786"/>
      <c r="G81" s="81"/>
      <c r="H81" s="104">
        <v>0</v>
      </c>
      <c r="I81" s="63"/>
      <c r="J81" s="106"/>
    </row>
    <row r="82" spans="2:12" x14ac:dyDescent="0.2">
      <c r="B82" s="803"/>
      <c r="C82" s="100" t="s">
        <v>201</v>
      </c>
      <c r="D82" s="784" t="s">
        <v>202</v>
      </c>
      <c r="E82" s="785"/>
      <c r="F82" s="786"/>
      <c r="G82" s="81"/>
      <c r="H82" s="104">
        <v>0</v>
      </c>
      <c r="I82" s="63"/>
    </row>
    <row r="83" spans="2:12" ht="13.5" thickBot="1" x14ac:dyDescent="0.25">
      <c r="B83" s="804"/>
      <c r="C83" s="100" t="s">
        <v>203</v>
      </c>
      <c r="D83" s="784" t="s">
        <v>204</v>
      </c>
      <c r="E83" s="785"/>
      <c r="F83" s="786"/>
      <c r="G83" s="102"/>
      <c r="H83" s="103">
        <f>+IF(+G83&lt;100000,+G83,10000)</f>
        <v>0</v>
      </c>
      <c r="I83" s="63"/>
    </row>
    <row r="84" spans="2:12" ht="13.5" thickBot="1" x14ac:dyDescent="0.25">
      <c r="B84" s="787" t="s">
        <v>205</v>
      </c>
      <c r="C84" s="788"/>
      <c r="D84" s="788"/>
      <c r="E84" s="788"/>
      <c r="F84" s="788"/>
      <c r="G84" s="107">
        <f>SUM(G79:G83)</f>
        <v>7800</v>
      </c>
      <c r="H84" s="108">
        <f>SUM(H78:H83)</f>
        <v>157800</v>
      </c>
    </row>
    <row r="85" spans="2:12" ht="13.5" thickBot="1" x14ac:dyDescent="0.25"/>
    <row r="86" spans="2:12" ht="13.5" thickBot="1" x14ac:dyDescent="0.25">
      <c r="B86" s="789" t="s">
        <v>206</v>
      </c>
      <c r="C86" s="790"/>
      <c r="D86" s="790"/>
      <c r="E86" s="790"/>
      <c r="F86" s="791"/>
      <c r="G86" s="792">
        <f>+G65-H84</f>
        <v>979273</v>
      </c>
      <c r="H86" s="791"/>
      <c r="J86" s="109">
        <f>C37+D37+E37+F37</f>
        <v>418053</v>
      </c>
      <c r="K86" s="16" t="s">
        <v>235</v>
      </c>
    </row>
    <row r="87" spans="2:12" x14ac:dyDescent="0.2">
      <c r="B87" s="110"/>
      <c r="F87" s="105"/>
      <c r="J87" s="109">
        <f>G37+H37+I37</f>
        <v>278496</v>
      </c>
      <c r="K87" s="16" t="s">
        <v>236</v>
      </c>
    </row>
    <row r="88" spans="2:12" x14ac:dyDescent="0.2">
      <c r="C88" s="793" t="s">
        <v>207</v>
      </c>
      <c r="D88" s="794"/>
      <c r="E88" s="111" t="s">
        <v>208</v>
      </c>
      <c r="F88" s="111" t="s">
        <v>209</v>
      </c>
      <c r="G88" s="111" t="s">
        <v>210</v>
      </c>
      <c r="H88" s="111" t="s">
        <v>211</v>
      </c>
      <c r="J88" s="109">
        <f>J37+K37+L37</f>
        <v>294296</v>
      </c>
      <c r="K88" s="47" t="s">
        <v>237</v>
      </c>
    </row>
    <row r="89" spans="2:12" x14ac:dyDescent="0.2">
      <c r="C89" s="795" t="str">
        <f>IF(I6="M","0          - 250000","0          -  250000")</f>
        <v>0          - 250000</v>
      </c>
      <c r="D89" s="796"/>
      <c r="E89" s="112">
        <v>0</v>
      </c>
      <c r="F89" s="113">
        <f>IF(I6="M",(IF(G86&lt;250000,G86,250000)),(IF(G86&lt;250000,G86,250000)))</f>
        <v>250000</v>
      </c>
      <c r="G89" s="113">
        <f>G86-F89</f>
        <v>729273</v>
      </c>
      <c r="H89" s="113">
        <f>E89*F89</f>
        <v>0</v>
      </c>
      <c r="J89" s="16">
        <f>M37+N37</f>
        <v>188728</v>
      </c>
      <c r="K89" s="1" t="s">
        <v>238</v>
      </c>
      <c r="L89" s="16">
        <f>+J89/2</f>
        <v>94364</v>
      </c>
    </row>
    <row r="90" spans="2:12" x14ac:dyDescent="0.2">
      <c r="C90" s="795" t="str">
        <f>IF(I6="M","250001 - 500000","250001-500000")</f>
        <v>250001 - 500000</v>
      </c>
      <c r="D90" s="796"/>
      <c r="E90" s="112">
        <v>0.05</v>
      </c>
      <c r="F90" s="113">
        <f>IF(I6="M",(IF(G88&lt;250000,G88,250000)),(IF(G88&lt;250000,G88,250000)))</f>
        <v>250000</v>
      </c>
      <c r="G90" s="113">
        <f>G89-F90</f>
        <v>479273</v>
      </c>
      <c r="H90" s="114">
        <f>ROUND(E90*F90,0.1)</f>
        <v>12500</v>
      </c>
      <c r="J90" s="115">
        <f>SUM(J86:J89)</f>
        <v>1179573</v>
      </c>
    </row>
    <row r="91" spans="2:12" x14ac:dyDescent="0.2">
      <c r="C91" s="797" t="s">
        <v>212</v>
      </c>
      <c r="D91" s="798"/>
      <c r="E91" s="112">
        <v>0.2</v>
      </c>
      <c r="F91" s="113">
        <f>IF(G90&lt;500000,G90,500000)</f>
        <v>479273</v>
      </c>
      <c r="G91" s="113">
        <f>G90-F91</f>
        <v>0</v>
      </c>
      <c r="H91" s="114">
        <f>ROUND(E91*F91,0.1)</f>
        <v>95855</v>
      </c>
      <c r="J91" s="16">
        <f>+G86</f>
        <v>979273</v>
      </c>
    </row>
    <row r="92" spans="2:12" x14ac:dyDescent="0.2">
      <c r="C92" s="795" t="s">
        <v>213</v>
      </c>
      <c r="D92" s="796"/>
      <c r="E92" s="112">
        <v>0.3</v>
      </c>
      <c r="F92" s="113">
        <f>G91</f>
        <v>0</v>
      </c>
      <c r="G92" s="113">
        <f>G91-F92</f>
        <v>0</v>
      </c>
      <c r="H92" s="114">
        <f>ROUND(E92*F92,0.1)</f>
        <v>0</v>
      </c>
      <c r="J92" s="16">
        <f>+J90-J91</f>
        <v>200300</v>
      </c>
    </row>
    <row r="93" spans="2:12" ht="12.75" customHeight="1" thickBot="1" x14ac:dyDescent="0.25">
      <c r="B93" s="116"/>
      <c r="C93" s="117"/>
      <c r="D93" s="47"/>
      <c r="E93" s="47"/>
      <c r="F93" s="47"/>
      <c r="J93" s="87"/>
      <c r="K93" s="118"/>
    </row>
    <row r="94" spans="2:12" ht="13.5" thickBot="1" x14ac:dyDescent="0.25">
      <c r="B94" s="799" t="s">
        <v>239</v>
      </c>
      <c r="C94" s="800"/>
      <c r="D94" s="800"/>
      <c r="E94" s="800"/>
      <c r="F94" s="801"/>
      <c r="G94" s="771">
        <f>H89+H90+H91+H92</f>
        <v>108355</v>
      </c>
      <c r="H94" s="772"/>
      <c r="J94" s="87"/>
      <c r="K94" s="87"/>
    </row>
    <row r="95" spans="2:12" ht="13.5" thickBot="1" x14ac:dyDescent="0.25">
      <c r="B95" s="119" t="s">
        <v>215</v>
      </c>
      <c r="C95" s="120"/>
      <c r="D95" s="120"/>
      <c r="E95" s="120"/>
      <c r="F95" s="120"/>
      <c r="G95" s="884">
        <f>IF((G65&lt;500000),5000,0)</f>
        <v>0</v>
      </c>
      <c r="H95" s="885">
        <f>IF(H93&lt;200000,0,IF(H93&lt;220000,((H93-200000)*10%),IF(H93&lt;=500000,2000,IF(H93&gt;=500000,0))))</f>
        <v>0</v>
      </c>
      <c r="J95" s="1"/>
      <c r="K95" s="121"/>
      <c r="L95" s="121"/>
    </row>
    <row r="96" spans="2:12" ht="13.5" thickBot="1" x14ac:dyDescent="0.25">
      <c r="B96" s="122" t="s">
        <v>216</v>
      </c>
      <c r="C96" s="123"/>
      <c r="D96" s="123"/>
      <c r="E96" s="123"/>
      <c r="F96" s="123"/>
      <c r="G96" s="771">
        <f>IF((G94-G95)&lt;0,0,(G94-G95))</f>
        <v>108355</v>
      </c>
      <c r="H96" s="772"/>
      <c r="I96" s="37"/>
    </row>
    <row r="97" spans="2:9" ht="13.5" thickBot="1" x14ac:dyDescent="0.25">
      <c r="B97" s="773" t="s">
        <v>240</v>
      </c>
      <c r="C97" s="774"/>
      <c r="D97" s="774"/>
      <c r="E97" s="774"/>
      <c r="F97" s="775"/>
      <c r="G97" s="776">
        <f>ROUND((IF(G96&gt;0,(G96*4%),0)),0)</f>
        <v>4334</v>
      </c>
      <c r="H97" s="777"/>
      <c r="I97" s="37"/>
    </row>
    <row r="98" spans="2:9" ht="13.5" thickBot="1" x14ac:dyDescent="0.25">
      <c r="B98" s="778" t="s">
        <v>218</v>
      </c>
      <c r="C98" s="779"/>
      <c r="D98" s="779"/>
      <c r="E98" s="779"/>
      <c r="F98" s="779"/>
      <c r="G98" s="780">
        <f>G96+G97</f>
        <v>112689</v>
      </c>
      <c r="H98" s="781"/>
      <c r="I98" s="121"/>
    </row>
    <row r="99" spans="2:9" ht="13.5" thickBot="1" x14ac:dyDescent="0.25">
      <c r="B99" s="765" t="s">
        <v>219</v>
      </c>
      <c r="C99" s="766"/>
      <c r="D99" s="766"/>
      <c r="E99" s="766"/>
      <c r="F99" s="766"/>
      <c r="G99" s="767">
        <f>O38</f>
        <v>112696</v>
      </c>
      <c r="H99" s="768"/>
      <c r="I99" s="121"/>
    </row>
    <row r="100" spans="2:9" ht="13.5" thickBot="1" x14ac:dyDescent="0.25">
      <c r="B100" s="765" t="str">
        <f>IF(G100&gt;0,"TAX PAYABLE","TAX REFUND")</f>
        <v>TAX REFUND</v>
      </c>
      <c r="C100" s="766"/>
      <c r="D100" s="766"/>
      <c r="E100" s="766"/>
      <c r="F100" s="766"/>
      <c r="G100" s="767">
        <f>+G98-G99</f>
        <v>-7</v>
      </c>
      <c r="H100" s="768"/>
      <c r="I100" s="37"/>
    </row>
    <row r="101" spans="2:9" x14ac:dyDescent="0.2">
      <c r="C101" s="124"/>
      <c r="D101" s="45"/>
      <c r="E101" s="118"/>
      <c r="F101" s="118"/>
      <c r="G101" s="118"/>
      <c r="H101" s="118"/>
      <c r="I101" s="125"/>
    </row>
    <row r="102" spans="2:9" x14ac:dyDescent="0.2">
      <c r="C102" s="47"/>
      <c r="D102" s="50"/>
      <c r="E102" s="117"/>
      <c r="F102" s="47"/>
      <c r="G102" s="47"/>
      <c r="H102" s="47"/>
      <c r="I102" s="125"/>
    </row>
    <row r="103" spans="2:9" x14ac:dyDescent="0.2">
      <c r="C103" s="39"/>
      <c r="D103" s="126"/>
      <c r="E103" s="126"/>
      <c r="F103" s="126"/>
      <c r="G103" s="39"/>
      <c r="H103" s="39"/>
      <c r="I103" s="37"/>
    </row>
    <row r="104" spans="2:9" x14ac:dyDescent="0.2">
      <c r="C104" s="39"/>
      <c r="D104" s="126"/>
      <c r="E104" s="126"/>
      <c r="F104" s="39"/>
      <c r="G104" s="39"/>
      <c r="H104" s="39"/>
      <c r="I104" s="37"/>
    </row>
    <row r="105" spans="2:9" x14ac:dyDescent="0.2">
      <c r="C105" s="39"/>
      <c r="D105" s="126"/>
      <c r="E105" s="126"/>
      <c r="F105" s="39"/>
      <c r="G105" s="39"/>
      <c r="H105" s="39"/>
      <c r="I105" s="37"/>
    </row>
    <row r="106" spans="2:9" x14ac:dyDescent="0.2">
      <c r="C106" s="39"/>
      <c r="D106" s="39"/>
      <c r="E106" s="39"/>
      <c r="F106" s="39"/>
      <c r="G106" s="39"/>
      <c r="H106" s="39"/>
      <c r="I106" s="37"/>
    </row>
    <row r="107" spans="2:9" x14ac:dyDescent="0.2">
      <c r="C107" s="39"/>
      <c r="D107" s="39"/>
      <c r="E107" s="39"/>
      <c r="F107" s="39"/>
      <c r="G107" s="39"/>
      <c r="H107" s="39"/>
      <c r="I107" s="121"/>
    </row>
    <row r="108" spans="2:9" x14ac:dyDescent="0.2">
      <c r="C108" s="39"/>
      <c r="D108" s="39"/>
      <c r="E108" s="39"/>
      <c r="F108" s="39"/>
      <c r="G108" s="39"/>
      <c r="H108"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60:F60"/>
    <mergeCell ref="G60:H60"/>
    <mergeCell ref="J60:O60"/>
    <mergeCell ref="B55:B58"/>
    <mergeCell ref="C55:C58"/>
    <mergeCell ref="D55:F55"/>
    <mergeCell ref="G55:H55"/>
    <mergeCell ref="D56:F56"/>
    <mergeCell ref="G56:H56"/>
    <mergeCell ref="J56:L56"/>
    <mergeCell ref="M56:O56"/>
    <mergeCell ref="D58:F58"/>
    <mergeCell ref="G58:H58"/>
    <mergeCell ref="J63:O63"/>
    <mergeCell ref="D81:F81"/>
    <mergeCell ref="J68:K68"/>
    <mergeCell ref="B65:F65"/>
    <mergeCell ref="G65:H65"/>
    <mergeCell ref="D76:F76"/>
    <mergeCell ref="D77:F77"/>
    <mergeCell ref="E78:F78"/>
    <mergeCell ref="D79:F79"/>
    <mergeCell ref="D80:F80"/>
    <mergeCell ref="D71:F71"/>
    <mergeCell ref="D72:F72"/>
    <mergeCell ref="C69:C75"/>
    <mergeCell ref="D69:F69"/>
    <mergeCell ref="D70:F70"/>
    <mergeCell ref="D74:F74"/>
    <mergeCell ref="G62:H62"/>
    <mergeCell ref="C63:F63"/>
    <mergeCell ref="G63:H63"/>
    <mergeCell ref="B62:F62"/>
    <mergeCell ref="D73:F73"/>
    <mergeCell ref="D75:F75"/>
    <mergeCell ref="G94:H94"/>
    <mergeCell ref="D82:F82"/>
    <mergeCell ref="D83:F83"/>
    <mergeCell ref="B84:F84"/>
    <mergeCell ref="B86:F86"/>
    <mergeCell ref="G86:H86"/>
    <mergeCell ref="C88:D88"/>
    <mergeCell ref="C89:D89"/>
    <mergeCell ref="C90:D90"/>
    <mergeCell ref="C91:D91"/>
    <mergeCell ref="C92:D92"/>
    <mergeCell ref="B94:F94"/>
    <mergeCell ref="B69:B83"/>
    <mergeCell ref="B100:F100"/>
    <mergeCell ref="G100:H100"/>
    <mergeCell ref="G95:H95"/>
    <mergeCell ref="G96:H96"/>
    <mergeCell ref="B97:F97"/>
    <mergeCell ref="G97:H97"/>
    <mergeCell ref="B98:F98"/>
    <mergeCell ref="G98:H98"/>
    <mergeCell ref="B99:F99"/>
    <mergeCell ref="G99:H99"/>
  </mergeCells>
  <conditionalFormatting sqref="B91:F91 B100:F100 B94:F98">
    <cfRule type="cellIs" dxfId="1889" priority="3" stopIfTrue="1" operator="equal">
      <formula>"TAX PAYABLE"</formula>
    </cfRule>
    <cfRule type="cellIs" dxfId="1888" priority="4" stopIfTrue="1" operator="equal">
      <formula>"TAX REFUND"</formula>
    </cfRule>
  </conditionalFormatting>
  <conditionalFormatting sqref="G91:H91">
    <cfRule type="cellIs" dxfId="1887" priority="5" stopIfTrue="1" operator="lessThan">
      <formula>0</formula>
    </cfRule>
    <cfRule type="cellIs" dxfId="1886" priority="6" stopIfTrue="1" operator="greaterThan">
      <formula>0</formula>
    </cfRule>
  </conditionalFormatting>
  <conditionalFormatting sqref="G100:H100">
    <cfRule type="cellIs" dxfId="1885" priority="1" stopIfTrue="1" operator="greaterThan">
      <formula>0</formula>
    </cfRule>
    <cfRule type="cellIs" dxfId="1884" priority="2" stopIfTrue="1" operator="lessThanOrEqual">
      <formula>0</formula>
    </cfRule>
  </conditionalFormatting>
  <dataValidations disablePrompts="1"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$Q$8:$Q$9</formula1>
    </dataValidation>
  </dataValidations>
  <pageMargins left="0.7" right="0.7" top="0.75" bottom="0.75" header="0.3" footer="0.3"/>
  <pageSetup paperSize="5" orientation="landscape" horizontalDpi="300" verticalDpi="300" r:id="rId1"/>
  <headerFooter alignWithMargins="0"/>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107"/>
  <sheetViews>
    <sheetView topLeftCell="A65" workbookViewId="0">
      <selection activeCell="O89" sqref="O89"/>
    </sheetView>
  </sheetViews>
  <sheetFormatPr defaultRowHeight="12.75" x14ac:dyDescent="0.2"/>
  <cols>
    <col min="1" max="1" width="5" style="16" customWidth="1"/>
    <col min="2" max="2" width="18.140625" style="37" customWidth="1"/>
    <col min="3" max="3" width="9.42578125" style="16" customWidth="1"/>
    <col min="4" max="4" width="9" style="16" customWidth="1"/>
    <col min="5" max="5" width="8.5703125" style="16" bestFit="1" customWidth="1"/>
    <col min="6" max="8" width="8" style="16" customWidth="1"/>
    <col min="9" max="15" width="8.28515625" style="16" customWidth="1"/>
    <col min="16" max="20" width="9.140625" style="16"/>
    <col min="21" max="21" width="12.42578125" style="16" customWidth="1"/>
    <col min="22" max="22" width="9.140625" style="16"/>
    <col min="23" max="23" width="12" style="16" customWidth="1"/>
    <col min="24" max="256" width="9.140625" style="16"/>
    <col min="257" max="257" width="5" style="16" customWidth="1"/>
    <col min="258" max="258" width="18.140625" style="16" customWidth="1"/>
    <col min="259" max="259" width="9.42578125" style="16" customWidth="1"/>
    <col min="260" max="260" width="9" style="16" customWidth="1"/>
    <col min="261" max="261" width="8.5703125" style="16" bestFit="1" customWidth="1"/>
    <col min="262" max="264" width="8" style="16" customWidth="1"/>
    <col min="265" max="271" width="8.28515625" style="16" customWidth="1"/>
    <col min="272" max="276" width="9.140625" style="16"/>
    <col min="277" max="277" width="12.42578125" style="16" customWidth="1"/>
    <col min="278" max="278" width="9.140625" style="16"/>
    <col min="279" max="279" width="12" style="16" customWidth="1"/>
    <col min="280" max="512" width="9.140625" style="16"/>
    <col min="513" max="513" width="5" style="16" customWidth="1"/>
    <col min="514" max="514" width="18.140625" style="16" customWidth="1"/>
    <col min="515" max="515" width="9.42578125" style="16" customWidth="1"/>
    <col min="516" max="516" width="9" style="16" customWidth="1"/>
    <col min="517" max="517" width="8.5703125" style="16" bestFit="1" customWidth="1"/>
    <col min="518" max="520" width="8" style="16" customWidth="1"/>
    <col min="521" max="527" width="8.28515625" style="16" customWidth="1"/>
    <col min="528" max="532" width="9.140625" style="16"/>
    <col min="533" max="533" width="12.42578125" style="16" customWidth="1"/>
    <col min="534" max="534" width="9.140625" style="16"/>
    <col min="535" max="535" width="12" style="16" customWidth="1"/>
    <col min="536" max="768" width="9.140625" style="16"/>
    <col min="769" max="769" width="5" style="16" customWidth="1"/>
    <col min="770" max="770" width="18.140625" style="16" customWidth="1"/>
    <col min="771" max="771" width="9.42578125" style="16" customWidth="1"/>
    <col min="772" max="772" width="9" style="16" customWidth="1"/>
    <col min="773" max="773" width="8.5703125" style="16" bestFit="1" customWidth="1"/>
    <col min="774" max="776" width="8" style="16" customWidth="1"/>
    <col min="777" max="783" width="8.28515625" style="16" customWidth="1"/>
    <col min="784" max="788" width="9.140625" style="16"/>
    <col min="789" max="789" width="12.42578125" style="16" customWidth="1"/>
    <col min="790" max="790" width="9.140625" style="16"/>
    <col min="791" max="791" width="12" style="16" customWidth="1"/>
    <col min="792" max="1024" width="9.140625" style="16"/>
    <col min="1025" max="1025" width="5" style="16" customWidth="1"/>
    <col min="1026" max="1026" width="18.140625" style="16" customWidth="1"/>
    <col min="1027" max="1027" width="9.42578125" style="16" customWidth="1"/>
    <col min="1028" max="1028" width="9" style="16" customWidth="1"/>
    <col min="1029" max="1029" width="8.5703125" style="16" bestFit="1" customWidth="1"/>
    <col min="1030" max="1032" width="8" style="16" customWidth="1"/>
    <col min="1033" max="1039" width="8.28515625" style="16" customWidth="1"/>
    <col min="1040" max="1044" width="9.140625" style="16"/>
    <col min="1045" max="1045" width="12.42578125" style="16" customWidth="1"/>
    <col min="1046" max="1046" width="9.140625" style="16"/>
    <col min="1047" max="1047" width="12" style="16" customWidth="1"/>
    <col min="1048" max="1280" width="9.140625" style="16"/>
    <col min="1281" max="1281" width="5" style="16" customWidth="1"/>
    <col min="1282" max="1282" width="18.140625" style="16" customWidth="1"/>
    <col min="1283" max="1283" width="9.42578125" style="16" customWidth="1"/>
    <col min="1284" max="1284" width="9" style="16" customWidth="1"/>
    <col min="1285" max="1285" width="8.5703125" style="16" bestFit="1" customWidth="1"/>
    <col min="1286" max="1288" width="8" style="16" customWidth="1"/>
    <col min="1289" max="1295" width="8.28515625" style="16" customWidth="1"/>
    <col min="1296" max="1300" width="9.140625" style="16"/>
    <col min="1301" max="1301" width="12.42578125" style="16" customWidth="1"/>
    <col min="1302" max="1302" width="9.140625" style="16"/>
    <col min="1303" max="1303" width="12" style="16" customWidth="1"/>
    <col min="1304" max="1536" width="9.140625" style="16"/>
    <col min="1537" max="1537" width="5" style="16" customWidth="1"/>
    <col min="1538" max="1538" width="18.140625" style="16" customWidth="1"/>
    <col min="1539" max="1539" width="9.42578125" style="16" customWidth="1"/>
    <col min="1540" max="1540" width="9" style="16" customWidth="1"/>
    <col min="1541" max="1541" width="8.5703125" style="16" bestFit="1" customWidth="1"/>
    <col min="1542" max="1544" width="8" style="16" customWidth="1"/>
    <col min="1545" max="1551" width="8.28515625" style="16" customWidth="1"/>
    <col min="1552" max="1556" width="9.140625" style="16"/>
    <col min="1557" max="1557" width="12.42578125" style="16" customWidth="1"/>
    <col min="1558" max="1558" width="9.140625" style="16"/>
    <col min="1559" max="1559" width="12" style="16" customWidth="1"/>
    <col min="1560" max="1792" width="9.140625" style="16"/>
    <col min="1793" max="1793" width="5" style="16" customWidth="1"/>
    <col min="1794" max="1794" width="18.140625" style="16" customWidth="1"/>
    <col min="1795" max="1795" width="9.42578125" style="16" customWidth="1"/>
    <col min="1796" max="1796" width="9" style="16" customWidth="1"/>
    <col min="1797" max="1797" width="8.5703125" style="16" bestFit="1" customWidth="1"/>
    <col min="1798" max="1800" width="8" style="16" customWidth="1"/>
    <col min="1801" max="1807" width="8.28515625" style="16" customWidth="1"/>
    <col min="1808" max="1812" width="9.140625" style="16"/>
    <col min="1813" max="1813" width="12.42578125" style="16" customWidth="1"/>
    <col min="1814" max="1814" width="9.140625" style="16"/>
    <col min="1815" max="1815" width="12" style="16" customWidth="1"/>
    <col min="1816" max="2048" width="9.140625" style="16"/>
    <col min="2049" max="2049" width="5" style="16" customWidth="1"/>
    <col min="2050" max="2050" width="18.140625" style="16" customWidth="1"/>
    <col min="2051" max="2051" width="9.42578125" style="16" customWidth="1"/>
    <col min="2052" max="2052" width="9" style="16" customWidth="1"/>
    <col min="2053" max="2053" width="8.5703125" style="16" bestFit="1" customWidth="1"/>
    <col min="2054" max="2056" width="8" style="16" customWidth="1"/>
    <col min="2057" max="2063" width="8.28515625" style="16" customWidth="1"/>
    <col min="2064" max="2068" width="9.140625" style="16"/>
    <col min="2069" max="2069" width="12.42578125" style="16" customWidth="1"/>
    <col min="2070" max="2070" width="9.140625" style="16"/>
    <col min="2071" max="2071" width="12" style="16" customWidth="1"/>
    <col min="2072" max="2304" width="9.140625" style="16"/>
    <col min="2305" max="2305" width="5" style="16" customWidth="1"/>
    <col min="2306" max="2306" width="18.140625" style="16" customWidth="1"/>
    <col min="2307" max="2307" width="9.42578125" style="16" customWidth="1"/>
    <col min="2308" max="2308" width="9" style="16" customWidth="1"/>
    <col min="2309" max="2309" width="8.5703125" style="16" bestFit="1" customWidth="1"/>
    <col min="2310" max="2312" width="8" style="16" customWidth="1"/>
    <col min="2313" max="2319" width="8.28515625" style="16" customWidth="1"/>
    <col min="2320" max="2324" width="9.140625" style="16"/>
    <col min="2325" max="2325" width="12.42578125" style="16" customWidth="1"/>
    <col min="2326" max="2326" width="9.140625" style="16"/>
    <col min="2327" max="2327" width="12" style="16" customWidth="1"/>
    <col min="2328" max="2560" width="9.140625" style="16"/>
    <col min="2561" max="2561" width="5" style="16" customWidth="1"/>
    <col min="2562" max="2562" width="18.140625" style="16" customWidth="1"/>
    <col min="2563" max="2563" width="9.42578125" style="16" customWidth="1"/>
    <col min="2564" max="2564" width="9" style="16" customWidth="1"/>
    <col min="2565" max="2565" width="8.5703125" style="16" bestFit="1" customWidth="1"/>
    <col min="2566" max="2568" width="8" style="16" customWidth="1"/>
    <col min="2569" max="2575" width="8.28515625" style="16" customWidth="1"/>
    <col min="2576" max="2580" width="9.140625" style="16"/>
    <col min="2581" max="2581" width="12.42578125" style="16" customWidth="1"/>
    <col min="2582" max="2582" width="9.140625" style="16"/>
    <col min="2583" max="2583" width="12" style="16" customWidth="1"/>
    <col min="2584" max="2816" width="9.140625" style="16"/>
    <col min="2817" max="2817" width="5" style="16" customWidth="1"/>
    <col min="2818" max="2818" width="18.140625" style="16" customWidth="1"/>
    <col min="2819" max="2819" width="9.42578125" style="16" customWidth="1"/>
    <col min="2820" max="2820" width="9" style="16" customWidth="1"/>
    <col min="2821" max="2821" width="8.5703125" style="16" bestFit="1" customWidth="1"/>
    <col min="2822" max="2824" width="8" style="16" customWidth="1"/>
    <col min="2825" max="2831" width="8.28515625" style="16" customWidth="1"/>
    <col min="2832" max="2836" width="9.140625" style="16"/>
    <col min="2837" max="2837" width="12.42578125" style="16" customWidth="1"/>
    <col min="2838" max="2838" width="9.140625" style="16"/>
    <col min="2839" max="2839" width="12" style="16" customWidth="1"/>
    <col min="2840" max="3072" width="9.140625" style="16"/>
    <col min="3073" max="3073" width="5" style="16" customWidth="1"/>
    <col min="3074" max="3074" width="18.140625" style="16" customWidth="1"/>
    <col min="3075" max="3075" width="9.42578125" style="16" customWidth="1"/>
    <col min="3076" max="3076" width="9" style="16" customWidth="1"/>
    <col min="3077" max="3077" width="8.5703125" style="16" bestFit="1" customWidth="1"/>
    <col min="3078" max="3080" width="8" style="16" customWidth="1"/>
    <col min="3081" max="3087" width="8.28515625" style="16" customWidth="1"/>
    <col min="3088" max="3092" width="9.140625" style="16"/>
    <col min="3093" max="3093" width="12.42578125" style="16" customWidth="1"/>
    <col min="3094" max="3094" width="9.140625" style="16"/>
    <col min="3095" max="3095" width="12" style="16" customWidth="1"/>
    <col min="3096" max="3328" width="9.140625" style="16"/>
    <col min="3329" max="3329" width="5" style="16" customWidth="1"/>
    <col min="3330" max="3330" width="18.140625" style="16" customWidth="1"/>
    <col min="3331" max="3331" width="9.42578125" style="16" customWidth="1"/>
    <col min="3332" max="3332" width="9" style="16" customWidth="1"/>
    <col min="3333" max="3333" width="8.5703125" style="16" bestFit="1" customWidth="1"/>
    <col min="3334" max="3336" width="8" style="16" customWidth="1"/>
    <col min="3337" max="3343" width="8.28515625" style="16" customWidth="1"/>
    <col min="3344" max="3348" width="9.140625" style="16"/>
    <col min="3349" max="3349" width="12.42578125" style="16" customWidth="1"/>
    <col min="3350" max="3350" width="9.140625" style="16"/>
    <col min="3351" max="3351" width="12" style="16" customWidth="1"/>
    <col min="3352" max="3584" width="9.140625" style="16"/>
    <col min="3585" max="3585" width="5" style="16" customWidth="1"/>
    <col min="3586" max="3586" width="18.140625" style="16" customWidth="1"/>
    <col min="3587" max="3587" width="9.42578125" style="16" customWidth="1"/>
    <col min="3588" max="3588" width="9" style="16" customWidth="1"/>
    <col min="3589" max="3589" width="8.5703125" style="16" bestFit="1" customWidth="1"/>
    <col min="3590" max="3592" width="8" style="16" customWidth="1"/>
    <col min="3593" max="3599" width="8.28515625" style="16" customWidth="1"/>
    <col min="3600" max="3604" width="9.140625" style="16"/>
    <col min="3605" max="3605" width="12.42578125" style="16" customWidth="1"/>
    <col min="3606" max="3606" width="9.140625" style="16"/>
    <col min="3607" max="3607" width="12" style="16" customWidth="1"/>
    <col min="3608" max="3840" width="9.140625" style="16"/>
    <col min="3841" max="3841" width="5" style="16" customWidth="1"/>
    <col min="3842" max="3842" width="18.140625" style="16" customWidth="1"/>
    <col min="3843" max="3843" width="9.42578125" style="16" customWidth="1"/>
    <col min="3844" max="3844" width="9" style="16" customWidth="1"/>
    <col min="3845" max="3845" width="8.5703125" style="16" bestFit="1" customWidth="1"/>
    <col min="3846" max="3848" width="8" style="16" customWidth="1"/>
    <col min="3849" max="3855" width="8.28515625" style="16" customWidth="1"/>
    <col min="3856" max="3860" width="9.140625" style="16"/>
    <col min="3861" max="3861" width="12.42578125" style="16" customWidth="1"/>
    <col min="3862" max="3862" width="9.140625" style="16"/>
    <col min="3863" max="3863" width="12" style="16" customWidth="1"/>
    <col min="3864" max="4096" width="9.140625" style="16"/>
    <col min="4097" max="4097" width="5" style="16" customWidth="1"/>
    <col min="4098" max="4098" width="18.140625" style="16" customWidth="1"/>
    <col min="4099" max="4099" width="9.42578125" style="16" customWidth="1"/>
    <col min="4100" max="4100" width="9" style="16" customWidth="1"/>
    <col min="4101" max="4101" width="8.5703125" style="16" bestFit="1" customWidth="1"/>
    <col min="4102" max="4104" width="8" style="16" customWidth="1"/>
    <col min="4105" max="4111" width="8.28515625" style="16" customWidth="1"/>
    <col min="4112" max="4116" width="9.140625" style="16"/>
    <col min="4117" max="4117" width="12.42578125" style="16" customWidth="1"/>
    <col min="4118" max="4118" width="9.140625" style="16"/>
    <col min="4119" max="4119" width="12" style="16" customWidth="1"/>
    <col min="4120" max="4352" width="9.140625" style="16"/>
    <col min="4353" max="4353" width="5" style="16" customWidth="1"/>
    <col min="4354" max="4354" width="18.140625" style="16" customWidth="1"/>
    <col min="4355" max="4355" width="9.42578125" style="16" customWidth="1"/>
    <col min="4356" max="4356" width="9" style="16" customWidth="1"/>
    <col min="4357" max="4357" width="8.5703125" style="16" bestFit="1" customWidth="1"/>
    <col min="4358" max="4360" width="8" style="16" customWidth="1"/>
    <col min="4361" max="4367" width="8.28515625" style="16" customWidth="1"/>
    <col min="4368" max="4372" width="9.140625" style="16"/>
    <col min="4373" max="4373" width="12.42578125" style="16" customWidth="1"/>
    <col min="4374" max="4374" width="9.140625" style="16"/>
    <col min="4375" max="4375" width="12" style="16" customWidth="1"/>
    <col min="4376" max="4608" width="9.140625" style="16"/>
    <col min="4609" max="4609" width="5" style="16" customWidth="1"/>
    <col min="4610" max="4610" width="18.140625" style="16" customWidth="1"/>
    <col min="4611" max="4611" width="9.42578125" style="16" customWidth="1"/>
    <col min="4612" max="4612" width="9" style="16" customWidth="1"/>
    <col min="4613" max="4613" width="8.5703125" style="16" bestFit="1" customWidth="1"/>
    <col min="4614" max="4616" width="8" style="16" customWidth="1"/>
    <col min="4617" max="4623" width="8.28515625" style="16" customWidth="1"/>
    <col min="4624" max="4628" width="9.140625" style="16"/>
    <col min="4629" max="4629" width="12.42578125" style="16" customWidth="1"/>
    <col min="4630" max="4630" width="9.140625" style="16"/>
    <col min="4631" max="4631" width="12" style="16" customWidth="1"/>
    <col min="4632" max="4864" width="9.140625" style="16"/>
    <col min="4865" max="4865" width="5" style="16" customWidth="1"/>
    <col min="4866" max="4866" width="18.140625" style="16" customWidth="1"/>
    <col min="4867" max="4867" width="9.42578125" style="16" customWidth="1"/>
    <col min="4868" max="4868" width="9" style="16" customWidth="1"/>
    <col min="4869" max="4869" width="8.5703125" style="16" bestFit="1" customWidth="1"/>
    <col min="4870" max="4872" width="8" style="16" customWidth="1"/>
    <col min="4873" max="4879" width="8.28515625" style="16" customWidth="1"/>
    <col min="4880" max="4884" width="9.140625" style="16"/>
    <col min="4885" max="4885" width="12.42578125" style="16" customWidth="1"/>
    <col min="4886" max="4886" width="9.140625" style="16"/>
    <col min="4887" max="4887" width="12" style="16" customWidth="1"/>
    <col min="4888" max="5120" width="9.140625" style="16"/>
    <col min="5121" max="5121" width="5" style="16" customWidth="1"/>
    <col min="5122" max="5122" width="18.140625" style="16" customWidth="1"/>
    <col min="5123" max="5123" width="9.42578125" style="16" customWidth="1"/>
    <col min="5124" max="5124" width="9" style="16" customWidth="1"/>
    <col min="5125" max="5125" width="8.5703125" style="16" bestFit="1" customWidth="1"/>
    <col min="5126" max="5128" width="8" style="16" customWidth="1"/>
    <col min="5129" max="5135" width="8.28515625" style="16" customWidth="1"/>
    <col min="5136" max="5140" width="9.140625" style="16"/>
    <col min="5141" max="5141" width="12.42578125" style="16" customWidth="1"/>
    <col min="5142" max="5142" width="9.140625" style="16"/>
    <col min="5143" max="5143" width="12" style="16" customWidth="1"/>
    <col min="5144" max="5376" width="9.140625" style="16"/>
    <col min="5377" max="5377" width="5" style="16" customWidth="1"/>
    <col min="5378" max="5378" width="18.140625" style="16" customWidth="1"/>
    <col min="5379" max="5379" width="9.42578125" style="16" customWidth="1"/>
    <col min="5380" max="5380" width="9" style="16" customWidth="1"/>
    <col min="5381" max="5381" width="8.5703125" style="16" bestFit="1" customWidth="1"/>
    <col min="5382" max="5384" width="8" style="16" customWidth="1"/>
    <col min="5385" max="5391" width="8.28515625" style="16" customWidth="1"/>
    <col min="5392" max="5396" width="9.140625" style="16"/>
    <col min="5397" max="5397" width="12.42578125" style="16" customWidth="1"/>
    <col min="5398" max="5398" width="9.140625" style="16"/>
    <col min="5399" max="5399" width="12" style="16" customWidth="1"/>
    <col min="5400" max="5632" width="9.140625" style="16"/>
    <col min="5633" max="5633" width="5" style="16" customWidth="1"/>
    <col min="5634" max="5634" width="18.140625" style="16" customWidth="1"/>
    <col min="5635" max="5635" width="9.42578125" style="16" customWidth="1"/>
    <col min="5636" max="5636" width="9" style="16" customWidth="1"/>
    <col min="5637" max="5637" width="8.5703125" style="16" bestFit="1" customWidth="1"/>
    <col min="5638" max="5640" width="8" style="16" customWidth="1"/>
    <col min="5641" max="5647" width="8.28515625" style="16" customWidth="1"/>
    <col min="5648" max="5652" width="9.140625" style="16"/>
    <col min="5653" max="5653" width="12.42578125" style="16" customWidth="1"/>
    <col min="5654" max="5654" width="9.140625" style="16"/>
    <col min="5655" max="5655" width="12" style="16" customWidth="1"/>
    <col min="5656" max="5888" width="9.140625" style="16"/>
    <col min="5889" max="5889" width="5" style="16" customWidth="1"/>
    <col min="5890" max="5890" width="18.140625" style="16" customWidth="1"/>
    <col min="5891" max="5891" width="9.42578125" style="16" customWidth="1"/>
    <col min="5892" max="5892" width="9" style="16" customWidth="1"/>
    <col min="5893" max="5893" width="8.5703125" style="16" bestFit="1" customWidth="1"/>
    <col min="5894" max="5896" width="8" style="16" customWidth="1"/>
    <col min="5897" max="5903" width="8.28515625" style="16" customWidth="1"/>
    <col min="5904" max="5908" width="9.140625" style="16"/>
    <col min="5909" max="5909" width="12.42578125" style="16" customWidth="1"/>
    <col min="5910" max="5910" width="9.140625" style="16"/>
    <col min="5911" max="5911" width="12" style="16" customWidth="1"/>
    <col min="5912" max="6144" width="9.140625" style="16"/>
    <col min="6145" max="6145" width="5" style="16" customWidth="1"/>
    <col min="6146" max="6146" width="18.140625" style="16" customWidth="1"/>
    <col min="6147" max="6147" width="9.42578125" style="16" customWidth="1"/>
    <col min="6148" max="6148" width="9" style="16" customWidth="1"/>
    <col min="6149" max="6149" width="8.5703125" style="16" bestFit="1" customWidth="1"/>
    <col min="6150" max="6152" width="8" style="16" customWidth="1"/>
    <col min="6153" max="6159" width="8.28515625" style="16" customWidth="1"/>
    <col min="6160" max="6164" width="9.140625" style="16"/>
    <col min="6165" max="6165" width="12.42578125" style="16" customWidth="1"/>
    <col min="6166" max="6166" width="9.140625" style="16"/>
    <col min="6167" max="6167" width="12" style="16" customWidth="1"/>
    <col min="6168" max="6400" width="9.140625" style="16"/>
    <col min="6401" max="6401" width="5" style="16" customWidth="1"/>
    <col min="6402" max="6402" width="18.140625" style="16" customWidth="1"/>
    <col min="6403" max="6403" width="9.42578125" style="16" customWidth="1"/>
    <col min="6404" max="6404" width="9" style="16" customWidth="1"/>
    <col min="6405" max="6405" width="8.5703125" style="16" bestFit="1" customWidth="1"/>
    <col min="6406" max="6408" width="8" style="16" customWidth="1"/>
    <col min="6409" max="6415" width="8.28515625" style="16" customWidth="1"/>
    <col min="6416" max="6420" width="9.140625" style="16"/>
    <col min="6421" max="6421" width="12.42578125" style="16" customWidth="1"/>
    <col min="6422" max="6422" width="9.140625" style="16"/>
    <col min="6423" max="6423" width="12" style="16" customWidth="1"/>
    <col min="6424" max="6656" width="9.140625" style="16"/>
    <col min="6657" max="6657" width="5" style="16" customWidth="1"/>
    <col min="6658" max="6658" width="18.140625" style="16" customWidth="1"/>
    <col min="6659" max="6659" width="9.42578125" style="16" customWidth="1"/>
    <col min="6660" max="6660" width="9" style="16" customWidth="1"/>
    <col min="6661" max="6661" width="8.5703125" style="16" bestFit="1" customWidth="1"/>
    <col min="6662" max="6664" width="8" style="16" customWidth="1"/>
    <col min="6665" max="6671" width="8.28515625" style="16" customWidth="1"/>
    <col min="6672" max="6676" width="9.140625" style="16"/>
    <col min="6677" max="6677" width="12.42578125" style="16" customWidth="1"/>
    <col min="6678" max="6678" width="9.140625" style="16"/>
    <col min="6679" max="6679" width="12" style="16" customWidth="1"/>
    <col min="6680" max="6912" width="9.140625" style="16"/>
    <col min="6913" max="6913" width="5" style="16" customWidth="1"/>
    <col min="6914" max="6914" width="18.140625" style="16" customWidth="1"/>
    <col min="6915" max="6915" width="9.42578125" style="16" customWidth="1"/>
    <col min="6916" max="6916" width="9" style="16" customWidth="1"/>
    <col min="6917" max="6917" width="8.5703125" style="16" bestFit="1" customWidth="1"/>
    <col min="6918" max="6920" width="8" style="16" customWidth="1"/>
    <col min="6921" max="6927" width="8.28515625" style="16" customWidth="1"/>
    <col min="6928" max="6932" width="9.140625" style="16"/>
    <col min="6933" max="6933" width="12.42578125" style="16" customWidth="1"/>
    <col min="6934" max="6934" width="9.140625" style="16"/>
    <col min="6935" max="6935" width="12" style="16" customWidth="1"/>
    <col min="6936" max="7168" width="9.140625" style="16"/>
    <col min="7169" max="7169" width="5" style="16" customWidth="1"/>
    <col min="7170" max="7170" width="18.140625" style="16" customWidth="1"/>
    <col min="7171" max="7171" width="9.42578125" style="16" customWidth="1"/>
    <col min="7172" max="7172" width="9" style="16" customWidth="1"/>
    <col min="7173" max="7173" width="8.5703125" style="16" bestFit="1" customWidth="1"/>
    <col min="7174" max="7176" width="8" style="16" customWidth="1"/>
    <col min="7177" max="7183" width="8.28515625" style="16" customWidth="1"/>
    <col min="7184" max="7188" width="9.140625" style="16"/>
    <col min="7189" max="7189" width="12.42578125" style="16" customWidth="1"/>
    <col min="7190" max="7190" width="9.140625" style="16"/>
    <col min="7191" max="7191" width="12" style="16" customWidth="1"/>
    <col min="7192" max="7424" width="9.140625" style="16"/>
    <col min="7425" max="7425" width="5" style="16" customWidth="1"/>
    <col min="7426" max="7426" width="18.140625" style="16" customWidth="1"/>
    <col min="7427" max="7427" width="9.42578125" style="16" customWidth="1"/>
    <col min="7428" max="7428" width="9" style="16" customWidth="1"/>
    <col min="7429" max="7429" width="8.5703125" style="16" bestFit="1" customWidth="1"/>
    <col min="7430" max="7432" width="8" style="16" customWidth="1"/>
    <col min="7433" max="7439" width="8.28515625" style="16" customWidth="1"/>
    <col min="7440" max="7444" width="9.140625" style="16"/>
    <col min="7445" max="7445" width="12.42578125" style="16" customWidth="1"/>
    <col min="7446" max="7446" width="9.140625" style="16"/>
    <col min="7447" max="7447" width="12" style="16" customWidth="1"/>
    <col min="7448" max="7680" width="9.140625" style="16"/>
    <col min="7681" max="7681" width="5" style="16" customWidth="1"/>
    <col min="7682" max="7682" width="18.140625" style="16" customWidth="1"/>
    <col min="7683" max="7683" width="9.42578125" style="16" customWidth="1"/>
    <col min="7684" max="7684" width="9" style="16" customWidth="1"/>
    <col min="7685" max="7685" width="8.5703125" style="16" bestFit="1" customWidth="1"/>
    <col min="7686" max="7688" width="8" style="16" customWidth="1"/>
    <col min="7689" max="7695" width="8.28515625" style="16" customWidth="1"/>
    <col min="7696" max="7700" width="9.140625" style="16"/>
    <col min="7701" max="7701" width="12.42578125" style="16" customWidth="1"/>
    <col min="7702" max="7702" width="9.140625" style="16"/>
    <col min="7703" max="7703" width="12" style="16" customWidth="1"/>
    <col min="7704" max="7936" width="9.140625" style="16"/>
    <col min="7937" max="7937" width="5" style="16" customWidth="1"/>
    <col min="7938" max="7938" width="18.140625" style="16" customWidth="1"/>
    <col min="7939" max="7939" width="9.42578125" style="16" customWidth="1"/>
    <col min="7940" max="7940" width="9" style="16" customWidth="1"/>
    <col min="7941" max="7941" width="8.5703125" style="16" bestFit="1" customWidth="1"/>
    <col min="7942" max="7944" width="8" style="16" customWidth="1"/>
    <col min="7945" max="7951" width="8.28515625" style="16" customWidth="1"/>
    <col min="7952" max="7956" width="9.140625" style="16"/>
    <col min="7957" max="7957" width="12.42578125" style="16" customWidth="1"/>
    <col min="7958" max="7958" width="9.140625" style="16"/>
    <col min="7959" max="7959" width="12" style="16" customWidth="1"/>
    <col min="7960" max="8192" width="9.140625" style="16"/>
    <col min="8193" max="8193" width="5" style="16" customWidth="1"/>
    <col min="8194" max="8194" width="18.140625" style="16" customWidth="1"/>
    <col min="8195" max="8195" width="9.42578125" style="16" customWidth="1"/>
    <col min="8196" max="8196" width="9" style="16" customWidth="1"/>
    <col min="8197" max="8197" width="8.5703125" style="16" bestFit="1" customWidth="1"/>
    <col min="8198" max="8200" width="8" style="16" customWidth="1"/>
    <col min="8201" max="8207" width="8.28515625" style="16" customWidth="1"/>
    <col min="8208" max="8212" width="9.140625" style="16"/>
    <col min="8213" max="8213" width="12.42578125" style="16" customWidth="1"/>
    <col min="8214" max="8214" width="9.140625" style="16"/>
    <col min="8215" max="8215" width="12" style="16" customWidth="1"/>
    <col min="8216" max="8448" width="9.140625" style="16"/>
    <col min="8449" max="8449" width="5" style="16" customWidth="1"/>
    <col min="8450" max="8450" width="18.140625" style="16" customWidth="1"/>
    <col min="8451" max="8451" width="9.42578125" style="16" customWidth="1"/>
    <col min="8452" max="8452" width="9" style="16" customWidth="1"/>
    <col min="8453" max="8453" width="8.5703125" style="16" bestFit="1" customWidth="1"/>
    <col min="8454" max="8456" width="8" style="16" customWidth="1"/>
    <col min="8457" max="8463" width="8.28515625" style="16" customWidth="1"/>
    <col min="8464" max="8468" width="9.140625" style="16"/>
    <col min="8469" max="8469" width="12.42578125" style="16" customWidth="1"/>
    <col min="8470" max="8470" width="9.140625" style="16"/>
    <col min="8471" max="8471" width="12" style="16" customWidth="1"/>
    <col min="8472" max="8704" width="9.140625" style="16"/>
    <col min="8705" max="8705" width="5" style="16" customWidth="1"/>
    <col min="8706" max="8706" width="18.140625" style="16" customWidth="1"/>
    <col min="8707" max="8707" width="9.42578125" style="16" customWidth="1"/>
    <col min="8708" max="8708" width="9" style="16" customWidth="1"/>
    <col min="8709" max="8709" width="8.5703125" style="16" bestFit="1" customWidth="1"/>
    <col min="8710" max="8712" width="8" style="16" customWidth="1"/>
    <col min="8713" max="8719" width="8.28515625" style="16" customWidth="1"/>
    <col min="8720" max="8724" width="9.140625" style="16"/>
    <col min="8725" max="8725" width="12.42578125" style="16" customWidth="1"/>
    <col min="8726" max="8726" width="9.140625" style="16"/>
    <col min="8727" max="8727" width="12" style="16" customWidth="1"/>
    <col min="8728" max="8960" width="9.140625" style="16"/>
    <col min="8961" max="8961" width="5" style="16" customWidth="1"/>
    <col min="8962" max="8962" width="18.140625" style="16" customWidth="1"/>
    <col min="8963" max="8963" width="9.42578125" style="16" customWidth="1"/>
    <col min="8964" max="8964" width="9" style="16" customWidth="1"/>
    <col min="8965" max="8965" width="8.5703125" style="16" bestFit="1" customWidth="1"/>
    <col min="8966" max="8968" width="8" style="16" customWidth="1"/>
    <col min="8969" max="8975" width="8.28515625" style="16" customWidth="1"/>
    <col min="8976" max="8980" width="9.140625" style="16"/>
    <col min="8981" max="8981" width="12.42578125" style="16" customWidth="1"/>
    <col min="8982" max="8982" width="9.140625" style="16"/>
    <col min="8983" max="8983" width="12" style="16" customWidth="1"/>
    <col min="8984" max="9216" width="9.140625" style="16"/>
    <col min="9217" max="9217" width="5" style="16" customWidth="1"/>
    <col min="9218" max="9218" width="18.140625" style="16" customWidth="1"/>
    <col min="9219" max="9219" width="9.42578125" style="16" customWidth="1"/>
    <col min="9220" max="9220" width="9" style="16" customWidth="1"/>
    <col min="9221" max="9221" width="8.5703125" style="16" bestFit="1" customWidth="1"/>
    <col min="9222" max="9224" width="8" style="16" customWidth="1"/>
    <col min="9225" max="9231" width="8.28515625" style="16" customWidth="1"/>
    <col min="9232" max="9236" width="9.140625" style="16"/>
    <col min="9237" max="9237" width="12.42578125" style="16" customWidth="1"/>
    <col min="9238" max="9238" width="9.140625" style="16"/>
    <col min="9239" max="9239" width="12" style="16" customWidth="1"/>
    <col min="9240" max="9472" width="9.140625" style="16"/>
    <col min="9473" max="9473" width="5" style="16" customWidth="1"/>
    <col min="9474" max="9474" width="18.140625" style="16" customWidth="1"/>
    <col min="9475" max="9475" width="9.42578125" style="16" customWidth="1"/>
    <col min="9476" max="9476" width="9" style="16" customWidth="1"/>
    <col min="9477" max="9477" width="8.5703125" style="16" bestFit="1" customWidth="1"/>
    <col min="9478" max="9480" width="8" style="16" customWidth="1"/>
    <col min="9481" max="9487" width="8.28515625" style="16" customWidth="1"/>
    <col min="9488" max="9492" width="9.140625" style="16"/>
    <col min="9493" max="9493" width="12.42578125" style="16" customWidth="1"/>
    <col min="9494" max="9494" width="9.140625" style="16"/>
    <col min="9495" max="9495" width="12" style="16" customWidth="1"/>
    <col min="9496" max="9728" width="9.140625" style="16"/>
    <col min="9729" max="9729" width="5" style="16" customWidth="1"/>
    <col min="9730" max="9730" width="18.140625" style="16" customWidth="1"/>
    <col min="9731" max="9731" width="9.42578125" style="16" customWidth="1"/>
    <col min="9732" max="9732" width="9" style="16" customWidth="1"/>
    <col min="9733" max="9733" width="8.5703125" style="16" bestFit="1" customWidth="1"/>
    <col min="9734" max="9736" width="8" style="16" customWidth="1"/>
    <col min="9737" max="9743" width="8.28515625" style="16" customWidth="1"/>
    <col min="9744" max="9748" width="9.140625" style="16"/>
    <col min="9749" max="9749" width="12.42578125" style="16" customWidth="1"/>
    <col min="9750" max="9750" width="9.140625" style="16"/>
    <col min="9751" max="9751" width="12" style="16" customWidth="1"/>
    <col min="9752" max="9984" width="9.140625" style="16"/>
    <col min="9985" max="9985" width="5" style="16" customWidth="1"/>
    <col min="9986" max="9986" width="18.140625" style="16" customWidth="1"/>
    <col min="9987" max="9987" width="9.42578125" style="16" customWidth="1"/>
    <col min="9988" max="9988" width="9" style="16" customWidth="1"/>
    <col min="9989" max="9989" width="8.5703125" style="16" bestFit="1" customWidth="1"/>
    <col min="9990" max="9992" width="8" style="16" customWidth="1"/>
    <col min="9993" max="9999" width="8.28515625" style="16" customWidth="1"/>
    <col min="10000" max="10004" width="9.140625" style="16"/>
    <col min="10005" max="10005" width="12.42578125" style="16" customWidth="1"/>
    <col min="10006" max="10006" width="9.140625" style="16"/>
    <col min="10007" max="10007" width="12" style="16" customWidth="1"/>
    <col min="10008" max="10240" width="9.140625" style="16"/>
    <col min="10241" max="10241" width="5" style="16" customWidth="1"/>
    <col min="10242" max="10242" width="18.140625" style="16" customWidth="1"/>
    <col min="10243" max="10243" width="9.42578125" style="16" customWidth="1"/>
    <col min="10244" max="10244" width="9" style="16" customWidth="1"/>
    <col min="10245" max="10245" width="8.5703125" style="16" bestFit="1" customWidth="1"/>
    <col min="10246" max="10248" width="8" style="16" customWidth="1"/>
    <col min="10249" max="10255" width="8.28515625" style="16" customWidth="1"/>
    <col min="10256" max="10260" width="9.140625" style="16"/>
    <col min="10261" max="10261" width="12.42578125" style="16" customWidth="1"/>
    <col min="10262" max="10262" width="9.140625" style="16"/>
    <col min="10263" max="10263" width="12" style="16" customWidth="1"/>
    <col min="10264" max="10496" width="9.140625" style="16"/>
    <col min="10497" max="10497" width="5" style="16" customWidth="1"/>
    <col min="10498" max="10498" width="18.140625" style="16" customWidth="1"/>
    <col min="10499" max="10499" width="9.42578125" style="16" customWidth="1"/>
    <col min="10500" max="10500" width="9" style="16" customWidth="1"/>
    <col min="10501" max="10501" width="8.5703125" style="16" bestFit="1" customWidth="1"/>
    <col min="10502" max="10504" width="8" style="16" customWidth="1"/>
    <col min="10505" max="10511" width="8.28515625" style="16" customWidth="1"/>
    <col min="10512" max="10516" width="9.140625" style="16"/>
    <col min="10517" max="10517" width="12.42578125" style="16" customWidth="1"/>
    <col min="10518" max="10518" width="9.140625" style="16"/>
    <col min="10519" max="10519" width="12" style="16" customWidth="1"/>
    <col min="10520" max="10752" width="9.140625" style="16"/>
    <col min="10753" max="10753" width="5" style="16" customWidth="1"/>
    <col min="10754" max="10754" width="18.140625" style="16" customWidth="1"/>
    <col min="10755" max="10755" width="9.42578125" style="16" customWidth="1"/>
    <col min="10756" max="10756" width="9" style="16" customWidth="1"/>
    <col min="10757" max="10757" width="8.5703125" style="16" bestFit="1" customWidth="1"/>
    <col min="10758" max="10760" width="8" style="16" customWidth="1"/>
    <col min="10761" max="10767" width="8.28515625" style="16" customWidth="1"/>
    <col min="10768" max="10772" width="9.140625" style="16"/>
    <col min="10773" max="10773" width="12.42578125" style="16" customWidth="1"/>
    <col min="10774" max="10774" width="9.140625" style="16"/>
    <col min="10775" max="10775" width="12" style="16" customWidth="1"/>
    <col min="10776" max="11008" width="9.140625" style="16"/>
    <col min="11009" max="11009" width="5" style="16" customWidth="1"/>
    <col min="11010" max="11010" width="18.140625" style="16" customWidth="1"/>
    <col min="11011" max="11011" width="9.42578125" style="16" customWidth="1"/>
    <col min="11012" max="11012" width="9" style="16" customWidth="1"/>
    <col min="11013" max="11013" width="8.5703125" style="16" bestFit="1" customWidth="1"/>
    <col min="11014" max="11016" width="8" style="16" customWidth="1"/>
    <col min="11017" max="11023" width="8.28515625" style="16" customWidth="1"/>
    <col min="11024" max="11028" width="9.140625" style="16"/>
    <col min="11029" max="11029" width="12.42578125" style="16" customWidth="1"/>
    <col min="11030" max="11030" width="9.140625" style="16"/>
    <col min="11031" max="11031" width="12" style="16" customWidth="1"/>
    <col min="11032" max="11264" width="9.140625" style="16"/>
    <col min="11265" max="11265" width="5" style="16" customWidth="1"/>
    <col min="11266" max="11266" width="18.140625" style="16" customWidth="1"/>
    <col min="11267" max="11267" width="9.42578125" style="16" customWidth="1"/>
    <col min="11268" max="11268" width="9" style="16" customWidth="1"/>
    <col min="11269" max="11269" width="8.5703125" style="16" bestFit="1" customWidth="1"/>
    <col min="11270" max="11272" width="8" style="16" customWidth="1"/>
    <col min="11273" max="11279" width="8.28515625" style="16" customWidth="1"/>
    <col min="11280" max="11284" width="9.140625" style="16"/>
    <col min="11285" max="11285" width="12.42578125" style="16" customWidth="1"/>
    <col min="11286" max="11286" width="9.140625" style="16"/>
    <col min="11287" max="11287" width="12" style="16" customWidth="1"/>
    <col min="11288" max="11520" width="9.140625" style="16"/>
    <col min="11521" max="11521" width="5" style="16" customWidth="1"/>
    <col min="11522" max="11522" width="18.140625" style="16" customWidth="1"/>
    <col min="11523" max="11523" width="9.42578125" style="16" customWidth="1"/>
    <col min="11524" max="11524" width="9" style="16" customWidth="1"/>
    <col min="11525" max="11525" width="8.5703125" style="16" bestFit="1" customWidth="1"/>
    <col min="11526" max="11528" width="8" style="16" customWidth="1"/>
    <col min="11529" max="11535" width="8.28515625" style="16" customWidth="1"/>
    <col min="11536" max="11540" width="9.140625" style="16"/>
    <col min="11541" max="11541" width="12.42578125" style="16" customWidth="1"/>
    <col min="11542" max="11542" width="9.140625" style="16"/>
    <col min="11543" max="11543" width="12" style="16" customWidth="1"/>
    <col min="11544" max="11776" width="9.140625" style="16"/>
    <col min="11777" max="11777" width="5" style="16" customWidth="1"/>
    <col min="11778" max="11778" width="18.140625" style="16" customWidth="1"/>
    <col min="11779" max="11779" width="9.42578125" style="16" customWidth="1"/>
    <col min="11780" max="11780" width="9" style="16" customWidth="1"/>
    <col min="11781" max="11781" width="8.5703125" style="16" bestFit="1" customWidth="1"/>
    <col min="11782" max="11784" width="8" style="16" customWidth="1"/>
    <col min="11785" max="11791" width="8.28515625" style="16" customWidth="1"/>
    <col min="11792" max="11796" width="9.140625" style="16"/>
    <col min="11797" max="11797" width="12.42578125" style="16" customWidth="1"/>
    <col min="11798" max="11798" width="9.140625" style="16"/>
    <col min="11799" max="11799" width="12" style="16" customWidth="1"/>
    <col min="11800" max="12032" width="9.140625" style="16"/>
    <col min="12033" max="12033" width="5" style="16" customWidth="1"/>
    <col min="12034" max="12034" width="18.140625" style="16" customWidth="1"/>
    <col min="12035" max="12035" width="9.42578125" style="16" customWidth="1"/>
    <col min="12036" max="12036" width="9" style="16" customWidth="1"/>
    <col min="12037" max="12037" width="8.5703125" style="16" bestFit="1" customWidth="1"/>
    <col min="12038" max="12040" width="8" style="16" customWidth="1"/>
    <col min="12041" max="12047" width="8.28515625" style="16" customWidth="1"/>
    <col min="12048" max="12052" width="9.140625" style="16"/>
    <col min="12053" max="12053" width="12.42578125" style="16" customWidth="1"/>
    <col min="12054" max="12054" width="9.140625" style="16"/>
    <col min="12055" max="12055" width="12" style="16" customWidth="1"/>
    <col min="12056" max="12288" width="9.140625" style="16"/>
    <col min="12289" max="12289" width="5" style="16" customWidth="1"/>
    <col min="12290" max="12290" width="18.140625" style="16" customWidth="1"/>
    <col min="12291" max="12291" width="9.42578125" style="16" customWidth="1"/>
    <col min="12292" max="12292" width="9" style="16" customWidth="1"/>
    <col min="12293" max="12293" width="8.5703125" style="16" bestFit="1" customWidth="1"/>
    <col min="12294" max="12296" width="8" style="16" customWidth="1"/>
    <col min="12297" max="12303" width="8.28515625" style="16" customWidth="1"/>
    <col min="12304" max="12308" width="9.140625" style="16"/>
    <col min="12309" max="12309" width="12.42578125" style="16" customWidth="1"/>
    <col min="12310" max="12310" width="9.140625" style="16"/>
    <col min="12311" max="12311" width="12" style="16" customWidth="1"/>
    <col min="12312" max="12544" width="9.140625" style="16"/>
    <col min="12545" max="12545" width="5" style="16" customWidth="1"/>
    <col min="12546" max="12546" width="18.140625" style="16" customWidth="1"/>
    <col min="12547" max="12547" width="9.42578125" style="16" customWidth="1"/>
    <col min="12548" max="12548" width="9" style="16" customWidth="1"/>
    <col min="12549" max="12549" width="8.5703125" style="16" bestFit="1" customWidth="1"/>
    <col min="12550" max="12552" width="8" style="16" customWidth="1"/>
    <col min="12553" max="12559" width="8.28515625" style="16" customWidth="1"/>
    <col min="12560" max="12564" width="9.140625" style="16"/>
    <col min="12565" max="12565" width="12.42578125" style="16" customWidth="1"/>
    <col min="12566" max="12566" width="9.140625" style="16"/>
    <col min="12567" max="12567" width="12" style="16" customWidth="1"/>
    <col min="12568" max="12800" width="9.140625" style="16"/>
    <col min="12801" max="12801" width="5" style="16" customWidth="1"/>
    <col min="12802" max="12802" width="18.140625" style="16" customWidth="1"/>
    <col min="12803" max="12803" width="9.42578125" style="16" customWidth="1"/>
    <col min="12804" max="12804" width="9" style="16" customWidth="1"/>
    <col min="12805" max="12805" width="8.5703125" style="16" bestFit="1" customWidth="1"/>
    <col min="12806" max="12808" width="8" style="16" customWidth="1"/>
    <col min="12809" max="12815" width="8.28515625" style="16" customWidth="1"/>
    <col min="12816" max="12820" width="9.140625" style="16"/>
    <col min="12821" max="12821" width="12.42578125" style="16" customWidth="1"/>
    <col min="12822" max="12822" width="9.140625" style="16"/>
    <col min="12823" max="12823" width="12" style="16" customWidth="1"/>
    <col min="12824" max="13056" width="9.140625" style="16"/>
    <col min="13057" max="13057" width="5" style="16" customWidth="1"/>
    <col min="13058" max="13058" width="18.140625" style="16" customWidth="1"/>
    <col min="13059" max="13059" width="9.42578125" style="16" customWidth="1"/>
    <col min="13060" max="13060" width="9" style="16" customWidth="1"/>
    <col min="13061" max="13061" width="8.5703125" style="16" bestFit="1" customWidth="1"/>
    <col min="13062" max="13064" width="8" style="16" customWidth="1"/>
    <col min="13065" max="13071" width="8.28515625" style="16" customWidth="1"/>
    <col min="13072" max="13076" width="9.140625" style="16"/>
    <col min="13077" max="13077" width="12.42578125" style="16" customWidth="1"/>
    <col min="13078" max="13078" width="9.140625" style="16"/>
    <col min="13079" max="13079" width="12" style="16" customWidth="1"/>
    <col min="13080" max="13312" width="9.140625" style="16"/>
    <col min="13313" max="13313" width="5" style="16" customWidth="1"/>
    <col min="13314" max="13314" width="18.140625" style="16" customWidth="1"/>
    <col min="13315" max="13315" width="9.42578125" style="16" customWidth="1"/>
    <col min="13316" max="13316" width="9" style="16" customWidth="1"/>
    <col min="13317" max="13317" width="8.5703125" style="16" bestFit="1" customWidth="1"/>
    <col min="13318" max="13320" width="8" style="16" customWidth="1"/>
    <col min="13321" max="13327" width="8.28515625" style="16" customWidth="1"/>
    <col min="13328" max="13332" width="9.140625" style="16"/>
    <col min="13333" max="13333" width="12.42578125" style="16" customWidth="1"/>
    <col min="13334" max="13334" width="9.140625" style="16"/>
    <col min="13335" max="13335" width="12" style="16" customWidth="1"/>
    <col min="13336" max="13568" width="9.140625" style="16"/>
    <col min="13569" max="13569" width="5" style="16" customWidth="1"/>
    <col min="13570" max="13570" width="18.140625" style="16" customWidth="1"/>
    <col min="13571" max="13571" width="9.42578125" style="16" customWidth="1"/>
    <col min="13572" max="13572" width="9" style="16" customWidth="1"/>
    <col min="13573" max="13573" width="8.5703125" style="16" bestFit="1" customWidth="1"/>
    <col min="13574" max="13576" width="8" style="16" customWidth="1"/>
    <col min="13577" max="13583" width="8.28515625" style="16" customWidth="1"/>
    <col min="13584" max="13588" width="9.140625" style="16"/>
    <col min="13589" max="13589" width="12.42578125" style="16" customWidth="1"/>
    <col min="13590" max="13590" width="9.140625" style="16"/>
    <col min="13591" max="13591" width="12" style="16" customWidth="1"/>
    <col min="13592" max="13824" width="9.140625" style="16"/>
    <col min="13825" max="13825" width="5" style="16" customWidth="1"/>
    <col min="13826" max="13826" width="18.140625" style="16" customWidth="1"/>
    <col min="13827" max="13827" width="9.42578125" style="16" customWidth="1"/>
    <col min="13828" max="13828" width="9" style="16" customWidth="1"/>
    <col min="13829" max="13829" width="8.5703125" style="16" bestFit="1" customWidth="1"/>
    <col min="13830" max="13832" width="8" style="16" customWidth="1"/>
    <col min="13833" max="13839" width="8.28515625" style="16" customWidth="1"/>
    <col min="13840" max="13844" width="9.140625" style="16"/>
    <col min="13845" max="13845" width="12.42578125" style="16" customWidth="1"/>
    <col min="13846" max="13846" width="9.140625" style="16"/>
    <col min="13847" max="13847" width="12" style="16" customWidth="1"/>
    <col min="13848" max="14080" width="9.140625" style="16"/>
    <col min="14081" max="14081" width="5" style="16" customWidth="1"/>
    <col min="14082" max="14082" width="18.140625" style="16" customWidth="1"/>
    <col min="14083" max="14083" width="9.42578125" style="16" customWidth="1"/>
    <col min="14084" max="14084" width="9" style="16" customWidth="1"/>
    <col min="14085" max="14085" width="8.5703125" style="16" bestFit="1" customWidth="1"/>
    <col min="14086" max="14088" width="8" style="16" customWidth="1"/>
    <col min="14089" max="14095" width="8.28515625" style="16" customWidth="1"/>
    <col min="14096" max="14100" width="9.140625" style="16"/>
    <col min="14101" max="14101" width="12.42578125" style="16" customWidth="1"/>
    <col min="14102" max="14102" width="9.140625" style="16"/>
    <col min="14103" max="14103" width="12" style="16" customWidth="1"/>
    <col min="14104" max="14336" width="9.140625" style="16"/>
    <col min="14337" max="14337" width="5" style="16" customWidth="1"/>
    <col min="14338" max="14338" width="18.140625" style="16" customWidth="1"/>
    <col min="14339" max="14339" width="9.42578125" style="16" customWidth="1"/>
    <col min="14340" max="14340" width="9" style="16" customWidth="1"/>
    <col min="14341" max="14341" width="8.5703125" style="16" bestFit="1" customWidth="1"/>
    <col min="14342" max="14344" width="8" style="16" customWidth="1"/>
    <col min="14345" max="14351" width="8.28515625" style="16" customWidth="1"/>
    <col min="14352" max="14356" width="9.140625" style="16"/>
    <col min="14357" max="14357" width="12.42578125" style="16" customWidth="1"/>
    <col min="14358" max="14358" width="9.140625" style="16"/>
    <col min="14359" max="14359" width="12" style="16" customWidth="1"/>
    <col min="14360" max="14592" width="9.140625" style="16"/>
    <col min="14593" max="14593" width="5" style="16" customWidth="1"/>
    <col min="14594" max="14594" width="18.140625" style="16" customWidth="1"/>
    <col min="14595" max="14595" width="9.42578125" style="16" customWidth="1"/>
    <col min="14596" max="14596" width="9" style="16" customWidth="1"/>
    <col min="14597" max="14597" width="8.5703125" style="16" bestFit="1" customWidth="1"/>
    <col min="14598" max="14600" width="8" style="16" customWidth="1"/>
    <col min="14601" max="14607" width="8.28515625" style="16" customWidth="1"/>
    <col min="14608" max="14612" width="9.140625" style="16"/>
    <col min="14613" max="14613" width="12.42578125" style="16" customWidth="1"/>
    <col min="14614" max="14614" width="9.140625" style="16"/>
    <col min="14615" max="14615" width="12" style="16" customWidth="1"/>
    <col min="14616" max="14848" width="9.140625" style="16"/>
    <col min="14849" max="14849" width="5" style="16" customWidth="1"/>
    <col min="14850" max="14850" width="18.140625" style="16" customWidth="1"/>
    <col min="14851" max="14851" width="9.42578125" style="16" customWidth="1"/>
    <col min="14852" max="14852" width="9" style="16" customWidth="1"/>
    <col min="14853" max="14853" width="8.5703125" style="16" bestFit="1" customWidth="1"/>
    <col min="14854" max="14856" width="8" style="16" customWidth="1"/>
    <col min="14857" max="14863" width="8.28515625" style="16" customWidth="1"/>
    <col min="14864" max="14868" width="9.140625" style="16"/>
    <col min="14869" max="14869" width="12.42578125" style="16" customWidth="1"/>
    <col min="14870" max="14870" width="9.140625" style="16"/>
    <col min="14871" max="14871" width="12" style="16" customWidth="1"/>
    <col min="14872" max="15104" width="9.140625" style="16"/>
    <col min="15105" max="15105" width="5" style="16" customWidth="1"/>
    <col min="15106" max="15106" width="18.140625" style="16" customWidth="1"/>
    <col min="15107" max="15107" width="9.42578125" style="16" customWidth="1"/>
    <col min="15108" max="15108" width="9" style="16" customWidth="1"/>
    <col min="15109" max="15109" width="8.5703125" style="16" bestFit="1" customWidth="1"/>
    <col min="15110" max="15112" width="8" style="16" customWidth="1"/>
    <col min="15113" max="15119" width="8.28515625" style="16" customWidth="1"/>
    <col min="15120" max="15124" width="9.140625" style="16"/>
    <col min="15125" max="15125" width="12.42578125" style="16" customWidth="1"/>
    <col min="15126" max="15126" width="9.140625" style="16"/>
    <col min="15127" max="15127" width="12" style="16" customWidth="1"/>
    <col min="15128" max="15360" width="9.140625" style="16"/>
    <col min="15361" max="15361" width="5" style="16" customWidth="1"/>
    <col min="15362" max="15362" width="18.140625" style="16" customWidth="1"/>
    <col min="15363" max="15363" width="9.42578125" style="16" customWidth="1"/>
    <col min="15364" max="15364" width="9" style="16" customWidth="1"/>
    <col min="15365" max="15365" width="8.5703125" style="16" bestFit="1" customWidth="1"/>
    <col min="15366" max="15368" width="8" style="16" customWidth="1"/>
    <col min="15369" max="15375" width="8.28515625" style="16" customWidth="1"/>
    <col min="15376" max="15380" width="9.140625" style="16"/>
    <col min="15381" max="15381" width="12.42578125" style="16" customWidth="1"/>
    <col min="15382" max="15382" width="9.140625" style="16"/>
    <col min="15383" max="15383" width="12" style="16" customWidth="1"/>
    <col min="15384" max="15616" width="9.140625" style="16"/>
    <col min="15617" max="15617" width="5" style="16" customWidth="1"/>
    <col min="15618" max="15618" width="18.140625" style="16" customWidth="1"/>
    <col min="15619" max="15619" width="9.42578125" style="16" customWidth="1"/>
    <col min="15620" max="15620" width="9" style="16" customWidth="1"/>
    <col min="15621" max="15621" width="8.5703125" style="16" bestFit="1" customWidth="1"/>
    <col min="15622" max="15624" width="8" style="16" customWidth="1"/>
    <col min="15625" max="15631" width="8.28515625" style="16" customWidth="1"/>
    <col min="15632" max="15636" width="9.140625" style="16"/>
    <col min="15637" max="15637" width="12.42578125" style="16" customWidth="1"/>
    <col min="15638" max="15638" width="9.140625" style="16"/>
    <col min="15639" max="15639" width="12" style="16" customWidth="1"/>
    <col min="15640" max="15872" width="9.140625" style="16"/>
    <col min="15873" max="15873" width="5" style="16" customWidth="1"/>
    <col min="15874" max="15874" width="18.140625" style="16" customWidth="1"/>
    <col min="15875" max="15875" width="9.42578125" style="16" customWidth="1"/>
    <col min="15876" max="15876" width="9" style="16" customWidth="1"/>
    <col min="15877" max="15877" width="8.5703125" style="16" bestFit="1" customWidth="1"/>
    <col min="15878" max="15880" width="8" style="16" customWidth="1"/>
    <col min="15881" max="15887" width="8.28515625" style="16" customWidth="1"/>
    <col min="15888" max="15892" width="9.140625" style="16"/>
    <col min="15893" max="15893" width="12.42578125" style="16" customWidth="1"/>
    <col min="15894" max="15894" width="9.140625" style="16"/>
    <col min="15895" max="15895" width="12" style="16" customWidth="1"/>
    <col min="15896" max="16128" width="9.140625" style="16"/>
    <col min="16129" max="16129" width="5" style="16" customWidth="1"/>
    <col min="16130" max="16130" width="18.140625" style="16" customWidth="1"/>
    <col min="16131" max="16131" width="9.42578125" style="16" customWidth="1"/>
    <col min="16132" max="16132" width="9" style="16" customWidth="1"/>
    <col min="16133" max="16133" width="8.5703125" style="16" bestFit="1" customWidth="1"/>
    <col min="16134" max="16136" width="8" style="16" customWidth="1"/>
    <col min="16137" max="16143" width="8.28515625" style="16" customWidth="1"/>
    <col min="16144" max="16148" width="9.140625" style="16"/>
    <col min="16149" max="16149" width="12.42578125" style="16" customWidth="1"/>
    <col min="16150" max="16150" width="9.140625" style="16"/>
    <col min="16151" max="16151" width="12" style="16" customWidth="1"/>
    <col min="16152" max="16384" width="9.140625" style="16"/>
  </cols>
  <sheetData>
    <row r="1" spans="1:17" s="1" customFormat="1" x14ac:dyDescent="0.2">
      <c r="A1" s="867" t="s">
        <v>449</v>
      </c>
      <c r="B1" s="868"/>
      <c r="C1" s="868"/>
      <c r="D1" s="869"/>
      <c r="E1" s="868"/>
      <c r="F1" s="868"/>
      <c r="G1" s="867" t="s">
        <v>102</v>
      </c>
      <c r="H1" s="869"/>
      <c r="I1" s="869" t="s">
        <v>587</v>
      </c>
      <c r="J1" s="868"/>
      <c r="K1" s="868"/>
      <c r="L1" s="870"/>
      <c r="M1" s="870"/>
      <c r="N1" s="870"/>
      <c r="O1" s="870"/>
    </row>
    <row r="2" spans="1:17" s="1" customFormat="1" x14ac:dyDescent="0.2">
      <c r="A2" s="867" t="s">
        <v>103</v>
      </c>
      <c r="B2" s="868"/>
      <c r="C2" s="868"/>
      <c r="D2" s="869"/>
      <c r="E2" s="868"/>
      <c r="F2" s="868"/>
      <c r="G2" s="867" t="s">
        <v>104</v>
      </c>
      <c r="H2" s="869"/>
      <c r="I2" s="869" t="s">
        <v>105</v>
      </c>
      <c r="J2" s="868"/>
      <c r="K2" s="868"/>
      <c r="L2" s="870"/>
      <c r="M2" s="870"/>
      <c r="N2" s="870"/>
      <c r="O2" s="870"/>
    </row>
    <row r="3" spans="1:17" s="1" customFormat="1" x14ac:dyDescent="0.2">
      <c r="A3" s="867" t="s">
        <v>106</v>
      </c>
      <c r="B3" s="868"/>
      <c r="C3" s="868"/>
      <c r="D3" s="883" t="s">
        <v>676</v>
      </c>
      <c r="E3" s="868"/>
      <c r="F3" s="868"/>
      <c r="G3" s="867" t="s">
        <v>107</v>
      </c>
      <c r="H3" s="869"/>
      <c r="I3" s="869" t="s">
        <v>108</v>
      </c>
      <c r="J3" s="868"/>
      <c r="K3" s="868"/>
      <c r="L3" s="870"/>
      <c r="M3" s="870"/>
      <c r="N3" s="870"/>
      <c r="O3" s="870"/>
    </row>
    <row r="4" spans="1:17" s="1" customFormat="1" x14ac:dyDescent="0.2">
      <c r="A4" s="867" t="s">
        <v>476</v>
      </c>
      <c r="B4" s="868"/>
      <c r="C4" s="868"/>
      <c r="D4" s="869" t="s">
        <v>677</v>
      </c>
      <c r="E4" s="868"/>
      <c r="F4" s="868"/>
      <c r="G4" s="867" t="s">
        <v>110</v>
      </c>
      <c r="H4" s="869"/>
      <c r="I4" s="869" t="s">
        <v>392</v>
      </c>
      <c r="J4" s="868"/>
      <c r="K4" s="868"/>
      <c r="L4" s="870"/>
      <c r="M4" s="870"/>
      <c r="N4" s="870"/>
      <c r="O4" s="870"/>
    </row>
    <row r="5" spans="1:17" s="1" customFormat="1" x14ac:dyDescent="0.2">
      <c r="A5" s="867" t="s">
        <v>112</v>
      </c>
      <c r="B5" s="868"/>
      <c r="C5" s="868"/>
      <c r="D5" s="869"/>
      <c r="E5" s="868"/>
      <c r="F5" s="868"/>
      <c r="G5" s="867"/>
      <c r="H5" s="868"/>
      <c r="I5" s="869" t="s">
        <v>113</v>
      </c>
      <c r="J5" s="868"/>
      <c r="K5" s="868"/>
      <c r="L5" s="870"/>
      <c r="M5" s="870"/>
      <c r="N5" s="870"/>
      <c r="O5" s="870"/>
    </row>
    <row r="6" spans="1:17" s="1" customFormat="1" x14ac:dyDescent="0.2">
      <c r="A6" s="871" t="s">
        <v>114</v>
      </c>
      <c r="B6" s="872"/>
      <c r="C6" s="872"/>
      <c r="D6" s="868" t="s">
        <v>588</v>
      </c>
      <c r="E6" s="868"/>
      <c r="F6" s="868"/>
      <c r="G6" s="871" t="s">
        <v>115</v>
      </c>
      <c r="H6" s="871"/>
      <c r="I6" s="2" t="s">
        <v>116</v>
      </c>
      <c r="J6" s="888"/>
      <c r="K6" s="888"/>
      <c r="L6" s="888"/>
      <c r="M6" s="888"/>
      <c r="N6" s="888"/>
      <c r="O6" s="889"/>
    </row>
    <row r="7" spans="1:17" s="1" customFormat="1" ht="13.5" thickBot="1" x14ac:dyDescent="0.25">
      <c r="A7" s="3"/>
      <c r="B7" s="4"/>
      <c r="C7" s="5"/>
      <c r="D7" s="6"/>
      <c r="E7" s="6"/>
      <c r="F7" s="6"/>
      <c r="G7" s="6"/>
      <c r="H7" s="6"/>
      <c r="I7" s="6"/>
      <c r="J7" s="7"/>
      <c r="K7" s="8"/>
      <c r="L7" s="875" t="s">
        <v>223</v>
      </c>
      <c r="M7" s="875"/>
      <c r="N7" s="875"/>
      <c r="O7" s="875"/>
    </row>
    <row r="8" spans="1:17" s="11" customFormat="1" x14ac:dyDescent="0.2">
      <c r="A8" s="876" t="str">
        <f>I1</f>
        <v>Mr. M. H. Harchirkar</v>
      </c>
      <c r="B8" s="877"/>
      <c r="C8" s="9">
        <v>43160</v>
      </c>
      <c r="D8" s="9">
        <v>43191</v>
      </c>
      <c r="E8" s="9">
        <v>43221</v>
      </c>
      <c r="F8" s="9">
        <v>43252</v>
      </c>
      <c r="G8" s="9">
        <v>43282</v>
      </c>
      <c r="H8" s="9">
        <v>43313</v>
      </c>
      <c r="I8" s="9">
        <v>43344</v>
      </c>
      <c r="J8" s="9">
        <v>43374</v>
      </c>
      <c r="K8" s="9">
        <v>43405</v>
      </c>
      <c r="L8" s="9">
        <v>43435</v>
      </c>
      <c r="M8" s="9">
        <v>43466</v>
      </c>
      <c r="N8" s="9">
        <v>43497</v>
      </c>
      <c r="O8" s="10" t="s">
        <v>117</v>
      </c>
      <c r="Q8" s="11" t="s">
        <v>116</v>
      </c>
    </row>
    <row r="9" spans="1:17" ht="15" x14ac:dyDescent="0.2">
      <c r="A9" s="12"/>
      <c r="B9" s="13" t="s">
        <v>118</v>
      </c>
      <c r="C9" s="14">
        <v>68000</v>
      </c>
      <c r="D9" s="14">
        <f>+C9</f>
        <v>68000</v>
      </c>
      <c r="E9" s="14">
        <f>+D9</f>
        <v>68000</v>
      </c>
      <c r="F9" s="14">
        <f>+E9</f>
        <v>68000</v>
      </c>
      <c r="G9" s="14">
        <v>70000</v>
      </c>
      <c r="H9" s="14">
        <v>70000</v>
      </c>
      <c r="I9" s="14">
        <v>70000</v>
      </c>
      <c r="J9" s="14">
        <v>70000</v>
      </c>
      <c r="K9" s="14">
        <v>70000</v>
      </c>
      <c r="L9" s="14">
        <v>70000</v>
      </c>
      <c r="M9" s="14">
        <v>70000</v>
      </c>
      <c r="N9" s="14">
        <v>70000</v>
      </c>
      <c r="O9" s="15">
        <f>SUM(C9:N9)</f>
        <v>832000</v>
      </c>
      <c r="Q9" s="16" t="s">
        <v>222</v>
      </c>
    </row>
    <row r="10" spans="1:17"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7" ht="15" x14ac:dyDescent="0.2">
      <c r="A11" s="12"/>
      <c r="B11" s="13" t="s">
        <v>120</v>
      </c>
      <c r="C11" s="17">
        <v>3400</v>
      </c>
      <c r="D11" s="17">
        <v>4760</v>
      </c>
      <c r="E11" s="17">
        <v>4760</v>
      </c>
      <c r="F11" s="17">
        <v>4760</v>
      </c>
      <c r="G11" s="17">
        <v>4900</v>
      </c>
      <c r="H11" s="17">
        <v>4900</v>
      </c>
      <c r="I11" s="17">
        <v>4900</v>
      </c>
      <c r="J11" s="17">
        <v>6300</v>
      </c>
      <c r="K11" s="17">
        <v>6300</v>
      </c>
      <c r="L11" s="17">
        <v>6300</v>
      </c>
      <c r="M11" s="17">
        <v>6300</v>
      </c>
      <c r="N11" s="17">
        <v>6300</v>
      </c>
      <c r="O11" s="18">
        <f>SUM(C11:N11)</f>
        <v>63880</v>
      </c>
    </row>
    <row r="12" spans="1:17"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7"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7" ht="15" x14ac:dyDescent="0.2">
      <c r="A14" s="12"/>
      <c r="B14" s="13" t="s">
        <v>123</v>
      </c>
      <c r="C14" s="17">
        <v>3780</v>
      </c>
      <c r="D14" s="17">
        <v>3852</v>
      </c>
      <c r="E14" s="17">
        <v>3852</v>
      </c>
      <c r="F14" s="17">
        <v>3852</v>
      </c>
      <c r="G14" s="17">
        <v>3852</v>
      </c>
      <c r="H14" s="17">
        <v>3852</v>
      </c>
      <c r="I14" s="17">
        <v>3852</v>
      </c>
      <c r="J14" s="17">
        <v>3924</v>
      </c>
      <c r="K14" s="17">
        <v>3924</v>
      </c>
      <c r="L14" s="17">
        <v>3924</v>
      </c>
      <c r="M14" s="17">
        <v>3924</v>
      </c>
      <c r="N14" s="17">
        <v>3924</v>
      </c>
      <c r="O14" s="18">
        <f t="shared" si="0"/>
        <v>46512</v>
      </c>
    </row>
    <row r="15" spans="1:17"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7" ht="15" hidden="1" x14ac:dyDescent="0.2">
      <c r="A16" s="12"/>
      <c r="B16" s="13" t="s">
        <v>405</v>
      </c>
      <c r="C16" s="17">
        <v>0</v>
      </c>
      <c r="D16" s="17">
        <v>0</v>
      </c>
      <c r="E16" s="17">
        <v>0</v>
      </c>
      <c r="F16" s="17">
        <v>0</v>
      </c>
      <c r="G16" s="17">
        <v>0</v>
      </c>
      <c r="H16" s="17">
        <v>0</v>
      </c>
      <c r="I16" s="17">
        <v>0</v>
      </c>
      <c r="J16" s="17">
        <v>0</v>
      </c>
      <c r="K16" s="17">
        <v>0</v>
      </c>
      <c r="L16" s="17">
        <v>0</v>
      </c>
      <c r="M16" s="17">
        <v>0</v>
      </c>
      <c r="N16" s="17">
        <v>0</v>
      </c>
      <c r="O16" s="18">
        <f t="shared" si="0"/>
        <v>0</v>
      </c>
    </row>
    <row r="17" spans="1:15" x14ac:dyDescent="0.2">
      <c r="A17" s="12"/>
      <c r="B17" s="166" t="s">
        <v>280</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16320</v>
      </c>
      <c r="D19" s="17">
        <v>16320</v>
      </c>
      <c r="E19" s="17">
        <v>16320</v>
      </c>
      <c r="F19" s="17">
        <v>16320</v>
      </c>
      <c r="G19" s="17">
        <v>16800</v>
      </c>
      <c r="H19" s="17">
        <v>16800</v>
      </c>
      <c r="I19" s="17">
        <v>16800</v>
      </c>
      <c r="J19" s="17">
        <v>16800</v>
      </c>
      <c r="K19" s="17">
        <v>16800</v>
      </c>
      <c r="L19" s="17">
        <v>16800</v>
      </c>
      <c r="M19" s="17">
        <v>16800</v>
      </c>
      <c r="N19" s="17">
        <v>16800</v>
      </c>
      <c r="O19" s="18">
        <f t="shared" si="0"/>
        <v>199680</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78"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79"/>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5" ht="15" hidden="1" customHeight="1" x14ac:dyDescent="0.2">
      <c r="A23" s="879"/>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79"/>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79"/>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79"/>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79"/>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79"/>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79"/>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79"/>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79"/>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79"/>
      <c r="B32" s="21" t="s">
        <v>142</v>
      </c>
      <c r="C32" s="17">
        <v>0</v>
      </c>
      <c r="D32" s="17">
        <v>0</v>
      </c>
      <c r="E32" s="17">
        <v>66828</v>
      </c>
      <c r="F32" s="17">
        <v>0</v>
      </c>
      <c r="G32" s="17">
        <v>0</v>
      </c>
      <c r="H32" s="17">
        <v>0</v>
      </c>
      <c r="I32" s="17">
        <v>0</v>
      </c>
      <c r="J32" s="17">
        <v>0</v>
      </c>
      <c r="K32" s="17">
        <v>0</v>
      </c>
      <c r="L32" s="17">
        <v>0</v>
      </c>
      <c r="M32" s="17">
        <v>0</v>
      </c>
      <c r="N32" s="17">
        <v>0</v>
      </c>
      <c r="O32" s="18">
        <f t="shared" si="0"/>
        <v>66828</v>
      </c>
    </row>
    <row r="33" spans="1:18" ht="15" hidden="1" customHeight="1" x14ac:dyDescent="0.2">
      <c r="A33" s="880"/>
      <c r="B33" s="19" t="s">
        <v>226</v>
      </c>
      <c r="C33" s="17">
        <v>0</v>
      </c>
      <c r="D33" s="17">
        <v>0</v>
      </c>
      <c r="E33" s="17">
        <v>0</v>
      </c>
      <c r="F33" s="17">
        <v>0</v>
      </c>
      <c r="G33" s="17">
        <v>0</v>
      </c>
      <c r="H33" s="17">
        <v>0</v>
      </c>
      <c r="I33" s="17">
        <v>0</v>
      </c>
      <c r="J33" s="17">
        <v>0</v>
      </c>
      <c r="K33" s="17">
        <v>0</v>
      </c>
      <c r="L33" s="17">
        <v>0</v>
      </c>
      <c r="M33" s="17">
        <v>0</v>
      </c>
      <c r="N33" s="17">
        <v>0</v>
      </c>
      <c r="O33" s="18">
        <f t="shared" si="0"/>
        <v>0</v>
      </c>
    </row>
    <row r="34" spans="1:18" ht="15" customHeight="1" x14ac:dyDescent="0.2">
      <c r="A34" s="865" t="s">
        <v>143</v>
      </c>
      <c r="B34" s="866"/>
      <c r="C34" s="17">
        <v>0</v>
      </c>
      <c r="D34" s="17">
        <v>0</v>
      </c>
      <c r="E34" s="17">
        <v>0</v>
      </c>
      <c r="F34" s="17">
        <v>0</v>
      </c>
      <c r="G34" s="17">
        <v>0</v>
      </c>
      <c r="H34" s="17">
        <v>0</v>
      </c>
      <c r="I34" s="17">
        <v>0</v>
      </c>
      <c r="J34" s="17">
        <v>0</v>
      </c>
      <c r="K34" s="17">
        <v>0</v>
      </c>
      <c r="L34" s="17">
        <v>0</v>
      </c>
      <c r="M34" s="17">
        <v>0</v>
      </c>
      <c r="N34" s="17">
        <v>0</v>
      </c>
      <c r="O34" s="18">
        <f t="shared" si="0"/>
        <v>0</v>
      </c>
    </row>
    <row r="35" spans="1:18" ht="15" customHeight="1" x14ac:dyDescent="0.2">
      <c r="A35" s="865" t="s">
        <v>145</v>
      </c>
      <c r="B35" s="866"/>
      <c r="C35" s="17">
        <v>0</v>
      </c>
      <c r="D35" s="17">
        <v>216</v>
      </c>
      <c r="E35" s="17">
        <v>0</v>
      </c>
      <c r="F35" s="17">
        <v>0</v>
      </c>
      <c r="G35" s="17">
        <v>0</v>
      </c>
      <c r="H35" s="17">
        <v>0</v>
      </c>
      <c r="I35" s="17">
        <v>0</v>
      </c>
      <c r="J35" s="17">
        <v>216</v>
      </c>
      <c r="K35" s="17">
        <v>0</v>
      </c>
      <c r="L35" s="17">
        <v>0</v>
      </c>
      <c r="M35" s="17">
        <v>0</v>
      </c>
      <c r="N35" s="17">
        <v>0</v>
      </c>
      <c r="O35" s="18">
        <f t="shared" si="0"/>
        <v>432</v>
      </c>
    </row>
    <row r="36" spans="1:18" ht="15" customHeight="1" x14ac:dyDescent="0.2">
      <c r="A36" s="865" t="s">
        <v>146</v>
      </c>
      <c r="B36" s="866"/>
      <c r="C36" s="17">
        <v>0</v>
      </c>
      <c r="D36" s="17">
        <v>4080</v>
      </c>
      <c r="E36" s="17">
        <v>0</v>
      </c>
      <c r="F36" s="17">
        <v>0</v>
      </c>
      <c r="G36" s="17">
        <v>0</v>
      </c>
      <c r="H36" s="17">
        <v>0</v>
      </c>
      <c r="I36" s="17">
        <v>0</v>
      </c>
      <c r="J36" s="17">
        <v>4200</v>
      </c>
      <c r="K36" s="17">
        <v>0</v>
      </c>
      <c r="L36" s="17">
        <v>0</v>
      </c>
      <c r="M36" s="17">
        <v>0</v>
      </c>
      <c r="N36" s="17">
        <v>0</v>
      </c>
      <c r="O36" s="18">
        <f t="shared" si="0"/>
        <v>8280</v>
      </c>
    </row>
    <row r="37" spans="1:18" ht="15" customHeight="1" x14ac:dyDescent="0.2">
      <c r="A37" s="22"/>
      <c r="B37" s="23" t="s">
        <v>147</v>
      </c>
      <c r="C37" s="24">
        <f t="shared" ref="C37:N37" si="1">SUM(C9:C36)</f>
        <v>91500</v>
      </c>
      <c r="D37" s="24">
        <f t="shared" si="1"/>
        <v>97228</v>
      </c>
      <c r="E37" s="24">
        <f t="shared" si="1"/>
        <v>159760</v>
      </c>
      <c r="F37" s="24">
        <f t="shared" si="1"/>
        <v>92932</v>
      </c>
      <c r="G37" s="24">
        <f t="shared" si="1"/>
        <v>95552</v>
      </c>
      <c r="H37" s="24">
        <f t="shared" si="1"/>
        <v>95552</v>
      </c>
      <c r="I37" s="24">
        <f t="shared" si="1"/>
        <v>95552</v>
      </c>
      <c r="J37" s="24">
        <f t="shared" si="1"/>
        <v>108348</v>
      </c>
      <c r="K37" s="24">
        <f t="shared" si="1"/>
        <v>97024</v>
      </c>
      <c r="L37" s="24">
        <f t="shared" si="1"/>
        <v>97024</v>
      </c>
      <c r="M37" s="24">
        <f t="shared" si="1"/>
        <v>97024</v>
      </c>
      <c r="N37" s="24">
        <f t="shared" si="1"/>
        <v>97024</v>
      </c>
      <c r="O37" s="25">
        <f>SUM(C37:N37)</f>
        <v>1224520</v>
      </c>
    </row>
    <row r="38" spans="1:18" ht="15" customHeight="1" x14ac:dyDescent="0.2">
      <c r="A38" s="853" t="s">
        <v>148</v>
      </c>
      <c r="B38" s="27" t="s">
        <v>149</v>
      </c>
      <c r="C38" s="147">
        <v>7700</v>
      </c>
      <c r="D38" s="147">
        <v>7700</v>
      </c>
      <c r="E38" s="147">
        <v>14382</v>
      </c>
      <c r="F38" s="147">
        <v>7700</v>
      </c>
      <c r="G38" s="147">
        <v>7700</v>
      </c>
      <c r="H38" s="147">
        <v>7700</v>
      </c>
      <c r="I38" s="147">
        <v>7700</v>
      </c>
      <c r="J38" s="147">
        <v>7500</v>
      </c>
      <c r="K38" s="147">
        <v>0</v>
      </c>
      <c r="L38" s="147">
        <v>0</v>
      </c>
      <c r="M38" s="147">
        <v>0</v>
      </c>
      <c r="N38" s="147">
        <v>0</v>
      </c>
      <c r="O38" s="18">
        <f>SUM(C38:N38)</f>
        <v>68082</v>
      </c>
      <c r="P38" s="29"/>
    </row>
    <row r="39" spans="1:18" ht="15" x14ac:dyDescent="0.2">
      <c r="A39" s="854"/>
      <c r="B39" s="27" t="s">
        <v>150</v>
      </c>
      <c r="C39" s="147">
        <v>0</v>
      </c>
      <c r="D39" s="147">
        <v>0</v>
      </c>
      <c r="E39" s="147">
        <v>0</v>
      </c>
      <c r="F39" s="147">
        <v>0</v>
      </c>
      <c r="G39" s="147">
        <v>0</v>
      </c>
      <c r="H39" s="147">
        <v>0</v>
      </c>
      <c r="I39" s="147">
        <v>0</v>
      </c>
      <c r="J39" s="147">
        <v>0</v>
      </c>
      <c r="K39" s="147">
        <v>0</v>
      </c>
      <c r="L39" s="147">
        <v>0</v>
      </c>
      <c r="M39" s="147">
        <v>0</v>
      </c>
      <c r="N39" s="147">
        <v>0</v>
      </c>
      <c r="O39" s="18">
        <f>SUM(C39:N39)</f>
        <v>0</v>
      </c>
      <c r="R39" s="1"/>
    </row>
    <row r="40" spans="1:18" ht="15" x14ac:dyDescent="0.2">
      <c r="A40" s="854"/>
      <c r="B40" s="27" t="s">
        <v>151</v>
      </c>
      <c r="C40" s="147">
        <v>60</v>
      </c>
      <c r="D40" s="147">
        <v>60</v>
      </c>
      <c r="E40" s="147">
        <v>60</v>
      </c>
      <c r="F40" s="147">
        <v>60</v>
      </c>
      <c r="G40" s="147">
        <v>60</v>
      </c>
      <c r="H40" s="147">
        <v>60</v>
      </c>
      <c r="I40" s="147">
        <v>60</v>
      </c>
      <c r="J40" s="147">
        <v>60</v>
      </c>
      <c r="K40" s="147">
        <v>60</v>
      </c>
      <c r="L40" s="147">
        <v>60</v>
      </c>
      <c r="M40" s="147">
        <v>60</v>
      </c>
      <c r="N40" s="147">
        <v>60</v>
      </c>
      <c r="O40" s="18">
        <f t="shared" ref="O40:O50" si="2">SUM(C40:N40)</f>
        <v>720</v>
      </c>
    </row>
    <row r="41" spans="1:18" ht="15" x14ac:dyDescent="0.2">
      <c r="A41" s="854"/>
      <c r="B41" s="27" t="s">
        <v>152</v>
      </c>
      <c r="C41" s="147">
        <v>0</v>
      </c>
      <c r="D41" s="147">
        <v>0</v>
      </c>
      <c r="E41" s="147">
        <v>0</v>
      </c>
      <c r="F41" s="147">
        <v>0</v>
      </c>
      <c r="G41" s="147">
        <v>0</v>
      </c>
      <c r="H41" s="147">
        <v>0</v>
      </c>
      <c r="I41" s="147">
        <v>0</v>
      </c>
      <c r="J41" s="147">
        <v>0</v>
      </c>
      <c r="K41" s="147">
        <v>0</v>
      </c>
      <c r="L41" s="147">
        <v>0</v>
      </c>
      <c r="M41" s="147">
        <v>0</v>
      </c>
      <c r="N41" s="147">
        <v>0</v>
      </c>
      <c r="O41" s="18">
        <f t="shared" si="2"/>
        <v>0</v>
      </c>
    </row>
    <row r="42" spans="1:18" ht="15" x14ac:dyDescent="0.2">
      <c r="A42" s="854"/>
      <c r="B42" s="27" t="s">
        <v>153</v>
      </c>
      <c r="C42" s="147">
        <v>650</v>
      </c>
      <c r="D42" s="147">
        <v>650</v>
      </c>
      <c r="E42" s="147">
        <v>650</v>
      </c>
      <c r="F42" s="147">
        <v>650</v>
      </c>
      <c r="G42" s="147">
        <v>650</v>
      </c>
      <c r="H42" s="147">
        <v>650</v>
      </c>
      <c r="I42" s="147">
        <v>650</v>
      </c>
      <c r="J42" s="147">
        <v>650</v>
      </c>
      <c r="K42" s="147">
        <v>650</v>
      </c>
      <c r="L42" s="147">
        <v>650</v>
      </c>
      <c r="M42" s="147">
        <v>650</v>
      </c>
      <c r="N42" s="147">
        <v>650</v>
      </c>
      <c r="O42" s="18">
        <f t="shared" si="2"/>
        <v>7800</v>
      </c>
    </row>
    <row r="43" spans="1:18" ht="15" x14ac:dyDescent="0.2">
      <c r="A43" s="854"/>
      <c r="B43" s="27" t="s">
        <v>154</v>
      </c>
      <c r="C43" s="147">
        <v>10000</v>
      </c>
      <c r="D43" s="147">
        <v>10000</v>
      </c>
      <c r="E43" s="147">
        <v>10000</v>
      </c>
      <c r="F43" s="147">
        <v>10000</v>
      </c>
      <c r="G43" s="147">
        <v>10000</v>
      </c>
      <c r="H43" s="147">
        <v>10000</v>
      </c>
      <c r="I43" s="147">
        <v>10000</v>
      </c>
      <c r="J43" s="147">
        <v>10000</v>
      </c>
      <c r="K43" s="147">
        <v>10000</v>
      </c>
      <c r="L43" s="147">
        <v>10000</v>
      </c>
      <c r="M43" s="147">
        <v>10000</v>
      </c>
      <c r="N43" s="147">
        <v>10000</v>
      </c>
      <c r="O43" s="18">
        <f t="shared" si="2"/>
        <v>120000</v>
      </c>
    </row>
    <row r="44" spans="1:18" ht="15" x14ac:dyDescent="0.2">
      <c r="A44" s="854"/>
      <c r="B44" s="27" t="s">
        <v>155</v>
      </c>
      <c r="C44" s="147">
        <v>200</v>
      </c>
      <c r="D44" s="147">
        <v>200</v>
      </c>
      <c r="E44" s="147">
        <v>200</v>
      </c>
      <c r="F44" s="147">
        <v>200</v>
      </c>
      <c r="G44" s="147">
        <v>200</v>
      </c>
      <c r="H44" s="147">
        <v>200</v>
      </c>
      <c r="I44" s="147">
        <v>200</v>
      </c>
      <c r="J44" s="147">
        <v>200</v>
      </c>
      <c r="K44" s="147">
        <v>200</v>
      </c>
      <c r="L44" s="147">
        <v>200</v>
      </c>
      <c r="M44" s="147">
        <v>200</v>
      </c>
      <c r="N44" s="147">
        <v>300</v>
      </c>
      <c r="O44" s="18">
        <f t="shared" si="2"/>
        <v>2500</v>
      </c>
    </row>
    <row r="45" spans="1:18" ht="15" x14ac:dyDescent="0.2">
      <c r="A45" s="854"/>
      <c r="B45" s="27" t="s">
        <v>156</v>
      </c>
      <c r="C45" s="147">
        <v>0</v>
      </c>
      <c r="D45" s="147">
        <v>0</v>
      </c>
      <c r="E45" s="147">
        <v>0</v>
      </c>
      <c r="F45" s="147">
        <v>0</v>
      </c>
      <c r="G45" s="147">
        <v>0</v>
      </c>
      <c r="H45" s="147">
        <v>0</v>
      </c>
      <c r="I45" s="147">
        <v>0</v>
      </c>
      <c r="J45" s="147">
        <v>0</v>
      </c>
      <c r="K45" s="147">
        <v>0</v>
      </c>
      <c r="L45" s="147">
        <v>0</v>
      </c>
      <c r="M45" s="147">
        <v>0</v>
      </c>
      <c r="N45" s="147">
        <v>0</v>
      </c>
      <c r="O45" s="18">
        <f t="shared" si="2"/>
        <v>0</v>
      </c>
    </row>
    <row r="46" spans="1:18" ht="15" x14ac:dyDescent="0.2">
      <c r="A46" s="854"/>
      <c r="B46" s="27" t="s">
        <v>157</v>
      </c>
      <c r="C46" s="147">
        <v>4000</v>
      </c>
      <c r="D46" s="147">
        <v>4000</v>
      </c>
      <c r="E46" s="147">
        <v>4000</v>
      </c>
      <c r="F46" s="147">
        <v>4000</v>
      </c>
      <c r="G46" s="147">
        <v>4000</v>
      </c>
      <c r="H46" s="147">
        <v>4000</v>
      </c>
      <c r="I46" s="147">
        <v>4000</v>
      </c>
      <c r="J46" s="147">
        <v>4000</v>
      </c>
      <c r="K46" s="147">
        <v>4000</v>
      </c>
      <c r="L46" s="147">
        <v>4000</v>
      </c>
      <c r="M46" s="147">
        <v>4000</v>
      </c>
      <c r="N46" s="147">
        <v>4000</v>
      </c>
      <c r="O46" s="18">
        <f t="shared" si="2"/>
        <v>48000</v>
      </c>
    </row>
    <row r="47" spans="1:18" ht="28.5" customHeight="1" x14ac:dyDescent="0.2">
      <c r="A47" s="855"/>
      <c r="B47" s="30" t="s">
        <v>158</v>
      </c>
      <c r="C47" s="147">
        <v>0</v>
      </c>
      <c r="D47" s="147">
        <v>0</v>
      </c>
      <c r="E47" s="147">
        <v>0</v>
      </c>
      <c r="F47" s="147">
        <v>0</v>
      </c>
      <c r="G47" s="147">
        <v>0</v>
      </c>
      <c r="H47" s="147">
        <v>0</v>
      </c>
      <c r="I47" s="147">
        <v>0</v>
      </c>
      <c r="J47" s="147">
        <v>0</v>
      </c>
      <c r="K47" s="147">
        <v>0</v>
      </c>
      <c r="L47" s="147">
        <v>0</v>
      </c>
      <c r="M47" s="147">
        <v>0</v>
      </c>
      <c r="N47" s="147">
        <v>0</v>
      </c>
      <c r="O47" s="31">
        <f t="shared" si="2"/>
        <v>0</v>
      </c>
    </row>
    <row r="48" spans="1:18" ht="15" x14ac:dyDescent="0.2">
      <c r="A48" s="856"/>
      <c r="B48" s="127" t="s">
        <v>479</v>
      </c>
      <c r="C48" s="147">
        <v>0</v>
      </c>
      <c r="D48" s="147">
        <v>0</v>
      </c>
      <c r="E48" s="147">
        <v>0</v>
      </c>
      <c r="F48" s="147">
        <v>0</v>
      </c>
      <c r="G48" s="147">
        <v>0</v>
      </c>
      <c r="H48" s="147">
        <v>0</v>
      </c>
      <c r="I48" s="147">
        <v>0</v>
      </c>
      <c r="J48" s="147">
        <v>0</v>
      </c>
      <c r="K48" s="147">
        <v>0</v>
      </c>
      <c r="L48" s="147">
        <v>0</v>
      </c>
      <c r="M48" s="147">
        <v>0</v>
      </c>
      <c r="N48" s="147">
        <v>0</v>
      </c>
      <c r="O48" s="31">
        <f t="shared" si="2"/>
        <v>0</v>
      </c>
    </row>
    <row r="49" spans="1:19" ht="15" x14ac:dyDescent="0.2">
      <c r="A49" s="857" t="s">
        <v>160</v>
      </c>
      <c r="B49" s="858"/>
      <c r="C49" s="33">
        <f t="shared" ref="C49:N49" si="3">SUM(C38:C48)</f>
        <v>22610</v>
      </c>
      <c r="D49" s="33">
        <f t="shared" si="3"/>
        <v>22610</v>
      </c>
      <c r="E49" s="33">
        <f t="shared" si="3"/>
        <v>29292</v>
      </c>
      <c r="F49" s="33">
        <f t="shared" si="3"/>
        <v>22610</v>
      </c>
      <c r="G49" s="33">
        <f t="shared" si="3"/>
        <v>22610</v>
      </c>
      <c r="H49" s="33">
        <f t="shared" si="3"/>
        <v>22610</v>
      </c>
      <c r="I49" s="33">
        <f t="shared" si="3"/>
        <v>22610</v>
      </c>
      <c r="J49" s="33">
        <f t="shared" si="3"/>
        <v>22410</v>
      </c>
      <c r="K49" s="33">
        <f t="shared" si="3"/>
        <v>14910</v>
      </c>
      <c r="L49" s="33">
        <f t="shared" si="3"/>
        <v>14910</v>
      </c>
      <c r="M49" s="33">
        <f t="shared" si="3"/>
        <v>14910</v>
      </c>
      <c r="N49" s="33">
        <f t="shared" si="3"/>
        <v>15010</v>
      </c>
      <c r="O49" s="34">
        <f t="shared" si="2"/>
        <v>247102</v>
      </c>
    </row>
    <row r="50" spans="1:19" ht="15.75" thickBot="1" x14ac:dyDescent="0.25">
      <c r="A50" s="859" t="s">
        <v>161</v>
      </c>
      <c r="B50" s="860"/>
      <c r="C50" s="35">
        <f t="shared" ref="C50:N50" si="4">C37-C49</f>
        <v>68890</v>
      </c>
      <c r="D50" s="35">
        <f t="shared" si="4"/>
        <v>74618</v>
      </c>
      <c r="E50" s="35">
        <f t="shared" si="4"/>
        <v>130468</v>
      </c>
      <c r="F50" s="35">
        <f t="shared" si="4"/>
        <v>70322</v>
      </c>
      <c r="G50" s="35">
        <f t="shared" si="4"/>
        <v>72942</v>
      </c>
      <c r="H50" s="35">
        <f t="shared" si="4"/>
        <v>72942</v>
      </c>
      <c r="I50" s="35">
        <f t="shared" si="4"/>
        <v>72942</v>
      </c>
      <c r="J50" s="35">
        <f t="shared" si="4"/>
        <v>85938</v>
      </c>
      <c r="K50" s="35">
        <f t="shared" si="4"/>
        <v>82114</v>
      </c>
      <c r="L50" s="35">
        <f t="shared" si="4"/>
        <v>82114</v>
      </c>
      <c r="M50" s="35">
        <f t="shared" si="4"/>
        <v>82114</v>
      </c>
      <c r="N50" s="35">
        <f t="shared" si="4"/>
        <v>82014</v>
      </c>
      <c r="O50" s="36">
        <f t="shared" si="2"/>
        <v>977418</v>
      </c>
    </row>
    <row r="51" spans="1:19" x14ac:dyDescent="0.2">
      <c r="J51" s="16">
        <f>+J37-SUM(J20:J36)</f>
        <v>97024</v>
      </c>
      <c r="Q51" s="38"/>
    </row>
    <row r="52" spans="1:19" ht="13.5" thickBot="1" x14ac:dyDescent="0.25">
      <c r="J52" s="38">
        <f>+J51-J49</f>
        <v>74614</v>
      </c>
    </row>
    <row r="53" spans="1:19" ht="13.5" thickBot="1" x14ac:dyDescent="0.25">
      <c r="B53" s="789" t="s">
        <v>162</v>
      </c>
      <c r="C53" s="861"/>
      <c r="D53" s="861"/>
      <c r="E53" s="861"/>
      <c r="F53" s="862"/>
      <c r="G53" s="863">
        <f>O37</f>
        <v>1224520</v>
      </c>
      <c r="H53" s="864"/>
    </row>
    <row r="54" spans="1:19" ht="13.5" thickBot="1" x14ac:dyDescent="0.25"/>
    <row r="55" spans="1:19" x14ac:dyDescent="0.2">
      <c r="B55" s="830" t="s">
        <v>163</v>
      </c>
      <c r="C55" s="833" t="s">
        <v>164</v>
      </c>
      <c r="D55" s="836" t="s">
        <v>229</v>
      </c>
      <c r="E55" s="837"/>
      <c r="F55" s="838"/>
      <c r="G55" s="839">
        <v>40000</v>
      </c>
      <c r="H55" s="840"/>
    </row>
    <row r="56" spans="1:19" x14ac:dyDescent="0.2">
      <c r="B56" s="831"/>
      <c r="C56" s="834"/>
      <c r="D56" s="841" t="s">
        <v>166</v>
      </c>
      <c r="E56" s="842"/>
      <c r="F56" s="843"/>
      <c r="G56" s="844">
        <f>+O44</f>
        <v>2500</v>
      </c>
      <c r="H56" s="845"/>
      <c r="I56" s="39"/>
      <c r="J56" s="846"/>
      <c r="K56" s="846"/>
      <c r="L56" s="846"/>
      <c r="M56" s="847"/>
      <c r="N56" s="847"/>
      <c r="O56" s="847"/>
    </row>
    <row r="57" spans="1:19" ht="13.5" thickBot="1" x14ac:dyDescent="0.25">
      <c r="B57" s="832"/>
      <c r="C57" s="835"/>
      <c r="D57" s="848" t="s">
        <v>243</v>
      </c>
      <c r="E57" s="849"/>
      <c r="F57" s="850"/>
      <c r="G57" s="851">
        <f>IF(O18&gt;15000,15000,+O18)</f>
        <v>0</v>
      </c>
      <c r="H57" s="852"/>
      <c r="J57" s="47"/>
      <c r="K57" s="47"/>
      <c r="L57" s="47"/>
      <c r="M57" s="47"/>
      <c r="N57" s="47"/>
      <c r="O57" s="47"/>
    </row>
    <row r="58" spans="1:19" ht="13.5" thickBot="1" x14ac:dyDescent="0.25">
      <c r="B58" s="48"/>
      <c r="J58" s="47"/>
      <c r="K58" s="47"/>
      <c r="L58" s="47"/>
      <c r="M58" s="47"/>
      <c r="N58" s="47"/>
      <c r="O58" s="47"/>
    </row>
    <row r="59" spans="1:19" ht="13.5" thickBot="1" x14ac:dyDescent="0.25">
      <c r="B59" s="789" t="s">
        <v>168</v>
      </c>
      <c r="C59" s="790"/>
      <c r="D59" s="790"/>
      <c r="E59" s="790"/>
      <c r="F59" s="791"/>
      <c r="G59" s="825">
        <f>+G53-SUM(G55:H57)</f>
        <v>1182020</v>
      </c>
      <c r="H59" s="826"/>
      <c r="J59" s="827" t="s">
        <v>169</v>
      </c>
      <c r="K59" s="828"/>
      <c r="L59" s="828"/>
      <c r="M59" s="828"/>
      <c r="N59" s="828"/>
      <c r="O59" s="829"/>
    </row>
    <row r="60" spans="1:19" ht="13.5" thickBot="1" x14ac:dyDescent="0.25">
      <c r="B60" s="49"/>
      <c r="C60" s="50"/>
      <c r="D60" s="50"/>
      <c r="E60" s="50"/>
      <c r="F60" s="50"/>
      <c r="G60" s="45"/>
      <c r="H60" s="50"/>
      <c r="J60" s="129"/>
      <c r="K60" s="130"/>
      <c r="L60" s="130"/>
      <c r="M60" s="130"/>
      <c r="N60" s="130"/>
      <c r="O60" s="131"/>
    </row>
    <row r="61" spans="1:19" ht="13.5" thickBot="1" x14ac:dyDescent="0.25">
      <c r="B61" s="789" t="s">
        <v>170</v>
      </c>
      <c r="C61" s="790"/>
      <c r="D61" s="790"/>
      <c r="E61" s="790"/>
      <c r="F61" s="791"/>
      <c r="G61" s="805"/>
      <c r="H61" s="791"/>
      <c r="J61" s="129"/>
      <c r="K61" s="130"/>
      <c r="L61" s="130"/>
      <c r="M61" s="130"/>
      <c r="N61" s="130"/>
      <c r="O61" s="131"/>
    </row>
    <row r="62" spans="1:19" ht="12.75" customHeight="1" x14ac:dyDescent="0.2">
      <c r="B62" s="57" t="s">
        <v>171</v>
      </c>
      <c r="C62" s="806" t="s">
        <v>172</v>
      </c>
      <c r="D62" s="807"/>
      <c r="E62" s="807"/>
      <c r="F62" s="808"/>
      <c r="G62" s="809">
        <v>355773</v>
      </c>
      <c r="H62" s="809"/>
      <c r="I62" s="58"/>
      <c r="J62" s="810" t="s">
        <v>173</v>
      </c>
      <c r="K62" s="811"/>
      <c r="L62" s="811"/>
      <c r="M62" s="811"/>
      <c r="N62" s="811"/>
      <c r="O62" s="812"/>
      <c r="Q62" s="59"/>
      <c r="R62" s="59"/>
      <c r="S62" s="59"/>
    </row>
    <row r="63" spans="1:19" ht="13.5" thickBot="1" x14ac:dyDescent="0.25">
      <c r="D63" s="37"/>
      <c r="I63" s="58"/>
      <c r="J63" s="60" t="s">
        <v>678</v>
      </c>
      <c r="K63" s="132"/>
      <c r="L63" s="132"/>
      <c r="M63" s="133"/>
      <c r="N63" s="133"/>
      <c r="O63" s="134"/>
      <c r="Q63" s="59"/>
      <c r="R63" s="59"/>
      <c r="S63" s="59"/>
    </row>
    <row r="64" spans="1:19" ht="13.5" thickBot="1" x14ac:dyDescent="0.25">
      <c r="B64" s="789" t="s">
        <v>175</v>
      </c>
      <c r="C64" s="790"/>
      <c r="D64" s="790"/>
      <c r="E64" s="790"/>
      <c r="F64" s="791"/>
      <c r="G64" s="805">
        <f>+G59-G62</f>
        <v>826247</v>
      </c>
      <c r="H64" s="791"/>
      <c r="I64" s="63"/>
      <c r="J64" s="75" t="s">
        <v>679</v>
      </c>
      <c r="K64" s="39"/>
      <c r="L64" s="39"/>
      <c r="M64" s="39"/>
      <c r="N64" s="39"/>
      <c r="O64" s="65"/>
      <c r="Q64" s="59"/>
      <c r="R64" s="59"/>
      <c r="S64" s="59"/>
    </row>
    <row r="65" spans="2:19" ht="12.75" customHeight="1" x14ac:dyDescent="0.2">
      <c r="B65" s="48"/>
      <c r="C65" s="48"/>
      <c r="I65" s="63"/>
      <c r="J65" s="64"/>
      <c r="K65" s="39"/>
      <c r="L65" s="39"/>
      <c r="M65" s="39"/>
      <c r="N65" s="39"/>
      <c r="O65" s="65"/>
      <c r="Q65" s="59"/>
      <c r="R65" s="59"/>
      <c r="S65" s="59"/>
    </row>
    <row r="66" spans="2:19" x14ac:dyDescent="0.2">
      <c r="B66" s="66" t="s">
        <v>176</v>
      </c>
      <c r="C66" s="48"/>
      <c r="I66" s="63"/>
      <c r="J66" s="67"/>
      <c r="K66" s="68"/>
      <c r="L66" s="68"/>
      <c r="M66" s="68"/>
      <c r="N66" s="68"/>
      <c r="O66" s="69"/>
      <c r="Q66" s="59"/>
      <c r="R66" s="59"/>
      <c r="S66" s="59"/>
    </row>
    <row r="67" spans="2:19" ht="26.25" customHeight="1" thickBot="1" x14ac:dyDescent="0.25">
      <c r="B67" s="66"/>
      <c r="C67" s="48"/>
      <c r="G67" s="70" t="s">
        <v>177</v>
      </c>
      <c r="H67" s="70" t="s">
        <v>178</v>
      </c>
      <c r="I67" s="63"/>
      <c r="J67" s="810" t="s">
        <v>179</v>
      </c>
      <c r="K67" s="811"/>
      <c r="L67" s="71"/>
      <c r="M67" s="71"/>
      <c r="N67" s="71"/>
      <c r="O67" s="158" t="s">
        <v>267</v>
      </c>
      <c r="Q67" s="59"/>
      <c r="R67" s="59"/>
      <c r="S67" s="59"/>
    </row>
    <row r="68" spans="2:19" ht="12.75" customHeight="1" x14ac:dyDescent="0.2">
      <c r="B68" s="802" t="s">
        <v>180</v>
      </c>
      <c r="C68" s="821" t="s">
        <v>181</v>
      </c>
      <c r="D68" s="823" t="s">
        <v>182</v>
      </c>
      <c r="E68" s="824"/>
      <c r="F68" s="824"/>
      <c r="G68" s="73">
        <f>+O43</f>
        <v>120000</v>
      </c>
      <c r="H68" s="74">
        <f t="shared" ref="H68:H76" si="5">+G68</f>
        <v>120000</v>
      </c>
      <c r="I68" s="63"/>
      <c r="J68" s="181"/>
      <c r="K68" s="58"/>
      <c r="L68" s="58"/>
      <c r="M68" s="58" t="s">
        <v>232</v>
      </c>
      <c r="N68" s="58" t="s">
        <v>670</v>
      </c>
      <c r="O68" s="76">
        <v>0</v>
      </c>
      <c r="Q68" s="59"/>
      <c r="R68" s="59"/>
      <c r="S68" s="59"/>
    </row>
    <row r="69" spans="2:19" ht="12.75" customHeight="1" x14ac:dyDescent="0.2">
      <c r="B69" s="803"/>
      <c r="C69" s="822"/>
      <c r="D69" s="782" t="s">
        <v>184</v>
      </c>
      <c r="E69" s="783"/>
      <c r="F69" s="783"/>
      <c r="G69" s="77">
        <v>6144</v>
      </c>
      <c r="H69" s="78">
        <f t="shared" si="5"/>
        <v>6144</v>
      </c>
      <c r="I69" s="63"/>
      <c r="J69" s="75"/>
      <c r="K69" s="58"/>
      <c r="L69" s="58"/>
      <c r="M69" s="183"/>
      <c r="N69" s="68"/>
      <c r="O69" s="136"/>
      <c r="Q69" s="59"/>
      <c r="R69" s="59"/>
      <c r="S69" s="59"/>
    </row>
    <row r="70" spans="2:19" ht="12.75" customHeight="1" x14ac:dyDescent="0.2">
      <c r="B70" s="803"/>
      <c r="C70" s="822"/>
      <c r="D70" s="819" t="s">
        <v>185</v>
      </c>
      <c r="E70" s="820"/>
      <c r="F70" s="820"/>
      <c r="G70" s="80">
        <f>O40</f>
        <v>720</v>
      </c>
      <c r="H70" s="78">
        <f t="shared" si="5"/>
        <v>720</v>
      </c>
      <c r="I70" s="63"/>
      <c r="J70" s="75"/>
      <c r="K70" s="68"/>
      <c r="L70" s="68"/>
      <c r="M70" s="68"/>
      <c r="N70" s="68"/>
      <c r="O70" s="69"/>
    </row>
    <row r="71" spans="2:19" x14ac:dyDescent="0.2">
      <c r="B71" s="803"/>
      <c r="C71" s="822"/>
      <c r="D71" s="782" t="s">
        <v>186</v>
      </c>
      <c r="E71" s="783"/>
      <c r="F71" s="783"/>
      <c r="G71" s="81">
        <v>0</v>
      </c>
      <c r="H71" s="78">
        <f t="shared" si="5"/>
        <v>0</v>
      </c>
      <c r="I71" s="63"/>
      <c r="J71" s="181"/>
      <c r="K71" s="58"/>
      <c r="L71" s="58"/>
      <c r="M71" s="183"/>
      <c r="N71" s="58"/>
      <c r="O71" s="76"/>
    </row>
    <row r="72" spans="2:19" ht="12.75" customHeight="1" x14ac:dyDescent="0.2">
      <c r="B72" s="803"/>
      <c r="C72" s="822"/>
      <c r="D72" s="784" t="s">
        <v>188</v>
      </c>
      <c r="E72" s="783"/>
      <c r="F72" s="783"/>
      <c r="G72" s="80">
        <v>0</v>
      </c>
      <c r="H72" s="78">
        <f t="shared" si="5"/>
        <v>0</v>
      </c>
      <c r="I72" s="63"/>
      <c r="J72" s="64"/>
      <c r="K72" s="50"/>
      <c r="L72" s="50"/>
      <c r="M72" s="183"/>
      <c r="N72" s="50"/>
      <c r="O72" s="83"/>
    </row>
    <row r="73" spans="2:19" ht="14.25" customHeight="1" x14ac:dyDescent="0.2">
      <c r="B73" s="803"/>
      <c r="C73" s="822"/>
      <c r="D73" s="782" t="s">
        <v>190</v>
      </c>
      <c r="E73" s="783"/>
      <c r="F73" s="783"/>
      <c r="G73" s="84">
        <v>0</v>
      </c>
      <c r="H73" s="78">
        <f t="shared" si="5"/>
        <v>0</v>
      </c>
      <c r="I73" s="63"/>
      <c r="J73" s="64"/>
      <c r="K73" s="39"/>
      <c r="L73" s="39"/>
      <c r="M73" s="39"/>
      <c r="N73" s="39"/>
      <c r="O73" s="65"/>
    </row>
    <row r="74" spans="2:19" x14ac:dyDescent="0.2">
      <c r="B74" s="803"/>
      <c r="C74" s="822"/>
      <c r="D74" s="782" t="s">
        <v>191</v>
      </c>
      <c r="E74" s="783"/>
      <c r="F74" s="783"/>
      <c r="G74" s="81">
        <v>0</v>
      </c>
      <c r="H74" s="78">
        <f t="shared" si="5"/>
        <v>0</v>
      </c>
      <c r="I74" s="58"/>
      <c r="J74" s="82" t="s">
        <v>187</v>
      </c>
      <c r="K74" s="71"/>
      <c r="L74" s="71"/>
      <c r="M74" s="71"/>
      <c r="N74" s="71"/>
      <c r="O74" s="72"/>
    </row>
    <row r="75" spans="2:19" x14ac:dyDescent="0.2">
      <c r="B75" s="803"/>
      <c r="C75" s="88" t="s">
        <v>192</v>
      </c>
      <c r="D75" s="813" t="s">
        <v>193</v>
      </c>
      <c r="E75" s="814"/>
      <c r="F75" s="814"/>
      <c r="G75" s="80">
        <v>0</v>
      </c>
      <c r="H75" s="78">
        <f t="shared" si="5"/>
        <v>0</v>
      </c>
      <c r="I75" s="58"/>
      <c r="J75" s="75" t="s">
        <v>189</v>
      </c>
      <c r="K75" s="50"/>
      <c r="L75" s="50"/>
      <c r="M75" s="50"/>
      <c r="N75" s="50"/>
      <c r="O75" s="83">
        <f>O42</f>
        <v>7800</v>
      </c>
    </row>
    <row r="76" spans="2:19" ht="13.5" customHeight="1" thickBot="1" x14ac:dyDescent="0.25">
      <c r="B76" s="803"/>
      <c r="C76" s="88" t="s">
        <v>194</v>
      </c>
      <c r="D76" s="815" t="s">
        <v>195</v>
      </c>
      <c r="E76" s="815"/>
      <c r="F76" s="815"/>
      <c r="G76" s="89">
        <v>0</v>
      </c>
      <c r="H76" s="90">
        <f t="shared" si="5"/>
        <v>0</v>
      </c>
      <c r="I76" s="63"/>
      <c r="J76" s="67"/>
      <c r="K76" s="68"/>
      <c r="L76" s="68"/>
      <c r="M76" s="91"/>
      <c r="N76" s="91"/>
      <c r="O76" s="92"/>
    </row>
    <row r="77" spans="2:19" ht="13.5" thickBot="1" x14ac:dyDescent="0.25">
      <c r="B77" s="803"/>
      <c r="C77" s="93"/>
      <c r="D77" s="94"/>
      <c r="E77" s="816" t="s">
        <v>117</v>
      </c>
      <c r="F77" s="817"/>
      <c r="G77" s="95">
        <f>SUM(G68:G76)</f>
        <v>126864</v>
      </c>
      <c r="H77" s="96">
        <f>IF(SUM(G68:G74)&lt;150000,SUM(G68:G74),150000)+IF(+G75&lt;20000,+G75,20000)</f>
        <v>126864</v>
      </c>
      <c r="I77" s="63"/>
      <c r="J77" s="140"/>
      <c r="K77" s="141"/>
      <c r="L77" s="141"/>
      <c r="M77" s="142"/>
      <c r="N77" s="142"/>
      <c r="O77" s="143"/>
    </row>
    <row r="78" spans="2:19" ht="12.75" customHeight="1" x14ac:dyDescent="0.2">
      <c r="B78" s="803"/>
      <c r="C78" s="100" t="s">
        <v>196</v>
      </c>
      <c r="D78" s="782" t="s">
        <v>187</v>
      </c>
      <c r="E78" s="783"/>
      <c r="F78" s="818"/>
      <c r="G78" s="73">
        <f>+O42</f>
        <v>7800</v>
      </c>
      <c r="H78" s="101">
        <f>+IF(+G78&lt;25000,+G78,25000)</f>
        <v>7800</v>
      </c>
      <c r="I78" s="87"/>
    </row>
    <row r="79" spans="2:19" x14ac:dyDescent="0.2">
      <c r="B79" s="803"/>
      <c r="C79" s="100" t="s">
        <v>197</v>
      </c>
      <c r="D79" s="784" t="s">
        <v>198</v>
      </c>
      <c r="E79" s="785"/>
      <c r="F79" s="786"/>
      <c r="G79" s="102"/>
      <c r="H79" s="103">
        <f>+IF(+G79&lt;40000,+G79,40000)</f>
        <v>0</v>
      </c>
      <c r="I79" s="63"/>
    </row>
    <row r="80" spans="2:19" x14ac:dyDescent="0.2">
      <c r="B80" s="803"/>
      <c r="C80" s="100" t="s">
        <v>199</v>
      </c>
      <c r="D80" s="784" t="s">
        <v>200</v>
      </c>
      <c r="E80" s="785"/>
      <c r="F80" s="786"/>
      <c r="G80" s="81"/>
      <c r="H80" s="104">
        <v>0</v>
      </c>
      <c r="I80" s="63"/>
      <c r="J80" s="106"/>
    </row>
    <row r="81" spans="2:12" x14ac:dyDescent="0.2">
      <c r="B81" s="803"/>
      <c r="C81" s="100" t="s">
        <v>201</v>
      </c>
      <c r="D81" s="784" t="s">
        <v>202</v>
      </c>
      <c r="E81" s="785"/>
      <c r="F81" s="786"/>
      <c r="G81" s="81"/>
      <c r="H81" s="104">
        <v>0</v>
      </c>
      <c r="I81" s="63"/>
    </row>
    <row r="82" spans="2:12" ht="13.5" thickBot="1" x14ac:dyDescent="0.25">
      <c r="B82" s="804"/>
      <c r="C82" s="100" t="s">
        <v>203</v>
      </c>
      <c r="D82" s="784" t="s">
        <v>204</v>
      </c>
      <c r="E82" s="785"/>
      <c r="F82" s="786"/>
      <c r="G82" s="102"/>
      <c r="H82" s="103">
        <f>+IF(+G82&lt;100000,+G82,10000)</f>
        <v>0</v>
      </c>
      <c r="I82" s="63"/>
    </row>
    <row r="83" spans="2:12" ht="13.5" thickBot="1" x14ac:dyDescent="0.25">
      <c r="B83" s="787" t="s">
        <v>205</v>
      </c>
      <c r="C83" s="788"/>
      <c r="D83" s="788"/>
      <c r="E83" s="788"/>
      <c r="F83" s="788"/>
      <c r="G83" s="107">
        <f>SUM(G78:G82)</f>
        <v>7800</v>
      </c>
      <c r="H83" s="108">
        <f>SUM(H77:H82)</f>
        <v>134664</v>
      </c>
    </row>
    <row r="84" spans="2:12" ht="13.5" thickBot="1" x14ac:dyDescent="0.25"/>
    <row r="85" spans="2:12" ht="13.5" thickBot="1" x14ac:dyDescent="0.25">
      <c r="B85" s="789" t="s">
        <v>206</v>
      </c>
      <c r="C85" s="790"/>
      <c r="D85" s="790"/>
      <c r="E85" s="790"/>
      <c r="F85" s="791"/>
      <c r="G85" s="792">
        <f>+G64-H83</f>
        <v>691583</v>
      </c>
      <c r="H85" s="791"/>
      <c r="J85" s="109">
        <f>C37+D37+E37+F37</f>
        <v>441420</v>
      </c>
      <c r="K85" s="16" t="s">
        <v>235</v>
      </c>
    </row>
    <row r="86" spans="2:12" x14ac:dyDescent="0.2">
      <c r="B86" s="110"/>
      <c r="F86" s="105"/>
      <c r="J86" s="109">
        <f>G37+H37+I37</f>
        <v>286656</v>
      </c>
      <c r="K86" s="16" t="s">
        <v>236</v>
      </c>
    </row>
    <row r="87" spans="2:12" x14ac:dyDescent="0.2">
      <c r="C87" s="793" t="s">
        <v>207</v>
      </c>
      <c r="D87" s="794"/>
      <c r="E87" s="111" t="s">
        <v>208</v>
      </c>
      <c r="F87" s="111" t="s">
        <v>209</v>
      </c>
      <c r="G87" s="111" t="s">
        <v>210</v>
      </c>
      <c r="H87" s="111" t="s">
        <v>211</v>
      </c>
      <c r="J87" s="109">
        <f>J37+K37+L37</f>
        <v>302396</v>
      </c>
      <c r="K87" s="47" t="s">
        <v>237</v>
      </c>
      <c r="L87" s="16">
        <f>+J87-63437</f>
        <v>238959</v>
      </c>
    </row>
    <row r="88" spans="2:12" x14ac:dyDescent="0.2">
      <c r="C88" s="795" t="str">
        <f>IF(I6="M","0          - 250000","0          -  250000")</f>
        <v>0          - 250000</v>
      </c>
      <c r="D88" s="796"/>
      <c r="E88" s="112">
        <v>0</v>
      </c>
      <c r="F88" s="113">
        <f>IF(I6="M",(IF(G85&lt;250000,G85,250000)),(IF(G85&lt;250000,G85,250000)))</f>
        <v>250000</v>
      </c>
      <c r="G88" s="113">
        <f>G85-F88</f>
        <v>441583</v>
      </c>
      <c r="H88" s="113">
        <f>E88*F88</f>
        <v>0</v>
      </c>
      <c r="J88" s="16">
        <f>M37+N37</f>
        <v>194048</v>
      </c>
      <c r="K88" s="1" t="s">
        <v>238</v>
      </c>
      <c r="L88" s="16">
        <f>+J88/2</f>
        <v>97024</v>
      </c>
    </row>
    <row r="89" spans="2:12" x14ac:dyDescent="0.2">
      <c r="C89" s="795" t="str">
        <f>IF(I6="M","250001 - 500000","250001-500000")</f>
        <v>250001 - 500000</v>
      </c>
      <c r="D89" s="796"/>
      <c r="E89" s="112">
        <v>0.05</v>
      </c>
      <c r="F89" s="113">
        <f>IF(I6="M",(IF(G88&lt;250000,G88,250000)),(IF(G88&lt;250000,G88,250000)))</f>
        <v>250000</v>
      </c>
      <c r="G89" s="113">
        <f>G88-F89</f>
        <v>191583</v>
      </c>
      <c r="H89" s="114">
        <f>ROUND(E89*F89,0.1)</f>
        <v>12500</v>
      </c>
      <c r="J89" s="115">
        <f>SUM(J85:J88)</f>
        <v>1224520</v>
      </c>
    </row>
    <row r="90" spans="2:12" x14ac:dyDescent="0.2">
      <c r="C90" s="797" t="s">
        <v>212</v>
      </c>
      <c r="D90" s="798"/>
      <c r="E90" s="112">
        <v>0.2</v>
      </c>
      <c r="F90" s="113">
        <f>IF(G89&lt;500000,G89,500000)</f>
        <v>191583</v>
      </c>
      <c r="G90" s="113">
        <f>G89-F90</f>
        <v>0</v>
      </c>
      <c r="H90" s="114">
        <f>ROUND(E90*F90,0.1)</f>
        <v>38317</v>
      </c>
      <c r="J90" s="16">
        <f>+G85</f>
        <v>691583</v>
      </c>
    </row>
    <row r="91" spans="2:12" x14ac:dyDescent="0.2">
      <c r="C91" s="795" t="s">
        <v>213</v>
      </c>
      <c r="D91" s="796"/>
      <c r="E91" s="112">
        <v>0.3</v>
      </c>
      <c r="F91" s="113">
        <f>G90</f>
        <v>0</v>
      </c>
      <c r="G91" s="113">
        <f>G90-F91</f>
        <v>0</v>
      </c>
      <c r="H91" s="114">
        <f>ROUND(E91*F91,0.1)</f>
        <v>0</v>
      </c>
      <c r="J91" s="16">
        <f>+J89-J90</f>
        <v>532937</v>
      </c>
    </row>
    <row r="92" spans="2:12" ht="12.75" customHeight="1" thickBot="1" x14ac:dyDescent="0.25">
      <c r="B92" s="116"/>
      <c r="C92" s="117"/>
      <c r="D92" s="47"/>
      <c r="E92" s="47"/>
      <c r="F92" s="47"/>
      <c r="J92" s="87"/>
      <c r="K92" s="118"/>
    </row>
    <row r="93" spans="2:12" ht="13.5" thickBot="1" x14ac:dyDescent="0.25">
      <c r="B93" s="799" t="s">
        <v>239</v>
      </c>
      <c r="C93" s="800"/>
      <c r="D93" s="800"/>
      <c r="E93" s="800"/>
      <c r="F93" s="801"/>
      <c r="G93" s="771">
        <f>H88+H89+H90+H91</f>
        <v>50817</v>
      </c>
      <c r="H93" s="772"/>
      <c r="J93" s="87"/>
      <c r="K93" s="87"/>
    </row>
    <row r="94" spans="2:12" ht="13.5" thickBot="1" x14ac:dyDescent="0.25">
      <c r="B94" s="119" t="s">
        <v>215</v>
      </c>
      <c r="C94" s="120"/>
      <c r="D94" s="120"/>
      <c r="E94" s="120"/>
      <c r="F94" s="120"/>
      <c r="G94" s="884">
        <f>IF((G64&lt;500000),5000,0)</f>
        <v>0</v>
      </c>
      <c r="H94" s="885">
        <f>IF(H92&lt;200000,0,IF(H92&lt;220000,((H92-200000)*10%),IF(H92&lt;=500000,2000,IF(H92&gt;=500000,0))))</f>
        <v>0</v>
      </c>
      <c r="J94" s="1"/>
      <c r="K94" s="121"/>
      <c r="L94" s="121"/>
    </row>
    <row r="95" spans="2:12" ht="13.5" thickBot="1" x14ac:dyDescent="0.25">
      <c r="B95" s="122" t="s">
        <v>216</v>
      </c>
      <c r="C95" s="123"/>
      <c r="D95" s="123"/>
      <c r="E95" s="123"/>
      <c r="F95" s="123"/>
      <c r="G95" s="771">
        <f>IF((G93-G94)&lt;0,0,(G93-G94))</f>
        <v>50817</v>
      </c>
      <c r="H95" s="772"/>
      <c r="I95" s="37"/>
    </row>
    <row r="96" spans="2:12" ht="13.5" thickBot="1" x14ac:dyDescent="0.25">
      <c r="B96" s="773" t="s">
        <v>240</v>
      </c>
      <c r="C96" s="774"/>
      <c r="D96" s="774"/>
      <c r="E96" s="774"/>
      <c r="F96" s="775"/>
      <c r="G96" s="776">
        <f>ROUND((IF(G95&gt;0,(G95*4%),0)),0)</f>
        <v>2033</v>
      </c>
      <c r="H96" s="777"/>
      <c r="I96" s="37"/>
    </row>
    <row r="97" spans="2:9" ht="13.5" thickBot="1" x14ac:dyDescent="0.25">
      <c r="B97" s="778" t="s">
        <v>218</v>
      </c>
      <c r="C97" s="779"/>
      <c r="D97" s="779"/>
      <c r="E97" s="779"/>
      <c r="F97" s="779"/>
      <c r="G97" s="780">
        <f>G95+G96</f>
        <v>52850</v>
      </c>
      <c r="H97" s="781"/>
      <c r="I97" s="121"/>
    </row>
    <row r="98" spans="2:9" ht="13.5" thickBot="1" x14ac:dyDescent="0.25">
      <c r="B98" s="765" t="s">
        <v>219</v>
      </c>
      <c r="C98" s="766"/>
      <c r="D98" s="766"/>
      <c r="E98" s="766"/>
      <c r="F98" s="766"/>
      <c r="G98" s="767">
        <f>O38</f>
        <v>68082</v>
      </c>
      <c r="H98" s="768"/>
      <c r="I98" s="121"/>
    </row>
    <row r="99" spans="2:9" ht="13.5" thickBot="1" x14ac:dyDescent="0.25">
      <c r="B99" s="765" t="str">
        <f>IF(G99&gt;0,"TAX PAYABLE","TAX REFUND")</f>
        <v>TAX REFUND</v>
      </c>
      <c r="C99" s="766"/>
      <c r="D99" s="766"/>
      <c r="E99" s="766"/>
      <c r="F99" s="766"/>
      <c r="G99" s="767">
        <f>+G97-G98</f>
        <v>-15232</v>
      </c>
      <c r="H99" s="768"/>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c r="I106" s="121"/>
    </row>
    <row r="107" spans="2:9"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0:F90 B99:F99 B93:F97">
    <cfRule type="cellIs" dxfId="1883" priority="3" stopIfTrue="1" operator="equal">
      <formula>"TAX PAYABLE"</formula>
    </cfRule>
    <cfRule type="cellIs" dxfId="1882" priority="4" stopIfTrue="1" operator="equal">
      <formula>"TAX REFUND"</formula>
    </cfRule>
  </conditionalFormatting>
  <conditionalFormatting sqref="G90:H90">
    <cfRule type="cellIs" dxfId="1881" priority="5" stopIfTrue="1" operator="lessThan">
      <formula>0</formula>
    </cfRule>
    <cfRule type="cellIs" dxfId="1880" priority="6" stopIfTrue="1" operator="greaterThan">
      <formula>0</formula>
    </cfRule>
  </conditionalFormatting>
  <conditionalFormatting sqref="G99:H99">
    <cfRule type="cellIs" dxfId="1879" priority="1" stopIfTrue="1" operator="greaterThan">
      <formula>0</formula>
    </cfRule>
    <cfRule type="cellIs" dxfId="1878"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$Q$8:$Q$9</formula1>
    </dataValidation>
  </dataValidations>
  <pageMargins left="0.7" right="0.7" top="0.75" bottom="0.75" header="0.3" footer="0.3"/>
  <pageSetup paperSize="5" orientation="landscape" horizontalDpi="300" verticalDpi="300" r:id="rId1"/>
  <headerFooter alignWithMargins="0"/>
  <legacy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9"/>
  <sheetViews>
    <sheetView topLeftCell="A65" workbookViewId="0">
      <selection activeCell="K83" sqref="K83"/>
    </sheetView>
  </sheetViews>
  <sheetFormatPr defaultRowHeight="12.75" x14ac:dyDescent="0.2"/>
  <cols>
    <col min="1" max="1" width="5" style="504" customWidth="1"/>
    <col min="2" max="2" width="16.5703125" style="527" customWidth="1"/>
    <col min="3" max="3" width="8.28515625" style="504" customWidth="1"/>
    <col min="4" max="4" width="8.42578125" style="504" customWidth="1"/>
    <col min="5" max="5" width="8.5703125" style="504" bestFit="1" customWidth="1"/>
    <col min="6" max="8" width="8.7109375" style="504" customWidth="1"/>
    <col min="9" max="15" width="8" style="504" customWidth="1"/>
    <col min="16" max="20" width="9.140625" style="504"/>
    <col min="21" max="21" width="12.42578125" style="504" customWidth="1"/>
    <col min="22" max="22" width="9.140625" style="504"/>
    <col min="23" max="23" width="12" style="504" customWidth="1"/>
    <col min="24" max="256" width="9.140625" style="504"/>
    <col min="257" max="257" width="5" style="504" customWidth="1"/>
    <col min="258" max="258" width="16.5703125" style="504" customWidth="1"/>
    <col min="259" max="259" width="8.28515625" style="504" customWidth="1"/>
    <col min="260" max="260" width="8.42578125" style="504" customWidth="1"/>
    <col min="261" max="261" width="8.5703125" style="504" bestFit="1" customWidth="1"/>
    <col min="262" max="264" width="8.7109375" style="504" customWidth="1"/>
    <col min="265" max="271" width="8" style="504" customWidth="1"/>
    <col min="272" max="276" width="9.140625" style="504"/>
    <col min="277" max="277" width="12.42578125" style="504" customWidth="1"/>
    <col min="278" max="278" width="9.140625" style="504"/>
    <col min="279" max="279" width="12" style="504" customWidth="1"/>
    <col min="280" max="512" width="9.140625" style="504"/>
    <col min="513" max="513" width="5" style="504" customWidth="1"/>
    <col min="514" max="514" width="16.5703125" style="504" customWidth="1"/>
    <col min="515" max="515" width="8.28515625" style="504" customWidth="1"/>
    <col min="516" max="516" width="8.42578125" style="504" customWidth="1"/>
    <col min="517" max="517" width="8.5703125" style="504" bestFit="1" customWidth="1"/>
    <col min="518" max="520" width="8.7109375" style="504" customWidth="1"/>
    <col min="521" max="527" width="8" style="504" customWidth="1"/>
    <col min="528" max="532" width="9.140625" style="504"/>
    <col min="533" max="533" width="12.42578125" style="504" customWidth="1"/>
    <col min="534" max="534" width="9.140625" style="504"/>
    <col min="535" max="535" width="12" style="504" customWidth="1"/>
    <col min="536" max="768" width="9.140625" style="504"/>
    <col min="769" max="769" width="5" style="504" customWidth="1"/>
    <col min="770" max="770" width="16.5703125" style="504" customWidth="1"/>
    <col min="771" max="771" width="8.28515625" style="504" customWidth="1"/>
    <col min="772" max="772" width="8.42578125" style="504" customWidth="1"/>
    <col min="773" max="773" width="8.5703125" style="504" bestFit="1" customWidth="1"/>
    <col min="774" max="776" width="8.7109375" style="504" customWidth="1"/>
    <col min="777" max="783" width="8" style="504" customWidth="1"/>
    <col min="784" max="788" width="9.140625" style="504"/>
    <col min="789" max="789" width="12.42578125" style="504" customWidth="1"/>
    <col min="790" max="790" width="9.140625" style="504"/>
    <col min="791" max="791" width="12" style="504" customWidth="1"/>
    <col min="792" max="1024" width="9.140625" style="504"/>
    <col min="1025" max="1025" width="5" style="504" customWidth="1"/>
    <col min="1026" max="1026" width="16.5703125" style="504" customWidth="1"/>
    <col min="1027" max="1027" width="8.28515625" style="504" customWidth="1"/>
    <col min="1028" max="1028" width="8.42578125" style="504" customWidth="1"/>
    <col min="1029" max="1029" width="8.5703125" style="504" bestFit="1" customWidth="1"/>
    <col min="1030" max="1032" width="8.7109375" style="504" customWidth="1"/>
    <col min="1033" max="1039" width="8" style="504" customWidth="1"/>
    <col min="1040" max="1044" width="9.140625" style="504"/>
    <col min="1045" max="1045" width="12.42578125" style="504" customWidth="1"/>
    <col min="1046" max="1046" width="9.140625" style="504"/>
    <col min="1047" max="1047" width="12" style="504" customWidth="1"/>
    <col min="1048" max="1280" width="9.140625" style="504"/>
    <col min="1281" max="1281" width="5" style="504" customWidth="1"/>
    <col min="1282" max="1282" width="16.5703125" style="504" customWidth="1"/>
    <col min="1283" max="1283" width="8.28515625" style="504" customWidth="1"/>
    <col min="1284" max="1284" width="8.42578125" style="504" customWidth="1"/>
    <col min="1285" max="1285" width="8.5703125" style="504" bestFit="1" customWidth="1"/>
    <col min="1286" max="1288" width="8.7109375" style="504" customWidth="1"/>
    <col min="1289" max="1295" width="8" style="504" customWidth="1"/>
    <col min="1296" max="1300" width="9.140625" style="504"/>
    <col min="1301" max="1301" width="12.42578125" style="504" customWidth="1"/>
    <col min="1302" max="1302" width="9.140625" style="504"/>
    <col min="1303" max="1303" width="12" style="504" customWidth="1"/>
    <col min="1304" max="1536" width="9.140625" style="504"/>
    <col min="1537" max="1537" width="5" style="504" customWidth="1"/>
    <col min="1538" max="1538" width="16.5703125" style="504" customWidth="1"/>
    <col min="1539" max="1539" width="8.28515625" style="504" customWidth="1"/>
    <col min="1540" max="1540" width="8.42578125" style="504" customWidth="1"/>
    <col min="1541" max="1541" width="8.5703125" style="504" bestFit="1" customWidth="1"/>
    <col min="1542" max="1544" width="8.7109375" style="504" customWidth="1"/>
    <col min="1545" max="1551" width="8" style="504" customWidth="1"/>
    <col min="1552" max="1556" width="9.140625" style="504"/>
    <col min="1557" max="1557" width="12.42578125" style="504" customWidth="1"/>
    <col min="1558" max="1558" width="9.140625" style="504"/>
    <col min="1559" max="1559" width="12" style="504" customWidth="1"/>
    <col min="1560" max="1792" width="9.140625" style="504"/>
    <col min="1793" max="1793" width="5" style="504" customWidth="1"/>
    <col min="1794" max="1794" width="16.5703125" style="504" customWidth="1"/>
    <col min="1795" max="1795" width="8.28515625" style="504" customWidth="1"/>
    <col min="1796" max="1796" width="8.42578125" style="504" customWidth="1"/>
    <col min="1797" max="1797" width="8.5703125" style="504" bestFit="1" customWidth="1"/>
    <col min="1798" max="1800" width="8.7109375" style="504" customWidth="1"/>
    <col min="1801" max="1807" width="8" style="504" customWidth="1"/>
    <col min="1808" max="1812" width="9.140625" style="504"/>
    <col min="1813" max="1813" width="12.42578125" style="504" customWidth="1"/>
    <col min="1814" max="1814" width="9.140625" style="504"/>
    <col min="1815" max="1815" width="12" style="504" customWidth="1"/>
    <col min="1816" max="2048" width="9.140625" style="504"/>
    <col min="2049" max="2049" width="5" style="504" customWidth="1"/>
    <col min="2050" max="2050" width="16.5703125" style="504" customWidth="1"/>
    <col min="2051" max="2051" width="8.28515625" style="504" customWidth="1"/>
    <col min="2052" max="2052" width="8.42578125" style="504" customWidth="1"/>
    <col min="2053" max="2053" width="8.5703125" style="504" bestFit="1" customWidth="1"/>
    <col min="2054" max="2056" width="8.7109375" style="504" customWidth="1"/>
    <col min="2057" max="2063" width="8" style="504" customWidth="1"/>
    <col min="2064" max="2068" width="9.140625" style="504"/>
    <col min="2069" max="2069" width="12.42578125" style="504" customWidth="1"/>
    <col min="2070" max="2070" width="9.140625" style="504"/>
    <col min="2071" max="2071" width="12" style="504" customWidth="1"/>
    <col min="2072" max="2304" width="9.140625" style="504"/>
    <col min="2305" max="2305" width="5" style="504" customWidth="1"/>
    <col min="2306" max="2306" width="16.5703125" style="504" customWidth="1"/>
    <col min="2307" max="2307" width="8.28515625" style="504" customWidth="1"/>
    <col min="2308" max="2308" width="8.42578125" style="504" customWidth="1"/>
    <col min="2309" max="2309" width="8.5703125" style="504" bestFit="1" customWidth="1"/>
    <col min="2310" max="2312" width="8.7109375" style="504" customWidth="1"/>
    <col min="2313" max="2319" width="8" style="504" customWidth="1"/>
    <col min="2320" max="2324" width="9.140625" style="504"/>
    <col min="2325" max="2325" width="12.42578125" style="504" customWidth="1"/>
    <col min="2326" max="2326" width="9.140625" style="504"/>
    <col min="2327" max="2327" width="12" style="504" customWidth="1"/>
    <col min="2328" max="2560" width="9.140625" style="504"/>
    <col min="2561" max="2561" width="5" style="504" customWidth="1"/>
    <col min="2562" max="2562" width="16.5703125" style="504" customWidth="1"/>
    <col min="2563" max="2563" width="8.28515625" style="504" customWidth="1"/>
    <col min="2564" max="2564" width="8.42578125" style="504" customWidth="1"/>
    <col min="2565" max="2565" width="8.5703125" style="504" bestFit="1" customWidth="1"/>
    <col min="2566" max="2568" width="8.7109375" style="504" customWidth="1"/>
    <col min="2569" max="2575" width="8" style="504" customWidth="1"/>
    <col min="2576" max="2580" width="9.140625" style="504"/>
    <col min="2581" max="2581" width="12.42578125" style="504" customWidth="1"/>
    <col min="2582" max="2582" width="9.140625" style="504"/>
    <col min="2583" max="2583" width="12" style="504" customWidth="1"/>
    <col min="2584" max="2816" width="9.140625" style="504"/>
    <col min="2817" max="2817" width="5" style="504" customWidth="1"/>
    <col min="2818" max="2818" width="16.5703125" style="504" customWidth="1"/>
    <col min="2819" max="2819" width="8.28515625" style="504" customWidth="1"/>
    <col min="2820" max="2820" width="8.42578125" style="504" customWidth="1"/>
    <col min="2821" max="2821" width="8.5703125" style="504" bestFit="1" customWidth="1"/>
    <col min="2822" max="2824" width="8.7109375" style="504" customWidth="1"/>
    <col min="2825" max="2831" width="8" style="504" customWidth="1"/>
    <col min="2832" max="2836" width="9.140625" style="504"/>
    <col min="2837" max="2837" width="12.42578125" style="504" customWidth="1"/>
    <col min="2838" max="2838" width="9.140625" style="504"/>
    <col min="2839" max="2839" width="12" style="504" customWidth="1"/>
    <col min="2840" max="3072" width="9.140625" style="504"/>
    <col min="3073" max="3073" width="5" style="504" customWidth="1"/>
    <col min="3074" max="3074" width="16.5703125" style="504" customWidth="1"/>
    <col min="3075" max="3075" width="8.28515625" style="504" customWidth="1"/>
    <col min="3076" max="3076" width="8.42578125" style="504" customWidth="1"/>
    <col min="3077" max="3077" width="8.5703125" style="504" bestFit="1" customWidth="1"/>
    <col min="3078" max="3080" width="8.7109375" style="504" customWidth="1"/>
    <col min="3081" max="3087" width="8" style="504" customWidth="1"/>
    <col min="3088" max="3092" width="9.140625" style="504"/>
    <col min="3093" max="3093" width="12.42578125" style="504" customWidth="1"/>
    <col min="3094" max="3094" width="9.140625" style="504"/>
    <col min="3095" max="3095" width="12" style="504" customWidth="1"/>
    <col min="3096" max="3328" width="9.140625" style="504"/>
    <col min="3329" max="3329" width="5" style="504" customWidth="1"/>
    <col min="3330" max="3330" width="16.5703125" style="504" customWidth="1"/>
    <col min="3331" max="3331" width="8.28515625" style="504" customWidth="1"/>
    <col min="3332" max="3332" width="8.42578125" style="504" customWidth="1"/>
    <col min="3333" max="3333" width="8.5703125" style="504" bestFit="1" customWidth="1"/>
    <col min="3334" max="3336" width="8.7109375" style="504" customWidth="1"/>
    <col min="3337" max="3343" width="8" style="504" customWidth="1"/>
    <col min="3344" max="3348" width="9.140625" style="504"/>
    <col min="3349" max="3349" width="12.42578125" style="504" customWidth="1"/>
    <col min="3350" max="3350" width="9.140625" style="504"/>
    <col min="3351" max="3351" width="12" style="504" customWidth="1"/>
    <col min="3352" max="3584" width="9.140625" style="504"/>
    <col min="3585" max="3585" width="5" style="504" customWidth="1"/>
    <col min="3586" max="3586" width="16.5703125" style="504" customWidth="1"/>
    <col min="3587" max="3587" width="8.28515625" style="504" customWidth="1"/>
    <col min="3588" max="3588" width="8.42578125" style="504" customWidth="1"/>
    <col min="3589" max="3589" width="8.5703125" style="504" bestFit="1" customWidth="1"/>
    <col min="3590" max="3592" width="8.7109375" style="504" customWidth="1"/>
    <col min="3593" max="3599" width="8" style="504" customWidth="1"/>
    <col min="3600" max="3604" width="9.140625" style="504"/>
    <col min="3605" max="3605" width="12.42578125" style="504" customWidth="1"/>
    <col min="3606" max="3606" width="9.140625" style="504"/>
    <col min="3607" max="3607" width="12" style="504" customWidth="1"/>
    <col min="3608" max="3840" width="9.140625" style="504"/>
    <col min="3841" max="3841" width="5" style="504" customWidth="1"/>
    <col min="3842" max="3842" width="16.5703125" style="504" customWidth="1"/>
    <col min="3843" max="3843" width="8.28515625" style="504" customWidth="1"/>
    <col min="3844" max="3844" width="8.42578125" style="504" customWidth="1"/>
    <col min="3845" max="3845" width="8.5703125" style="504" bestFit="1" customWidth="1"/>
    <col min="3846" max="3848" width="8.7109375" style="504" customWidth="1"/>
    <col min="3849" max="3855" width="8" style="504" customWidth="1"/>
    <col min="3856" max="3860" width="9.140625" style="504"/>
    <col min="3861" max="3861" width="12.42578125" style="504" customWidth="1"/>
    <col min="3862" max="3862" width="9.140625" style="504"/>
    <col min="3863" max="3863" width="12" style="504" customWidth="1"/>
    <col min="3864" max="4096" width="9.140625" style="504"/>
    <col min="4097" max="4097" width="5" style="504" customWidth="1"/>
    <col min="4098" max="4098" width="16.5703125" style="504" customWidth="1"/>
    <col min="4099" max="4099" width="8.28515625" style="504" customWidth="1"/>
    <col min="4100" max="4100" width="8.42578125" style="504" customWidth="1"/>
    <col min="4101" max="4101" width="8.5703125" style="504" bestFit="1" customWidth="1"/>
    <col min="4102" max="4104" width="8.7109375" style="504" customWidth="1"/>
    <col min="4105" max="4111" width="8" style="504" customWidth="1"/>
    <col min="4112" max="4116" width="9.140625" style="504"/>
    <col min="4117" max="4117" width="12.42578125" style="504" customWidth="1"/>
    <col min="4118" max="4118" width="9.140625" style="504"/>
    <col min="4119" max="4119" width="12" style="504" customWidth="1"/>
    <col min="4120" max="4352" width="9.140625" style="504"/>
    <col min="4353" max="4353" width="5" style="504" customWidth="1"/>
    <col min="4354" max="4354" width="16.5703125" style="504" customWidth="1"/>
    <col min="4355" max="4355" width="8.28515625" style="504" customWidth="1"/>
    <col min="4356" max="4356" width="8.42578125" style="504" customWidth="1"/>
    <col min="4357" max="4357" width="8.5703125" style="504" bestFit="1" customWidth="1"/>
    <col min="4358" max="4360" width="8.7109375" style="504" customWidth="1"/>
    <col min="4361" max="4367" width="8" style="504" customWidth="1"/>
    <col min="4368" max="4372" width="9.140625" style="504"/>
    <col min="4373" max="4373" width="12.42578125" style="504" customWidth="1"/>
    <col min="4374" max="4374" width="9.140625" style="504"/>
    <col min="4375" max="4375" width="12" style="504" customWidth="1"/>
    <col min="4376" max="4608" width="9.140625" style="504"/>
    <col min="4609" max="4609" width="5" style="504" customWidth="1"/>
    <col min="4610" max="4610" width="16.5703125" style="504" customWidth="1"/>
    <col min="4611" max="4611" width="8.28515625" style="504" customWidth="1"/>
    <col min="4612" max="4612" width="8.42578125" style="504" customWidth="1"/>
    <col min="4613" max="4613" width="8.5703125" style="504" bestFit="1" customWidth="1"/>
    <col min="4614" max="4616" width="8.7109375" style="504" customWidth="1"/>
    <col min="4617" max="4623" width="8" style="504" customWidth="1"/>
    <col min="4624" max="4628" width="9.140625" style="504"/>
    <col min="4629" max="4629" width="12.42578125" style="504" customWidth="1"/>
    <col min="4630" max="4630" width="9.140625" style="504"/>
    <col min="4631" max="4631" width="12" style="504" customWidth="1"/>
    <col min="4632" max="4864" width="9.140625" style="504"/>
    <col min="4865" max="4865" width="5" style="504" customWidth="1"/>
    <col min="4866" max="4866" width="16.5703125" style="504" customWidth="1"/>
    <col min="4867" max="4867" width="8.28515625" style="504" customWidth="1"/>
    <col min="4868" max="4868" width="8.42578125" style="504" customWidth="1"/>
    <col min="4869" max="4869" width="8.5703125" style="504" bestFit="1" customWidth="1"/>
    <col min="4870" max="4872" width="8.7109375" style="504" customWidth="1"/>
    <col min="4873" max="4879" width="8" style="504" customWidth="1"/>
    <col min="4880" max="4884" width="9.140625" style="504"/>
    <col min="4885" max="4885" width="12.42578125" style="504" customWidth="1"/>
    <col min="4886" max="4886" width="9.140625" style="504"/>
    <col min="4887" max="4887" width="12" style="504" customWidth="1"/>
    <col min="4888" max="5120" width="9.140625" style="504"/>
    <col min="5121" max="5121" width="5" style="504" customWidth="1"/>
    <col min="5122" max="5122" width="16.5703125" style="504" customWidth="1"/>
    <col min="5123" max="5123" width="8.28515625" style="504" customWidth="1"/>
    <col min="5124" max="5124" width="8.42578125" style="504" customWidth="1"/>
    <col min="5125" max="5125" width="8.5703125" style="504" bestFit="1" customWidth="1"/>
    <col min="5126" max="5128" width="8.7109375" style="504" customWidth="1"/>
    <col min="5129" max="5135" width="8" style="504" customWidth="1"/>
    <col min="5136" max="5140" width="9.140625" style="504"/>
    <col min="5141" max="5141" width="12.42578125" style="504" customWidth="1"/>
    <col min="5142" max="5142" width="9.140625" style="504"/>
    <col min="5143" max="5143" width="12" style="504" customWidth="1"/>
    <col min="5144" max="5376" width="9.140625" style="504"/>
    <col min="5377" max="5377" width="5" style="504" customWidth="1"/>
    <col min="5378" max="5378" width="16.5703125" style="504" customWidth="1"/>
    <col min="5379" max="5379" width="8.28515625" style="504" customWidth="1"/>
    <col min="5380" max="5380" width="8.42578125" style="504" customWidth="1"/>
    <col min="5381" max="5381" width="8.5703125" style="504" bestFit="1" customWidth="1"/>
    <col min="5382" max="5384" width="8.7109375" style="504" customWidth="1"/>
    <col min="5385" max="5391" width="8" style="504" customWidth="1"/>
    <col min="5392" max="5396" width="9.140625" style="504"/>
    <col min="5397" max="5397" width="12.42578125" style="504" customWidth="1"/>
    <col min="5398" max="5398" width="9.140625" style="504"/>
    <col min="5399" max="5399" width="12" style="504" customWidth="1"/>
    <col min="5400" max="5632" width="9.140625" style="504"/>
    <col min="5633" max="5633" width="5" style="504" customWidth="1"/>
    <col min="5634" max="5634" width="16.5703125" style="504" customWidth="1"/>
    <col min="5635" max="5635" width="8.28515625" style="504" customWidth="1"/>
    <col min="5636" max="5636" width="8.42578125" style="504" customWidth="1"/>
    <col min="5637" max="5637" width="8.5703125" style="504" bestFit="1" customWidth="1"/>
    <col min="5638" max="5640" width="8.7109375" style="504" customWidth="1"/>
    <col min="5641" max="5647" width="8" style="504" customWidth="1"/>
    <col min="5648" max="5652" width="9.140625" style="504"/>
    <col min="5653" max="5653" width="12.42578125" style="504" customWidth="1"/>
    <col min="5654" max="5654" width="9.140625" style="504"/>
    <col min="5655" max="5655" width="12" style="504" customWidth="1"/>
    <col min="5656" max="5888" width="9.140625" style="504"/>
    <col min="5889" max="5889" width="5" style="504" customWidth="1"/>
    <col min="5890" max="5890" width="16.5703125" style="504" customWidth="1"/>
    <col min="5891" max="5891" width="8.28515625" style="504" customWidth="1"/>
    <col min="5892" max="5892" width="8.42578125" style="504" customWidth="1"/>
    <col min="5893" max="5893" width="8.5703125" style="504" bestFit="1" customWidth="1"/>
    <col min="5894" max="5896" width="8.7109375" style="504" customWidth="1"/>
    <col min="5897" max="5903" width="8" style="504" customWidth="1"/>
    <col min="5904" max="5908" width="9.140625" style="504"/>
    <col min="5909" max="5909" width="12.42578125" style="504" customWidth="1"/>
    <col min="5910" max="5910" width="9.140625" style="504"/>
    <col min="5911" max="5911" width="12" style="504" customWidth="1"/>
    <col min="5912" max="6144" width="9.140625" style="504"/>
    <col min="6145" max="6145" width="5" style="504" customWidth="1"/>
    <col min="6146" max="6146" width="16.5703125" style="504" customWidth="1"/>
    <col min="6147" max="6147" width="8.28515625" style="504" customWidth="1"/>
    <col min="6148" max="6148" width="8.42578125" style="504" customWidth="1"/>
    <col min="6149" max="6149" width="8.5703125" style="504" bestFit="1" customWidth="1"/>
    <col min="6150" max="6152" width="8.7109375" style="504" customWidth="1"/>
    <col min="6153" max="6159" width="8" style="504" customWidth="1"/>
    <col min="6160" max="6164" width="9.140625" style="504"/>
    <col min="6165" max="6165" width="12.42578125" style="504" customWidth="1"/>
    <col min="6166" max="6166" width="9.140625" style="504"/>
    <col min="6167" max="6167" width="12" style="504" customWidth="1"/>
    <col min="6168" max="6400" width="9.140625" style="504"/>
    <col min="6401" max="6401" width="5" style="504" customWidth="1"/>
    <col min="6402" max="6402" width="16.5703125" style="504" customWidth="1"/>
    <col min="6403" max="6403" width="8.28515625" style="504" customWidth="1"/>
    <col min="6404" max="6404" width="8.42578125" style="504" customWidth="1"/>
    <col min="6405" max="6405" width="8.5703125" style="504" bestFit="1" customWidth="1"/>
    <col min="6406" max="6408" width="8.7109375" style="504" customWidth="1"/>
    <col min="6409" max="6415" width="8" style="504" customWidth="1"/>
    <col min="6416" max="6420" width="9.140625" style="504"/>
    <col min="6421" max="6421" width="12.42578125" style="504" customWidth="1"/>
    <col min="6422" max="6422" width="9.140625" style="504"/>
    <col min="6423" max="6423" width="12" style="504" customWidth="1"/>
    <col min="6424" max="6656" width="9.140625" style="504"/>
    <col min="6657" max="6657" width="5" style="504" customWidth="1"/>
    <col min="6658" max="6658" width="16.5703125" style="504" customWidth="1"/>
    <col min="6659" max="6659" width="8.28515625" style="504" customWidth="1"/>
    <col min="6660" max="6660" width="8.42578125" style="504" customWidth="1"/>
    <col min="6661" max="6661" width="8.5703125" style="504" bestFit="1" customWidth="1"/>
    <col min="6662" max="6664" width="8.7109375" style="504" customWidth="1"/>
    <col min="6665" max="6671" width="8" style="504" customWidth="1"/>
    <col min="6672" max="6676" width="9.140625" style="504"/>
    <col min="6677" max="6677" width="12.42578125" style="504" customWidth="1"/>
    <col min="6678" max="6678" width="9.140625" style="504"/>
    <col min="6679" max="6679" width="12" style="504" customWidth="1"/>
    <col min="6680" max="6912" width="9.140625" style="504"/>
    <col min="6913" max="6913" width="5" style="504" customWidth="1"/>
    <col min="6914" max="6914" width="16.5703125" style="504" customWidth="1"/>
    <col min="6915" max="6915" width="8.28515625" style="504" customWidth="1"/>
    <col min="6916" max="6916" width="8.42578125" style="504" customWidth="1"/>
    <col min="6917" max="6917" width="8.5703125" style="504" bestFit="1" customWidth="1"/>
    <col min="6918" max="6920" width="8.7109375" style="504" customWidth="1"/>
    <col min="6921" max="6927" width="8" style="504" customWidth="1"/>
    <col min="6928" max="6932" width="9.140625" style="504"/>
    <col min="6933" max="6933" width="12.42578125" style="504" customWidth="1"/>
    <col min="6934" max="6934" width="9.140625" style="504"/>
    <col min="6935" max="6935" width="12" style="504" customWidth="1"/>
    <col min="6936" max="7168" width="9.140625" style="504"/>
    <col min="7169" max="7169" width="5" style="504" customWidth="1"/>
    <col min="7170" max="7170" width="16.5703125" style="504" customWidth="1"/>
    <col min="7171" max="7171" width="8.28515625" style="504" customWidth="1"/>
    <col min="7172" max="7172" width="8.42578125" style="504" customWidth="1"/>
    <col min="7173" max="7173" width="8.5703125" style="504" bestFit="1" customWidth="1"/>
    <col min="7174" max="7176" width="8.7109375" style="504" customWidth="1"/>
    <col min="7177" max="7183" width="8" style="504" customWidth="1"/>
    <col min="7184" max="7188" width="9.140625" style="504"/>
    <col min="7189" max="7189" width="12.42578125" style="504" customWidth="1"/>
    <col min="7190" max="7190" width="9.140625" style="504"/>
    <col min="7191" max="7191" width="12" style="504" customWidth="1"/>
    <col min="7192" max="7424" width="9.140625" style="504"/>
    <col min="7425" max="7425" width="5" style="504" customWidth="1"/>
    <col min="7426" max="7426" width="16.5703125" style="504" customWidth="1"/>
    <col min="7427" max="7427" width="8.28515625" style="504" customWidth="1"/>
    <col min="7428" max="7428" width="8.42578125" style="504" customWidth="1"/>
    <col min="7429" max="7429" width="8.5703125" style="504" bestFit="1" customWidth="1"/>
    <col min="7430" max="7432" width="8.7109375" style="504" customWidth="1"/>
    <col min="7433" max="7439" width="8" style="504" customWidth="1"/>
    <col min="7440" max="7444" width="9.140625" style="504"/>
    <col min="7445" max="7445" width="12.42578125" style="504" customWidth="1"/>
    <col min="7446" max="7446" width="9.140625" style="504"/>
    <col min="7447" max="7447" width="12" style="504" customWidth="1"/>
    <col min="7448" max="7680" width="9.140625" style="504"/>
    <col min="7681" max="7681" width="5" style="504" customWidth="1"/>
    <col min="7682" max="7682" width="16.5703125" style="504" customWidth="1"/>
    <col min="7683" max="7683" width="8.28515625" style="504" customWidth="1"/>
    <col min="7684" max="7684" width="8.42578125" style="504" customWidth="1"/>
    <col min="7685" max="7685" width="8.5703125" style="504" bestFit="1" customWidth="1"/>
    <col min="7686" max="7688" width="8.7109375" style="504" customWidth="1"/>
    <col min="7689" max="7695" width="8" style="504" customWidth="1"/>
    <col min="7696" max="7700" width="9.140625" style="504"/>
    <col min="7701" max="7701" width="12.42578125" style="504" customWidth="1"/>
    <col min="7702" max="7702" width="9.140625" style="504"/>
    <col min="7703" max="7703" width="12" style="504" customWidth="1"/>
    <col min="7704" max="7936" width="9.140625" style="504"/>
    <col min="7937" max="7937" width="5" style="504" customWidth="1"/>
    <col min="7938" max="7938" width="16.5703125" style="504" customWidth="1"/>
    <col min="7939" max="7939" width="8.28515625" style="504" customWidth="1"/>
    <col min="7940" max="7940" width="8.42578125" style="504" customWidth="1"/>
    <col min="7941" max="7941" width="8.5703125" style="504" bestFit="1" customWidth="1"/>
    <col min="7942" max="7944" width="8.7109375" style="504" customWidth="1"/>
    <col min="7945" max="7951" width="8" style="504" customWidth="1"/>
    <col min="7952" max="7956" width="9.140625" style="504"/>
    <col min="7957" max="7957" width="12.42578125" style="504" customWidth="1"/>
    <col min="7958" max="7958" width="9.140625" style="504"/>
    <col min="7959" max="7959" width="12" style="504" customWidth="1"/>
    <col min="7960" max="8192" width="9.140625" style="504"/>
    <col min="8193" max="8193" width="5" style="504" customWidth="1"/>
    <col min="8194" max="8194" width="16.5703125" style="504" customWidth="1"/>
    <col min="8195" max="8195" width="8.28515625" style="504" customWidth="1"/>
    <col min="8196" max="8196" width="8.42578125" style="504" customWidth="1"/>
    <col min="8197" max="8197" width="8.5703125" style="504" bestFit="1" customWidth="1"/>
    <col min="8198" max="8200" width="8.7109375" style="504" customWidth="1"/>
    <col min="8201" max="8207" width="8" style="504" customWidth="1"/>
    <col min="8208" max="8212" width="9.140625" style="504"/>
    <col min="8213" max="8213" width="12.42578125" style="504" customWidth="1"/>
    <col min="8214" max="8214" width="9.140625" style="504"/>
    <col min="8215" max="8215" width="12" style="504" customWidth="1"/>
    <col min="8216" max="8448" width="9.140625" style="504"/>
    <col min="8449" max="8449" width="5" style="504" customWidth="1"/>
    <col min="8450" max="8450" width="16.5703125" style="504" customWidth="1"/>
    <col min="8451" max="8451" width="8.28515625" style="504" customWidth="1"/>
    <col min="8452" max="8452" width="8.42578125" style="504" customWidth="1"/>
    <col min="8453" max="8453" width="8.5703125" style="504" bestFit="1" customWidth="1"/>
    <col min="8454" max="8456" width="8.7109375" style="504" customWidth="1"/>
    <col min="8457" max="8463" width="8" style="504" customWidth="1"/>
    <col min="8464" max="8468" width="9.140625" style="504"/>
    <col min="8469" max="8469" width="12.42578125" style="504" customWidth="1"/>
    <col min="8470" max="8470" width="9.140625" style="504"/>
    <col min="8471" max="8471" width="12" style="504" customWidth="1"/>
    <col min="8472" max="8704" width="9.140625" style="504"/>
    <col min="8705" max="8705" width="5" style="504" customWidth="1"/>
    <col min="8706" max="8706" width="16.5703125" style="504" customWidth="1"/>
    <col min="8707" max="8707" width="8.28515625" style="504" customWidth="1"/>
    <col min="8708" max="8708" width="8.42578125" style="504" customWidth="1"/>
    <col min="8709" max="8709" width="8.5703125" style="504" bestFit="1" customWidth="1"/>
    <col min="8710" max="8712" width="8.7109375" style="504" customWidth="1"/>
    <col min="8713" max="8719" width="8" style="504" customWidth="1"/>
    <col min="8720" max="8724" width="9.140625" style="504"/>
    <col min="8725" max="8725" width="12.42578125" style="504" customWidth="1"/>
    <col min="8726" max="8726" width="9.140625" style="504"/>
    <col min="8727" max="8727" width="12" style="504" customWidth="1"/>
    <col min="8728" max="8960" width="9.140625" style="504"/>
    <col min="8961" max="8961" width="5" style="504" customWidth="1"/>
    <col min="8962" max="8962" width="16.5703125" style="504" customWidth="1"/>
    <col min="8963" max="8963" width="8.28515625" style="504" customWidth="1"/>
    <col min="8964" max="8964" width="8.42578125" style="504" customWidth="1"/>
    <col min="8965" max="8965" width="8.5703125" style="504" bestFit="1" customWidth="1"/>
    <col min="8966" max="8968" width="8.7109375" style="504" customWidth="1"/>
    <col min="8969" max="8975" width="8" style="504" customWidth="1"/>
    <col min="8976" max="8980" width="9.140625" style="504"/>
    <col min="8981" max="8981" width="12.42578125" style="504" customWidth="1"/>
    <col min="8982" max="8982" width="9.140625" style="504"/>
    <col min="8983" max="8983" width="12" style="504" customWidth="1"/>
    <col min="8984" max="9216" width="9.140625" style="504"/>
    <col min="9217" max="9217" width="5" style="504" customWidth="1"/>
    <col min="9218" max="9218" width="16.5703125" style="504" customWidth="1"/>
    <col min="9219" max="9219" width="8.28515625" style="504" customWidth="1"/>
    <col min="9220" max="9220" width="8.42578125" style="504" customWidth="1"/>
    <col min="9221" max="9221" width="8.5703125" style="504" bestFit="1" customWidth="1"/>
    <col min="9222" max="9224" width="8.7109375" style="504" customWidth="1"/>
    <col min="9225" max="9231" width="8" style="504" customWidth="1"/>
    <col min="9232" max="9236" width="9.140625" style="504"/>
    <col min="9237" max="9237" width="12.42578125" style="504" customWidth="1"/>
    <col min="9238" max="9238" width="9.140625" style="504"/>
    <col min="9239" max="9239" width="12" style="504" customWidth="1"/>
    <col min="9240" max="9472" width="9.140625" style="504"/>
    <col min="9473" max="9473" width="5" style="504" customWidth="1"/>
    <col min="9474" max="9474" width="16.5703125" style="504" customWidth="1"/>
    <col min="9475" max="9475" width="8.28515625" style="504" customWidth="1"/>
    <col min="9476" max="9476" width="8.42578125" style="504" customWidth="1"/>
    <col min="9477" max="9477" width="8.5703125" style="504" bestFit="1" customWidth="1"/>
    <col min="9478" max="9480" width="8.7109375" style="504" customWidth="1"/>
    <col min="9481" max="9487" width="8" style="504" customWidth="1"/>
    <col min="9488" max="9492" width="9.140625" style="504"/>
    <col min="9493" max="9493" width="12.42578125" style="504" customWidth="1"/>
    <col min="9494" max="9494" width="9.140625" style="504"/>
    <col min="9495" max="9495" width="12" style="504" customWidth="1"/>
    <col min="9496" max="9728" width="9.140625" style="504"/>
    <col min="9729" max="9729" width="5" style="504" customWidth="1"/>
    <col min="9730" max="9730" width="16.5703125" style="504" customWidth="1"/>
    <col min="9731" max="9731" width="8.28515625" style="504" customWidth="1"/>
    <col min="9732" max="9732" width="8.42578125" style="504" customWidth="1"/>
    <col min="9733" max="9733" width="8.5703125" style="504" bestFit="1" customWidth="1"/>
    <col min="9734" max="9736" width="8.7109375" style="504" customWidth="1"/>
    <col min="9737" max="9743" width="8" style="504" customWidth="1"/>
    <col min="9744" max="9748" width="9.140625" style="504"/>
    <col min="9749" max="9749" width="12.42578125" style="504" customWidth="1"/>
    <col min="9750" max="9750" width="9.140625" style="504"/>
    <col min="9751" max="9751" width="12" style="504" customWidth="1"/>
    <col min="9752" max="9984" width="9.140625" style="504"/>
    <col min="9985" max="9985" width="5" style="504" customWidth="1"/>
    <col min="9986" max="9986" width="16.5703125" style="504" customWidth="1"/>
    <col min="9987" max="9987" width="8.28515625" style="504" customWidth="1"/>
    <col min="9988" max="9988" width="8.42578125" style="504" customWidth="1"/>
    <col min="9989" max="9989" width="8.5703125" style="504" bestFit="1" customWidth="1"/>
    <col min="9990" max="9992" width="8.7109375" style="504" customWidth="1"/>
    <col min="9993" max="9999" width="8" style="504" customWidth="1"/>
    <col min="10000" max="10004" width="9.140625" style="504"/>
    <col min="10005" max="10005" width="12.42578125" style="504" customWidth="1"/>
    <col min="10006" max="10006" width="9.140625" style="504"/>
    <col min="10007" max="10007" width="12" style="504" customWidth="1"/>
    <col min="10008" max="10240" width="9.140625" style="504"/>
    <col min="10241" max="10241" width="5" style="504" customWidth="1"/>
    <col min="10242" max="10242" width="16.5703125" style="504" customWidth="1"/>
    <col min="10243" max="10243" width="8.28515625" style="504" customWidth="1"/>
    <col min="10244" max="10244" width="8.42578125" style="504" customWidth="1"/>
    <col min="10245" max="10245" width="8.5703125" style="504" bestFit="1" customWidth="1"/>
    <col min="10246" max="10248" width="8.7109375" style="504" customWidth="1"/>
    <col min="10249" max="10255" width="8" style="504" customWidth="1"/>
    <col min="10256" max="10260" width="9.140625" style="504"/>
    <col min="10261" max="10261" width="12.42578125" style="504" customWidth="1"/>
    <col min="10262" max="10262" width="9.140625" style="504"/>
    <col min="10263" max="10263" width="12" style="504" customWidth="1"/>
    <col min="10264" max="10496" width="9.140625" style="504"/>
    <col min="10497" max="10497" width="5" style="504" customWidth="1"/>
    <col min="10498" max="10498" width="16.5703125" style="504" customWidth="1"/>
    <col min="10499" max="10499" width="8.28515625" style="504" customWidth="1"/>
    <col min="10500" max="10500" width="8.42578125" style="504" customWidth="1"/>
    <col min="10501" max="10501" width="8.5703125" style="504" bestFit="1" customWidth="1"/>
    <col min="10502" max="10504" width="8.7109375" style="504" customWidth="1"/>
    <col min="10505" max="10511" width="8" style="504" customWidth="1"/>
    <col min="10512" max="10516" width="9.140625" style="504"/>
    <col min="10517" max="10517" width="12.42578125" style="504" customWidth="1"/>
    <col min="10518" max="10518" width="9.140625" style="504"/>
    <col min="10519" max="10519" width="12" style="504" customWidth="1"/>
    <col min="10520" max="10752" width="9.140625" style="504"/>
    <col min="10753" max="10753" width="5" style="504" customWidth="1"/>
    <col min="10754" max="10754" width="16.5703125" style="504" customWidth="1"/>
    <col min="10755" max="10755" width="8.28515625" style="504" customWidth="1"/>
    <col min="10756" max="10756" width="8.42578125" style="504" customWidth="1"/>
    <col min="10757" max="10757" width="8.5703125" style="504" bestFit="1" customWidth="1"/>
    <col min="10758" max="10760" width="8.7109375" style="504" customWidth="1"/>
    <col min="10761" max="10767" width="8" style="504" customWidth="1"/>
    <col min="10768" max="10772" width="9.140625" style="504"/>
    <col min="10773" max="10773" width="12.42578125" style="504" customWidth="1"/>
    <col min="10774" max="10774" width="9.140625" style="504"/>
    <col min="10775" max="10775" width="12" style="504" customWidth="1"/>
    <col min="10776" max="11008" width="9.140625" style="504"/>
    <col min="11009" max="11009" width="5" style="504" customWidth="1"/>
    <col min="11010" max="11010" width="16.5703125" style="504" customWidth="1"/>
    <col min="11011" max="11011" width="8.28515625" style="504" customWidth="1"/>
    <col min="11012" max="11012" width="8.42578125" style="504" customWidth="1"/>
    <col min="11013" max="11013" width="8.5703125" style="504" bestFit="1" customWidth="1"/>
    <col min="11014" max="11016" width="8.7109375" style="504" customWidth="1"/>
    <col min="11017" max="11023" width="8" style="504" customWidth="1"/>
    <col min="11024" max="11028" width="9.140625" style="504"/>
    <col min="11029" max="11029" width="12.42578125" style="504" customWidth="1"/>
    <col min="11030" max="11030" width="9.140625" style="504"/>
    <col min="11031" max="11031" width="12" style="504" customWidth="1"/>
    <col min="11032" max="11264" width="9.140625" style="504"/>
    <col min="11265" max="11265" width="5" style="504" customWidth="1"/>
    <col min="11266" max="11266" width="16.5703125" style="504" customWidth="1"/>
    <col min="11267" max="11267" width="8.28515625" style="504" customWidth="1"/>
    <col min="11268" max="11268" width="8.42578125" style="504" customWidth="1"/>
    <col min="11269" max="11269" width="8.5703125" style="504" bestFit="1" customWidth="1"/>
    <col min="11270" max="11272" width="8.7109375" style="504" customWidth="1"/>
    <col min="11273" max="11279" width="8" style="504" customWidth="1"/>
    <col min="11280" max="11284" width="9.140625" style="504"/>
    <col min="11285" max="11285" width="12.42578125" style="504" customWidth="1"/>
    <col min="11286" max="11286" width="9.140625" style="504"/>
    <col min="11287" max="11287" width="12" style="504" customWidth="1"/>
    <col min="11288" max="11520" width="9.140625" style="504"/>
    <col min="11521" max="11521" width="5" style="504" customWidth="1"/>
    <col min="11522" max="11522" width="16.5703125" style="504" customWidth="1"/>
    <col min="11523" max="11523" width="8.28515625" style="504" customWidth="1"/>
    <col min="11524" max="11524" width="8.42578125" style="504" customWidth="1"/>
    <col min="11525" max="11525" width="8.5703125" style="504" bestFit="1" customWidth="1"/>
    <col min="11526" max="11528" width="8.7109375" style="504" customWidth="1"/>
    <col min="11529" max="11535" width="8" style="504" customWidth="1"/>
    <col min="11536" max="11540" width="9.140625" style="504"/>
    <col min="11541" max="11541" width="12.42578125" style="504" customWidth="1"/>
    <col min="11542" max="11542" width="9.140625" style="504"/>
    <col min="11543" max="11543" width="12" style="504" customWidth="1"/>
    <col min="11544" max="11776" width="9.140625" style="504"/>
    <col min="11777" max="11777" width="5" style="504" customWidth="1"/>
    <col min="11778" max="11778" width="16.5703125" style="504" customWidth="1"/>
    <col min="11779" max="11779" width="8.28515625" style="504" customWidth="1"/>
    <col min="11780" max="11780" width="8.42578125" style="504" customWidth="1"/>
    <col min="11781" max="11781" width="8.5703125" style="504" bestFit="1" customWidth="1"/>
    <col min="11782" max="11784" width="8.7109375" style="504" customWidth="1"/>
    <col min="11785" max="11791" width="8" style="504" customWidth="1"/>
    <col min="11792" max="11796" width="9.140625" style="504"/>
    <col min="11797" max="11797" width="12.42578125" style="504" customWidth="1"/>
    <col min="11798" max="11798" width="9.140625" style="504"/>
    <col min="11799" max="11799" width="12" style="504" customWidth="1"/>
    <col min="11800" max="12032" width="9.140625" style="504"/>
    <col min="12033" max="12033" width="5" style="504" customWidth="1"/>
    <col min="12034" max="12034" width="16.5703125" style="504" customWidth="1"/>
    <col min="12035" max="12035" width="8.28515625" style="504" customWidth="1"/>
    <col min="12036" max="12036" width="8.42578125" style="504" customWidth="1"/>
    <col min="12037" max="12037" width="8.5703125" style="504" bestFit="1" customWidth="1"/>
    <col min="12038" max="12040" width="8.7109375" style="504" customWidth="1"/>
    <col min="12041" max="12047" width="8" style="504" customWidth="1"/>
    <col min="12048" max="12052" width="9.140625" style="504"/>
    <col min="12053" max="12053" width="12.42578125" style="504" customWidth="1"/>
    <col min="12054" max="12054" width="9.140625" style="504"/>
    <col min="12055" max="12055" width="12" style="504" customWidth="1"/>
    <col min="12056" max="12288" width="9.140625" style="504"/>
    <col min="12289" max="12289" width="5" style="504" customWidth="1"/>
    <col min="12290" max="12290" width="16.5703125" style="504" customWidth="1"/>
    <col min="12291" max="12291" width="8.28515625" style="504" customWidth="1"/>
    <col min="12292" max="12292" width="8.42578125" style="504" customWidth="1"/>
    <col min="12293" max="12293" width="8.5703125" style="504" bestFit="1" customWidth="1"/>
    <col min="12294" max="12296" width="8.7109375" style="504" customWidth="1"/>
    <col min="12297" max="12303" width="8" style="504" customWidth="1"/>
    <col min="12304" max="12308" width="9.140625" style="504"/>
    <col min="12309" max="12309" width="12.42578125" style="504" customWidth="1"/>
    <col min="12310" max="12310" width="9.140625" style="504"/>
    <col min="12311" max="12311" width="12" style="504" customWidth="1"/>
    <col min="12312" max="12544" width="9.140625" style="504"/>
    <col min="12545" max="12545" width="5" style="504" customWidth="1"/>
    <col min="12546" max="12546" width="16.5703125" style="504" customWidth="1"/>
    <col min="12547" max="12547" width="8.28515625" style="504" customWidth="1"/>
    <col min="12548" max="12548" width="8.42578125" style="504" customWidth="1"/>
    <col min="12549" max="12549" width="8.5703125" style="504" bestFit="1" customWidth="1"/>
    <col min="12550" max="12552" width="8.7109375" style="504" customWidth="1"/>
    <col min="12553" max="12559" width="8" style="504" customWidth="1"/>
    <col min="12560" max="12564" width="9.140625" style="504"/>
    <col min="12565" max="12565" width="12.42578125" style="504" customWidth="1"/>
    <col min="12566" max="12566" width="9.140625" style="504"/>
    <col min="12567" max="12567" width="12" style="504" customWidth="1"/>
    <col min="12568" max="12800" width="9.140625" style="504"/>
    <col min="12801" max="12801" width="5" style="504" customWidth="1"/>
    <col min="12802" max="12802" width="16.5703125" style="504" customWidth="1"/>
    <col min="12803" max="12803" width="8.28515625" style="504" customWidth="1"/>
    <col min="12804" max="12804" width="8.42578125" style="504" customWidth="1"/>
    <col min="12805" max="12805" width="8.5703125" style="504" bestFit="1" customWidth="1"/>
    <col min="12806" max="12808" width="8.7109375" style="504" customWidth="1"/>
    <col min="12809" max="12815" width="8" style="504" customWidth="1"/>
    <col min="12816" max="12820" width="9.140625" style="504"/>
    <col min="12821" max="12821" width="12.42578125" style="504" customWidth="1"/>
    <col min="12822" max="12822" width="9.140625" style="504"/>
    <col min="12823" max="12823" width="12" style="504" customWidth="1"/>
    <col min="12824" max="13056" width="9.140625" style="504"/>
    <col min="13057" max="13057" width="5" style="504" customWidth="1"/>
    <col min="13058" max="13058" width="16.5703125" style="504" customWidth="1"/>
    <col min="13059" max="13059" width="8.28515625" style="504" customWidth="1"/>
    <col min="13060" max="13060" width="8.42578125" style="504" customWidth="1"/>
    <col min="13061" max="13061" width="8.5703125" style="504" bestFit="1" customWidth="1"/>
    <col min="13062" max="13064" width="8.7109375" style="504" customWidth="1"/>
    <col min="13065" max="13071" width="8" style="504" customWidth="1"/>
    <col min="13072" max="13076" width="9.140625" style="504"/>
    <col min="13077" max="13077" width="12.42578125" style="504" customWidth="1"/>
    <col min="13078" max="13078" width="9.140625" style="504"/>
    <col min="13079" max="13079" width="12" style="504" customWidth="1"/>
    <col min="13080" max="13312" width="9.140625" style="504"/>
    <col min="13313" max="13313" width="5" style="504" customWidth="1"/>
    <col min="13314" max="13314" width="16.5703125" style="504" customWidth="1"/>
    <col min="13315" max="13315" width="8.28515625" style="504" customWidth="1"/>
    <col min="13316" max="13316" width="8.42578125" style="504" customWidth="1"/>
    <col min="13317" max="13317" width="8.5703125" style="504" bestFit="1" customWidth="1"/>
    <col min="13318" max="13320" width="8.7109375" style="504" customWidth="1"/>
    <col min="13321" max="13327" width="8" style="504" customWidth="1"/>
    <col min="13328" max="13332" width="9.140625" style="504"/>
    <col min="13333" max="13333" width="12.42578125" style="504" customWidth="1"/>
    <col min="13334" max="13334" width="9.140625" style="504"/>
    <col min="13335" max="13335" width="12" style="504" customWidth="1"/>
    <col min="13336" max="13568" width="9.140625" style="504"/>
    <col min="13569" max="13569" width="5" style="504" customWidth="1"/>
    <col min="13570" max="13570" width="16.5703125" style="504" customWidth="1"/>
    <col min="13571" max="13571" width="8.28515625" style="504" customWidth="1"/>
    <col min="13572" max="13572" width="8.42578125" style="504" customWidth="1"/>
    <col min="13573" max="13573" width="8.5703125" style="504" bestFit="1" customWidth="1"/>
    <col min="13574" max="13576" width="8.7109375" style="504" customWidth="1"/>
    <col min="13577" max="13583" width="8" style="504" customWidth="1"/>
    <col min="13584" max="13588" width="9.140625" style="504"/>
    <col min="13589" max="13589" width="12.42578125" style="504" customWidth="1"/>
    <col min="13590" max="13590" width="9.140625" style="504"/>
    <col min="13591" max="13591" width="12" style="504" customWidth="1"/>
    <col min="13592" max="13824" width="9.140625" style="504"/>
    <col min="13825" max="13825" width="5" style="504" customWidth="1"/>
    <col min="13826" max="13826" width="16.5703125" style="504" customWidth="1"/>
    <col min="13827" max="13827" width="8.28515625" style="504" customWidth="1"/>
    <col min="13828" max="13828" width="8.42578125" style="504" customWidth="1"/>
    <col min="13829" max="13829" width="8.5703125" style="504" bestFit="1" customWidth="1"/>
    <col min="13830" max="13832" width="8.7109375" style="504" customWidth="1"/>
    <col min="13833" max="13839" width="8" style="504" customWidth="1"/>
    <col min="13840" max="13844" width="9.140625" style="504"/>
    <col min="13845" max="13845" width="12.42578125" style="504" customWidth="1"/>
    <col min="13846" max="13846" width="9.140625" style="504"/>
    <col min="13847" max="13847" width="12" style="504" customWidth="1"/>
    <col min="13848" max="14080" width="9.140625" style="504"/>
    <col min="14081" max="14081" width="5" style="504" customWidth="1"/>
    <col min="14082" max="14082" width="16.5703125" style="504" customWidth="1"/>
    <col min="14083" max="14083" width="8.28515625" style="504" customWidth="1"/>
    <col min="14084" max="14084" width="8.42578125" style="504" customWidth="1"/>
    <col min="14085" max="14085" width="8.5703125" style="504" bestFit="1" customWidth="1"/>
    <col min="14086" max="14088" width="8.7109375" style="504" customWidth="1"/>
    <col min="14089" max="14095" width="8" style="504" customWidth="1"/>
    <col min="14096" max="14100" width="9.140625" style="504"/>
    <col min="14101" max="14101" width="12.42578125" style="504" customWidth="1"/>
    <col min="14102" max="14102" width="9.140625" style="504"/>
    <col min="14103" max="14103" width="12" style="504" customWidth="1"/>
    <col min="14104" max="14336" width="9.140625" style="504"/>
    <col min="14337" max="14337" width="5" style="504" customWidth="1"/>
    <col min="14338" max="14338" width="16.5703125" style="504" customWidth="1"/>
    <col min="14339" max="14339" width="8.28515625" style="504" customWidth="1"/>
    <col min="14340" max="14340" width="8.42578125" style="504" customWidth="1"/>
    <col min="14341" max="14341" width="8.5703125" style="504" bestFit="1" customWidth="1"/>
    <col min="14342" max="14344" width="8.7109375" style="504" customWidth="1"/>
    <col min="14345" max="14351" width="8" style="504" customWidth="1"/>
    <col min="14352" max="14356" width="9.140625" style="504"/>
    <col min="14357" max="14357" width="12.42578125" style="504" customWidth="1"/>
    <col min="14358" max="14358" width="9.140625" style="504"/>
    <col min="14359" max="14359" width="12" style="504" customWidth="1"/>
    <col min="14360" max="14592" width="9.140625" style="504"/>
    <col min="14593" max="14593" width="5" style="504" customWidth="1"/>
    <col min="14594" max="14594" width="16.5703125" style="504" customWidth="1"/>
    <col min="14595" max="14595" width="8.28515625" style="504" customWidth="1"/>
    <col min="14596" max="14596" width="8.42578125" style="504" customWidth="1"/>
    <col min="14597" max="14597" width="8.5703125" style="504" bestFit="1" customWidth="1"/>
    <col min="14598" max="14600" width="8.7109375" style="504" customWidth="1"/>
    <col min="14601" max="14607" width="8" style="504" customWidth="1"/>
    <col min="14608" max="14612" width="9.140625" style="504"/>
    <col min="14613" max="14613" width="12.42578125" style="504" customWidth="1"/>
    <col min="14614" max="14614" width="9.140625" style="504"/>
    <col min="14615" max="14615" width="12" style="504" customWidth="1"/>
    <col min="14616" max="14848" width="9.140625" style="504"/>
    <col min="14849" max="14849" width="5" style="504" customWidth="1"/>
    <col min="14850" max="14850" width="16.5703125" style="504" customWidth="1"/>
    <col min="14851" max="14851" width="8.28515625" style="504" customWidth="1"/>
    <col min="14852" max="14852" width="8.42578125" style="504" customWidth="1"/>
    <col min="14853" max="14853" width="8.5703125" style="504" bestFit="1" customWidth="1"/>
    <col min="14854" max="14856" width="8.7109375" style="504" customWidth="1"/>
    <col min="14857" max="14863" width="8" style="504" customWidth="1"/>
    <col min="14864" max="14868" width="9.140625" style="504"/>
    <col min="14869" max="14869" width="12.42578125" style="504" customWidth="1"/>
    <col min="14870" max="14870" width="9.140625" style="504"/>
    <col min="14871" max="14871" width="12" style="504" customWidth="1"/>
    <col min="14872" max="15104" width="9.140625" style="504"/>
    <col min="15105" max="15105" width="5" style="504" customWidth="1"/>
    <col min="15106" max="15106" width="16.5703125" style="504" customWidth="1"/>
    <col min="15107" max="15107" width="8.28515625" style="504" customWidth="1"/>
    <col min="15108" max="15108" width="8.42578125" style="504" customWidth="1"/>
    <col min="15109" max="15109" width="8.5703125" style="504" bestFit="1" customWidth="1"/>
    <col min="15110" max="15112" width="8.7109375" style="504" customWidth="1"/>
    <col min="15113" max="15119" width="8" style="504" customWidth="1"/>
    <col min="15120" max="15124" width="9.140625" style="504"/>
    <col min="15125" max="15125" width="12.42578125" style="504" customWidth="1"/>
    <col min="15126" max="15126" width="9.140625" style="504"/>
    <col min="15127" max="15127" width="12" style="504" customWidth="1"/>
    <col min="15128" max="15360" width="9.140625" style="504"/>
    <col min="15361" max="15361" width="5" style="504" customWidth="1"/>
    <col min="15362" max="15362" width="16.5703125" style="504" customWidth="1"/>
    <col min="15363" max="15363" width="8.28515625" style="504" customWidth="1"/>
    <col min="15364" max="15364" width="8.42578125" style="504" customWidth="1"/>
    <col min="15365" max="15365" width="8.5703125" style="504" bestFit="1" customWidth="1"/>
    <col min="15366" max="15368" width="8.7109375" style="504" customWidth="1"/>
    <col min="15369" max="15375" width="8" style="504" customWidth="1"/>
    <col min="15376" max="15380" width="9.140625" style="504"/>
    <col min="15381" max="15381" width="12.42578125" style="504" customWidth="1"/>
    <col min="15382" max="15382" width="9.140625" style="504"/>
    <col min="15383" max="15383" width="12" style="504" customWidth="1"/>
    <col min="15384" max="15616" width="9.140625" style="504"/>
    <col min="15617" max="15617" width="5" style="504" customWidth="1"/>
    <col min="15618" max="15618" width="16.5703125" style="504" customWidth="1"/>
    <col min="15619" max="15619" width="8.28515625" style="504" customWidth="1"/>
    <col min="15620" max="15620" width="8.42578125" style="504" customWidth="1"/>
    <col min="15621" max="15621" width="8.5703125" style="504" bestFit="1" customWidth="1"/>
    <col min="15622" max="15624" width="8.7109375" style="504" customWidth="1"/>
    <col min="15625" max="15631" width="8" style="504" customWidth="1"/>
    <col min="15632" max="15636" width="9.140625" style="504"/>
    <col min="15637" max="15637" width="12.42578125" style="504" customWidth="1"/>
    <col min="15638" max="15638" width="9.140625" style="504"/>
    <col min="15639" max="15639" width="12" style="504" customWidth="1"/>
    <col min="15640" max="15872" width="9.140625" style="504"/>
    <col min="15873" max="15873" width="5" style="504" customWidth="1"/>
    <col min="15874" max="15874" width="16.5703125" style="504" customWidth="1"/>
    <col min="15875" max="15875" width="8.28515625" style="504" customWidth="1"/>
    <col min="15876" max="15876" width="8.42578125" style="504" customWidth="1"/>
    <col min="15877" max="15877" width="8.5703125" style="504" bestFit="1" customWidth="1"/>
    <col min="15878" max="15880" width="8.7109375" style="504" customWidth="1"/>
    <col min="15881" max="15887" width="8" style="504" customWidth="1"/>
    <col min="15888" max="15892" width="9.140625" style="504"/>
    <col min="15893" max="15893" width="12.42578125" style="504" customWidth="1"/>
    <col min="15894" max="15894" width="9.140625" style="504"/>
    <col min="15895" max="15895" width="12" style="504" customWidth="1"/>
    <col min="15896" max="16128" width="9.140625" style="504"/>
    <col min="16129" max="16129" width="5" style="504" customWidth="1"/>
    <col min="16130" max="16130" width="16.5703125" style="504" customWidth="1"/>
    <col min="16131" max="16131" width="8.28515625" style="504" customWidth="1"/>
    <col min="16132" max="16132" width="8.42578125" style="504" customWidth="1"/>
    <col min="16133" max="16133" width="8.5703125" style="504" bestFit="1" customWidth="1"/>
    <col min="16134" max="16136" width="8.7109375" style="504" customWidth="1"/>
    <col min="16137" max="16143" width="8" style="504" customWidth="1"/>
    <col min="16144" max="16148" width="9.140625" style="504"/>
    <col min="16149" max="16149" width="12.42578125" style="504" customWidth="1"/>
    <col min="16150" max="16150" width="9.140625" style="504"/>
    <col min="16151" max="16151" width="12" style="504" customWidth="1"/>
    <col min="16152" max="16384" width="9.140625" style="504"/>
  </cols>
  <sheetData>
    <row r="1" spans="1:17" s="490" customFormat="1" x14ac:dyDescent="0.2">
      <c r="A1" s="1045" t="s">
        <v>449</v>
      </c>
      <c r="B1" s="1039"/>
      <c r="C1" s="1039"/>
      <c r="D1" s="1038"/>
      <c r="E1" s="1039"/>
      <c r="F1" s="1039"/>
      <c r="G1" s="1045" t="s">
        <v>102</v>
      </c>
      <c r="H1" s="1038"/>
      <c r="I1" s="1038" t="s">
        <v>589</v>
      </c>
      <c r="J1" s="1039"/>
      <c r="K1" s="1039"/>
      <c r="L1" s="1040"/>
      <c r="M1" s="1040"/>
      <c r="N1" s="1040"/>
      <c r="O1" s="1040"/>
    </row>
    <row r="2" spans="1:17" s="490" customFormat="1" x14ac:dyDescent="0.2">
      <c r="A2" s="1045" t="s">
        <v>103</v>
      </c>
      <c r="B2" s="1039"/>
      <c r="C2" s="1039"/>
      <c r="D2" s="1038"/>
      <c r="E2" s="1039"/>
      <c r="F2" s="1039"/>
      <c r="G2" s="1045" t="s">
        <v>104</v>
      </c>
      <c r="H2" s="1038"/>
      <c r="I2" s="1038" t="s">
        <v>105</v>
      </c>
      <c r="J2" s="1039"/>
      <c r="K2" s="1039"/>
      <c r="L2" s="1040"/>
      <c r="M2" s="1040"/>
      <c r="N2" s="1040"/>
      <c r="O2" s="1040"/>
    </row>
    <row r="3" spans="1:17" s="490" customFormat="1" x14ac:dyDescent="0.2">
      <c r="A3" s="1045" t="s">
        <v>106</v>
      </c>
      <c r="B3" s="1039"/>
      <c r="C3" s="1039"/>
      <c r="D3" s="1046" t="s">
        <v>673</v>
      </c>
      <c r="E3" s="1039"/>
      <c r="F3" s="1039"/>
      <c r="G3" s="1045" t="s">
        <v>107</v>
      </c>
      <c r="H3" s="1038"/>
      <c r="I3" s="1038" t="s">
        <v>108</v>
      </c>
      <c r="J3" s="1039"/>
      <c r="K3" s="1039"/>
      <c r="L3" s="1040"/>
      <c r="M3" s="1040"/>
      <c r="N3" s="1040"/>
      <c r="O3" s="1040"/>
    </row>
    <row r="4" spans="1:17" s="490" customFormat="1" x14ac:dyDescent="0.2">
      <c r="A4" s="1045" t="s">
        <v>476</v>
      </c>
      <c r="B4" s="1039"/>
      <c r="C4" s="1039"/>
      <c r="D4" s="1038" t="s">
        <v>674</v>
      </c>
      <c r="E4" s="1039"/>
      <c r="F4" s="1039"/>
      <c r="G4" s="1045" t="s">
        <v>110</v>
      </c>
      <c r="H4" s="1038"/>
      <c r="I4" s="1038" t="s">
        <v>645</v>
      </c>
      <c r="J4" s="1039"/>
      <c r="K4" s="1039"/>
      <c r="L4" s="1040"/>
      <c r="M4" s="1040"/>
      <c r="N4" s="1040"/>
      <c r="O4" s="1040"/>
    </row>
    <row r="5" spans="1:17" s="490" customFormat="1" x14ac:dyDescent="0.2">
      <c r="A5" s="1045" t="s">
        <v>112</v>
      </c>
      <c r="B5" s="1039"/>
      <c r="C5" s="1039"/>
      <c r="D5" s="1038" t="s">
        <v>674</v>
      </c>
      <c r="E5" s="1039"/>
      <c r="F5" s="1039"/>
      <c r="G5" s="1045"/>
      <c r="H5" s="1039"/>
      <c r="I5" s="1038" t="s">
        <v>113</v>
      </c>
      <c r="J5" s="1039"/>
      <c r="K5" s="1039"/>
      <c r="L5" s="1040"/>
      <c r="M5" s="1040"/>
      <c r="N5" s="1040"/>
      <c r="O5" s="1040"/>
    </row>
    <row r="6" spans="1:17" s="490" customFormat="1" x14ac:dyDescent="0.2">
      <c r="A6" s="1041" t="s">
        <v>114</v>
      </c>
      <c r="B6" s="1042"/>
      <c r="C6" s="1042"/>
      <c r="D6" s="1039" t="s">
        <v>590</v>
      </c>
      <c r="E6" s="1039"/>
      <c r="F6" s="1039"/>
      <c r="G6" s="1041" t="s">
        <v>115</v>
      </c>
      <c r="H6" s="1041"/>
      <c r="I6" s="491" t="s">
        <v>116</v>
      </c>
      <c r="J6" s="1043"/>
      <c r="K6" s="1043"/>
      <c r="L6" s="1043"/>
      <c r="M6" s="1043"/>
      <c r="N6" s="1043"/>
      <c r="O6" s="1044"/>
    </row>
    <row r="7" spans="1:17" s="490" customFormat="1" ht="13.5" thickBot="1" x14ac:dyDescent="0.25">
      <c r="A7" s="492"/>
      <c r="B7" s="493"/>
      <c r="C7" s="494"/>
      <c r="D7" s="495"/>
      <c r="E7" s="495"/>
      <c r="F7" s="495"/>
      <c r="G7" s="495"/>
      <c r="H7" s="495"/>
      <c r="I7" s="495"/>
      <c r="J7" s="496"/>
      <c r="K7" s="661"/>
      <c r="L7" s="1030" t="s">
        <v>223</v>
      </c>
      <c r="M7" s="1030"/>
      <c r="N7" s="1030"/>
      <c r="O7" s="1030"/>
    </row>
    <row r="8" spans="1:17" s="499" customFormat="1" x14ac:dyDescent="0.2">
      <c r="A8" s="1031" t="str">
        <f>I1</f>
        <v>Mr.  Hemant Mangade</v>
      </c>
      <c r="B8" s="1032"/>
      <c r="C8" s="334">
        <v>43160</v>
      </c>
      <c r="D8" s="334">
        <v>43191</v>
      </c>
      <c r="E8" s="334">
        <v>43221</v>
      </c>
      <c r="F8" s="334">
        <v>43252</v>
      </c>
      <c r="G8" s="334">
        <v>43282</v>
      </c>
      <c r="H8" s="334">
        <v>43313</v>
      </c>
      <c r="I8" s="334">
        <v>43344</v>
      </c>
      <c r="J8" s="334">
        <v>43374</v>
      </c>
      <c r="K8" s="334">
        <v>43405</v>
      </c>
      <c r="L8" s="334">
        <v>43435</v>
      </c>
      <c r="M8" s="334">
        <v>43466</v>
      </c>
      <c r="N8" s="334">
        <v>43497</v>
      </c>
      <c r="O8" s="498" t="s">
        <v>117</v>
      </c>
      <c r="Q8" s="499" t="s">
        <v>116</v>
      </c>
    </row>
    <row r="9" spans="1:17" ht="15" x14ac:dyDescent="0.2">
      <c r="A9" s="500"/>
      <c r="B9" s="501" t="s">
        <v>118</v>
      </c>
      <c r="C9" s="502">
        <v>50500</v>
      </c>
      <c r="D9" s="502">
        <f t="shared" ref="D9:G24" si="0">+C9</f>
        <v>50500</v>
      </c>
      <c r="E9" s="502">
        <f t="shared" si="0"/>
        <v>50500</v>
      </c>
      <c r="F9" s="502">
        <f t="shared" si="0"/>
        <v>50500</v>
      </c>
      <c r="G9" s="502">
        <v>52000</v>
      </c>
      <c r="H9" s="502">
        <v>52000</v>
      </c>
      <c r="I9" s="502">
        <v>52000</v>
      </c>
      <c r="J9" s="502">
        <v>52000</v>
      </c>
      <c r="K9" s="502">
        <v>52000</v>
      </c>
      <c r="L9" s="502">
        <v>52000</v>
      </c>
      <c r="M9" s="502">
        <v>52000</v>
      </c>
      <c r="N9" s="502">
        <v>52000</v>
      </c>
      <c r="O9" s="503">
        <f t="shared" ref="O9:O51" si="1">SUM(C9:N9)</f>
        <v>618000</v>
      </c>
      <c r="Q9" s="504" t="s">
        <v>222</v>
      </c>
    </row>
    <row r="10" spans="1:17" ht="15" x14ac:dyDescent="0.2">
      <c r="A10" s="500"/>
      <c r="B10" s="501" t="s">
        <v>119</v>
      </c>
      <c r="C10" s="505">
        <v>0</v>
      </c>
      <c r="D10" s="505">
        <f t="shared" si="0"/>
        <v>0</v>
      </c>
      <c r="E10" s="505">
        <f t="shared" si="0"/>
        <v>0</v>
      </c>
      <c r="F10" s="505">
        <f t="shared" si="0"/>
        <v>0</v>
      </c>
      <c r="G10" s="505">
        <f>+F10</f>
        <v>0</v>
      </c>
      <c r="H10" s="505">
        <v>0</v>
      </c>
      <c r="I10" s="505">
        <f>+H10</f>
        <v>0</v>
      </c>
      <c r="J10" s="505">
        <f>+I10</f>
        <v>0</v>
      </c>
      <c r="K10" s="505">
        <f>+J10</f>
        <v>0</v>
      </c>
      <c r="L10" s="505">
        <f>+K10</f>
        <v>0</v>
      </c>
      <c r="M10" s="505">
        <v>0</v>
      </c>
      <c r="N10" s="505">
        <f>+M10</f>
        <v>0</v>
      </c>
      <c r="O10" s="506">
        <f t="shared" si="1"/>
        <v>0</v>
      </c>
    </row>
    <row r="11" spans="1:17" ht="15" x14ac:dyDescent="0.2">
      <c r="A11" s="500"/>
      <c r="B11" s="501" t="s">
        <v>120</v>
      </c>
      <c r="C11" s="505">
        <v>2525</v>
      </c>
      <c r="D11" s="505">
        <v>3535</v>
      </c>
      <c r="E11" s="505">
        <f t="shared" si="0"/>
        <v>3535</v>
      </c>
      <c r="F11" s="505">
        <f t="shared" si="0"/>
        <v>3535</v>
      </c>
      <c r="G11" s="505">
        <v>3640</v>
      </c>
      <c r="H11" s="505">
        <v>3640</v>
      </c>
      <c r="I11" s="505">
        <v>3640</v>
      </c>
      <c r="J11" s="505">
        <v>4680</v>
      </c>
      <c r="K11" s="505">
        <v>4680</v>
      </c>
      <c r="L11" s="505">
        <v>4680</v>
      </c>
      <c r="M11" s="505">
        <v>4680</v>
      </c>
      <c r="N11" s="505">
        <v>4680</v>
      </c>
      <c r="O11" s="506">
        <f t="shared" si="1"/>
        <v>47450</v>
      </c>
    </row>
    <row r="12" spans="1:17" ht="15" hidden="1" x14ac:dyDescent="0.2">
      <c r="A12" s="500"/>
      <c r="B12" s="501" t="s">
        <v>121</v>
      </c>
      <c r="C12" s="505">
        <v>0</v>
      </c>
      <c r="D12" s="505">
        <f>+C12</f>
        <v>0</v>
      </c>
      <c r="E12" s="505">
        <f t="shared" si="0"/>
        <v>0</v>
      </c>
      <c r="F12" s="505">
        <f t="shared" si="0"/>
        <v>0</v>
      </c>
      <c r="G12" s="505">
        <f t="shared" si="0"/>
        <v>0</v>
      </c>
      <c r="H12" s="505">
        <v>0</v>
      </c>
      <c r="I12" s="505">
        <f t="shared" ref="I12:L13" si="2">+H12</f>
        <v>0</v>
      </c>
      <c r="J12" s="505">
        <f t="shared" si="2"/>
        <v>0</v>
      </c>
      <c r="K12" s="505">
        <f t="shared" si="2"/>
        <v>0</v>
      </c>
      <c r="L12" s="505">
        <f t="shared" si="2"/>
        <v>0</v>
      </c>
      <c r="M12" s="505">
        <v>0</v>
      </c>
      <c r="N12" s="505">
        <f t="shared" ref="N12:N18" si="3">+M12</f>
        <v>0</v>
      </c>
      <c r="O12" s="506">
        <f t="shared" si="1"/>
        <v>0</v>
      </c>
    </row>
    <row r="13" spans="1:17" ht="15" hidden="1" x14ac:dyDescent="0.2">
      <c r="A13" s="500"/>
      <c r="B13" s="501" t="s">
        <v>122</v>
      </c>
      <c r="C13" s="505">
        <v>0</v>
      </c>
      <c r="D13" s="505">
        <f>+C13</f>
        <v>0</v>
      </c>
      <c r="E13" s="505">
        <f t="shared" si="0"/>
        <v>0</v>
      </c>
      <c r="F13" s="505">
        <f t="shared" si="0"/>
        <v>0</v>
      </c>
      <c r="G13" s="505">
        <f t="shared" si="0"/>
        <v>0</v>
      </c>
      <c r="H13" s="505">
        <v>0</v>
      </c>
      <c r="I13" s="505">
        <f t="shared" si="2"/>
        <v>0</v>
      </c>
      <c r="J13" s="505">
        <f t="shared" si="2"/>
        <v>0</v>
      </c>
      <c r="K13" s="505">
        <f t="shared" si="2"/>
        <v>0</v>
      </c>
      <c r="L13" s="505">
        <f t="shared" si="2"/>
        <v>0</v>
      </c>
      <c r="M13" s="505">
        <v>0</v>
      </c>
      <c r="N13" s="505">
        <f t="shared" si="3"/>
        <v>0</v>
      </c>
      <c r="O13" s="506">
        <f t="shared" si="1"/>
        <v>0</v>
      </c>
    </row>
    <row r="14" spans="1:17" ht="15" x14ac:dyDescent="0.2">
      <c r="A14" s="500"/>
      <c r="B14" s="501" t="s">
        <v>123</v>
      </c>
      <c r="C14" s="505">
        <v>3780</v>
      </c>
      <c r="D14" s="505">
        <v>3852</v>
      </c>
      <c r="E14" s="505">
        <f t="shared" si="0"/>
        <v>3852</v>
      </c>
      <c r="F14" s="505">
        <f t="shared" si="0"/>
        <v>3852</v>
      </c>
      <c r="G14" s="505">
        <f t="shared" si="0"/>
        <v>3852</v>
      </c>
      <c r="H14" s="505">
        <f>+G14</f>
        <v>3852</v>
      </c>
      <c r="I14" s="505">
        <f>+H14</f>
        <v>3852</v>
      </c>
      <c r="J14" s="505">
        <v>3924</v>
      </c>
      <c r="K14" s="505">
        <f>+J14</f>
        <v>3924</v>
      </c>
      <c r="L14" s="505">
        <f>+K14</f>
        <v>3924</v>
      </c>
      <c r="M14" s="505">
        <f>+L14</f>
        <v>3924</v>
      </c>
      <c r="N14" s="505">
        <f t="shared" si="3"/>
        <v>3924</v>
      </c>
      <c r="O14" s="506">
        <f t="shared" si="1"/>
        <v>46512</v>
      </c>
    </row>
    <row r="15" spans="1:17" ht="15" hidden="1" x14ac:dyDescent="0.2">
      <c r="A15" s="500"/>
      <c r="B15" s="501" t="s">
        <v>124</v>
      </c>
      <c r="C15" s="505">
        <v>0</v>
      </c>
      <c r="D15" s="505">
        <f t="shared" ref="D15:G35" si="4">+C15</f>
        <v>0</v>
      </c>
      <c r="E15" s="505">
        <f t="shared" si="0"/>
        <v>0</v>
      </c>
      <c r="F15" s="505">
        <f t="shared" si="0"/>
        <v>0</v>
      </c>
      <c r="G15" s="505">
        <f t="shared" si="0"/>
        <v>0</v>
      </c>
      <c r="H15" s="505">
        <v>0</v>
      </c>
      <c r="I15" s="505">
        <f t="shared" ref="I15:L18" si="5">+H15</f>
        <v>0</v>
      </c>
      <c r="J15" s="505">
        <f t="shared" si="5"/>
        <v>0</v>
      </c>
      <c r="K15" s="505">
        <f t="shared" si="5"/>
        <v>0</v>
      </c>
      <c r="L15" s="505">
        <f t="shared" si="5"/>
        <v>0</v>
      </c>
      <c r="M15" s="505">
        <v>0</v>
      </c>
      <c r="N15" s="505">
        <f t="shared" si="3"/>
        <v>0</v>
      </c>
      <c r="O15" s="506">
        <f t="shared" si="1"/>
        <v>0</v>
      </c>
    </row>
    <row r="16" spans="1:17" ht="15" hidden="1" x14ac:dyDescent="0.2">
      <c r="A16" s="500"/>
      <c r="B16" s="501" t="s">
        <v>405</v>
      </c>
      <c r="C16" s="505">
        <v>0</v>
      </c>
      <c r="D16" s="505">
        <f t="shared" si="4"/>
        <v>0</v>
      </c>
      <c r="E16" s="505">
        <f t="shared" si="0"/>
        <v>0</v>
      </c>
      <c r="F16" s="505">
        <f t="shared" si="0"/>
        <v>0</v>
      </c>
      <c r="G16" s="505">
        <f t="shared" si="0"/>
        <v>0</v>
      </c>
      <c r="H16" s="505">
        <v>0</v>
      </c>
      <c r="I16" s="505">
        <f t="shared" si="5"/>
        <v>0</v>
      </c>
      <c r="J16" s="505">
        <f t="shared" si="5"/>
        <v>0</v>
      </c>
      <c r="K16" s="505">
        <f t="shared" si="5"/>
        <v>0</v>
      </c>
      <c r="L16" s="505">
        <f t="shared" si="5"/>
        <v>0</v>
      </c>
      <c r="M16" s="505">
        <v>0</v>
      </c>
      <c r="N16" s="505">
        <f t="shared" si="3"/>
        <v>0</v>
      </c>
      <c r="O16" s="506">
        <f t="shared" si="1"/>
        <v>0</v>
      </c>
    </row>
    <row r="17" spans="1:15" ht="15" hidden="1" x14ac:dyDescent="0.2">
      <c r="A17" s="500"/>
      <c r="B17" s="501" t="s">
        <v>126</v>
      </c>
      <c r="C17" s="505">
        <v>0</v>
      </c>
      <c r="D17" s="505">
        <f t="shared" si="4"/>
        <v>0</v>
      </c>
      <c r="E17" s="505">
        <f t="shared" si="0"/>
        <v>0</v>
      </c>
      <c r="F17" s="505">
        <f t="shared" si="0"/>
        <v>0</v>
      </c>
      <c r="G17" s="505">
        <f t="shared" si="0"/>
        <v>0</v>
      </c>
      <c r="H17" s="505">
        <v>0</v>
      </c>
      <c r="I17" s="505">
        <f t="shared" si="5"/>
        <v>0</v>
      </c>
      <c r="J17" s="505">
        <f t="shared" si="5"/>
        <v>0</v>
      </c>
      <c r="K17" s="505">
        <f t="shared" si="5"/>
        <v>0</v>
      </c>
      <c r="L17" s="505">
        <f t="shared" si="5"/>
        <v>0</v>
      </c>
      <c r="M17" s="505">
        <v>0</v>
      </c>
      <c r="N17" s="505">
        <f t="shared" si="3"/>
        <v>0</v>
      </c>
      <c r="O17" s="506">
        <f t="shared" si="1"/>
        <v>0</v>
      </c>
    </row>
    <row r="18" spans="1:15" ht="15" x14ac:dyDescent="0.2">
      <c r="A18" s="500"/>
      <c r="B18" s="501" t="s">
        <v>224</v>
      </c>
      <c r="C18" s="505">
        <v>0</v>
      </c>
      <c r="D18" s="505">
        <f t="shared" si="4"/>
        <v>0</v>
      </c>
      <c r="E18" s="505">
        <f t="shared" si="0"/>
        <v>0</v>
      </c>
      <c r="F18" s="505">
        <f t="shared" si="0"/>
        <v>0</v>
      </c>
      <c r="G18" s="505">
        <f t="shared" si="0"/>
        <v>0</v>
      </c>
      <c r="H18" s="505">
        <v>0</v>
      </c>
      <c r="I18" s="505">
        <f t="shared" si="5"/>
        <v>0</v>
      </c>
      <c r="J18" s="505">
        <f t="shared" si="5"/>
        <v>0</v>
      </c>
      <c r="K18" s="505">
        <f t="shared" si="5"/>
        <v>0</v>
      </c>
      <c r="L18" s="505">
        <f t="shared" si="5"/>
        <v>0</v>
      </c>
      <c r="M18" s="505">
        <v>0</v>
      </c>
      <c r="N18" s="505">
        <f t="shared" si="3"/>
        <v>0</v>
      </c>
      <c r="O18" s="506">
        <f t="shared" si="1"/>
        <v>0</v>
      </c>
    </row>
    <row r="19" spans="1:15" ht="15" x14ac:dyDescent="0.2">
      <c r="A19" s="500"/>
      <c r="B19" s="501" t="s">
        <v>128</v>
      </c>
      <c r="C19" s="505">
        <v>12120</v>
      </c>
      <c r="D19" s="505">
        <f t="shared" si="4"/>
        <v>12120</v>
      </c>
      <c r="E19" s="505">
        <f t="shared" si="0"/>
        <v>12120</v>
      </c>
      <c r="F19" s="505">
        <f t="shared" si="0"/>
        <v>12120</v>
      </c>
      <c r="G19" s="505">
        <v>12480</v>
      </c>
      <c r="H19" s="505">
        <v>12480</v>
      </c>
      <c r="I19" s="505">
        <v>12480</v>
      </c>
      <c r="J19" s="505">
        <v>12480</v>
      </c>
      <c r="K19" s="505">
        <v>12480</v>
      </c>
      <c r="L19" s="505">
        <v>12480</v>
      </c>
      <c r="M19" s="505">
        <v>12480</v>
      </c>
      <c r="N19" s="505">
        <v>12480</v>
      </c>
      <c r="O19" s="506">
        <f t="shared" si="1"/>
        <v>148320</v>
      </c>
    </row>
    <row r="20" spans="1:15" ht="15" customHeight="1" x14ac:dyDescent="0.2">
      <c r="A20" s="500"/>
      <c r="B20" s="501" t="s">
        <v>129</v>
      </c>
      <c r="C20" s="505">
        <v>0</v>
      </c>
      <c r="D20" s="505">
        <f t="shared" si="4"/>
        <v>0</v>
      </c>
      <c r="E20" s="505">
        <f t="shared" si="0"/>
        <v>0</v>
      </c>
      <c r="F20" s="505">
        <v>26250</v>
      </c>
      <c r="G20" s="505">
        <v>0</v>
      </c>
      <c r="H20" s="505">
        <v>0</v>
      </c>
      <c r="I20" s="505">
        <f t="shared" ref="I20:L33" si="6">+H20</f>
        <v>0</v>
      </c>
      <c r="J20" s="505">
        <f t="shared" si="6"/>
        <v>0</v>
      </c>
      <c r="K20" s="505">
        <f t="shared" si="6"/>
        <v>0</v>
      </c>
      <c r="L20" s="505">
        <f t="shared" si="6"/>
        <v>0</v>
      </c>
      <c r="M20" s="505">
        <v>0</v>
      </c>
      <c r="N20" s="505">
        <f t="shared" ref="N20:N37" si="7">+M20</f>
        <v>0</v>
      </c>
      <c r="O20" s="506">
        <f t="shared" si="1"/>
        <v>26250</v>
      </c>
    </row>
    <row r="21" spans="1:15" ht="15" hidden="1" customHeight="1" x14ac:dyDescent="0.2">
      <c r="A21" s="1033" t="s">
        <v>130</v>
      </c>
      <c r="B21" s="507" t="s">
        <v>131</v>
      </c>
      <c r="C21" s="505">
        <v>0</v>
      </c>
      <c r="D21" s="505">
        <f t="shared" si="4"/>
        <v>0</v>
      </c>
      <c r="E21" s="505">
        <f t="shared" si="0"/>
        <v>0</v>
      </c>
      <c r="F21" s="505">
        <f t="shared" si="0"/>
        <v>0</v>
      </c>
      <c r="G21" s="505">
        <f t="shared" si="0"/>
        <v>0</v>
      </c>
      <c r="H21" s="505">
        <v>0</v>
      </c>
      <c r="I21" s="505">
        <f t="shared" si="6"/>
        <v>0</v>
      </c>
      <c r="J21" s="505">
        <f t="shared" si="6"/>
        <v>0</v>
      </c>
      <c r="K21" s="505">
        <f t="shared" si="6"/>
        <v>0</v>
      </c>
      <c r="L21" s="505">
        <f t="shared" si="6"/>
        <v>0</v>
      </c>
      <c r="M21" s="505">
        <v>0</v>
      </c>
      <c r="N21" s="505">
        <f t="shared" si="7"/>
        <v>0</v>
      </c>
      <c r="O21" s="506">
        <f t="shared" si="1"/>
        <v>0</v>
      </c>
    </row>
    <row r="22" spans="1:15" ht="15" hidden="1" customHeight="1" x14ac:dyDescent="0.2">
      <c r="A22" s="1034"/>
      <c r="B22" s="507" t="s">
        <v>132</v>
      </c>
      <c r="C22" s="505">
        <v>0</v>
      </c>
      <c r="D22" s="505">
        <f t="shared" si="4"/>
        <v>0</v>
      </c>
      <c r="E22" s="505">
        <f t="shared" si="0"/>
        <v>0</v>
      </c>
      <c r="F22" s="505">
        <f t="shared" si="0"/>
        <v>0</v>
      </c>
      <c r="G22" s="505">
        <f t="shared" si="0"/>
        <v>0</v>
      </c>
      <c r="H22" s="505">
        <v>0</v>
      </c>
      <c r="I22" s="505">
        <f t="shared" si="6"/>
        <v>0</v>
      </c>
      <c r="J22" s="505">
        <f t="shared" si="6"/>
        <v>0</v>
      </c>
      <c r="K22" s="505">
        <f t="shared" si="6"/>
        <v>0</v>
      </c>
      <c r="L22" s="505">
        <f t="shared" si="6"/>
        <v>0</v>
      </c>
      <c r="M22" s="505">
        <v>0</v>
      </c>
      <c r="N22" s="505">
        <f t="shared" si="7"/>
        <v>0</v>
      </c>
      <c r="O22" s="506">
        <f t="shared" si="1"/>
        <v>0</v>
      </c>
    </row>
    <row r="23" spans="1:15" ht="15" hidden="1" customHeight="1" x14ac:dyDescent="0.2">
      <c r="A23" s="1034"/>
      <c r="B23" s="507" t="s">
        <v>133</v>
      </c>
      <c r="C23" s="505">
        <v>0</v>
      </c>
      <c r="D23" s="505">
        <f t="shared" si="4"/>
        <v>0</v>
      </c>
      <c r="E23" s="505">
        <f t="shared" si="0"/>
        <v>0</v>
      </c>
      <c r="F23" s="505">
        <f t="shared" si="0"/>
        <v>0</v>
      </c>
      <c r="G23" s="505">
        <f t="shared" si="0"/>
        <v>0</v>
      </c>
      <c r="H23" s="505">
        <v>0</v>
      </c>
      <c r="I23" s="505">
        <f t="shared" si="6"/>
        <v>0</v>
      </c>
      <c r="J23" s="505">
        <f t="shared" si="6"/>
        <v>0</v>
      </c>
      <c r="K23" s="505">
        <f t="shared" si="6"/>
        <v>0</v>
      </c>
      <c r="L23" s="505">
        <f t="shared" si="6"/>
        <v>0</v>
      </c>
      <c r="M23" s="505">
        <v>0</v>
      </c>
      <c r="N23" s="505">
        <f t="shared" si="7"/>
        <v>0</v>
      </c>
      <c r="O23" s="506">
        <f t="shared" si="1"/>
        <v>0</v>
      </c>
    </row>
    <row r="24" spans="1:15" ht="15" hidden="1" customHeight="1" x14ac:dyDescent="0.2">
      <c r="A24" s="1034"/>
      <c r="B24" s="507" t="s">
        <v>134</v>
      </c>
      <c r="C24" s="505">
        <v>0</v>
      </c>
      <c r="D24" s="505">
        <f t="shared" si="4"/>
        <v>0</v>
      </c>
      <c r="E24" s="505">
        <f t="shared" si="0"/>
        <v>0</v>
      </c>
      <c r="F24" s="505">
        <f t="shared" si="0"/>
        <v>0</v>
      </c>
      <c r="G24" s="505">
        <f t="shared" si="0"/>
        <v>0</v>
      </c>
      <c r="H24" s="505">
        <v>0</v>
      </c>
      <c r="I24" s="505">
        <f t="shared" si="6"/>
        <v>0</v>
      </c>
      <c r="J24" s="505">
        <f t="shared" si="6"/>
        <v>0</v>
      </c>
      <c r="K24" s="505">
        <f t="shared" si="6"/>
        <v>0</v>
      </c>
      <c r="L24" s="505">
        <f t="shared" si="6"/>
        <v>0</v>
      </c>
      <c r="M24" s="505">
        <v>0</v>
      </c>
      <c r="N24" s="505">
        <f t="shared" si="7"/>
        <v>0</v>
      </c>
      <c r="O24" s="506">
        <f t="shared" si="1"/>
        <v>0</v>
      </c>
    </row>
    <row r="25" spans="1:15" ht="15" hidden="1" customHeight="1" x14ac:dyDescent="0.2">
      <c r="A25" s="1034"/>
      <c r="B25" s="507" t="s">
        <v>135</v>
      </c>
      <c r="C25" s="505">
        <v>0</v>
      </c>
      <c r="D25" s="505">
        <f t="shared" si="4"/>
        <v>0</v>
      </c>
      <c r="E25" s="505">
        <f t="shared" si="4"/>
        <v>0</v>
      </c>
      <c r="F25" s="505">
        <f t="shared" si="4"/>
        <v>0</v>
      </c>
      <c r="G25" s="505">
        <f t="shared" si="4"/>
        <v>0</v>
      </c>
      <c r="H25" s="505">
        <v>0</v>
      </c>
      <c r="I25" s="505">
        <f t="shared" si="6"/>
        <v>0</v>
      </c>
      <c r="J25" s="505">
        <f t="shared" si="6"/>
        <v>0</v>
      </c>
      <c r="K25" s="505">
        <f t="shared" si="6"/>
        <v>0</v>
      </c>
      <c r="L25" s="505">
        <f t="shared" si="6"/>
        <v>0</v>
      </c>
      <c r="M25" s="505">
        <v>0</v>
      </c>
      <c r="N25" s="505">
        <f t="shared" si="7"/>
        <v>0</v>
      </c>
      <c r="O25" s="506">
        <f t="shared" si="1"/>
        <v>0</v>
      </c>
    </row>
    <row r="26" spans="1:15" ht="15" hidden="1" customHeight="1" x14ac:dyDescent="0.2">
      <c r="A26" s="1034"/>
      <c r="B26" s="507" t="s">
        <v>136</v>
      </c>
      <c r="C26" s="505">
        <v>0</v>
      </c>
      <c r="D26" s="505">
        <f t="shared" si="4"/>
        <v>0</v>
      </c>
      <c r="E26" s="505">
        <f t="shared" si="4"/>
        <v>0</v>
      </c>
      <c r="F26" s="505">
        <f t="shared" si="4"/>
        <v>0</v>
      </c>
      <c r="G26" s="505">
        <f t="shared" si="4"/>
        <v>0</v>
      </c>
      <c r="H26" s="505">
        <v>0</v>
      </c>
      <c r="I26" s="505">
        <f t="shared" si="6"/>
        <v>0</v>
      </c>
      <c r="J26" s="505">
        <f t="shared" si="6"/>
        <v>0</v>
      </c>
      <c r="K26" s="505">
        <f t="shared" si="6"/>
        <v>0</v>
      </c>
      <c r="L26" s="505">
        <f t="shared" si="6"/>
        <v>0</v>
      </c>
      <c r="M26" s="505">
        <v>0</v>
      </c>
      <c r="N26" s="505">
        <f t="shared" si="7"/>
        <v>0</v>
      </c>
      <c r="O26" s="506">
        <f t="shared" si="1"/>
        <v>0</v>
      </c>
    </row>
    <row r="27" spans="1:15" ht="15" hidden="1" customHeight="1" x14ac:dyDescent="0.2">
      <c r="A27" s="1034"/>
      <c r="B27" s="507" t="s">
        <v>137</v>
      </c>
      <c r="C27" s="505">
        <v>0</v>
      </c>
      <c r="D27" s="505">
        <f t="shared" si="4"/>
        <v>0</v>
      </c>
      <c r="E27" s="505">
        <f t="shared" si="4"/>
        <v>0</v>
      </c>
      <c r="F27" s="505">
        <f t="shared" si="4"/>
        <v>0</v>
      </c>
      <c r="G27" s="505">
        <f t="shared" si="4"/>
        <v>0</v>
      </c>
      <c r="H27" s="505">
        <v>0</v>
      </c>
      <c r="I27" s="505">
        <f t="shared" si="6"/>
        <v>0</v>
      </c>
      <c r="J27" s="505">
        <f t="shared" si="6"/>
        <v>0</v>
      </c>
      <c r="K27" s="505">
        <f t="shared" si="6"/>
        <v>0</v>
      </c>
      <c r="L27" s="505">
        <f t="shared" si="6"/>
        <v>0</v>
      </c>
      <c r="M27" s="505">
        <v>0</v>
      </c>
      <c r="N27" s="505">
        <f t="shared" si="7"/>
        <v>0</v>
      </c>
      <c r="O27" s="506">
        <f t="shared" si="1"/>
        <v>0</v>
      </c>
    </row>
    <row r="28" spans="1:15" ht="15" hidden="1" customHeight="1" x14ac:dyDescent="0.2">
      <c r="A28" s="1034"/>
      <c r="B28" s="507" t="s">
        <v>138</v>
      </c>
      <c r="C28" s="505">
        <v>0</v>
      </c>
      <c r="D28" s="505">
        <f t="shared" si="4"/>
        <v>0</v>
      </c>
      <c r="E28" s="505">
        <f t="shared" si="4"/>
        <v>0</v>
      </c>
      <c r="F28" s="505">
        <f t="shared" si="4"/>
        <v>0</v>
      </c>
      <c r="G28" s="505">
        <f t="shared" si="4"/>
        <v>0</v>
      </c>
      <c r="H28" s="505">
        <v>0</v>
      </c>
      <c r="I28" s="505">
        <f t="shared" si="6"/>
        <v>0</v>
      </c>
      <c r="J28" s="505">
        <f t="shared" si="6"/>
        <v>0</v>
      </c>
      <c r="K28" s="505">
        <f t="shared" si="6"/>
        <v>0</v>
      </c>
      <c r="L28" s="505">
        <f t="shared" si="6"/>
        <v>0</v>
      </c>
      <c r="M28" s="505">
        <v>0</v>
      </c>
      <c r="N28" s="505">
        <f t="shared" si="7"/>
        <v>0</v>
      </c>
      <c r="O28" s="506">
        <f t="shared" si="1"/>
        <v>0</v>
      </c>
    </row>
    <row r="29" spans="1:15" ht="15" hidden="1" customHeight="1" x14ac:dyDescent="0.2">
      <c r="A29" s="1034"/>
      <c r="B29" s="507" t="s">
        <v>139</v>
      </c>
      <c r="C29" s="505">
        <v>0</v>
      </c>
      <c r="D29" s="505">
        <f t="shared" si="4"/>
        <v>0</v>
      </c>
      <c r="E29" s="505">
        <f t="shared" si="4"/>
        <v>0</v>
      </c>
      <c r="F29" s="505">
        <f t="shared" si="4"/>
        <v>0</v>
      </c>
      <c r="G29" s="505">
        <f t="shared" si="4"/>
        <v>0</v>
      </c>
      <c r="H29" s="505">
        <v>0</v>
      </c>
      <c r="I29" s="505">
        <f t="shared" si="6"/>
        <v>0</v>
      </c>
      <c r="J29" s="505">
        <f t="shared" si="6"/>
        <v>0</v>
      </c>
      <c r="K29" s="505">
        <f t="shared" si="6"/>
        <v>0</v>
      </c>
      <c r="L29" s="505">
        <f t="shared" si="6"/>
        <v>0</v>
      </c>
      <c r="M29" s="505">
        <v>0</v>
      </c>
      <c r="N29" s="505">
        <f t="shared" si="7"/>
        <v>0</v>
      </c>
      <c r="O29" s="506">
        <f t="shared" si="1"/>
        <v>0</v>
      </c>
    </row>
    <row r="30" spans="1:15" ht="15" hidden="1" customHeight="1" x14ac:dyDescent="0.2">
      <c r="A30" s="1034"/>
      <c r="B30" s="507" t="s">
        <v>140</v>
      </c>
      <c r="C30" s="505">
        <v>0</v>
      </c>
      <c r="D30" s="505">
        <f t="shared" si="4"/>
        <v>0</v>
      </c>
      <c r="E30" s="505">
        <f t="shared" si="4"/>
        <v>0</v>
      </c>
      <c r="F30" s="505">
        <f t="shared" si="4"/>
        <v>0</v>
      </c>
      <c r="G30" s="505">
        <f t="shared" si="4"/>
        <v>0</v>
      </c>
      <c r="H30" s="505">
        <v>0</v>
      </c>
      <c r="I30" s="505">
        <f t="shared" si="6"/>
        <v>0</v>
      </c>
      <c r="J30" s="505">
        <f t="shared" si="6"/>
        <v>0</v>
      </c>
      <c r="K30" s="505">
        <f t="shared" si="6"/>
        <v>0</v>
      </c>
      <c r="L30" s="505">
        <f t="shared" si="6"/>
        <v>0</v>
      </c>
      <c r="M30" s="505">
        <v>0</v>
      </c>
      <c r="N30" s="505">
        <f t="shared" si="7"/>
        <v>0</v>
      </c>
      <c r="O30" s="506">
        <f t="shared" si="1"/>
        <v>0</v>
      </c>
    </row>
    <row r="31" spans="1:15" ht="15" hidden="1" customHeight="1" x14ac:dyDescent="0.2">
      <c r="A31" s="1034"/>
      <c r="B31" s="507" t="s">
        <v>225</v>
      </c>
      <c r="C31" s="505">
        <v>0</v>
      </c>
      <c r="D31" s="505">
        <f t="shared" si="4"/>
        <v>0</v>
      </c>
      <c r="E31" s="505">
        <f t="shared" si="4"/>
        <v>0</v>
      </c>
      <c r="F31" s="505">
        <f t="shared" si="4"/>
        <v>0</v>
      </c>
      <c r="G31" s="505">
        <f t="shared" si="4"/>
        <v>0</v>
      </c>
      <c r="H31" s="505">
        <v>0</v>
      </c>
      <c r="I31" s="505">
        <f t="shared" si="6"/>
        <v>0</v>
      </c>
      <c r="J31" s="505">
        <f t="shared" si="6"/>
        <v>0</v>
      </c>
      <c r="K31" s="505">
        <f t="shared" si="6"/>
        <v>0</v>
      </c>
      <c r="L31" s="505">
        <f t="shared" si="6"/>
        <v>0</v>
      </c>
      <c r="M31" s="505">
        <v>0</v>
      </c>
      <c r="N31" s="505">
        <f t="shared" si="7"/>
        <v>0</v>
      </c>
      <c r="O31" s="506">
        <f t="shared" si="1"/>
        <v>0</v>
      </c>
    </row>
    <row r="32" spans="1:15" ht="15" customHeight="1" x14ac:dyDescent="0.2">
      <c r="A32" s="1034"/>
      <c r="B32" s="511" t="s">
        <v>142</v>
      </c>
      <c r="C32" s="505">
        <v>0</v>
      </c>
      <c r="D32" s="505">
        <f t="shared" si="4"/>
        <v>0</v>
      </c>
      <c r="E32" s="505">
        <v>687687</v>
      </c>
      <c r="F32" s="505">
        <v>0</v>
      </c>
      <c r="G32" s="505">
        <f t="shared" si="4"/>
        <v>0</v>
      </c>
      <c r="H32" s="505">
        <v>0</v>
      </c>
      <c r="I32" s="505">
        <f t="shared" si="6"/>
        <v>0</v>
      </c>
      <c r="J32" s="505">
        <f t="shared" si="6"/>
        <v>0</v>
      </c>
      <c r="K32" s="505">
        <f t="shared" si="6"/>
        <v>0</v>
      </c>
      <c r="L32" s="505">
        <f t="shared" si="6"/>
        <v>0</v>
      </c>
      <c r="M32" s="505">
        <v>0</v>
      </c>
      <c r="N32" s="505">
        <f t="shared" si="7"/>
        <v>0</v>
      </c>
      <c r="O32" s="506">
        <f t="shared" si="1"/>
        <v>687687</v>
      </c>
    </row>
    <row r="33" spans="1:18" ht="15" customHeight="1" x14ac:dyDescent="0.2">
      <c r="A33" s="1035"/>
      <c r="B33" s="507" t="s">
        <v>141</v>
      </c>
      <c r="C33" s="505">
        <v>0</v>
      </c>
      <c r="D33" s="505">
        <f t="shared" si="4"/>
        <v>0</v>
      </c>
      <c r="E33" s="505">
        <f t="shared" si="4"/>
        <v>0</v>
      </c>
      <c r="F33" s="505">
        <f t="shared" si="4"/>
        <v>0</v>
      </c>
      <c r="G33" s="505">
        <f t="shared" si="4"/>
        <v>0</v>
      </c>
      <c r="H33" s="505">
        <v>0</v>
      </c>
      <c r="I33" s="505">
        <f t="shared" si="6"/>
        <v>0</v>
      </c>
      <c r="J33" s="505">
        <f t="shared" si="6"/>
        <v>0</v>
      </c>
      <c r="K33" s="505">
        <f t="shared" si="6"/>
        <v>0</v>
      </c>
      <c r="L33" s="505">
        <f t="shared" si="6"/>
        <v>0</v>
      </c>
      <c r="M33" s="505">
        <v>0</v>
      </c>
      <c r="N33" s="505">
        <f t="shared" si="7"/>
        <v>0</v>
      </c>
      <c r="O33" s="506">
        <f t="shared" si="1"/>
        <v>0</v>
      </c>
    </row>
    <row r="34" spans="1:18" ht="15" customHeight="1" x14ac:dyDescent="0.2">
      <c r="A34" s="624"/>
      <c r="B34" s="625" t="s">
        <v>637</v>
      </c>
      <c r="C34" s="505">
        <v>0</v>
      </c>
      <c r="D34" s="505">
        <f t="shared" si="4"/>
        <v>0</v>
      </c>
      <c r="E34" s="505">
        <f t="shared" si="4"/>
        <v>0</v>
      </c>
      <c r="F34" s="505">
        <f t="shared" si="4"/>
        <v>0</v>
      </c>
      <c r="G34" s="505">
        <f t="shared" si="4"/>
        <v>0</v>
      </c>
      <c r="H34" s="505">
        <v>0</v>
      </c>
      <c r="I34" s="505">
        <f>+H34</f>
        <v>0</v>
      </c>
      <c r="J34" s="505">
        <v>6908</v>
      </c>
      <c r="K34" s="505">
        <v>0</v>
      </c>
      <c r="L34" s="505">
        <f>+K34</f>
        <v>0</v>
      </c>
      <c r="M34" s="505">
        <v>0</v>
      </c>
      <c r="N34" s="505">
        <f t="shared" si="7"/>
        <v>0</v>
      </c>
      <c r="O34" s="506">
        <f t="shared" si="1"/>
        <v>6908</v>
      </c>
    </row>
    <row r="35" spans="1:18" ht="15" customHeight="1" x14ac:dyDescent="0.2">
      <c r="A35" s="1036" t="s">
        <v>143</v>
      </c>
      <c r="B35" s="1037"/>
      <c r="C35" s="505">
        <v>0</v>
      </c>
      <c r="D35" s="505">
        <f t="shared" si="4"/>
        <v>0</v>
      </c>
      <c r="E35" s="505">
        <f t="shared" si="4"/>
        <v>0</v>
      </c>
      <c r="F35" s="505">
        <f t="shared" si="4"/>
        <v>0</v>
      </c>
      <c r="G35" s="505">
        <f t="shared" si="4"/>
        <v>0</v>
      </c>
      <c r="H35" s="505">
        <v>0</v>
      </c>
      <c r="I35" s="505">
        <f>+H35</f>
        <v>0</v>
      </c>
      <c r="J35" s="505">
        <f>+I35</f>
        <v>0</v>
      </c>
      <c r="K35" s="505">
        <f>+J35</f>
        <v>0</v>
      </c>
      <c r="L35" s="505">
        <f>+K35</f>
        <v>0</v>
      </c>
      <c r="M35" s="505">
        <v>0</v>
      </c>
      <c r="N35" s="505">
        <f t="shared" si="7"/>
        <v>0</v>
      </c>
      <c r="O35" s="506">
        <f t="shared" si="1"/>
        <v>0</v>
      </c>
    </row>
    <row r="36" spans="1:18" ht="15" customHeight="1" x14ac:dyDescent="0.2">
      <c r="A36" s="1036" t="s">
        <v>145</v>
      </c>
      <c r="B36" s="1037"/>
      <c r="C36" s="505">
        <v>0</v>
      </c>
      <c r="D36" s="505">
        <v>216</v>
      </c>
      <c r="E36" s="505">
        <v>0</v>
      </c>
      <c r="F36" s="505">
        <f>+E36</f>
        <v>0</v>
      </c>
      <c r="G36" s="505">
        <f t="shared" ref="G36:G37" si="8">+F36</f>
        <v>0</v>
      </c>
      <c r="H36" s="505">
        <v>0</v>
      </c>
      <c r="I36" s="505">
        <f>+H36</f>
        <v>0</v>
      </c>
      <c r="J36" s="505">
        <v>216</v>
      </c>
      <c r="K36" s="505">
        <v>0</v>
      </c>
      <c r="L36" s="505">
        <f>+K36</f>
        <v>0</v>
      </c>
      <c r="M36" s="505">
        <v>0</v>
      </c>
      <c r="N36" s="505">
        <f t="shared" si="7"/>
        <v>0</v>
      </c>
      <c r="O36" s="506">
        <f t="shared" si="1"/>
        <v>432</v>
      </c>
    </row>
    <row r="37" spans="1:18" ht="15" customHeight="1" x14ac:dyDescent="0.2">
      <c r="A37" s="1036" t="s">
        <v>146</v>
      </c>
      <c r="B37" s="1037"/>
      <c r="C37" s="505">
        <v>0</v>
      </c>
      <c r="D37" s="505">
        <v>3030</v>
      </c>
      <c r="E37" s="505">
        <v>0</v>
      </c>
      <c r="F37" s="505">
        <f>+E37</f>
        <v>0</v>
      </c>
      <c r="G37" s="505">
        <f t="shared" si="8"/>
        <v>0</v>
      </c>
      <c r="H37" s="505">
        <v>0</v>
      </c>
      <c r="I37" s="505">
        <f>+H37</f>
        <v>0</v>
      </c>
      <c r="J37" s="505">
        <v>3120</v>
      </c>
      <c r="K37" s="505">
        <v>0</v>
      </c>
      <c r="L37" s="505">
        <f>+K37</f>
        <v>0</v>
      </c>
      <c r="M37" s="505">
        <v>0</v>
      </c>
      <c r="N37" s="505">
        <f t="shared" si="7"/>
        <v>0</v>
      </c>
      <c r="O37" s="506">
        <f t="shared" si="1"/>
        <v>6150</v>
      </c>
    </row>
    <row r="38" spans="1:18" ht="15" customHeight="1" x14ac:dyDescent="0.2">
      <c r="A38" s="513"/>
      <c r="B38" s="514" t="s">
        <v>147</v>
      </c>
      <c r="C38" s="515">
        <f>SUM(C9:C37)</f>
        <v>68925</v>
      </c>
      <c r="D38" s="515">
        <f>SUM(D9:D37)</f>
        <v>73253</v>
      </c>
      <c r="E38" s="515">
        <f>SUM(E9:E37)</f>
        <v>757694</v>
      </c>
      <c r="F38" s="515">
        <v>5022</v>
      </c>
      <c r="G38" s="515">
        <f t="shared" ref="G38:N38" si="9">SUM(G9:G37)</f>
        <v>71972</v>
      </c>
      <c r="H38" s="515">
        <f t="shared" si="9"/>
        <v>71972</v>
      </c>
      <c r="I38" s="515">
        <f t="shared" si="9"/>
        <v>71972</v>
      </c>
      <c r="J38" s="515">
        <f t="shared" si="9"/>
        <v>83328</v>
      </c>
      <c r="K38" s="515">
        <f t="shared" si="9"/>
        <v>73084</v>
      </c>
      <c r="L38" s="515">
        <f t="shared" si="9"/>
        <v>73084</v>
      </c>
      <c r="M38" s="515">
        <f t="shared" si="9"/>
        <v>73084</v>
      </c>
      <c r="N38" s="515">
        <f t="shared" si="9"/>
        <v>73084</v>
      </c>
      <c r="O38" s="516">
        <f t="shared" si="1"/>
        <v>1496474</v>
      </c>
    </row>
    <row r="39" spans="1:18" ht="15" customHeight="1" x14ac:dyDescent="0.2">
      <c r="A39" s="995" t="s">
        <v>148</v>
      </c>
      <c r="B39" s="517" t="s">
        <v>149</v>
      </c>
      <c r="C39" s="508">
        <v>300</v>
      </c>
      <c r="D39" s="508">
        <v>500</v>
      </c>
      <c r="E39" s="508">
        <v>69269</v>
      </c>
      <c r="F39" s="508">
        <v>500</v>
      </c>
      <c r="G39" s="508">
        <v>500</v>
      </c>
      <c r="H39" s="508">
        <v>500</v>
      </c>
      <c r="I39" s="508">
        <v>500</v>
      </c>
      <c r="J39" s="508">
        <v>1000</v>
      </c>
      <c r="K39" s="508">
        <v>0</v>
      </c>
      <c r="L39" s="508">
        <v>13000</v>
      </c>
      <c r="M39" s="508">
        <v>13050</v>
      </c>
      <c r="N39" s="508">
        <v>0</v>
      </c>
      <c r="O39" s="506">
        <f t="shared" si="1"/>
        <v>99119</v>
      </c>
      <c r="P39" s="518"/>
    </row>
    <row r="40" spans="1:18" ht="15" x14ac:dyDescent="0.2">
      <c r="A40" s="996"/>
      <c r="B40" s="517" t="s">
        <v>150</v>
      </c>
      <c r="C40" s="508">
        <v>0</v>
      </c>
      <c r="D40" s="508">
        <v>0</v>
      </c>
      <c r="E40" s="508">
        <v>0</v>
      </c>
      <c r="F40" s="508">
        <v>0</v>
      </c>
      <c r="G40" s="508">
        <v>0</v>
      </c>
      <c r="H40" s="508">
        <v>0</v>
      </c>
      <c r="I40" s="508">
        <v>0</v>
      </c>
      <c r="J40" s="508">
        <v>0</v>
      </c>
      <c r="K40" s="508">
        <v>0</v>
      </c>
      <c r="L40" s="508">
        <v>0</v>
      </c>
      <c r="M40" s="508">
        <v>0</v>
      </c>
      <c r="N40" s="508">
        <v>0</v>
      </c>
      <c r="O40" s="506">
        <f t="shared" si="1"/>
        <v>0</v>
      </c>
      <c r="R40" s="490"/>
    </row>
    <row r="41" spans="1:18" ht="15" x14ac:dyDescent="0.2">
      <c r="A41" s="996"/>
      <c r="B41" s="517" t="s">
        <v>151</v>
      </c>
      <c r="C41" s="508">
        <v>30</v>
      </c>
      <c r="D41" s="508">
        <v>30</v>
      </c>
      <c r="E41" s="508">
        <v>30</v>
      </c>
      <c r="F41" s="508">
        <v>30</v>
      </c>
      <c r="G41" s="508">
        <v>30</v>
      </c>
      <c r="H41" s="508">
        <v>30</v>
      </c>
      <c r="I41" s="508">
        <v>30</v>
      </c>
      <c r="J41" s="508">
        <v>30</v>
      </c>
      <c r="K41" s="508">
        <v>30</v>
      </c>
      <c r="L41" s="508">
        <v>30</v>
      </c>
      <c r="M41" s="508">
        <v>30</v>
      </c>
      <c r="N41" s="508">
        <v>30</v>
      </c>
      <c r="O41" s="506">
        <f t="shared" si="1"/>
        <v>360</v>
      </c>
    </row>
    <row r="42" spans="1:18" ht="15" x14ac:dyDescent="0.2">
      <c r="A42" s="996"/>
      <c r="B42" s="517" t="s">
        <v>152</v>
      </c>
      <c r="C42" s="508">
        <v>0</v>
      </c>
      <c r="D42" s="508">
        <v>0</v>
      </c>
      <c r="E42" s="508">
        <v>0</v>
      </c>
      <c r="F42" s="508">
        <v>0</v>
      </c>
      <c r="G42" s="508">
        <v>0</v>
      </c>
      <c r="H42" s="508">
        <v>0</v>
      </c>
      <c r="I42" s="508">
        <v>0</v>
      </c>
      <c r="J42" s="508">
        <v>0</v>
      </c>
      <c r="K42" s="508">
        <v>0</v>
      </c>
      <c r="L42" s="508">
        <v>0</v>
      </c>
      <c r="M42" s="508">
        <v>0</v>
      </c>
      <c r="N42" s="508">
        <v>0</v>
      </c>
      <c r="O42" s="506">
        <f t="shared" si="1"/>
        <v>0</v>
      </c>
    </row>
    <row r="43" spans="1:18" ht="15" x14ac:dyDescent="0.2">
      <c r="A43" s="996"/>
      <c r="B43" s="517" t="s">
        <v>153</v>
      </c>
      <c r="C43" s="508">
        <v>250</v>
      </c>
      <c r="D43" s="508">
        <v>250</v>
      </c>
      <c r="E43" s="508">
        <v>250</v>
      </c>
      <c r="F43" s="508">
        <v>250</v>
      </c>
      <c r="G43" s="508">
        <v>450</v>
      </c>
      <c r="H43" s="508">
        <v>450</v>
      </c>
      <c r="I43" s="508">
        <v>450</v>
      </c>
      <c r="J43" s="508">
        <v>450</v>
      </c>
      <c r="K43" s="508">
        <v>450</v>
      </c>
      <c r="L43" s="508">
        <v>450</v>
      </c>
      <c r="M43" s="508">
        <v>450</v>
      </c>
      <c r="N43" s="508">
        <v>450</v>
      </c>
      <c r="O43" s="506">
        <f t="shared" si="1"/>
        <v>4600</v>
      </c>
    </row>
    <row r="44" spans="1:18" ht="15" x14ac:dyDescent="0.2">
      <c r="A44" s="996"/>
      <c r="B44" s="517" t="s">
        <v>154</v>
      </c>
      <c r="C44" s="508">
        <v>4000</v>
      </c>
      <c r="D44" s="508">
        <v>4000</v>
      </c>
      <c r="E44" s="508">
        <v>4000</v>
      </c>
      <c r="F44" s="508">
        <v>4000</v>
      </c>
      <c r="G44" s="508">
        <v>4000</v>
      </c>
      <c r="H44" s="508">
        <v>4000</v>
      </c>
      <c r="I44" s="508">
        <v>4000</v>
      </c>
      <c r="J44" s="508">
        <v>4000</v>
      </c>
      <c r="K44" s="508">
        <v>4000</v>
      </c>
      <c r="L44" s="508">
        <v>10000</v>
      </c>
      <c r="M44" s="508">
        <v>10000</v>
      </c>
      <c r="N44" s="508">
        <v>10000</v>
      </c>
      <c r="O44" s="506">
        <f t="shared" si="1"/>
        <v>66000</v>
      </c>
    </row>
    <row r="45" spans="1:18" ht="15" x14ac:dyDescent="0.2">
      <c r="A45" s="996"/>
      <c r="B45" s="517" t="s">
        <v>155</v>
      </c>
      <c r="C45" s="508">
        <v>200</v>
      </c>
      <c r="D45" s="508">
        <v>200</v>
      </c>
      <c r="E45" s="508">
        <v>200</v>
      </c>
      <c r="F45" s="508">
        <v>200</v>
      </c>
      <c r="G45" s="508">
        <v>200</v>
      </c>
      <c r="H45" s="508">
        <v>200</v>
      </c>
      <c r="I45" s="508">
        <v>200</v>
      </c>
      <c r="J45" s="508">
        <v>200</v>
      </c>
      <c r="K45" s="508">
        <v>200</v>
      </c>
      <c r="L45" s="508">
        <v>200</v>
      </c>
      <c r="M45" s="508">
        <v>200</v>
      </c>
      <c r="N45" s="508">
        <v>300</v>
      </c>
      <c r="O45" s="506">
        <f t="shared" si="1"/>
        <v>2500</v>
      </c>
    </row>
    <row r="46" spans="1:18" ht="15" x14ac:dyDescent="0.2">
      <c r="A46" s="996"/>
      <c r="B46" s="517" t="s">
        <v>156</v>
      </c>
      <c r="C46" s="508">
        <v>0</v>
      </c>
      <c r="D46" s="508">
        <v>0</v>
      </c>
      <c r="E46" s="508">
        <v>0</v>
      </c>
      <c r="F46" s="508">
        <v>0</v>
      </c>
      <c r="G46" s="508">
        <v>0</v>
      </c>
      <c r="H46" s="508">
        <v>0</v>
      </c>
      <c r="I46" s="508">
        <v>0</v>
      </c>
      <c r="J46" s="508">
        <v>0</v>
      </c>
      <c r="K46" s="508">
        <v>0</v>
      </c>
      <c r="L46" s="508">
        <v>0</v>
      </c>
      <c r="M46" s="508">
        <v>0</v>
      </c>
      <c r="N46" s="508">
        <v>0</v>
      </c>
      <c r="O46" s="506">
        <f t="shared" si="1"/>
        <v>0</v>
      </c>
    </row>
    <row r="47" spans="1:18" ht="15" x14ac:dyDescent="0.2">
      <c r="A47" s="996"/>
      <c r="B47" s="517" t="s">
        <v>157</v>
      </c>
      <c r="C47" s="508">
        <v>0</v>
      </c>
      <c r="D47" s="508">
        <v>0</v>
      </c>
      <c r="E47" s="508">
        <v>0</v>
      </c>
      <c r="F47" s="508">
        <v>0</v>
      </c>
      <c r="G47" s="508">
        <v>0</v>
      </c>
      <c r="H47" s="508">
        <v>0</v>
      </c>
      <c r="I47" s="508">
        <v>0</v>
      </c>
      <c r="J47" s="508">
        <v>0</v>
      </c>
      <c r="K47" s="508">
        <v>0</v>
      </c>
      <c r="L47" s="508">
        <v>0</v>
      </c>
      <c r="M47" s="508">
        <v>0</v>
      </c>
      <c r="N47" s="508">
        <v>0</v>
      </c>
      <c r="O47" s="506">
        <f t="shared" si="1"/>
        <v>0</v>
      </c>
    </row>
    <row r="48" spans="1:18" ht="28.5" customHeight="1" x14ac:dyDescent="0.2">
      <c r="A48" s="997"/>
      <c r="B48" s="520" t="s">
        <v>158</v>
      </c>
      <c r="C48" s="508">
        <v>3903</v>
      </c>
      <c r="D48" s="508">
        <v>3903</v>
      </c>
      <c r="E48" s="508">
        <v>3903</v>
      </c>
      <c r="F48" s="508">
        <v>3903</v>
      </c>
      <c r="G48" s="508">
        <v>3903</v>
      </c>
      <c r="H48" s="508">
        <v>3903</v>
      </c>
      <c r="I48" s="508">
        <v>3903</v>
      </c>
      <c r="J48" s="508">
        <v>3903</v>
      </c>
      <c r="K48" s="508">
        <v>3903</v>
      </c>
      <c r="L48" s="508">
        <v>3903</v>
      </c>
      <c r="M48" s="508">
        <v>3903</v>
      </c>
      <c r="N48" s="508">
        <v>3903</v>
      </c>
      <c r="O48" s="521">
        <f t="shared" si="1"/>
        <v>46836</v>
      </c>
    </row>
    <row r="49" spans="1:19" ht="45" x14ac:dyDescent="0.2">
      <c r="A49" s="998"/>
      <c r="B49" s="522" t="s">
        <v>675</v>
      </c>
      <c r="C49" s="508">
        <v>0</v>
      </c>
      <c r="D49" s="508">
        <v>0</v>
      </c>
      <c r="E49" s="508">
        <v>0</v>
      </c>
      <c r="F49" s="508">
        <v>0</v>
      </c>
      <c r="G49" s="508">
        <v>0</v>
      </c>
      <c r="H49" s="508">
        <v>0</v>
      </c>
      <c r="I49" s="508">
        <v>0</v>
      </c>
      <c r="J49" s="508">
        <v>0</v>
      </c>
      <c r="K49" s="508">
        <v>0</v>
      </c>
      <c r="L49" s="508">
        <v>0</v>
      </c>
      <c r="M49" s="508">
        <v>0</v>
      </c>
      <c r="N49" s="508">
        <v>0</v>
      </c>
      <c r="O49" s="521">
        <f t="shared" si="1"/>
        <v>0</v>
      </c>
    </row>
    <row r="50" spans="1:19" ht="15" x14ac:dyDescent="0.2">
      <c r="A50" s="999" t="s">
        <v>160</v>
      </c>
      <c r="B50" s="1000"/>
      <c r="C50" s="523">
        <f t="shared" ref="C50:N50" si="10">SUM(C39:C49)</f>
        <v>8683</v>
      </c>
      <c r="D50" s="523">
        <f t="shared" si="10"/>
        <v>8883</v>
      </c>
      <c r="E50" s="523">
        <f t="shared" si="10"/>
        <v>77652</v>
      </c>
      <c r="F50" s="523">
        <f t="shared" si="10"/>
        <v>8883</v>
      </c>
      <c r="G50" s="523">
        <f t="shared" si="10"/>
        <v>9083</v>
      </c>
      <c r="H50" s="523">
        <f t="shared" si="10"/>
        <v>9083</v>
      </c>
      <c r="I50" s="523">
        <f t="shared" si="10"/>
        <v>9083</v>
      </c>
      <c r="J50" s="523">
        <f t="shared" si="10"/>
        <v>9583</v>
      </c>
      <c r="K50" s="523">
        <f t="shared" si="10"/>
        <v>8583</v>
      </c>
      <c r="L50" s="523">
        <f t="shared" si="10"/>
        <v>27583</v>
      </c>
      <c r="M50" s="523">
        <f t="shared" si="10"/>
        <v>27633</v>
      </c>
      <c r="N50" s="523">
        <f t="shared" si="10"/>
        <v>14683</v>
      </c>
      <c r="O50" s="524">
        <f t="shared" si="1"/>
        <v>219415</v>
      </c>
    </row>
    <row r="51" spans="1:19" ht="15.75" thickBot="1" x14ac:dyDescent="0.25">
      <c r="A51" s="1001" t="s">
        <v>161</v>
      </c>
      <c r="B51" s="1002"/>
      <c r="C51" s="525">
        <f t="shared" ref="C51:N51" si="11">C38-C50</f>
        <v>60242</v>
      </c>
      <c r="D51" s="525">
        <f t="shared" si="11"/>
        <v>64370</v>
      </c>
      <c r="E51" s="525">
        <f t="shared" si="11"/>
        <v>680042</v>
      </c>
      <c r="F51" s="525">
        <f t="shared" si="11"/>
        <v>-3861</v>
      </c>
      <c r="G51" s="525">
        <f t="shared" si="11"/>
        <v>62889</v>
      </c>
      <c r="H51" s="525">
        <f t="shared" si="11"/>
        <v>62889</v>
      </c>
      <c r="I51" s="525">
        <f t="shared" si="11"/>
        <v>62889</v>
      </c>
      <c r="J51" s="525">
        <f t="shared" si="11"/>
        <v>73745</v>
      </c>
      <c r="K51" s="525">
        <f t="shared" si="11"/>
        <v>64501</v>
      </c>
      <c r="L51" s="525">
        <f t="shared" si="11"/>
        <v>45501</v>
      </c>
      <c r="M51" s="525">
        <f t="shared" si="11"/>
        <v>45451</v>
      </c>
      <c r="N51" s="525">
        <f t="shared" si="11"/>
        <v>58401</v>
      </c>
      <c r="O51" s="526">
        <f t="shared" si="1"/>
        <v>1277059</v>
      </c>
    </row>
    <row r="52" spans="1:19" x14ac:dyDescent="0.2">
      <c r="E52" s="528"/>
      <c r="J52" s="504">
        <f>+J38-SUM(J20:J37)</f>
        <v>73084</v>
      </c>
      <c r="M52" s="504">
        <f>20305+20467</f>
        <v>40772</v>
      </c>
      <c r="Q52" s="528"/>
    </row>
    <row r="53" spans="1:19" ht="13.5" thickBot="1" x14ac:dyDescent="0.25">
      <c r="J53" s="528">
        <f>+J52-J50</f>
        <v>63501</v>
      </c>
    </row>
    <row r="54" spans="1:19" ht="13.5" thickBot="1" x14ac:dyDescent="0.25">
      <c r="B54" s="955" t="s">
        <v>162</v>
      </c>
      <c r="C54" s="1003"/>
      <c r="D54" s="1003"/>
      <c r="E54" s="1003"/>
      <c r="F54" s="1004"/>
      <c r="G54" s="1005">
        <f>O38</f>
        <v>1496474</v>
      </c>
      <c r="H54" s="1006"/>
    </row>
    <row r="55" spans="1:19" ht="13.5" thickBot="1" x14ac:dyDescent="0.25"/>
    <row r="56" spans="1:19" x14ac:dyDescent="0.2">
      <c r="B56" s="1007" t="s">
        <v>163</v>
      </c>
      <c r="C56" s="1010" t="s">
        <v>164</v>
      </c>
      <c r="D56" s="1013" t="s">
        <v>229</v>
      </c>
      <c r="E56" s="1014"/>
      <c r="F56" s="1015"/>
      <c r="G56" s="1016">
        <v>40000</v>
      </c>
      <c r="H56" s="1017"/>
    </row>
    <row r="57" spans="1:19" x14ac:dyDescent="0.2">
      <c r="B57" s="1008"/>
      <c r="C57" s="1011"/>
      <c r="D57" s="1018" t="s">
        <v>166</v>
      </c>
      <c r="E57" s="1019"/>
      <c r="F57" s="1020"/>
      <c r="G57" s="1021">
        <f>+O45</f>
        <v>2500</v>
      </c>
      <c r="H57" s="1022"/>
      <c r="I57" s="529"/>
      <c r="J57" s="1090"/>
      <c r="K57" s="1090"/>
      <c r="L57" s="1090"/>
      <c r="M57" s="1091"/>
      <c r="N57" s="1091"/>
      <c r="O57" s="1091"/>
    </row>
    <row r="58" spans="1:19" ht="13.5" thickBot="1" x14ac:dyDescent="0.25">
      <c r="B58" s="1009"/>
      <c r="C58" s="1012"/>
      <c r="D58" s="1023" t="s">
        <v>243</v>
      </c>
      <c r="E58" s="1024"/>
      <c r="F58" s="1025"/>
      <c r="G58" s="1026">
        <f>IF(O18&gt;15000,15000,+O18)</f>
        <v>0</v>
      </c>
      <c r="H58" s="1027"/>
      <c r="J58" s="531"/>
      <c r="K58" s="531"/>
      <c r="L58" s="531"/>
      <c r="M58" s="531"/>
      <c r="N58" s="531"/>
      <c r="O58" s="531"/>
    </row>
    <row r="59" spans="1:19" ht="13.5" thickBot="1" x14ac:dyDescent="0.25">
      <c r="B59" s="532"/>
      <c r="J59" s="531"/>
      <c r="K59" s="531"/>
      <c r="L59" s="531"/>
      <c r="M59" s="531"/>
      <c r="N59" s="531"/>
      <c r="O59" s="531"/>
    </row>
    <row r="60" spans="1:19" ht="13.5" thickBot="1" x14ac:dyDescent="0.25">
      <c r="B60" s="955" t="s">
        <v>168</v>
      </c>
      <c r="C60" s="956"/>
      <c r="D60" s="956"/>
      <c r="E60" s="956"/>
      <c r="F60" s="957"/>
      <c r="G60" s="1028">
        <f>+G54-SUM(G56:H58)</f>
        <v>1453974</v>
      </c>
      <c r="H60" s="1029"/>
      <c r="J60" s="992" t="s">
        <v>169</v>
      </c>
      <c r="K60" s="993"/>
      <c r="L60" s="993"/>
      <c r="M60" s="993"/>
      <c r="N60" s="993"/>
      <c r="O60" s="994"/>
    </row>
    <row r="61" spans="1:19" ht="13.5" thickBot="1" x14ac:dyDescent="0.25">
      <c r="B61" s="533"/>
      <c r="C61" s="534"/>
      <c r="D61" s="534"/>
      <c r="E61" s="534"/>
      <c r="F61" s="534"/>
      <c r="G61" s="656"/>
      <c r="H61" s="534"/>
      <c r="J61" s="658"/>
      <c r="K61" s="659"/>
      <c r="L61" s="659"/>
      <c r="M61" s="659"/>
      <c r="N61" s="659"/>
      <c r="O61" s="660"/>
    </row>
    <row r="62" spans="1:19" ht="13.5" thickBot="1" x14ac:dyDescent="0.25">
      <c r="B62" s="955" t="s">
        <v>170</v>
      </c>
      <c r="C62" s="956"/>
      <c r="D62" s="956"/>
      <c r="E62" s="956"/>
      <c r="F62" s="957"/>
      <c r="G62" s="1047"/>
      <c r="H62" s="957"/>
      <c r="J62" s="658"/>
      <c r="K62" s="659"/>
      <c r="L62" s="659"/>
      <c r="M62" s="659"/>
      <c r="N62" s="659"/>
      <c r="O62" s="660"/>
    </row>
    <row r="63" spans="1:19" ht="12.75" customHeight="1" x14ac:dyDescent="0.2">
      <c r="B63" s="538" t="s">
        <v>171</v>
      </c>
      <c r="C63" s="977" t="s">
        <v>172</v>
      </c>
      <c r="D63" s="978"/>
      <c r="E63" s="978"/>
      <c r="F63" s="979"/>
      <c r="G63" s="980">
        <v>316233</v>
      </c>
      <c r="H63" s="980"/>
      <c r="I63" s="539"/>
      <c r="J63" s="981" t="s">
        <v>173</v>
      </c>
      <c r="K63" s="982"/>
      <c r="L63" s="982"/>
      <c r="M63" s="982"/>
      <c r="N63" s="982"/>
      <c r="O63" s="983"/>
      <c r="Q63" s="540"/>
      <c r="R63" s="540"/>
      <c r="S63" s="540"/>
    </row>
    <row r="64" spans="1:19" ht="13.5" thickBot="1" x14ac:dyDescent="0.25">
      <c r="D64" s="527"/>
      <c r="I64" s="539"/>
      <c r="J64" s="541" t="s">
        <v>254</v>
      </c>
      <c r="K64" s="631"/>
      <c r="L64" s="631"/>
      <c r="M64" s="632"/>
      <c r="N64" s="632"/>
      <c r="O64" s="633"/>
      <c r="Q64" s="540"/>
      <c r="R64" s="540"/>
      <c r="S64" s="540"/>
    </row>
    <row r="65" spans="2:19" ht="13.5" thickBot="1" x14ac:dyDescent="0.25">
      <c r="B65" s="955" t="s">
        <v>175</v>
      </c>
      <c r="C65" s="956"/>
      <c r="D65" s="956"/>
      <c r="E65" s="956"/>
      <c r="F65" s="957"/>
      <c r="G65" s="1047">
        <f>+G60-G63</f>
        <v>1137741</v>
      </c>
      <c r="H65" s="957"/>
      <c r="I65" s="544"/>
      <c r="J65" s="545"/>
      <c r="K65" s="529"/>
      <c r="L65" s="529"/>
      <c r="M65" s="529"/>
      <c r="N65" s="529"/>
      <c r="O65" s="546"/>
      <c r="Q65" s="540"/>
      <c r="R65" s="540"/>
      <c r="S65" s="540"/>
    </row>
    <row r="66" spans="2:19" ht="12.75" customHeight="1" x14ac:dyDescent="0.2">
      <c r="B66" s="532"/>
      <c r="C66" s="532"/>
      <c r="I66" s="544"/>
      <c r="J66" s="547"/>
      <c r="K66" s="529"/>
      <c r="L66" s="529"/>
      <c r="M66" s="529"/>
      <c r="N66" s="529"/>
      <c r="O66" s="546"/>
      <c r="Q66" s="540"/>
      <c r="R66" s="540"/>
      <c r="S66" s="540"/>
    </row>
    <row r="67" spans="2:19" x14ac:dyDescent="0.2">
      <c r="B67" s="548" t="s">
        <v>669</v>
      </c>
      <c r="C67" s="532"/>
      <c r="I67" s="544"/>
      <c r="J67" s="549"/>
      <c r="K67" s="550"/>
      <c r="L67" s="550"/>
      <c r="M67" s="550"/>
      <c r="N67" s="550"/>
      <c r="O67" s="551"/>
      <c r="Q67" s="540"/>
      <c r="R67" s="540"/>
      <c r="S67" s="540"/>
    </row>
    <row r="68" spans="2:19" ht="26.25" customHeight="1" thickBot="1" x14ac:dyDescent="0.25">
      <c r="B68" s="548"/>
      <c r="C68" s="532"/>
      <c r="G68" s="552" t="s">
        <v>177</v>
      </c>
      <c r="H68" s="552" t="s">
        <v>178</v>
      </c>
      <c r="I68" s="544"/>
      <c r="J68" s="981" t="s">
        <v>179</v>
      </c>
      <c r="K68" s="982"/>
      <c r="L68" s="553"/>
      <c r="M68" s="553"/>
      <c r="N68" s="553"/>
      <c r="O68" s="655" t="s">
        <v>267</v>
      </c>
      <c r="Q68" s="540"/>
      <c r="R68" s="540"/>
      <c r="S68" s="540"/>
    </row>
    <row r="69" spans="2:19" ht="12.75" customHeight="1" x14ac:dyDescent="0.2">
      <c r="B69" s="968" t="s">
        <v>180</v>
      </c>
      <c r="C69" s="971" t="s">
        <v>181</v>
      </c>
      <c r="D69" s="973" t="s">
        <v>182</v>
      </c>
      <c r="E69" s="974"/>
      <c r="F69" s="974"/>
      <c r="G69" s="555">
        <f>+O44</f>
        <v>66000</v>
      </c>
      <c r="H69" s="556">
        <f t="shared" ref="H69:H77" si="12">+G69</f>
        <v>66000</v>
      </c>
      <c r="I69" s="544"/>
      <c r="J69" s="545" t="s">
        <v>231</v>
      </c>
      <c r="K69" s="539"/>
      <c r="L69" s="539"/>
      <c r="M69" s="539"/>
      <c r="N69" s="539"/>
      <c r="O69" s="558">
        <v>46836</v>
      </c>
      <c r="Q69" s="540"/>
      <c r="R69" s="540"/>
      <c r="S69" s="540"/>
    </row>
    <row r="70" spans="2:19" ht="12.75" customHeight="1" x14ac:dyDescent="0.2">
      <c r="B70" s="969"/>
      <c r="C70" s="972"/>
      <c r="D70" s="975" t="s">
        <v>184</v>
      </c>
      <c r="E70" s="976"/>
      <c r="F70" s="976"/>
      <c r="G70" s="559">
        <f>+O48</f>
        <v>46836</v>
      </c>
      <c r="H70" s="560">
        <f t="shared" si="12"/>
        <v>46836</v>
      </c>
      <c r="I70" s="544"/>
      <c r="J70" s="561"/>
      <c r="K70" s="539"/>
      <c r="L70" s="539"/>
      <c r="M70" s="566"/>
      <c r="N70" s="550"/>
      <c r="O70" s="562"/>
      <c r="Q70" s="540"/>
      <c r="R70" s="540"/>
      <c r="S70" s="540"/>
    </row>
    <row r="71" spans="2:19" ht="12.75" customHeight="1" x14ac:dyDescent="0.2">
      <c r="B71" s="969"/>
      <c r="C71" s="972"/>
      <c r="D71" s="990" t="s">
        <v>185</v>
      </c>
      <c r="E71" s="991"/>
      <c r="F71" s="991"/>
      <c r="G71" s="654">
        <f>O41</f>
        <v>360</v>
      </c>
      <c r="H71" s="560">
        <f t="shared" si="12"/>
        <v>360</v>
      </c>
      <c r="I71" s="544"/>
      <c r="J71" s="545"/>
      <c r="K71" s="550"/>
      <c r="L71" s="550"/>
      <c r="M71" s="550"/>
      <c r="N71" s="550"/>
      <c r="O71" s="551"/>
    </row>
    <row r="72" spans="2:19" x14ac:dyDescent="0.2">
      <c r="B72" s="969"/>
      <c r="C72" s="972"/>
      <c r="D72" s="975" t="s">
        <v>186</v>
      </c>
      <c r="E72" s="976"/>
      <c r="F72" s="976"/>
      <c r="G72" s="565">
        <v>0</v>
      </c>
      <c r="H72" s="560">
        <f t="shared" si="12"/>
        <v>0</v>
      </c>
      <c r="I72" s="544"/>
      <c r="J72" s="561"/>
      <c r="K72" s="539"/>
      <c r="L72" s="539"/>
      <c r="M72" s="566"/>
      <c r="N72" s="539"/>
      <c r="O72" s="558"/>
    </row>
    <row r="73" spans="2:19" ht="12.75" customHeight="1" x14ac:dyDescent="0.2">
      <c r="B73" s="969"/>
      <c r="C73" s="972"/>
      <c r="D73" s="950" t="s">
        <v>188</v>
      </c>
      <c r="E73" s="976"/>
      <c r="F73" s="976"/>
      <c r="G73" s="654">
        <v>0</v>
      </c>
      <c r="H73" s="560">
        <f t="shared" si="12"/>
        <v>0</v>
      </c>
      <c r="I73" s="544"/>
      <c r="J73" s="547"/>
      <c r="K73" s="534"/>
      <c r="L73" s="534"/>
      <c r="M73" s="566"/>
      <c r="N73" s="534"/>
      <c r="O73" s="570"/>
    </row>
    <row r="74" spans="2:19" ht="14.25" customHeight="1" x14ac:dyDescent="0.2">
      <c r="B74" s="969"/>
      <c r="C74" s="972"/>
      <c r="D74" s="975" t="s">
        <v>190</v>
      </c>
      <c r="E74" s="976"/>
      <c r="F74" s="976"/>
      <c r="G74" s="568">
        <v>0</v>
      </c>
      <c r="H74" s="560">
        <f t="shared" si="12"/>
        <v>0</v>
      </c>
      <c r="I74" s="544"/>
      <c r="J74" s="547"/>
      <c r="K74" s="529"/>
      <c r="L74" s="529"/>
      <c r="M74" s="529"/>
      <c r="N74" s="529"/>
      <c r="O74" s="546"/>
    </row>
    <row r="75" spans="2:19" x14ac:dyDescent="0.2">
      <c r="B75" s="969"/>
      <c r="C75" s="972"/>
      <c r="D75" s="975" t="s">
        <v>191</v>
      </c>
      <c r="E75" s="976"/>
      <c r="F75" s="976"/>
      <c r="G75" s="565">
        <v>31443</v>
      </c>
      <c r="H75" s="560">
        <f t="shared" si="12"/>
        <v>31443</v>
      </c>
      <c r="I75" s="539"/>
      <c r="J75" s="572" t="s">
        <v>187</v>
      </c>
      <c r="K75" s="553"/>
      <c r="L75" s="553"/>
      <c r="M75" s="553"/>
      <c r="N75" s="553"/>
      <c r="O75" s="554"/>
    </row>
    <row r="76" spans="2:19" x14ac:dyDescent="0.2">
      <c r="B76" s="969"/>
      <c r="C76" s="571" t="s">
        <v>192</v>
      </c>
      <c r="D76" s="984" t="s">
        <v>193</v>
      </c>
      <c r="E76" s="985"/>
      <c r="F76" s="985"/>
      <c r="G76" s="654">
        <v>0</v>
      </c>
      <c r="H76" s="560">
        <f t="shared" si="12"/>
        <v>0</v>
      </c>
      <c r="I76" s="539"/>
      <c r="J76" s="545" t="s">
        <v>189</v>
      </c>
      <c r="K76" s="534"/>
      <c r="L76" s="534"/>
      <c r="M76" s="534"/>
      <c r="N76" s="534"/>
      <c r="O76" s="570">
        <f>O43</f>
        <v>4600</v>
      </c>
    </row>
    <row r="77" spans="2:19" ht="13.5" customHeight="1" thickBot="1" x14ac:dyDescent="0.25">
      <c r="B77" s="969"/>
      <c r="C77" s="571" t="s">
        <v>194</v>
      </c>
      <c r="D77" s="986" t="s">
        <v>195</v>
      </c>
      <c r="E77" s="986"/>
      <c r="F77" s="986"/>
      <c r="G77" s="573">
        <v>0</v>
      </c>
      <c r="H77" s="574">
        <f t="shared" si="12"/>
        <v>0</v>
      </c>
      <c r="I77" s="544"/>
      <c r="J77" s="644"/>
      <c r="K77" s="645"/>
      <c r="L77" s="645"/>
      <c r="M77" s="620"/>
      <c r="N77" s="620"/>
      <c r="O77" s="621"/>
    </row>
    <row r="78" spans="2:19" ht="13.5" thickBot="1" x14ac:dyDescent="0.25">
      <c r="B78" s="969"/>
      <c r="C78" s="575"/>
      <c r="D78" s="576"/>
      <c r="E78" s="987" t="s">
        <v>117</v>
      </c>
      <c r="F78" s="988"/>
      <c r="G78" s="577">
        <f>SUM(G69:G77)</f>
        <v>144639</v>
      </c>
      <c r="H78" s="578">
        <f>IF(SUM(G69:G75)&lt;150000,SUM(G69:G75),150000)+IF(+G76&lt;20000,+G76,20000)</f>
        <v>144639</v>
      </c>
      <c r="I78" s="544"/>
      <c r="J78" s="579"/>
      <c r="K78" s="580"/>
      <c r="L78" s="580"/>
      <c r="M78" s="581"/>
      <c r="N78" s="581"/>
      <c r="O78" s="582"/>
    </row>
    <row r="79" spans="2:19" ht="12.75" customHeight="1" x14ac:dyDescent="0.2">
      <c r="B79" s="969"/>
      <c r="C79" s="583" t="s">
        <v>196</v>
      </c>
      <c r="D79" s="975" t="s">
        <v>187</v>
      </c>
      <c r="E79" s="976"/>
      <c r="F79" s="989"/>
      <c r="G79" s="555">
        <v>16600</v>
      </c>
      <c r="H79" s="584">
        <f>+IF(+G79&lt;25000,+G79,25000)</f>
        <v>16600</v>
      </c>
      <c r="I79" s="585"/>
    </row>
    <row r="80" spans="2:19" x14ac:dyDescent="0.2">
      <c r="B80" s="969"/>
      <c r="C80" s="583" t="s">
        <v>197</v>
      </c>
      <c r="D80" s="950" t="s">
        <v>198</v>
      </c>
      <c r="E80" s="951"/>
      <c r="F80" s="952"/>
      <c r="G80" s="586"/>
      <c r="H80" s="587">
        <f>+IF(+G80&lt;40000,+G80,40000)</f>
        <v>0</v>
      </c>
      <c r="I80" s="544"/>
    </row>
    <row r="81" spans="2:19" x14ac:dyDescent="0.2">
      <c r="B81" s="969"/>
      <c r="C81" s="583" t="s">
        <v>199</v>
      </c>
      <c r="D81" s="950" t="s">
        <v>200</v>
      </c>
      <c r="E81" s="951"/>
      <c r="F81" s="952"/>
      <c r="G81" s="565"/>
      <c r="H81" s="588">
        <v>0</v>
      </c>
      <c r="I81" s="544"/>
      <c r="J81" s="590"/>
    </row>
    <row r="82" spans="2:19" x14ac:dyDescent="0.2">
      <c r="B82" s="969"/>
      <c r="C82" s="583" t="s">
        <v>201</v>
      </c>
      <c r="D82" s="950" t="s">
        <v>202</v>
      </c>
      <c r="E82" s="951"/>
      <c r="F82" s="952"/>
      <c r="G82" s="565"/>
      <c r="H82" s="588">
        <v>0</v>
      </c>
      <c r="I82" s="544"/>
    </row>
    <row r="83" spans="2:19" ht="13.5" thickBot="1" x14ac:dyDescent="0.25">
      <c r="B83" s="970"/>
      <c r="C83" s="583" t="s">
        <v>203</v>
      </c>
      <c r="D83" s="950" t="s">
        <v>204</v>
      </c>
      <c r="E83" s="951"/>
      <c r="F83" s="952"/>
      <c r="G83" s="586"/>
      <c r="H83" s="587">
        <f>+IF(+G83&lt;100000,+G83,10000)</f>
        <v>0</v>
      </c>
      <c r="I83" s="544"/>
    </row>
    <row r="84" spans="2:19" ht="13.5" thickBot="1" x14ac:dyDescent="0.25">
      <c r="B84" s="953" t="s">
        <v>205</v>
      </c>
      <c r="C84" s="954"/>
      <c r="D84" s="954"/>
      <c r="E84" s="954"/>
      <c r="F84" s="954"/>
      <c r="G84" s="591">
        <f>SUM(G79:G83)</f>
        <v>16600</v>
      </c>
      <c r="H84" s="592">
        <f>SUM(H78:H83)</f>
        <v>161239</v>
      </c>
    </row>
    <row r="85" spans="2:19" ht="13.5" thickBot="1" x14ac:dyDescent="0.25"/>
    <row r="86" spans="2:19" ht="13.5" thickBot="1" x14ac:dyDescent="0.25">
      <c r="B86" s="955" t="s">
        <v>206</v>
      </c>
      <c r="C86" s="956"/>
      <c r="D86" s="956"/>
      <c r="E86" s="956"/>
      <c r="F86" s="957"/>
      <c r="G86" s="958">
        <f>+G65-H84</f>
        <v>976502</v>
      </c>
      <c r="H86" s="957"/>
      <c r="J86" s="605">
        <f>C38+D38+E38+F38</f>
        <v>904894</v>
      </c>
      <c r="K86" s="504" t="s">
        <v>235</v>
      </c>
      <c r="P86" s="605"/>
      <c r="Q86" s="605"/>
      <c r="R86" s="605"/>
      <c r="S86" s="605"/>
    </row>
    <row r="87" spans="2:19" x14ac:dyDescent="0.2">
      <c r="B87" s="594"/>
      <c r="F87" s="593"/>
      <c r="J87" s="605">
        <f>G38+H38+I38</f>
        <v>215916</v>
      </c>
      <c r="K87" s="504" t="s">
        <v>236</v>
      </c>
    </row>
    <row r="88" spans="2:19" x14ac:dyDescent="0.2">
      <c r="C88" s="959" t="s">
        <v>207</v>
      </c>
      <c r="D88" s="960"/>
      <c r="E88" s="595" t="s">
        <v>208</v>
      </c>
      <c r="F88" s="595" t="s">
        <v>209</v>
      </c>
      <c r="G88" s="595" t="s">
        <v>210</v>
      </c>
      <c r="H88" s="595" t="s">
        <v>211</v>
      </c>
      <c r="J88" s="605">
        <f>J38+K38+L38</f>
        <v>229496</v>
      </c>
      <c r="K88" s="531" t="s">
        <v>237</v>
      </c>
    </row>
    <row r="89" spans="2:19" x14ac:dyDescent="0.2">
      <c r="C89" s="961" t="str">
        <f>IF(I6="M","0          - 250000","0          -  250000")</f>
        <v>0          - 250000</v>
      </c>
      <c r="D89" s="962"/>
      <c r="E89" s="597">
        <v>0</v>
      </c>
      <c r="F89" s="598">
        <f>IF(I6="M",(IF(G86&lt;250000,G86,250000)),(IF(G86&lt;250000,G86,250000)))</f>
        <v>250000</v>
      </c>
      <c r="G89" s="598">
        <f>G86-F89</f>
        <v>726502</v>
      </c>
      <c r="H89" s="598">
        <f>E89*F89</f>
        <v>0</v>
      </c>
      <c r="J89" s="504">
        <f>M38+N38</f>
        <v>146168</v>
      </c>
      <c r="K89" s="490" t="s">
        <v>238</v>
      </c>
    </row>
    <row r="90" spans="2:19" x14ac:dyDescent="0.2">
      <c r="C90" s="961" t="str">
        <f>IF(I6="M","250001 - 500000","250001-500000")</f>
        <v>250001 - 500000</v>
      </c>
      <c r="D90" s="962"/>
      <c r="E90" s="597">
        <v>0.05</v>
      </c>
      <c r="F90" s="598">
        <f>IF(I6="M",(IF(G89&lt;250000,G89,250000)),(IF(G89&lt;250000,G89,250000)))</f>
        <v>250000</v>
      </c>
      <c r="G90" s="598">
        <f>G89-F90</f>
        <v>476502</v>
      </c>
      <c r="H90" s="600">
        <f>ROUND(E90*F90,0.1)</f>
        <v>12500</v>
      </c>
      <c r="J90" s="601">
        <f>SUM(J86:J89)</f>
        <v>1496474</v>
      </c>
    </row>
    <row r="91" spans="2:19" x14ac:dyDescent="0.2">
      <c r="C91" s="963" t="s">
        <v>212</v>
      </c>
      <c r="D91" s="964"/>
      <c r="E91" s="597">
        <v>0.2</v>
      </c>
      <c r="F91" s="598">
        <f>IF(G90&lt;500000,G90,500000)</f>
        <v>476502</v>
      </c>
      <c r="G91" s="598">
        <f>G90-F91</f>
        <v>0</v>
      </c>
      <c r="H91" s="600">
        <f>ROUND(E91*F91,0.1)</f>
        <v>95300</v>
      </c>
      <c r="J91" s="504">
        <f>+G86</f>
        <v>976502</v>
      </c>
    </row>
    <row r="92" spans="2:19" x14ac:dyDescent="0.2">
      <c r="C92" s="961" t="s">
        <v>213</v>
      </c>
      <c r="D92" s="962"/>
      <c r="E92" s="597">
        <v>0.3</v>
      </c>
      <c r="F92" s="598">
        <f>G91</f>
        <v>0</v>
      </c>
      <c r="G92" s="598">
        <f>G91-F92</f>
        <v>0</v>
      </c>
      <c r="H92" s="600">
        <f>ROUND(E92*F92,0.1)</f>
        <v>0</v>
      </c>
      <c r="J92" s="504">
        <f>+J90-J91</f>
        <v>519972</v>
      </c>
    </row>
    <row r="93" spans="2:19" ht="12.75" customHeight="1" thickBot="1" x14ac:dyDescent="0.25">
      <c r="B93" s="602"/>
      <c r="C93" s="603"/>
      <c r="D93" s="531"/>
      <c r="E93" s="531"/>
      <c r="F93" s="531"/>
      <c r="K93" s="623"/>
    </row>
    <row r="94" spans="2:19" ht="13.5" thickBot="1" x14ac:dyDescent="0.25">
      <c r="B94" s="965" t="s">
        <v>239</v>
      </c>
      <c r="C94" s="966"/>
      <c r="D94" s="966"/>
      <c r="E94" s="966"/>
      <c r="F94" s="967"/>
      <c r="G94" s="1088">
        <f>H89+H90+H91+H92</f>
        <v>107800</v>
      </c>
      <c r="H94" s="1089"/>
    </row>
    <row r="95" spans="2:19" ht="13.5" thickBot="1" x14ac:dyDescent="0.25">
      <c r="B95" s="606" t="s">
        <v>1354</v>
      </c>
      <c r="C95" s="607"/>
      <c r="D95" s="607"/>
      <c r="E95" s="607"/>
      <c r="F95" s="607"/>
      <c r="G95" s="1080">
        <v>100191</v>
      </c>
      <c r="H95" s="1081"/>
    </row>
    <row r="96" spans="2:19" ht="13.5" thickBot="1" x14ac:dyDescent="0.25">
      <c r="B96" s="606" t="s">
        <v>215</v>
      </c>
      <c r="C96" s="607"/>
      <c r="D96" s="607"/>
      <c r="E96" s="607"/>
      <c r="F96" s="607"/>
      <c r="G96" s="1082">
        <f>IF((G65&lt;500000),5000,0)</f>
        <v>0</v>
      </c>
      <c r="H96" s="1083">
        <f>IF(H93&lt;200000,0,IF(H93&lt;220000,((H93-200000)*10%),IF(H93&lt;=500000,2000,IF(H93&gt;=500000,0))))</f>
        <v>0</v>
      </c>
      <c r="J96" s="490"/>
      <c r="K96" s="610"/>
      <c r="L96" s="610"/>
    </row>
    <row r="97" spans="2:9" ht="13.5" thickBot="1" x14ac:dyDescent="0.25">
      <c r="B97" s="611" t="s">
        <v>216</v>
      </c>
      <c r="C97" s="612"/>
      <c r="D97" s="612"/>
      <c r="E97" s="612"/>
      <c r="F97" s="612"/>
      <c r="G97" s="943">
        <f>IF((G94-G95-G96)&lt;0,0,(G94-G95-G96))</f>
        <v>7609</v>
      </c>
      <c r="H97" s="944"/>
      <c r="I97" s="527"/>
    </row>
    <row r="98" spans="2:9" ht="13.5" thickBot="1" x14ac:dyDescent="0.25">
      <c r="B98" s="945" t="s">
        <v>240</v>
      </c>
      <c r="C98" s="946"/>
      <c r="D98" s="946"/>
      <c r="E98" s="946"/>
      <c r="F98" s="947"/>
      <c r="G98" s="1084">
        <f>ROUND((IF(G97&gt;0,(G97*4%),0)),0)</f>
        <v>304</v>
      </c>
      <c r="H98" s="1085"/>
      <c r="I98" s="527"/>
    </row>
    <row r="99" spans="2:9" ht="13.5" thickBot="1" x14ac:dyDescent="0.25">
      <c r="B99" s="933" t="s">
        <v>218</v>
      </c>
      <c r="C99" s="934"/>
      <c r="D99" s="934"/>
      <c r="E99" s="934"/>
      <c r="F99" s="934"/>
      <c r="G99" s="1086">
        <f>G97+G98</f>
        <v>7913</v>
      </c>
      <c r="H99" s="1087"/>
      <c r="I99" s="610"/>
    </row>
    <row r="100" spans="2:9" ht="13.5" thickBot="1" x14ac:dyDescent="0.25">
      <c r="B100" s="937" t="s">
        <v>219</v>
      </c>
      <c r="C100" s="938"/>
      <c r="D100" s="938"/>
      <c r="E100" s="938"/>
      <c r="F100" s="938"/>
      <c r="G100" s="1078">
        <f>O39</f>
        <v>99119</v>
      </c>
      <c r="H100" s="1079"/>
      <c r="I100" s="610"/>
    </row>
    <row r="101" spans="2:9" ht="13.5" thickBot="1" x14ac:dyDescent="0.25">
      <c r="B101" s="937" t="str">
        <f>IF(G101&gt;0,"TAX PAYABLE","TAX REFUND")</f>
        <v>TAX REFUND</v>
      </c>
      <c r="C101" s="938"/>
      <c r="D101" s="938"/>
      <c r="E101" s="938"/>
      <c r="F101" s="938"/>
      <c r="G101" s="1078">
        <f>+G99-G100</f>
        <v>-91206</v>
      </c>
      <c r="H101" s="1079"/>
      <c r="I101" s="527"/>
    </row>
    <row r="102" spans="2:9" x14ac:dyDescent="0.2">
      <c r="C102" s="613"/>
      <c r="D102" s="656"/>
      <c r="E102" s="604"/>
      <c r="F102" s="604"/>
      <c r="G102" s="604"/>
      <c r="H102" s="604"/>
      <c r="I102" s="614"/>
    </row>
    <row r="103" spans="2:9" x14ac:dyDescent="0.2">
      <c r="C103" s="531"/>
      <c r="D103" s="534"/>
      <c r="E103" s="603"/>
      <c r="F103" s="531"/>
      <c r="G103" s="531"/>
      <c r="H103" s="531"/>
      <c r="I103" s="614"/>
    </row>
    <row r="104" spans="2:9" x14ac:dyDescent="0.2">
      <c r="C104" s="529"/>
      <c r="D104" s="615"/>
      <c r="E104" s="615"/>
      <c r="F104" s="615"/>
      <c r="G104" s="529"/>
      <c r="H104" s="529"/>
      <c r="I104" s="527"/>
    </row>
    <row r="105" spans="2:9" x14ac:dyDescent="0.2">
      <c r="C105" s="529"/>
      <c r="D105" s="615"/>
      <c r="E105" s="615"/>
      <c r="F105" s="529"/>
      <c r="G105" s="529"/>
      <c r="H105" s="529"/>
      <c r="I105" s="527"/>
    </row>
    <row r="106" spans="2:9" x14ac:dyDescent="0.2">
      <c r="C106" s="529"/>
      <c r="D106" s="615"/>
      <c r="E106" s="615"/>
      <c r="F106" s="529"/>
      <c r="G106" s="529"/>
      <c r="H106" s="529"/>
      <c r="I106" s="527"/>
    </row>
    <row r="107" spans="2:9" x14ac:dyDescent="0.2">
      <c r="C107" s="529"/>
      <c r="D107" s="529"/>
      <c r="E107" s="529"/>
      <c r="F107" s="529"/>
      <c r="G107" s="529"/>
      <c r="H107" s="529"/>
      <c r="I107" s="527"/>
    </row>
    <row r="108" spans="2:9" x14ac:dyDescent="0.2">
      <c r="C108" s="529"/>
      <c r="D108" s="529"/>
      <c r="E108" s="529"/>
      <c r="F108" s="529"/>
      <c r="G108" s="529"/>
      <c r="H108" s="529"/>
      <c r="I108" s="610"/>
    </row>
    <row r="109" spans="2:9" x14ac:dyDescent="0.2">
      <c r="C109" s="529"/>
      <c r="D109" s="529"/>
      <c r="E109" s="529"/>
      <c r="F109" s="529"/>
      <c r="G109" s="529"/>
      <c r="H109" s="529"/>
    </row>
  </sheetData>
  <mergeCells count="94">
    <mergeCell ref="B101:F101"/>
    <mergeCell ref="G101:H101"/>
    <mergeCell ref="A1:C1"/>
    <mergeCell ref="D1:F1"/>
    <mergeCell ref="G1:H1"/>
    <mergeCell ref="A3:C3"/>
    <mergeCell ref="D3:F3"/>
    <mergeCell ref="G3:H3"/>
    <mergeCell ref="A37:B37"/>
    <mergeCell ref="A5:C5"/>
    <mergeCell ref="D5:F5"/>
    <mergeCell ref="G5:H5"/>
    <mergeCell ref="A39:A49"/>
    <mergeCell ref="A50:B50"/>
    <mergeCell ref="A51:B51"/>
    <mergeCell ref="B54:F54"/>
    <mergeCell ref="I1:O1"/>
    <mergeCell ref="A2:C2"/>
    <mergeCell ref="D2:F2"/>
    <mergeCell ref="G2:H2"/>
    <mergeCell ref="I2:O2"/>
    <mergeCell ref="I3:O3"/>
    <mergeCell ref="A4:C4"/>
    <mergeCell ref="D4:F4"/>
    <mergeCell ref="G4:H4"/>
    <mergeCell ref="I4:O4"/>
    <mergeCell ref="I5:O5"/>
    <mergeCell ref="A6:C6"/>
    <mergeCell ref="D6:F6"/>
    <mergeCell ref="G6:H6"/>
    <mergeCell ref="J6:O6"/>
    <mergeCell ref="L7:O7"/>
    <mergeCell ref="A8:B8"/>
    <mergeCell ref="A21:A33"/>
    <mergeCell ref="A35:B35"/>
    <mergeCell ref="A36:B36"/>
    <mergeCell ref="G54:H54"/>
    <mergeCell ref="B60:F60"/>
    <mergeCell ref="G60:H60"/>
    <mergeCell ref="J60:O60"/>
    <mergeCell ref="B56:B58"/>
    <mergeCell ref="C56:C58"/>
    <mergeCell ref="D56:F56"/>
    <mergeCell ref="G56:H56"/>
    <mergeCell ref="D57:F57"/>
    <mergeCell ref="G57:H57"/>
    <mergeCell ref="J57:L57"/>
    <mergeCell ref="M57:O57"/>
    <mergeCell ref="D58:F58"/>
    <mergeCell ref="G58:H58"/>
    <mergeCell ref="J63:O63"/>
    <mergeCell ref="D81:F81"/>
    <mergeCell ref="J68:K68"/>
    <mergeCell ref="B65:F65"/>
    <mergeCell ref="G65:H65"/>
    <mergeCell ref="D76:F76"/>
    <mergeCell ref="D77:F77"/>
    <mergeCell ref="E78:F78"/>
    <mergeCell ref="D79:F79"/>
    <mergeCell ref="D80:F80"/>
    <mergeCell ref="D71:F71"/>
    <mergeCell ref="D72:F72"/>
    <mergeCell ref="C69:C75"/>
    <mergeCell ref="D69:F69"/>
    <mergeCell ref="D70:F70"/>
    <mergeCell ref="D74:F74"/>
    <mergeCell ref="G62:H62"/>
    <mergeCell ref="C63:F63"/>
    <mergeCell ref="G63:H63"/>
    <mergeCell ref="B62:F62"/>
    <mergeCell ref="D73:F73"/>
    <mergeCell ref="D75:F75"/>
    <mergeCell ref="G94:H94"/>
    <mergeCell ref="D82:F82"/>
    <mergeCell ref="D83:F83"/>
    <mergeCell ref="B84:F84"/>
    <mergeCell ref="B86:F86"/>
    <mergeCell ref="G86:H86"/>
    <mergeCell ref="C88:D88"/>
    <mergeCell ref="C89:D89"/>
    <mergeCell ref="C90:D90"/>
    <mergeCell ref="C91:D91"/>
    <mergeCell ref="C92:D92"/>
    <mergeCell ref="B94:F94"/>
    <mergeCell ref="B69:B83"/>
    <mergeCell ref="B100:F100"/>
    <mergeCell ref="G100:H100"/>
    <mergeCell ref="G95:H95"/>
    <mergeCell ref="G96:H96"/>
    <mergeCell ref="G97:H97"/>
    <mergeCell ref="B98:F98"/>
    <mergeCell ref="G98:H98"/>
    <mergeCell ref="B99:F99"/>
    <mergeCell ref="G99:H99"/>
  </mergeCells>
  <conditionalFormatting sqref="B101:F101 B91:F91 B94:F99">
    <cfRule type="cellIs" dxfId="1877" priority="1" stopIfTrue="1" operator="equal">
      <formula>"TAX PAYABLE"</formula>
    </cfRule>
    <cfRule type="cellIs" dxfId="1876" priority="2" stopIfTrue="1" operator="equal">
      <formula>"TAX REFUND"</formula>
    </cfRule>
  </conditionalFormatting>
  <conditionalFormatting sqref="G101:H101">
    <cfRule type="cellIs" dxfId="1875" priority="3" stopIfTrue="1" operator="greaterThan">
      <formula>0</formula>
    </cfRule>
    <cfRule type="cellIs" dxfId="1874" priority="4" stopIfTrue="1" operator="lessThanOrEqual">
      <formula>0</formula>
    </cfRule>
  </conditionalFormatting>
  <conditionalFormatting sqref="G91:H91">
    <cfRule type="cellIs" dxfId="1873" priority="5" stopIfTrue="1" operator="lessThan">
      <formula>0</formula>
    </cfRule>
    <cfRule type="cellIs" dxfId="1872" priority="6" stopIfTrue="1" operator="greaterThan">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$Q$8:$Q$9</formula1>
    </dataValidation>
  </dataValidations>
  <pageMargins left="0.7" right="0.7" top="0.75" bottom="0.75" header="0.3" footer="0.3"/>
  <pageSetup paperSize="5" orientation="landscape" horizontalDpi="300" verticalDpi="300" r:id="rId1"/>
  <headerFooter alignWithMargins="0"/>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111"/>
  <sheetViews>
    <sheetView topLeftCell="A66" workbookViewId="0">
      <selection activeCell="J100" sqref="J100"/>
    </sheetView>
  </sheetViews>
  <sheetFormatPr defaultRowHeight="12.75" x14ac:dyDescent="0.2"/>
  <cols>
    <col min="1" max="1" width="5" style="504" customWidth="1"/>
    <col min="2" max="2" width="18.5703125" style="527" customWidth="1"/>
    <col min="3" max="4" width="8.42578125" style="504" customWidth="1"/>
    <col min="5" max="5" width="7.7109375" style="504" customWidth="1"/>
    <col min="6" max="6" width="8.140625" style="504" customWidth="1"/>
    <col min="7" max="8" width="8.5703125" style="504" customWidth="1"/>
    <col min="9" max="14" width="8.42578125" style="504" customWidth="1"/>
    <col min="15" max="20" width="9.140625" style="504"/>
    <col min="21" max="21" width="12.42578125" style="504" customWidth="1"/>
    <col min="22" max="22" width="9.140625" style="504"/>
    <col min="23" max="23" width="12" style="504" customWidth="1"/>
    <col min="24" max="256" width="9.140625" style="504"/>
    <col min="257" max="257" width="5" style="504" customWidth="1"/>
    <col min="258" max="258" width="18.5703125" style="504" customWidth="1"/>
    <col min="259" max="260" width="8.42578125" style="504" customWidth="1"/>
    <col min="261" max="261" width="7.7109375" style="504" customWidth="1"/>
    <col min="262" max="262" width="8.140625" style="504" customWidth="1"/>
    <col min="263" max="264" width="8.5703125" style="504" customWidth="1"/>
    <col min="265" max="270" width="8.42578125" style="504" customWidth="1"/>
    <col min="271" max="276" width="9.140625" style="504"/>
    <col min="277" max="277" width="12.42578125" style="504" customWidth="1"/>
    <col min="278" max="278" width="9.140625" style="504"/>
    <col min="279" max="279" width="12" style="504" customWidth="1"/>
    <col min="280" max="512" width="9.140625" style="504"/>
    <col min="513" max="513" width="5" style="504" customWidth="1"/>
    <col min="514" max="514" width="18.5703125" style="504" customWidth="1"/>
    <col min="515" max="516" width="8.42578125" style="504" customWidth="1"/>
    <col min="517" max="517" width="7.7109375" style="504" customWidth="1"/>
    <col min="518" max="518" width="8.140625" style="504" customWidth="1"/>
    <col min="519" max="520" width="8.5703125" style="504" customWidth="1"/>
    <col min="521" max="526" width="8.42578125" style="504" customWidth="1"/>
    <col min="527" max="532" width="9.140625" style="504"/>
    <col min="533" max="533" width="12.42578125" style="504" customWidth="1"/>
    <col min="534" max="534" width="9.140625" style="504"/>
    <col min="535" max="535" width="12" style="504" customWidth="1"/>
    <col min="536" max="768" width="9.140625" style="504"/>
    <col min="769" max="769" width="5" style="504" customWidth="1"/>
    <col min="770" max="770" width="18.5703125" style="504" customWidth="1"/>
    <col min="771" max="772" width="8.42578125" style="504" customWidth="1"/>
    <col min="773" max="773" width="7.7109375" style="504" customWidth="1"/>
    <col min="774" max="774" width="8.140625" style="504" customWidth="1"/>
    <col min="775" max="776" width="8.5703125" style="504" customWidth="1"/>
    <col min="777" max="782" width="8.42578125" style="504" customWidth="1"/>
    <col min="783" max="788" width="9.140625" style="504"/>
    <col min="789" max="789" width="12.42578125" style="504" customWidth="1"/>
    <col min="790" max="790" width="9.140625" style="504"/>
    <col min="791" max="791" width="12" style="504" customWidth="1"/>
    <col min="792" max="1024" width="9.140625" style="504"/>
    <col min="1025" max="1025" width="5" style="504" customWidth="1"/>
    <col min="1026" max="1026" width="18.5703125" style="504" customWidth="1"/>
    <col min="1027" max="1028" width="8.42578125" style="504" customWidth="1"/>
    <col min="1029" max="1029" width="7.7109375" style="504" customWidth="1"/>
    <col min="1030" max="1030" width="8.140625" style="504" customWidth="1"/>
    <col min="1031" max="1032" width="8.5703125" style="504" customWidth="1"/>
    <col min="1033" max="1038" width="8.42578125" style="504" customWidth="1"/>
    <col min="1039" max="1044" width="9.140625" style="504"/>
    <col min="1045" max="1045" width="12.42578125" style="504" customWidth="1"/>
    <col min="1046" max="1046" width="9.140625" style="504"/>
    <col min="1047" max="1047" width="12" style="504" customWidth="1"/>
    <col min="1048" max="1280" width="9.140625" style="504"/>
    <col min="1281" max="1281" width="5" style="504" customWidth="1"/>
    <col min="1282" max="1282" width="18.5703125" style="504" customWidth="1"/>
    <col min="1283" max="1284" width="8.42578125" style="504" customWidth="1"/>
    <col min="1285" max="1285" width="7.7109375" style="504" customWidth="1"/>
    <col min="1286" max="1286" width="8.140625" style="504" customWidth="1"/>
    <col min="1287" max="1288" width="8.5703125" style="504" customWidth="1"/>
    <col min="1289" max="1294" width="8.42578125" style="504" customWidth="1"/>
    <col min="1295" max="1300" width="9.140625" style="504"/>
    <col min="1301" max="1301" width="12.42578125" style="504" customWidth="1"/>
    <col min="1302" max="1302" width="9.140625" style="504"/>
    <col min="1303" max="1303" width="12" style="504" customWidth="1"/>
    <col min="1304" max="1536" width="9.140625" style="504"/>
    <col min="1537" max="1537" width="5" style="504" customWidth="1"/>
    <col min="1538" max="1538" width="18.5703125" style="504" customWidth="1"/>
    <col min="1539" max="1540" width="8.42578125" style="504" customWidth="1"/>
    <col min="1541" max="1541" width="7.7109375" style="504" customWidth="1"/>
    <col min="1542" max="1542" width="8.140625" style="504" customWidth="1"/>
    <col min="1543" max="1544" width="8.5703125" style="504" customWidth="1"/>
    <col min="1545" max="1550" width="8.42578125" style="504" customWidth="1"/>
    <col min="1551" max="1556" width="9.140625" style="504"/>
    <col min="1557" max="1557" width="12.42578125" style="504" customWidth="1"/>
    <col min="1558" max="1558" width="9.140625" style="504"/>
    <col min="1559" max="1559" width="12" style="504" customWidth="1"/>
    <col min="1560" max="1792" width="9.140625" style="504"/>
    <col min="1793" max="1793" width="5" style="504" customWidth="1"/>
    <col min="1794" max="1794" width="18.5703125" style="504" customWidth="1"/>
    <col min="1795" max="1796" width="8.42578125" style="504" customWidth="1"/>
    <col min="1797" max="1797" width="7.7109375" style="504" customWidth="1"/>
    <col min="1798" max="1798" width="8.140625" style="504" customWidth="1"/>
    <col min="1799" max="1800" width="8.5703125" style="504" customWidth="1"/>
    <col min="1801" max="1806" width="8.42578125" style="504" customWidth="1"/>
    <col min="1807" max="1812" width="9.140625" style="504"/>
    <col min="1813" max="1813" width="12.42578125" style="504" customWidth="1"/>
    <col min="1814" max="1814" width="9.140625" style="504"/>
    <col min="1815" max="1815" width="12" style="504" customWidth="1"/>
    <col min="1816" max="2048" width="9.140625" style="504"/>
    <col min="2049" max="2049" width="5" style="504" customWidth="1"/>
    <col min="2050" max="2050" width="18.5703125" style="504" customWidth="1"/>
    <col min="2051" max="2052" width="8.42578125" style="504" customWidth="1"/>
    <col min="2053" max="2053" width="7.7109375" style="504" customWidth="1"/>
    <col min="2054" max="2054" width="8.140625" style="504" customWidth="1"/>
    <col min="2055" max="2056" width="8.5703125" style="504" customWidth="1"/>
    <col min="2057" max="2062" width="8.42578125" style="504" customWidth="1"/>
    <col min="2063" max="2068" width="9.140625" style="504"/>
    <col min="2069" max="2069" width="12.42578125" style="504" customWidth="1"/>
    <col min="2070" max="2070" width="9.140625" style="504"/>
    <col min="2071" max="2071" width="12" style="504" customWidth="1"/>
    <col min="2072" max="2304" width="9.140625" style="504"/>
    <col min="2305" max="2305" width="5" style="504" customWidth="1"/>
    <col min="2306" max="2306" width="18.5703125" style="504" customWidth="1"/>
    <col min="2307" max="2308" width="8.42578125" style="504" customWidth="1"/>
    <col min="2309" max="2309" width="7.7109375" style="504" customWidth="1"/>
    <col min="2310" max="2310" width="8.140625" style="504" customWidth="1"/>
    <col min="2311" max="2312" width="8.5703125" style="504" customWidth="1"/>
    <col min="2313" max="2318" width="8.42578125" style="504" customWidth="1"/>
    <col min="2319" max="2324" width="9.140625" style="504"/>
    <col min="2325" max="2325" width="12.42578125" style="504" customWidth="1"/>
    <col min="2326" max="2326" width="9.140625" style="504"/>
    <col min="2327" max="2327" width="12" style="504" customWidth="1"/>
    <col min="2328" max="2560" width="9.140625" style="504"/>
    <col min="2561" max="2561" width="5" style="504" customWidth="1"/>
    <col min="2562" max="2562" width="18.5703125" style="504" customWidth="1"/>
    <col min="2563" max="2564" width="8.42578125" style="504" customWidth="1"/>
    <col min="2565" max="2565" width="7.7109375" style="504" customWidth="1"/>
    <col min="2566" max="2566" width="8.140625" style="504" customWidth="1"/>
    <col min="2567" max="2568" width="8.5703125" style="504" customWidth="1"/>
    <col min="2569" max="2574" width="8.42578125" style="504" customWidth="1"/>
    <col min="2575" max="2580" width="9.140625" style="504"/>
    <col min="2581" max="2581" width="12.42578125" style="504" customWidth="1"/>
    <col min="2582" max="2582" width="9.140625" style="504"/>
    <col min="2583" max="2583" width="12" style="504" customWidth="1"/>
    <col min="2584" max="2816" width="9.140625" style="504"/>
    <col min="2817" max="2817" width="5" style="504" customWidth="1"/>
    <col min="2818" max="2818" width="18.5703125" style="504" customWidth="1"/>
    <col min="2819" max="2820" width="8.42578125" style="504" customWidth="1"/>
    <col min="2821" max="2821" width="7.7109375" style="504" customWidth="1"/>
    <col min="2822" max="2822" width="8.140625" style="504" customWidth="1"/>
    <col min="2823" max="2824" width="8.5703125" style="504" customWidth="1"/>
    <col min="2825" max="2830" width="8.42578125" style="504" customWidth="1"/>
    <col min="2831" max="2836" width="9.140625" style="504"/>
    <col min="2837" max="2837" width="12.42578125" style="504" customWidth="1"/>
    <col min="2838" max="2838" width="9.140625" style="504"/>
    <col min="2839" max="2839" width="12" style="504" customWidth="1"/>
    <col min="2840" max="3072" width="9.140625" style="504"/>
    <col min="3073" max="3073" width="5" style="504" customWidth="1"/>
    <col min="3074" max="3074" width="18.5703125" style="504" customWidth="1"/>
    <col min="3075" max="3076" width="8.42578125" style="504" customWidth="1"/>
    <col min="3077" max="3077" width="7.7109375" style="504" customWidth="1"/>
    <col min="3078" max="3078" width="8.140625" style="504" customWidth="1"/>
    <col min="3079" max="3080" width="8.5703125" style="504" customWidth="1"/>
    <col min="3081" max="3086" width="8.42578125" style="504" customWidth="1"/>
    <col min="3087" max="3092" width="9.140625" style="504"/>
    <col min="3093" max="3093" width="12.42578125" style="504" customWidth="1"/>
    <col min="3094" max="3094" width="9.140625" style="504"/>
    <col min="3095" max="3095" width="12" style="504" customWidth="1"/>
    <col min="3096" max="3328" width="9.140625" style="504"/>
    <col min="3329" max="3329" width="5" style="504" customWidth="1"/>
    <col min="3330" max="3330" width="18.5703125" style="504" customWidth="1"/>
    <col min="3331" max="3332" width="8.42578125" style="504" customWidth="1"/>
    <col min="3333" max="3333" width="7.7109375" style="504" customWidth="1"/>
    <col min="3334" max="3334" width="8.140625" style="504" customWidth="1"/>
    <col min="3335" max="3336" width="8.5703125" style="504" customWidth="1"/>
    <col min="3337" max="3342" width="8.42578125" style="504" customWidth="1"/>
    <col min="3343" max="3348" width="9.140625" style="504"/>
    <col min="3349" max="3349" width="12.42578125" style="504" customWidth="1"/>
    <col min="3350" max="3350" width="9.140625" style="504"/>
    <col min="3351" max="3351" width="12" style="504" customWidth="1"/>
    <col min="3352" max="3584" width="9.140625" style="504"/>
    <col min="3585" max="3585" width="5" style="504" customWidth="1"/>
    <col min="3586" max="3586" width="18.5703125" style="504" customWidth="1"/>
    <col min="3587" max="3588" width="8.42578125" style="504" customWidth="1"/>
    <col min="3589" max="3589" width="7.7109375" style="504" customWidth="1"/>
    <col min="3590" max="3590" width="8.140625" style="504" customWidth="1"/>
    <col min="3591" max="3592" width="8.5703125" style="504" customWidth="1"/>
    <col min="3593" max="3598" width="8.42578125" style="504" customWidth="1"/>
    <col min="3599" max="3604" width="9.140625" style="504"/>
    <col min="3605" max="3605" width="12.42578125" style="504" customWidth="1"/>
    <col min="3606" max="3606" width="9.140625" style="504"/>
    <col min="3607" max="3607" width="12" style="504" customWidth="1"/>
    <col min="3608" max="3840" width="9.140625" style="504"/>
    <col min="3841" max="3841" width="5" style="504" customWidth="1"/>
    <col min="3842" max="3842" width="18.5703125" style="504" customWidth="1"/>
    <col min="3843" max="3844" width="8.42578125" style="504" customWidth="1"/>
    <col min="3845" max="3845" width="7.7109375" style="504" customWidth="1"/>
    <col min="3846" max="3846" width="8.140625" style="504" customWidth="1"/>
    <col min="3847" max="3848" width="8.5703125" style="504" customWidth="1"/>
    <col min="3849" max="3854" width="8.42578125" style="504" customWidth="1"/>
    <col min="3855" max="3860" width="9.140625" style="504"/>
    <col min="3861" max="3861" width="12.42578125" style="504" customWidth="1"/>
    <col min="3862" max="3862" width="9.140625" style="504"/>
    <col min="3863" max="3863" width="12" style="504" customWidth="1"/>
    <col min="3864" max="4096" width="9.140625" style="504"/>
    <col min="4097" max="4097" width="5" style="504" customWidth="1"/>
    <col min="4098" max="4098" width="18.5703125" style="504" customWidth="1"/>
    <col min="4099" max="4100" width="8.42578125" style="504" customWidth="1"/>
    <col min="4101" max="4101" width="7.7109375" style="504" customWidth="1"/>
    <col min="4102" max="4102" width="8.140625" style="504" customWidth="1"/>
    <col min="4103" max="4104" width="8.5703125" style="504" customWidth="1"/>
    <col min="4105" max="4110" width="8.42578125" style="504" customWidth="1"/>
    <col min="4111" max="4116" width="9.140625" style="504"/>
    <col min="4117" max="4117" width="12.42578125" style="504" customWidth="1"/>
    <col min="4118" max="4118" width="9.140625" style="504"/>
    <col min="4119" max="4119" width="12" style="504" customWidth="1"/>
    <col min="4120" max="4352" width="9.140625" style="504"/>
    <col min="4353" max="4353" width="5" style="504" customWidth="1"/>
    <col min="4354" max="4354" width="18.5703125" style="504" customWidth="1"/>
    <col min="4355" max="4356" width="8.42578125" style="504" customWidth="1"/>
    <col min="4357" max="4357" width="7.7109375" style="504" customWidth="1"/>
    <col min="4358" max="4358" width="8.140625" style="504" customWidth="1"/>
    <col min="4359" max="4360" width="8.5703125" style="504" customWidth="1"/>
    <col min="4361" max="4366" width="8.42578125" style="504" customWidth="1"/>
    <col min="4367" max="4372" width="9.140625" style="504"/>
    <col min="4373" max="4373" width="12.42578125" style="504" customWidth="1"/>
    <col min="4374" max="4374" width="9.140625" style="504"/>
    <col min="4375" max="4375" width="12" style="504" customWidth="1"/>
    <col min="4376" max="4608" width="9.140625" style="504"/>
    <col min="4609" max="4609" width="5" style="504" customWidth="1"/>
    <col min="4610" max="4610" width="18.5703125" style="504" customWidth="1"/>
    <col min="4611" max="4612" width="8.42578125" style="504" customWidth="1"/>
    <col min="4613" max="4613" width="7.7109375" style="504" customWidth="1"/>
    <col min="4614" max="4614" width="8.140625" style="504" customWidth="1"/>
    <col min="4615" max="4616" width="8.5703125" style="504" customWidth="1"/>
    <col min="4617" max="4622" width="8.42578125" style="504" customWidth="1"/>
    <col min="4623" max="4628" width="9.140625" style="504"/>
    <col min="4629" max="4629" width="12.42578125" style="504" customWidth="1"/>
    <col min="4630" max="4630" width="9.140625" style="504"/>
    <col min="4631" max="4631" width="12" style="504" customWidth="1"/>
    <col min="4632" max="4864" width="9.140625" style="504"/>
    <col min="4865" max="4865" width="5" style="504" customWidth="1"/>
    <col min="4866" max="4866" width="18.5703125" style="504" customWidth="1"/>
    <col min="4867" max="4868" width="8.42578125" style="504" customWidth="1"/>
    <col min="4869" max="4869" width="7.7109375" style="504" customWidth="1"/>
    <col min="4870" max="4870" width="8.140625" style="504" customWidth="1"/>
    <col min="4871" max="4872" width="8.5703125" style="504" customWidth="1"/>
    <col min="4873" max="4878" width="8.42578125" style="504" customWidth="1"/>
    <col min="4879" max="4884" width="9.140625" style="504"/>
    <col min="4885" max="4885" width="12.42578125" style="504" customWidth="1"/>
    <col min="4886" max="4886" width="9.140625" style="504"/>
    <col min="4887" max="4887" width="12" style="504" customWidth="1"/>
    <col min="4888" max="5120" width="9.140625" style="504"/>
    <col min="5121" max="5121" width="5" style="504" customWidth="1"/>
    <col min="5122" max="5122" width="18.5703125" style="504" customWidth="1"/>
    <col min="5123" max="5124" width="8.42578125" style="504" customWidth="1"/>
    <col min="5125" max="5125" width="7.7109375" style="504" customWidth="1"/>
    <col min="5126" max="5126" width="8.140625" style="504" customWidth="1"/>
    <col min="5127" max="5128" width="8.5703125" style="504" customWidth="1"/>
    <col min="5129" max="5134" width="8.42578125" style="504" customWidth="1"/>
    <col min="5135" max="5140" width="9.140625" style="504"/>
    <col min="5141" max="5141" width="12.42578125" style="504" customWidth="1"/>
    <col min="5142" max="5142" width="9.140625" style="504"/>
    <col min="5143" max="5143" width="12" style="504" customWidth="1"/>
    <col min="5144" max="5376" width="9.140625" style="504"/>
    <col min="5377" max="5377" width="5" style="504" customWidth="1"/>
    <col min="5378" max="5378" width="18.5703125" style="504" customWidth="1"/>
    <col min="5379" max="5380" width="8.42578125" style="504" customWidth="1"/>
    <col min="5381" max="5381" width="7.7109375" style="504" customWidth="1"/>
    <col min="5382" max="5382" width="8.140625" style="504" customWidth="1"/>
    <col min="5383" max="5384" width="8.5703125" style="504" customWidth="1"/>
    <col min="5385" max="5390" width="8.42578125" style="504" customWidth="1"/>
    <col min="5391" max="5396" width="9.140625" style="504"/>
    <col min="5397" max="5397" width="12.42578125" style="504" customWidth="1"/>
    <col min="5398" max="5398" width="9.140625" style="504"/>
    <col min="5399" max="5399" width="12" style="504" customWidth="1"/>
    <col min="5400" max="5632" width="9.140625" style="504"/>
    <col min="5633" max="5633" width="5" style="504" customWidth="1"/>
    <col min="5634" max="5634" width="18.5703125" style="504" customWidth="1"/>
    <col min="5635" max="5636" width="8.42578125" style="504" customWidth="1"/>
    <col min="5637" max="5637" width="7.7109375" style="504" customWidth="1"/>
    <col min="5638" max="5638" width="8.140625" style="504" customWidth="1"/>
    <col min="5639" max="5640" width="8.5703125" style="504" customWidth="1"/>
    <col min="5641" max="5646" width="8.42578125" style="504" customWidth="1"/>
    <col min="5647" max="5652" width="9.140625" style="504"/>
    <col min="5653" max="5653" width="12.42578125" style="504" customWidth="1"/>
    <col min="5654" max="5654" width="9.140625" style="504"/>
    <col min="5655" max="5655" width="12" style="504" customWidth="1"/>
    <col min="5656" max="5888" width="9.140625" style="504"/>
    <col min="5889" max="5889" width="5" style="504" customWidth="1"/>
    <col min="5890" max="5890" width="18.5703125" style="504" customWidth="1"/>
    <col min="5891" max="5892" width="8.42578125" style="504" customWidth="1"/>
    <col min="5893" max="5893" width="7.7109375" style="504" customWidth="1"/>
    <col min="5894" max="5894" width="8.140625" style="504" customWidth="1"/>
    <col min="5895" max="5896" width="8.5703125" style="504" customWidth="1"/>
    <col min="5897" max="5902" width="8.42578125" style="504" customWidth="1"/>
    <col min="5903" max="5908" width="9.140625" style="504"/>
    <col min="5909" max="5909" width="12.42578125" style="504" customWidth="1"/>
    <col min="5910" max="5910" width="9.140625" style="504"/>
    <col min="5911" max="5911" width="12" style="504" customWidth="1"/>
    <col min="5912" max="6144" width="9.140625" style="504"/>
    <col min="6145" max="6145" width="5" style="504" customWidth="1"/>
    <col min="6146" max="6146" width="18.5703125" style="504" customWidth="1"/>
    <col min="6147" max="6148" width="8.42578125" style="504" customWidth="1"/>
    <col min="6149" max="6149" width="7.7109375" style="504" customWidth="1"/>
    <col min="6150" max="6150" width="8.140625" style="504" customWidth="1"/>
    <col min="6151" max="6152" width="8.5703125" style="504" customWidth="1"/>
    <col min="6153" max="6158" width="8.42578125" style="504" customWidth="1"/>
    <col min="6159" max="6164" width="9.140625" style="504"/>
    <col min="6165" max="6165" width="12.42578125" style="504" customWidth="1"/>
    <col min="6166" max="6166" width="9.140625" style="504"/>
    <col min="6167" max="6167" width="12" style="504" customWidth="1"/>
    <col min="6168" max="6400" width="9.140625" style="504"/>
    <col min="6401" max="6401" width="5" style="504" customWidth="1"/>
    <col min="6402" max="6402" width="18.5703125" style="504" customWidth="1"/>
    <col min="6403" max="6404" width="8.42578125" style="504" customWidth="1"/>
    <col min="6405" max="6405" width="7.7109375" style="504" customWidth="1"/>
    <col min="6406" max="6406" width="8.140625" style="504" customWidth="1"/>
    <col min="6407" max="6408" width="8.5703125" style="504" customWidth="1"/>
    <col min="6409" max="6414" width="8.42578125" style="504" customWidth="1"/>
    <col min="6415" max="6420" width="9.140625" style="504"/>
    <col min="6421" max="6421" width="12.42578125" style="504" customWidth="1"/>
    <col min="6422" max="6422" width="9.140625" style="504"/>
    <col min="6423" max="6423" width="12" style="504" customWidth="1"/>
    <col min="6424" max="6656" width="9.140625" style="504"/>
    <col min="6657" max="6657" width="5" style="504" customWidth="1"/>
    <col min="6658" max="6658" width="18.5703125" style="504" customWidth="1"/>
    <col min="6659" max="6660" width="8.42578125" style="504" customWidth="1"/>
    <col min="6661" max="6661" width="7.7109375" style="504" customWidth="1"/>
    <col min="6662" max="6662" width="8.140625" style="504" customWidth="1"/>
    <col min="6663" max="6664" width="8.5703125" style="504" customWidth="1"/>
    <col min="6665" max="6670" width="8.42578125" style="504" customWidth="1"/>
    <col min="6671" max="6676" width="9.140625" style="504"/>
    <col min="6677" max="6677" width="12.42578125" style="504" customWidth="1"/>
    <col min="6678" max="6678" width="9.140625" style="504"/>
    <col min="6679" max="6679" width="12" style="504" customWidth="1"/>
    <col min="6680" max="6912" width="9.140625" style="504"/>
    <col min="6913" max="6913" width="5" style="504" customWidth="1"/>
    <col min="6914" max="6914" width="18.5703125" style="504" customWidth="1"/>
    <col min="6915" max="6916" width="8.42578125" style="504" customWidth="1"/>
    <col min="6917" max="6917" width="7.7109375" style="504" customWidth="1"/>
    <col min="6918" max="6918" width="8.140625" style="504" customWidth="1"/>
    <col min="6919" max="6920" width="8.5703125" style="504" customWidth="1"/>
    <col min="6921" max="6926" width="8.42578125" style="504" customWidth="1"/>
    <col min="6927" max="6932" width="9.140625" style="504"/>
    <col min="6933" max="6933" width="12.42578125" style="504" customWidth="1"/>
    <col min="6934" max="6934" width="9.140625" style="504"/>
    <col min="6935" max="6935" width="12" style="504" customWidth="1"/>
    <col min="6936" max="7168" width="9.140625" style="504"/>
    <col min="7169" max="7169" width="5" style="504" customWidth="1"/>
    <col min="7170" max="7170" width="18.5703125" style="504" customWidth="1"/>
    <col min="7171" max="7172" width="8.42578125" style="504" customWidth="1"/>
    <col min="7173" max="7173" width="7.7109375" style="504" customWidth="1"/>
    <col min="7174" max="7174" width="8.140625" style="504" customWidth="1"/>
    <col min="7175" max="7176" width="8.5703125" style="504" customWidth="1"/>
    <col min="7177" max="7182" width="8.42578125" style="504" customWidth="1"/>
    <col min="7183" max="7188" width="9.140625" style="504"/>
    <col min="7189" max="7189" width="12.42578125" style="504" customWidth="1"/>
    <col min="7190" max="7190" width="9.140625" style="504"/>
    <col min="7191" max="7191" width="12" style="504" customWidth="1"/>
    <col min="7192" max="7424" width="9.140625" style="504"/>
    <col min="7425" max="7425" width="5" style="504" customWidth="1"/>
    <col min="7426" max="7426" width="18.5703125" style="504" customWidth="1"/>
    <col min="7427" max="7428" width="8.42578125" style="504" customWidth="1"/>
    <col min="7429" max="7429" width="7.7109375" style="504" customWidth="1"/>
    <col min="7430" max="7430" width="8.140625" style="504" customWidth="1"/>
    <col min="7431" max="7432" width="8.5703125" style="504" customWidth="1"/>
    <col min="7433" max="7438" width="8.42578125" style="504" customWidth="1"/>
    <col min="7439" max="7444" width="9.140625" style="504"/>
    <col min="7445" max="7445" width="12.42578125" style="504" customWidth="1"/>
    <col min="7446" max="7446" width="9.140625" style="504"/>
    <col min="7447" max="7447" width="12" style="504" customWidth="1"/>
    <col min="7448" max="7680" width="9.140625" style="504"/>
    <col min="7681" max="7681" width="5" style="504" customWidth="1"/>
    <col min="7682" max="7682" width="18.5703125" style="504" customWidth="1"/>
    <col min="7683" max="7684" width="8.42578125" style="504" customWidth="1"/>
    <col min="7685" max="7685" width="7.7109375" style="504" customWidth="1"/>
    <col min="7686" max="7686" width="8.140625" style="504" customWidth="1"/>
    <col min="7687" max="7688" width="8.5703125" style="504" customWidth="1"/>
    <col min="7689" max="7694" width="8.42578125" style="504" customWidth="1"/>
    <col min="7695" max="7700" width="9.140625" style="504"/>
    <col min="7701" max="7701" width="12.42578125" style="504" customWidth="1"/>
    <col min="7702" max="7702" width="9.140625" style="504"/>
    <col min="7703" max="7703" width="12" style="504" customWidth="1"/>
    <col min="7704" max="7936" width="9.140625" style="504"/>
    <col min="7937" max="7937" width="5" style="504" customWidth="1"/>
    <col min="7938" max="7938" width="18.5703125" style="504" customWidth="1"/>
    <col min="7939" max="7940" width="8.42578125" style="504" customWidth="1"/>
    <col min="7941" max="7941" width="7.7109375" style="504" customWidth="1"/>
    <col min="7942" max="7942" width="8.140625" style="504" customWidth="1"/>
    <col min="7943" max="7944" width="8.5703125" style="504" customWidth="1"/>
    <col min="7945" max="7950" width="8.42578125" style="504" customWidth="1"/>
    <col min="7951" max="7956" width="9.140625" style="504"/>
    <col min="7957" max="7957" width="12.42578125" style="504" customWidth="1"/>
    <col min="7958" max="7958" width="9.140625" style="504"/>
    <col min="7959" max="7959" width="12" style="504" customWidth="1"/>
    <col min="7960" max="8192" width="9.140625" style="504"/>
    <col min="8193" max="8193" width="5" style="504" customWidth="1"/>
    <col min="8194" max="8194" width="18.5703125" style="504" customWidth="1"/>
    <col min="8195" max="8196" width="8.42578125" style="504" customWidth="1"/>
    <col min="8197" max="8197" width="7.7109375" style="504" customWidth="1"/>
    <col min="8198" max="8198" width="8.140625" style="504" customWidth="1"/>
    <col min="8199" max="8200" width="8.5703125" style="504" customWidth="1"/>
    <col min="8201" max="8206" width="8.42578125" style="504" customWidth="1"/>
    <col min="8207" max="8212" width="9.140625" style="504"/>
    <col min="8213" max="8213" width="12.42578125" style="504" customWidth="1"/>
    <col min="8214" max="8214" width="9.140625" style="504"/>
    <col min="8215" max="8215" width="12" style="504" customWidth="1"/>
    <col min="8216" max="8448" width="9.140625" style="504"/>
    <col min="8449" max="8449" width="5" style="504" customWidth="1"/>
    <col min="8450" max="8450" width="18.5703125" style="504" customWidth="1"/>
    <col min="8451" max="8452" width="8.42578125" style="504" customWidth="1"/>
    <col min="8453" max="8453" width="7.7109375" style="504" customWidth="1"/>
    <col min="8454" max="8454" width="8.140625" style="504" customWidth="1"/>
    <col min="8455" max="8456" width="8.5703125" style="504" customWidth="1"/>
    <col min="8457" max="8462" width="8.42578125" style="504" customWidth="1"/>
    <col min="8463" max="8468" width="9.140625" style="504"/>
    <col min="8469" max="8469" width="12.42578125" style="504" customWidth="1"/>
    <col min="8470" max="8470" width="9.140625" style="504"/>
    <col min="8471" max="8471" width="12" style="504" customWidth="1"/>
    <col min="8472" max="8704" width="9.140625" style="504"/>
    <col min="8705" max="8705" width="5" style="504" customWidth="1"/>
    <col min="8706" max="8706" width="18.5703125" style="504" customWidth="1"/>
    <col min="8707" max="8708" width="8.42578125" style="504" customWidth="1"/>
    <col min="8709" max="8709" width="7.7109375" style="504" customWidth="1"/>
    <col min="8710" max="8710" width="8.140625" style="504" customWidth="1"/>
    <col min="8711" max="8712" width="8.5703125" style="504" customWidth="1"/>
    <col min="8713" max="8718" width="8.42578125" style="504" customWidth="1"/>
    <col min="8719" max="8724" width="9.140625" style="504"/>
    <col min="8725" max="8725" width="12.42578125" style="504" customWidth="1"/>
    <col min="8726" max="8726" width="9.140625" style="504"/>
    <col min="8727" max="8727" width="12" style="504" customWidth="1"/>
    <col min="8728" max="8960" width="9.140625" style="504"/>
    <col min="8961" max="8961" width="5" style="504" customWidth="1"/>
    <col min="8962" max="8962" width="18.5703125" style="504" customWidth="1"/>
    <col min="8963" max="8964" width="8.42578125" style="504" customWidth="1"/>
    <col min="8965" max="8965" width="7.7109375" style="504" customWidth="1"/>
    <col min="8966" max="8966" width="8.140625" style="504" customWidth="1"/>
    <col min="8967" max="8968" width="8.5703125" style="504" customWidth="1"/>
    <col min="8969" max="8974" width="8.42578125" style="504" customWidth="1"/>
    <col min="8975" max="8980" width="9.140625" style="504"/>
    <col min="8981" max="8981" width="12.42578125" style="504" customWidth="1"/>
    <col min="8982" max="8982" width="9.140625" style="504"/>
    <col min="8983" max="8983" width="12" style="504" customWidth="1"/>
    <col min="8984" max="9216" width="9.140625" style="504"/>
    <col min="9217" max="9217" width="5" style="504" customWidth="1"/>
    <col min="9218" max="9218" width="18.5703125" style="504" customWidth="1"/>
    <col min="9219" max="9220" width="8.42578125" style="504" customWidth="1"/>
    <col min="9221" max="9221" width="7.7109375" style="504" customWidth="1"/>
    <col min="9222" max="9222" width="8.140625" style="504" customWidth="1"/>
    <col min="9223" max="9224" width="8.5703125" style="504" customWidth="1"/>
    <col min="9225" max="9230" width="8.42578125" style="504" customWidth="1"/>
    <col min="9231" max="9236" width="9.140625" style="504"/>
    <col min="9237" max="9237" width="12.42578125" style="504" customWidth="1"/>
    <col min="9238" max="9238" width="9.140625" style="504"/>
    <col min="9239" max="9239" width="12" style="504" customWidth="1"/>
    <col min="9240" max="9472" width="9.140625" style="504"/>
    <col min="9473" max="9473" width="5" style="504" customWidth="1"/>
    <col min="9474" max="9474" width="18.5703125" style="504" customWidth="1"/>
    <col min="9475" max="9476" width="8.42578125" style="504" customWidth="1"/>
    <col min="9477" max="9477" width="7.7109375" style="504" customWidth="1"/>
    <col min="9478" max="9478" width="8.140625" style="504" customWidth="1"/>
    <col min="9479" max="9480" width="8.5703125" style="504" customWidth="1"/>
    <col min="9481" max="9486" width="8.42578125" style="504" customWidth="1"/>
    <col min="9487" max="9492" width="9.140625" style="504"/>
    <col min="9493" max="9493" width="12.42578125" style="504" customWidth="1"/>
    <col min="9494" max="9494" width="9.140625" style="504"/>
    <col min="9495" max="9495" width="12" style="504" customWidth="1"/>
    <col min="9496" max="9728" width="9.140625" style="504"/>
    <col min="9729" max="9729" width="5" style="504" customWidth="1"/>
    <col min="9730" max="9730" width="18.5703125" style="504" customWidth="1"/>
    <col min="9731" max="9732" width="8.42578125" style="504" customWidth="1"/>
    <col min="9733" max="9733" width="7.7109375" style="504" customWidth="1"/>
    <col min="9734" max="9734" width="8.140625" style="504" customWidth="1"/>
    <col min="9735" max="9736" width="8.5703125" style="504" customWidth="1"/>
    <col min="9737" max="9742" width="8.42578125" style="504" customWidth="1"/>
    <col min="9743" max="9748" width="9.140625" style="504"/>
    <col min="9749" max="9749" width="12.42578125" style="504" customWidth="1"/>
    <col min="9750" max="9750" width="9.140625" style="504"/>
    <col min="9751" max="9751" width="12" style="504" customWidth="1"/>
    <col min="9752" max="9984" width="9.140625" style="504"/>
    <col min="9985" max="9985" width="5" style="504" customWidth="1"/>
    <col min="9986" max="9986" width="18.5703125" style="504" customWidth="1"/>
    <col min="9987" max="9988" width="8.42578125" style="504" customWidth="1"/>
    <col min="9989" max="9989" width="7.7109375" style="504" customWidth="1"/>
    <col min="9990" max="9990" width="8.140625" style="504" customWidth="1"/>
    <col min="9991" max="9992" width="8.5703125" style="504" customWidth="1"/>
    <col min="9993" max="9998" width="8.42578125" style="504" customWidth="1"/>
    <col min="9999" max="10004" width="9.140625" style="504"/>
    <col min="10005" max="10005" width="12.42578125" style="504" customWidth="1"/>
    <col min="10006" max="10006" width="9.140625" style="504"/>
    <col min="10007" max="10007" width="12" style="504" customWidth="1"/>
    <col min="10008" max="10240" width="9.140625" style="504"/>
    <col min="10241" max="10241" width="5" style="504" customWidth="1"/>
    <col min="10242" max="10242" width="18.5703125" style="504" customWidth="1"/>
    <col min="10243" max="10244" width="8.42578125" style="504" customWidth="1"/>
    <col min="10245" max="10245" width="7.7109375" style="504" customWidth="1"/>
    <col min="10246" max="10246" width="8.140625" style="504" customWidth="1"/>
    <col min="10247" max="10248" width="8.5703125" style="504" customWidth="1"/>
    <col min="10249" max="10254" width="8.42578125" style="504" customWidth="1"/>
    <col min="10255" max="10260" width="9.140625" style="504"/>
    <col min="10261" max="10261" width="12.42578125" style="504" customWidth="1"/>
    <col min="10262" max="10262" width="9.140625" style="504"/>
    <col min="10263" max="10263" width="12" style="504" customWidth="1"/>
    <col min="10264" max="10496" width="9.140625" style="504"/>
    <col min="10497" max="10497" width="5" style="504" customWidth="1"/>
    <col min="10498" max="10498" width="18.5703125" style="504" customWidth="1"/>
    <col min="10499" max="10500" width="8.42578125" style="504" customWidth="1"/>
    <col min="10501" max="10501" width="7.7109375" style="504" customWidth="1"/>
    <col min="10502" max="10502" width="8.140625" style="504" customWidth="1"/>
    <col min="10503" max="10504" width="8.5703125" style="504" customWidth="1"/>
    <col min="10505" max="10510" width="8.42578125" style="504" customWidth="1"/>
    <col min="10511" max="10516" width="9.140625" style="504"/>
    <col min="10517" max="10517" width="12.42578125" style="504" customWidth="1"/>
    <col min="10518" max="10518" width="9.140625" style="504"/>
    <col min="10519" max="10519" width="12" style="504" customWidth="1"/>
    <col min="10520" max="10752" width="9.140625" style="504"/>
    <col min="10753" max="10753" width="5" style="504" customWidth="1"/>
    <col min="10754" max="10754" width="18.5703125" style="504" customWidth="1"/>
    <col min="10755" max="10756" width="8.42578125" style="504" customWidth="1"/>
    <col min="10757" max="10757" width="7.7109375" style="504" customWidth="1"/>
    <col min="10758" max="10758" width="8.140625" style="504" customWidth="1"/>
    <col min="10759" max="10760" width="8.5703125" style="504" customWidth="1"/>
    <col min="10761" max="10766" width="8.42578125" style="504" customWidth="1"/>
    <col min="10767" max="10772" width="9.140625" style="504"/>
    <col min="10773" max="10773" width="12.42578125" style="504" customWidth="1"/>
    <col min="10774" max="10774" width="9.140625" style="504"/>
    <col min="10775" max="10775" width="12" style="504" customWidth="1"/>
    <col min="10776" max="11008" width="9.140625" style="504"/>
    <col min="11009" max="11009" width="5" style="504" customWidth="1"/>
    <col min="11010" max="11010" width="18.5703125" style="504" customWidth="1"/>
    <col min="11011" max="11012" width="8.42578125" style="504" customWidth="1"/>
    <col min="11013" max="11013" width="7.7109375" style="504" customWidth="1"/>
    <col min="11014" max="11014" width="8.140625" style="504" customWidth="1"/>
    <col min="11015" max="11016" width="8.5703125" style="504" customWidth="1"/>
    <col min="11017" max="11022" width="8.42578125" style="504" customWidth="1"/>
    <col min="11023" max="11028" width="9.140625" style="504"/>
    <col min="11029" max="11029" width="12.42578125" style="504" customWidth="1"/>
    <col min="11030" max="11030" width="9.140625" style="504"/>
    <col min="11031" max="11031" width="12" style="504" customWidth="1"/>
    <col min="11032" max="11264" width="9.140625" style="504"/>
    <col min="11265" max="11265" width="5" style="504" customWidth="1"/>
    <col min="11266" max="11266" width="18.5703125" style="504" customWidth="1"/>
    <col min="11267" max="11268" width="8.42578125" style="504" customWidth="1"/>
    <col min="11269" max="11269" width="7.7109375" style="504" customWidth="1"/>
    <col min="11270" max="11270" width="8.140625" style="504" customWidth="1"/>
    <col min="11271" max="11272" width="8.5703125" style="504" customWidth="1"/>
    <col min="11273" max="11278" width="8.42578125" style="504" customWidth="1"/>
    <col min="11279" max="11284" width="9.140625" style="504"/>
    <col min="11285" max="11285" width="12.42578125" style="504" customWidth="1"/>
    <col min="11286" max="11286" width="9.140625" style="504"/>
    <col min="11287" max="11287" width="12" style="504" customWidth="1"/>
    <col min="11288" max="11520" width="9.140625" style="504"/>
    <col min="11521" max="11521" width="5" style="504" customWidth="1"/>
    <col min="11522" max="11522" width="18.5703125" style="504" customWidth="1"/>
    <col min="11523" max="11524" width="8.42578125" style="504" customWidth="1"/>
    <col min="11525" max="11525" width="7.7109375" style="504" customWidth="1"/>
    <col min="11526" max="11526" width="8.140625" style="504" customWidth="1"/>
    <col min="11527" max="11528" width="8.5703125" style="504" customWidth="1"/>
    <col min="11529" max="11534" width="8.42578125" style="504" customWidth="1"/>
    <col min="11535" max="11540" width="9.140625" style="504"/>
    <col min="11541" max="11541" width="12.42578125" style="504" customWidth="1"/>
    <col min="11542" max="11542" width="9.140625" style="504"/>
    <col min="11543" max="11543" width="12" style="504" customWidth="1"/>
    <col min="11544" max="11776" width="9.140625" style="504"/>
    <col min="11777" max="11777" width="5" style="504" customWidth="1"/>
    <col min="11778" max="11778" width="18.5703125" style="504" customWidth="1"/>
    <col min="11779" max="11780" width="8.42578125" style="504" customWidth="1"/>
    <col min="11781" max="11781" width="7.7109375" style="504" customWidth="1"/>
    <col min="11782" max="11782" width="8.140625" style="504" customWidth="1"/>
    <col min="11783" max="11784" width="8.5703125" style="504" customWidth="1"/>
    <col min="11785" max="11790" width="8.42578125" style="504" customWidth="1"/>
    <col min="11791" max="11796" width="9.140625" style="504"/>
    <col min="11797" max="11797" width="12.42578125" style="504" customWidth="1"/>
    <col min="11798" max="11798" width="9.140625" style="504"/>
    <col min="11799" max="11799" width="12" style="504" customWidth="1"/>
    <col min="11800" max="12032" width="9.140625" style="504"/>
    <col min="12033" max="12033" width="5" style="504" customWidth="1"/>
    <col min="12034" max="12034" width="18.5703125" style="504" customWidth="1"/>
    <col min="12035" max="12036" width="8.42578125" style="504" customWidth="1"/>
    <col min="12037" max="12037" width="7.7109375" style="504" customWidth="1"/>
    <col min="12038" max="12038" width="8.140625" style="504" customWidth="1"/>
    <col min="12039" max="12040" width="8.5703125" style="504" customWidth="1"/>
    <col min="12041" max="12046" width="8.42578125" style="504" customWidth="1"/>
    <col min="12047" max="12052" width="9.140625" style="504"/>
    <col min="12053" max="12053" width="12.42578125" style="504" customWidth="1"/>
    <col min="12054" max="12054" width="9.140625" style="504"/>
    <col min="12055" max="12055" width="12" style="504" customWidth="1"/>
    <col min="12056" max="12288" width="9.140625" style="504"/>
    <col min="12289" max="12289" width="5" style="504" customWidth="1"/>
    <col min="12290" max="12290" width="18.5703125" style="504" customWidth="1"/>
    <col min="12291" max="12292" width="8.42578125" style="504" customWidth="1"/>
    <col min="12293" max="12293" width="7.7109375" style="504" customWidth="1"/>
    <col min="12294" max="12294" width="8.140625" style="504" customWidth="1"/>
    <col min="12295" max="12296" width="8.5703125" style="504" customWidth="1"/>
    <col min="12297" max="12302" width="8.42578125" style="504" customWidth="1"/>
    <col min="12303" max="12308" width="9.140625" style="504"/>
    <col min="12309" max="12309" width="12.42578125" style="504" customWidth="1"/>
    <col min="12310" max="12310" width="9.140625" style="504"/>
    <col min="12311" max="12311" width="12" style="504" customWidth="1"/>
    <col min="12312" max="12544" width="9.140625" style="504"/>
    <col min="12545" max="12545" width="5" style="504" customWidth="1"/>
    <col min="12546" max="12546" width="18.5703125" style="504" customWidth="1"/>
    <col min="12547" max="12548" width="8.42578125" style="504" customWidth="1"/>
    <col min="12549" max="12549" width="7.7109375" style="504" customWidth="1"/>
    <col min="12550" max="12550" width="8.140625" style="504" customWidth="1"/>
    <col min="12551" max="12552" width="8.5703125" style="504" customWidth="1"/>
    <col min="12553" max="12558" width="8.42578125" style="504" customWidth="1"/>
    <col min="12559" max="12564" width="9.140625" style="504"/>
    <col min="12565" max="12565" width="12.42578125" style="504" customWidth="1"/>
    <col min="12566" max="12566" width="9.140625" style="504"/>
    <col min="12567" max="12567" width="12" style="504" customWidth="1"/>
    <col min="12568" max="12800" width="9.140625" style="504"/>
    <col min="12801" max="12801" width="5" style="504" customWidth="1"/>
    <col min="12802" max="12802" width="18.5703125" style="504" customWidth="1"/>
    <col min="12803" max="12804" width="8.42578125" style="504" customWidth="1"/>
    <col min="12805" max="12805" width="7.7109375" style="504" customWidth="1"/>
    <col min="12806" max="12806" width="8.140625" style="504" customWidth="1"/>
    <col min="12807" max="12808" width="8.5703125" style="504" customWidth="1"/>
    <col min="12809" max="12814" width="8.42578125" style="504" customWidth="1"/>
    <col min="12815" max="12820" width="9.140625" style="504"/>
    <col min="12821" max="12821" width="12.42578125" style="504" customWidth="1"/>
    <col min="12822" max="12822" width="9.140625" style="504"/>
    <col min="12823" max="12823" width="12" style="504" customWidth="1"/>
    <col min="12824" max="13056" width="9.140625" style="504"/>
    <col min="13057" max="13057" width="5" style="504" customWidth="1"/>
    <col min="13058" max="13058" width="18.5703125" style="504" customWidth="1"/>
    <col min="13059" max="13060" width="8.42578125" style="504" customWidth="1"/>
    <col min="13061" max="13061" width="7.7109375" style="504" customWidth="1"/>
    <col min="13062" max="13062" width="8.140625" style="504" customWidth="1"/>
    <col min="13063" max="13064" width="8.5703125" style="504" customWidth="1"/>
    <col min="13065" max="13070" width="8.42578125" style="504" customWidth="1"/>
    <col min="13071" max="13076" width="9.140625" style="504"/>
    <col min="13077" max="13077" width="12.42578125" style="504" customWidth="1"/>
    <col min="13078" max="13078" width="9.140625" style="504"/>
    <col min="13079" max="13079" width="12" style="504" customWidth="1"/>
    <col min="13080" max="13312" width="9.140625" style="504"/>
    <col min="13313" max="13313" width="5" style="504" customWidth="1"/>
    <col min="13314" max="13314" width="18.5703125" style="504" customWidth="1"/>
    <col min="13315" max="13316" width="8.42578125" style="504" customWidth="1"/>
    <col min="13317" max="13317" width="7.7109375" style="504" customWidth="1"/>
    <col min="13318" max="13318" width="8.140625" style="504" customWidth="1"/>
    <col min="13319" max="13320" width="8.5703125" style="504" customWidth="1"/>
    <col min="13321" max="13326" width="8.42578125" style="504" customWidth="1"/>
    <col min="13327" max="13332" width="9.140625" style="504"/>
    <col min="13333" max="13333" width="12.42578125" style="504" customWidth="1"/>
    <col min="13334" max="13334" width="9.140625" style="504"/>
    <col min="13335" max="13335" width="12" style="504" customWidth="1"/>
    <col min="13336" max="13568" width="9.140625" style="504"/>
    <col min="13569" max="13569" width="5" style="504" customWidth="1"/>
    <col min="13570" max="13570" width="18.5703125" style="504" customWidth="1"/>
    <col min="13571" max="13572" width="8.42578125" style="504" customWidth="1"/>
    <col min="13573" max="13573" width="7.7109375" style="504" customWidth="1"/>
    <col min="13574" max="13574" width="8.140625" style="504" customWidth="1"/>
    <col min="13575" max="13576" width="8.5703125" style="504" customWidth="1"/>
    <col min="13577" max="13582" width="8.42578125" style="504" customWidth="1"/>
    <col min="13583" max="13588" width="9.140625" style="504"/>
    <col min="13589" max="13589" width="12.42578125" style="504" customWidth="1"/>
    <col min="13590" max="13590" width="9.140625" style="504"/>
    <col min="13591" max="13591" width="12" style="504" customWidth="1"/>
    <col min="13592" max="13824" width="9.140625" style="504"/>
    <col min="13825" max="13825" width="5" style="504" customWidth="1"/>
    <col min="13826" max="13826" width="18.5703125" style="504" customWidth="1"/>
    <col min="13827" max="13828" width="8.42578125" style="504" customWidth="1"/>
    <col min="13829" max="13829" width="7.7109375" style="504" customWidth="1"/>
    <col min="13830" max="13830" width="8.140625" style="504" customWidth="1"/>
    <col min="13831" max="13832" width="8.5703125" style="504" customWidth="1"/>
    <col min="13833" max="13838" width="8.42578125" style="504" customWidth="1"/>
    <col min="13839" max="13844" width="9.140625" style="504"/>
    <col min="13845" max="13845" width="12.42578125" style="504" customWidth="1"/>
    <col min="13846" max="13846" width="9.140625" style="504"/>
    <col min="13847" max="13847" width="12" style="504" customWidth="1"/>
    <col min="13848" max="14080" width="9.140625" style="504"/>
    <col min="14081" max="14081" width="5" style="504" customWidth="1"/>
    <col min="14082" max="14082" width="18.5703125" style="504" customWidth="1"/>
    <col min="14083" max="14084" width="8.42578125" style="504" customWidth="1"/>
    <col min="14085" max="14085" width="7.7109375" style="504" customWidth="1"/>
    <col min="14086" max="14086" width="8.140625" style="504" customWidth="1"/>
    <col min="14087" max="14088" width="8.5703125" style="504" customWidth="1"/>
    <col min="14089" max="14094" width="8.42578125" style="504" customWidth="1"/>
    <col min="14095" max="14100" width="9.140625" style="504"/>
    <col min="14101" max="14101" width="12.42578125" style="504" customWidth="1"/>
    <col min="14102" max="14102" width="9.140625" style="504"/>
    <col min="14103" max="14103" width="12" style="504" customWidth="1"/>
    <col min="14104" max="14336" width="9.140625" style="504"/>
    <col min="14337" max="14337" width="5" style="504" customWidth="1"/>
    <col min="14338" max="14338" width="18.5703125" style="504" customWidth="1"/>
    <col min="14339" max="14340" width="8.42578125" style="504" customWidth="1"/>
    <col min="14341" max="14341" width="7.7109375" style="504" customWidth="1"/>
    <col min="14342" max="14342" width="8.140625" style="504" customWidth="1"/>
    <col min="14343" max="14344" width="8.5703125" style="504" customWidth="1"/>
    <col min="14345" max="14350" width="8.42578125" style="504" customWidth="1"/>
    <col min="14351" max="14356" width="9.140625" style="504"/>
    <col min="14357" max="14357" width="12.42578125" style="504" customWidth="1"/>
    <col min="14358" max="14358" width="9.140625" style="504"/>
    <col min="14359" max="14359" width="12" style="504" customWidth="1"/>
    <col min="14360" max="14592" width="9.140625" style="504"/>
    <col min="14593" max="14593" width="5" style="504" customWidth="1"/>
    <col min="14594" max="14594" width="18.5703125" style="504" customWidth="1"/>
    <col min="14595" max="14596" width="8.42578125" style="504" customWidth="1"/>
    <col min="14597" max="14597" width="7.7109375" style="504" customWidth="1"/>
    <col min="14598" max="14598" width="8.140625" style="504" customWidth="1"/>
    <col min="14599" max="14600" width="8.5703125" style="504" customWidth="1"/>
    <col min="14601" max="14606" width="8.42578125" style="504" customWidth="1"/>
    <col min="14607" max="14612" width="9.140625" style="504"/>
    <col min="14613" max="14613" width="12.42578125" style="504" customWidth="1"/>
    <col min="14614" max="14614" width="9.140625" style="504"/>
    <col min="14615" max="14615" width="12" style="504" customWidth="1"/>
    <col min="14616" max="14848" width="9.140625" style="504"/>
    <col min="14849" max="14849" width="5" style="504" customWidth="1"/>
    <col min="14850" max="14850" width="18.5703125" style="504" customWidth="1"/>
    <col min="14851" max="14852" width="8.42578125" style="504" customWidth="1"/>
    <col min="14853" max="14853" width="7.7109375" style="504" customWidth="1"/>
    <col min="14854" max="14854" width="8.140625" style="504" customWidth="1"/>
    <col min="14855" max="14856" width="8.5703125" style="504" customWidth="1"/>
    <col min="14857" max="14862" width="8.42578125" style="504" customWidth="1"/>
    <col min="14863" max="14868" width="9.140625" style="504"/>
    <col min="14869" max="14869" width="12.42578125" style="504" customWidth="1"/>
    <col min="14870" max="14870" width="9.140625" style="504"/>
    <col min="14871" max="14871" width="12" style="504" customWidth="1"/>
    <col min="14872" max="15104" width="9.140625" style="504"/>
    <col min="15105" max="15105" width="5" style="504" customWidth="1"/>
    <col min="15106" max="15106" width="18.5703125" style="504" customWidth="1"/>
    <col min="15107" max="15108" width="8.42578125" style="504" customWidth="1"/>
    <col min="15109" max="15109" width="7.7109375" style="504" customWidth="1"/>
    <col min="15110" max="15110" width="8.140625" style="504" customWidth="1"/>
    <col min="15111" max="15112" width="8.5703125" style="504" customWidth="1"/>
    <col min="15113" max="15118" width="8.42578125" style="504" customWidth="1"/>
    <col min="15119" max="15124" width="9.140625" style="504"/>
    <col min="15125" max="15125" width="12.42578125" style="504" customWidth="1"/>
    <col min="15126" max="15126" width="9.140625" style="504"/>
    <col min="15127" max="15127" width="12" style="504" customWidth="1"/>
    <col min="15128" max="15360" width="9.140625" style="504"/>
    <col min="15361" max="15361" width="5" style="504" customWidth="1"/>
    <col min="15362" max="15362" width="18.5703125" style="504" customWidth="1"/>
    <col min="15363" max="15364" width="8.42578125" style="504" customWidth="1"/>
    <col min="15365" max="15365" width="7.7109375" style="504" customWidth="1"/>
    <col min="15366" max="15366" width="8.140625" style="504" customWidth="1"/>
    <col min="15367" max="15368" width="8.5703125" style="504" customWidth="1"/>
    <col min="15369" max="15374" width="8.42578125" style="504" customWidth="1"/>
    <col min="15375" max="15380" width="9.140625" style="504"/>
    <col min="15381" max="15381" width="12.42578125" style="504" customWidth="1"/>
    <col min="15382" max="15382" width="9.140625" style="504"/>
    <col min="15383" max="15383" width="12" style="504" customWidth="1"/>
    <col min="15384" max="15616" width="9.140625" style="504"/>
    <col min="15617" max="15617" width="5" style="504" customWidth="1"/>
    <col min="15618" max="15618" width="18.5703125" style="504" customWidth="1"/>
    <col min="15619" max="15620" width="8.42578125" style="504" customWidth="1"/>
    <col min="15621" max="15621" width="7.7109375" style="504" customWidth="1"/>
    <col min="15622" max="15622" width="8.140625" style="504" customWidth="1"/>
    <col min="15623" max="15624" width="8.5703125" style="504" customWidth="1"/>
    <col min="15625" max="15630" width="8.42578125" style="504" customWidth="1"/>
    <col min="15631" max="15636" width="9.140625" style="504"/>
    <col min="15637" max="15637" width="12.42578125" style="504" customWidth="1"/>
    <col min="15638" max="15638" width="9.140625" style="504"/>
    <col min="15639" max="15639" width="12" style="504" customWidth="1"/>
    <col min="15640" max="15872" width="9.140625" style="504"/>
    <col min="15873" max="15873" width="5" style="504" customWidth="1"/>
    <col min="15874" max="15874" width="18.5703125" style="504" customWidth="1"/>
    <col min="15875" max="15876" width="8.42578125" style="504" customWidth="1"/>
    <col min="15877" max="15877" width="7.7109375" style="504" customWidth="1"/>
    <col min="15878" max="15878" width="8.140625" style="504" customWidth="1"/>
    <col min="15879" max="15880" width="8.5703125" style="504" customWidth="1"/>
    <col min="15881" max="15886" width="8.42578125" style="504" customWidth="1"/>
    <col min="15887" max="15892" width="9.140625" style="504"/>
    <col min="15893" max="15893" width="12.42578125" style="504" customWidth="1"/>
    <col min="15894" max="15894" width="9.140625" style="504"/>
    <col min="15895" max="15895" width="12" style="504" customWidth="1"/>
    <col min="15896" max="16128" width="9.140625" style="504"/>
    <col min="16129" max="16129" width="5" style="504" customWidth="1"/>
    <col min="16130" max="16130" width="18.5703125" style="504" customWidth="1"/>
    <col min="16131" max="16132" width="8.42578125" style="504" customWidth="1"/>
    <col min="16133" max="16133" width="7.7109375" style="504" customWidth="1"/>
    <col min="16134" max="16134" width="8.140625" style="504" customWidth="1"/>
    <col min="16135" max="16136" width="8.5703125" style="504" customWidth="1"/>
    <col min="16137" max="16142" width="8.42578125" style="504" customWidth="1"/>
    <col min="16143" max="16148" width="9.140625" style="504"/>
    <col min="16149" max="16149" width="12.42578125" style="504" customWidth="1"/>
    <col min="16150" max="16150" width="9.140625" style="504"/>
    <col min="16151" max="16151" width="12" style="504" customWidth="1"/>
    <col min="16152" max="16384" width="9.140625" style="504"/>
  </cols>
  <sheetData>
    <row r="1" spans="1:17" s="490" customFormat="1" x14ac:dyDescent="0.2">
      <c r="A1" s="1045" t="s">
        <v>449</v>
      </c>
      <c r="B1" s="1039"/>
      <c r="C1" s="1039"/>
      <c r="D1" s="1038"/>
      <c r="E1" s="1039"/>
      <c r="F1" s="1039"/>
      <c r="G1" s="1045" t="s">
        <v>102</v>
      </c>
      <c r="H1" s="1038"/>
      <c r="I1" s="1038" t="s">
        <v>591</v>
      </c>
      <c r="J1" s="1039"/>
      <c r="K1" s="1039"/>
      <c r="L1" s="1040"/>
      <c r="M1" s="1040"/>
      <c r="N1" s="1040"/>
      <c r="O1" s="1040"/>
    </row>
    <row r="2" spans="1:17" s="490" customFormat="1" x14ac:dyDescent="0.2">
      <c r="A2" s="1045" t="s">
        <v>103</v>
      </c>
      <c r="B2" s="1039"/>
      <c r="C2" s="1039"/>
      <c r="D2" s="1038"/>
      <c r="E2" s="1039"/>
      <c r="F2" s="1039"/>
      <c r="G2" s="1045" t="s">
        <v>104</v>
      </c>
      <c r="H2" s="1038"/>
      <c r="I2" s="1038" t="s">
        <v>105</v>
      </c>
      <c r="J2" s="1039"/>
      <c r="K2" s="1039"/>
      <c r="L2" s="1040"/>
      <c r="M2" s="1040"/>
      <c r="N2" s="1040"/>
      <c r="O2" s="1040"/>
    </row>
    <row r="3" spans="1:17" s="490" customFormat="1" x14ac:dyDescent="0.2">
      <c r="A3" s="1045" t="s">
        <v>106</v>
      </c>
      <c r="B3" s="1039"/>
      <c r="C3" s="1039"/>
      <c r="D3" s="1046" t="s">
        <v>663</v>
      </c>
      <c r="E3" s="1039"/>
      <c r="F3" s="1039"/>
      <c r="G3" s="1045" t="s">
        <v>107</v>
      </c>
      <c r="H3" s="1038"/>
      <c r="I3" s="1038" t="s">
        <v>108</v>
      </c>
      <c r="J3" s="1039"/>
      <c r="K3" s="1039"/>
      <c r="L3" s="1040"/>
      <c r="M3" s="1040"/>
      <c r="N3" s="1040"/>
      <c r="O3" s="1040"/>
    </row>
    <row r="4" spans="1:17" s="490" customFormat="1" x14ac:dyDescent="0.2">
      <c r="A4" s="1045" t="s">
        <v>109</v>
      </c>
      <c r="B4" s="1039"/>
      <c r="C4" s="1039"/>
      <c r="D4" s="1038"/>
      <c r="E4" s="1039"/>
      <c r="F4" s="1039"/>
      <c r="G4" s="1045" t="s">
        <v>110</v>
      </c>
      <c r="H4" s="1038"/>
      <c r="I4" s="1038" t="s">
        <v>645</v>
      </c>
      <c r="J4" s="1039"/>
      <c r="K4" s="1039"/>
      <c r="L4" s="1040"/>
      <c r="M4" s="1040"/>
      <c r="N4" s="1040"/>
      <c r="O4" s="1040"/>
    </row>
    <row r="5" spans="1:17" s="490" customFormat="1" x14ac:dyDescent="0.2">
      <c r="A5" s="1045" t="s">
        <v>112</v>
      </c>
      <c r="B5" s="1039"/>
      <c r="C5" s="1039"/>
      <c r="D5" s="1038" t="s">
        <v>644</v>
      </c>
      <c r="E5" s="1039"/>
      <c r="F5" s="1039"/>
      <c r="G5" s="1045"/>
      <c r="H5" s="1039"/>
      <c r="I5" s="1038" t="s">
        <v>113</v>
      </c>
      <c r="J5" s="1039"/>
      <c r="K5" s="1039"/>
      <c r="L5" s="1040"/>
      <c r="M5" s="1040"/>
      <c r="N5" s="1040"/>
      <c r="O5" s="1040"/>
    </row>
    <row r="6" spans="1:17" s="490" customFormat="1" x14ac:dyDescent="0.2">
      <c r="A6" s="1041" t="s">
        <v>114</v>
      </c>
      <c r="B6" s="1042"/>
      <c r="C6" s="1042"/>
      <c r="D6" s="1039" t="s">
        <v>592</v>
      </c>
      <c r="E6" s="1039"/>
      <c r="F6" s="1039"/>
      <c r="G6" s="1041" t="s">
        <v>115</v>
      </c>
      <c r="H6" s="1041"/>
      <c r="I6" s="491" t="s">
        <v>116</v>
      </c>
      <c r="J6" s="1043"/>
      <c r="K6" s="1043"/>
      <c r="L6" s="1043"/>
      <c r="M6" s="1043"/>
      <c r="N6" s="1043"/>
      <c r="O6" s="1044"/>
    </row>
    <row r="7" spans="1:17" s="490" customFormat="1" ht="13.5" thickBot="1" x14ac:dyDescent="0.25">
      <c r="A7" s="492"/>
      <c r="B7" s="493"/>
      <c r="C7" s="494"/>
      <c r="D7" s="495"/>
      <c r="E7" s="495"/>
      <c r="F7" s="495"/>
      <c r="G7" s="495"/>
      <c r="H7" s="495"/>
      <c r="I7" s="495"/>
      <c r="J7" s="496"/>
      <c r="K7" s="661"/>
      <c r="L7" s="1030" t="s">
        <v>223</v>
      </c>
      <c r="M7" s="1030"/>
      <c r="N7" s="1030"/>
      <c r="O7" s="1030"/>
    </row>
    <row r="8" spans="1:17" s="499" customFormat="1" x14ac:dyDescent="0.2">
      <c r="A8" s="1031" t="str">
        <f>I1</f>
        <v>Mr. Prashant P. Sawant</v>
      </c>
      <c r="B8" s="1032"/>
      <c r="C8" s="334">
        <v>43160</v>
      </c>
      <c r="D8" s="334">
        <v>43191</v>
      </c>
      <c r="E8" s="334">
        <v>43221</v>
      </c>
      <c r="F8" s="334">
        <v>43252</v>
      </c>
      <c r="G8" s="334">
        <v>43282</v>
      </c>
      <c r="H8" s="334">
        <v>43313</v>
      </c>
      <c r="I8" s="334">
        <v>43344</v>
      </c>
      <c r="J8" s="334">
        <v>43374</v>
      </c>
      <c r="K8" s="334">
        <v>43405</v>
      </c>
      <c r="L8" s="334">
        <v>43435</v>
      </c>
      <c r="M8" s="334">
        <v>43466</v>
      </c>
      <c r="N8" s="334">
        <v>43497</v>
      </c>
      <c r="O8" s="498" t="s">
        <v>117</v>
      </c>
      <c r="Q8" s="499" t="s">
        <v>116</v>
      </c>
    </row>
    <row r="9" spans="1:17" ht="15" x14ac:dyDescent="0.2">
      <c r="A9" s="500"/>
      <c r="B9" s="501" t="s">
        <v>118</v>
      </c>
      <c r="C9" s="502">
        <v>50500</v>
      </c>
      <c r="D9" s="502">
        <f t="shared" ref="D9:G24" si="0">+C9</f>
        <v>50500</v>
      </c>
      <c r="E9" s="502">
        <f t="shared" si="0"/>
        <v>50500</v>
      </c>
      <c r="F9" s="502">
        <f t="shared" si="0"/>
        <v>50500</v>
      </c>
      <c r="G9" s="502">
        <v>52000</v>
      </c>
      <c r="H9" s="502">
        <v>52000</v>
      </c>
      <c r="I9" s="502">
        <v>52000</v>
      </c>
      <c r="J9" s="502">
        <v>52000</v>
      </c>
      <c r="K9" s="502">
        <v>52000</v>
      </c>
      <c r="L9" s="502">
        <v>52000</v>
      </c>
      <c r="M9" s="502">
        <v>52000</v>
      </c>
      <c r="N9" s="502">
        <v>52000</v>
      </c>
      <c r="O9" s="503">
        <f t="shared" ref="O9:O52" si="1">SUM(C9:N9)</f>
        <v>618000</v>
      </c>
      <c r="Q9" s="504" t="s">
        <v>222</v>
      </c>
    </row>
    <row r="10" spans="1:17" ht="15" x14ac:dyDescent="0.2">
      <c r="A10" s="500"/>
      <c r="B10" s="501" t="s">
        <v>119</v>
      </c>
      <c r="C10" s="505">
        <v>0</v>
      </c>
      <c r="D10" s="505">
        <f t="shared" si="0"/>
        <v>0</v>
      </c>
      <c r="E10" s="505">
        <f t="shared" si="0"/>
        <v>0</v>
      </c>
      <c r="F10" s="505">
        <f t="shared" si="0"/>
        <v>0</v>
      </c>
      <c r="G10" s="505">
        <f>+F10</f>
        <v>0</v>
      </c>
      <c r="H10" s="505">
        <v>0</v>
      </c>
      <c r="I10" s="505">
        <f>+H10</f>
        <v>0</v>
      </c>
      <c r="J10" s="505">
        <f>+I10</f>
        <v>0</v>
      </c>
      <c r="K10" s="505">
        <f>+J10</f>
        <v>0</v>
      </c>
      <c r="L10" s="505">
        <f>+K10</f>
        <v>0</v>
      </c>
      <c r="M10" s="505">
        <f>L10</f>
        <v>0</v>
      </c>
      <c r="N10" s="505">
        <f>+M10</f>
        <v>0</v>
      </c>
      <c r="O10" s="506">
        <f t="shared" si="1"/>
        <v>0</v>
      </c>
    </row>
    <row r="11" spans="1:17" ht="15" x14ac:dyDescent="0.2">
      <c r="A11" s="500"/>
      <c r="B11" s="501" t="s">
        <v>120</v>
      </c>
      <c r="C11" s="505">
        <v>2525</v>
      </c>
      <c r="D11" s="505">
        <v>3535</v>
      </c>
      <c r="E11" s="505">
        <f t="shared" si="0"/>
        <v>3535</v>
      </c>
      <c r="F11" s="505">
        <f t="shared" si="0"/>
        <v>3535</v>
      </c>
      <c r="G11" s="505">
        <v>3640</v>
      </c>
      <c r="H11" s="505">
        <v>3640</v>
      </c>
      <c r="I11" s="505">
        <v>3640</v>
      </c>
      <c r="J11" s="505">
        <v>4680</v>
      </c>
      <c r="K11" s="505">
        <v>4680</v>
      </c>
      <c r="L11" s="505">
        <v>4680</v>
      </c>
      <c r="M11" s="505">
        <v>4680</v>
      </c>
      <c r="N11" s="505">
        <v>4680</v>
      </c>
      <c r="O11" s="506">
        <f t="shared" si="1"/>
        <v>47450</v>
      </c>
    </row>
    <row r="12" spans="1:17" ht="15" hidden="1" x14ac:dyDescent="0.2">
      <c r="A12" s="500"/>
      <c r="B12" s="501" t="s">
        <v>121</v>
      </c>
      <c r="C12" s="505">
        <v>0</v>
      </c>
      <c r="D12" s="505">
        <f>+C12</f>
        <v>0</v>
      </c>
      <c r="E12" s="505">
        <f t="shared" si="0"/>
        <v>0</v>
      </c>
      <c r="F12" s="505">
        <f t="shared" si="0"/>
        <v>0</v>
      </c>
      <c r="G12" s="505">
        <f t="shared" si="0"/>
        <v>0</v>
      </c>
      <c r="H12" s="505">
        <v>0</v>
      </c>
      <c r="I12" s="505">
        <f t="shared" ref="I12:L18" si="2">+H12</f>
        <v>0</v>
      </c>
      <c r="J12" s="505">
        <f t="shared" si="2"/>
        <v>0</v>
      </c>
      <c r="K12" s="505">
        <f t="shared" si="2"/>
        <v>0</v>
      </c>
      <c r="L12" s="505">
        <f t="shared" si="2"/>
        <v>0</v>
      </c>
      <c r="M12" s="505">
        <f t="shared" ref="M12:M18" si="3">L12</f>
        <v>0</v>
      </c>
      <c r="N12" s="505">
        <f t="shared" ref="N12:N18" si="4">+M12</f>
        <v>0</v>
      </c>
      <c r="O12" s="506">
        <f t="shared" si="1"/>
        <v>0</v>
      </c>
    </row>
    <row r="13" spans="1:17" ht="15" hidden="1" x14ac:dyDescent="0.2">
      <c r="A13" s="500"/>
      <c r="B13" s="501" t="s">
        <v>122</v>
      </c>
      <c r="C13" s="505">
        <v>0</v>
      </c>
      <c r="D13" s="505">
        <f>+C13</f>
        <v>0</v>
      </c>
      <c r="E13" s="505">
        <f t="shared" si="0"/>
        <v>0</v>
      </c>
      <c r="F13" s="505">
        <f t="shared" si="0"/>
        <v>0</v>
      </c>
      <c r="G13" s="505">
        <f t="shared" si="0"/>
        <v>0</v>
      </c>
      <c r="H13" s="505">
        <v>0</v>
      </c>
      <c r="I13" s="505">
        <f t="shared" si="2"/>
        <v>0</v>
      </c>
      <c r="J13" s="505">
        <f t="shared" si="2"/>
        <v>0</v>
      </c>
      <c r="K13" s="505">
        <f t="shared" si="2"/>
        <v>0</v>
      </c>
      <c r="L13" s="505">
        <f t="shared" si="2"/>
        <v>0</v>
      </c>
      <c r="M13" s="505">
        <f t="shared" si="3"/>
        <v>0</v>
      </c>
      <c r="N13" s="505">
        <f t="shared" si="4"/>
        <v>0</v>
      </c>
      <c r="O13" s="506">
        <f t="shared" si="1"/>
        <v>0</v>
      </c>
    </row>
    <row r="14" spans="1:17" ht="15" x14ac:dyDescent="0.2">
      <c r="A14" s="500"/>
      <c r="B14" s="501" t="s">
        <v>123</v>
      </c>
      <c r="C14" s="505">
        <v>3780</v>
      </c>
      <c r="D14" s="505">
        <v>3852</v>
      </c>
      <c r="E14" s="505">
        <f t="shared" si="0"/>
        <v>3852</v>
      </c>
      <c r="F14" s="505">
        <f t="shared" si="0"/>
        <v>3852</v>
      </c>
      <c r="G14" s="505">
        <f t="shared" si="0"/>
        <v>3852</v>
      </c>
      <c r="H14" s="505">
        <f>+G14</f>
        <v>3852</v>
      </c>
      <c r="I14" s="505">
        <f>+H14</f>
        <v>3852</v>
      </c>
      <c r="J14" s="505">
        <v>3924</v>
      </c>
      <c r="K14" s="505">
        <f t="shared" si="2"/>
        <v>3924</v>
      </c>
      <c r="L14" s="505">
        <f t="shared" si="2"/>
        <v>3924</v>
      </c>
      <c r="M14" s="505">
        <f t="shared" si="3"/>
        <v>3924</v>
      </c>
      <c r="N14" s="505">
        <f t="shared" si="4"/>
        <v>3924</v>
      </c>
      <c r="O14" s="506">
        <f t="shared" si="1"/>
        <v>46512</v>
      </c>
    </row>
    <row r="15" spans="1:17" ht="15" hidden="1" x14ac:dyDescent="0.2">
      <c r="A15" s="500"/>
      <c r="B15" s="501" t="s">
        <v>124</v>
      </c>
      <c r="C15" s="505">
        <v>0</v>
      </c>
      <c r="D15" s="505">
        <f t="shared" ref="D15:G30" si="5">+C15</f>
        <v>0</v>
      </c>
      <c r="E15" s="505">
        <f t="shared" si="0"/>
        <v>0</v>
      </c>
      <c r="F15" s="505">
        <f t="shared" si="0"/>
        <v>0</v>
      </c>
      <c r="G15" s="505">
        <f t="shared" si="0"/>
        <v>0</v>
      </c>
      <c r="H15" s="505">
        <v>0</v>
      </c>
      <c r="I15" s="505">
        <f t="shared" ref="I15:J18" si="6">+H15</f>
        <v>0</v>
      </c>
      <c r="J15" s="505">
        <f t="shared" si="6"/>
        <v>0</v>
      </c>
      <c r="K15" s="505">
        <f t="shared" si="2"/>
        <v>0</v>
      </c>
      <c r="L15" s="505">
        <f t="shared" si="2"/>
        <v>0</v>
      </c>
      <c r="M15" s="505">
        <f t="shared" si="3"/>
        <v>0</v>
      </c>
      <c r="N15" s="505">
        <f t="shared" si="4"/>
        <v>0</v>
      </c>
      <c r="O15" s="506">
        <f t="shared" si="1"/>
        <v>0</v>
      </c>
    </row>
    <row r="16" spans="1:17" ht="15" hidden="1" x14ac:dyDescent="0.2">
      <c r="A16" s="500"/>
      <c r="B16" s="501" t="s">
        <v>405</v>
      </c>
      <c r="C16" s="505">
        <v>0</v>
      </c>
      <c r="D16" s="505">
        <f t="shared" si="5"/>
        <v>0</v>
      </c>
      <c r="E16" s="505">
        <f t="shared" si="0"/>
        <v>0</v>
      </c>
      <c r="F16" s="505">
        <f t="shared" si="0"/>
        <v>0</v>
      </c>
      <c r="G16" s="505">
        <f t="shared" si="0"/>
        <v>0</v>
      </c>
      <c r="H16" s="505">
        <v>0</v>
      </c>
      <c r="I16" s="505">
        <f t="shared" si="6"/>
        <v>0</v>
      </c>
      <c r="J16" s="505">
        <f t="shared" si="6"/>
        <v>0</v>
      </c>
      <c r="K16" s="505">
        <f t="shared" si="2"/>
        <v>0</v>
      </c>
      <c r="L16" s="505">
        <f t="shared" si="2"/>
        <v>0</v>
      </c>
      <c r="M16" s="505">
        <f t="shared" si="3"/>
        <v>0</v>
      </c>
      <c r="N16" s="505">
        <f t="shared" si="4"/>
        <v>0</v>
      </c>
      <c r="O16" s="506">
        <f t="shared" si="1"/>
        <v>0</v>
      </c>
    </row>
    <row r="17" spans="1:15" ht="15" hidden="1" x14ac:dyDescent="0.2">
      <c r="A17" s="500"/>
      <c r="B17" s="501" t="s">
        <v>126</v>
      </c>
      <c r="C17" s="505">
        <v>0</v>
      </c>
      <c r="D17" s="505">
        <f t="shared" si="5"/>
        <v>0</v>
      </c>
      <c r="E17" s="505">
        <f t="shared" si="0"/>
        <v>0</v>
      </c>
      <c r="F17" s="505">
        <f t="shared" si="0"/>
        <v>0</v>
      </c>
      <c r="G17" s="505">
        <f t="shared" si="0"/>
        <v>0</v>
      </c>
      <c r="H17" s="505">
        <v>0</v>
      </c>
      <c r="I17" s="505">
        <f t="shared" si="6"/>
        <v>0</v>
      </c>
      <c r="J17" s="505">
        <f t="shared" si="6"/>
        <v>0</v>
      </c>
      <c r="K17" s="505">
        <f t="shared" si="2"/>
        <v>0</v>
      </c>
      <c r="L17" s="505">
        <f t="shared" si="2"/>
        <v>0</v>
      </c>
      <c r="M17" s="505">
        <f t="shared" si="3"/>
        <v>0</v>
      </c>
      <c r="N17" s="505">
        <f t="shared" si="4"/>
        <v>0</v>
      </c>
      <c r="O17" s="506">
        <f t="shared" si="1"/>
        <v>0</v>
      </c>
    </row>
    <row r="18" spans="1:15" ht="15" x14ac:dyDescent="0.2">
      <c r="A18" s="500"/>
      <c r="B18" s="501" t="s">
        <v>224</v>
      </c>
      <c r="C18" s="505">
        <v>0</v>
      </c>
      <c r="D18" s="505">
        <f t="shared" si="5"/>
        <v>0</v>
      </c>
      <c r="E18" s="505">
        <f t="shared" si="0"/>
        <v>0</v>
      </c>
      <c r="F18" s="505">
        <f t="shared" si="0"/>
        <v>0</v>
      </c>
      <c r="G18" s="505">
        <f t="shared" si="0"/>
        <v>0</v>
      </c>
      <c r="H18" s="505">
        <v>0</v>
      </c>
      <c r="I18" s="505">
        <f t="shared" si="6"/>
        <v>0</v>
      </c>
      <c r="J18" s="505">
        <f t="shared" si="6"/>
        <v>0</v>
      </c>
      <c r="K18" s="505">
        <f t="shared" si="2"/>
        <v>0</v>
      </c>
      <c r="L18" s="505">
        <f t="shared" si="2"/>
        <v>0</v>
      </c>
      <c r="M18" s="505">
        <f t="shared" si="3"/>
        <v>0</v>
      </c>
      <c r="N18" s="505">
        <f t="shared" si="4"/>
        <v>0</v>
      </c>
      <c r="O18" s="506">
        <f t="shared" si="1"/>
        <v>0</v>
      </c>
    </row>
    <row r="19" spans="1:15" ht="15" x14ac:dyDescent="0.2">
      <c r="A19" s="500"/>
      <c r="B19" s="501" t="s">
        <v>128</v>
      </c>
      <c r="C19" s="505">
        <v>12120</v>
      </c>
      <c r="D19" s="505">
        <f t="shared" si="5"/>
        <v>12120</v>
      </c>
      <c r="E19" s="505">
        <f t="shared" si="0"/>
        <v>12120</v>
      </c>
      <c r="F19" s="505">
        <f t="shared" si="0"/>
        <v>12120</v>
      </c>
      <c r="G19" s="505">
        <v>12480</v>
      </c>
      <c r="H19" s="505">
        <v>12480</v>
      </c>
      <c r="I19" s="505">
        <v>12480</v>
      </c>
      <c r="J19" s="505">
        <v>12480</v>
      </c>
      <c r="K19" s="505">
        <v>12480</v>
      </c>
      <c r="L19" s="505">
        <v>12480</v>
      </c>
      <c r="M19" s="505">
        <v>12480</v>
      </c>
      <c r="N19" s="505">
        <v>12480</v>
      </c>
      <c r="O19" s="506">
        <f t="shared" si="1"/>
        <v>148320</v>
      </c>
    </row>
    <row r="20" spans="1:15" ht="15" x14ac:dyDescent="0.2">
      <c r="A20" s="500"/>
      <c r="B20" s="501" t="s">
        <v>664</v>
      </c>
      <c r="C20" s="505">
        <v>0</v>
      </c>
      <c r="D20" s="505">
        <f t="shared" si="5"/>
        <v>0</v>
      </c>
      <c r="E20" s="505">
        <f t="shared" si="0"/>
        <v>0</v>
      </c>
      <c r="F20" s="505">
        <f t="shared" si="0"/>
        <v>0</v>
      </c>
      <c r="G20" s="505">
        <f>+F20</f>
        <v>0</v>
      </c>
      <c r="H20" s="505">
        <v>0</v>
      </c>
      <c r="I20" s="505">
        <f t="shared" ref="I20:L35" si="7">+H20</f>
        <v>0</v>
      </c>
      <c r="J20" s="505">
        <f t="shared" si="7"/>
        <v>0</v>
      </c>
      <c r="K20" s="505">
        <f t="shared" si="7"/>
        <v>0</v>
      </c>
      <c r="L20" s="505">
        <f t="shared" si="7"/>
        <v>0</v>
      </c>
      <c r="M20" s="505">
        <f t="shared" ref="M20:M38" si="8">L20</f>
        <v>0</v>
      </c>
      <c r="N20" s="505">
        <f t="shared" ref="N20:N38" si="9">+M20</f>
        <v>0</v>
      </c>
      <c r="O20" s="506">
        <f t="shared" si="1"/>
        <v>0</v>
      </c>
    </row>
    <row r="21" spans="1:15" ht="15" customHeight="1" x14ac:dyDescent="0.2">
      <c r="A21" s="500"/>
      <c r="B21" s="501" t="s">
        <v>129</v>
      </c>
      <c r="C21" s="505">
        <v>0</v>
      </c>
      <c r="D21" s="505">
        <f t="shared" si="5"/>
        <v>0</v>
      </c>
      <c r="E21" s="505">
        <f t="shared" si="0"/>
        <v>0</v>
      </c>
      <c r="F21" s="505">
        <v>24750</v>
      </c>
      <c r="G21" s="505">
        <v>0</v>
      </c>
      <c r="H21" s="505">
        <v>0</v>
      </c>
      <c r="I21" s="505">
        <f t="shared" si="7"/>
        <v>0</v>
      </c>
      <c r="J21" s="505">
        <f t="shared" si="7"/>
        <v>0</v>
      </c>
      <c r="K21" s="505">
        <f t="shared" si="7"/>
        <v>0</v>
      </c>
      <c r="L21" s="505">
        <f t="shared" si="7"/>
        <v>0</v>
      </c>
      <c r="M21" s="505">
        <f t="shared" si="8"/>
        <v>0</v>
      </c>
      <c r="N21" s="505">
        <f t="shared" si="9"/>
        <v>0</v>
      </c>
      <c r="O21" s="506">
        <f t="shared" si="1"/>
        <v>24750</v>
      </c>
    </row>
    <row r="22" spans="1:15" ht="15" hidden="1" customHeight="1" x14ac:dyDescent="0.2">
      <c r="A22" s="1033" t="s">
        <v>130</v>
      </c>
      <c r="B22" s="507" t="s">
        <v>131</v>
      </c>
      <c r="C22" s="505">
        <v>0</v>
      </c>
      <c r="D22" s="505">
        <f t="shared" si="5"/>
        <v>0</v>
      </c>
      <c r="E22" s="505">
        <f t="shared" si="0"/>
        <v>0</v>
      </c>
      <c r="F22" s="505">
        <f t="shared" si="0"/>
        <v>0</v>
      </c>
      <c r="G22" s="505">
        <f t="shared" si="0"/>
        <v>0</v>
      </c>
      <c r="H22" s="505">
        <v>0</v>
      </c>
      <c r="I22" s="505">
        <f t="shared" si="7"/>
        <v>0</v>
      </c>
      <c r="J22" s="505">
        <f t="shared" si="7"/>
        <v>0</v>
      </c>
      <c r="K22" s="505">
        <f t="shared" si="7"/>
        <v>0</v>
      </c>
      <c r="L22" s="505">
        <f t="shared" si="7"/>
        <v>0</v>
      </c>
      <c r="M22" s="505">
        <f t="shared" si="8"/>
        <v>0</v>
      </c>
      <c r="N22" s="505">
        <f t="shared" si="9"/>
        <v>0</v>
      </c>
      <c r="O22" s="506">
        <f t="shared" si="1"/>
        <v>0</v>
      </c>
    </row>
    <row r="23" spans="1:15" ht="15" customHeight="1" x14ac:dyDescent="0.2">
      <c r="A23" s="1034"/>
      <c r="B23" s="507" t="s">
        <v>132</v>
      </c>
      <c r="C23" s="505">
        <v>0</v>
      </c>
      <c r="D23" s="505">
        <f t="shared" si="5"/>
        <v>0</v>
      </c>
      <c r="E23" s="505">
        <f t="shared" si="0"/>
        <v>0</v>
      </c>
      <c r="F23" s="505">
        <f t="shared" si="0"/>
        <v>0</v>
      </c>
      <c r="G23" s="505">
        <f t="shared" si="0"/>
        <v>0</v>
      </c>
      <c r="H23" s="505">
        <v>0</v>
      </c>
      <c r="I23" s="505">
        <f t="shared" si="7"/>
        <v>0</v>
      </c>
      <c r="J23" s="505">
        <f t="shared" si="7"/>
        <v>0</v>
      </c>
      <c r="K23" s="505">
        <f t="shared" si="7"/>
        <v>0</v>
      </c>
      <c r="L23" s="505">
        <f t="shared" si="7"/>
        <v>0</v>
      </c>
      <c r="M23" s="505">
        <f t="shared" si="8"/>
        <v>0</v>
      </c>
      <c r="N23" s="505">
        <f t="shared" si="9"/>
        <v>0</v>
      </c>
      <c r="O23" s="506">
        <f t="shared" si="1"/>
        <v>0</v>
      </c>
    </row>
    <row r="24" spans="1:15" ht="15" hidden="1" customHeight="1" x14ac:dyDescent="0.2">
      <c r="A24" s="1034"/>
      <c r="B24" s="507" t="s">
        <v>133</v>
      </c>
      <c r="C24" s="505">
        <v>0</v>
      </c>
      <c r="D24" s="505">
        <f t="shared" si="5"/>
        <v>0</v>
      </c>
      <c r="E24" s="505">
        <f t="shared" si="0"/>
        <v>0</v>
      </c>
      <c r="F24" s="505">
        <f t="shared" si="0"/>
        <v>0</v>
      </c>
      <c r="G24" s="505">
        <f t="shared" si="0"/>
        <v>0</v>
      </c>
      <c r="H24" s="505">
        <v>0</v>
      </c>
      <c r="I24" s="505">
        <f t="shared" si="7"/>
        <v>0</v>
      </c>
      <c r="J24" s="505">
        <f t="shared" si="7"/>
        <v>0</v>
      </c>
      <c r="K24" s="505">
        <f t="shared" si="7"/>
        <v>0</v>
      </c>
      <c r="L24" s="505">
        <f t="shared" si="7"/>
        <v>0</v>
      </c>
      <c r="M24" s="505">
        <f t="shared" si="8"/>
        <v>0</v>
      </c>
      <c r="N24" s="505">
        <f t="shared" si="9"/>
        <v>0</v>
      </c>
      <c r="O24" s="506">
        <f t="shared" si="1"/>
        <v>0</v>
      </c>
    </row>
    <row r="25" spans="1:15" ht="15" hidden="1" customHeight="1" x14ac:dyDescent="0.2">
      <c r="A25" s="1034"/>
      <c r="B25" s="507" t="s">
        <v>134</v>
      </c>
      <c r="C25" s="505">
        <v>0</v>
      </c>
      <c r="D25" s="505">
        <f t="shared" si="5"/>
        <v>0</v>
      </c>
      <c r="E25" s="505">
        <f t="shared" si="5"/>
        <v>0</v>
      </c>
      <c r="F25" s="505">
        <f t="shared" si="5"/>
        <v>0</v>
      </c>
      <c r="G25" s="505">
        <f t="shared" si="5"/>
        <v>0</v>
      </c>
      <c r="H25" s="505">
        <v>0</v>
      </c>
      <c r="I25" s="505">
        <f t="shared" si="7"/>
        <v>0</v>
      </c>
      <c r="J25" s="505">
        <f t="shared" si="7"/>
        <v>0</v>
      </c>
      <c r="K25" s="505">
        <f t="shared" si="7"/>
        <v>0</v>
      </c>
      <c r="L25" s="505">
        <f t="shared" si="7"/>
        <v>0</v>
      </c>
      <c r="M25" s="505">
        <f t="shared" si="8"/>
        <v>0</v>
      </c>
      <c r="N25" s="505">
        <f t="shared" si="9"/>
        <v>0</v>
      </c>
      <c r="O25" s="506">
        <f t="shared" si="1"/>
        <v>0</v>
      </c>
    </row>
    <row r="26" spans="1:15" ht="15" hidden="1" customHeight="1" x14ac:dyDescent="0.2">
      <c r="A26" s="1034"/>
      <c r="B26" s="507" t="s">
        <v>135</v>
      </c>
      <c r="C26" s="505">
        <v>0</v>
      </c>
      <c r="D26" s="505">
        <f t="shared" si="5"/>
        <v>0</v>
      </c>
      <c r="E26" s="505">
        <f t="shared" si="5"/>
        <v>0</v>
      </c>
      <c r="F26" s="505">
        <f t="shared" si="5"/>
        <v>0</v>
      </c>
      <c r="G26" s="505">
        <f t="shared" si="5"/>
        <v>0</v>
      </c>
      <c r="H26" s="505">
        <v>0</v>
      </c>
      <c r="I26" s="505">
        <f t="shared" si="7"/>
        <v>0</v>
      </c>
      <c r="J26" s="505">
        <f t="shared" si="7"/>
        <v>0</v>
      </c>
      <c r="K26" s="505">
        <f t="shared" si="7"/>
        <v>0</v>
      </c>
      <c r="L26" s="505">
        <f t="shared" si="7"/>
        <v>0</v>
      </c>
      <c r="M26" s="505">
        <f t="shared" si="8"/>
        <v>0</v>
      </c>
      <c r="N26" s="505">
        <f t="shared" si="9"/>
        <v>0</v>
      </c>
      <c r="O26" s="506">
        <f t="shared" si="1"/>
        <v>0</v>
      </c>
    </row>
    <row r="27" spans="1:15" ht="15" hidden="1" customHeight="1" x14ac:dyDescent="0.2">
      <c r="A27" s="1034"/>
      <c r="B27" s="507" t="s">
        <v>136</v>
      </c>
      <c r="C27" s="505">
        <v>0</v>
      </c>
      <c r="D27" s="505">
        <f t="shared" si="5"/>
        <v>0</v>
      </c>
      <c r="E27" s="505">
        <f t="shared" si="5"/>
        <v>0</v>
      </c>
      <c r="F27" s="505">
        <f t="shared" si="5"/>
        <v>0</v>
      </c>
      <c r="G27" s="505">
        <f t="shared" si="5"/>
        <v>0</v>
      </c>
      <c r="H27" s="505">
        <v>0</v>
      </c>
      <c r="I27" s="505">
        <f t="shared" si="7"/>
        <v>0</v>
      </c>
      <c r="J27" s="505">
        <f t="shared" si="7"/>
        <v>0</v>
      </c>
      <c r="K27" s="505">
        <f t="shared" si="7"/>
        <v>0</v>
      </c>
      <c r="L27" s="505">
        <f t="shared" si="7"/>
        <v>0</v>
      </c>
      <c r="M27" s="505">
        <f t="shared" si="8"/>
        <v>0</v>
      </c>
      <c r="N27" s="505">
        <f t="shared" si="9"/>
        <v>0</v>
      </c>
      <c r="O27" s="506">
        <f t="shared" si="1"/>
        <v>0</v>
      </c>
    </row>
    <row r="28" spans="1:15" ht="15" hidden="1" customHeight="1" x14ac:dyDescent="0.2">
      <c r="A28" s="1034"/>
      <c r="B28" s="507" t="s">
        <v>137</v>
      </c>
      <c r="C28" s="505">
        <v>0</v>
      </c>
      <c r="D28" s="505">
        <f t="shared" si="5"/>
        <v>0</v>
      </c>
      <c r="E28" s="505">
        <f t="shared" si="5"/>
        <v>0</v>
      </c>
      <c r="F28" s="505">
        <f t="shared" si="5"/>
        <v>0</v>
      </c>
      <c r="G28" s="505">
        <f t="shared" si="5"/>
        <v>0</v>
      </c>
      <c r="H28" s="505">
        <v>0</v>
      </c>
      <c r="I28" s="505">
        <f t="shared" si="7"/>
        <v>0</v>
      </c>
      <c r="J28" s="505">
        <f t="shared" si="7"/>
        <v>0</v>
      </c>
      <c r="K28" s="505">
        <f t="shared" si="7"/>
        <v>0</v>
      </c>
      <c r="L28" s="505">
        <f t="shared" si="7"/>
        <v>0</v>
      </c>
      <c r="M28" s="505">
        <f t="shared" si="8"/>
        <v>0</v>
      </c>
      <c r="N28" s="505">
        <f t="shared" si="9"/>
        <v>0</v>
      </c>
      <c r="O28" s="506">
        <f t="shared" si="1"/>
        <v>0</v>
      </c>
    </row>
    <row r="29" spans="1:15" ht="15" hidden="1" customHeight="1" x14ac:dyDescent="0.2">
      <c r="A29" s="1034"/>
      <c r="B29" s="507" t="s">
        <v>138</v>
      </c>
      <c r="C29" s="505">
        <v>0</v>
      </c>
      <c r="D29" s="505">
        <f t="shared" si="5"/>
        <v>0</v>
      </c>
      <c r="E29" s="505">
        <f t="shared" si="5"/>
        <v>0</v>
      </c>
      <c r="F29" s="505">
        <f t="shared" si="5"/>
        <v>0</v>
      </c>
      <c r="G29" s="505">
        <f t="shared" si="5"/>
        <v>0</v>
      </c>
      <c r="H29" s="505">
        <v>0</v>
      </c>
      <c r="I29" s="505">
        <f t="shared" si="7"/>
        <v>0</v>
      </c>
      <c r="J29" s="505">
        <f t="shared" si="7"/>
        <v>0</v>
      </c>
      <c r="K29" s="505">
        <f t="shared" si="7"/>
        <v>0</v>
      </c>
      <c r="L29" s="505">
        <f t="shared" si="7"/>
        <v>0</v>
      </c>
      <c r="M29" s="505">
        <f t="shared" si="8"/>
        <v>0</v>
      </c>
      <c r="N29" s="505">
        <f t="shared" si="9"/>
        <v>0</v>
      </c>
      <c r="O29" s="506">
        <f t="shared" si="1"/>
        <v>0</v>
      </c>
    </row>
    <row r="30" spans="1:15" ht="15" hidden="1" customHeight="1" x14ac:dyDescent="0.2">
      <c r="A30" s="1034"/>
      <c r="B30" s="507" t="s">
        <v>139</v>
      </c>
      <c r="C30" s="505">
        <v>0</v>
      </c>
      <c r="D30" s="505">
        <f t="shared" si="5"/>
        <v>0</v>
      </c>
      <c r="E30" s="505">
        <f t="shared" si="5"/>
        <v>0</v>
      </c>
      <c r="F30" s="505">
        <f t="shared" si="5"/>
        <v>0</v>
      </c>
      <c r="G30" s="505">
        <f t="shared" si="5"/>
        <v>0</v>
      </c>
      <c r="H30" s="505">
        <v>0</v>
      </c>
      <c r="I30" s="505">
        <f t="shared" si="7"/>
        <v>0</v>
      </c>
      <c r="J30" s="505">
        <f t="shared" si="7"/>
        <v>0</v>
      </c>
      <c r="K30" s="505">
        <f t="shared" si="7"/>
        <v>0</v>
      </c>
      <c r="L30" s="505">
        <f t="shared" si="7"/>
        <v>0</v>
      </c>
      <c r="M30" s="505">
        <f t="shared" si="8"/>
        <v>0</v>
      </c>
      <c r="N30" s="505">
        <f t="shared" si="9"/>
        <v>0</v>
      </c>
      <c r="O30" s="506">
        <f t="shared" si="1"/>
        <v>0</v>
      </c>
    </row>
    <row r="31" spans="1:15" ht="15" hidden="1" customHeight="1" x14ac:dyDescent="0.2">
      <c r="A31" s="1034"/>
      <c r="B31" s="507" t="s">
        <v>140</v>
      </c>
      <c r="C31" s="505">
        <v>0</v>
      </c>
      <c r="D31" s="505">
        <f t="shared" ref="D31:G38" si="10">+C31</f>
        <v>0</v>
      </c>
      <c r="E31" s="505">
        <f t="shared" si="10"/>
        <v>0</v>
      </c>
      <c r="F31" s="505">
        <f t="shared" si="10"/>
        <v>0</v>
      </c>
      <c r="G31" s="505">
        <f t="shared" si="10"/>
        <v>0</v>
      </c>
      <c r="H31" s="505">
        <v>0</v>
      </c>
      <c r="I31" s="505">
        <f t="shared" si="7"/>
        <v>0</v>
      </c>
      <c r="J31" s="505">
        <f t="shared" si="7"/>
        <v>0</v>
      </c>
      <c r="K31" s="505">
        <f t="shared" si="7"/>
        <v>0</v>
      </c>
      <c r="L31" s="505">
        <f t="shared" si="7"/>
        <v>0</v>
      </c>
      <c r="M31" s="505">
        <f t="shared" si="8"/>
        <v>0</v>
      </c>
      <c r="N31" s="505">
        <f t="shared" si="9"/>
        <v>0</v>
      </c>
      <c r="O31" s="506">
        <f t="shared" si="1"/>
        <v>0</v>
      </c>
    </row>
    <row r="32" spans="1:15" ht="15" hidden="1" customHeight="1" x14ac:dyDescent="0.2">
      <c r="A32" s="1034"/>
      <c r="B32" s="507" t="s">
        <v>225</v>
      </c>
      <c r="C32" s="505">
        <v>0</v>
      </c>
      <c r="D32" s="505">
        <f t="shared" si="10"/>
        <v>0</v>
      </c>
      <c r="E32" s="505">
        <f t="shared" si="10"/>
        <v>0</v>
      </c>
      <c r="F32" s="505">
        <f t="shared" si="10"/>
        <v>0</v>
      </c>
      <c r="G32" s="505">
        <f t="shared" si="10"/>
        <v>0</v>
      </c>
      <c r="H32" s="505">
        <v>0</v>
      </c>
      <c r="I32" s="505">
        <f t="shared" si="7"/>
        <v>0</v>
      </c>
      <c r="J32" s="505">
        <f t="shared" si="7"/>
        <v>0</v>
      </c>
      <c r="K32" s="505">
        <f t="shared" si="7"/>
        <v>0</v>
      </c>
      <c r="L32" s="505">
        <f t="shared" si="7"/>
        <v>0</v>
      </c>
      <c r="M32" s="505">
        <f t="shared" si="8"/>
        <v>0</v>
      </c>
      <c r="N32" s="505">
        <f t="shared" si="9"/>
        <v>0</v>
      </c>
      <c r="O32" s="506">
        <f t="shared" si="1"/>
        <v>0</v>
      </c>
    </row>
    <row r="33" spans="1:18" ht="15" customHeight="1" x14ac:dyDescent="0.2">
      <c r="A33" s="1034"/>
      <c r="B33" s="511" t="s">
        <v>142</v>
      </c>
      <c r="C33" s="505">
        <v>0</v>
      </c>
      <c r="D33" s="505">
        <f t="shared" si="10"/>
        <v>0</v>
      </c>
      <c r="E33" s="505">
        <v>689400</v>
      </c>
      <c r="F33" s="505">
        <v>0</v>
      </c>
      <c r="G33" s="505">
        <f t="shared" si="10"/>
        <v>0</v>
      </c>
      <c r="H33" s="505">
        <v>0</v>
      </c>
      <c r="I33" s="505">
        <f t="shared" si="7"/>
        <v>0</v>
      </c>
      <c r="J33" s="505">
        <f t="shared" si="7"/>
        <v>0</v>
      </c>
      <c r="K33" s="505">
        <f t="shared" si="7"/>
        <v>0</v>
      </c>
      <c r="L33" s="505">
        <f t="shared" si="7"/>
        <v>0</v>
      </c>
      <c r="M33" s="505">
        <f t="shared" si="8"/>
        <v>0</v>
      </c>
      <c r="N33" s="505">
        <f t="shared" si="9"/>
        <v>0</v>
      </c>
      <c r="O33" s="506">
        <f t="shared" si="1"/>
        <v>689400</v>
      </c>
    </row>
    <row r="34" spans="1:18" ht="15" hidden="1" customHeight="1" x14ac:dyDescent="0.2">
      <c r="A34" s="1035"/>
      <c r="B34" s="507" t="s">
        <v>226</v>
      </c>
      <c r="C34" s="505">
        <v>0</v>
      </c>
      <c r="D34" s="505">
        <f t="shared" si="10"/>
        <v>0</v>
      </c>
      <c r="E34" s="505">
        <f t="shared" si="10"/>
        <v>0</v>
      </c>
      <c r="F34" s="505">
        <f t="shared" si="10"/>
        <v>0</v>
      </c>
      <c r="G34" s="505">
        <f t="shared" si="10"/>
        <v>0</v>
      </c>
      <c r="H34" s="505">
        <v>0</v>
      </c>
      <c r="I34" s="505">
        <f t="shared" si="7"/>
        <v>0</v>
      </c>
      <c r="J34" s="505">
        <f t="shared" si="7"/>
        <v>0</v>
      </c>
      <c r="K34" s="505">
        <f t="shared" si="7"/>
        <v>0</v>
      </c>
      <c r="L34" s="505">
        <f t="shared" si="7"/>
        <v>0</v>
      </c>
      <c r="M34" s="505">
        <f t="shared" si="8"/>
        <v>0</v>
      </c>
      <c r="N34" s="505">
        <f t="shared" si="9"/>
        <v>0</v>
      </c>
      <c r="O34" s="506">
        <f t="shared" si="1"/>
        <v>0</v>
      </c>
    </row>
    <row r="35" spans="1:18" ht="15" customHeight="1" x14ac:dyDescent="0.2">
      <c r="A35" s="624"/>
      <c r="B35" s="625" t="s">
        <v>665</v>
      </c>
      <c r="C35" s="505">
        <v>0</v>
      </c>
      <c r="D35" s="505">
        <f t="shared" si="10"/>
        <v>0</v>
      </c>
      <c r="E35" s="505">
        <f t="shared" si="10"/>
        <v>0</v>
      </c>
      <c r="F35" s="505">
        <f t="shared" si="10"/>
        <v>0</v>
      </c>
      <c r="G35" s="505">
        <f t="shared" si="10"/>
        <v>0</v>
      </c>
      <c r="H35" s="505">
        <v>0</v>
      </c>
      <c r="I35" s="505">
        <f t="shared" si="7"/>
        <v>0</v>
      </c>
      <c r="J35" s="505">
        <f t="shared" si="7"/>
        <v>0</v>
      </c>
      <c r="K35" s="505">
        <f t="shared" si="7"/>
        <v>0</v>
      </c>
      <c r="L35" s="505">
        <f t="shared" si="7"/>
        <v>0</v>
      </c>
      <c r="M35" s="505">
        <f t="shared" si="8"/>
        <v>0</v>
      </c>
      <c r="N35" s="505">
        <f t="shared" si="9"/>
        <v>0</v>
      </c>
      <c r="O35" s="506">
        <f t="shared" si="1"/>
        <v>0</v>
      </c>
    </row>
    <row r="36" spans="1:18" ht="15" customHeight="1" x14ac:dyDescent="0.2">
      <c r="A36" s="1036" t="s">
        <v>143</v>
      </c>
      <c r="B36" s="1037"/>
      <c r="C36" s="505">
        <v>0</v>
      </c>
      <c r="D36" s="505">
        <f t="shared" si="10"/>
        <v>0</v>
      </c>
      <c r="E36" s="505">
        <f t="shared" si="10"/>
        <v>0</v>
      </c>
      <c r="F36" s="505">
        <f t="shared" si="10"/>
        <v>0</v>
      </c>
      <c r="G36" s="505">
        <f t="shared" si="10"/>
        <v>0</v>
      </c>
      <c r="H36" s="505">
        <v>0</v>
      </c>
      <c r="I36" s="505">
        <f>+H36</f>
        <v>0</v>
      </c>
      <c r="J36" s="505">
        <f>+I36</f>
        <v>0</v>
      </c>
      <c r="K36" s="505">
        <f>+J36</f>
        <v>0</v>
      </c>
      <c r="L36" s="505">
        <f>+K36</f>
        <v>0</v>
      </c>
      <c r="M36" s="505">
        <f t="shared" si="8"/>
        <v>0</v>
      </c>
      <c r="N36" s="505">
        <f t="shared" si="9"/>
        <v>0</v>
      </c>
      <c r="O36" s="506">
        <f t="shared" si="1"/>
        <v>0</v>
      </c>
    </row>
    <row r="37" spans="1:18" ht="15" customHeight="1" x14ac:dyDescent="0.2">
      <c r="A37" s="1036" t="s">
        <v>145</v>
      </c>
      <c r="B37" s="1037"/>
      <c r="C37" s="505">
        <v>0</v>
      </c>
      <c r="D37" s="505">
        <v>216</v>
      </c>
      <c r="E37" s="505">
        <v>0</v>
      </c>
      <c r="F37" s="505">
        <f>+E37</f>
        <v>0</v>
      </c>
      <c r="G37" s="505">
        <f t="shared" si="10"/>
        <v>0</v>
      </c>
      <c r="H37" s="505">
        <v>0</v>
      </c>
      <c r="I37" s="505">
        <f>+H37</f>
        <v>0</v>
      </c>
      <c r="J37" s="505">
        <v>216</v>
      </c>
      <c r="K37" s="505">
        <v>0</v>
      </c>
      <c r="L37" s="505">
        <f>+K37</f>
        <v>0</v>
      </c>
      <c r="M37" s="505">
        <f t="shared" si="8"/>
        <v>0</v>
      </c>
      <c r="N37" s="505">
        <f t="shared" si="9"/>
        <v>0</v>
      </c>
      <c r="O37" s="506">
        <f t="shared" si="1"/>
        <v>432</v>
      </c>
    </row>
    <row r="38" spans="1:18" ht="15" customHeight="1" x14ac:dyDescent="0.2">
      <c r="A38" s="1036" t="s">
        <v>146</v>
      </c>
      <c r="B38" s="1037"/>
      <c r="C38" s="505">
        <v>0</v>
      </c>
      <c r="D38" s="505">
        <v>3030</v>
      </c>
      <c r="E38" s="505">
        <v>0</v>
      </c>
      <c r="F38" s="505">
        <f>+E38</f>
        <v>0</v>
      </c>
      <c r="G38" s="505">
        <f t="shared" si="10"/>
        <v>0</v>
      </c>
      <c r="H38" s="505">
        <v>0</v>
      </c>
      <c r="I38" s="505">
        <f>+H38</f>
        <v>0</v>
      </c>
      <c r="J38" s="505">
        <v>3120</v>
      </c>
      <c r="K38" s="505">
        <v>0</v>
      </c>
      <c r="L38" s="505">
        <f>+K38</f>
        <v>0</v>
      </c>
      <c r="M38" s="505">
        <f t="shared" si="8"/>
        <v>0</v>
      </c>
      <c r="N38" s="505">
        <f t="shared" si="9"/>
        <v>0</v>
      </c>
      <c r="O38" s="506">
        <f t="shared" si="1"/>
        <v>6150</v>
      </c>
    </row>
    <row r="39" spans="1:18" ht="15" customHeight="1" x14ac:dyDescent="0.2">
      <c r="A39" s="513"/>
      <c r="B39" s="514" t="s">
        <v>147</v>
      </c>
      <c r="C39" s="515">
        <f t="shared" ref="C39:N39" si="11">SUM(C9:C38)</f>
        <v>68925</v>
      </c>
      <c r="D39" s="515">
        <f t="shared" si="11"/>
        <v>73253</v>
      </c>
      <c r="E39" s="515">
        <f t="shared" si="11"/>
        <v>759407</v>
      </c>
      <c r="F39" s="515">
        <f t="shared" si="11"/>
        <v>94757</v>
      </c>
      <c r="G39" s="515">
        <f t="shared" si="11"/>
        <v>71972</v>
      </c>
      <c r="H39" s="515">
        <f t="shared" si="11"/>
        <v>71972</v>
      </c>
      <c r="I39" s="515">
        <f t="shared" si="11"/>
        <v>71972</v>
      </c>
      <c r="J39" s="515">
        <f t="shared" si="11"/>
        <v>76420</v>
      </c>
      <c r="K39" s="515">
        <f t="shared" si="11"/>
        <v>73084</v>
      </c>
      <c r="L39" s="515">
        <f t="shared" si="11"/>
        <v>73084</v>
      </c>
      <c r="M39" s="515">
        <f t="shared" si="11"/>
        <v>73084</v>
      </c>
      <c r="N39" s="515">
        <f t="shared" si="11"/>
        <v>73084</v>
      </c>
      <c r="O39" s="516">
        <f t="shared" si="1"/>
        <v>1581014</v>
      </c>
      <c r="P39" s="626">
        <f>O39-O33</f>
        <v>891614</v>
      </c>
    </row>
    <row r="40" spans="1:18" ht="15" customHeight="1" x14ac:dyDescent="0.2">
      <c r="A40" s="995" t="s">
        <v>148</v>
      </c>
      <c r="B40" s="517" t="s">
        <v>149</v>
      </c>
      <c r="C40" s="508">
        <v>2800</v>
      </c>
      <c r="D40" s="508">
        <v>2500</v>
      </c>
      <c r="E40" s="508">
        <v>71440</v>
      </c>
      <c r="F40" s="508">
        <v>2500</v>
      </c>
      <c r="G40" s="508">
        <v>2500</v>
      </c>
      <c r="H40" s="508">
        <v>2500</v>
      </c>
      <c r="I40" s="508">
        <v>2500</v>
      </c>
      <c r="J40" s="508">
        <v>2500</v>
      </c>
      <c r="K40" s="508">
        <v>0</v>
      </c>
      <c r="L40" s="508">
        <v>11680</v>
      </c>
      <c r="M40" s="508">
        <v>11600</v>
      </c>
      <c r="N40" s="508">
        <v>0</v>
      </c>
      <c r="O40" s="506">
        <f t="shared" si="1"/>
        <v>112520</v>
      </c>
      <c r="P40" s="518"/>
    </row>
    <row r="41" spans="1:18" ht="15" x14ac:dyDescent="0.2">
      <c r="A41" s="996"/>
      <c r="B41" s="517" t="s">
        <v>150</v>
      </c>
      <c r="C41" s="508">
        <v>0</v>
      </c>
      <c r="D41" s="508">
        <v>0</v>
      </c>
      <c r="E41" s="508">
        <v>0</v>
      </c>
      <c r="F41" s="508">
        <v>0</v>
      </c>
      <c r="G41" s="508">
        <v>0</v>
      </c>
      <c r="H41" s="508">
        <v>0</v>
      </c>
      <c r="I41" s="508">
        <v>0</v>
      </c>
      <c r="J41" s="508">
        <v>0</v>
      </c>
      <c r="K41" s="508">
        <v>0</v>
      </c>
      <c r="L41" s="508">
        <v>0</v>
      </c>
      <c r="M41" s="508">
        <v>0</v>
      </c>
      <c r="N41" s="508">
        <v>0</v>
      </c>
      <c r="O41" s="506">
        <f t="shared" si="1"/>
        <v>0</v>
      </c>
      <c r="R41" s="490"/>
    </row>
    <row r="42" spans="1:18" ht="15" x14ac:dyDescent="0.2">
      <c r="A42" s="996"/>
      <c r="B42" s="517" t="s">
        <v>151</v>
      </c>
      <c r="C42" s="508">
        <v>30</v>
      </c>
      <c r="D42" s="508">
        <v>30</v>
      </c>
      <c r="E42" s="508">
        <v>30</v>
      </c>
      <c r="F42" s="508">
        <v>30</v>
      </c>
      <c r="G42" s="508">
        <v>30</v>
      </c>
      <c r="H42" s="508">
        <v>30</v>
      </c>
      <c r="I42" s="508">
        <v>30</v>
      </c>
      <c r="J42" s="508">
        <v>30</v>
      </c>
      <c r="K42" s="508">
        <v>30</v>
      </c>
      <c r="L42" s="508">
        <v>30</v>
      </c>
      <c r="M42" s="508">
        <v>30</v>
      </c>
      <c r="N42" s="508">
        <v>30</v>
      </c>
      <c r="O42" s="506">
        <f t="shared" si="1"/>
        <v>360</v>
      </c>
    </row>
    <row r="43" spans="1:18" ht="15" x14ac:dyDescent="0.2">
      <c r="A43" s="996"/>
      <c r="B43" s="517" t="s">
        <v>152</v>
      </c>
      <c r="C43" s="508">
        <v>0</v>
      </c>
      <c r="D43" s="508">
        <v>0</v>
      </c>
      <c r="E43" s="508">
        <v>0</v>
      </c>
      <c r="F43" s="508">
        <v>0</v>
      </c>
      <c r="G43" s="508">
        <v>0</v>
      </c>
      <c r="H43" s="508">
        <v>0</v>
      </c>
      <c r="I43" s="508">
        <v>0</v>
      </c>
      <c r="J43" s="508">
        <v>0</v>
      </c>
      <c r="K43" s="508">
        <v>0</v>
      </c>
      <c r="L43" s="508">
        <v>0</v>
      </c>
      <c r="M43" s="508">
        <v>0</v>
      </c>
      <c r="N43" s="508">
        <v>0</v>
      </c>
      <c r="O43" s="506">
        <f t="shared" si="1"/>
        <v>0</v>
      </c>
    </row>
    <row r="44" spans="1:18" ht="15" x14ac:dyDescent="0.2">
      <c r="A44" s="996"/>
      <c r="B44" s="517" t="s">
        <v>153</v>
      </c>
      <c r="C44" s="508">
        <v>250</v>
      </c>
      <c r="D44" s="508">
        <v>250</v>
      </c>
      <c r="E44" s="508">
        <v>250</v>
      </c>
      <c r="F44" s="508">
        <v>250</v>
      </c>
      <c r="G44" s="508">
        <v>450</v>
      </c>
      <c r="H44" s="508">
        <v>450</v>
      </c>
      <c r="I44" s="508">
        <v>450</v>
      </c>
      <c r="J44" s="508">
        <v>450</v>
      </c>
      <c r="K44" s="508">
        <v>450</v>
      </c>
      <c r="L44" s="508">
        <v>450</v>
      </c>
      <c r="M44" s="508">
        <v>450</v>
      </c>
      <c r="N44" s="508">
        <v>450</v>
      </c>
      <c r="O44" s="506">
        <f t="shared" si="1"/>
        <v>4600</v>
      </c>
    </row>
    <row r="45" spans="1:18" ht="15" x14ac:dyDescent="0.2">
      <c r="A45" s="996"/>
      <c r="B45" s="517" t="s">
        <v>154</v>
      </c>
      <c r="C45" s="508">
        <v>10000</v>
      </c>
      <c r="D45" s="508">
        <v>10000</v>
      </c>
      <c r="E45" s="508">
        <v>10000</v>
      </c>
      <c r="F45" s="508">
        <v>10000</v>
      </c>
      <c r="G45" s="508">
        <v>10000</v>
      </c>
      <c r="H45" s="508">
        <v>10000</v>
      </c>
      <c r="I45" s="508">
        <v>10000</v>
      </c>
      <c r="J45" s="508">
        <v>10000</v>
      </c>
      <c r="K45" s="508">
        <v>10000</v>
      </c>
      <c r="L45" s="508">
        <v>10000</v>
      </c>
      <c r="M45" s="508">
        <v>10000</v>
      </c>
      <c r="N45" s="508">
        <v>10000</v>
      </c>
      <c r="O45" s="506">
        <f t="shared" si="1"/>
        <v>120000</v>
      </c>
      <c r="P45" s="519"/>
    </row>
    <row r="46" spans="1:18" ht="15" x14ac:dyDescent="0.2">
      <c r="A46" s="996"/>
      <c r="B46" s="517" t="s">
        <v>155</v>
      </c>
      <c r="C46" s="508">
        <v>200</v>
      </c>
      <c r="D46" s="508">
        <v>200</v>
      </c>
      <c r="E46" s="508">
        <v>200</v>
      </c>
      <c r="F46" s="508">
        <v>200</v>
      </c>
      <c r="G46" s="508">
        <v>200</v>
      </c>
      <c r="H46" s="508">
        <v>200</v>
      </c>
      <c r="I46" s="508">
        <v>200</v>
      </c>
      <c r="J46" s="508">
        <v>200</v>
      </c>
      <c r="K46" s="508">
        <v>200</v>
      </c>
      <c r="L46" s="508">
        <v>200</v>
      </c>
      <c r="M46" s="508">
        <v>200</v>
      </c>
      <c r="N46" s="508">
        <v>300</v>
      </c>
      <c r="O46" s="506">
        <f t="shared" si="1"/>
        <v>2500</v>
      </c>
    </row>
    <row r="47" spans="1:18" ht="15" x14ac:dyDescent="0.2">
      <c r="A47" s="996"/>
      <c r="B47" s="517" t="s">
        <v>156</v>
      </c>
      <c r="C47" s="508">
        <v>0</v>
      </c>
      <c r="D47" s="508">
        <v>0</v>
      </c>
      <c r="E47" s="508">
        <v>0</v>
      </c>
      <c r="F47" s="508">
        <v>0</v>
      </c>
      <c r="G47" s="508">
        <v>0</v>
      </c>
      <c r="H47" s="508">
        <v>0</v>
      </c>
      <c r="I47" s="508">
        <v>0</v>
      </c>
      <c r="J47" s="508">
        <v>0</v>
      </c>
      <c r="K47" s="508">
        <v>0</v>
      </c>
      <c r="L47" s="508">
        <v>0</v>
      </c>
      <c r="M47" s="508">
        <v>0</v>
      </c>
      <c r="N47" s="508">
        <v>0</v>
      </c>
      <c r="O47" s="506">
        <f t="shared" si="1"/>
        <v>0</v>
      </c>
    </row>
    <row r="48" spans="1:18" ht="15" x14ac:dyDescent="0.2">
      <c r="A48" s="996"/>
      <c r="B48" s="517" t="s">
        <v>157</v>
      </c>
      <c r="C48" s="508">
        <v>0</v>
      </c>
      <c r="D48" s="508">
        <v>0</v>
      </c>
      <c r="E48" s="508">
        <v>0</v>
      </c>
      <c r="F48" s="508">
        <v>0</v>
      </c>
      <c r="G48" s="508">
        <v>0</v>
      </c>
      <c r="H48" s="508">
        <v>0</v>
      </c>
      <c r="I48" s="508">
        <v>0</v>
      </c>
      <c r="J48" s="508">
        <v>0</v>
      </c>
      <c r="K48" s="508">
        <v>0</v>
      </c>
      <c r="L48" s="508">
        <v>0</v>
      </c>
      <c r="M48" s="508">
        <v>0</v>
      </c>
      <c r="N48" s="508">
        <v>0</v>
      </c>
      <c r="O48" s="506">
        <f t="shared" si="1"/>
        <v>0</v>
      </c>
    </row>
    <row r="49" spans="1:17" ht="28.5" customHeight="1" x14ac:dyDescent="0.2">
      <c r="A49" s="997"/>
      <c r="B49" s="520" t="s">
        <v>158</v>
      </c>
      <c r="C49" s="508">
        <v>0</v>
      </c>
      <c r="D49" s="508">
        <v>0</v>
      </c>
      <c r="E49" s="508">
        <v>0</v>
      </c>
      <c r="F49" s="508">
        <v>0</v>
      </c>
      <c r="G49" s="508">
        <v>0</v>
      </c>
      <c r="H49" s="508">
        <v>0</v>
      </c>
      <c r="I49" s="508">
        <v>0</v>
      </c>
      <c r="J49" s="508">
        <v>0</v>
      </c>
      <c r="K49" s="508">
        <v>0</v>
      </c>
      <c r="L49" s="508">
        <v>0</v>
      </c>
      <c r="M49" s="508">
        <v>0</v>
      </c>
      <c r="N49" s="508">
        <v>0</v>
      </c>
      <c r="O49" s="521">
        <f t="shared" si="1"/>
        <v>0</v>
      </c>
    </row>
    <row r="50" spans="1:17" ht="15" x14ac:dyDescent="0.2">
      <c r="A50" s="998"/>
      <c r="B50" s="522" t="s">
        <v>479</v>
      </c>
      <c r="C50" s="508">
        <v>0</v>
      </c>
      <c r="D50" s="508">
        <v>0</v>
      </c>
      <c r="E50" s="508">
        <v>0</v>
      </c>
      <c r="F50" s="508">
        <v>0</v>
      </c>
      <c r="G50" s="508">
        <v>0</v>
      </c>
      <c r="H50" s="508">
        <v>0</v>
      </c>
      <c r="I50" s="508">
        <v>0</v>
      </c>
      <c r="J50" s="508">
        <v>0</v>
      </c>
      <c r="K50" s="508">
        <v>0</v>
      </c>
      <c r="L50" s="508">
        <v>0</v>
      </c>
      <c r="M50" s="508">
        <v>0</v>
      </c>
      <c r="N50" s="508">
        <v>0</v>
      </c>
      <c r="O50" s="521">
        <f t="shared" si="1"/>
        <v>0</v>
      </c>
    </row>
    <row r="51" spans="1:17" ht="15" x14ac:dyDescent="0.2">
      <c r="A51" s="999" t="s">
        <v>160</v>
      </c>
      <c r="B51" s="1000"/>
      <c r="C51" s="523">
        <f t="shared" ref="C51:N51" si="12">SUM(C40:C50)</f>
        <v>13280</v>
      </c>
      <c r="D51" s="523">
        <f t="shared" si="12"/>
        <v>12980</v>
      </c>
      <c r="E51" s="523">
        <f t="shared" si="12"/>
        <v>81920</v>
      </c>
      <c r="F51" s="523">
        <f t="shared" si="12"/>
        <v>12980</v>
      </c>
      <c r="G51" s="523">
        <f t="shared" si="12"/>
        <v>13180</v>
      </c>
      <c r="H51" s="523">
        <f t="shared" si="12"/>
        <v>13180</v>
      </c>
      <c r="I51" s="523">
        <f t="shared" si="12"/>
        <v>13180</v>
      </c>
      <c r="J51" s="523">
        <f t="shared" si="12"/>
        <v>13180</v>
      </c>
      <c r="K51" s="523">
        <f t="shared" si="12"/>
        <v>10680</v>
      </c>
      <c r="L51" s="523">
        <f t="shared" si="12"/>
        <v>22360</v>
      </c>
      <c r="M51" s="523">
        <f t="shared" si="12"/>
        <v>22280</v>
      </c>
      <c r="N51" s="523">
        <f t="shared" si="12"/>
        <v>10780</v>
      </c>
      <c r="O51" s="524">
        <f t="shared" si="1"/>
        <v>239980</v>
      </c>
    </row>
    <row r="52" spans="1:17" ht="15.75" thickBot="1" x14ac:dyDescent="0.25">
      <c r="A52" s="1001" t="s">
        <v>161</v>
      </c>
      <c r="B52" s="1002"/>
      <c r="C52" s="525">
        <f t="shared" ref="C52:N52" si="13">C39-C51</f>
        <v>55645</v>
      </c>
      <c r="D52" s="525">
        <f t="shared" si="13"/>
        <v>60273</v>
      </c>
      <c r="E52" s="525">
        <f t="shared" si="13"/>
        <v>677487</v>
      </c>
      <c r="F52" s="525">
        <f t="shared" si="13"/>
        <v>81777</v>
      </c>
      <c r="G52" s="525">
        <f t="shared" si="13"/>
        <v>58792</v>
      </c>
      <c r="H52" s="525">
        <f t="shared" si="13"/>
        <v>58792</v>
      </c>
      <c r="I52" s="525">
        <f t="shared" si="13"/>
        <v>58792</v>
      </c>
      <c r="J52" s="525">
        <f t="shared" si="13"/>
        <v>63240</v>
      </c>
      <c r="K52" s="525">
        <f t="shared" si="13"/>
        <v>62404</v>
      </c>
      <c r="L52" s="525">
        <f t="shared" si="13"/>
        <v>50724</v>
      </c>
      <c r="M52" s="525">
        <f t="shared" si="13"/>
        <v>50804</v>
      </c>
      <c r="N52" s="525">
        <f t="shared" si="13"/>
        <v>62304</v>
      </c>
      <c r="O52" s="526">
        <f t="shared" si="1"/>
        <v>1341034</v>
      </c>
      <c r="Q52" s="504">
        <f>23344+23344+4624+24390+24510+25329*3+4452+3454+26813*3+24919+24395+24305</f>
        <v>338163</v>
      </c>
    </row>
    <row r="53" spans="1:17" x14ac:dyDescent="0.2">
      <c r="J53" s="504">
        <f>+J39-SUM(J21:J38)</f>
        <v>73084</v>
      </c>
      <c r="Q53" s="528"/>
    </row>
    <row r="54" spans="1:17" ht="13.5" thickBot="1" x14ac:dyDescent="0.25">
      <c r="J54" s="528">
        <f>+J53-J51</f>
        <v>59904</v>
      </c>
    </row>
    <row r="55" spans="1:17" ht="13.5" thickBot="1" x14ac:dyDescent="0.25">
      <c r="B55" s="955" t="s">
        <v>162</v>
      </c>
      <c r="C55" s="1003"/>
      <c r="D55" s="1003"/>
      <c r="E55" s="1003"/>
      <c r="F55" s="1004"/>
      <c r="G55" s="1005">
        <f>O39</f>
        <v>1581014</v>
      </c>
      <c r="H55" s="1006"/>
    </row>
    <row r="56" spans="1:17" ht="13.5" thickBot="1" x14ac:dyDescent="0.25"/>
    <row r="57" spans="1:17" x14ac:dyDescent="0.2">
      <c r="B57" s="1007" t="s">
        <v>163</v>
      </c>
      <c r="C57" s="1010" t="s">
        <v>164</v>
      </c>
      <c r="D57" s="1013" t="s">
        <v>229</v>
      </c>
      <c r="E57" s="1014"/>
      <c r="F57" s="1015"/>
      <c r="G57" s="1016">
        <v>40000</v>
      </c>
      <c r="H57" s="1017"/>
    </row>
    <row r="58" spans="1:17" x14ac:dyDescent="0.2">
      <c r="B58" s="1008"/>
      <c r="C58" s="1011"/>
      <c r="D58" s="1018" t="s">
        <v>166</v>
      </c>
      <c r="E58" s="1019"/>
      <c r="F58" s="1020"/>
      <c r="G58" s="1021">
        <f>+O46</f>
        <v>2500</v>
      </c>
      <c r="H58" s="1022"/>
      <c r="I58" s="529"/>
      <c r="J58" s="1090"/>
      <c r="K58" s="1090"/>
      <c r="L58" s="1090"/>
      <c r="M58" s="1091"/>
      <c r="N58" s="1091"/>
      <c r="O58" s="1091"/>
    </row>
    <row r="59" spans="1:17" ht="13.5" thickBot="1" x14ac:dyDescent="0.25">
      <c r="B59" s="1094"/>
      <c r="C59" s="1092"/>
      <c r="D59" s="627" t="s">
        <v>666</v>
      </c>
      <c r="E59" s="628"/>
      <c r="F59" s="629"/>
      <c r="G59" s="1026">
        <f>IF(O18&gt;15000,15000,+O18)</f>
        <v>0</v>
      </c>
      <c r="H59" s="1027"/>
      <c r="I59" s="529"/>
      <c r="J59" s="656"/>
      <c r="K59" s="656"/>
      <c r="L59" s="656"/>
      <c r="M59" s="657"/>
      <c r="N59" s="657"/>
      <c r="O59" s="657"/>
    </row>
    <row r="60" spans="1:17" ht="13.5" thickBot="1" x14ac:dyDescent="0.25">
      <c r="B60" s="1009"/>
      <c r="C60" s="1012"/>
      <c r="D60" s="1093" t="s">
        <v>129</v>
      </c>
      <c r="E60" s="1024"/>
      <c r="F60" s="1025"/>
      <c r="G60" s="1026">
        <v>0</v>
      </c>
      <c r="H60" s="1027"/>
      <c r="J60" s="531"/>
      <c r="K60" s="531"/>
      <c r="L60" s="531"/>
      <c r="M60" s="531"/>
      <c r="N60" s="531"/>
      <c r="O60" s="531"/>
    </row>
    <row r="61" spans="1:17" ht="13.5" thickBot="1" x14ac:dyDescent="0.25">
      <c r="B61" s="532"/>
      <c r="J61" s="531"/>
      <c r="K61" s="531"/>
      <c r="L61" s="531"/>
      <c r="M61" s="531"/>
      <c r="N61" s="531"/>
      <c r="O61" s="531"/>
    </row>
    <row r="62" spans="1:17" ht="13.5" thickBot="1" x14ac:dyDescent="0.25">
      <c r="B62" s="955" t="s">
        <v>168</v>
      </c>
      <c r="C62" s="956"/>
      <c r="D62" s="956"/>
      <c r="E62" s="956"/>
      <c r="F62" s="957"/>
      <c r="G62" s="1028">
        <f>+G55-SUM(G57:H60)</f>
        <v>1538514</v>
      </c>
      <c r="H62" s="1029"/>
      <c r="J62" s="992" t="s">
        <v>169</v>
      </c>
      <c r="K62" s="993"/>
      <c r="L62" s="993"/>
      <c r="M62" s="993"/>
      <c r="N62" s="993"/>
      <c r="O62" s="994"/>
    </row>
    <row r="63" spans="1:17" ht="13.5" thickBot="1" x14ac:dyDescent="0.25">
      <c r="B63" s="533"/>
      <c r="C63" s="534"/>
      <c r="D63" s="534"/>
      <c r="E63" s="534"/>
      <c r="F63" s="534"/>
      <c r="G63" s="656"/>
      <c r="H63" s="534"/>
      <c r="J63" s="658"/>
      <c r="K63" s="659"/>
      <c r="L63" s="659"/>
      <c r="M63" s="659"/>
      <c r="N63" s="659"/>
      <c r="O63" s="660"/>
    </row>
    <row r="64" spans="1:17" ht="13.5" thickBot="1" x14ac:dyDescent="0.25">
      <c r="B64" s="955" t="s">
        <v>170</v>
      </c>
      <c r="C64" s="956"/>
      <c r="D64" s="956"/>
      <c r="E64" s="956"/>
      <c r="F64" s="957"/>
      <c r="G64" s="1047"/>
      <c r="H64" s="957"/>
      <c r="J64" s="658"/>
      <c r="K64" s="659"/>
      <c r="L64" s="659"/>
      <c r="M64" s="659"/>
      <c r="N64" s="659"/>
      <c r="O64" s="660"/>
    </row>
    <row r="65" spans="2:19" ht="12.75" customHeight="1" x14ac:dyDescent="0.2">
      <c r="B65" s="538" t="s">
        <v>171</v>
      </c>
      <c r="C65" s="977" t="s">
        <v>172</v>
      </c>
      <c r="D65" s="978"/>
      <c r="E65" s="978"/>
      <c r="F65" s="979"/>
      <c r="G65" s="980">
        <v>0</v>
      </c>
      <c r="H65" s="980"/>
      <c r="I65" s="539"/>
      <c r="J65" s="981" t="s">
        <v>173</v>
      </c>
      <c r="K65" s="982"/>
      <c r="L65" s="982"/>
      <c r="M65" s="982"/>
      <c r="N65" s="982"/>
      <c r="O65" s="983"/>
      <c r="Q65" s="540"/>
      <c r="R65" s="540"/>
      <c r="S65" s="540"/>
    </row>
    <row r="66" spans="2:19" ht="13.5" thickBot="1" x14ac:dyDescent="0.25">
      <c r="D66" s="527"/>
      <c r="I66" s="539"/>
      <c r="J66" s="541" t="s">
        <v>667</v>
      </c>
      <c r="K66" s="631"/>
      <c r="L66" s="631"/>
      <c r="M66" s="632"/>
      <c r="N66" s="632"/>
      <c r="O66" s="633"/>
      <c r="Q66" s="540"/>
      <c r="R66" s="540"/>
      <c r="S66" s="540"/>
    </row>
    <row r="67" spans="2:19" ht="13.5" thickBot="1" x14ac:dyDescent="0.25">
      <c r="B67" s="955" t="s">
        <v>175</v>
      </c>
      <c r="C67" s="956"/>
      <c r="D67" s="956"/>
      <c r="E67" s="956"/>
      <c r="F67" s="957"/>
      <c r="G67" s="1047">
        <f>+G62-G65</f>
        <v>1538514</v>
      </c>
      <c r="H67" s="957"/>
      <c r="I67" s="544"/>
      <c r="J67" s="545" t="s">
        <v>668</v>
      </c>
      <c r="K67" s="529"/>
      <c r="L67" s="529"/>
      <c r="M67" s="529"/>
      <c r="N67" s="529"/>
      <c r="O67" s="546"/>
      <c r="Q67" s="540"/>
      <c r="R67" s="540"/>
      <c r="S67" s="540"/>
    </row>
    <row r="68" spans="2:19" ht="12.75" customHeight="1" x14ac:dyDescent="0.2">
      <c r="B68" s="532"/>
      <c r="C68" s="532"/>
      <c r="I68" s="544"/>
      <c r="J68" s="547"/>
      <c r="K68" s="529"/>
      <c r="L68" s="529"/>
      <c r="M68" s="529"/>
      <c r="N68" s="529"/>
      <c r="O68" s="546"/>
      <c r="Q68" s="540"/>
      <c r="R68" s="540"/>
      <c r="S68" s="540"/>
    </row>
    <row r="69" spans="2:19" x14ac:dyDescent="0.2">
      <c r="B69" s="548" t="s">
        <v>669</v>
      </c>
      <c r="C69" s="532"/>
      <c r="I69" s="544"/>
      <c r="J69" s="549"/>
      <c r="K69" s="550"/>
      <c r="L69" s="550"/>
      <c r="M69" s="550"/>
      <c r="N69" s="550"/>
      <c r="O69" s="551"/>
      <c r="Q69" s="540"/>
      <c r="R69" s="540"/>
      <c r="S69" s="540"/>
    </row>
    <row r="70" spans="2:19" ht="26.25" customHeight="1" thickBot="1" x14ac:dyDescent="0.25">
      <c r="B70" s="548"/>
      <c r="C70" s="532"/>
      <c r="G70" s="552" t="s">
        <v>177</v>
      </c>
      <c r="H70" s="552" t="s">
        <v>178</v>
      </c>
      <c r="I70" s="544"/>
      <c r="J70" s="981" t="s">
        <v>179</v>
      </c>
      <c r="K70" s="982"/>
      <c r="L70" s="553"/>
      <c r="M70" s="553"/>
      <c r="N70" s="553"/>
      <c r="O70" s="655" t="s">
        <v>267</v>
      </c>
      <c r="Q70" s="540"/>
      <c r="R70" s="540"/>
      <c r="S70" s="540"/>
    </row>
    <row r="71" spans="2:19" ht="12.75" customHeight="1" x14ac:dyDescent="0.2">
      <c r="B71" s="968" t="s">
        <v>180</v>
      </c>
      <c r="C71" s="971" t="s">
        <v>181</v>
      </c>
      <c r="D71" s="973" t="s">
        <v>182</v>
      </c>
      <c r="E71" s="974"/>
      <c r="F71" s="974"/>
      <c r="G71" s="555">
        <f>+O45</f>
        <v>120000</v>
      </c>
      <c r="H71" s="556">
        <f t="shared" ref="H71:H79" si="14">+G71</f>
        <v>120000</v>
      </c>
      <c r="I71" s="544"/>
      <c r="J71" s="561">
        <v>926489244</v>
      </c>
      <c r="K71" s="539"/>
      <c r="L71" s="539"/>
      <c r="M71" s="539" t="s">
        <v>232</v>
      </c>
      <c r="N71" s="539" t="s">
        <v>670</v>
      </c>
      <c r="O71" s="558"/>
      <c r="Q71" s="540"/>
      <c r="R71" s="540"/>
      <c r="S71" s="540"/>
    </row>
    <row r="72" spans="2:19" ht="12.75" customHeight="1" x14ac:dyDescent="0.2">
      <c r="B72" s="969"/>
      <c r="C72" s="972"/>
      <c r="D72" s="975" t="s">
        <v>184</v>
      </c>
      <c r="E72" s="976"/>
      <c r="F72" s="976"/>
      <c r="G72" s="559">
        <v>32749</v>
      </c>
      <c r="H72" s="560">
        <f t="shared" si="14"/>
        <v>32749</v>
      </c>
      <c r="I72" s="544"/>
      <c r="J72" s="619">
        <v>880768890</v>
      </c>
      <c r="K72" s="550"/>
      <c r="L72" s="550"/>
      <c r="M72" s="557" t="s">
        <v>232</v>
      </c>
      <c r="N72" s="550"/>
      <c r="O72" s="562"/>
      <c r="Q72" s="540"/>
      <c r="R72" s="540"/>
      <c r="S72" s="540"/>
    </row>
    <row r="73" spans="2:19" ht="12.75" customHeight="1" x14ac:dyDescent="0.2">
      <c r="B73" s="969"/>
      <c r="C73" s="972"/>
      <c r="D73" s="990" t="s">
        <v>185</v>
      </c>
      <c r="E73" s="991"/>
      <c r="F73" s="991"/>
      <c r="G73" s="654">
        <f>+O42</f>
        <v>360</v>
      </c>
      <c r="H73" s="560">
        <f t="shared" si="14"/>
        <v>360</v>
      </c>
      <c r="I73" s="544"/>
      <c r="J73" s="635"/>
      <c r="K73" s="539"/>
      <c r="L73" s="539"/>
      <c r="M73" s="539"/>
      <c r="N73" s="539"/>
      <c r="O73" s="558"/>
    </row>
    <row r="74" spans="2:19" ht="12.75" customHeight="1" x14ac:dyDescent="0.2">
      <c r="B74" s="969"/>
      <c r="C74" s="972"/>
      <c r="D74" s="975" t="s">
        <v>186</v>
      </c>
      <c r="E74" s="976"/>
      <c r="F74" s="976"/>
      <c r="G74" s="565">
        <v>0</v>
      </c>
      <c r="H74" s="560">
        <f t="shared" si="14"/>
        <v>0</v>
      </c>
      <c r="I74" s="544"/>
      <c r="J74" s="541"/>
      <c r="K74" s="534"/>
      <c r="L74" s="534"/>
      <c r="M74" s="534"/>
      <c r="N74" s="534"/>
      <c r="O74" s="570"/>
    </row>
    <row r="75" spans="2:19" ht="14.25" customHeight="1" x14ac:dyDescent="0.2">
      <c r="B75" s="969"/>
      <c r="C75" s="972"/>
      <c r="D75" s="950" t="s">
        <v>188</v>
      </c>
      <c r="E75" s="976"/>
      <c r="F75" s="976"/>
      <c r="G75" s="654">
        <v>0</v>
      </c>
      <c r="H75" s="560">
        <f t="shared" si="14"/>
        <v>0</v>
      </c>
      <c r="I75" s="544"/>
      <c r="J75" s="545"/>
      <c r="K75" s="529"/>
      <c r="L75" s="529"/>
      <c r="M75" s="529"/>
      <c r="N75" s="529"/>
      <c r="O75" s="546"/>
    </row>
    <row r="76" spans="2:19" x14ac:dyDescent="0.2">
      <c r="B76" s="969"/>
      <c r="C76" s="972"/>
      <c r="D76" s="975" t="s">
        <v>190</v>
      </c>
      <c r="E76" s="976"/>
      <c r="F76" s="976"/>
      <c r="G76" s="568">
        <v>0</v>
      </c>
      <c r="H76" s="560">
        <f t="shared" si="14"/>
        <v>0</v>
      </c>
      <c r="I76" s="544"/>
      <c r="J76" s="545"/>
      <c r="K76" s="529"/>
      <c r="L76" s="529"/>
      <c r="M76" s="529"/>
      <c r="N76" s="529"/>
      <c r="O76" s="546"/>
    </row>
    <row r="77" spans="2:19" x14ac:dyDescent="0.2">
      <c r="B77" s="969"/>
      <c r="C77" s="972"/>
      <c r="D77" s="975" t="s">
        <v>191</v>
      </c>
      <c r="E77" s="976"/>
      <c r="F77" s="976"/>
      <c r="G77" s="565">
        <v>0</v>
      </c>
      <c r="H77" s="560">
        <f t="shared" si="14"/>
        <v>0</v>
      </c>
      <c r="I77" s="539"/>
      <c r="J77" s="572" t="s">
        <v>187</v>
      </c>
      <c r="K77" s="553"/>
      <c r="L77" s="553"/>
      <c r="M77" s="553"/>
      <c r="N77" s="553"/>
      <c r="O77" s="554"/>
    </row>
    <row r="78" spans="2:19" ht="12.75" customHeight="1" x14ac:dyDescent="0.2">
      <c r="B78" s="969"/>
      <c r="C78" s="571" t="s">
        <v>192</v>
      </c>
      <c r="D78" s="984" t="s">
        <v>193</v>
      </c>
      <c r="E78" s="985"/>
      <c r="F78" s="985"/>
      <c r="G78" s="654">
        <v>0</v>
      </c>
      <c r="H78" s="560">
        <f t="shared" si="14"/>
        <v>0</v>
      </c>
      <c r="I78" s="539"/>
      <c r="J78" s="545" t="s">
        <v>189</v>
      </c>
      <c r="K78" s="534"/>
      <c r="L78" s="534"/>
      <c r="M78" s="534"/>
      <c r="N78" s="534"/>
      <c r="O78" s="570">
        <f>O44</f>
        <v>4600</v>
      </c>
    </row>
    <row r="79" spans="2:19" ht="13.5" thickBot="1" x14ac:dyDescent="0.25">
      <c r="B79" s="969"/>
      <c r="C79" s="571" t="s">
        <v>194</v>
      </c>
      <c r="D79" s="986" t="s">
        <v>195</v>
      </c>
      <c r="E79" s="986"/>
      <c r="F79" s="986"/>
      <c r="G79" s="573">
        <v>0</v>
      </c>
      <c r="H79" s="574">
        <f t="shared" si="14"/>
        <v>0</v>
      </c>
      <c r="I79" s="544"/>
      <c r="J79" s="545" t="s">
        <v>671</v>
      </c>
      <c r="K79" s="550"/>
      <c r="L79" s="550"/>
      <c r="M79" s="620"/>
      <c r="N79" s="620"/>
      <c r="O79" s="621">
        <v>8032</v>
      </c>
    </row>
    <row r="80" spans="2:19" ht="12.75" customHeight="1" thickBot="1" x14ac:dyDescent="0.25">
      <c r="B80" s="969"/>
      <c r="C80" s="575"/>
      <c r="D80" s="576"/>
      <c r="E80" s="987" t="s">
        <v>117</v>
      </c>
      <c r="F80" s="988"/>
      <c r="G80" s="577">
        <f>SUM(G71:G79)</f>
        <v>153109</v>
      </c>
      <c r="H80" s="578">
        <f>IF(SUM(G71:G77)&lt;150000,SUM(G71:G77),150000)+IF(+G78&lt;20000,+G78,20000)</f>
        <v>150000</v>
      </c>
      <c r="I80" s="544"/>
      <c r="J80" s="636" t="s">
        <v>672</v>
      </c>
      <c r="K80" s="580"/>
      <c r="L80" s="580"/>
      <c r="M80" s="581"/>
      <c r="N80" s="581"/>
      <c r="O80" s="582"/>
    </row>
    <row r="81" spans="2:11" x14ac:dyDescent="0.2">
      <c r="B81" s="969"/>
      <c r="C81" s="583" t="s">
        <v>196</v>
      </c>
      <c r="D81" s="975" t="s">
        <v>187</v>
      </c>
      <c r="E81" s="976"/>
      <c r="F81" s="989"/>
      <c r="G81" s="555">
        <f>+O44+O79</f>
        <v>12632</v>
      </c>
      <c r="H81" s="584">
        <f>+IF(+G81&lt;25000,+G81,25000)</f>
        <v>12632</v>
      </c>
      <c r="I81" s="544"/>
    </row>
    <row r="82" spans="2:11" x14ac:dyDescent="0.2">
      <c r="B82" s="969"/>
      <c r="C82" s="583" t="s">
        <v>197</v>
      </c>
      <c r="D82" s="950" t="s">
        <v>198</v>
      </c>
      <c r="E82" s="951"/>
      <c r="F82" s="952"/>
      <c r="G82" s="586"/>
      <c r="H82" s="587">
        <f>+IF(+G82&lt;40000,+G82,40000)</f>
        <v>0</v>
      </c>
      <c r="I82" s="544"/>
    </row>
    <row r="83" spans="2:11" x14ac:dyDescent="0.2">
      <c r="B83" s="969"/>
      <c r="C83" s="583" t="s">
        <v>199</v>
      </c>
      <c r="D83" s="950" t="s">
        <v>200</v>
      </c>
      <c r="E83" s="951"/>
      <c r="F83" s="952"/>
      <c r="G83" s="565"/>
      <c r="H83" s="588">
        <v>0</v>
      </c>
      <c r="I83" s="544"/>
      <c r="J83" s="590"/>
    </row>
    <row r="84" spans="2:11" x14ac:dyDescent="0.2">
      <c r="B84" s="969"/>
      <c r="C84" s="583" t="s">
        <v>201</v>
      </c>
      <c r="D84" s="950" t="s">
        <v>202</v>
      </c>
      <c r="E84" s="951"/>
      <c r="F84" s="952"/>
      <c r="G84" s="565"/>
      <c r="H84" s="588">
        <v>0</v>
      </c>
      <c r="I84" s="544"/>
    </row>
    <row r="85" spans="2:11" ht="13.5" thickBot="1" x14ac:dyDescent="0.25">
      <c r="B85" s="970"/>
      <c r="C85" s="583" t="s">
        <v>203</v>
      </c>
      <c r="D85" s="950" t="s">
        <v>204</v>
      </c>
      <c r="E85" s="951"/>
      <c r="F85" s="952"/>
      <c r="G85" s="586"/>
      <c r="H85" s="587">
        <f>+IF(+G85&lt;100000,+G85,10000)</f>
        <v>0</v>
      </c>
    </row>
    <row r="86" spans="2:11" ht="13.5" thickBot="1" x14ac:dyDescent="0.25">
      <c r="B86" s="953" t="s">
        <v>205</v>
      </c>
      <c r="C86" s="954"/>
      <c r="D86" s="954"/>
      <c r="E86" s="954"/>
      <c r="F86" s="954"/>
      <c r="G86" s="591">
        <f>SUM(G81:G85)</f>
        <v>12632</v>
      </c>
      <c r="H86" s="592">
        <f>SUM(H80:H85)</f>
        <v>162632</v>
      </c>
    </row>
    <row r="87" spans="2:11" ht="13.5" thickBot="1" x14ac:dyDescent="0.25"/>
    <row r="88" spans="2:11" ht="13.5" thickBot="1" x14ac:dyDescent="0.25">
      <c r="B88" s="955" t="s">
        <v>206</v>
      </c>
      <c r="C88" s="956"/>
      <c r="D88" s="956"/>
      <c r="E88" s="956"/>
      <c r="F88" s="957"/>
      <c r="G88" s="958">
        <f>+G67-H86</f>
        <v>1375882</v>
      </c>
      <c r="H88" s="957"/>
      <c r="J88" s="504">
        <f>C39+D39+E39+F39</f>
        <v>996342</v>
      </c>
      <c r="K88" s="504" t="s">
        <v>235</v>
      </c>
    </row>
    <row r="89" spans="2:11" x14ac:dyDescent="0.2">
      <c r="B89" s="594"/>
      <c r="F89" s="593"/>
      <c r="J89" s="504">
        <f>G39+H39+I39</f>
        <v>215916</v>
      </c>
      <c r="K89" s="504" t="s">
        <v>236</v>
      </c>
    </row>
    <row r="90" spans="2:11" x14ac:dyDescent="0.2">
      <c r="C90" s="959" t="s">
        <v>207</v>
      </c>
      <c r="D90" s="960"/>
      <c r="E90" s="595" t="s">
        <v>208</v>
      </c>
      <c r="F90" s="595" t="s">
        <v>209</v>
      </c>
      <c r="G90" s="595" t="s">
        <v>210</v>
      </c>
      <c r="H90" s="595" t="s">
        <v>211</v>
      </c>
      <c r="J90" s="504">
        <f>J39+K39+L39</f>
        <v>222588</v>
      </c>
      <c r="K90" s="531" t="s">
        <v>237</v>
      </c>
    </row>
    <row r="91" spans="2:11" x14ac:dyDescent="0.2">
      <c r="C91" s="961" t="str">
        <f>IF(I6="M","0          - 250000","0          -  250000")</f>
        <v>0          - 250000</v>
      </c>
      <c r="D91" s="962"/>
      <c r="E91" s="597">
        <v>0</v>
      </c>
      <c r="F91" s="598">
        <f>IF(I6="M",(IF(G88&lt;250000,G88,250000)),(IF(G88&lt;250000,G88,250000)))</f>
        <v>250000</v>
      </c>
      <c r="G91" s="598">
        <f>G88-F91</f>
        <v>1125882</v>
      </c>
      <c r="H91" s="598">
        <f>E91*F91</f>
        <v>0</v>
      </c>
      <c r="J91" s="504">
        <f>M39+N39</f>
        <v>146168</v>
      </c>
      <c r="K91" s="490" t="s">
        <v>238</v>
      </c>
    </row>
    <row r="92" spans="2:11" x14ac:dyDescent="0.2">
      <c r="C92" s="961" t="str">
        <f>IF(I6="M","250001 - 500000","250001-500000")</f>
        <v>250001 - 500000</v>
      </c>
      <c r="D92" s="962"/>
      <c r="E92" s="597">
        <v>0.05</v>
      </c>
      <c r="F92" s="598">
        <f>IF(I6="M",(IF(G91&lt;250000,G91,250000)),(IF(G91&lt;250000,G91,250000)))</f>
        <v>250000</v>
      </c>
      <c r="G92" s="598">
        <f>G91-F92</f>
        <v>875882</v>
      </c>
      <c r="H92" s="600">
        <f>ROUND(E92*F92,0.1)</f>
        <v>12500</v>
      </c>
      <c r="J92" s="601">
        <f>SUM(J88:J91)</f>
        <v>1581014</v>
      </c>
    </row>
    <row r="93" spans="2:11" x14ac:dyDescent="0.2">
      <c r="C93" s="963" t="s">
        <v>212</v>
      </c>
      <c r="D93" s="964"/>
      <c r="E93" s="597">
        <v>0.2</v>
      </c>
      <c r="F93" s="598">
        <f>IF(G92&lt;500000,G92,500000)</f>
        <v>500000</v>
      </c>
      <c r="G93" s="598">
        <f>G92-F93</f>
        <v>375882</v>
      </c>
      <c r="H93" s="600">
        <f>ROUND(E93*F93,0.1)</f>
        <v>100000</v>
      </c>
      <c r="J93" s="504">
        <f>+G88</f>
        <v>1375882</v>
      </c>
    </row>
    <row r="94" spans="2:11" x14ac:dyDescent="0.2">
      <c r="C94" s="961" t="s">
        <v>213</v>
      </c>
      <c r="D94" s="962"/>
      <c r="E94" s="597">
        <v>0.3</v>
      </c>
      <c r="F94" s="598">
        <f>G93</f>
        <v>375882</v>
      </c>
      <c r="G94" s="598">
        <f>G93-F94</f>
        <v>0</v>
      </c>
      <c r="H94" s="600">
        <f>ROUND(E94*F94,0.1)</f>
        <v>112765</v>
      </c>
      <c r="J94" s="504">
        <f>+J92-J93</f>
        <v>205132</v>
      </c>
    </row>
    <row r="95" spans="2:11" ht="12.75" customHeight="1" thickBot="1" x14ac:dyDescent="0.25">
      <c r="B95" s="602"/>
      <c r="C95" s="603"/>
      <c r="D95" s="531"/>
      <c r="E95" s="531"/>
      <c r="F95" s="531"/>
      <c r="J95" s="504">
        <f>ROUND(+G88/12,0.1)</f>
        <v>114657</v>
      </c>
      <c r="K95" s="623" t="s">
        <v>416</v>
      </c>
    </row>
    <row r="96" spans="2:11" ht="13.5" thickBot="1" x14ac:dyDescent="0.25">
      <c r="B96" s="965" t="s">
        <v>239</v>
      </c>
      <c r="C96" s="966"/>
      <c r="D96" s="966"/>
      <c r="E96" s="966"/>
      <c r="F96" s="967"/>
      <c r="G96" s="943">
        <f>H91+H92+H93+H94</f>
        <v>225265</v>
      </c>
      <c r="H96" s="944"/>
      <c r="J96" s="504">
        <f>+J94/3</f>
        <v>68377.333333333328</v>
      </c>
    </row>
    <row r="97" spans="2:12" ht="13.5" thickBot="1" x14ac:dyDescent="0.25">
      <c r="B97" s="606" t="s">
        <v>1354</v>
      </c>
      <c r="C97" s="607"/>
      <c r="D97" s="607"/>
      <c r="E97" s="607"/>
      <c r="F97" s="607"/>
      <c r="G97" s="652"/>
      <c r="H97" s="653">
        <v>120149</v>
      </c>
    </row>
    <row r="98" spans="2:12" ht="13.5" thickBot="1" x14ac:dyDescent="0.25">
      <c r="B98" s="606" t="s">
        <v>215</v>
      </c>
      <c r="C98" s="607"/>
      <c r="D98" s="607"/>
      <c r="E98" s="607"/>
      <c r="F98" s="607"/>
      <c r="G98" s="941">
        <f>IF((G67&lt;500000),5000,0)</f>
        <v>0</v>
      </c>
      <c r="H98" s="942">
        <f>IF(H95&lt;200000,0,IF(H95&lt;220000,((H95-200000)*10%),IF(H95&lt;=500000,2000,IF(H95&gt;=500000,0))))</f>
        <v>0</v>
      </c>
      <c r="J98" s="490"/>
      <c r="K98" s="610"/>
      <c r="L98" s="610"/>
    </row>
    <row r="99" spans="2:12" ht="13.5" thickBot="1" x14ac:dyDescent="0.25">
      <c r="B99" s="611" t="s">
        <v>216</v>
      </c>
      <c r="C99" s="612"/>
      <c r="D99" s="612"/>
      <c r="E99" s="612"/>
      <c r="F99" s="612"/>
      <c r="G99" s="943">
        <f>IF((G96-H97-G98)&lt;0,0,(G96-H97-G98))</f>
        <v>105116</v>
      </c>
      <c r="H99" s="944"/>
      <c r="I99" s="527"/>
    </row>
    <row r="100" spans="2:12" ht="13.5" thickBot="1" x14ac:dyDescent="0.25">
      <c r="B100" s="945" t="s">
        <v>240</v>
      </c>
      <c r="C100" s="946"/>
      <c r="D100" s="946"/>
      <c r="E100" s="946"/>
      <c r="F100" s="947"/>
      <c r="G100" s="948">
        <f>ROUND((IF(G99&gt;0,(G99*4%),0)),0)</f>
        <v>4205</v>
      </c>
      <c r="H100" s="949"/>
      <c r="I100" s="527"/>
    </row>
    <row r="101" spans="2:12" ht="13.5" thickBot="1" x14ac:dyDescent="0.25">
      <c r="B101" s="933" t="s">
        <v>218</v>
      </c>
      <c r="C101" s="934"/>
      <c r="D101" s="934"/>
      <c r="E101" s="934"/>
      <c r="F101" s="934"/>
      <c r="G101" s="935">
        <f>G99+G100</f>
        <v>109321</v>
      </c>
      <c r="H101" s="936"/>
      <c r="I101" s="610"/>
    </row>
    <row r="102" spans="2:12" ht="13.5" thickBot="1" x14ac:dyDescent="0.25">
      <c r="B102" s="937" t="s">
        <v>219</v>
      </c>
      <c r="C102" s="938"/>
      <c r="D102" s="938"/>
      <c r="E102" s="938"/>
      <c r="F102" s="938"/>
      <c r="G102" s="939">
        <f>O40</f>
        <v>112520</v>
      </c>
      <c r="H102" s="940"/>
      <c r="I102" s="610"/>
    </row>
    <row r="103" spans="2:12" ht="13.5" thickBot="1" x14ac:dyDescent="0.25">
      <c r="B103" s="937" t="str">
        <f>IF(G103&gt;0,"TAX PAYABLE","TAX REFUND")</f>
        <v>TAX REFUND</v>
      </c>
      <c r="C103" s="938"/>
      <c r="D103" s="938"/>
      <c r="E103" s="938"/>
      <c r="F103" s="938"/>
      <c r="G103" s="939">
        <f>+G101-G102</f>
        <v>-3199</v>
      </c>
      <c r="H103" s="940"/>
      <c r="I103" s="527"/>
    </row>
    <row r="104" spans="2:12" x14ac:dyDescent="0.2">
      <c r="C104" s="613"/>
      <c r="D104" s="656"/>
      <c r="E104" s="604"/>
      <c r="F104" s="604"/>
      <c r="G104" s="604"/>
      <c r="H104" s="604"/>
      <c r="I104" s="614"/>
    </row>
    <row r="105" spans="2:12" x14ac:dyDescent="0.2">
      <c r="C105" s="531"/>
      <c r="D105" s="534"/>
      <c r="E105" s="603"/>
      <c r="F105" s="531"/>
      <c r="G105" s="531"/>
      <c r="H105" s="531"/>
      <c r="I105" s="614"/>
    </row>
    <row r="106" spans="2:12" x14ac:dyDescent="0.2">
      <c r="C106" s="529"/>
      <c r="D106" s="615"/>
      <c r="E106" s="615"/>
      <c r="F106" s="615"/>
      <c r="G106" s="529"/>
      <c r="H106" s="529"/>
      <c r="I106" s="527"/>
    </row>
    <row r="107" spans="2:12" x14ac:dyDescent="0.2">
      <c r="C107" s="529"/>
      <c r="D107" s="615"/>
      <c r="E107" s="615"/>
      <c r="F107" s="529"/>
      <c r="G107" s="529"/>
      <c r="H107" s="529"/>
      <c r="I107" s="527"/>
    </row>
    <row r="108" spans="2:12" x14ac:dyDescent="0.2">
      <c r="C108" s="529"/>
      <c r="D108" s="615"/>
      <c r="E108" s="615"/>
      <c r="F108" s="529"/>
      <c r="G108" s="529"/>
      <c r="H108" s="529"/>
      <c r="I108" s="527"/>
    </row>
    <row r="109" spans="2:12" x14ac:dyDescent="0.2">
      <c r="C109" s="529"/>
      <c r="D109" s="529"/>
      <c r="E109" s="529"/>
      <c r="F109" s="529"/>
      <c r="G109" s="529"/>
      <c r="H109" s="529"/>
      <c r="I109" s="527"/>
    </row>
    <row r="110" spans="2:12" x14ac:dyDescent="0.2">
      <c r="C110" s="529"/>
      <c r="D110" s="529"/>
      <c r="E110" s="529"/>
      <c r="F110" s="529"/>
      <c r="G110" s="529"/>
      <c r="H110" s="529"/>
      <c r="I110" s="610"/>
    </row>
    <row r="111" spans="2:12" x14ac:dyDescent="0.2">
      <c r="C111" s="529"/>
      <c r="D111" s="529"/>
      <c r="E111" s="529"/>
      <c r="F111" s="529"/>
      <c r="G111" s="529"/>
      <c r="H111" s="529"/>
    </row>
  </sheetData>
  <mergeCells count="94">
    <mergeCell ref="B103:F103"/>
    <mergeCell ref="G103:H103"/>
    <mergeCell ref="A1:C1"/>
    <mergeCell ref="D1:F1"/>
    <mergeCell ref="G1:H1"/>
    <mergeCell ref="A3:C3"/>
    <mergeCell ref="D3:F3"/>
    <mergeCell ref="G3:H3"/>
    <mergeCell ref="D57:F57"/>
    <mergeCell ref="G57:H57"/>
    <mergeCell ref="D58:F58"/>
    <mergeCell ref="A38:B38"/>
    <mergeCell ref="A40:A50"/>
    <mergeCell ref="A51:B51"/>
    <mergeCell ref="A52:B52"/>
    <mergeCell ref="B55:F55"/>
    <mergeCell ref="I1:O1"/>
    <mergeCell ref="A2:C2"/>
    <mergeCell ref="D2:F2"/>
    <mergeCell ref="G2:H2"/>
    <mergeCell ref="I2:O2"/>
    <mergeCell ref="I3:O3"/>
    <mergeCell ref="A4:C4"/>
    <mergeCell ref="D4:F4"/>
    <mergeCell ref="G4:H4"/>
    <mergeCell ref="I4:O4"/>
    <mergeCell ref="L7:O7"/>
    <mergeCell ref="A8:B8"/>
    <mergeCell ref="A22:A34"/>
    <mergeCell ref="A36:B36"/>
    <mergeCell ref="A37:B37"/>
    <mergeCell ref="I5:O5"/>
    <mergeCell ref="A6:C6"/>
    <mergeCell ref="D6:F6"/>
    <mergeCell ref="G6:H6"/>
    <mergeCell ref="J6:O6"/>
    <mergeCell ref="A5:C5"/>
    <mergeCell ref="D5:F5"/>
    <mergeCell ref="G5:H5"/>
    <mergeCell ref="G55:H55"/>
    <mergeCell ref="C65:F65"/>
    <mergeCell ref="G65:H65"/>
    <mergeCell ref="J65:O65"/>
    <mergeCell ref="G58:H58"/>
    <mergeCell ref="J58:L58"/>
    <mergeCell ref="M58:O58"/>
    <mergeCell ref="G59:H59"/>
    <mergeCell ref="D60:F60"/>
    <mergeCell ref="G60:H60"/>
    <mergeCell ref="B62:F62"/>
    <mergeCell ref="G62:H62"/>
    <mergeCell ref="J62:O62"/>
    <mergeCell ref="B64:F64"/>
    <mergeCell ref="G64:H64"/>
    <mergeCell ref="B57:B60"/>
    <mergeCell ref="C57:C60"/>
    <mergeCell ref="D81:F81"/>
    <mergeCell ref="B67:F67"/>
    <mergeCell ref="G67:H67"/>
    <mergeCell ref="J70:K70"/>
    <mergeCell ref="B71:B85"/>
    <mergeCell ref="C71:C77"/>
    <mergeCell ref="D71:F71"/>
    <mergeCell ref="D72:F72"/>
    <mergeCell ref="D73:F73"/>
    <mergeCell ref="D74:F74"/>
    <mergeCell ref="D75:F75"/>
    <mergeCell ref="D76:F76"/>
    <mergeCell ref="D77:F77"/>
    <mergeCell ref="D78:F78"/>
    <mergeCell ref="D79:F79"/>
    <mergeCell ref="E80:F80"/>
    <mergeCell ref="C94:D94"/>
    <mergeCell ref="D82:F82"/>
    <mergeCell ref="D83:F83"/>
    <mergeCell ref="D84:F84"/>
    <mergeCell ref="D85:F85"/>
    <mergeCell ref="B86:F86"/>
    <mergeCell ref="B88:F88"/>
    <mergeCell ref="G88:H88"/>
    <mergeCell ref="C90:D90"/>
    <mergeCell ref="C91:D91"/>
    <mergeCell ref="C92:D92"/>
    <mergeCell ref="C93:D93"/>
    <mergeCell ref="B101:F101"/>
    <mergeCell ref="G101:H101"/>
    <mergeCell ref="B102:F102"/>
    <mergeCell ref="G102:H102"/>
    <mergeCell ref="B96:F96"/>
    <mergeCell ref="G96:H96"/>
    <mergeCell ref="G98:H98"/>
    <mergeCell ref="G99:H99"/>
    <mergeCell ref="B100:F100"/>
    <mergeCell ref="G100:H100"/>
  </mergeCells>
  <conditionalFormatting sqref="B93:F93 B103:F103 B96:F101">
    <cfRule type="cellIs" dxfId="1871" priority="1" stopIfTrue="1" operator="equal">
      <formula>"TAX PAYABLE"</formula>
    </cfRule>
    <cfRule type="cellIs" dxfId="1870" priority="2" stopIfTrue="1" operator="equal">
      <formula>"TAX REFUND"</formula>
    </cfRule>
  </conditionalFormatting>
  <conditionalFormatting sqref="G93:H93">
    <cfRule type="cellIs" dxfId="1869" priority="3" stopIfTrue="1" operator="lessThan">
      <formula>0</formula>
    </cfRule>
    <cfRule type="cellIs" dxfId="1868" priority="4" stopIfTrue="1" operator="greaterThan">
      <formula>0</formula>
    </cfRule>
  </conditionalFormatting>
  <conditionalFormatting sqref="G103:H103">
    <cfRule type="cellIs" dxfId="1867" priority="5" stopIfTrue="1" operator="greaterThan">
      <formula>0</formula>
    </cfRule>
    <cfRule type="cellIs" dxfId="1866" priority="6"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$Q$8:$Q$9</formula1>
    </dataValidation>
  </dataValidations>
  <pageMargins left="0.7" right="0.7" top="0.75" bottom="0.75" header="0.3" footer="0.3"/>
  <pageSetup paperSize="5" orientation="landscape" horizontalDpi="300" verticalDpi="300" r:id="rId1"/>
  <headerFooter alignWithMargins="0"/>
  <legacyDrawing r:id="rId2"/>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106"/>
  <sheetViews>
    <sheetView topLeftCell="A61" zoomScaleNormal="100" workbookViewId="0">
      <selection activeCell="G101" sqref="G101:H101"/>
    </sheetView>
  </sheetViews>
  <sheetFormatPr defaultRowHeight="12.75" x14ac:dyDescent="0.2"/>
  <cols>
    <col min="1" max="1" width="5" style="504" customWidth="1"/>
    <col min="2" max="2" width="20.85546875" style="527" customWidth="1"/>
    <col min="3" max="3" width="9" style="504" customWidth="1"/>
    <col min="4" max="4" width="8.140625" style="504" customWidth="1"/>
    <col min="5" max="5" width="8.5703125" style="504" bestFit="1" customWidth="1"/>
    <col min="6" max="8" width="8.28515625" style="504" customWidth="1"/>
    <col min="9" max="15" width="8.140625" style="504" customWidth="1"/>
    <col min="16" max="20" width="9.140625" style="504"/>
    <col min="21" max="21" width="12.42578125" style="504" customWidth="1"/>
    <col min="22" max="22" width="9.140625" style="504"/>
    <col min="23" max="23" width="12" style="504" customWidth="1"/>
    <col min="24" max="256" width="9.140625" style="504"/>
    <col min="257" max="257" width="5" style="504" customWidth="1"/>
    <col min="258" max="258" width="20.85546875" style="504" customWidth="1"/>
    <col min="259" max="259" width="9" style="504" customWidth="1"/>
    <col min="260" max="260" width="8.140625" style="504" customWidth="1"/>
    <col min="261" max="261" width="8.5703125" style="504" bestFit="1" customWidth="1"/>
    <col min="262" max="264" width="8.28515625" style="504" customWidth="1"/>
    <col min="265" max="271" width="8.140625" style="504" customWidth="1"/>
    <col min="272" max="276" width="9.140625" style="504"/>
    <col min="277" max="277" width="12.42578125" style="504" customWidth="1"/>
    <col min="278" max="278" width="9.140625" style="504"/>
    <col min="279" max="279" width="12" style="504" customWidth="1"/>
    <col min="280" max="512" width="9.140625" style="504"/>
    <col min="513" max="513" width="5" style="504" customWidth="1"/>
    <col min="514" max="514" width="20.85546875" style="504" customWidth="1"/>
    <col min="515" max="515" width="9" style="504" customWidth="1"/>
    <col min="516" max="516" width="8.140625" style="504" customWidth="1"/>
    <col min="517" max="517" width="8.5703125" style="504" bestFit="1" customWidth="1"/>
    <col min="518" max="520" width="8.28515625" style="504" customWidth="1"/>
    <col min="521" max="527" width="8.140625" style="504" customWidth="1"/>
    <col min="528" max="532" width="9.140625" style="504"/>
    <col min="533" max="533" width="12.42578125" style="504" customWidth="1"/>
    <col min="534" max="534" width="9.140625" style="504"/>
    <col min="535" max="535" width="12" style="504" customWidth="1"/>
    <col min="536" max="768" width="9.140625" style="504"/>
    <col min="769" max="769" width="5" style="504" customWidth="1"/>
    <col min="770" max="770" width="20.85546875" style="504" customWidth="1"/>
    <col min="771" max="771" width="9" style="504" customWidth="1"/>
    <col min="772" max="772" width="8.140625" style="504" customWidth="1"/>
    <col min="773" max="773" width="8.5703125" style="504" bestFit="1" customWidth="1"/>
    <col min="774" max="776" width="8.28515625" style="504" customWidth="1"/>
    <col min="777" max="783" width="8.140625" style="504" customWidth="1"/>
    <col min="784" max="788" width="9.140625" style="504"/>
    <col min="789" max="789" width="12.42578125" style="504" customWidth="1"/>
    <col min="790" max="790" width="9.140625" style="504"/>
    <col min="791" max="791" width="12" style="504" customWidth="1"/>
    <col min="792" max="1024" width="9.140625" style="504"/>
    <col min="1025" max="1025" width="5" style="504" customWidth="1"/>
    <col min="1026" max="1026" width="20.85546875" style="504" customWidth="1"/>
    <col min="1027" max="1027" width="9" style="504" customWidth="1"/>
    <col min="1028" max="1028" width="8.140625" style="504" customWidth="1"/>
    <col min="1029" max="1029" width="8.5703125" style="504" bestFit="1" customWidth="1"/>
    <col min="1030" max="1032" width="8.28515625" style="504" customWidth="1"/>
    <col min="1033" max="1039" width="8.140625" style="504" customWidth="1"/>
    <col min="1040" max="1044" width="9.140625" style="504"/>
    <col min="1045" max="1045" width="12.42578125" style="504" customWidth="1"/>
    <col min="1046" max="1046" width="9.140625" style="504"/>
    <col min="1047" max="1047" width="12" style="504" customWidth="1"/>
    <col min="1048" max="1280" width="9.140625" style="504"/>
    <col min="1281" max="1281" width="5" style="504" customWidth="1"/>
    <col min="1282" max="1282" width="20.85546875" style="504" customWidth="1"/>
    <col min="1283" max="1283" width="9" style="504" customWidth="1"/>
    <col min="1284" max="1284" width="8.140625" style="504" customWidth="1"/>
    <col min="1285" max="1285" width="8.5703125" style="504" bestFit="1" customWidth="1"/>
    <col min="1286" max="1288" width="8.28515625" style="504" customWidth="1"/>
    <col min="1289" max="1295" width="8.140625" style="504" customWidth="1"/>
    <col min="1296" max="1300" width="9.140625" style="504"/>
    <col min="1301" max="1301" width="12.42578125" style="504" customWidth="1"/>
    <col min="1302" max="1302" width="9.140625" style="504"/>
    <col min="1303" max="1303" width="12" style="504" customWidth="1"/>
    <col min="1304" max="1536" width="9.140625" style="504"/>
    <col min="1537" max="1537" width="5" style="504" customWidth="1"/>
    <col min="1538" max="1538" width="20.85546875" style="504" customWidth="1"/>
    <col min="1539" max="1539" width="9" style="504" customWidth="1"/>
    <col min="1540" max="1540" width="8.140625" style="504" customWidth="1"/>
    <col min="1541" max="1541" width="8.5703125" style="504" bestFit="1" customWidth="1"/>
    <col min="1542" max="1544" width="8.28515625" style="504" customWidth="1"/>
    <col min="1545" max="1551" width="8.140625" style="504" customWidth="1"/>
    <col min="1552" max="1556" width="9.140625" style="504"/>
    <col min="1557" max="1557" width="12.42578125" style="504" customWidth="1"/>
    <col min="1558" max="1558" width="9.140625" style="504"/>
    <col min="1559" max="1559" width="12" style="504" customWidth="1"/>
    <col min="1560" max="1792" width="9.140625" style="504"/>
    <col min="1793" max="1793" width="5" style="504" customWidth="1"/>
    <col min="1794" max="1794" width="20.85546875" style="504" customWidth="1"/>
    <col min="1795" max="1795" width="9" style="504" customWidth="1"/>
    <col min="1796" max="1796" width="8.140625" style="504" customWidth="1"/>
    <col min="1797" max="1797" width="8.5703125" style="504" bestFit="1" customWidth="1"/>
    <col min="1798" max="1800" width="8.28515625" style="504" customWidth="1"/>
    <col min="1801" max="1807" width="8.140625" style="504" customWidth="1"/>
    <col min="1808" max="1812" width="9.140625" style="504"/>
    <col min="1813" max="1813" width="12.42578125" style="504" customWidth="1"/>
    <col min="1814" max="1814" width="9.140625" style="504"/>
    <col min="1815" max="1815" width="12" style="504" customWidth="1"/>
    <col min="1816" max="2048" width="9.140625" style="504"/>
    <col min="2049" max="2049" width="5" style="504" customWidth="1"/>
    <col min="2050" max="2050" width="20.85546875" style="504" customWidth="1"/>
    <col min="2051" max="2051" width="9" style="504" customWidth="1"/>
    <col min="2052" max="2052" width="8.140625" style="504" customWidth="1"/>
    <col min="2053" max="2053" width="8.5703125" style="504" bestFit="1" customWidth="1"/>
    <col min="2054" max="2056" width="8.28515625" style="504" customWidth="1"/>
    <col min="2057" max="2063" width="8.140625" style="504" customWidth="1"/>
    <col min="2064" max="2068" width="9.140625" style="504"/>
    <col min="2069" max="2069" width="12.42578125" style="504" customWidth="1"/>
    <col min="2070" max="2070" width="9.140625" style="504"/>
    <col min="2071" max="2071" width="12" style="504" customWidth="1"/>
    <col min="2072" max="2304" width="9.140625" style="504"/>
    <col min="2305" max="2305" width="5" style="504" customWidth="1"/>
    <col min="2306" max="2306" width="20.85546875" style="504" customWidth="1"/>
    <col min="2307" max="2307" width="9" style="504" customWidth="1"/>
    <col min="2308" max="2308" width="8.140625" style="504" customWidth="1"/>
    <col min="2309" max="2309" width="8.5703125" style="504" bestFit="1" customWidth="1"/>
    <col min="2310" max="2312" width="8.28515625" style="504" customWidth="1"/>
    <col min="2313" max="2319" width="8.140625" style="504" customWidth="1"/>
    <col min="2320" max="2324" width="9.140625" style="504"/>
    <col min="2325" max="2325" width="12.42578125" style="504" customWidth="1"/>
    <col min="2326" max="2326" width="9.140625" style="504"/>
    <col min="2327" max="2327" width="12" style="504" customWidth="1"/>
    <col min="2328" max="2560" width="9.140625" style="504"/>
    <col min="2561" max="2561" width="5" style="504" customWidth="1"/>
    <col min="2562" max="2562" width="20.85546875" style="504" customWidth="1"/>
    <col min="2563" max="2563" width="9" style="504" customWidth="1"/>
    <col min="2564" max="2564" width="8.140625" style="504" customWidth="1"/>
    <col min="2565" max="2565" width="8.5703125" style="504" bestFit="1" customWidth="1"/>
    <col min="2566" max="2568" width="8.28515625" style="504" customWidth="1"/>
    <col min="2569" max="2575" width="8.140625" style="504" customWidth="1"/>
    <col min="2576" max="2580" width="9.140625" style="504"/>
    <col min="2581" max="2581" width="12.42578125" style="504" customWidth="1"/>
    <col min="2582" max="2582" width="9.140625" style="504"/>
    <col min="2583" max="2583" width="12" style="504" customWidth="1"/>
    <col min="2584" max="2816" width="9.140625" style="504"/>
    <col min="2817" max="2817" width="5" style="504" customWidth="1"/>
    <col min="2818" max="2818" width="20.85546875" style="504" customWidth="1"/>
    <col min="2819" max="2819" width="9" style="504" customWidth="1"/>
    <col min="2820" max="2820" width="8.140625" style="504" customWidth="1"/>
    <col min="2821" max="2821" width="8.5703125" style="504" bestFit="1" customWidth="1"/>
    <col min="2822" max="2824" width="8.28515625" style="504" customWidth="1"/>
    <col min="2825" max="2831" width="8.140625" style="504" customWidth="1"/>
    <col min="2832" max="2836" width="9.140625" style="504"/>
    <col min="2837" max="2837" width="12.42578125" style="504" customWidth="1"/>
    <col min="2838" max="2838" width="9.140625" style="504"/>
    <col min="2839" max="2839" width="12" style="504" customWidth="1"/>
    <col min="2840" max="3072" width="9.140625" style="504"/>
    <col min="3073" max="3073" width="5" style="504" customWidth="1"/>
    <col min="3074" max="3074" width="20.85546875" style="504" customWidth="1"/>
    <col min="3075" max="3075" width="9" style="504" customWidth="1"/>
    <col min="3076" max="3076" width="8.140625" style="504" customWidth="1"/>
    <col min="3077" max="3077" width="8.5703125" style="504" bestFit="1" customWidth="1"/>
    <col min="3078" max="3080" width="8.28515625" style="504" customWidth="1"/>
    <col min="3081" max="3087" width="8.140625" style="504" customWidth="1"/>
    <col min="3088" max="3092" width="9.140625" style="504"/>
    <col min="3093" max="3093" width="12.42578125" style="504" customWidth="1"/>
    <col min="3094" max="3094" width="9.140625" style="504"/>
    <col min="3095" max="3095" width="12" style="504" customWidth="1"/>
    <col min="3096" max="3328" width="9.140625" style="504"/>
    <col min="3329" max="3329" width="5" style="504" customWidth="1"/>
    <col min="3330" max="3330" width="20.85546875" style="504" customWidth="1"/>
    <col min="3331" max="3331" width="9" style="504" customWidth="1"/>
    <col min="3332" max="3332" width="8.140625" style="504" customWidth="1"/>
    <col min="3333" max="3333" width="8.5703125" style="504" bestFit="1" customWidth="1"/>
    <col min="3334" max="3336" width="8.28515625" style="504" customWidth="1"/>
    <col min="3337" max="3343" width="8.140625" style="504" customWidth="1"/>
    <col min="3344" max="3348" width="9.140625" style="504"/>
    <col min="3349" max="3349" width="12.42578125" style="504" customWidth="1"/>
    <col min="3350" max="3350" width="9.140625" style="504"/>
    <col min="3351" max="3351" width="12" style="504" customWidth="1"/>
    <col min="3352" max="3584" width="9.140625" style="504"/>
    <col min="3585" max="3585" width="5" style="504" customWidth="1"/>
    <col min="3586" max="3586" width="20.85546875" style="504" customWidth="1"/>
    <col min="3587" max="3587" width="9" style="504" customWidth="1"/>
    <col min="3588" max="3588" width="8.140625" style="504" customWidth="1"/>
    <col min="3589" max="3589" width="8.5703125" style="504" bestFit="1" customWidth="1"/>
    <col min="3590" max="3592" width="8.28515625" style="504" customWidth="1"/>
    <col min="3593" max="3599" width="8.140625" style="504" customWidth="1"/>
    <col min="3600" max="3604" width="9.140625" style="504"/>
    <col min="3605" max="3605" width="12.42578125" style="504" customWidth="1"/>
    <col min="3606" max="3606" width="9.140625" style="504"/>
    <col min="3607" max="3607" width="12" style="504" customWidth="1"/>
    <col min="3608" max="3840" width="9.140625" style="504"/>
    <col min="3841" max="3841" width="5" style="504" customWidth="1"/>
    <col min="3842" max="3842" width="20.85546875" style="504" customWidth="1"/>
    <col min="3843" max="3843" width="9" style="504" customWidth="1"/>
    <col min="3844" max="3844" width="8.140625" style="504" customWidth="1"/>
    <col min="3845" max="3845" width="8.5703125" style="504" bestFit="1" customWidth="1"/>
    <col min="3846" max="3848" width="8.28515625" style="504" customWidth="1"/>
    <col min="3849" max="3855" width="8.140625" style="504" customWidth="1"/>
    <col min="3856" max="3860" width="9.140625" style="504"/>
    <col min="3861" max="3861" width="12.42578125" style="504" customWidth="1"/>
    <col min="3862" max="3862" width="9.140625" style="504"/>
    <col min="3863" max="3863" width="12" style="504" customWidth="1"/>
    <col min="3864" max="4096" width="9.140625" style="504"/>
    <col min="4097" max="4097" width="5" style="504" customWidth="1"/>
    <col min="4098" max="4098" width="20.85546875" style="504" customWidth="1"/>
    <col min="4099" max="4099" width="9" style="504" customWidth="1"/>
    <col min="4100" max="4100" width="8.140625" style="504" customWidth="1"/>
    <col min="4101" max="4101" width="8.5703125" style="504" bestFit="1" customWidth="1"/>
    <col min="4102" max="4104" width="8.28515625" style="504" customWidth="1"/>
    <col min="4105" max="4111" width="8.140625" style="504" customWidth="1"/>
    <col min="4112" max="4116" width="9.140625" style="504"/>
    <col min="4117" max="4117" width="12.42578125" style="504" customWidth="1"/>
    <col min="4118" max="4118" width="9.140625" style="504"/>
    <col min="4119" max="4119" width="12" style="504" customWidth="1"/>
    <col min="4120" max="4352" width="9.140625" style="504"/>
    <col min="4353" max="4353" width="5" style="504" customWidth="1"/>
    <col min="4354" max="4354" width="20.85546875" style="504" customWidth="1"/>
    <col min="4355" max="4355" width="9" style="504" customWidth="1"/>
    <col min="4356" max="4356" width="8.140625" style="504" customWidth="1"/>
    <col min="4357" max="4357" width="8.5703125" style="504" bestFit="1" customWidth="1"/>
    <col min="4358" max="4360" width="8.28515625" style="504" customWidth="1"/>
    <col min="4361" max="4367" width="8.140625" style="504" customWidth="1"/>
    <col min="4368" max="4372" width="9.140625" style="504"/>
    <col min="4373" max="4373" width="12.42578125" style="504" customWidth="1"/>
    <col min="4374" max="4374" width="9.140625" style="504"/>
    <col min="4375" max="4375" width="12" style="504" customWidth="1"/>
    <col min="4376" max="4608" width="9.140625" style="504"/>
    <col min="4609" max="4609" width="5" style="504" customWidth="1"/>
    <col min="4610" max="4610" width="20.85546875" style="504" customWidth="1"/>
    <col min="4611" max="4611" width="9" style="504" customWidth="1"/>
    <col min="4612" max="4612" width="8.140625" style="504" customWidth="1"/>
    <col min="4613" max="4613" width="8.5703125" style="504" bestFit="1" customWidth="1"/>
    <col min="4614" max="4616" width="8.28515625" style="504" customWidth="1"/>
    <col min="4617" max="4623" width="8.140625" style="504" customWidth="1"/>
    <col min="4624" max="4628" width="9.140625" style="504"/>
    <col min="4629" max="4629" width="12.42578125" style="504" customWidth="1"/>
    <col min="4630" max="4630" width="9.140625" style="504"/>
    <col min="4631" max="4631" width="12" style="504" customWidth="1"/>
    <col min="4632" max="4864" width="9.140625" style="504"/>
    <col min="4865" max="4865" width="5" style="504" customWidth="1"/>
    <col min="4866" max="4866" width="20.85546875" style="504" customWidth="1"/>
    <col min="4867" max="4867" width="9" style="504" customWidth="1"/>
    <col min="4868" max="4868" width="8.140625" style="504" customWidth="1"/>
    <col min="4869" max="4869" width="8.5703125" style="504" bestFit="1" customWidth="1"/>
    <col min="4870" max="4872" width="8.28515625" style="504" customWidth="1"/>
    <col min="4873" max="4879" width="8.140625" style="504" customWidth="1"/>
    <col min="4880" max="4884" width="9.140625" style="504"/>
    <col min="4885" max="4885" width="12.42578125" style="504" customWidth="1"/>
    <col min="4886" max="4886" width="9.140625" style="504"/>
    <col min="4887" max="4887" width="12" style="504" customWidth="1"/>
    <col min="4888" max="5120" width="9.140625" style="504"/>
    <col min="5121" max="5121" width="5" style="504" customWidth="1"/>
    <col min="5122" max="5122" width="20.85546875" style="504" customWidth="1"/>
    <col min="5123" max="5123" width="9" style="504" customWidth="1"/>
    <col min="5124" max="5124" width="8.140625" style="504" customWidth="1"/>
    <col min="5125" max="5125" width="8.5703125" style="504" bestFit="1" customWidth="1"/>
    <col min="5126" max="5128" width="8.28515625" style="504" customWidth="1"/>
    <col min="5129" max="5135" width="8.140625" style="504" customWidth="1"/>
    <col min="5136" max="5140" width="9.140625" style="504"/>
    <col min="5141" max="5141" width="12.42578125" style="504" customWidth="1"/>
    <col min="5142" max="5142" width="9.140625" style="504"/>
    <col min="5143" max="5143" width="12" style="504" customWidth="1"/>
    <col min="5144" max="5376" width="9.140625" style="504"/>
    <col min="5377" max="5377" width="5" style="504" customWidth="1"/>
    <col min="5378" max="5378" width="20.85546875" style="504" customWidth="1"/>
    <col min="5379" max="5379" width="9" style="504" customWidth="1"/>
    <col min="5380" max="5380" width="8.140625" style="504" customWidth="1"/>
    <col min="5381" max="5381" width="8.5703125" style="504" bestFit="1" customWidth="1"/>
    <col min="5382" max="5384" width="8.28515625" style="504" customWidth="1"/>
    <col min="5385" max="5391" width="8.140625" style="504" customWidth="1"/>
    <col min="5392" max="5396" width="9.140625" style="504"/>
    <col min="5397" max="5397" width="12.42578125" style="504" customWidth="1"/>
    <col min="5398" max="5398" width="9.140625" style="504"/>
    <col min="5399" max="5399" width="12" style="504" customWidth="1"/>
    <col min="5400" max="5632" width="9.140625" style="504"/>
    <col min="5633" max="5633" width="5" style="504" customWidth="1"/>
    <col min="5634" max="5634" width="20.85546875" style="504" customWidth="1"/>
    <col min="5635" max="5635" width="9" style="504" customWidth="1"/>
    <col min="5636" max="5636" width="8.140625" style="504" customWidth="1"/>
    <col min="5637" max="5637" width="8.5703125" style="504" bestFit="1" customWidth="1"/>
    <col min="5638" max="5640" width="8.28515625" style="504" customWidth="1"/>
    <col min="5641" max="5647" width="8.140625" style="504" customWidth="1"/>
    <col min="5648" max="5652" width="9.140625" style="504"/>
    <col min="5653" max="5653" width="12.42578125" style="504" customWidth="1"/>
    <col min="5654" max="5654" width="9.140625" style="504"/>
    <col min="5655" max="5655" width="12" style="504" customWidth="1"/>
    <col min="5656" max="5888" width="9.140625" style="504"/>
    <col min="5889" max="5889" width="5" style="504" customWidth="1"/>
    <col min="5890" max="5890" width="20.85546875" style="504" customWidth="1"/>
    <col min="5891" max="5891" width="9" style="504" customWidth="1"/>
    <col min="5892" max="5892" width="8.140625" style="504" customWidth="1"/>
    <col min="5893" max="5893" width="8.5703125" style="504" bestFit="1" customWidth="1"/>
    <col min="5894" max="5896" width="8.28515625" style="504" customWidth="1"/>
    <col min="5897" max="5903" width="8.140625" style="504" customWidth="1"/>
    <col min="5904" max="5908" width="9.140625" style="504"/>
    <col min="5909" max="5909" width="12.42578125" style="504" customWidth="1"/>
    <col min="5910" max="5910" width="9.140625" style="504"/>
    <col min="5911" max="5911" width="12" style="504" customWidth="1"/>
    <col min="5912" max="6144" width="9.140625" style="504"/>
    <col min="6145" max="6145" width="5" style="504" customWidth="1"/>
    <col min="6146" max="6146" width="20.85546875" style="504" customWidth="1"/>
    <col min="6147" max="6147" width="9" style="504" customWidth="1"/>
    <col min="6148" max="6148" width="8.140625" style="504" customWidth="1"/>
    <col min="6149" max="6149" width="8.5703125" style="504" bestFit="1" customWidth="1"/>
    <col min="6150" max="6152" width="8.28515625" style="504" customWidth="1"/>
    <col min="6153" max="6159" width="8.140625" style="504" customWidth="1"/>
    <col min="6160" max="6164" width="9.140625" style="504"/>
    <col min="6165" max="6165" width="12.42578125" style="504" customWidth="1"/>
    <col min="6166" max="6166" width="9.140625" style="504"/>
    <col min="6167" max="6167" width="12" style="504" customWidth="1"/>
    <col min="6168" max="6400" width="9.140625" style="504"/>
    <col min="6401" max="6401" width="5" style="504" customWidth="1"/>
    <col min="6402" max="6402" width="20.85546875" style="504" customWidth="1"/>
    <col min="6403" max="6403" width="9" style="504" customWidth="1"/>
    <col min="6404" max="6404" width="8.140625" style="504" customWidth="1"/>
    <col min="6405" max="6405" width="8.5703125" style="504" bestFit="1" customWidth="1"/>
    <col min="6406" max="6408" width="8.28515625" style="504" customWidth="1"/>
    <col min="6409" max="6415" width="8.140625" style="504" customWidth="1"/>
    <col min="6416" max="6420" width="9.140625" style="504"/>
    <col min="6421" max="6421" width="12.42578125" style="504" customWidth="1"/>
    <col min="6422" max="6422" width="9.140625" style="504"/>
    <col min="6423" max="6423" width="12" style="504" customWidth="1"/>
    <col min="6424" max="6656" width="9.140625" style="504"/>
    <col min="6657" max="6657" width="5" style="504" customWidth="1"/>
    <col min="6658" max="6658" width="20.85546875" style="504" customWidth="1"/>
    <col min="6659" max="6659" width="9" style="504" customWidth="1"/>
    <col min="6660" max="6660" width="8.140625" style="504" customWidth="1"/>
    <col min="6661" max="6661" width="8.5703125" style="504" bestFit="1" customWidth="1"/>
    <col min="6662" max="6664" width="8.28515625" style="504" customWidth="1"/>
    <col min="6665" max="6671" width="8.140625" style="504" customWidth="1"/>
    <col min="6672" max="6676" width="9.140625" style="504"/>
    <col min="6677" max="6677" width="12.42578125" style="504" customWidth="1"/>
    <col min="6678" max="6678" width="9.140625" style="504"/>
    <col min="6679" max="6679" width="12" style="504" customWidth="1"/>
    <col min="6680" max="6912" width="9.140625" style="504"/>
    <col min="6913" max="6913" width="5" style="504" customWidth="1"/>
    <col min="6914" max="6914" width="20.85546875" style="504" customWidth="1"/>
    <col min="6915" max="6915" width="9" style="504" customWidth="1"/>
    <col min="6916" max="6916" width="8.140625" style="504" customWidth="1"/>
    <col min="6917" max="6917" width="8.5703125" style="504" bestFit="1" customWidth="1"/>
    <col min="6918" max="6920" width="8.28515625" style="504" customWidth="1"/>
    <col min="6921" max="6927" width="8.140625" style="504" customWidth="1"/>
    <col min="6928" max="6932" width="9.140625" style="504"/>
    <col min="6933" max="6933" width="12.42578125" style="504" customWidth="1"/>
    <col min="6934" max="6934" width="9.140625" style="504"/>
    <col min="6935" max="6935" width="12" style="504" customWidth="1"/>
    <col min="6936" max="7168" width="9.140625" style="504"/>
    <col min="7169" max="7169" width="5" style="504" customWidth="1"/>
    <col min="7170" max="7170" width="20.85546875" style="504" customWidth="1"/>
    <col min="7171" max="7171" width="9" style="504" customWidth="1"/>
    <col min="7172" max="7172" width="8.140625" style="504" customWidth="1"/>
    <col min="7173" max="7173" width="8.5703125" style="504" bestFit="1" customWidth="1"/>
    <col min="7174" max="7176" width="8.28515625" style="504" customWidth="1"/>
    <col min="7177" max="7183" width="8.140625" style="504" customWidth="1"/>
    <col min="7184" max="7188" width="9.140625" style="504"/>
    <col min="7189" max="7189" width="12.42578125" style="504" customWidth="1"/>
    <col min="7190" max="7190" width="9.140625" style="504"/>
    <col min="7191" max="7191" width="12" style="504" customWidth="1"/>
    <col min="7192" max="7424" width="9.140625" style="504"/>
    <col min="7425" max="7425" width="5" style="504" customWidth="1"/>
    <col min="7426" max="7426" width="20.85546875" style="504" customWidth="1"/>
    <col min="7427" max="7427" width="9" style="504" customWidth="1"/>
    <col min="7428" max="7428" width="8.140625" style="504" customWidth="1"/>
    <col min="7429" max="7429" width="8.5703125" style="504" bestFit="1" customWidth="1"/>
    <col min="7430" max="7432" width="8.28515625" style="504" customWidth="1"/>
    <col min="7433" max="7439" width="8.140625" style="504" customWidth="1"/>
    <col min="7440" max="7444" width="9.140625" style="504"/>
    <col min="7445" max="7445" width="12.42578125" style="504" customWidth="1"/>
    <col min="7446" max="7446" width="9.140625" style="504"/>
    <col min="7447" max="7447" width="12" style="504" customWidth="1"/>
    <col min="7448" max="7680" width="9.140625" style="504"/>
    <col min="7681" max="7681" width="5" style="504" customWidth="1"/>
    <col min="7682" max="7682" width="20.85546875" style="504" customWidth="1"/>
    <col min="7683" max="7683" width="9" style="504" customWidth="1"/>
    <col min="7684" max="7684" width="8.140625" style="504" customWidth="1"/>
    <col min="7685" max="7685" width="8.5703125" style="504" bestFit="1" customWidth="1"/>
    <col min="7686" max="7688" width="8.28515625" style="504" customWidth="1"/>
    <col min="7689" max="7695" width="8.140625" style="504" customWidth="1"/>
    <col min="7696" max="7700" width="9.140625" style="504"/>
    <col min="7701" max="7701" width="12.42578125" style="504" customWidth="1"/>
    <col min="7702" max="7702" width="9.140625" style="504"/>
    <col min="7703" max="7703" width="12" style="504" customWidth="1"/>
    <col min="7704" max="7936" width="9.140625" style="504"/>
    <col min="7937" max="7937" width="5" style="504" customWidth="1"/>
    <col min="7938" max="7938" width="20.85546875" style="504" customWidth="1"/>
    <col min="7939" max="7939" width="9" style="504" customWidth="1"/>
    <col min="7940" max="7940" width="8.140625" style="504" customWidth="1"/>
    <col min="7941" max="7941" width="8.5703125" style="504" bestFit="1" customWidth="1"/>
    <col min="7942" max="7944" width="8.28515625" style="504" customWidth="1"/>
    <col min="7945" max="7951" width="8.140625" style="504" customWidth="1"/>
    <col min="7952" max="7956" width="9.140625" style="504"/>
    <col min="7957" max="7957" width="12.42578125" style="504" customWidth="1"/>
    <col min="7958" max="7958" width="9.140625" style="504"/>
    <col min="7959" max="7959" width="12" style="504" customWidth="1"/>
    <col min="7960" max="8192" width="9.140625" style="504"/>
    <col min="8193" max="8193" width="5" style="504" customWidth="1"/>
    <col min="8194" max="8194" width="20.85546875" style="504" customWidth="1"/>
    <col min="8195" max="8195" width="9" style="504" customWidth="1"/>
    <col min="8196" max="8196" width="8.140625" style="504" customWidth="1"/>
    <col min="8197" max="8197" width="8.5703125" style="504" bestFit="1" customWidth="1"/>
    <col min="8198" max="8200" width="8.28515625" style="504" customWidth="1"/>
    <col min="8201" max="8207" width="8.140625" style="504" customWidth="1"/>
    <col min="8208" max="8212" width="9.140625" style="504"/>
    <col min="8213" max="8213" width="12.42578125" style="504" customWidth="1"/>
    <col min="8214" max="8214" width="9.140625" style="504"/>
    <col min="8215" max="8215" width="12" style="504" customWidth="1"/>
    <col min="8216" max="8448" width="9.140625" style="504"/>
    <col min="8449" max="8449" width="5" style="504" customWidth="1"/>
    <col min="8450" max="8450" width="20.85546875" style="504" customWidth="1"/>
    <col min="8451" max="8451" width="9" style="504" customWidth="1"/>
    <col min="8452" max="8452" width="8.140625" style="504" customWidth="1"/>
    <col min="8453" max="8453" width="8.5703125" style="504" bestFit="1" customWidth="1"/>
    <col min="8454" max="8456" width="8.28515625" style="504" customWidth="1"/>
    <col min="8457" max="8463" width="8.140625" style="504" customWidth="1"/>
    <col min="8464" max="8468" width="9.140625" style="504"/>
    <col min="8469" max="8469" width="12.42578125" style="504" customWidth="1"/>
    <col min="8470" max="8470" width="9.140625" style="504"/>
    <col min="8471" max="8471" width="12" style="504" customWidth="1"/>
    <col min="8472" max="8704" width="9.140625" style="504"/>
    <col min="8705" max="8705" width="5" style="504" customWidth="1"/>
    <col min="8706" max="8706" width="20.85546875" style="504" customWidth="1"/>
    <col min="8707" max="8707" width="9" style="504" customWidth="1"/>
    <col min="8708" max="8708" width="8.140625" style="504" customWidth="1"/>
    <col min="8709" max="8709" width="8.5703125" style="504" bestFit="1" customWidth="1"/>
    <col min="8710" max="8712" width="8.28515625" style="504" customWidth="1"/>
    <col min="8713" max="8719" width="8.140625" style="504" customWidth="1"/>
    <col min="8720" max="8724" width="9.140625" style="504"/>
    <col min="8725" max="8725" width="12.42578125" style="504" customWidth="1"/>
    <col min="8726" max="8726" width="9.140625" style="504"/>
    <col min="8727" max="8727" width="12" style="504" customWidth="1"/>
    <col min="8728" max="8960" width="9.140625" style="504"/>
    <col min="8961" max="8961" width="5" style="504" customWidth="1"/>
    <col min="8962" max="8962" width="20.85546875" style="504" customWidth="1"/>
    <col min="8963" max="8963" width="9" style="504" customWidth="1"/>
    <col min="8964" max="8964" width="8.140625" style="504" customWidth="1"/>
    <col min="8965" max="8965" width="8.5703125" style="504" bestFit="1" customWidth="1"/>
    <col min="8966" max="8968" width="8.28515625" style="504" customWidth="1"/>
    <col min="8969" max="8975" width="8.140625" style="504" customWidth="1"/>
    <col min="8976" max="8980" width="9.140625" style="504"/>
    <col min="8981" max="8981" width="12.42578125" style="504" customWidth="1"/>
    <col min="8982" max="8982" width="9.140625" style="504"/>
    <col min="8983" max="8983" width="12" style="504" customWidth="1"/>
    <col min="8984" max="9216" width="9.140625" style="504"/>
    <col min="9217" max="9217" width="5" style="504" customWidth="1"/>
    <col min="9218" max="9218" width="20.85546875" style="504" customWidth="1"/>
    <col min="9219" max="9219" width="9" style="504" customWidth="1"/>
    <col min="9220" max="9220" width="8.140625" style="504" customWidth="1"/>
    <col min="9221" max="9221" width="8.5703125" style="504" bestFit="1" customWidth="1"/>
    <col min="9222" max="9224" width="8.28515625" style="504" customWidth="1"/>
    <col min="9225" max="9231" width="8.140625" style="504" customWidth="1"/>
    <col min="9232" max="9236" width="9.140625" style="504"/>
    <col min="9237" max="9237" width="12.42578125" style="504" customWidth="1"/>
    <col min="9238" max="9238" width="9.140625" style="504"/>
    <col min="9239" max="9239" width="12" style="504" customWidth="1"/>
    <col min="9240" max="9472" width="9.140625" style="504"/>
    <col min="9473" max="9473" width="5" style="504" customWidth="1"/>
    <col min="9474" max="9474" width="20.85546875" style="504" customWidth="1"/>
    <col min="9475" max="9475" width="9" style="504" customWidth="1"/>
    <col min="9476" max="9476" width="8.140625" style="504" customWidth="1"/>
    <col min="9477" max="9477" width="8.5703125" style="504" bestFit="1" customWidth="1"/>
    <col min="9478" max="9480" width="8.28515625" style="504" customWidth="1"/>
    <col min="9481" max="9487" width="8.140625" style="504" customWidth="1"/>
    <col min="9488" max="9492" width="9.140625" style="504"/>
    <col min="9493" max="9493" width="12.42578125" style="504" customWidth="1"/>
    <col min="9494" max="9494" width="9.140625" style="504"/>
    <col min="9495" max="9495" width="12" style="504" customWidth="1"/>
    <col min="9496" max="9728" width="9.140625" style="504"/>
    <col min="9729" max="9729" width="5" style="504" customWidth="1"/>
    <col min="9730" max="9730" width="20.85546875" style="504" customWidth="1"/>
    <col min="9731" max="9731" width="9" style="504" customWidth="1"/>
    <col min="9732" max="9732" width="8.140625" style="504" customWidth="1"/>
    <col min="9733" max="9733" width="8.5703125" style="504" bestFit="1" customWidth="1"/>
    <col min="9734" max="9736" width="8.28515625" style="504" customWidth="1"/>
    <col min="9737" max="9743" width="8.140625" style="504" customWidth="1"/>
    <col min="9744" max="9748" width="9.140625" style="504"/>
    <col min="9749" max="9749" width="12.42578125" style="504" customWidth="1"/>
    <col min="9750" max="9750" width="9.140625" style="504"/>
    <col min="9751" max="9751" width="12" style="504" customWidth="1"/>
    <col min="9752" max="9984" width="9.140625" style="504"/>
    <col min="9985" max="9985" width="5" style="504" customWidth="1"/>
    <col min="9986" max="9986" width="20.85546875" style="504" customWidth="1"/>
    <col min="9987" max="9987" width="9" style="504" customWidth="1"/>
    <col min="9988" max="9988" width="8.140625" style="504" customWidth="1"/>
    <col min="9989" max="9989" width="8.5703125" style="504" bestFit="1" customWidth="1"/>
    <col min="9990" max="9992" width="8.28515625" style="504" customWidth="1"/>
    <col min="9993" max="9999" width="8.140625" style="504" customWidth="1"/>
    <col min="10000" max="10004" width="9.140625" style="504"/>
    <col min="10005" max="10005" width="12.42578125" style="504" customWidth="1"/>
    <col min="10006" max="10006" width="9.140625" style="504"/>
    <col min="10007" max="10007" width="12" style="504" customWidth="1"/>
    <col min="10008" max="10240" width="9.140625" style="504"/>
    <col min="10241" max="10241" width="5" style="504" customWidth="1"/>
    <col min="10242" max="10242" width="20.85546875" style="504" customWidth="1"/>
    <col min="10243" max="10243" width="9" style="504" customWidth="1"/>
    <col min="10244" max="10244" width="8.140625" style="504" customWidth="1"/>
    <col min="10245" max="10245" width="8.5703125" style="504" bestFit="1" customWidth="1"/>
    <col min="10246" max="10248" width="8.28515625" style="504" customWidth="1"/>
    <col min="10249" max="10255" width="8.140625" style="504" customWidth="1"/>
    <col min="10256" max="10260" width="9.140625" style="504"/>
    <col min="10261" max="10261" width="12.42578125" style="504" customWidth="1"/>
    <col min="10262" max="10262" width="9.140625" style="504"/>
    <col min="10263" max="10263" width="12" style="504" customWidth="1"/>
    <col min="10264" max="10496" width="9.140625" style="504"/>
    <col min="10497" max="10497" width="5" style="504" customWidth="1"/>
    <col min="10498" max="10498" width="20.85546875" style="504" customWidth="1"/>
    <col min="10499" max="10499" width="9" style="504" customWidth="1"/>
    <col min="10500" max="10500" width="8.140625" style="504" customWidth="1"/>
    <col min="10501" max="10501" width="8.5703125" style="504" bestFit="1" customWidth="1"/>
    <col min="10502" max="10504" width="8.28515625" style="504" customWidth="1"/>
    <col min="10505" max="10511" width="8.140625" style="504" customWidth="1"/>
    <col min="10512" max="10516" width="9.140625" style="504"/>
    <col min="10517" max="10517" width="12.42578125" style="504" customWidth="1"/>
    <col min="10518" max="10518" width="9.140625" style="504"/>
    <col min="10519" max="10519" width="12" style="504" customWidth="1"/>
    <col min="10520" max="10752" width="9.140625" style="504"/>
    <col min="10753" max="10753" width="5" style="504" customWidth="1"/>
    <col min="10754" max="10754" width="20.85546875" style="504" customWidth="1"/>
    <col min="10755" max="10755" width="9" style="504" customWidth="1"/>
    <col min="10756" max="10756" width="8.140625" style="504" customWidth="1"/>
    <col min="10757" max="10757" width="8.5703125" style="504" bestFit="1" customWidth="1"/>
    <col min="10758" max="10760" width="8.28515625" style="504" customWidth="1"/>
    <col min="10761" max="10767" width="8.140625" style="504" customWidth="1"/>
    <col min="10768" max="10772" width="9.140625" style="504"/>
    <col min="10773" max="10773" width="12.42578125" style="504" customWidth="1"/>
    <col min="10774" max="10774" width="9.140625" style="504"/>
    <col min="10775" max="10775" width="12" style="504" customWidth="1"/>
    <col min="10776" max="11008" width="9.140625" style="504"/>
    <col min="11009" max="11009" width="5" style="504" customWidth="1"/>
    <col min="11010" max="11010" width="20.85546875" style="504" customWidth="1"/>
    <col min="11011" max="11011" width="9" style="504" customWidth="1"/>
    <col min="11012" max="11012" width="8.140625" style="504" customWidth="1"/>
    <col min="11013" max="11013" width="8.5703125" style="504" bestFit="1" customWidth="1"/>
    <col min="11014" max="11016" width="8.28515625" style="504" customWidth="1"/>
    <col min="11017" max="11023" width="8.140625" style="504" customWidth="1"/>
    <col min="11024" max="11028" width="9.140625" style="504"/>
    <col min="11029" max="11029" width="12.42578125" style="504" customWidth="1"/>
    <col min="11030" max="11030" width="9.140625" style="504"/>
    <col min="11031" max="11031" width="12" style="504" customWidth="1"/>
    <col min="11032" max="11264" width="9.140625" style="504"/>
    <col min="11265" max="11265" width="5" style="504" customWidth="1"/>
    <col min="11266" max="11266" width="20.85546875" style="504" customWidth="1"/>
    <col min="11267" max="11267" width="9" style="504" customWidth="1"/>
    <col min="11268" max="11268" width="8.140625" style="504" customWidth="1"/>
    <col min="11269" max="11269" width="8.5703125" style="504" bestFit="1" customWidth="1"/>
    <col min="11270" max="11272" width="8.28515625" style="504" customWidth="1"/>
    <col min="11273" max="11279" width="8.140625" style="504" customWidth="1"/>
    <col min="11280" max="11284" width="9.140625" style="504"/>
    <col min="11285" max="11285" width="12.42578125" style="504" customWidth="1"/>
    <col min="11286" max="11286" width="9.140625" style="504"/>
    <col min="11287" max="11287" width="12" style="504" customWidth="1"/>
    <col min="11288" max="11520" width="9.140625" style="504"/>
    <col min="11521" max="11521" width="5" style="504" customWidth="1"/>
    <col min="11522" max="11522" width="20.85546875" style="504" customWidth="1"/>
    <col min="11523" max="11523" width="9" style="504" customWidth="1"/>
    <col min="11524" max="11524" width="8.140625" style="504" customWidth="1"/>
    <col min="11525" max="11525" width="8.5703125" style="504" bestFit="1" customWidth="1"/>
    <col min="11526" max="11528" width="8.28515625" style="504" customWidth="1"/>
    <col min="11529" max="11535" width="8.140625" style="504" customWidth="1"/>
    <col min="11536" max="11540" width="9.140625" style="504"/>
    <col min="11541" max="11541" width="12.42578125" style="504" customWidth="1"/>
    <col min="11542" max="11542" width="9.140625" style="504"/>
    <col min="11543" max="11543" width="12" style="504" customWidth="1"/>
    <col min="11544" max="11776" width="9.140625" style="504"/>
    <col min="11777" max="11777" width="5" style="504" customWidth="1"/>
    <col min="11778" max="11778" width="20.85546875" style="504" customWidth="1"/>
    <col min="11779" max="11779" width="9" style="504" customWidth="1"/>
    <col min="11780" max="11780" width="8.140625" style="504" customWidth="1"/>
    <col min="11781" max="11781" width="8.5703125" style="504" bestFit="1" customWidth="1"/>
    <col min="11782" max="11784" width="8.28515625" style="504" customWidth="1"/>
    <col min="11785" max="11791" width="8.140625" style="504" customWidth="1"/>
    <col min="11792" max="11796" width="9.140625" style="504"/>
    <col min="11797" max="11797" width="12.42578125" style="504" customWidth="1"/>
    <col min="11798" max="11798" width="9.140625" style="504"/>
    <col min="11799" max="11799" width="12" style="504" customWidth="1"/>
    <col min="11800" max="12032" width="9.140625" style="504"/>
    <col min="12033" max="12033" width="5" style="504" customWidth="1"/>
    <col min="12034" max="12034" width="20.85546875" style="504" customWidth="1"/>
    <col min="12035" max="12035" width="9" style="504" customWidth="1"/>
    <col min="12036" max="12036" width="8.140625" style="504" customWidth="1"/>
    <col min="12037" max="12037" width="8.5703125" style="504" bestFit="1" customWidth="1"/>
    <col min="12038" max="12040" width="8.28515625" style="504" customWidth="1"/>
    <col min="12041" max="12047" width="8.140625" style="504" customWidth="1"/>
    <col min="12048" max="12052" width="9.140625" style="504"/>
    <col min="12053" max="12053" width="12.42578125" style="504" customWidth="1"/>
    <col min="12054" max="12054" width="9.140625" style="504"/>
    <col min="12055" max="12055" width="12" style="504" customWidth="1"/>
    <col min="12056" max="12288" width="9.140625" style="504"/>
    <col min="12289" max="12289" width="5" style="504" customWidth="1"/>
    <col min="12290" max="12290" width="20.85546875" style="504" customWidth="1"/>
    <col min="12291" max="12291" width="9" style="504" customWidth="1"/>
    <col min="12292" max="12292" width="8.140625" style="504" customWidth="1"/>
    <col min="12293" max="12293" width="8.5703125" style="504" bestFit="1" customWidth="1"/>
    <col min="12294" max="12296" width="8.28515625" style="504" customWidth="1"/>
    <col min="12297" max="12303" width="8.140625" style="504" customWidth="1"/>
    <col min="12304" max="12308" width="9.140625" style="504"/>
    <col min="12309" max="12309" width="12.42578125" style="504" customWidth="1"/>
    <col min="12310" max="12310" width="9.140625" style="504"/>
    <col min="12311" max="12311" width="12" style="504" customWidth="1"/>
    <col min="12312" max="12544" width="9.140625" style="504"/>
    <col min="12545" max="12545" width="5" style="504" customWidth="1"/>
    <col min="12546" max="12546" width="20.85546875" style="504" customWidth="1"/>
    <col min="12547" max="12547" width="9" style="504" customWidth="1"/>
    <col min="12548" max="12548" width="8.140625" style="504" customWidth="1"/>
    <col min="12549" max="12549" width="8.5703125" style="504" bestFit="1" customWidth="1"/>
    <col min="12550" max="12552" width="8.28515625" style="504" customWidth="1"/>
    <col min="12553" max="12559" width="8.140625" style="504" customWidth="1"/>
    <col min="12560" max="12564" width="9.140625" style="504"/>
    <col min="12565" max="12565" width="12.42578125" style="504" customWidth="1"/>
    <col min="12566" max="12566" width="9.140625" style="504"/>
    <col min="12567" max="12567" width="12" style="504" customWidth="1"/>
    <col min="12568" max="12800" width="9.140625" style="504"/>
    <col min="12801" max="12801" width="5" style="504" customWidth="1"/>
    <col min="12802" max="12802" width="20.85546875" style="504" customWidth="1"/>
    <col min="12803" max="12803" width="9" style="504" customWidth="1"/>
    <col min="12804" max="12804" width="8.140625" style="504" customWidth="1"/>
    <col min="12805" max="12805" width="8.5703125" style="504" bestFit="1" customWidth="1"/>
    <col min="12806" max="12808" width="8.28515625" style="504" customWidth="1"/>
    <col min="12809" max="12815" width="8.140625" style="504" customWidth="1"/>
    <col min="12816" max="12820" width="9.140625" style="504"/>
    <col min="12821" max="12821" width="12.42578125" style="504" customWidth="1"/>
    <col min="12822" max="12822" width="9.140625" style="504"/>
    <col min="12823" max="12823" width="12" style="504" customWidth="1"/>
    <col min="12824" max="13056" width="9.140625" style="504"/>
    <col min="13057" max="13057" width="5" style="504" customWidth="1"/>
    <col min="13058" max="13058" width="20.85546875" style="504" customWidth="1"/>
    <col min="13059" max="13059" width="9" style="504" customWidth="1"/>
    <col min="13060" max="13060" width="8.140625" style="504" customWidth="1"/>
    <col min="13061" max="13061" width="8.5703125" style="504" bestFit="1" customWidth="1"/>
    <col min="13062" max="13064" width="8.28515625" style="504" customWidth="1"/>
    <col min="13065" max="13071" width="8.140625" style="504" customWidth="1"/>
    <col min="13072" max="13076" width="9.140625" style="504"/>
    <col min="13077" max="13077" width="12.42578125" style="504" customWidth="1"/>
    <col min="13078" max="13078" width="9.140625" style="504"/>
    <col min="13079" max="13079" width="12" style="504" customWidth="1"/>
    <col min="13080" max="13312" width="9.140625" style="504"/>
    <col min="13313" max="13313" width="5" style="504" customWidth="1"/>
    <col min="13314" max="13314" width="20.85546875" style="504" customWidth="1"/>
    <col min="13315" max="13315" width="9" style="504" customWidth="1"/>
    <col min="13316" max="13316" width="8.140625" style="504" customWidth="1"/>
    <col min="13317" max="13317" width="8.5703125" style="504" bestFit="1" customWidth="1"/>
    <col min="13318" max="13320" width="8.28515625" style="504" customWidth="1"/>
    <col min="13321" max="13327" width="8.140625" style="504" customWidth="1"/>
    <col min="13328" max="13332" width="9.140625" style="504"/>
    <col min="13333" max="13333" width="12.42578125" style="504" customWidth="1"/>
    <col min="13334" max="13334" width="9.140625" style="504"/>
    <col min="13335" max="13335" width="12" style="504" customWidth="1"/>
    <col min="13336" max="13568" width="9.140625" style="504"/>
    <col min="13569" max="13569" width="5" style="504" customWidth="1"/>
    <col min="13570" max="13570" width="20.85546875" style="504" customWidth="1"/>
    <col min="13571" max="13571" width="9" style="504" customWidth="1"/>
    <col min="13572" max="13572" width="8.140625" style="504" customWidth="1"/>
    <col min="13573" max="13573" width="8.5703125" style="504" bestFit="1" customWidth="1"/>
    <col min="13574" max="13576" width="8.28515625" style="504" customWidth="1"/>
    <col min="13577" max="13583" width="8.140625" style="504" customWidth="1"/>
    <col min="13584" max="13588" width="9.140625" style="504"/>
    <col min="13589" max="13589" width="12.42578125" style="504" customWidth="1"/>
    <col min="13590" max="13590" width="9.140625" style="504"/>
    <col min="13591" max="13591" width="12" style="504" customWidth="1"/>
    <col min="13592" max="13824" width="9.140625" style="504"/>
    <col min="13825" max="13825" width="5" style="504" customWidth="1"/>
    <col min="13826" max="13826" width="20.85546875" style="504" customWidth="1"/>
    <col min="13827" max="13827" width="9" style="504" customWidth="1"/>
    <col min="13828" max="13828" width="8.140625" style="504" customWidth="1"/>
    <col min="13829" max="13829" width="8.5703125" style="504" bestFit="1" customWidth="1"/>
    <col min="13830" max="13832" width="8.28515625" style="504" customWidth="1"/>
    <col min="13833" max="13839" width="8.140625" style="504" customWidth="1"/>
    <col min="13840" max="13844" width="9.140625" style="504"/>
    <col min="13845" max="13845" width="12.42578125" style="504" customWidth="1"/>
    <col min="13846" max="13846" width="9.140625" style="504"/>
    <col min="13847" max="13847" width="12" style="504" customWidth="1"/>
    <col min="13848" max="14080" width="9.140625" style="504"/>
    <col min="14081" max="14081" width="5" style="504" customWidth="1"/>
    <col min="14082" max="14082" width="20.85546875" style="504" customWidth="1"/>
    <col min="14083" max="14083" width="9" style="504" customWidth="1"/>
    <col min="14084" max="14084" width="8.140625" style="504" customWidth="1"/>
    <col min="14085" max="14085" width="8.5703125" style="504" bestFit="1" customWidth="1"/>
    <col min="14086" max="14088" width="8.28515625" style="504" customWidth="1"/>
    <col min="14089" max="14095" width="8.140625" style="504" customWidth="1"/>
    <col min="14096" max="14100" width="9.140625" style="504"/>
    <col min="14101" max="14101" width="12.42578125" style="504" customWidth="1"/>
    <col min="14102" max="14102" width="9.140625" style="504"/>
    <col min="14103" max="14103" width="12" style="504" customWidth="1"/>
    <col min="14104" max="14336" width="9.140625" style="504"/>
    <col min="14337" max="14337" width="5" style="504" customWidth="1"/>
    <col min="14338" max="14338" width="20.85546875" style="504" customWidth="1"/>
    <col min="14339" max="14339" width="9" style="504" customWidth="1"/>
    <col min="14340" max="14340" width="8.140625" style="504" customWidth="1"/>
    <col min="14341" max="14341" width="8.5703125" style="504" bestFit="1" customWidth="1"/>
    <col min="14342" max="14344" width="8.28515625" style="504" customWidth="1"/>
    <col min="14345" max="14351" width="8.140625" style="504" customWidth="1"/>
    <col min="14352" max="14356" width="9.140625" style="504"/>
    <col min="14357" max="14357" width="12.42578125" style="504" customWidth="1"/>
    <col min="14358" max="14358" width="9.140625" style="504"/>
    <col min="14359" max="14359" width="12" style="504" customWidth="1"/>
    <col min="14360" max="14592" width="9.140625" style="504"/>
    <col min="14593" max="14593" width="5" style="504" customWidth="1"/>
    <col min="14594" max="14594" width="20.85546875" style="504" customWidth="1"/>
    <col min="14595" max="14595" width="9" style="504" customWidth="1"/>
    <col min="14596" max="14596" width="8.140625" style="504" customWidth="1"/>
    <col min="14597" max="14597" width="8.5703125" style="504" bestFit="1" customWidth="1"/>
    <col min="14598" max="14600" width="8.28515625" style="504" customWidth="1"/>
    <col min="14601" max="14607" width="8.140625" style="504" customWidth="1"/>
    <col min="14608" max="14612" width="9.140625" style="504"/>
    <col min="14613" max="14613" width="12.42578125" style="504" customWidth="1"/>
    <col min="14614" max="14614" width="9.140625" style="504"/>
    <col min="14615" max="14615" width="12" style="504" customWidth="1"/>
    <col min="14616" max="14848" width="9.140625" style="504"/>
    <col min="14849" max="14849" width="5" style="504" customWidth="1"/>
    <col min="14850" max="14850" width="20.85546875" style="504" customWidth="1"/>
    <col min="14851" max="14851" width="9" style="504" customWidth="1"/>
    <col min="14852" max="14852" width="8.140625" style="504" customWidth="1"/>
    <col min="14853" max="14853" width="8.5703125" style="504" bestFit="1" customWidth="1"/>
    <col min="14854" max="14856" width="8.28515625" style="504" customWidth="1"/>
    <col min="14857" max="14863" width="8.140625" style="504" customWidth="1"/>
    <col min="14864" max="14868" width="9.140625" style="504"/>
    <col min="14869" max="14869" width="12.42578125" style="504" customWidth="1"/>
    <col min="14870" max="14870" width="9.140625" style="504"/>
    <col min="14871" max="14871" width="12" style="504" customWidth="1"/>
    <col min="14872" max="15104" width="9.140625" style="504"/>
    <col min="15105" max="15105" width="5" style="504" customWidth="1"/>
    <col min="15106" max="15106" width="20.85546875" style="504" customWidth="1"/>
    <col min="15107" max="15107" width="9" style="504" customWidth="1"/>
    <col min="15108" max="15108" width="8.140625" style="504" customWidth="1"/>
    <col min="15109" max="15109" width="8.5703125" style="504" bestFit="1" customWidth="1"/>
    <col min="15110" max="15112" width="8.28515625" style="504" customWidth="1"/>
    <col min="15113" max="15119" width="8.140625" style="504" customWidth="1"/>
    <col min="15120" max="15124" width="9.140625" style="504"/>
    <col min="15125" max="15125" width="12.42578125" style="504" customWidth="1"/>
    <col min="15126" max="15126" width="9.140625" style="504"/>
    <col min="15127" max="15127" width="12" style="504" customWidth="1"/>
    <col min="15128" max="15360" width="9.140625" style="504"/>
    <col min="15361" max="15361" width="5" style="504" customWidth="1"/>
    <col min="15362" max="15362" width="20.85546875" style="504" customWidth="1"/>
    <col min="15363" max="15363" width="9" style="504" customWidth="1"/>
    <col min="15364" max="15364" width="8.140625" style="504" customWidth="1"/>
    <col min="15365" max="15365" width="8.5703125" style="504" bestFit="1" customWidth="1"/>
    <col min="15366" max="15368" width="8.28515625" style="504" customWidth="1"/>
    <col min="15369" max="15375" width="8.140625" style="504" customWidth="1"/>
    <col min="15376" max="15380" width="9.140625" style="504"/>
    <col min="15381" max="15381" width="12.42578125" style="504" customWidth="1"/>
    <col min="15382" max="15382" width="9.140625" style="504"/>
    <col min="15383" max="15383" width="12" style="504" customWidth="1"/>
    <col min="15384" max="15616" width="9.140625" style="504"/>
    <col min="15617" max="15617" width="5" style="504" customWidth="1"/>
    <col min="15618" max="15618" width="20.85546875" style="504" customWidth="1"/>
    <col min="15619" max="15619" width="9" style="504" customWidth="1"/>
    <col min="15620" max="15620" width="8.140625" style="504" customWidth="1"/>
    <col min="15621" max="15621" width="8.5703125" style="504" bestFit="1" customWidth="1"/>
    <col min="15622" max="15624" width="8.28515625" style="504" customWidth="1"/>
    <col min="15625" max="15631" width="8.140625" style="504" customWidth="1"/>
    <col min="15632" max="15636" width="9.140625" style="504"/>
    <col min="15637" max="15637" width="12.42578125" style="504" customWidth="1"/>
    <col min="15638" max="15638" width="9.140625" style="504"/>
    <col min="15639" max="15639" width="12" style="504" customWidth="1"/>
    <col min="15640" max="15872" width="9.140625" style="504"/>
    <col min="15873" max="15873" width="5" style="504" customWidth="1"/>
    <col min="15874" max="15874" width="20.85546875" style="504" customWidth="1"/>
    <col min="15875" max="15875" width="9" style="504" customWidth="1"/>
    <col min="15876" max="15876" width="8.140625" style="504" customWidth="1"/>
    <col min="15877" max="15877" width="8.5703125" style="504" bestFit="1" customWidth="1"/>
    <col min="15878" max="15880" width="8.28515625" style="504" customWidth="1"/>
    <col min="15881" max="15887" width="8.140625" style="504" customWidth="1"/>
    <col min="15888" max="15892" width="9.140625" style="504"/>
    <col min="15893" max="15893" width="12.42578125" style="504" customWidth="1"/>
    <col min="15894" max="15894" width="9.140625" style="504"/>
    <col min="15895" max="15895" width="12" style="504" customWidth="1"/>
    <col min="15896" max="16128" width="9.140625" style="504"/>
    <col min="16129" max="16129" width="5" style="504" customWidth="1"/>
    <col min="16130" max="16130" width="20.85546875" style="504" customWidth="1"/>
    <col min="16131" max="16131" width="9" style="504" customWidth="1"/>
    <col min="16132" max="16132" width="8.140625" style="504" customWidth="1"/>
    <col min="16133" max="16133" width="8.5703125" style="504" bestFit="1" customWidth="1"/>
    <col min="16134" max="16136" width="8.28515625" style="504" customWidth="1"/>
    <col min="16137" max="16143" width="8.140625" style="504" customWidth="1"/>
    <col min="16144" max="16148" width="9.140625" style="504"/>
    <col min="16149" max="16149" width="12.42578125" style="504" customWidth="1"/>
    <col min="16150" max="16150" width="9.140625" style="504"/>
    <col min="16151" max="16151" width="12" style="504" customWidth="1"/>
    <col min="16152" max="16384" width="9.140625" style="504"/>
  </cols>
  <sheetData>
    <row r="1" spans="1:17" s="490" customFormat="1" x14ac:dyDescent="0.2">
      <c r="A1" s="1045" t="s">
        <v>449</v>
      </c>
      <c r="B1" s="1039"/>
      <c r="C1" s="1039"/>
      <c r="D1" s="1038"/>
      <c r="E1" s="1039"/>
      <c r="F1" s="1039"/>
      <c r="G1" s="1045" t="s">
        <v>102</v>
      </c>
      <c r="H1" s="1038"/>
      <c r="I1" s="1038" t="s">
        <v>593</v>
      </c>
      <c r="J1" s="1039"/>
      <c r="K1" s="1039"/>
      <c r="L1" s="1040"/>
      <c r="M1" s="1040"/>
      <c r="N1" s="1040"/>
      <c r="O1" s="1040"/>
    </row>
    <row r="2" spans="1:17" s="490" customFormat="1" x14ac:dyDescent="0.2">
      <c r="A2" s="1045" t="s">
        <v>103</v>
      </c>
      <c r="B2" s="1039"/>
      <c r="C2" s="1039"/>
      <c r="D2" s="1038"/>
      <c r="E2" s="1039"/>
      <c r="F2" s="1039"/>
      <c r="G2" s="1045" t="s">
        <v>104</v>
      </c>
      <c r="H2" s="1038"/>
      <c r="I2" s="1038" t="s">
        <v>105</v>
      </c>
      <c r="J2" s="1039"/>
      <c r="K2" s="1039"/>
      <c r="L2" s="1040"/>
      <c r="M2" s="1040"/>
      <c r="N2" s="1040"/>
      <c r="O2" s="1040"/>
    </row>
    <row r="3" spans="1:17" s="490" customFormat="1" x14ac:dyDescent="0.2">
      <c r="A3" s="1045" t="s">
        <v>106</v>
      </c>
      <c r="B3" s="1039"/>
      <c r="C3" s="1039"/>
      <c r="D3" s="1046" t="s">
        <v>657</v>
      </c>
      <c r="E3" s="1039"/>
      <c r="F3" s="1039"/>
      <c r="G3" s="1045" t="s">
        <v>107</v>
      </c>
      <c r="H3" s="1038"/>
      <c r="I3" s="1038" t="s">
        <v>108</v>
      </c>
      <c r="J3" s="1039"/>
      <c r="K3" s="1039"/>
      <c r="L3" s="1040"/>
      <c r="M3" s="1040"/>
      <c r="N3" s="1040"/>
      <c r="O3" s="1040"/>
    </row>
    <row r="4" spans="1:17" s="490" customFormat="1" x14ac:dyDescent="0.2">
      <c r="A4" s="1045" t="s">
        <v>658</v>
      </c>
      <c r="B4" s="1039"/>
      <c r="C4" s="1039"/>
      <c r="D4" s="1038" t="s">
        <v>659</v>
      </c>
      <c r="E4" s="1039"/>
      <c r="F4" s="1039"/>
      <c r="G4" s="1045" t="s">
        <v>110</v>
      </c>
      <c r="H4" s="1038"/>
      <c r="I4" s="1038" t="s">
        <v>645</v>
      </c>
      <c r="J4" s="1039"/>
      <c r="K4" s="1039"/>
      <c r="L4" s="1040"/>
      <c r="M4" s="1040"/>
      <c r="N4" s="1040"/>
      <c r="O4" s="1040"/>
    </row>
    <row r="5" spans="1:17" s="490" customFormat="1" x14ac:dyDescent="0.2">
      <c r="A5" s="1045" t="s">
        <v>112</v>
      </c>
      <c r="B5" s="1039"/>
      <c r="C5" s="1039"/>
      <c r="D5" s="1038"/>
      <c r="E5" s="1039"/>
      <c r="F5" s="1039"/>
      <c r="G5" s="1045"/>
      <c r="H5" s="1039"/>
      <c r="I5" s="1038" t="s">
        <v>113</v>
      </c>
      <c r="J5" s="1039"/>
      <c r="K5" s="1039"/>
      <c r="L5" s="1040"/>
      <c r="M5" s="1040"/>
      <c r="N5" s="1040"/>
      <c r="O5" s="1040"/>
    </row>
    <row r="6" spans="1:17" s="490" customFormat="1" x14ac:dyDescent="0.2">
      <c r="A6" s="1041" t="s">
        <v>114</v>
      </c>
      <c r="B6" s="1042"/>
      <c r="C6" s="1042"/>
      <c r="D6" s="1039" t="s">
        <v>594</v>
      </c>
      <c r="E6" s="1039"/>
      <c r="F6" s="1039"/>
      <c r="G6" s="1041" t="s">
        <v>115</v>
      </c>
      <c r="H6" s="1041"/>
      <c r="I6" s="491" t="s">
        <v>116</v>
      </c>
      <c r="J6" s="1043"/>
      <c r="K6" s="1043"/>
      <c r="L6" s="1043"/>
      <c r="M6" s="1043"/>
      <c r="N6" s="1043"/>
      <c r="O6" s="1044"/>
    </row>
    <row r="7" spans="1:17" s="490" customFormat="1" ht="13.5" thickBot="1" x14ac:dyDescent="0.25">
      <c r="A7" s="492"/>
      <c r="B7" s="493"/>
      <c r="C7" s="494"/>
      <c r="D7" s="495"/>
      <c r="E7" s="495"/>
      <c r="F7" s="495"/>
      <c r="G7" s="495"/>
      <c r="H7" s="495"/>
      <c r="I7" s="495"/>
      <c r="J7" s="496"/>
      <c r="K7" s="661"/>
      <c r="L7" s="1030" t="s">
        <v>223</v>
      </c>
      <c r="M7" s="1030"/>
      <c r="N7" s="1030"/>
      <c r="O7" s="1030"/>
    </row>
    <row r="8" spans="1:17" s="499" customFormat="1" x14ac:dyDescent="0.2">
      <c r="A8" s="1031" t="str">
        <f>I1</f>
        <v>Mr. Nilesh A Parab</v>
      </c>
      <c r="B8" s="1032"/>
      <c r="C8" s="334">
        <v>43160</v>
      </c>
      <c r="D8" s="334">
        <v>43191</v>
      </c>
      <c r="E8" s="334">
        <v>43221</v>
      </c>
      <c r="F8" s="334">
        <v>43252</v>
      </c>
      <c r="G8" s="334">
        <v>43282</v>
      </c>
      <c r="H8" s="334">
        <v>43313</v>
      </c>
      <c r="I8" s="334">
        <v>43344</v>
      </c>
      <c r="J8" s="334">
        <v>43374</v>
      </c>
      <c r="K8" s="334">
        <v>43405</v>
      </c>
      <c r="L8" s="334">
        <v>43435</v>
      </c>
      <c r="M8" s="334">
        <v>43466</v>
      </c>
      <c r="N8" s="334">
        <v>43497</v>
      </c>
      <c r="O8" s="498" t="s">
        <v>117</v>
      </c>
      <c r="Q8" s="499" t="s">
        <v>116</v>
      </c>
    </row>
    <row r="9" spans="1:17" ht="15" x14ac:dyDescent="0.2">
      <c r="A9" s="500"/>
      <c r="B9" s="501" t="s">
        <v>118</v>
      </c>
      <c r="C9" s="502">
        <v>50500</v>
      </c>
      <c r="D9" s="502">
        <f t="shared" ref="D9:G24" si="0">+C9</f>
        <v>50500</v>
      </c>
      <c r="E9" s="502">
        <f t="shared" si="0"/>
        <v>50500</v>
      </c>
      <c r="F9" s="502">
        <f t="shared" si="0"/>
        <v>50500</v>
      </c>
      <c r="G9" s="502">
        <v>52000</v>
      </c>
      <c r="H9" s="502">
        <v>52000</v>
      </c>
      <c r="I9" s="502">
        <v>52000</v>
      </c>
      <c r="J9" s="502">
        <v>52000</v>
      </c>
      <c r="K9" s="502">
        <v>52000</v>
      </c>
      <c r="L9" s="502">
        <v>52000</v>
      </c>
      <c r="M9" s="502">
        <v>52000</v>
      </c>
      <c r="N9" s="502">
        <v>52000</v>
      </c>
      <c r="O9" s="503">
        <f t="shared" ref="O9:O52" si="1">SUM(C9:N9)</f>
        <v>618000</v>
      </c>
      <c r="Q9" s="504" t="s">
        <v>222</v>
      </c>
    </row>
    <row r="10" spans="1:17" ht="15" customHeight="1" x14ac:dyDescent="0.2">
      <c r="A10" s="500"/>
      <c r="B10" s="501" t="s">
        <v>119</v>
      </c>
      <c r="C10" s="505">
        <v>0</v>
      </c>
      <c r="D10" s="505">
        <f t="shared" si="0"/>
        <v>0</v>
      </c>
      <c r="E10" s="505">
        <f t="shared" si="0"/>
        <v>0</v>
      </c>
      <c r="F10" s="505">
        <f t="shared" si="0"/>
        <v>0</v>
      </c>
      <c r="G10" s="505">
        <f>+F10</f>
        <v>0</v>
      </c>
      <c r="H10" s="505">
        <v>0</v>
      </c>
      <c r="I10" s="505">
        <f t="shared" ref="I10:N18" si="2">+H10</f>
        <v>0</v>
      </c>
      <c r="J10" s="505">
        <f t="shared" si="2"/>
        <v>0</v>
      </c>
      <c r="K10" s="505">
        <f t="shared" si="2"/>
        <v>0</v>
      </c>
      <c r="L10" s="505">
        <f t="shared" si="2"/>
        <v>0</v>
      </c>
      <c r="M10" s="505">
        <f t="shared" si="2"/>
        <v>0</v>
      </c>
      <c r="N10" s="505">
        <f t="shared" si="2"/>
        <v>0</v>
      </c>
      <c r="O10" s="506">
        <f t="shared" si="1"/>
        <v>0</v>
      </c>
    </row>
    <row r="11" spans="1:17" ht="15" x14ac:dyDescent="0.2">
      <c r="A11" s="500"/>
      <c r="B11" s="501" t="s">
        <v>120</v>
      </c>
      <c r="C11" s="505">
        <v>2525</v>
      </c>
      <c r="D11" s="505">
        <v>3535</v>
      </c>
      <c r="E11" s="505">
        <f t="shared" si="0"/>
        <v>3535</v>
      </c>
      <c r="F11" s="505">
        <f t="shared" si="0"/>
        <v>3535</v>
      </c>
      <c r="G11" s="505">
        <v>3640</v>
      </c>
      <c r="H11" s="505">
        <v>3640</v>
      </c>
      <c r="I11" s="505">
        <v>3640</v>
      </c>
      <c r="J11" s="505">
        <v>4680</v>
      </c>
      <c r="K11" s="505">
        <f t="shared" si="2"/>
        <v>4680</v>
      </c>
      <c r="L11" s="505">
        <f t="shared" si="2"/>
        <v>4680</v>
      </c>
      <c r="M11" s="505">
        <f t="shared" si="2"/>
        <v>4680</v>
      </c>
      <c r="N11" s="505">
        <f t="shared" si="2"/>
        <v>4680</v>
      </c>
      <c r="O11" s="506">
        <f t="shared" si="1"/>
        <v>47450</v>
      </c>
    </row>
    <row r="12" spans="1:17" ht="15" hidden="1" customHeight="1" x14ac:dyDescent="0.2">
      <c r="A12" s="500"/>
      <c r="B12" s="501" t="s">
        <v>121</v>
      </c>
      <c r="C12" s="505">
        <v>0</v>
      </c>
      <c r="D12" s="505">
        <f>+C12</f>
        <v>0</v>
      </c>
      <c r="E12" s="505">
        <f t="shared" si="0"/>
        <v>0</v>
      </c>
      <c r="F12" s="505">
        <f t="shared" si="0"/>
        <v>0</v>
      </c>
      <c r="G12" s="505">
        <f t="shared" si="0"/>
        <v>0</v>
      </c>
      <c r="H12" s="505">
        <v>0</v>
      </c>
      <c r="I12" s="505">
        <f>+H12</f>
        <v>0</v>
      </c>
      <c r="J12" s="505">
        <f>+I12</f>
        <v>0</v>
      </c>
      <c r="K12" s="505">
        <f t="shared" si="2"/>
        <v>0</v>
      </c>
      <c r="L12" s="505">
        <f t="shared" si="2"/>
        <v>0</v>
      </c>
      <c r="M12" s="505">
        <f t="shared" si="2"/>
        <v>0</v>
      </c>
      <c r="N12" s="505">
        <f t="shared" si="2"/>
        <v>0</v>
      </c>
      <c r="O12" s="506">
        <f t="shared" si="1"/>
        <v>0</v>
      </c>
    </row>
    <row r="13" spans="1:17" ht="15" hidden="1" customHeight="1" x14ac:dyDescent="0.2">
      <c r="A13" s="500"/>
      <c r="B13" s="501" t="s">
        <v>122</v>
      </c>
      <c r="C13" s="505">
        <v>0</v>
      </c>
      <c r="D13" s="505">
        <f>+C13</f>
        <v>0</v>
      </c>
      <c r="E13" s="505">
        <f t="shared" si="0"/>
        <v>0</v>
      </c>
      <c r="F13" s="505">
        <f t="shared" si="0"/>
        <v>0</v>
      </c>
      <c r="G13" s="505">
        <f t="shared" si="0"/>
        <v>0</v>
      </c>
      <c r="H13" s="505">
        <v>0</v>
      </c>
      <c r="I13" s="505">
        <f>+H13</f>
        <v>0</v>
      </c>
      <c r="J13" s="505">
        <f>+I13</f>
        <v>0</v>
      </c>
      <c r="K13" s="505">
        <f t="shared" si="2"/>
        <v>0</v>
      </c>
      <c r="L13" s="505">
        <f t="shared" si="2"/>
        <v>0</v>
      </c>
      <c r="M13" s="505">
        <f t="shared" si="2"/>
        <v>0</v>
      </c>
      <c r="N13" s="505">
        <f t="shared" si="2"/>
        <v>0</v>
      </c>
      <c r="O13" s="506">
        <f t="shared" si="1"/>
        <v>0</v>
      </c>
    </row>
    <row r="14" spans="1:17" ht="15" customHeight="1" x14ac:dyDescent="0.2">
      <c r="A14" s="500"/>
      <c r="B14" s="501" t="s">
        <v>123</v>
      </c>
      <c r="C14" s="505">
        <v>3780</v>
      </c>
      <c r="D14" s="505">
        <v>3752</v>
      </c>
      <c r="E14" s="505">
        <f t="shared" si="0"/>
        <v>3752</v>
      </c>
      <c r="F14" s="505">
        <f t="shared" si="0"/>
        <v>3752</v>
      </c>
      <c r="G14" s="505">
        <f t="shared" si="0"/>
        <v>3752</v>
      </c>
      <c r="H14" s="505">
        <f>+G14</f>
        <v>3752</v>
      </c>
      <c r="I14" s="505">
        <f>+H14</f>
        <v>3752</v>
      </c>
      <c r="J14" s="505">
        <v>3924</v>
      </c>
      <c r="K14" s="505">
        <f t="shared" si="2"/>
        <v>3924</v>
      </c>
      <c r="L14" s="505">
        <f t="shared" si="2"/>
        <v>3924</v>
      </c>
      <c r="M14" s="505">
        <f t="shared" si="2"/>
        <v>3924</v>
      </c>
      <c r="N14" s="505">
        <f t="shared" si="2"/>
        <v>3924</v>
      </c>
      <c r="O14" s="506">
        <f t="shared" si="1"/>
        <v>45912</v>
      </c>
    </row>
    <row r="15" spans="1:17" ht="15" hidden="1" customHeight="1" x14ac:dyDescent="0.2">
      <c r="A15" s="500"/>
      <c r="B15" s="501" t="s">
        <v>124</v>
      </c>
      <c r="C15" s="505">
        <v>0</v>
      </c>
      <c r="D15" s="505">
        <f t="shared" ref="D15:G33" si="3">+C15</f>
        <v>0</v>
      </c>
      <c r="E15" s="505">
        <f t="shared" si="0"/>
        <v>0</v>
      </c>
      <c r="F15" s="505">
        <f t="shared" si="0"/>
        <v>0</v>
      </c>
      <c r="G15" s="505">
        <f t="shared" si="0"/>
        <v>0</v>
      </c>
      <c r="H15" s="505">
        <v>0</v>
      </c>
      <c r="I15" s="505">
        <f t="shared" ref="I15:J18" si="4">+H15</f>
        <v>0</v>
      </c>
      <c r="J15" s="505">
        <f t="shared" si="4"/>
        <v>0</v>
      </c>
      <c r="K15" s="505">
        <f t="shared" si="2"/>
        <v>0</v>
      </c>
      <c r="L15" s="505">
        <f t="shared" si="2"/>
        <v>0</v>
      </c>
      <c r="M15" s="505">
        <f t="shared" si="2"/>
        <v>0</v>
      </c>
      <c r="N15" s="505">
        <f t="shared" si="2"/>
        <v>0</v>
      </c>
      <c r="O15" s="506">
        <f t="shared" si="1"/>
        <v>0</v>
      </c>
    </row>
    <row r="16" spans="1:17" ht="15" hidden="1" customHeight="1" x14ac:dyDescent="0.2">
      <c r="A16" s="500"/>
      <c r="B16" s="501" t="s">
        <v>405</v>
      </c>
      <c r="C16" s="505">
        <v>0</v>
      </c>
      <c r="D16" s="505">
        <f t="shared" si="3"/>
        <v>0</v>
      </c>
      <c r="E16" s="505">
        <f t="shared" si="0"/>
        <v>0</v>
      </c>
      <c r="F16" s="505">
        <f t="shared" si="0"/>
        <v>0</v>
      </c>
      <c r="G16" s="505">
        <f t="shared" si="0"/>
        <v>0</v>
      </c>
      <c r="H16" s="505">
        <v>0</v>
      </c>
      <c r="I16" s="505">
        <f t="shared" si="4"/>
        <v>0</v>
      </c>
      <c r="J16" s="505">
        <f t="shared" si="4"/>
        <v>0</v>
      </c>
      <c r="K16" s="505">
        <f t="shared" si="2"/>
        <v>0</v>
      </c>
      <c r="L16" s="505">
        <f t="shared" si="2"/>
        <v>0</v>
      </c>
      <c r="M16" s="505">
        <f t="shared" si="2"/>
        <v>0</v>
      </c>
      <c r="N16" s="505">
        <f t="shared" si="2"/>
        <v>0</v>
      </c>
      <c r="O16" s="506">
        <f t="shared" si="1"/>
        <v>0</v>
      </c>
    </row>
    <row r="17" spans="1:15" ht="15" hidden="1" customHeight="1" x14ac:dyDescent="0.2">
      <c r="A17" s="500"/>
      <c r="B17" s="501" t="s">
        <v>126</v>
      </c>
      <c r="C17" s="505">
        <v>0</v>
      </c>
      <c r="D17" s="505">
        <f t="shared" si="3"/>
        <v>0</v>
      </c>
      <c r="E17" s="505">
        <f t="shared" si="0"/>
        <v>0</v>
      </c>
      <c r="F17" s="505">
        <f t="shared" si="0"/>
        <v>0</v>
      </c>
      <c r="G17" s="505">
        <f t="shared" si="0"/>
        <v>0</v>
      </c>
      <c r="H17" s="505">
        <v>0</v>
      </c>
      <c r="I17" s="505">
        <f t="shared" si="4"/>
        <v>0</v>
      </c>
      <c r="J17" s="505">
        <f t="shared" si="4"/>
        <v>0</v>
      </c>
      <c r="K17" s="505">
        <f t="shared" si="2"/>
        <v>0</v>
      </c>
      <c r="L17" s="505">
        <f t="shared" si="2"/>
        <v>0</v>
      </c>
      <c r="M17" s="505">
        <f t="shared" si="2"/>
        <v>0</v>
      </c>
      <c r="N17" s="505">
        <f t="shared" si="2"/>
        <v>0</v>
      </c>
      <c r="O17" s="506">
        <f t="shared" si="1"/>
        <v>0</v>
      </c>
    </row>
    <row r="18" spans="1:15" ht="15" customHeight="1" x14ac:dyDescent="0.2">
      <c r="A18" s="500"/>
      <c r="B18" s="501" t="s">
        <v>224</v>
      </c>
      <c r="C18" s="505">
        <v>0</v>
      </c>
      <c r="D18" s="505">
        <f t="shared" si="3"/>
        <v>0</v>
      </c>
      <c r="E18" s="505">
        <f t="shared" si="0"/>
        <v>0</v>
      </c>
      <c r="F18" s="505">
        <f t="shared" si="0"/>
        <v>0</v>
      </c>
      <c r="G18" s="505">
        <f t="shared" si="0"/>
        <v>0</v>
      </c>
      <c r="H18" s="505">
        <v>0</v>
      </c>
      <c r="I18" s="505">
        <f t="shared" si="4"/>
        <v>0</v>
      </c>
      <c r="J18" s="505">
        <f t="shared" si="4"/>
        <v>0</v>
      </c>
      <c r="K18" s="505">
        <f t="shared" si="2"/>
        <v>0</v>
      </c>
      <c r="L18" s="505">
        <f t="shared" si="2"/>
        <v>0</v>
      </c>
      <c r="M18" s="505">
        <f t="shared" si="2"/>
        <v>0</v>
      </c>
      <c r="N18" s="505">
        <f t="shared" si="2"/>
        <v>0</v>
      </c>
      <c r="O18" s="506">
        <f t="shared" si="1"/>
        <v>0</v>
      </c>
    </row>
    <row r="19" spans="1:15" ht="15" customHeight="1" x14ac:dyDescent="0.2">
      <c r="A19" s="500"/>
      <c r="B19" s="501" t="s">
        <v>128</v>
      </c>
      <c r="C19" s="505">
        <v>12120</v>
      </c>
      <c r="D19" s="505">
        <f t="shared" si="3"/>
        <v>12120</v>
      </c>
      <c r="E19" s="505">
        <f t="shared" si="0"/>
        <v>12120</v>
      </c>
      <c r="F19" s="505">
        <f t="shared" si="0"/>
        <v>12120</v>
      </c>
      <c r="G19" s="505">
        <v>12480</v>
      </c>
      <c r="H19" s="505">
        <v>12480</v>
      </c>
      <c r="I19" s="505">
        <v>12480</v>
      </c>
      <c r="J19" s="505">
        <v>12480</v>
      </c>
      <c r="K19" s="505">
        <v>12480</v>
      </c>
      <c r="L19" s="505">
        <v>12480</v>
      </c>
      <c r="M19" s="505">
        <v>12480</v>
      </c>
      <c r="N19" s="505">
        <v>12480</v>
      </c>
      <c r="O19" s="506">
        <f t="shared" si="1"/>
        <v>148320</v>
      </c>
    </row>
    <row r="20" spans="1:15" ht="15" customHeight="1" x14ac:dyDescent="0.2">
      <c r="A20" s="500"/>
      <c r="B20" s="501" t="s">
        <v>280</v>
      </c>
      <c r="C20" s="505">
        <v>0</v>
      </c>
      <c r="D20" s="505">
        <f t="shared" si="3"/>
        <v>0</v>
      </c>
      <c r="E20" s="505">
        <f t="shared" si="0"/>
        <v>0</v>
      </c>
      <c r="F20" s="505">
        <f t="shared" si="0"/>
        <v>0</v>
      </c>
      <c r="G20" s="505">
        <f t="shared" si="0"/>
        <v>0</v>
      </c>
      <c r="H20" s="505">
        <v>0</v>
      </c>
      <c r="I20" s="505">
        <f t="shared" ref="I20:N35" si="5">+H20</f>
        <v>0</v>
      </c>
      <c r="J20" s="505">
        <f t="shared" si="5"/>
        <v>0</v>
      </c>
      <c r="K20" s="505">
        <f t="shared" si="5"/>
        <v>0</v>
      </c>
      <c r="L20" s="505">
        <f t="shared" si="5"/>
        <v>0</v>
      </c>
      <c r="M20" s="505">
        <f t="shared" si="5"/>
        <v>0</v>
      </c>
      <c r="N20" s="505">
        <f t="shared" si="5"/>
        <v>0</v>
      </c>
      <c r="O20" s="506">
        <f t="shared" si="1"/>
        <v>0</v>
      </c>
    </row>
    <row r="21" spans="1:15" ht="15" customHeight="1" x14ac:dyDescent="0.2">
      <c r="A21" s="500"/>
      <c r="B21" s="501" t="s">
        <v>129</v>
      </c>
      <c r="C21" s="505">
        <v>0</v>
      </c>
      <c r="D21" s="505">
        <f t="shared" si="3"/>
        <v>0</v>
      </c>
      <c r="E21" s="505">
        <f t="shared" si="0"/>
        <v>0</v>
      </c>
      <c r="F21" s="505">
        <f t="shared" si="0"/>
        <v>0</v>
      </c>
      <c r="G21" s="505">
        <f t="shared" si="0"/>
        <v>0</v>
      </c>
      <c r="H21" s="505">
        <v>0</v>
      </c>
      <c r="I21" s="505">
        <f t="shared" si="5"/>
        <v>0</v>
      </c>
      <c r="J21" s="505">
        <f t="shared" si="5"/>
        <v>0</v>
      </c>
      <c r="K21" s="505">
        <f t="shared" si="5"/>
        <v>0</v>
      </c>
      <c r="L21" s="505">
        <f t="shared" si="5"/>
        <v>0</v>
      </c>
      <c r="M21" s="505">
        <f t="shared" si="5"/>
        <v>0</v>
      </c>
      <c r="N21" s="505">
        <f t="shared" si="5"/>
        <v>0</v>
      </c>
      <c r="O21" s="506">
        <f t="shared" si="1"/>
        <v>0</v>
      </c>
    </row>
    <row r="22" spans="1:15" ht="15" hidden="1" customHeight="1" x14ac:dyDescent="0.2">
      <c r="A22" s="1033" t="s">
        <v>130</v>
      </c>
      <c r="B22" s="507" t="s">
        <v>131</v>
      </c>
      <c r="C22" s="505">
        <v>0</v>
      </c>
      <c r="D22" s="505">
        <f t="shared" si="3"/>
        <v>0</v>
      </c>
      <c r="E22" s="505">
        <f t="shared" si="0"/>
        <v>0</v>
      </c>
      <c r="F22" s="505">
        <f t="shared" si="0"/>
        <v>0</v>
      </c>
      <c r="G22" s="505">
        <f t="shared" si="0"/>
        <v>0</v>
      </c>
      <c r="H22" s="505">
        <v>0</v>
      </c>
      <c r="I22" s="505">
        <f t="shared" si="5"/>
        <v>0</v>
      </c>
      <c r="J22" s="505">
        <f t="shared" si="5"/>
        <v>0</v>
      </c>
      <c r="K22" s="505">
        <f t="shared" si="5"/>
        <v>0</v>
      </c>
      <c r="L22" s="505">
        <f t="shared" si="5"/>
        <v>0</v>
      </c>
      <c r="M22" s="505">
        <f t="shared" si="5"/>
        <v>0</v>
      </c>
      <c r="N22" s="505">
        <f t="shared" si="5"/>
        <v>0</v>
      </c>
      <c r="O22" s="506">
        <f t="shared" si="1"/>
        <v>0</v>
      </c>
    </row>
    <row r="23" spans="1:15" ht="15" customHeight="1" x14ac:dyDescent="0.2">
      <c r="A23" s="1034"/>
      <c r="B23" s="507" t="s">
        <v>660</v>
      </c>
      <c r="C23" s="505">
        <v>0</v>
      </c>
      <c r="D23" s="505">
        <f t="shared" si="3"/>
        <v>0</v>
      </c>
      <c r="E23" s="505">
        <f t="shared" si="0"/>
        <v>0</v>
      </c>
      <c r="F23" s="505">
        <f t="shared" si="0"/>
        <v>0</v>
      </c>
      <c r="G23" s="505">
        <f t="shared" si="0"/>
        <v>0</v>
      </c>
      <c r="H23" s="505">
        <v>0</v>
      </c>
      <c r="I23" s="505">
        <f t="shared" si="5"/>
        <v>0</v>
      </c>
      <c r="J23" s="505">
        <f t="shared" si="5"/>
        <v>0</v>
      </c>
      <c r="K23" s="505">
        <f t="shared" si="5"/>
        <v>0</v>
      </c>
      <c r="L23" s="505">
        <f t="shared" si="5"/>
        <v>0</v>
      </c>
      <c r="M23" s="505">
        <f t="shared" si="5"/>
        <v>0</v>
      </c>
      <c r="N23" s="505">
        <f t="shared" si="5"/>
        <v>0</v>
      </c>
      <c r="O23" s="506">
        <f t="shared" si="1"/>
        <v>0</v>
      </c>
    </row>
    <row r="24" spans="1:15" ht="15" customHeight="1" x14ac:dyDescent="0.2">
      <c r="A24" s="1034"/>
      <c r="B24" s="507" t="s">
        <v>132</v>
      </c>
      <c r="C24" s="505">
        <v>0</v>
      </c>
      <c r="D24" s="505">
        <f t="shared" si="3"/>
        <v>0</v>
      </c>
      <c r="E24" s="505">
        <f t="shared" si="0"/>
        <v>0</v>
      </c>
      <c r="F24" s="505">
        <f t="shared" si="0"/>
        <v>0</v>
      </c>
      <c r="G24" s="505">
        <f t="shared" si="0"/>
        <v>0</v>
      </c>
      <c r="H24" s="505">
        <v>0</v>
      </c>
      <c r="I24" s="505">
        <f t="shared" si="5"/>
        <v>0</v>
      </c>
      <c r="J24" s="505">
        <v>6908</v>
      </c>
      <c r="K24" s="505">
        <v>0</v>
      </c>
      <c r="L24" s="505">
        <f t="shared" si="5"/>
        <v>0</v>
      </c>
      <c r="M24" s="505">
        <f t="shared" si="5"/>
        <v>0</v>
      </c>
      <c r="N24" s="505">
        <f t="shared" si="5"/>
        <v>0</v>
      </c>
      <c r="O24" s="506">
        <f t="shared" si="1"/>
        <v>6908</v>
      </c>
    </row>
    <row r="25" spans="1:15" ht="15" hidden="1" customHeight="1" x14ac:dyDescent="0.2">
      <c r="A25" s="1034"/>
      <c r="B25" s="507" t="s">
        <v>133</v>
      </c>
      <c r="C25" s="505">
        <v>0</v>
      </c>
      <c r="D25" s="505">
        <f t="shared" si="3"/>
        <v>0</v>
      </c>
      <c r="E25" s="505">
        <f t="shared" si="3"/>
        <v>0</v>
      </c>
      <c r="F25" s="505">
        <f t="shared" si="3"/>
        <v>0</v>
      </c>
      <c r="G25" s="505">
        <f t="shared" si="3"/>
        <v>0</v>
      </c>
      <c r="H25" s="505">
        <v>0</v>
      </c>
      <c r="I25" s="505">
        <f t="shared" si="5"/>
        <v>0</v>
      </c>
      <c r="J25" s="505">
        <f t="shared" si="5"/>
        <v>0</v>
      </c>
      <c r="K25" s="505">
        <f t="shared" si="5"/>
        <v>0</v>
      </c>
      <c r="L25" s="505">
        <f t="shared" si="5"/>
        <v>0</v>
      </c>
      <c r="M25" s="505">
        <f t="shared" si="5"/>
        <v>0</v>
      </c>
      <c r="N25" s="505">
        <f t="shared" si="5"/>
        <v>0</v>
      </c>
      <c r="O25" s="506">
        <f t="shared" si="1"/>
        <v>0</v>
      </c>
    </row>
    <row r="26" spans="1:15" ht="15" hidden="1" customHeight="1" x14ac:dyDescent="0.2">
      <c r="A26" s="1034"/>
      <c r="B26" s="507" t="s">
        <v>134</v>
      </c>
      <c r="C26" s="505">
        <v>0</v>
      </c>
      <c r="D26" s="505">
        <f t="shared" si="3"/>
        <v>0</v>
      </c>
      <c r="E26" s="505">
        <f t="shared" si="3"/>
        <v>0</v>
      </c>
      <c r="F26" s="505">
        <f t="shared" si="3"/>
        <v>0</v>
      </c>
      <c r="G26" s="505">
        <f t="shared" si="3"/>
        <v>0</v>
      </c>
      <c r="H26" s="505">
        <v>0</v>
      </c>
      <c r="I26" s="505">
        <f t="shared" si="5"/>
        <v>0</v>
      </c>
      <c r="J26" s="505">
        <f t="shared" si="5"/>
        <v>0</v>
      </c>
      <c r="K26" s="505">
        <f t="shared" si="5"/>
        <v>0</v>
      </c>
      <c r="L26" s="505">
        <f t="shared" si="5"/>
        <v>0</v>
      </c>
      <c r="M26" s="505">
        <f t="shared" si="5"/>
        <v>0</v>
      </c>
      <c r="N26" s="505">
        <f t="shared" si="5"/>
        <v>0</v>
      </c>
      <c r="O26" s="506">
        <f t="shared" si="1"/>
        <v>0</v>
      </c>
    </row>
    <row r="27" spans="1:15" ht="15" hidden="1" customHeight="1" x14ac:dyDescent="0.2">
      <c r="A27" s="1034"/>
      <c r="B27" s="507" t="s">
        <v>135</v>
      </c>
      <c r="C27" s="505">
        <v>0</v>
      </c>
      <c r="D27" s="505">
        <f t="shared" si="3"/>
        <v>0</v>
      </c>
      <c r="E27" s="505">
        <f t="shared" si="3"/>
        <v>0</v>
      </c>
      <c r="F27" s="505">
        <f t="shared" si="3"/>
        <v>0</v>
      </c>
      <c r="G27" s="505">
        <f t="shared" si="3"/>
        <v>0</v>
      </c>
      <c r="H27" s="505">
        <v>0</v>
      </c>
      <c r="I27" s="505">
        <f t="shared" si="5"/>
        <v>0</v>
      </c>
      <c r="J27" s="505">
        <f t="shared" si="5"/>
        <v>0</v>
      </c>
      <c r="K27" s="505">
        <f t="shared" si="5"/>
        <v>0</v>
      </c>
      <c r="L27" s="505">
        <f t="shared" si="5"/>
        <v>0</v>
      </c>
      <c r="M27" s="505">
        <f t="shared" si="5"/>
        <v>0</v>
      </c>
      <c r="N27" s="505">
        <f t="shared" si="5"/>
        <v>0</v>
      </c>
      <c r="O27" s="506">
        <f t="shared" si="1"/>
        <v>0</v>
      </c>
    </row>
    <row r="28" spans="1:15" ht="15" hidden="1" customHeight="1" x14ac:dyDescent="0.2">
      <c r="A28" s="1034"/>
      <c r="B28" s="507" t="s">
        <v>136</v>
      </c>
      <c r="C28" s="505">
        <v>0</v>
      </c>
      <c r="D28" s="505">
        <f t="shared" si="3"/>
        <v>0</v>
      </c>
      <c r="E28" s="505">
        <f t="shared" si="3"/>
        <v>0</v>
      </c>
      <c r="F28" s="505">
        <f t="shared" si="3"/>
        <v>0</v>
      </c>
      <c r="G28" s="505">
        <f t="shared" si="3"/>
        <v>0</v>
      </c>
      <c r="H28" s="505">
        <v>0</v>
      </c>
      <c r="I28" s="505">
        <f t="shared" si="5"/>
        <v>0</v>
      </c>
      <c r="J28" s="505">
        <f t="shared" si="5"/>
        <v>0</v>
      </c>
      <c r="K28" s="505">
        <f t="shared" si="5"/>
        <v>0</v>
      </c>
      <c r="L28" s="505">
        <f t="shared" si="5"/>
        <v>0</v>
      </c>
      <c r="M28" s="505">
        <f t="shared" si="5"/>
        <v>0</v>
      </c>
      <c r="N28" s="505">
        <f t="shared" si="5"/>
        <v>0</v>
      </c>
      <c r="O28" s="506">
        <f t="shared" si="1"/>
        <v>0</v>
      </c>
    </row>
    <row r="29" spans="1:15" ht="15" hidden="1" customHeight="1" x14ac:dyDescent="0.2">
      <c r="A29" s="1034"/>
      <c r="B29" s="507" t="s">
        <v>137</v>
      </c>
      <c r="C29" s="505">
        <v>0</v>
      </c>
      <c r="D29" s="505">
        <f t="shared" si="3"/>
        <v>0</v>
      </c>
      <c r="E29" s="505">
        <f t="shared" si="3"/>
        <v>0</v>
      </c>
      <c r="F29" s="505">
        <f t="shared" si="3"/>
        <v>0</v>
      </c>
      <c r="G29" s="505">
        <f t="shared" si="3"/>
        <v>0</v>
      </c>
      <c r="H29" s="505">
        <v>0</v>
      </c>
      <c r="I29" s="505">
        <f t="shared" si="5"/>
        <v>0</v>
      </c>
      <c r="J29" s="505">
        <f t="shared" si="5"/>
        <v>0</v>
      </c>
      <c r="K29" s="505">
        <f t="shared" si="5"/>
        <v>0</v>
      </c>
      <c r="L29" s="505">
        <f t="shared" si="5"/>
        <v>0</v>
      </c>
      <c r="M29" s="505">
        <f t="shared" si="5"/>
        <v>0</v>
      </c>
      <c r="N29" s="505">
        <f t="shared" si="5"/>
        <v>0</v>
      </c>
      <c r="O29" s="506">
        <f t="shared" si="1"/>
        <v>0</v>
      </c>
    </row>
    <row r="30" spans="1:15" ht="15" hidden="1" customHeight="1" x14ac:dyDescent="0.2">
      <c r="A30" s="1034"/>
      <c r="B30" s="507" t="s">
        <v>138</v>
      </c>
      <c r="C30" s="505">
        <v>0</v>
      </c>
      <c r="D30" s="505">
        <f t="shared" si="3"/>
        <v>0</v>
      </c>
      <c r="E30" s="505">
        <f t="shared" si="3"/>
        <v>0</v>
      </c>
      <c r="F30" s="505">
        <f t="shared" si="3"/>
        <v>0</v>
      </c>
      <c r="G30" s="505">
        <f t="shared" si="3"/>
        <v>0</v>
      </c>
      <c r="H30" s="505">
        <v>0</v>
      </c>
      <c r="I30" s="505">
        <f t="shared" si="5"/>
        <v>0</v>
      </c>
      <c r="J30" s="505">
        <f t="shared" si="5"/>
        <v>0</v>
      </c>
      <c r="K30" s="505">
        <f t="shared" si="5"/>
        <v>0</v>
      </c>
      <c r="L30" s="505">
        <f t="shared" si="5"/>
        <v>0</v>
      </c>
      <c r="M30" s="505">
        <f t="shared" si="5"/>
        <v>0</v>
      </c>
      <c r="N30" s="505">
        <f t="shared" si="5"/>
        <v>0</v>
      </c>
      <c r="O30" s="506">
        <f t="shared" si="1"/>
        <v>0</v>
      </c>
    </row>
    <row r="31" spans="1:15" ht="15" hidden="1" customHeight="1" x14ac:dyDescent="0.2">
      <c r="A31" s="1034"/>
      <c r="B31" s="507" t="s">
        <v>139</v>
      </c>
      <c r="C31" s="505">
        <v>0</v>
      </c>
      <c r="D31" s="505">
        <f t="shared" si="3"/>
        <v>0</v>
      </c>
      <c r="E31" s="505">
        <f t="shared" si="3"/>
        <v>0</v>
      </c>
      <c r="F31" s="505">
        <f t="shared" si="3"/>
        <v>0</v>
      </c>
      <c r="G31" s="505">
        <f t="shared" si="3"/>
        <v>0</v>
      </c>
      <c r="H31" s="505">
        <v>0</v>
      </c>
      <c r="I31" s="505">
        <f t="shared" si="5"/>
        <v>0</v>
      </c>
      <c r="J31" s="505">
        <f t="shared" si="5"/>
        <v>0</v>
      </c>
      <c r="K31" s="505">
        <f t="shared" si="5"/>
        <v>0</v>
      </c>
      <c r="L31" s="505">
        <f t="shared" si="5"/>
        <v>0</v>
      </c>
      <c r="M31" s="505">
        <f t="shared" si="5"/>
        <v>0</v>
      </c>
      <c r="N31" s="505">
        <f t="shared" si="5"/>
        <v>0</v>
      </c>
      <c r="O31" s="506">
        <f t="shared" si="1"/>
        <v>0</v>
      </c>
    </row>
    <row r="32" spans="1:15" ht="15" hidden="1" customHeight="1" x14ac:dyDescent="0.2">
      <c r="A32" s="1034"/>
      <c r="B32" s="507" t="s">
        <v>140</v>
      </c>
      <c r="C32" s="505">
        <v>0</v>
      </c>
      <c r="D32" s="505">
        <f t="shared" si="3"/>
        <v>0</v>
      </c>
      <c r="E32" s="505">
        <f t="shared" si="3"/>
        <v>0</v>
      </c>
      <c r="F32" s="505">
        <f t="shared" si="3"/>
        <v>0</v>
      </c>
      <c r="G32" s="505">
        <f t="shared" si="3"/>
        <v>0</v>
      </c>
      <c r="H32" s="505">
        <v>0</v>
      </c>
      <c r="I32" s="505">
        <f t="shared" si="5"/>
        <v>0</v>
      </c>
      <c r="J32" s="505">
        <f t="shared" si="5"/>
        <v>0</v>
      </c>
      <c r="K32" s="505">
        <f t="shared" si="5"/>
        <v>0</v>
      </c>
      <c r="L32" s="505">
        <f t="shared" si="5"/>
        <v>0</v>
      </c>
      <c r="M32" s="505">
        <f t="shared" si="5"/>
        <v>0</v>
      </c>
      <c r="N32" s="505">
        <f t="shared" si="5"/>
        <v>0</v>
      </c>
      <c r="O32" s="506">
        <f t="shared" si="1"/>
        <v>0</v>
      </c>
    </row>
    <row r="33" spans="1:18" ht="15" hidden="1" customHeight="1" x14ac:dyDescent="0.2">
      <c r="A33" s="1034"/>
      <c r="B33" s="507" t="s">
        <v>225</v>
      </c>
      <c r="C33" s="505">
        <v>0</v>
      </c>
      <c r="D33" s="505">
        <f t="shared" si="3"/>
        <v>0</v>
      </c>
      <c r="E33" s="505">
        <f t="shared" si="3"/>
        <v>0</v>
      </c>
      <c r="F33" s="505">
        <f t="shared" si="3"/>
        <v>0</v>
      </c>
      <c r="G33" s="505">
        <f t="shared" si="3"/>
        <v>0</v>
      </c>
      <c r="H33" s="505">
        <v>0</v>
      </c>
      <c r="I33" s="505">
        <f t="shared" si="5"/>
        <v>0</v>
      </c>
      <c r="J33" s="505">
        <f t="shared" si="5"/>
        <v>0</v>
      </c>
      <c r="K33" s="505">
        <f t="shared" si="5"/>
        <v>0</v>
      </c>
      <c r="L33" s="505">
        <f t="shared" si="5"/>
        <v>0</v>
      </c>
      <c r="M33" s="505">
        <f t="shared" si="5"/>
        <v>0</v>
      </c>
      <c r="N33" s="505">
        <f t="shared" si="5"/>
        <v>0</v>
      </c>
      <c r="O33" s="506">
        <f t="shared" si="1"/>
        <v>0</v>
      </c>
    </row>
    <row r="34" spans="1:18" ht="15" customHeight="1" x14ac:dyDescent="0.2">
      <c r="A34" s="1034"/>
      <c r="B34" s="511" t="s">
        <v>142</v>
      </c>
      <c r="C34" s="505">
        <v>0</v>
      </c>
      <c r="D34" s="505">
        <v>731518</v>
      </c>
      <c r="E34" s="505">
        <v>0</v>
      </c>
      <c r="F34" s="505">
        <f>+E34</f>
        <v>0</v>
      </c>
      <c r="G34" s="505">
        <f t="shared" ref="G34:G38" si="6">+F34</f>
        <v>0</v>
      </c>
      <c r="H34" s="505">
        <v>0</v>
      </c>
      <c r="I34" s="505">
        <f t="shared" si="5"/>
        <v>0</v>
      </c>
      <c r="J34" s="505">
        <f t="shared" si="5"/>
        <v>0</v>
      </c>
      <c r="K34" s="505">
        <f t="shared" si="5"/>
        <v>0</v>
      </c>
      <c r="L34" s="505">
        <f t="shared" si="5"/>
        <v>0</v>
      </c>
      <c r="M34" s="505">
        <f t="shared" si="5"/>
        <v>0</v>
      </c>
      <c r="N34" s="505">
        <f t="shared" si="5"/>
        <v>0</v>
      </c>
      <c r="O34" s="506">
        <f t="shared" si="1"/>
        <v>731518</v>
      </c>
    </row>
    <row r="35" spans="1:18" ht="15" hidden="1" customHeight="1" x14ac:dyDescent="0.2">
      <c r="A35" s="1035"/>
      <c r="B35" s="507" t="s">
        <v>226</v>
      </c>
      <c r="C35" s="505">
        <v>0</v>
      </c>
      <c r="D35" s="505">
        <f>+C35</f>
        <v>0</v>
      </c>
      <c r="E35" s="505">
        <f>+D35</f>
        <v>0</v>
      </c>
      <c r="F35" s="505">
        <f>+E35</f>
        <v>0</v>
      </c>
      <c r="G35" s="505">
        <f t="shared" si="6"/>
        <v>0</v>
      </c>
      <c r="H35" s="505">
        <v>0</v>
      </c>
      <c r="I35" s="505">
        <f t="shared" si="5"/>
        <v>0</v>
      </c>
      <c r="J35" s="505">
        <f t="shared" si="5"/>
        <v>0</v>
      </c>
      <c r="K35" s="505">
        <f t="shared" si="5"/>
        <v>0</v>
      </c>
      <c r="L35" s="505">
        <f t="shared" si="5"/>
        <v>0</v>
      </c>
      <c r="M35" s="505">
        <f t="shared" si="5"/>
        <v>0</v>
      </c>
      <c r="N35" s="505">
        <f t="shared" si="5"/>
        <v>0</v>
      </c>
      <c r="O35" s="506">
        <f t="shared" si="1"/>
        <v>0</v>
      </c>
    </row>
    <row r="36" spans="1:18" ht="15" customHeight="1" x14ac:dyDescent="0.2">
      <c r="A36" s="616"/>
      <c r="B36" s="617" t="s">
        <v>144</v>
      </c>
      <c r="C36" s="505">
        <v>0</v>
      </c>
      <c r="D36" s="505">
        <f>+C36</f>
        <v>0</v>
      </c>
      <c r="E36" s="505">
        <f>+D36</f>
        <v>0</v>
      </c>
      <c r="F36" s="505">
        <f>+E36</f>
        <v>0</v>
      </c>
      <c r="G36" s="505">
        <f t="shared" si="6"/>
        <v>0</v>
      </c>
      <c r="H36" s="505">
        <v>0</v>
      </c>
      <c r="I36" s="505">
        <f t="shared" ref="I36:N38" si="7">+H36</f>
        <v>0</v>
      </c>
      <c r="J36" s="505">
        <f t="shared" si="7"/>
        <v>0</v>
      </c>
      <c r="K36" s="505">
        <f t="shared" si="7"/>
        <v>0</v>
      </c>
      <c r="L36" s="505">
        <f t="shared" si="7"/>
        <v>0</v>
      </c>
      <c r="M36" s="505">
        <f t="shared" si="7"/>
        <v>0</v>
      </c>
      <c r="N36" s="505">
        <f t="shared" si="7"/>
        <v>0</v>
      </c>
      <c r="O36" s="506">
        <f t="shared" si="1"/>
        <v>0</v>
      </c>
    </row>
    <row r="37" spans="1:18" ht="15" customHeight="1" x14ac:dyDescent="0.2">
      <c r="A37" s="1036" t="s">
        <v>145</v>
      </c>
      <c r="B37" s="1037"/>
      <c r="C37" s="505">
        <v>0</v>
      </c>
      <c r="D37" s="505">
        <v>216</v>
      </c>
      <c r="E37" s="505">
        <v>0</v>
      </c>
      <c r="F37" s="505">
        <f>+E37</f>
        <v>0</v>
      </c>
      <c r="G37" s="505">
        <f t="shared" si="6"/>
        <v>0</v>
      </c>
      <c r="H37" s="505">
        <v>0</v>
      </c>
      <c r="I37" s="505">
        <f t="shared" si="7"/>
        <v>0</v>
      </c>
      <c r="J37" s="505">
        <v>216</v>
      </c>
      <c r="K37" s="505">
        <v>0</v>
      </c>
      <c r="L37" s="505">
        <f t="shared" si="7"/>
        <v>0</v>
      </c>
      <c r="M37" s="505">
        <f t="shared" si="7"/>
        <v>0</v>
      </c>
      <c r="N37" s="505">
        <f t="shared" si="7"/>
        <v>0</v>
      </c>
      <c r="O37" s="506">
        <f t="shared" si="1"/>
        <v>432</v>
      </c>
    </row>
    <row r="38" spans="1:18" ht="15" customHeight="1" x14ac:dyDescent="0.2">
      <c r="A38" s="1036" t="s">
        <v>146</v>
      </c>
      <c r="B38" s="1037"/>
      <c r="C38" s="505">
        <v>0</v>
      </c>
      <c r="D38" s="505">
        <v>3030</v>
      </c>
      <c r="E38" s="505">
        <v>0</v>
      </c>
      <c r="F38" s="505">
        <f>+E38</f>
        <v>0</v>
      </c>
      <c r="G38" s="505">
        <f t="shared" si="6"/>
        <v>0</v>
      </c>
      <c r="H38" s="505">
        <v>0</v>
      </c>
      <c r="I38" s="505">
        <f t="shared" si="7"/>
        <v>0</v>
      </c>
      <c r="J38" s="505">
        <v>3120</v>
      </c>
      <c r="K38" s="505">
        <v>0</v>
      </c>
      <c r="L38" s="505">
        <f t="shared" si="7"/>
        <v>0</v>
      </c>
      <c r="M38" s="505">
        <f t="shared" si="7"/>
        <v>0</v>
      </c>
      <c r="N38" s="505">
        <f t="shared" si="7"/>
        <v>0</v>
      </c>
      <c r="O38" s="506">
        <f t="shared" si="1"/>
        <v>6150</v>
      </c>
    </row>
    <row r="39" spans="1:18" ht="15" customHeight="1" x14ac:dyDescent="0.2">
      <c r="A39" s="513"/>
      <c r="B39" s="514" t="s">
        <v>147</v>
      </c>
      <c r="C39" s="515">
        <f t="shared" ref="C39:N39" si="8">SUM(C9:C38)</f>
        <v>68925</v>
      </c>
      <c r="D39" s="515">
        <f t="shared" si="8"/>
        <v>804671</v>
      </c>
      <c r="E39" s="515">
        <f t="shared" si="8"/>
        <v>69907</v>
      </c>
      <c r="F39" s="515">
        <f t="shared" si="8"/>
        <v>69907</v>
      </c>
      <c r="G39" s="515">
        <f t="shared" si="8"/>
        <v>71872</v>
      </c>
      <c r="H39" s="515">
        <f t="shared" si="8"/>
        <v>71872</v>
      </c>
      <c r="I39" s="515">
        <f t="shared" si="8"/>
        <v>71872</v>
      </c>
      <c r="J39" s="515">
        <f t="shared" si="8"/>
        <v>83328</v>
      </c>
      <c r="K39" s="515">
        <f t="shared" si="8"/>
        <v>73084</v>
      </c>
      <c r="L39" s="515">
        <f t="shared" si="8"/>
        <v>73084</v>
      </c>
      <c r="M39" s="515">
        <f t="shared" si="8"/>
        <v>73084</v>
      </c>
      <c r="N39" s="515">
        <f t="shared" si="8"/>
        <v>73084</v>
      </c>
      <c r="O39" s="516">
        <f t="shared" si="1"/>
        <v>1604690</v>
      </c>
    </row>
    <row r="40" spans="1:18" ht="15" customHeight="1" x14ac:dyDescent="0.2">
      <c r="A40" s="995" t="s">
        <v>148</v>
      </c>
      <c r="B40" s="517" t="s">
        <v>149</v>
      </c>
      <c r="C40" s="508">
        <v>2200</v>
      </c>
      <c r="D40" s="508">
        <v>75152</v>
      </c>
      <c r="E40" s="508">
        <v>2000</v>
      </c>
      <c r="F40" s="508">
        <v>2000</v>
      </c>
      <c r="G40" s="508">
        <v>2000</v>
      </c>
      <c r="H40" s="508">
        <v>2000</v>
      </c>
      <c r="I40" s="508">
        <v>2000</v>
      </c>
      <c r="J40" s="508">
        <v>2000</v>
      </c>
      <c r="K40" s="508">
        <v>0</v>
      </c>
      <c r="L40" s="508">
        <v>11000</v>
      </c>
      <c r="M40" s="508">
        <v>11000</v>
      </c>
      <c r="N40" s="508">
        <v>245</v>
      </c>
      <c r="O40" s="506">
        <f t="shared" si="1"/>
        <v>111597</v>
      </c>
      <c r="Q40" s="504">
        <f>+O18</f>
        <v>0</v>
      </c>
    </row>
    <row r="41" spans="1:18" ht="15" customHeight="1" x14ac:dyDescent="0.2">
      <c r="A41" s="996"/>
      <c r="B41" s="517" t="s">
        <v>150</v>
      </c>
      <c r="C41" s="508">
        <v>0</v>
      </c>
      <c r="D41" s="508">
        <v>0</v>
      </c>
      <c r="E41" s="508">
        <v>0</v>
      </c>
      <c r="F41" s="508">
        <v>0</v>
      </c>
      <c r="G41" s="508">
        <v>0</v>
      </c>
      <c r="H41" s="508">
        <v>0</v>
      </c>
      <c r="I41" s="508">
        <v>0</v>
      </c>
      <c r="J41" s="508">
        <v>0</v>
      </c>
      <c r="K41" s="508">
        <v>0</v>
      </c>
      <c r="L41" s="508">
        <v>0</v>
      </c>
      <c r="M41" s="508">
        <v>0</v>
      </c>
      <c r="N41" s="508">
        <v>0</v>
      </c>
      <c r="O41" s="506">
        <f t="shared" si="1"/>
        <v>0</v>
      </c>
      <c r="Q41" s="504">
        <f>+Q39+Q40</f>
        <v>0</v>
      </c>
      <c r="R41" s="490"/>
    </row>
    <row r="42" spans="1:18" ht="15" customHeight="1" x14ac:dyDescent="0.2">
      <c r="A42" s="996"/>
      <c r="B42" s="517" t="s">
        <v>151</v>
      </c>
      <c r="C42" s="508">
        <v>30</v>
      </c>
      <c r="D42" s="508">
        <v>30</v>
      </c>
      <c r="E42" s="508">
        <v>30</v>
      </c>
      <c r="F42" s="508">
        <v>30</v>
      </c>
      <c r="G42" s="508">
        <v>30</v>
      </c>
      <c r="H42" s="508">
        <v>30</v>
      </c>
      <c r="I42" s="508">
        <v>30</v>
      </c>
      <c r="J42" s="508">
        <v>30</v>
      </c>
      <c r="K42" s="508">
        <v>30</v>
      </c>
      <c r="L42" s="508">
        <v>30</v>
      </c>
      <c r="M42" s="508">
        <v>30</v>
      </c>
      <c r="N42" s="508">
        <v>30</v>
      </c>
      <c r="O42" s="506">
        <f t="shared" si="1"/>
        <v>360</v>
      </c>
    </row>
    <row r="43" spans="1:18" ht="15" customHeight="1" x14ac:dyDescent="0.2">
      <c r="A43" s="996"/>
      <c r="B43" s="517" t="s">
        <v>152</v>
      </c>
      <c r="C43" s="508">
        <v>0</v>
      </c>
      <c r="D43" s="508">
        <v>0</v>
      </c>
      <c r="E43" s="508">
        <v>0</v>
      </c>
      <c r="F43" s="508">
        <v>0</v>
      </c>
      <c r="G43" s="508">
        <v>0</v>
      </c>
      <c r="H43" s="508">
        <v>0</v>
      </c>
      <c r="I43" s="508">
        <v>0</v>
      </c>
      <c r="J43" s="508">
        <v>0</v>
      </c>
      <c r="K43" s="508">
        <v>0</v>
      </c>
      <c r="L43" s="508">
        <v>0</v>
      </c>
      <c r="M43" s="508">
        <v>0</v>
      </c>
      <c r="N43" s="508">
        <v>0</v>
      </c>
      <c r="O43" s="506">
        <f t="shared" si="1"/>
        <v>0</v>
      </c>
    </row>
    <row r="44" spans="1:18" ht="15" customHeight="1" x14ac:dyDescent="0.2">
      <c r="A44" s="996"/>
      <c r="B44" s="517" t="s">
        <v>153</v>
      </c>
      <c r="C44" s="508">
        <v>250</v>
      </c>
      <c r="D44" s="508">
        <v>250</v>
      </c>
      <c r="E44" s="508">
        <v>250</v>
      </c>
      <c r="F44" s="508">
        <v>250</v>
      </c>
      <c r="G44" s="508">
        <v>450</v>
      </c>
      <c r="H44" s="508">
        <v>450</v>
      </c>
      <c r="I44" s="508">
        <v>450</v>
      </c>
      <c r="J44" s="508">
        <v>450</v>
      </c>
      <c r="K44" s="508">
        <v>450</v>
      </c>
      <c r="L44" s="508">
        <v>450</v>
      </c>
      <c r="M44" s="508">
        <v>450</v>
      </c>
      <c r="N44" s="508">
        <v>450</v>
      </c>
      <c r="O44" s="506">
        <f t="shared" si="1"/>
        <v>4600</v>
      </c>
    </row>
    <row r="45" spans="1:18" ht="15" customHeight="1" x14ac:dyDescent="0.2">
      <c r="A45" s="996"/>
      <c r="B45" s="517" t="s">
        <v>154</v>
      </c>
      <c r="C45" s="508">
        <v>10000</v>
      </c>
      <c r="D45" s="508">
        <v>10000</v>
      </c>
      <c r="E45" s="508">
        <v>10000</v>
      </c>
      <c r="F45" s="508">
        <v>10000</v>
      </c>
      <c r="G45" s="508">
        <v>10000</v>
      </c>
      <c r="H45" s="508">
        <v>10000</v>
      </c>
      <c r="I45" s="508">
        <v>10000</v>
      </c>
      <c r="J45" s="508">
        <v>10000</v>
      </c>
      <c r="K45" s="508">
        <v>10000</v>
      </c>
      <c r="L45" s="508">
        <v>10000</v>
      </c>
      <c r="M45" s="508">
        <v>10000</v>
      </c>
      <c r="N45" s="508">
        <v>10000</v>
      </c>
      <c r="O45" s="506">
        <f t="shared" si="1"/>
        <v>120000</v>
      </c>
    </row>
    <row r="46" spans="1:18" ht="15" customHeight="1" x14ac:dyDescent="0.2">
      <c r="A46" s="996"/>
      <c r="B46" s="517" t="s">
        <v>155</v>
      </c>
      <c r="C46" s="508">
        <v>200</v>
      </c>
      <c r="D46" s="508">
        <v>200</v>
      </c>
      <c r="E46" s="508">
        <v>200</v>
      </c>
      <c r="F46" s="508">
        <v>200</v>
      </c>
      <c r="G46" s="508">
        <v>200</v>
      </c>
      <c r="H46" s="508">
        <v>200</v>
      </c>
      <c r="I46" s="508">
        <v>200</v>
      </c>
      <c r="J46" s="508">
        <v>200</v>
      </c>
      <c r="K46" s="508">
        <v>200</v>
      </c>
      <c r="L46" s="508">
        <v>200</v>
      </c>
      <c r="M46" s="508">
        <v>200</v>
      </c>
      <c r="N46" s="508">
        <v>300</v>
      </c>
      <c r="O46" s="506">
        <f t="shared" si="1"/>
        <v>2500</v>
      </c>
    </row>
    <row r="47" spans="1:18" ht="15" customHeight="1" x14ac:dyDescent="0.2">
      <c r="A47" s="996"/>
      <c r="B47" s="517" t="s">
        <v>156</v>
      </c>
      <c r="C47" s="508">
        <v>0</v>
      </c>
      <c r="D47" s="508">
        <v>0</v>
      </c>
      <c r="E47" s="508">
        <v>0</v>
      </c>
      <c r="F47" s="508">
        <v>0</v>
      </c>
      <c r="G47" s="508">
        <v>0</v>
      </c>
      <c r="H47" s="508">
        <v>0</v>
      </c>
      <c r="I47" s="508">
        <v>0</v>
      </c>
      <c r="J47" s="508">
        <v>0</v>
      </c>
      <c r="K47" s="508">
        <v>0</v>
      </c>
      <c r="L47" s="508">
        <v>0</v>
      </c>
      <c r="M47" s="508">
        <v>0</v>
      </c>
      <c r="N47" s="508">
        <v>0</v>
      </c>
      <c r="O47" s="506">
        <f t="shared" si="1"/>
        <v>0</v>
      </c>
    </row>
    <row r="48" spans="1:18" ht="15" customHeight="1" x14ac:dyDescent="0.2">
      <c r="A48" s="996"/>
      <c r="B48" s="517" t="s">
        <v>157</v>
      </c>
      <c r="C48" s="508">
        <v>0</v>
      </c>
      <c r="D48" s="508">
        <v>0</v>
      </c>
      <c r="E48" s="508">
        <v>0</v>
      </c>
      <c r="F48" s="508">
        <v>0</v>
      </c>
      <c r="G48" s="508">
        <v>0</v>
      </c>
      <c r="H48" s="508">
        <v>0</v>
      </c>
      <c r="I48" s="508">
        <v>0</v>
      </c>
      <c r="J48" s="508">
        <v>0</v>
      </c>
      <c r="K48" s="508">
        <v>0</v>
      </c>
      <c r="L48" s="508">
        <v>0</v>
      </c>
      <c r="M48" s="508">
        <v>0</v>
      </c>
      <c r="N48" s="508">
        <v>0</v>
      </c>
      <c r="O48" s="506">
        <f t="shared" si="1"/>
        <v>0</v>
      </c>
    </row>
    <row r="49" spans="1:19" ht="28.5" customHeight="1" x14ac:dyDescent="0.2">
      <c r="A49" s="997"/>
      <c r="B49" s="520" t="s">
        <v>158</v>
      </c>
      <c r="C49" s="508">
        <v>2561</v>
      </c>
      <c r="D49" s="508">
        <v>2561</v>
      </c>
      <c r="E49" s="508">
        <v>2561</v>
      </c>
      <c r="F49" s="508">
        <v>2561</v>
      </c>
      <c r="G49" s="508">
        <v>2561</v>
      </c>
      <c r="H49" s="508">
        <v>2561</v>
      </c>
      <c r="I49" s="508">
        <v>2561</v>
      </c>
      <c r="J49" s="508">
        <v>2561</v>
      </c>
      <c r="K49" s="508">
        <v>2561</v>
      </c>
      <c r="L49" s="508">
        <v>2561</v>
      </c>
      <c r="M49" s="508">
        <v>2561</v>
      </c>
      <c r="N49" s="508">
        <v>2561</v>
      </c>
      <c r="O49" s="521">
        <f t="shared" si="1"/>
        <v>30732</v>
      </c>
    </row>
    <row r="50" spans="1:19" ht="28.5" x14ac:dyDescent="0.2">
      <c r="A50" s="998"/>
      <c r="B50" s="618" t="s">
        <v>661</v>
      </c>
      <c r="C50" s="508">
        <v>0</v>
      </c>
      <c r="D50" s="508">
        <v>0</v>
      </c>
      <c r="E50" s="508">
        <v>0</v>
      </c>
      <c r="F50" s="508">
        <v>0</v>
      </c>
      <c r="G50" s="508">
        <v>0</v>
      </c>
      <c r="H50" s="508">
        <v>0</v>
      </c>
      <c r="I50" s="508">
        <v>0</v>
      </c>
      <c r="J50" s="508">
        <v>0</v>
      </c>
      <c r="K50" s="508">
        <v>0</v>
      </c>
      <c r="L50" s="508">
        <v>0</v>
      </c>
      <c r="M50" s="508">
        <v>0</v>
      </c>
      <c r="N50" s="508">
        <v>0</v>
      </c>
      <c r="O50" s="521">
        <f t="shared" si="1"/>
        <v>0</v>
      </c>
    </row>
    <row r="51" spans="1:19" ht="15" x14ac:dyDescent="0.2">
      <c r="A51" s="999" t="s">
        <v>160</v>
      </c>
      <c r="B51" s="1000"/>
      <c r="C51" s="523">
        <f t="shared" ref="C51:N51" si="9">SUM(C40:C50)</f>
        <v>15241</v>
      </c>
      <c r="D51" s="523">
        <f t="shared" si="9"/>
        <v>88193</v>
      </c>
      <c r="E51" s="523">
        <f t="shared" si="9"/>
        <v>15041</v>
      </c>
      <c r="F51" s="523">
        <f t="shared" si="9"/>
        <v>15041</v>
      </c>
      <c r="G51" s="523">
        <f t="shared" si="9"/>
        <v>15241</v>
      </c>
      <c r="H51" s="523">
        <f t="shared" si="9"/>
        <v>15241</v>
      </c>
      <c r="I51" s="523">
        <f t="shared" si="9"/>
        <v>15241</v>
      </c>
      <c r="J51" s="523">
        <f t="shared" si="9"/>
        <v>15241</v>
      </c>
      <c r="K51" s="523">
        <f t="shared" si="9"/>
        <v>13241</v>
      </c>
      <c r="L51" s="523">
        <f t="shared" si="9"/>
        <v>24241</v>
      </c>
      <c r="M51" s="523">
        <f t="shared" si="9"/>
        <v>24241</v>
      </c>
      <c r="N51" s="523">
        <f t="shared" si="9"/>
        <v>13586</v>
      </c>
      <c r="O51" s="524">
        <f t="shared" si="1"/>
        <v>269789</v>
      </c>
    </row>
    <row r="52" spans="1:19" ht="15.75" thickBot="1" x14ac:dyDescent="0.25">
      <c r="A52" s="1001" t="s">
        <v>161</v>
      </c>
      <c r="B52" s="1002"/>
      <c r="C52" s="525">
        <f t="shared" ref="C52:N52" si="10">C39-C51</f>
        <v>53684</v>
      </c>
      <c r="D52" s="525">
        <f t="shared" si="10"/>
        <v>716478</v>
      </c>
      <c r="E52" s="525">
        <f t="shared" si="10"/>
        <v>54866</v>
      </c>
      <c r="F52" s="525">
        <f t="shared" si="10"/>
        <v>54866</v>
      </c>
      <c r="G52" s="525">
        <f t="shared" si="10"/>
        <v>56631</v>
      </c>
      <c r="H52" s="525">
        <f t="shared" si="10"/>
        <v>56631</v>
      </c>
      <c r="I52" s="525">
        <f t="shared" si="10"/>
        <v>56631</v>
      </c>
      <c r="J52" s="525">
        <f t="shared" si="10"/>
        <v>68087</v>
      </c>
      <c r="K52" s="525">
        <f t="shared" si="10"/>
        <v>59843</v>
      </c>
      <c r="L52" s="525">
        <f t="shared" si="10"/>
        <v>48843</v>
      </c>
      <c r="M52" s="525">
        <f t="shared" si="10"/>
        <v>48843</v>
      </c>
      <c r="N52" s="525">
        <f t="shared" si="10"/>
        <v>59498</v>
      </c>
      <c r="O52" s="526">
        <f t="shared" si="1"/>
        <v>1334901</v>
      </c>
    </row>
    <row r="53" spans="1:19" x14ac:dyDescent="0.2">
      <c r="J53" s="504">
        <f>+J39-SUM(J21:J38)</f>
        <v>73084</v>
      </c>
      <c r="Q53" s="504">
        <f>+O18</f>
        <v>0</v>
      </c>
    </row>
    <row r="54" spans="1:19" ht="13.5" thickBot="1" x14ac:dyDescent="0.25">
      <c r="J54" s="528">
        <f>+J53-J51</f>
        <v>57843</v>
      </c>
      <c r="Q54" s="504">
        <f>+Q52+Q53</f>
        <v>0</v>
      </c>
    </row>
    <row r="55" spans="1:19" ht="13.5" thickBot="1" x14ac:dyDescent="0.25">
      <c r="B55" s="955" t="s">
        <v>162</v>
      </c>
      <c r="C55" s="1003"/>
      <c r="D55" s="1003"/>
      <c r="E55" s="1003"/>
      <c r="F55" s="1004"/>
      <c r="G55" s="1005">
        <f>O39</f>
        <v>1604690</v>
      </c>
      <c r="H55" s="1006"/>
    </row>
    <row r="56" spans="1:19" ht="13.5" thickBot="1" x14ac:dyDescent="0.25"/>
    <row r="57" spans="1:19" x14ac:dyDescent="0.2">
      <c r="B57" s="1007" t="s">
        <v>163</v>
      </c>
      <c r="C57" s="1010" t="s">
        <v>164</v>
      </c>
      <c r="D57" s="1013" t="s">
        <v>229</v>
      </c>
      <c r="E57" s="1014"/>
      <c r="F57" s="1015"/>
      <c r="G57" s="1016">
        <v>40000</v>
      </c>
      <c r="H57" s="1017"/>
    </row>
    <row r="58" spans="1:19" x14ac:dyDescent="0.2">
      <c r="B58" s="1008"/>
      <c r="C58" s="1011"/>
      <c r="D58" s="1018" t="s">
        <v>166</v>
      </c>
      <c r="E58" s="1019"/>
      <c r="F58" s="1020"/>
      <c r="G58" s="1021">
        <f>+O46</f>
        <v>2500</v>
      </c>
      <c r="H58" s="1022"/>
      <c r="I58" s="529"/>
      <c r="J58" s="1090"/>
      <c r="K58" s="1090"/>
      <c r="L58" s="1090"/>
      <c r="M58" s="1091"/>
      <c r="N58" s="1091"/>
      <c r="O58" s="1091"/>
    </row>
    <row r="59" spans="1:19" ht="13.5" thickBot="1" x14ac:dyDescent="0.25">
      <c r="B59" s="1009"/>
      <c r="C59" s="1012"/>
      <c r="D59" s="1023" t="s">
        <v>243</v>
      </c>
      <c r="E59" s="1024"/>
      <c r="F59" s="1025"/>
      <c r="G59" s="1026">
        <f>IF(O18&gt;15000,15000,+O18)</f>
        <v>0</v>
      </c>
      <c r="H59" s="1027"/>
      <c r="J59" s="531"/>
      <c r="K59" s="531"/>
      <c r="L59" s="531"/>
      <c r="M59" s="531"/>
      <c r="N59" s="531"/>
      <c r="O59" s="531"/>
    </row>
    <row r="60" spans="1:19" ht="13.5" thickBot="1" x14ac:dyDescent="0.25">
      <c r="B60" s="532"/>
      <c r="J60" s="531"/>
      <c r="K60" s="531"/>
      <c r="L60" s="531"/>
      <c r="M60" s="531"/>
      <c r="N60" s="531"/>
      <c r="O60" s="531"/>
    </row>
    <row r="61" spans="1:19" ht="13.5" thickBot="1" x14ac:dyDescent="0.25">
      <c r="B61" s="955" t="s">
        <v>168</v>
      </c>
      <c r="C61" s="956"/>
      <c r="D61" s="956"/>
      <c r="E61" s="956"/>
      <c r="F61" s="957"/>
      <c r="G61" s="1028">
        <f>+G55-SUM(G57:H59)</f>
        <v>1562190</v>
      </c>
      <c r="H61" s="1029"/>
      <c r="J61" s="992" t="s">
        <v>169</v>
      </c>
      <c r="K61" s="993"/>
      <c r="L61" s="993"/>
      <c r="M61" s="993"/>
      <c r="N61" s="993"/>
      <c r="O61" s="994"/>
    </row>
    <row r="62" spans="1:19" ht="13.5" thickBot="1" x14ac:dyDescent="0.25">
      <c r="B62" s="533"/>
      <c r="C62" s="534"/>
      <c r="D62" s="534"/>
      <c r="E62" s="534"/>
      <c r="F62" s="534"/>
      <c r="G62" s="656"/>
      <c r="H62" s="534"/>
      <c r="J62" s="658"/>
      <c r="K62" s="659"/>
      <c r="L62" s="659"/>
      <c r="M62" s="659"/>
      <c r="N62" s="659"/>
      <c r="O62" s="660"/>
    </row>
    <row r="63" spans="1:19" ht="13.5" thickBot="1" x14ac:dyDescent="0.25">
      <c r="B63" s="955" t="s">
        <v>170</v>
      </c>
      <c r="C63" s="956"/>
      <c r="D63" s="956"/>
      <c r="E63" s="956"/>
      <c r="F63" s="957"/>
      <c r="G63" s="1047"/>
      <c r="H63" s="957"/>
      <c r="J63" s="658"/>
      <c r="K63" s="659"/>
      <c r="L63" s="659"/>
      <c r="M63" s="659"/>
      <c r="N63" s="659"/>
      <c r="O63" s="660"/>
    </row>
    <row r="64" spans="1:19" ht="12.75" customHeight="1" x14ac:dyDescent="0.2">
      <c r="B64" s="538" t="s">
        <v>171</v>
      </c>
      <c r="C64" s="977" t="s">
        <v>172</v>
      </c>
      <c r="D64" s="978"/>
      <c r="E64" s="978"/>
      <c r="F64" s="979"/>
      <c r="G64" s="980">
        <v>29284</v>
      </c>
      <c r="H64" s="980"/>
      <c r="I64" s="539"/>
      <c r="J64" s="981" t="s">
        <v>173</v>
      </c>
      <c r="K64" s="982"/>
      <c r="L64" s="982"/>
      <c r="M64" s="982"/>
      <c r="N64" s="982"/>
      <c r="O64" s="983"/>
      <c r="Q64" s="540"/>
      <c r="R64" s="540"/>
      <c r="S64" s="540"/>
    </row>
    <row r="65" spans="2:19" ht="13.5" thickBot="1" x14ac:dyDescent="0.25">
      <c r="D65" s="527"/>
      <c r="I65" s="539"/>
      <c r="J65" s="541" t="s">
        <v>662</v>
      </c>
      <c r="K65" s="542"/>
      <c r="L65" s="542"/>
      <c r="M65" s="542"/>
      <c r="N65" s="542"/>
      <c r="O65" s="543"/>
      <c r="Q65" s="540"/>
      <c r="R65" s="540"/>
      <c r="S65" s="540"/>
    </row>
    <row r="66" spans="2:19" ht="13.5" thickBot="1" x14ac:dyDescent="0.25">
      <c r="B66" s="955" t="s">
        <v>175</v>
      </c>
      <c r="C66" s="956"/>
      <c r="D66" s="956"/>
      <c r="E66" s="956"/>
      <c r="F66" s="957"/>
      <c r="G66" s="1047">
        <f>+G61-G64</f>
        <v>1532906</v>
      </c>
      <c r="H66" s="957"/>
      <c r="I66" s="544"/>
      <c r="J66" s="547"/>
      <c r="K66" s="529"/>
      <c r="L66" s="529"/>
      <c r="M66" s="529"/>
      <c r="N66" s="529"/>
      <c r="O66" s="546"/>
      <c r="Q66" s="540"/>
      <c r="R66" s="540"/>
      <c r="S66" s="540"/>
    </row>
    <row r="67" spans="2:19" ht="12.75" customHeight="1" x14ac:dyDescent="0.2">
      <c r="B67" s="532"/>
      <c r="C67" s="532"/>
      <c r="I67" s="544"/>
      <c r="J67" s="547"/>
      <c r="K67" s="529"/>
      <c r="L67" s="529"/>
      <c r="M67" s="529"/>
      <c r="N67" s="529"/>
      <c r="O67" s="546"/>
      <c r="Q67" s="540"/>
      <c r="R67" s="540"/>
      <c r="S67" s="540"/>
    </row>
    <row r="68" spans="2:19" x14ac:dyDescent="0.2">
      <c r="B68" s="548" t="s">
        <v>176</v>
      </c>
      <c r="C68" s="532"/>
      <c r="I68" s="544"/>
      <c r="J68" s="549"/>
      <c r="K68" s="550"/>
      <c r="L68" s="550"/>
      <c r="M68" s="550"/>
      <c r="N68" s="550"/>
      <c r="O68" s="551"/>
      <c r="Q68" s="540"/>
      <c r="R68" s="540"/>
      <c r="S68" s="540"/>
    </row>
    <row r="69" spans="2:19" ht="27" customHeight="1" thickBot="1" x14ac:dyDescent="0.25">
      <c r="B69" s="548"/>
      <c r="C69" s="532"/>
      <c r="G69" s="552" t="s">
        <v>177</v>
      </c>
      <c r="H69" s="552" t="s">
        <v>178</v>
      </c>
      <c r="I69" s="544"/>
      <c r="J69" s="981" t="s">
        <v>179</v>
      </c>
      <c r="K69" s="982"/>
      <c r="L69" s="553"/>
      <c r="M69" s="553"/>
      <c r="N69" s="553"/>
      <c r="O69" s="554"/>
      <c r="Q69" s="540"/>
      <c r="R69" s="540"/>
      <c r="S69" s="540"/>
    </row>
    <row r="70" spans="2:19" ht="12.75" customHeight="1" x14ac:dyDescent="0.2">
      <c r="B70" s="968" t="s">
        <v>180</v>
      </c>
      <c r="C70" s="971" t="s">
        <v>181</v>
      </c>
      <c r="D70" s="973" t="s">
        <v>182</v>
      </c>
      <c r="E70" s="974"/>
      <c r="F70" s="974"/>
      <c r="G70" s="555">
        <f>+O45</f>
        <v>120000</v>
      </c>
      <c r="H70" s="556">
        <f t="shared" ref="H70:H78" si="11">+G70</f>
        <v>120000</v>
      </c>
      <c r="I70" s="544"/>
      <c r="J70" s="545" t="s">
        <v>231</v>
      </c>
      <c r="K70" s="539"/>
      <c r="L70" s="539"/>
      <c r="M70" s="539" t="s">
        <v>232</v>
      </c>
      <c r="N70" s="539" t="s">
        <v>233</v>
      </c>
      <c r="O70" s="558"/>
      <c r="Q70" s="540"/>
      <c r="R70" s="540"/>
      <c r="S70" s="540"/>
    </row>
    <row r="71" spans="2:19" ht="12.75" customHeight="1" x14ac:dyDescent="0.2">
      <c r="B71" s="969"/>
      <c r="C71" s="972"/>
      <c r="D71" s="975" t="s">
        <v>184</v>
      </c>
      <c r="E71" s="976"/>
      <c r="F71" s="976"/>
      <c r="G71" s="559">
        <f>+O49+O71</f>
        <v>30732</v>
      </c>
      <c r="H71" s="560">
        <f t="shared" si="11"/>
        <v>30732</v>
      </c>
      <c r="I71" s="544"/>
      <c r="J71" s="619"/>
      <c r="K71" s="550"/>
      <c r="L71" s="550"/>
      <c r="M71" s="550"/>
      <c r="N71" s="550"/>
      <c r="O71" s="551"/>
      <c r="Q71" s="540"/>
      <c r="R71" s="540"/>
      <c r="S71" s="540"/>
    </row>
    <row r="72" spans="2:19" ht="12.75" customHeight="1" x14ac:dyDescent="0.2">
      <c r="B72" s="969"/>
      <c r="C72" s="972"/>
      <c r="D72" s="990" t="s">
        <v>185</v>
      </c>
      <c r="E72" s="991"/>
      <c r="F72" s="991"/>
      <c r="G72" s="654">
        <f>O42</f>
        <v>360</v>
      </c>
      <c r="H72" s="560">
        <f t="shared" si="11"/>
        <v>360</v>
      </c>
      <c r="I72" s="544"/>
      <c r="J72" s="549"/>
      <c r="K72" s="550"/>
      <c r="L72" s="550"/>
      <c r="M72" s="550"/>
      <c r="N72" s="550"/>
      <c r="O72" s="551"/>
    </row>
    <row r="73" spans="2:19" x14ac:dyDescent="0.2">
      <c r="B73" s="969"/>
      <c r="C73" s="972"/>
      <c r="D73" s="975" t="s">
        <v>186</v>
      </c>
      <c r="E73" s="976"/>
      <c r="F73" s="976"/>
      <c r="G73" s="565">
        <v>0</v>
      </c>
      <c r="H73" s="560">
        <f t="shared" si="11"/>
        <v>0</v>
      </c>
      <c r="I73" s="544"/>
      <c r="J73" s="572" t="s">
        <v>187</v>
      </c>
      <c r="K73" s="553"/>
      <c r="L73" s="553"/>
      <c r="M73" s="553"/>
      <c r="N73" s="553"/>
      <c r="O73" s="554"/>
    </row>
    <row r="74" spans="2:19" ht="12.75" customHeight="1" x14ac:dyDescent="0.2">
      <c r="B74" s="969"/>
      <c r="C74" s="972"/>
      <c r="D74" s="950" t="s">
        <v>188</v>
      </c>
      <c r="E74" s="976"/>
      <c r="F74" s="976"/>
      <c r="G74" s="654">
        <v>0</v>
      </c>
      <c r="H74" s="560">
        <f t="shared" si="11"/>
        <v>0</v>
      </c>
      <c r="I74" s="544"/>
      <c r="J74" s="545" t="s">
        <v>189</v>
      </c>
      <c r="K74" s="534"/>
      <c r="L74" s="534"/>
      <c r="M74" s="534"/>
      <c r="N74" s="534"/>
      <c r="O74" s="570">
        <f>O44</f>
        <v>4600</v>
      </c>
    </row>
    <row r="75" spans="2:19" ht="14.25" customHeight="1" x14ac:dyDescent="0.2">
      <c r="B75" s="969"/>
      <c r="C75" s="972"/>
      <c r="D75" s="975" t="s">
        <v>190</v>
      </c>
      <c r="E75" s="976"/>
      <c r="F75" s="976"/>
      <c r="G75" s="568">
        <v>0</v>
      </c>
      <c r="H75" s="560">
        <f t="shared" si="11"/>
        <v>0</v>
      </c>
      <c r="I75" s="544"/>
      <c r="J75" s="545"/>
      <c r="K75" s="529"/>
      <c r="L75" s="529"/>
      <c r="M75" s="529"/>
      <c r="N75" s="529"/>
      <c r="O75" s="546"/>
    </row>
    <row r="76" spans="2:19" x14ac:dyDescent="0.2">
      <c r="B76" s="969"/>
      <c r="C76" s="972"/>
      <c r="D76" s="975" t="s">
        <v>191</v>
      </c>
      <c r="E76" s="976"/>
      <c r="F76" s="976"/>
      <c r="G76" s="565">
        <v>224388</v>
      </c>
      <c r="H76" s="560">
        <f t="shared" si="11"/>
        <v>224388</v>
      </c>
      <c r="I76" s="539"/>
      <c r="J76" s="569"/>
      <c r="K76" s="534"/>
      <c r="L76" s="534"/>
      <c r="M76" s="534"/>
      <c r="N76" s="534"/>
      <c r="O76" s="570"/>
    </row>
    <row r="77" spans="2:19" x14ac:dyDescent="0.2">
      <c r="B77" s="969"/>
      <c r="C77" s="571" t="s">
        <v>192</v>
      </c>
      <c r="D77" s="984" t="s">
        <v>193</v>
      </c>
      <c r="E77" s="985"/>
      <c r="F77" s="985"/>
      <c r="G77" s="654">
        <v>0</v>
      </c>
      <c r="H77" s="560">
        <f t="shared" si="11"/>
        <v>0</v>
      </c>
      <c r="I77" s="539"/>
      <c r="J77" s="619"/>
      <c r="K77" s="529"/>
      <c r="L77" s="529"/>
      <c r="M77" s="529"/>
      <c r="N77" s="529"/>
      <c r="O77" s="546"/>
    </row>
    <row r="78" spans="2:19" ht="13.5" customHeight="1" thickBot="1" x14ac:dyDescent="0.25">
      <c r="B78" s="969"/>
      <c r="C78" s="571" t="s">
        <v>194</v>
      </c>
      <c r="D78" s="986" t="s">
        <v>195</v>
      </c>
      <c r="E78" s="986"/>
      <c r="F78" s="986"/>
      <c r="G78" s="573">
        <v>0</v>
      </c>
      <c r="H78" s="574">
        <f t="shared" si="11"/>
        <v>0</v>
      </c>
      <c r="I78" s="544"/>
      <c r="J78" s="549"/>
      <c r="K78" s="550"/>
      <c r="L78" s="550"/>
      <c r="M78" s="620"/>
      <c r="N78" s="620"/>
      <c r="O78" s="621"/>
    </row>
    <row r="79" spans="2:19" ht="13.5" thickBot="1" x14ac:dyDescent="0.25">
      <c r="B79" s="969"/>
      <c r="C79" s="575"/>
      <c r="D79" s="576"/>
      <c r="E79" s="987" t="s">
        <v>117</v>
      </c>
      <c r="F79" s="988"/>
      <c r="G79" s="577">
        <f>SUM(G70:G78)</f>
        <v>375480</v>
      </c>
      <c r="H79" s="578">
        <f>IF(SUM(G70:G76)&lt;150000,SUM(G70:G76),150000)+IF(+G77&lt;20000,+G77,20000)</f>
        <v>150000</v>
      </c>
      <c r="I79" s="544"/>
      <c r="J79" s="579"/>
      <c r="K79" s="580"/>
      <c r="L79" s="580"/>
      <c r="M79" s="581"/>
      <c r="N79" s="581"/>
      <c r="O79" s="582"/>
    </row>
    <row r="80" spans="2:19" ht="12.75" customHeight="1" x14ac:dyDescent="0.2">
      <c r="B80" s="969"/>
      <c r="C80" s="583" t="s">
        <v>196</v>
      </c>
      <c r="D80" s="975" t="s">
        <v>187</v>
      </c>
      <c r="E80" s="976"/>
      <c r="F80" s="989"/>
      <c r="G80" s="555">
        <f>+O44</f>
        <v>4600</v>
      </c>
      <c r="H80" s="584">
        <f>+IF(+G80&lt;25000,+G80,25000)</f>
        <v>4600</v>
      </c>
      <c r="I80" s="585"/>
    </row>
    <row r="81" spans="2:12" x14ac:dyDescent="0.2">
      <c r="B81" s="969"/>
      <c r="C81" s="583" t="s">
        <v>197</v>
      </c>
      <c r="D81" s="950" t="s">
        <v>198</v>
      </c>
      <c r="E81" s="951"/>
      <c r="F81" s="952"/>
      <c r="G81" s="586"/>
      <c r="H81" s="587">
        <f>+IF(+G81&lt;40000,+G81,40000)</f>
        <v>0</v>
      </c>
      <c r="I81" s="544"/>
    </row>
    <row r="82" spans="2:12" x14ac:dyDescent="0.2">
      <c r="B82" s="969"/>
      <c r="C82" s="583" t="s">
        <v>199</v>
      </c>
      <c r="D82" s="950" t="s">
        <v>200</v>
      </c>
      <c r="E82" s="951"/>
      <c r="F82" s="952"/>
      <c r="G82" s="565"/>
      <c r="H82" s="588">
        <v>0</v>
      </c>
      <c r="I82" s="544"/>
      <c r="J82" s="622"/>
      <c r="K82" s="622"/>
      <c r="L82" s="622"/>
    </row>
    <row r="83" spans="2:12" x14ac:dyDescent="0.2">
      <c r="B83" s="969"/>
      <c r="C83" s="583" t="s">
        <v>201</v>
      </c>
      <c r="D83" s="950" t="s">
        <v>202</v>
      </c>
      <c r="E83" s="951"/>
      <c r="F83" s="952"/>
      <c r="G83" s="565"/>
      <c r="H83" s="588">
        <v>0</v>
      </c>
      <c r="I83" s="544"/>
    </row>
    <row r="84" spans="2:12" ht="13.5" thickBot="1" x14ac:dyDescent="0.25">
      <c r="B84" s="970"/>
      <c r="C84" s="583" t="s">
        <v>203</v>
      </c>
      <c r="D84" s="950" t="s">
        <v>204</v>
      </c>
      <c r="E84" s="951"/>
      <c r="F84" s="952"/>
      <c r="G84" s="586"/>
      <c r="H84" s="587">
        <f>+IF(+G84&lt;100000,+G84,10000)</f>
        <v>0</v>
      </c>
      <c r="I84" s="544"/>
      <c r="J84" s="590"/>
    </row>
    <row r="85" spans="2:12" ht="13.5" thickBot="1" x14ac:dyDescent="0.25">
      <c r="B85" s="953" t="s">
        <v>205</v>
      </c>
      <c r="C85" s="954"/>
      <c r="D85" s="954"/>
      <c r="E85" s="954"/>
      <c r="F85" s="954"/>
      <c r="G85" s="591">
        <f>SUM(G80:G84)</f>
        <v>4600</v>
      </c>
      <c r="H85" s="592">
        <f>SUM(H79:H84)</f>
        <v>154600</v>
      </c>
    </row>
    <row r="86" spans="2:12" ht="13.5" thickBot="1" x14ac:dyDescent="0.25"/>
    <row r="87" spans="2:12" ht="13.5" thickBot="1" x14ac:dyDescent="0.25">
      <c r="B87" s="955" t="s">
        <v>206</v>
      </c>
      <c r="C87" s="956"/>
      <c r="D87" s="956"/>
      <c r="E87" s="956"/>
      <c r="F87" s="957"/>
      <c r="G87" s="958">
        <f>+G66-H85</f>
        <v>1378306</v>
      </c>
      <c r="H87" s="957"/>
      <c r="J87" s="605">
        <f>C39+D39+E39+F39</f>
        <v>1013410</v>
      </c>
      <c r="K87" s="504" t="s">
        <v>235</v>
      </c>
    </row>
    <row r="88" spans="2:12" x14ac:dyDescent="0.2">
      <c r="B88" s="594"/>
      <c r="F88" s="593"/>
      <c r="J88" s="605">
        <f>G39+H39+I39</f>
        <v>215616</v>
      </c>
      <c r="K88" s="504" t="s">
        <v>236</v>
      </c>
    </row>
    <row r="89" spans="2:12" x14ac:dyDescent="0.2">
      <c r="C89" s="959" t="s">
        <v>207</v>
      </c>
      <c r="D89" s="960"/>
      <c r="E89" s="595" t="s">
        <v>208</v>
      </c>
      <c r="F89" s="595" t="s">
        <v>209</v>
      </c>
      <c r="G89" s="595" t="s">
        <v>210</v>
      </c>
      <c r="H89" s="595" t="s">
        <v>211</v>
      </c>
      <c r="J89" s="605">
        <f>J39+K39+L39</f>
        <v>229496</v>
      </c>
      <c r="K89" s="531" t="s">
        <v>237</v>
      </c>
    </row>
    <row r="90" spans="2:12" x14ac:dyDescent="0.2">
      <c r="C90" s="961" t="str">
        <f>IF(I6="M","0          - 250000","0          -  250000")</f>
        <v>0          - 250000</v>
      </c>
      <c r="D90" s="962"/>
      <c r="E90" s="597">
        <v>0</v>
      </c>
      <c r="F90" s="598">
        <f>IF(I6="M",(IF(G87&lt;250000,G87,250000)),(IF(G87&lt;250000,G87,250000)))</f>
        <v>250000</v>
      </c>
      <c r="G90" s="598">
        <f>G87-F90</f>
        <v>1128306</v>
      </c>
      <c r="H90" s="598">
        <f>E90*F90</f>
        <v>0</v>
      </c>
      <c r="J90" s="504">
        <f>M39+N39</f>
        <v>146168</v>
      </c>
      <c r="K90" s="490" t="s">
        <v>238</v>
      </c>
    </row>
    <row r="91" spans="2:12" x14ac:dyDescent="0.2">
      <c r="C91" s="961" t="str">
        <f>IF(I6="M","250001 - 500000","250001-500000")</f>
        <v>250001 - 500000</v>
      </c>
      <c r="D91" s="962"/>
      <c r="E91" s="597">
        <v>0.05</v>
      </c>
      <c r="F91" s="598">
        <f>IF(I6="M",(IF(G90&lt;250000,G90,250000)),(IF(G90&lt;250000,G90,250000)))</f>
        <v>250000</v>
      </c>
      <c r="G91" s="598">
        <f>G90-F91</f>
        <v>878306</v>
      </c>
      <c r="H91" s="600">
        <f>ROUND(E91*F91,0.1)</f>
        <v>12500</v>
      </c>
      <c r="J91" s="601">
        <f>SUM(J87:J90)</f>
        <v>1604690</v>
      </c>
    </row>
    <row r="92" spans="2:12" x14ac:dyDescent="0.2">
      <c r="C92" s="963" t="s">
        <v>212</v>
      </c>
      <c r="D92" s="964"/>
      <c r="E92" s="597">
        <v>0.2</v>
      </c>
      <c r="F92" s="598">
        <f>IF(G91&lt;500000,G91,500000)</f>
        <v>500000</v>
      </c>
      <c r="G92" s="598">
        <f>G91-F92</f>
        <v>378306</v>
      </c>
      <c r="H92" s="600">
        <f>ROUND(E92*F92,0.1)</f>
        <v>100000</v>
      </c>
      <c r="J92" s="504">
        <f>+G87</f>
        <v>1378306</v>
      </c>
    </row>
    <row r="93" spans="2:12" x14ac:dyDescent="0.2">
      <c r="C93" s="961" t="s">
        <v>213</v>
      </c>
      <c r="D93" s="962"/>
      <c r="E93" s="597">
        <v>0.3</v>
      </c>
      <c r="F93" s="598">
        <f>G92</f>
        <v>378306</v>
      </c>
      <c r="G93" s="598">
        <f>G92-F93</f>
        <v>0</v>
      </c>
      <c r="H93" s="600">
        <f>ROUND(E93*F93,0.1)</f>
        <v>113492</v>
      </c>
      <c r="J93" s="504">
        <f>+J92-J91</f>
        <v>-226384</v>
      </c>
    </row>
    <row r="94" spans="2:12" ht="12.75" customHeight="1" thickBot="1" x14ac:dyDescent="0.25">
      <c r="B94" s="602"/>
      <c r="C94" s="603"/>
      <c r="D94" s="531"/>
      <c r="E94" s="531"/>
      <c r="F94" s="531"/>
      <c r="J94" s="504">
        <f>+J93/4</f>
        <v>-56596</v>
      </c>
      <c r="K94" s="623"/>
    </row>
    <row r="95" spans="2:12" ht="13.5" thickBot="1" x14ac:dyDescent="0.25">
      <c r="B95" s="965" t="s">
        <v>239</v>
      </c>
      <c r="C95" s="966"/>
      <c r="D95" s="966"/>
      <c r="E95" s="966"/>
      <c r="F95" s="967"/>
      <c r="G95" s="943">
        <f>H90+H91+H92+H93</f>
        <v>225992</v>
      </c>
      <c r="H95" s="944"/>
    </row>
    <row r="96" spans="2:12" ht="13.5" thickBot="1" x14ac:dyDescent="0.25">
      <c r="B96" s="606" t="s">
        <v>1354</v>
      </c>
      <c r="C96" s="607"/>
      <c r="D96" s="607"/>
      <c r="E96" s="607"/>
      <c r="F96" s="607"/>
      <c r="G96" s="1080">
        <v>118695</v>
      </c>
      <c r="H96" s="1081"/>
      <c r="I96" s="504" t="s">
        <v>1355</v>
      </c>
    </row>
    <row r="97" spans="2:12" ht="13.5" thickBot="1" x14ac:dyDescent="0.25">
      <c r="B97" s="606" t="s">
        <v>215</v>
      </c>
      <c r="C97" s="607"/>
      <c r="D97" s="607"/>
      <c r="E97" s="607"/>
      <c r="F97" s="607"/>
      <c r="G97" s="1082">
        <f>IF((G66&lt;500000),5000,0)</f>
        <v>0</v>
      </c>
      <c r="H97" s="1083">
        <f>IF(H94&lt;200000,0,IF(H94&lt;220000,((H94-200000)*10%),IF(H94&lt;=500000,2000,IF(H94&gt;=500000,0))))</f>
        <v>0</v>
      </c>
      <c r="J97" s="490"/>
      <c r="K97" s="610"/>
      <c r="L97" s="610"/>
    </row>
    <row r="98" spans="2:12" ht="13.5" thickBot="1" x14ac:dyDescent="0.25">
      <c r="B98" s="611" t="s">
        <v>216</v>
      </c>
      <c r="C98" s="612"/>
      <c r="D98" s="612"/>
      <c r="E98" s="612"/>
      <c r="F98" s="612"/>
      <c r="G98" s="943">
        <f>IF((G95-G96-G97)&lt;0,0,(G95-G96-G97))</f>
        <v>107297</v>
      </c>
      <c r="H98" s="944"/>
      <c r="I98" s="527"/>
    </row>
    <row r="99" spans="2:12" ht="13.5" thickBot="1" x14ac:dyDescent="0.25">
      <c r="B99" s="945" t="s">
        <v>217</v>
      </c>
      <c r="C99" s="946"/>
      <c r="D99" s="946"/>
      <c r="E99" s="946"/>
      <c r="F99" s="947"/>
      <c r="G99" s="948">
        <f>ROUND((IF(G98&gt;0,(G98*4%),0)),0)</f>
        <v>4292</v>
      </c>
      <c r="H99" s="949"/>
      <c r="I99" s="527"/>
    </row>
    <row r="100" spans="2:12" ht="13.5" thickBot="1" x14ac:dyDescent="0.25">
      <c r="B100" s="933" t="s">
        <v>218</v>
      </c>
      <c r="C100" s="934"/>
      <c r="D100" s="934"/>
      <c r="E100" s="934"/>
      <c r="F100" s="934"/>
      <c r="G100" s="935">
        <f>G98+G99</f>
        <v>111589</v>
      </c>
      <c r="H100" s="936"/>
      <c r="I100" s="610"/>
    </row>
    <row r="101" spans="2:12" ht="13.5" thickBot="1" x14ac:dyDescent="0.25">
      <c r="B101" s="937" t="s">
        <v>219</v>
      </c>
      <c r="C101" s="938"/>
      <c r="D101" s="938"/>
      <c r="E101" s="938"/>
      <c r="F101" s="938"/>
      <c r="G101" s="939">
        <f>O40</f>
        <v>111597</v>
      </c>
      <c r="H101" s="940"/>
      <c r="I101" s="610"/>
    </row>
    <row r="102" spans="2:12" ht="13.5" thickBot="1" x14ac:dyDescent="0.25">
      <c r="B102" s="937" t="str">
        <f>IF(G102&gt;0,"TAX PAYABLE","TAX REFUND")</f>
        <v>TAX REFUND</v>
      </c>
      <c r="C102" s="938"/>
      <c r="D102" s="938"/>
      <c r="E102" s="938"/>
      <c r="F102" s="938"/>
      <c r="G102" s="939">
        <f>+G100-G101</f>
        <v>-8</v>
      </c>
      <c r="H102" s="940"/>
      <c r="I102" s="527"/>
    </row>
    <row r="103" spans="2:12" x14ac:dyDescent="0.2">
      <c r="C103" s="529"/>
      <c r="D103" s="615"/>
      <c r="E103" s="615"/>
      <c r="F103" s="529"/>
      <c r="G103" s="529"/>
      <c r="H103" s="529"/>
    </row>
    <row r="104" spans="2:12" x14ac:dyDescent="0.2">
      <c r="C104" s="529"/>
      <c r="D104" s="529"/>
      <c r="E104" s="529"/>
      <c r="F104" s="529"/>
      <c r="G104" s="529"/>
      <c r="H104" s="529"/>
    </row>
    <row r="105" spans="2:12" x14ac:dyDescent="0.2">
      <c r="C105" s="529"/>
      <c r="D105" s="529"/>
      <c r="E105" s="529"/>
      <c r="F105" s="529"/>
      <c r="G105" s="529"/>
      <c r="H105" s="529"/>
    </row>
    <row r="106" spans="2:12" x14ac:dyDescent="0.2">
      <c r="C106" s="529"/>
      <c r="D106" s="529"/>
      <c r="E106" s="529"/>
      <c r="F106" s="529"/>
      <c r="G106" s="529"/>
      <c r="H106" s="529"/>
    </row>
  </sheetData>
  <mergeCells count="93">
    <mergeCell ref="B102:F102"/>
    <mergeCell ref="G102:H102"/>
    <mergeCell ref="A1:C1"/>
    <mergeCell ref="D1:F1"/>
    <mergeCell ref="G1:H1"/>
    <mergeCell ref="A3:C3"/>
    <mergeCell ref="D3:F3"/>
    <mergeCell ref="G3:H3"/>
    <mergeCell ref="A40:A50"/>
    <mergeCell ref="A5:C5"/>
    <mergeCell ref="D5:F5"/>
    <mergeCell ref="G5:H5"/>
    <mergeCell ref="A51:B51"/>
    <mergeCell ref="A52:B52"/>
    <mergeCell ref="B55:F55"/>
    <mergeCell ref="G55:H55"/>
    <mergeCell ref="I1:O1"/>
    <mergeCell ref="A2:C2"/>
    <mergeCell ref="D2:F2"/>
    <mergeCell ref="G2:H2"/>
    <mergeCell ref="I2:O2"/>
    <mergeCell ref="I3:O3"/>
    <mergeCell ref="A4:C4"/>
    <mergeCell ref="D4:F4"/>
    <mergeCell ref="G4:H4"/>
    <mergeCell ref="I4:O4"/>
    <mergeCell ref="A8:B8"/>
    <mergeCell ref="A22:A35"/>
    <mergeCell ref="A37:B37"/>
    <mergeCell ref="A38:B38"/>
    <mergeCell ref="I5:O5"/>
    <mergeCell ref="A6:C6"/>
    <mergeCell ref="D6:F6"/>
    <mergeCell ref="G6:H6"/>
    <mergeCell ref="J6:O6"/>
    <mergeCell ref="D57:F57"/>
    <mergeCell ref="G57:H57"/>
    <mergeCell ref="D58:F58"/>
    <mergeCell ref="G58:H58"/>
    <mergeCell ref="L7:O7"/>
    <mergeCell ref="B66:F66"/>
    <mergeCell ref="G66:H66"/>
    <mergeCell ref="J58:L58"/>
    <mergeCell ref="M58:O58"/>
    <mergeCell ref="D59:F59"/>
    <mergeCell ref="G59:H59"/>
    <mergeCell ref="B61:F61"/>
    <mergeCell ref="G61:H61"/>
    <mergeCell ref="J61:O61"/>
    <mergeCell ref="B63:F63"/>
    <mergeCell ref="G63:H63"/>
    <mergeCell ref="C64:F64"/>
    <mergeCell ref="G64:H64"/>
    <mergeCell ref="J64:O64"/>
    <mergeCell ref="B57:B59"/>
    <mergeCell ref="C57:C59"/>
    <mergeCell ref="D82:F82"/>
    <mergeCell ref="J69:K69"/>
    <mergeCell ref="B70:B84"/>
    <mergeCell ref="C70:C76"/>
    <mergeCell ref="D70:F70"/>
    <mergeCell ref="D71:F71"/>
    <mergeCell ref="D72:F72"/>
    <mergeCell ref="D73:F73"/>
    <mergeCell ref="D74:F74"/>
    <mergeCell ref="D75:F75"/>
    <mergeCell ref="D76:F76"/>
    <mergeCell ref="D77:F77"/>
    <mergeCell ref="D78:F78"/>
    <mergeCell ref="E79:F79"/>
    <mergeCell ref="D80:F80"/>
    <mergeCell ref="D81:F81"/>
    <mergeCell ref="G95:H95"/>
    <mergeCell ref="D83:F83"/>
    <mergeCell ref="D84:F84"/>
    <mergeCell ref="B85:F85"/>
    <mergeCell ref="B87:F87"/>
    <mergeCell ref="G87:H87"/>
    <mergeCell ref="C89:D89"/>
    <mergeCell ref="C90:D90"/>
    <mergeCell ref="C91:D91"/>
    <mergeCell ref="C92:D92"/>
    <mergeCell ref="C93:D93"/>
    <mergeCell ref="B95:F95"/>
    <mergeCell ref="B100:F100"/>
    <mergeCell ref="G100:H100"/>
    <mergeCell ref="B101:F101"/>
    <mergeCell ref="G101:H101"/>
    <mergeCell ref="G96:H96"/>
    <mergeCell ref="G97:H97"/>
    <mergeCell ref="G98:H98"/>
    <mergeCell ref="B99:F99"/>
    <mergeCell ref="G99:H99"/>
  </mergeCells>
  <conditionalFormatting sqref="B92:F92 B102:F102 B95:F100">
    <cfRule type="cellIs" dxfId="1865" priority="1" stopIfTrue="1" operator="equal">
      <formula>"TAX PAYABLE"</formula>
    </cfRule>
    <cfRule type="cellIs" dxfId="1864" priority="2" stopIfTrue="1" operator="equal">
      <formula>"TAX REFUND"</formula>
    </cfRule>
  </conditionalFormatting>
  <conditionalFormatting sqref="G92:H92">
    <cfRule type="cellIs" dxfId="1863" priority="3" stopIfTrue="1" operator="lessThan">
      <formula>0</formula>
    </cfRule>
    <cfRule type="cellIs" dxfId="1862" priority="4" stopIfTrue="1" operator="greaterThan">
      <formula>0</formula>
    </cfRule>
  </conditionalFormatting>
  <conditionalFormatting sqref="G102:H102">
    <cfRule type="cellIs" dxfId="1861" priority="5" stopIfTrue="1" operator="greaterThan">
      <formula>0</formula>
    </cfRule>
    <cfRule type="cellIs" dxfId="1860" priority="6"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$Q$8:$Q$9</formula1>
    </dataValidation>
  </dataValidations>
  <pageMargins left="0.7" right="0.7" top="0.75" bottom="0.75" header="0.3" footer="0.3"/>
  <pageSetup paperSize="5" scale="83" orientation="landscape" horizontalDpi="300" verticalDpi="300" r:id="rId1"/>
  <headerFooter alignWithMargins="0"/>
  <rowBreaks count="1" manualBreakCount="1">
    <brk id="55" max="16383" man="1"/>
  </rowBreaks>
  <legacyDrawing r:id="rId2"/>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136"/>
  <sheetViews>
    <sheetView topLeftCell="A59" workbookViewId="0">
      <selection activeCell="P72" sqref="P72"/>
    </sheetView>
  </sheetViews>
  <sheetFormatPr defaultRowHeight="12.75" x14ac:dyDescent="0.2"/>
  <cols>
    <col min="1" max="1" width="5" style="504" customWidth="1"/>
    <col min="2" max="2" width="18.5703125" style="527" customWidth="1"/>
    <col min="3" max="3" width="8.42578125" style="504" customWidth="1"/>
    <col min="4" max="4" width="8.140625" style="504" customWidth="1"/>
    <col min="5" max="5" width="8.5703125" style="504" bestFit="1" customWidth="1"/>
    <col min="6" max="6" width="7.85546875" style="504" customWidth="1"/>
    <col min="7" max="7" width="8.42578125" style="504" customWidth="1"/>
    <col min="8" max="14" width="7.85546875" style="504" customWidth="1"/>
    <col min="15" max="15" width="9.5703125" style="504" customWidth="1"/>
    <col min="16" max="16" width="9.140625" style="504"/>
    <col min="17" max="17" width="10" style="504" bestFit="1" customWidth="1"/>
    <col min="18" max="20" width="9.140625" style="504"/>
    <col min="21" max="21" width="12.42578125" style="504" customWidth="1"/>
    <col min="22" max="22" width="9.140625" style="504"/>
    <col min="23" max="23" width="12" style="504" customWidth="1"/>
    <col min="24" max="256" width="9.140625" style="504"/>
    <col min="257" max="257" width="5" style="504" customWidth="1"/>
    <col min="258" max="258" width="18.5703125" style="504" customWidth="1"/>
    <col min="259" max="259" width="8.42578125" style="504" customWidth="1"/>
    <col min="260" max="260" width="8.140625" style="504" customWidth="1"/>
    <col min="261" max="261" width="8.5703125" style="504" bestFit="1" customWidth="1"/>
    <col min="262" max="262" width="7.85546875" style="504" customWidth="1"/>
    <col min="263" max="263" width="8.42578125" style="504" customWidth="1"/>
    <col min="264" max="270" width="7.85546875" style="504" customWidth="1"/>
    <col min="271" max="271" width="9.5703125" style="504" customWidth="1"/>
    <col min="272" max="272" width="9.140625" style="504"/>
    <col min="273" max="273" width="10" style="504" bestFit="1" customWidth="1"/>
    <col min="274" max="276" width="9.140625" style="504"/>
    <col min="277" max="277" width="12.42578125" style="504" customWidth="1"/>
    <col min="278" max="278" width="9.140625" style="504"/>
    <col min="279" max="279" width="12" style="504" customWidth="1"/>
    <col min="280" max="512" width="9.140625" style="504"/>
    <col min="513" max="513" width="5" style="504" customWidth="1"/>
    <col min="514" max="514" width="18.5703125" style="504" customWidth="1"/>
    <col min="515" max="515" width="8.42578125" style="504" customWidth="1"/>
    <col min="516" max="516" width="8.140625" style="504" customWidth="1"/>
    <col min="517" max="517" width="8.5703125" style="504" bestFit="1" customWidth="1"/>
    <col min="518" max="518" width="7.85546875" style="504" customWidth="1"/>
    <col min="519" max="519" width="8.42578125" style="504" customWidth="1"/>
    <col min="520" max="526" width="7.85546875" style="504" customWidth="1"/>
    <col min="527" max="527" width="9.5703125" style="504" customWidth="1"/>
    <col min="528" max="528" width="9.140625" style="504"/>
    <col min="529" max="529" width="10" style="504" bestFit="1" customWidth="1"/>
    <col min="530" max="532" width="9.140625" style="504"/>
    <col min="533" max="533" width="12.42578125" style="504" customWidth="1"/>
    <col min="534" max="534" width="9.140625" style="504"/>
    <col min="535" max="535" width="12" style="504" customWidth="1"/>
    <col min="536" max="768" width="9.140625" style="504"/>
    <col min="769" max="769" width="5" style="504" customWidth="1"/>
    <col min="770" max="770" width="18.5703125" style="504" customWidth="1"/>
    <col min="771" max="771" width="8.42578125" style="504" customWidth="1"/>
    <col min="772" max="772" width="8.140625" style="504" customWidth="1"/>
    <col min="773" max="773" width="8.5703125" style="504" bestFit="1" customWidth="1"/>
    <col min="774" max="774" width="7.85546875" style="504" customWidth="1"/>
    <col min="775" max="775" width="8.42578125" style="504" customWidth="1"/>
    <col min="776" max="782" width="7.85546875" style="504" customWidth="1"/>
    <col min="783" max="783" width="9.5703125" style="504" customWidth="1"/>
    <col min="784" max="784" width="9.140625" style="504"/>
    <col min="785" max="785" width="10" style="504" bestFit="1" customWidth="1"/>
    <col min="786" max="788" width="9.140625" style="504"/>
    <col min="789" max="789" width="12.42578125" style="504" customWidth="1"/>
    <col min="790" max="790" width="9.140625" style="504"/>
    <col min="791" max="791" width="12" style="504" customWidth="1"/>
    <col min="792" max="1024" width="9.140625" style="504"/>
    <col min="1025" max="1025" width="5" style="504" customWidth="1"/>
    <col min="1026" max="1026" width="18.5703125" style="504" customWidth="1"/>
    <col min="1027" max="1027" width="8.42578125" style="504" customWidth="1"/>
    <col min="1028" max="1028" width="8.140625" style="504" customWidth="1"/>
    <col min="1029" max="1029" width="8.5703125" style="504" bestFit="1" customWidth="1"/>
    <col min="1030" max="1030" width="7.85546875" style="504" customWidth="1"/>
    <col min="1031" max="1031" width="8.42578125" style="504" customWidth="1"/>
    <col min="1032" max="1038" width="7.85546875" style="504" customWidth="1"/>
    <col min="1039" max="1039" width="9.5703125" style="504" customWidth="1"/>
    <col min="1040" max="1040" width="9.140625" style="504"/>
    <col min="1041" max="1041" width="10" style="504" bestFit="1" customWidth="1"/>
    <col min="1042" max="1044" width="9.140625" style="504"/>
    <col min="1045" max="1045" width="12.42578125" style="504" customWidth="1"/>
    <col min="1046" max="1046" width="9.140625" style="504"/>
    <col min="1047" max="1047" width="12" style="504" customWidth="1"/>
    <col min="1048" max="1280" width="9.140625" style="504"/>
    <col min="1281" max="1281" width="5" style="504" customWidth="1"/>
    <col min="1282" max="1282" width="18.5703125" style="504" customWidth="1"/>
    <col min="1283" max="1283" width="8.42578125" style="504" customWidth="1"/>
    <col min="1284" max="1284" width="8.140625" style="504" customWidth="1"/>
    <col min="1285" max="1285" width="8.5703125" style="504" bestFit="1" customWidth="1"/>
    <col min="1286" max="1286" width="7.85546875" style="504" customWidth="1"/>
    <col min="1287" max="1287" width="8.42578125" style="504" customWidth="1"/>
    <col min="1288" max="1294" width="7.85546875" style="504" customWidth="1"/>
    <col min="1295" max="1295" width="9.5703125" style="504" customWidth="1"/>
    <col min="1296" max="1296" width="9.140625" style="504"/>
    <col min="1297" max="1297" width="10" style="504" bestFit="1" customWidth="1"/>
    <col min="1298" max="1300" width="9.140625" style="504"/>
    <col min="1301" max="1301" width="12.42578125" style="504" customWidth="1"/>
    <col min="1302" max="1302" width="9.140625" style="504"/>
    <col min="1303" max="1303" width="12" style="504" customWidth="1"/>
    <col min="1304" max="1536" width="9.140625" style="504"/>
    <col min="1537" max="1537" width="5" style="504" customWidth="1"/>
    <col min="1538" max="1538" width="18.5703125" style="504" customWidth="1"/>
    <col min="1539" max="1539" width="8.42578125" style="504" customWidth="1"/>
    <col min="1540" max="1540" width="8.140625" style="504" customWidth="1"/>
    <col min="1541" max="1541" width="8.5703125" style="504" bestFit="1" customWidth="1"/>
    <col min="1542" max="1542" width="7.85546875" style="504" customWidth="1"/>
    <col min="1543" max="1543" width="8.42578125" style="504" customWidth="1"/>
    <col min="1544" max="1550" width="7.85546875" style="504" customWidth="1"/>
    <col min="1551" max="1551" width="9.5703125" style="504" customWidth="1"/>
    <col min="1552" max="1552" width="9.140625" style="504"/>
    <col min="1553" max="1553" width="10" style="504" bestFit="1" customWidth="1"/>
    <col min="1554" max="1556" width="9.140625" style="504"/>
    <col min="1557" max="1557" width="12.42578125" style="504" customWidth="1"/>
    <col min="1558" max="1558" width="9.140625" style="504"/>
    <col min="1559" max="1559" width="12" style="504" customWidth="1"/>
    <col min="1560" max="1792" width="9.140625" style="504"/>
    <col min="1793" max="1793" width="5" style="504" customWidth="1"/>
    <col min="1794" max="1794" width="18.5703125" style="504" customWidth="1"/>
    <col min="1795" max="1795" width="8.42578125" style="504" customWidth="1"/>
    <col min="1796" max="1796" width="8.140625" style="504" customWidth="1"/>
    <col min="1797" max="1797" width="8.5703125" style="504" bestFit="1" customWidth="1"/>
    <col min="1798" max="1798" width="7.85546875" style="504" customWidth="1"/>
    <col min="1799" max="1799" width="8.42578125" style="504" customWidth="1"/>
    <col min="1800" max="1806" width="7.85546875" style="504" customWidth="1"/>
    <col min="1807" max="1807" width="9.5703125" style="504" customWidth="1"/>
    <col min="1808" max="1808" width="9.140625" style="504"/>
    <col min="1809" max="1809" width="10" style="504" bestFit="1" customWidth="1"/>
    <col min="1810" max="1812" width="9.140625" style="504"/>
    <col min="1813" max="1813" width="12.42578125" style="504" customWidth="1"/>
    <col min="1814" max="1814" width="9.140625" style="504"/>
    <col min="1815" max="1815" width="12" style="504" customWidth="1"/>
    <col min="1816" max="2048" width="9.140625" style="504"/>
    <col min="2049" max="2049" width="5" style="504" customWidth="1"/>
    <col min="2050" max="2050" width="18.5703125" style="504" customWidth="1"/>
    <col min="2051" max="2051" width="8.42578125" style="504" customWidth="1"/>
    <col min="2052" max="2052" width="8.140625" style="504" customWidth="1"/>
    <col min="2053" max="2053" width="8.5703125" style="504" bestFit="1" customWidth="1"/>
    <col min="2054" max="2054" width="7.85546875" style="504" customWidth="1"/>
    <col min="2055" max="2055" width="8.42578125" style="504" customWidth="1"/>
    <col min="2056" max="2062" width="7.85546875" style="504" customWidth="1"/>
    <col min="2063" max="2063" width="9.5703125" style="504" customWidth="1"/>
    <col min="2064" max="2064" width="9.140625" style="504"/>
    <col min="2065" max="2065" width="10" style="504" bestFit="1" customWidth="1"/>
    <col min="2066" max="2068" width="9.140625" style="504"/>
    <col min="2069" max="2069" width="12.42578125" style="504" customWidth="1"/>
    <col min="2070" max="2070" width="9.140625" style="504"/>
    <col min="2071" max="2071" width="12" style="504" customWidth="1"/>
    <col min="2072" max="2304" width="9.140625" style="504"/>
    <col min="2305" max="2305" width="5" style="504" customWidth="1"/>
    <col min="2306" max="2306" width="18.5703125" style="504" customWidth="1"/>
    <col min="2307" max="2307" width="8.42578125" style="504" customWidth="1"/>
    <col min="2308" max="2308" width="8.140625" style="504" customWidth="1"/>
    <col min="2309" max="2309" width="8.5703125" style="504" bestFit="1" customWidth="1"/>
    <col min="2310" max="2310" width="7.85546875" style="504" customWidth="1"/>
    <col min="2311" max="2311" width="8.42578125" style="504" customWidth="1"/>
    <col min="2312" max="2318" width="7.85546875" style="504" customWidth="1"/>
    <col min="2319" max="2319" width="9.5703125" style="504" customWidth="1"/>
    <col min="2320" max="2320" width="9.140625" style="504"/>
    <col min="2321" max="2321" width="10" style="504" bestFit="1" customWidth="1"/>
    <col min="2322" max="2324" width="9.140625" style="504"/>
    <col min="2325" max="2325" width="12.42578125" style="504" customWidth="1"/>
    <col min="2326" max="2326" width="9.140625" style="504"/>
    <col min="2327" max="2327" width="12" style="504" customWidth="1"/>
    <col min="2328" max="2560" width="9.140625" style="504"/>
    <col min="2561" max="2561" width="5" style="504" customWidth="1"/>
    <col min="2562" max="2562" width="18.5703125" style="504" customWidth="1"/>
    <col min="2563" max="2563" width="8.42578125" style="504" customWidth="1"/>
    <col min="2564" max="2564" width="8.140625" style="504" customWidth="1"/>
    <col min="2565" max="2565" width="8.5703125" style="504" bestFit="1" customWidth="1"/>
    <col min="2566" max="2566" width="7.85546875" style="504" customWidth="1"/>
    <col min="2567" max="2567" width="8.42578125" style="504" customWidth="1"/>
    <col min="2568" max="2574" width="7.85546875" style="504" customWidth="1"/>
    <col min="2575" max="2575" width="9.5703125" style="504" customWidth="1"/>
    <col min="2576" max="2576" width="9.140625" style="504"/>
    <col min="2577" max="2577" width="10" style="504" bestFit="1" customWidth="1"/>
    <col min="2578" max="2580" width="9.140625" style="504"/>
    <col min="2581" max="2581" width="12.42578125" style="504" customWidth="1"/>
    <col min="2582" max="2582" width="9.140625" style="504"/>
    <col min="2583" max="2583" width="12" style="504" customWidth="1"/>
    <col min="2584" max="2816" width="9.140625" style="504"/>
    <col min="2817" max="2817" width="5" style="504" customWidth="1"/>
    <col min="2818" max="2818" width="18.5703125" style="504" customWidth="1"/>
    <col min="2819" max="2819" width="8.42578125" style="504" customWidth="1"/>
    <col min="2820" max="2820" width="8.140625" style="504" customWidth="1"/>
    <col min="2821" max="2821" width="8.5703125" style="504" bestFit="1" customWidth="1"/>
    <col min="2822" max="2822" width="7.85546875" style="504" customWidth="1"/>
    <col min="2823" max="2823" width="8.42578125" style="504" customWidth="1"/>
    <col min="2824" max="2830" width="7.85546875" style="504" customWidth="1"/>
    <col min="2831" max="2831" width="9.5703125" style="504" customWidth="1"/>
    <col min="2832" max="2832" width="9.140625" style="504"/>
    <col min="2833" max="2833" width="10" style="504" bestFit="1" customWidth="1"/>
    <col min="2834" max="2836" width="9.140625" style="504"/>
    <col min="2837" max="2837" width="12.42578125" style="504" customWidth="1"/>
    <col min="2838" max="2838" width="9.140625" style="504"/>
    <col min="2839" max="2839" width="12" style="504" customWidth="1"/>
    <col min="2840" max="3072" width="9.140625" style="504"/>
    <col min="3073" max="3073" width="5" style="504" customWidth="1"/>
    <col min="3074" max="3074" width="18.5703125" style="504" customWidth="1"/>
    <col min="3075" max="3075" width="8.42578125" style="504" customWidth="1"/>
    <col min="3076" max="3076" width="8.140625" style="504" customWidth="1"/>
    <col min="3077" max="3077" width="8.5703125" style="504" bestFit="1" customWidth="1"/>
    <col min="3078" max="3078" width="7.85546875" style="504" customWidth="1"/>
    <col min="3079" max="3079" width="8.42578125" style="504" customWidth="1"/>
    <col min="3080" max="3086" width="7.85546875" style="504" customWidth="1"/>
    <col min="3087" max="3087" width="9.5703125" style="504" customWidth="1"/>
    <col min="3088" max="3088" width="9.140625" style="504"/>
    <col min="3089" max="3089" width="10" style="504" bestFit="1" customWidth="1"/>
    <col min="3090" max="3092" width="9.140625" style="504"/>
    <col min="3093" max="3093" width="12.42578125" style="504" customWidth="1"/>
    <col min="3094" max="3094" width="9.140625" style="504"/>
    <col min="3095" max="3095" width="12" style="504" customWidth="1"/>
    <col min="3096" max="3328" width="9.140625" style="504"/>
    <col min="3329" max="3329" width="5" style="504" customWidth="1"/>
    <col min="3330" max="3330" width="18.5703125" style="504" customWidth="1"/>
    <col min="3331" max="3331" width="8.42578125" style="504" customWidth="1"/>
    <col min="3332" max="3332" width="8.140625" style="504" customWidth="1"/>
    <col min="3333" max="3333" width="8.5703125" style="504" bestFit="1" customWidth="1"/>
    <col min="3334" max="3334" width="7.85546875" style="504" customWidth="1"/>
    <col min="3335" max="3335" width="8.42578125" style="504" customWidth="1"/>
    <col min="3336" max="3342" width="7.85546875" style="504" customWidth="1"/>
    <col min="3343" max="3343" width="9.5703125" style="504" customWidth="1"/>
    <col min="3344" max="3344" width="9.140625" style="504"/>
    <col min="3345" max="3345" width="10" style="504" bestFit="1" customWidth="1"/>
    <col min="3346" max="3348" width="9.140625" style="504"/>
    <col min="3349" max="3349" width="12.42578125" style="504" customWidth="1"/>
    <col min="3350" max="3350" width="9.140625" style="504"/>
    <col min="3351" max="3351" width="12" style="504" customWidth="1"/>
    <col min="3352" max="3584" width="9.140625" style="504"/>
    <col min="3585" max="3585" width="5" style="504" customWidth="1"/>
    <col min="3586" max="3586" width="18.5703125" style="504" customWidth="1"/>
    <col min="3587" max="3587" width="8.42578125" style="504" customWidth="1"/>
    <col min="3588" max="3588" width="8.140625" style="504" customWidth="1"/>
    <col min="3589" max="3589" width="8.5703125" style="504" bestFit="1" customWidth="1"/>
    <col min="3590" max="3590" width="7.85546875" style="504" customWidth="1"/>
    <col min="3591" max="3591" width="8.42578125" style="504" customWidth="1"/>
    <col min="3592" max="3598" width="7.85546875" style="504" customWidth="1"/>
    <col min="3599" max="3599" width="9.5703125" style="504" customWidth="1"/>
    <col min="3600" max="3600" width="9.140625" style="504"/>
    <col min="3601" max="3601" width="10" style="504" bestFit="1" customWidth="1"/>
    <col min="3602" max="3604" width="9.140625" style="504"/>
    <col min="3605" max="3605" width="12.42578125" style="504" customWidth="1"/>
    <col min="3606" max="3606" width="9.140625" style="504"/>
    <col min="3607" max="3607" width="12" style="504" customWidth="1"/>
    <col min="3608" max="3840" width="9.140625" style="504"/>
    <col min="3841" max="3841" width="5" style="504" customWidth="1"/>
    <col min="3842" max="3842" width="18.5703125" style="504" customWidth="1"/>
    <col min="3843" max="3843" width="8.42578125" style="504" customWidth="1"/>
    <col min="3844" max="3844" width="8.140625" style="504" customWidth="1"/>
    <col min="3845" max="3845" width="8.5703125" style="504" bestFit="1" customWidth="1"/>
    <col min="3846" max="3846" width="7.85546875" style="504" customWidth="1"/>
    <col min="3847" max="3847" width="8.42578125" style="504" customWidth="1"/>
    <col min="3848" max="3854" width="7.85546875" style="504" customWidth="1"/>
    <col min="3855" max="3855" width="9.5703125" style="504" customWidth="1"/>
    <col min="3856" max="3856" width="9.140625" style="504"/>
    <col min="3857" max="3857" width="10" style="504" bestFit="1" customWidth="1"/>
    <col min="3858" max="3860" width="9.140625" style="504"/>
    <col min="3861" max="3861" width="12.42578125" style="504" customWidth="1"/>
    <col min="3862" max="3862" width="9.140625" style="504"/>
    <col min="3863" max="3863" width="12" style="504" customWidth="1"/>
    <col min="3864" max="4096" width="9.140625" style="504"/>
    <col min="4097" max="4097" width="5" style="504" customWidth="1"/>
    <col min="4098" max="4098" width="18.5703125" style="504" customWidth="1"/>
    <col min="4099" max="4099" width="8.42578125" style="504" customWidth="1"/>
    <col min="4100" max="4100" width="8.140625" style="504" customWidth="1"/>
    <col min="4101" max="4101" width="8.5703125" style="504" bestFit="1" customWidth="1"/>
    <col min="4102" max="4102" width="7.85546875" style="504" customWidth="1"/>
    <col min="4103" max="4103" width="8.42578125" style="504" customWidth="1"/>
    <col min="4104" max="4110" width="7.85546875" style="504" customWidth="1"/>
    <col min="4111" max="4111" width="9.5703125" style="504" customWidth="1"/>
    <col min="4112" max="4112" width="9.140625" style="504"/>
    <col min="4113" max="4113" width="10" style="504" bestFit="1" customWidth="1"/>
    <col min="4114" max="4116" width="9.140625" style="504"/>
    <col min="4117" max="4117" width="12.42578125" style="504" customWidth="1"/>
    <col min="4118" max="4118" width="9.140625" style="504"/>
    <col min="4119" max="4119" width="12" style="504" customWidth="1"/>
    <col min="4120" max="4352" width="9.140625" style="504"/>
    <col min="4353" max="4353" width="5" style="504" customWidth="1"/>
    <col min="4354" max="4354" width="18.5703125" style="504" customWidth="1"/>
    <col min="4355" max="4355" width="8.42578125" style="504" customWidth="1"/>
    <col min="4356" max="4356" width="8.140625" style="504" customWidth="1"/>
    <col min="4357" max="4357" width="8.5703125" style="504" bestFit="1" customWidth="1"/>
    <col min="4358" max="4358" width="7.85546875" style="504" customWidth="1"/>
    <col min="4359" max="4359" width="8.42578125" style="504" customWidth="1"/>
    <col min="4360" max="4366" width="7.85546875" style="504" customWidth="1"/>
    <col min="4367" max="4367" width="9.5703125" style="504" customWidth="1"/>
    <col min="4368" max="4368" width="9.140625" style="504"/>
    <col min="4369" max="4369" width="10" style="504" bestFit="1" customWidth="1"/>
    <col min="4370" max="4372" width="9.140625" style="504"/>
    <col min="4373" max="4373" width="12.42578125" style="504" customWidth="1"/>
    <col min="4374" max="4374" width="9.140625" style="504"/>
    <col min="4375" max="4375" width="12" style="504" customWidth="1"/>
    <col min="4376" max="4608" width="9.140625" style="504"/>
    <col min="4609" max="4609" width="5" style="504" customWidth="1"/>
    <col min="4610" max="4610" width="18.5703125" style="504" customWidth="1"/>
    <col min="4611" max="4611" width="8.42578125" style="504" customWidth="1"/>
    <col min="4612" max="4612" width="8.140625" style="504" customWidth="1"/>
    <col min="4613" max="4613" width="8.5703125" style="504" bestFit="1" customWidth="1"/>
    <col min="4614" max="4614" width="7.85546875" style="504" customWidth="1"/>
    <col min="4615" max="4615" width="8.42578125" style="504" customWidth="1"/>
    <col min="4616" max="4622" width="7.85546875" style="504" customWidth="1"/>
    <col min="4623" max="4623" width="9.5703125" style="504" customWidth="1"/>
    <col min="4624" max="4624" width="9.140625" style="504"/>
    <col min="4625" max="4625" width="10" style="504" bestFit="1" customWidth="1"/>
    <col min="4626" max="4628" width="9.140625" style="504"/>
    <col min="4629" max="4629" width="12.42578125" style="504" customWidth="1"/>
    <col min="4630" max="4630" width="9.140625" style="504"/>
    <col min="4631" max="4631" width="12" style="504" customWidth="1"/>
    <col min="4632" max="4864" width="9.140625" style="504"/>
    <col min="4865" max="4865" width="5" style="504" customWidth="1"/>
    <col min="4866" max="4866" width="18.5703125" style="504" customWidth="1"/>
    <col min="4867" max="4867" width="8.42578125" style="504" customWidth="1"/>
    <col min="4868" max="4868" width="8.140625" style="504" customWidth="1"/>
    <col min="4869" max="4869" width="8.5703125" style="504" bestFit="1" customWidth="1"/>
    <col min="4870" max="4870" width="7.85546875" style="504" customWidth="1"/>
    <col min="4871" max="4871" width="8.42578125" style="504" customWidth="1"/>
    <col min="4872" max="4878" width="7.85546875" style="504" customWidth="1"/>
    <col min="4879" max="4879" width="9.5703125" style="504" customWidth="1"/>
    <col min="4880" max="4880" width="9.140625" style="504"/>
    <col min="4881" max="4881" width="10" style="504" bestFit="1" customWidth="1"/>
    <col min="4882" max="4884" width="9.140625" style="504"/>
    <col min="4885" max="4885" width="12.42578125" style="504" customWidth="1"/>
    <col min="4886" max="4886" width="9.140625" style="504"/>
    <col min="4887" max="4887" width="12" style="504" customWidth="1"/>
    <col min="4888" max="5120" width="9.140625" style="504"/>
    <col min="5121" max="5121" width="5" style="504" customWidth="1"/>
    <col min="5122" max="5122" width="18.5703125" style="504" customWidth="1"/>
    <col min="5123" max="5123" width="8.42578125" style="504" customWidth="1"/>
    <col min="5124" max="5124" width="8.140625" style="504" customWidth="1"/>
    <col min="5125" max="5125" width="8.5703125" style="504" bestFit="1" customWidth="1"/>
    <col min="5126" max="5126" width="7.85546875" style="504" customWidth="1"/>
    <col min="5127" max="5127" width="8.42578125" style="504" customWidth="1"/>
    <col min="5128" max="5134" width="7.85546875" style="504" customWidth="1"/>
    <col min="5135" max="5135" width="9.5703125" style="504" customWidth="1"/>
    <col min="5136" max="5136" width="9.140625" style="504"/>
    <col min="5137" max="5137" width="10" style="504" bestFit="1" customWidth="1"/>
    <col min="5138" max="5140" width="9.140625" style="504"/>
    <col min="5141" max="5141" width="12.42578125" style="504" customWidth="1"/>
    <col min="5142" max="5142" width="9.140625" style="504"/>
    <col min="5143" max="5143" width="12" style="504" customWidth="1"/>
    <col min="5144" max="5376" width="9.140625" style="504"/>
    <col min="5377" max="5377" width="5" style="504" customWidth="1"/>
    <col min="5378" max="5378" width="18.5703125" style="504" customWidth="1"/>
    <col min="5379" max="5379" width="8.42578125" style="504" customWidth="1"/>
    <col min="5380" max="5380" width="8.140625" style="504" customWidth="1"/>
    <col min="5381" max="5381" width="8.5703125" style="504" bestFit="1" customWidth="1"/>
    <col min="5382" max="5382" width="7.85546875" style="504" customWidth="1"/>
    <col min="5383" max="5383" width="8.42578125" style="504" customWidth="1"/>
    <col min="5384" max="5390" width="7.85546875" style="504" customWidth="1"/>
    <col min="5391" max="5391" width="9.5703125" style="504" customWidth="1"/>
    <col min="5392" max="5392" width="9.140625" style="504"/>
    <col min="5393" max="5393" width="10" style="504" bestFit="1" customWidth="1"/>
    <col min="5394" max="5396" width="9.140625" style="504"/>
    <col min="5397" max="5397" width="12.42578125" style="504" customWidth="1"/>
    <col min="5398" max="5398" width="9.140625" style="504"/>
    <col min="5399" max="5399" width="12" style="504" customWidth="1"/>
    <col min="5400" max="5632" width="9.140625" style="504"/>
    <col min="5633" max="5633" width="5" style="504" customWidth="1"/>
    <col min="5634" max="5634" width="18.5703125" style="504" customWidth="1"/>
    <col min="5635" max="5635" width="8.42578125" style="504" customWidth="1"/>
    <col min="5636" max="5636" width="8.140625" style="504" customWidth="1"/>
    <col min="5637" max="5637" width="8.5703125" style="504" bestFit="1" customWidth="1"/>
    <col min="5638" max="5638" width="7.85546875" style="504" customWidth="1"/>
    <col min="5639" max="5639" width="8.42578125" style="504" customWidth="1"/>
    <col min="5640" max="5646" width="7.85546875" style="504" customWidth="1"/>
    <col min="5647" max="5647" width="9.5703125" style="504" customWidth="1"/>
    <col min="5648" max="5648" width="9.140625" style="504"/>
    <col min="5649" max="5649" width="10" style="504" bestFit="1" customWidth="1"/>
    <col min="5650" max="5652" width="9.140625" style="504"/>
    <col min="5653" max="5653" width="12.42578125" style="504" customWidth="1"/>
    <col min="5654" max="5654" width="9.140625" style="504"/>
    <col min="5655" max="5655" width="12" style="504" customWidth="1"/>
    <col min="5656" max="5888" width="9.140625" style="504"/>
    <col min="5889" max="5889" width="5" style="504" customWidth="1"/>
    <col min="5890" max="5890" width="18.5703125" style="504" customWidth="1"/>
    <col min="5891" max="5891" width="8.42578125" style="504" customWidth="1"/>
    <col min="5892" max="5892" width="8.140625" style="504" customWidth="1"/>
    <col min="5893" max="5893" width="8.5703125" style="504" bestFit="1" customWidth="1"/>
    <col min="5894" max="5894" width="7.85546875" style="504" customWidth="1"/>
    <col min="5895" max="5895" width="8.42578125" style="504" customWidth="1"/>
    <col min="5896" max="5902" width="7.85546875" style="504" customWidth="1"/>
    <col min="5903" max="5903" width="9.5703125" style="504" customWidth="1"/>
    <col min="5904" max="5904" width="9.140625" style="504"/>
    <col min="5905" max="5905" width="10" style="504" bestFit="1" customWidth="1"/>
    <col min="5906" max="5908" width="9.140625" style="504"/>
    <col min="5909" max="5909" width="12.42578125" style="504" customWidth="1"/>
    <col min="5910" max="5910" width="9.140625" style="504"/>
    <col min="5911" max="5911" width="12" style="504" customWidth="1"/>
    <col min="5912" max="6144" width="9.140625" style="504"/>
    <col min="6145" max="6145" width="5" style="504" customWidth="1"/>
    <col min="6146" max="6146" width="18.5703125" style="504" customWidth="1"/>
    <col min="6147" max="6147" width="8.42578125" style="504" customWidth="1"/>
    <col min="6148" max="6148" width="8.140625" style="504" customWidth="1"/>
    <col min="6149" max="6149" width="8.5703125" style="504" bestFit="1" customWidth="1"/>
    <col min="6150" max="6150" width="7.85546875" style="504" customWidth="1"/>
    <col min="6151" max="6151" width="8.42578125" style="504" customWidth="1"/>
    <col min="6152" max="6158" width="7.85546875" style="504" customWidth="1"/>
    <col min="6159" max="6159" width="9.5703125" style="504" customWidth="1"/>
    <col min="6160" max="6160" width="9.140625" style="504"/>
    <col min="6161" max="6161" width="10" style="504" bestFit="1" customWidth="1"/>
    <col min="6162" max="6164" width="9.140625" style="504"/>
    <col min="6165" max="6165" width="12.42578125" style="504" customWidth="1"/>
    <col min="6166" max="6166" width="9.140625" style="504"/>
    <col min="6167" max="6167" width="12" style="504" customWidth="1"/>
    <col min="6168" max="6400" width="9.140625" style="504"/>
    <col min="6401" max="6401" width="5" style="504" customWidth="1"/>
    <col min="6402" max="6402" width="18.5703125" style="504" customWidth="1"/>
    <col min="6403" max="6403" width="8.42578125" style="504" customWidth="1"/>
    <col min="6404" max="6404" width="8.140625" style="504" customWidth="1"/>
    <col min="6405" max="6405" width="8.5703125" style="504" bestFit="1" customWidth="1"/>
    <col min="6406" max="6406" width="7.85546875" style="504" customWidth="1"/>
    <col min="6407" max="6407" width="8.42578125" style="504" customWidth="1"/>
    <col min="6408" max="6414" width="7.85546875" style="504" customWidth="1"/>
    <col min="6415" max="6415" width="9.5703125" style="504" customWidth="1"/>
    <col min="6416" max="6416" width="9.140625" style="504"/>
    <col min="6417" max="6417" width="10" style="504" bestFit="1" customWidth="1"/>
    <col min="6418" max="6420" width="9.140625" style="504"/>
    <col min="6421" max="6421" width="12.42578125" style="504" customWidth="1"/>
    <col min="6422" max="6422" width="9.140625" style="504"/>
    <col min="6423" max="6423" width="12" style="504" customWidth="1"/>
    <col min="6424" max="6656" width="9.140625" style="504"/>
    <col min="6657" max="6657" width="5" style="504" customWidth="1"/>
    <col min="6658" max="6658" width="18.5703125" style="504" customWidth="1"/>
    <col min="6659" max="6659" width="8.42578125" style="504" customWidth="1"/>
    <col min="6660" max="6660" width="8.140625" style="504" customWidth="1"/>
    <col min="6661" max="6661" width="8.5703125" style="504" bestFit="1" customWidth="1"/>
    <col min="6662" max="6662" width="7.85546875" style="504" customWidth="1"/>
    <col min="6663" max="6663" width="8.42578125" style="504" customWidth="1"/>
    <col min="6664" max="6670" width="7.85546875" style="504" customWidth="1"/>
    <col min="6671" max="6671" width="9.5703125" style="504" customWidth="1"/>
    <col min="6672" max="6672" width="9.140625" style="504"/>
    <col min="6673" max="6673" width="10" style="504" bestFit="1" customWidth="1"/>
    <col min="6674" max="6676" width="9.140625" style="504"/>
    <col min="6677" max="6677" width="12.42578125" style="504" customWidth="1"/>
    <col min="6678" max="6678" width="9.140625" style="504"/>
    <col min="6679" max="6679" width="12" style="504" customWidth="1"/>
    <col min="6680" max="6912" width="9.140625" style="504"/>
    <col min="6913" max="6913" width="5" style="504" customWidth="1"/>
    <col min="6914" max="6914" width="18.5703125" style="504" customWidth="1"/>
    <col min="6915" max="6915" width="8.42578125" style="504" customWidth="1"/>
    <col min="6916" max="6916" width="8.140625" style="504" customWidth="1"/>
    <col min="6917" max="6917" width="8.5703125" style="504" bestFit="1" customWidth="1"/>
    <col min="6918" max="6918" width="7.85546875" style="504" customWidth="1"/>
    <col min="6919" max="6919" width="8.42578125" style="504" customWidth="1"/>
    <col min="6920" max="6926" width="7.85546875" style="504" customWidth="1"/>
    <col min="6927" max="6927" width="9.5703125" style="504" customWidth="1"/>
    <col min="6928" max="6928" width="9.140625" style="504"/>
    <col min="6929" max="6929" width="10" style="504" bestFit="1" customWidth="1"/>
    <col min="6930" max="6932" width="9.140625" style="504"/>
    <col min="6933" max="6933" width="12.42578125" style="504" customWidth="1"/>
    <col min="6934" max="6934" width="9.140625" style="504"/>
    <col min="6935" max="6935" width="12" style="504" customWidth="1"/>
    <col min="6936" max="7168" width="9.140625" style="504"/>
    <col min="7169" max="7169" width="5" style="504" customWidth="1"/>
    <col min="7170" max="7170" width="18.5703125" style="504" customWidth="1"/>
    <col min="7171" max="7171" width="8.42578125" style="504" customWidth="1"/>
    <col min="7172" max="7172" width="8.140625" style="504" customWidth="1"/>
    <col min="7173" max="7173" width="8.5703125" style="504" bestFit="1" customWidth="1"/>
    <col min="7174" max="7174" width="7.85546875" style="504" customWidth="1"/>
    <col min="7175" max="7175" width="8.42578125" style="504" customWidth="1"/>
    <col min="7176" max="7182" width="7.85546875" style="504" customWidth="1"/>
    <col min="7183" max="7183" width="9.5703125" style="504" customWidth="1"/>
    <col min="7184" max="7184" width="9.140625" style="504"/>
    <col min="7185" max="7185" width="10" style="504" bestFit="1" customWidth="1"/>
    <col min="7186" max="7188" width="9.140625" style="504"/>
    <col min="7189" max="7189" width="12.42578125" style="504" customWidth="1"/>
    <col min="7190" max="7190" width="9.140625" style="504"/>
    <col min="7191" max="7191" width="12" style="504" customWidth="1"/>
    <col min="7192" max="7424" width="9.140625" style="504"/>
    <col min="7425" max="7425" width="5" style="504" customWidth="1"/>
    <col min="7426" max="7426" width="18.5703125" style="504" customWidth="1"/>
    <col min="7427" max="7427" width="8.42578125" style="504" customWidth="1"/>
    <col min="7428" max="7428" width="8.140625" style="504" customWidth="1"/>
    <col min="7429" max="7429" width="8.5703125" style="504" bestFit="1" customWidth="1"/>
    <col min="7430" max="7430" width="7.85546875" style="504" customWidth="1"/>
    <col min="7431" max="7431" width="8.42578125" style="504" customWidth="1"/>
    <col min="7432" max="7438" width="7.85546875" style="504" customWidth="1"/>
    <col min="7439" max="7439" width="9.5703125" style="504" customWidth="1"/>
    <col min="7440" max="7440" width="9.140625" style="504"/>
    <col min="7441" max="7441" width="10" style="504" bestFit="1" customWidth="1"/>
    <col min="7442" max="7444" width="9.140625" style="504"/>
    <col min="7445" max="7445" width="12.42578125" style="504" customWidth="1"/>
    <col min="7446" max="7446" width="9.140625" style="504"/>
    <col min="7447" max="7447" width="12" style="504" customWidth="1"/>
    <col min="7448" max="7680" width="9.140625" style="504"/>
    <col min="7681" max="7681" width="5" style="504" customWidth="1"/>
    <col min="7682" max="7682" width="18.5703125" style="504" customWidth="1"/>
    <col min="7683" max="7683" width="8.42578125" style="504" customWidth="1"/>
    <col min="7684" max="7684" width="8.140625" style="504" customWidth="1"/>
    <col min="7685" max="7685" width="8.5703125" style="504" bestFit="1" customWidth="1"/>
    <col min="7686" max="7686" width="7.85546875" style="504" customWidth="1"/>
    <col min="7687" max="7687" width="8.42578125" style="504" customWidth="1"/>
    <col min="7688" max="7694" width="7.85546875" style="504" customWidth="1"/>
    <col min="7695" max="7695" width="9.5703125" style="504" customWidth="1"/>
    <col min="7696" max="7696" width="9.140625" style="504"/>
    <col min="7697" max="7697" width="10" style="504" bestFit="1" customWidth="1"/>
    <col min="7698" max="7700" width="9.140625" style="504"/>
    <col min="7701" max="7701" width="12.42578125" style="504" customWidth="1"/>
    <col min="7702" max="7702" width="9.140625" style="504"/>
    <col min="7703" max="7703" width="12" style="504" customWidth="1"/>
    <col min="7704" max="7936" width="9.140625" style="504"/>
    <col min="7937" max="7937" width="5" style="504" customWidth="1"/>
    <col min="7938" max="7938" width="18.5703125" style="504" customWidth="1"/>
    <col min="7939" max="7939" width="8.42578125" style="504" customWidth="1"/>
    <col min="7940" max="7940" width="8.140625" style="504" customWidth="1"/>
    <col min="7941" max="7941" width="8.5703125" style="504" bestFit="1" customWidth="1"/>
    <col min="7942" max="7942" width="7.85546875" style="504" customWidth="1"/>
    <col min="7943" max="7943" width="8.42578125" style="504" customWidth="1"/>
    <col min="7944" max="7950" width="7.85546875" style="504" customWidth="1"/>
    <col min="7951" max="7951" width="9.5703125" style="504" customWidth="1"/>
    <col min="7952" max="7952" width="9.140625" style="504"/>
    <col min="7953" max="7953" width="10" style="504" bestFit="1" customWidth="1"/>
    <col min="7954" max="7956" width="9.140625" style="504"/>
    <col min="7957" max="7957" width="12.42578125" style="504" customWidth="1"/>
    <col min="7958" max="7958" width="9.140625" style="504"/>
    <col min="7959" max="7959" width="12" style="504" customWidth="1"/>
    <col min="7960" max="8192" width="9.140625" style="504"/>
    <col min="8193" max="8193" width="5" style="504" customWidth="1"/>
    <col min="8194" max="8194" width="18.5703125" style="504" customWidth="1"/>
    <col min="8195" max="8195" width="8.42578125" style="504" customWidth="1"/>
    <col min="8196" max="8196" width="8.140625" style="504" customWidth="1"/>
    <col min="8197" max="8197" width="8.5703125" style="504" bestFit="1" customWidth="1"/>
    <col min="8198" max="8198" width="7.85546875" style="504" customWidth="1"/>
    <col min="8199" max="8199" width="8.42578125" style="504" customWidth="1"/>
    <col min="8200" max="8206" width="7.85546875" style="504" customWidth="1"/>
    <col min="8207" max="8207" width="9.5703125" style="504" customWidth="1"/>
    <col min="8208" max="8208" width="9.140625" style="504"/>
    <col min="8209" max="8209" width="10" style="504" bestFit="1" customWidth="1"/>
    <col min="8210" max="8212" width="9.140625" style="504"/>
    <col min="8213" max="8213" width="12.42578125" style="504" customWidth="1"/>
    <col min="8214" max="8214" width="9.140625" style="504"/>
    <col min="8215" max="8215" width="12" style="504" customWidth="1"/>
    <col min="8216" max="8448" width="9.140625" style="504"/>
    <col min="8449" max="8449" width="5" style="504" customWidth="1"/>
    <col min="8450" max="8450" width="18.5703125" style="504" customWidth="1"/>
    <col min="8451" max="8451" width="8.42578125" style="504" customWidth="1"/>
    <col min="8452" max="8452" width="8.140625" style="504" customWidth="1"/>
    <col min="8453" max="8453" width="8.5703125" style="504" bestFit="1" customWidth="1"/>
    <col min="8454" max="8454" width="7.85546875" style="504" customWidth="1"/>
    <col min="8455" max="8455" width="8.42578125" style="504" customWidth="1"/>
    <col min="8456" max="8462" width="7.85546875" style="504" customWidth="1"/>
    <col min="8463" max="8463" width="9.5703125" style="504" customWidth="1"/>
    <col min="8464" max="8464" width="9.140625" style="504"/>
    <col min="8465" max="8465" width="10" style="504" bestFit="1" customWidth="1"/>
    <col min="8466" max="8468" width="9.140625" style="504"/>
    <col min="8469" max="8469" width="12.42578125" style="504" customWidth="1"/>
    <col min="8470" max="8470" width="9.140625" style="504"/>
    <col min="8471" max="8471" width="12" style="504" customWidth="1"/>
    <col min="8472" max="8704" width="9.140625" style="504"/>
    <col min="8705" max="8705" width="5" style="504" customWidth="1"/>
    <col min="8706" max="8706" width="18.5703125" style="504" customWidth="1"/>
    <col min="8707" max="8707" width="8.42578125" style="504" customWidth="1"/>
    <col min="8708" max="8708" width="8.140625" style="504" customWidth="1"/>
    <col min="8709" max="8709" width="8.5703125" style="504" bestFit="1" customWidth="1"/>
    <col min="8710" max="8710" width="7.85546875" style="504" customWidth="1"/>
    <col min="8711" max="8711" width="8.42578125" style="504" customWidth="1"/>
    <col min="8712" max="8718" width="7.85546875" style="504" customWidth="1"/>
    <col min="8719" max="8719" width="9.5703125" style="504" customWidth="1"/>
    <col min="8720" max="8720" width="9.140625" style="504"/>
    <col min="8721" max="8721" width="10" style="504" bestFit="1" customWidth="1"/>
    <col min="8722" max="8724" width="9.140625" style="504"/>
    <col min="8725" max="8725" width="12.42578125" style="504" customWidth="1"/>
    <col min="8726" max="8726" width="9.140625" style="504"/>
    <col min="8727" max="8727" width="12" style="504" customWidth="1"/>
    <col min="8728" max="8960" width="9.140625" style="504"/>
    <col min="8961" max="8961" width="5" style="504" customWidth="1"/>
    <col min="8962" max="8962" width="18.5703125" style="504" customWidth="1"/>
    <col min="8963" max="8963" width="8.42578125" style="504" customWidth="1"/>
    <col min="8964" max="8964" width="8.140625" style="504" customWidth="1"/>
    <col min="8965" max="8965" width="8.5703125" style="504" bestFit="1" customWidth="1"/>
    <col min="8966" max="8966" width="7.85546875" style="504" customWidth="1"/>
    <col min="8967" max="8967" width="8.42578125" style="504" customWidth="1"/>
    <col min="8968" max="8974" width="7.85546875" style="504" customWidth="1"/>
    <col min="8975" max="8975" width="9.5703125" style="504" customWidth="1"/>
    <col min="8976" max="8976" width="9.140625" style="504"/>
    <col min="8977" max="8977" width="10" style="504" bestFit="1" customWidth="1"/>
    <col min="8978" max="8980" width="9.140625" style="504"/>
    <col min="8981" max="8981" width="12.42578125" style="504" customWidth="1"/>
    <col min="8982" max="8982" width="9.140625" style="504"/>
    <col min="8983" max="8983" width="12" style="504" customWidth="1"/>
    <col min="8984" max="9216" width="9.140625" style="504"/>
    <col min="9217" max="9217" width="5" style="504" customWidth="1"/>
    <col min="9218" max="9218" width="18.5703125" style="504" customWidth="1"/>
    <col min="9219" max="9219" width="8.42578125" style="504" customWidth="1"/>
    <col min="9220" max="9220" width="8.140625" style="504" customWidth="1"/>
    <col min="9221" max="9221" width="8.5703125" style="504" bestFit="1" customWidth="1"/>
    <col min="9222" max="9222" width="7.85546875" style="504" customWidth="1"/>
    <col min="9223" max="9223" width="8.42578125" style="504" customWidth="1"/>
    <col min="9224" max="9230" width="7.85546875" style="504" customWidth="1"/>
    <col min="9231" max="9231" width="9.5703125" style="504" customWidth="1"/>
    <col min="9232" max="9232" width="9.140625" style="504"/>
    <col min="9233" max="9233" width="10" style="504" bestFit="1" customWidth="1"/>
    <col min="9234" max="9236" width="9.140625" style="504"/>
    <col min="9237" max="9237" width="12.42578125" style="504" customWidth="1"/>
    <col min="9238" max="9238" width="9.140625" style="504"/>
    <col min="9239" max="9239" width="12" style="504" customWidth="1"/>
    <col min="9240" max="9472" width="9.140625" style="504"/>
    <col min="9473" max="9473" width="5" style="504" customWidth="1"/>
    <col min="9474" max="9474" width="18.5703125" style="504" customWidth="1"/>
    <col min="9475" max="9475" width="8.42578125" style="504" customWidth="1"/>
    <col min="9476" max="9476" width="8.140625" style="504" customWidth="1"/>
    <col min="9477" max="9477" width="8.5703125" style="504" bestFit="1" customWidth="1"/>
    <col min="9478" max="9478" width="7.85546875" style="504" customWidth="1"/>
    <col min="9479" max="9479" width="8.42578125" style="504" customWidth="1"/>
    <col min="9480" max="9486" width="7.85546875" style="504" customWidth="1"/>
    <col min="9487" max="9487" width="9.5703125" style="504" customWidth="1"/>
    <col min="9488" max="9488" width="9.140625" style="504"/>
    <col min="9489" max="9489" width="10" style="504" bestFit="1" customWidth="1"/>
    <col min="9490" max="9492" width="9.140625" style="504"/>
    <col min="9493" max="9493" width="12.42578125" style="504" customWidth="1"/>
    <col min="9494" max="9494" width="9.140625" style="504"/>
    <col min="9495" max="9495" width="12" style="504" customWidth="1"/>
    <col min="9496" max="9728" width="9.140625" style="504"/>
    <col min="9729" max="9729" width="5" style="504" customWidth="1"/>
    <col min="9730" max="9730" width="18.5703125" style="504" customWidth="1"/>
    <col min="9731" max="9731" width="8.42578125" style="504" customWidth="1"/>
    <col min="9732" max="9732" width="8.140625" style="504" customWidth="1"/>
    <col min="9733" max="9733" width="8.5703125" style="504" bestFit="1" customWidth="1"/>
    <col min="9734" max="9734" width="7.85546875" style="504" customWidth="1"/>
    <col min="9735" max="9735" width="8.42578125" style="504" customWidth="1"/>
    <col min="9736" max="9742" width="7.85546875" style="504" customWidth="1"/>
    <col min="9743" max="9743" width="9.5703125" style="504" customWidth="1"/>
    <col min="9744" max="9744" width="9.140625" style="504"/>
    <col min="9745" max="9745" width="10" style="504" bestFit="1" customWidth="1"/>
    <col min="9746" max="9748" width="9.140625" style="504"/>
    <col min="9749" max="9749" width="12.42578125" style="504" customWidth="1"/>
    <col min="9750" max="9750" width="9.140625" style="504"/>
    <col min="9751" max="9751" width="12" style="504" customWidth="1"/>
    <col min="9752" max="9984" width="9.140625" style="504"/>
    <col min="9985" max="9985" width="5" style="504" customWidth="1"/>
    <col min="9986" max="9986" width="18.5703125" style="504" customWidth="1"/>
    <col min="9987" max="9987" width="8.42578125" style="504" customWidth="1"/>
    <col min="9988" max="9988" width="8.140625" style="504" customWidth="1"/>
    <col min="9989" max="9989" width="8.5703125" style="504" bestFit="1" customWidth="1"/>
    <col min="9990" max="9990" width="7.85546875" style="504" customWidth="1"/>
    <col min="9991" max="9991" width="8.42578125" style="504" customWidth="1"/>
    <col min="9992" max="9998" width="7.85546875" style="504" customWidth="1"/>
    <col min="9999" max="9999" width="9.5703125" style="504" customWidth="1"/>
    <col min="10000" max="10000" width="9.140625" style="504"/>
    <col min="10001" max="10001" width="10" style="504" bestFit="1" customWidth="1"/>
    <col min="10002" max="10004" width="9.140625" style="504"/>
    <col min="10005" max="10005" width="12.42578125" style="504" customWidth="1"/>
    <col min="10006" max="10006" width="9.140625" style="504"/>
    <col min="10007" max="10007" width="12" style="504" customWidth="1"/>
    <col min="10008" max="10240" width="9.140625" style="504"/>
    <col min="10241" max="10241" width="5" style="504" customWidth="1"/>
    <col min="10242" max="10242" width="18.5703125" style="504" customWidth="1"/>
    <col min="10243" max="10243" width="8.42578125" style="504" customWidth="1"/>
    <col min="10244" max="10244" width="8.140625" style="504" customWidth="1"/>
    <col min="10245" max="10245" width="8.5703125" style="504" bestFit="1" customWidth="1"/>
    <col min="10246" max="10246" width="7.85546875" style="504" customWidth="1"/>
    <col min="10247" max="10247" width="8.42578125" style="504" customWidth="1"/>
    <col min="10248" max="10254" width="7.85546875" style="504" customWidth="1"/>
    <col min="10255" max="10255" width="9.5703125" style="504" customWidth="1"/>
    <col min="10256" max="10256" width="9.140625" style="504"/>
    <col min="10257" max="10257" width="10" style="504" bestFit="1" customWidth="1"/>
    <col min="10258" max="10260" width="9.140625" style="504"/>
    <col min="10261" max="10261" width="12.42578125" style="504" customWidth="1"/>
    <col min="10262" max="10262" width="9.140625" style="504"/>
    <col min="10263" max="10263" width="12" style="504" customWidth="1"/>
    <col min="10264" max="10496" width="9.140625" style="504"/>
    <col min="10497" max="10497" width="5" style="504" customWidth="1"/>
    <col min="10498" max="10498" width="18.5703125" style="504" customWidth="1"/>
    <col min="10499" max="10499" width="8.42578125" style="504" customWidth="1"/>
    <col min="10500" max="10500" width="8.140625" style="504" customWidth="1"/>
    <col min="10501" max="10501" width="8.5703125" style="504" bestFit="1" customWidth="1"/>
    <col min="10502" max="10502" width="7.85546875" style="504" customWidth="1"/>
    <col min="10503" max="10503" width="8.42578125" style="504" customWidth="1"/>
    <col min="10504" max="10510" width="7.85546875" style="504" customWidth="1"/>
    <col min="10511" max="10511" width="9.5703125" style="504" customWidth="1"/>
    <col min="10512" max="10512" width="9.140625" style="504"/>
    <col min="10513" max="10513" width="10" style="504" bestFit="1" customWidth="1"/>
    <col min="10514" max="10516" width="9.140625" style="504"/>
    <col min="10517" max="10517" width="12.42578125" style="504" customWidth="1"/>
    <col min="10518" max="10518" width="9.140625" style="504"/>
    <col min="10519" max="10519" width="12" style="504" customWidth="1"/>
    <col min="10520" max="10752" width="9.140625" style="504"/>
    <col min="10753" max="10753" width="5" style="504" customWidth="1"/>
    <col min="10754" max="10754" width="18.5703125" style="504" customWidth="1"/>
    <col min="10755" max="10755" width="8.42578125" style="504" customWidth="1"/>
    <col min="10756" max="10756" width="8.140625" style="504" customWidth="1"/>
    <col min="10757" max="10757" width="8.5703125" style="504" bestFit="1" customWidth="1"/>
    <col min="10758" max="10758" width="7.85546875" style="504" customWidth="1"/>
    <col min="10759" max="10759" width="8.42578125" style="504" customWidth="1"/>
    <col min="10760" max="10766" width="7.85546875" style="504" customWidth="1"/>
    <col min="10767" max="10767" width="9.5703125" style="504" customWidth="1"/>
    <col min="10768" max="10768" width="9.140625" style="504"/>
    <col min="10769" max="10769" width="10" style="504" bestFit="1" customWidth="1"/>
    <col min="10770" max="10772" width="9.140625" style="504"/>
    <col min="10773" max="10773" width="12.42578125" style="504" customWidth="1"/>
    <col min="10774" max="10774" width="9.140625" style="504"/>
    <col min="10775" max="10775" width="12" style="504" customWidth="1"/>
    <col min="10776" max="11008" width="9.140625" style="504"/>
    <col min="11009" max="11009" width="5" style="504" customWidth="1"/>
    <col min="11010" max="11010" width="18.5703125" style="504" customWidth="1"/>
    <col min="11011" max="11011" width="8.42578125" style="504" customWidth="1"/>
    <col min="11012" max="11012" width="8.140625" style="504" customWidth="1"/>
    <col min="11013" max="11013" width="8.5703125" style="504" bestFit="1" customWidth="1"/>
    <col min="11014" max="11014" width="7.85546875" style="504" customWidth="1"/>
    <col min="11015" max="11015" width="8.42578125" style="504" customWidth="1"/>
    <col min="11016" max="11022" width="7.85546875" style="504" customWidth="1"/>
    <col min="11023" max="11023" width="9.5703125" style="504" customWidth="1"/>
    <col min="11024" max="11024" width="9.140625" style="504"/>
    <col min="11025" max="11025" width="10" style="504" bestFit="1" customWidth="1"/>
    <col min="11026" max="11028" width="9.140625" style="504"/>
    <col min="11029" max="11029" width="12.42578125" style="504" customWidth="1"/>
    <col min="11030" max="11030" width="9.140625" style="504"/>
    <col min="11031" max="11031" width="12" style="504" customWidth="1"/>
    <col min="11032" max="11264" width="9.140625" style="504"/>
    <col min="11265" max="11265" width="5" style="504" customWidth="1"/>
    <col min="11266" max="11266" width="18.5703125" style="504" customWidth="1"/>
    <col min="11267" max="11267" width="8.42578125" style="504" customWidth="1"/>
    <col min="11268" max="11268" width="8.140625" style="504" customWidth="1"/>
    <col min="11269" max="11269" width="8.5703125" style="504" bestFit="1" customWidth="1"/>
    <col min="11270" max="11270" width="7.85546875" style="504" customWidth="1"/>
    <col min="11271" max="11271" width="8.42578125" style="504" customWidth="1"/>
    <col min="11272" max="11278" width="7.85546875" style="504" customWidth="1"/>
    <col min="11279" max="11279" width="9.5703125" style="504" customWidth="1"/>
    <col min="11280" max="11280" width="9.140625" style="504"/>
    <col min="11281" max="11281" width="10" style="504" bestFit="1" customWidth="1"/>
    <col min="11282" max="11284" width="9.140625" style="504"/>
    <col min="11285" max="11285" width="12.42578125" style="504" customWidth="1"/>
    <col min="11286" max="11286" width="9.140625" style="504"/>
    <col min="11287" max="11287" width="12" style="504" customWidth="1"/>
    <col min="11288" max="11520" width="9.140625" style="504"/>
    <col min="11521" max="11521" width="5" style="504" customWidth="1"/>
    <col min="11522" max="11522" width="18.5703125" style="504" customWidth="1"/>
    <col min="11523" max="11523" width="8.42578125" style="504" customWidth="1"/>
    <col min="11524" max="11524" width="8.140625" style="504" customWidth="1"/>
    <col min="11525" max="11525" width="8.5703125" style="504" bestFit="1" customWidth="1"/>
    <col min="11526" max="11526" width="7.85546875" style="504" customWidth="1"/>
    <col min="11527" max="11527" width="8.42578125" style="504" customWidth="1"/>
    <col min="11528" max="11534" width="7.85546875" style="504" customWidth="1"/>
    <col min="11535" max="11535" width="9.5703125" style="504" customWidth="1"/>
    <col min="11536" max="11536" width="9.140625" style="504"/>
    <col min="11537" max="11537" width="10" style="504" bestFit="1" customWidth="1"/>
    <col min="11538" max="11540" width="9.140625" style="504"/>
    <col min="11541" max="11541" width="12.42578125" style="504" customWidth="1"/>
    <col min="11542" max="11542" width="9.140625" style="504"/>
    <col min="11543" max="11543" width="12" style="504" customWidth="1"/>
    <col min="11544" max="11776" width="9.140625" style="504"/>
    <col min="11777" max="11777" width="5" style="504" customWidth="1"/>
    <col min="11778" max="11778" width="18.5703125" style="504" customWidth="1"/>
    <col min="11779" max="11779" width="8.42578125" style="504" customWidth="1"/>
    <col min="11780" max="11780" width="8.140625" style="504" customWidth="1"/>
    <col min="11781" max="11781" width="8.5703125" style="504" bestFit="1" customWidth="1"/>
    <col min="11782" max="11782" width="7.85546875" style="504" customWidth="1"/>
    <col min="11783" max="11783" width="8.42578125" style="504" customWidth="1"/>
    <col min="11784" max="11790" width="7.85546875" style="504" customWidth="1"/>
    <col min="11791" max="11791" width="9.5703125" style="504" customWidth="1"/>
    <col min="11792" max="11792" width="9.140625" style="504"/>
    <col min="11793" max="11793" width="10" style="504" bestFit="1" customWidth="1"/>
    <col min="11794" max="11796" width="9.140625" style="504"/>
    <col min="11797" max="11797" width="12.42578125" style="504" customWidth="1"/>
    <col min="11798" max="11798" width="9.140625" style="504"/>
    <col min="11799" max="11799" width="12" style="504" customWidth="1"/>
    <col min="11800" max="12032" width="9.140625" style="504"/>
    <col min="12033" max="12033" width="5" style="504" customWidth="1"/>
    <col min="12034" max="12034" width="18.5703125" style="504" customWidth="1"/>
    <col min="12035" max="12035" width="8.42578125" style="504" customWidth="1"/>
    <col min="12036" max="12036" width="8.140625" style="504" customWidth="1"/>
    <col min="12037" max="12037" width="8.5703125" style="504" bestFit="1" customWidth="1"/>
    <col min="12038" max="12038" width="7.85546875" style="504" customWidth="1"/>
    <col min="12039" max="12039" width="8.42578125" style="504" customWidth="1"/>
    <col min="12040" max="12046" width="7.85546875" style="504" customWidth="1"/>
    <col min="12047" max="12047" width="9.5703125" style="504" customWidth="1"/>
    <col min="12048" max="12048" width="9.140625" style="504"/>
    <col min="12049" max="12049" width="10" style="504" bestFit="1" customWidth="1"/>
    <col min="12050" max="12052" width="9.140625" style="504"/>
    <col min="12053" max="12053" width="12.42578125" style="504" customWidth="1"/>
    <col min="12054" max="12054" width="9.140625" style="504"/>
    <col min="12055" max="12055" width="12" style="504" customWidth="1"/>
    <col min="12056" max="12288" width="9.140625" style="504"/>
    <col min="12289" max="12289" width="5" style="504" customWidth="1"/>
    <col min="12290" max="12290" width="18.5703125" style="504" customWidth="1"/>
    <col min="12291" max="12291" width="8.42578125" style="504" customWidth="1"/>
    <col min="12292" max="12292" width="8.140625" style="504" customWidth="1"/>
    <col min="12293" max="12293" width="8.5703125" style="504" bestFit="1" customWidth="1"/>
    <col min="12294" max="12294" width="7.85546875" style="504" customWidth="1"/>
    <col min="12295" max="12295" width="8.42578125" style="504" customWidth="1"/>
    <col min="12296" max="12302" width="7.85546875" style="504" customWidth="1"/>
    <col min="12303" max="12303" width="9.5703125" style="504" customWidth="1"/>
    <col min="12304" max="12304" width="9.140625" style="504"/>
    <col min="12305" max="12305" width="10" style="504" bestFit="1" customWidth="1"/>
    <col min="12306" max="12308" width="9.140625" style="504"/>
    <col min="12309" max="12309" width="12.42578125" style="504" customWidth="1"/>
    <col min="12310" max="12310" width="9.140625" style="504"/>
    <col min="12311" max="12311" width="12" style="504" customWidth="1"/>
    <col min="12312" max="12544" width="9.140625" style="504"/>
    <col min="12545" max="12545" width="5" style="504" customWidth="1"/>
    <col min="12546" max="12546" width="18.5703125" style="504" customWidth="1"/>
    <col min="12547" max="12547" width="8.42578125" style="504" customWidth="1"/>
    <col min="12548" max="12548" width="8.140625" style="504" customWidth="1"/>
    <col min="12549" max="12549" width="8.5703125" style="504" bestFit="1" customWidth="1"/>
    <col min="12550" max="12550" width="7.85546875" style="504" customWidth="1"/>
    <col min="12551" max="12551" width="8.42578125" style="504" customWidth="1"/>
    <col min="12552" max="12558" width="7.85546875" style="504" customWidth="1"/>
    <col min="12559" max="12559" width="9.5703125" style="504" customWidth="1"/>
    <col min="12560" max="12560" width="9.140625" style="504"/>
    <col min="12561" max="12561" width="10" style="504" bestFit="1" customWidth="1"/>
    <col min="12562" max="12564" width="9.140625" style="504"/>
    <col min="12565" max="12565" width="12.42578125" style="504" customWidth="1"/>
    <col min="12566" max="12566" width="9.140625" style="504"/>
    <col min="12567" max="12567" width="12" style="504" customWidth="1"/>
    <col min="12568" max="12800" width="9.140625" style="504"/>
    <col min="12801" max="12801" width="5" style="504" customWidth="1"/>
    <col min="12802" max="12802" width="18.5703125" style="504" customWidth="1"/>
    <col min="12803" max="12803" width="8.42578125" style="504" customWidth="1"/>
    <col min="12804" max="12804" width="8.140625" style="504" customWidth="1"/>
    <col min="12805" max="12805" width="8.5703125" style="504" bestFit="1" customWidth="1"/>
    <col min="12806" max="12806" width="7.85546875" style="504" customWidth="1"/>
    <col min="12807" max="12807" width="8.42578125" style="504" customWidth="1"/>
    <col min="12808" max="12814" width="7.85546875" style="504" customWidth="1"/>
    <col min="12815" max="12815" width="9.5703125" style="504" customWidth="1"/>
    <col min="12816" max="12816" width="9.140625" style="504"/>
    <col min="12817" max="12817" width="10" style="504" bestFit="1" customWidth="1"/>
    <col min="12818" max="12820" width="9.140625" style="504"/>
    <col min="12821" max="12821" width="12.42578125" style="504" customWidth="1"/>
    <col min="12822" max="12822" width="9.140625" style="504"/>
    <col min="12823" max="12823" width="12" style="504" customWidth="1"/>
    <col min="12824" max="13056" width="9.140625" style="504"/>
    <col min="13057" max="13057" width="5" style="504" customWidth="1"/>
    <col min="13058" max="13058" width="18.5703125" style="504" customWidth="1"/>
    <col min="13059" max="13059" width="8.42578125" style="504" customWidth="1"/>
    <col min="13060" max="13060" width="8.140625" style="504" customWidth="1"/>
    <col min="13061" max="13061" width="8.5703125" style="504" bestFit="1" customWidth="1"/>
    <col min="13062" max="13062" width="7.85546875" style="504" customWidth="1"/>
    <col min="13063" max="13063" width="8.42578125" style="504" customWidth="1"/>
    <col min="13064" max="13070" width="7.85546875" style="504" customWidth="1"/>
    <col min="13071" max="13071" width="9.5703125" style="504" customWidth="1"/>
    <col min="13072" max="13072" width="9.140625" style="504"/>
    <col min="13073" max="13073" width="10" style="504" bestFit="1" customWidth="1"/>
    <col min="13074" max="13076" width="9.140625" style="504"/>
    <col min="13077" max="13077" width="12.42578125" style="504" customWidth="1"/>
    <col min="13078" max="13078" width="9.140625" style="504"/>
    <col min="13079" max="13079" width="12" style="504" customWidth="1"/>
    <col min="13080" max="13312" width="9.140625" style="504"/>
    <col min="13313" max="13313" width="5" style="504" customWidth="1"/>
    <col min="13314" max="13314" width="18.5703125" style="504" customWidth="1"/>
    <col min="13315" max="13315" width="8.42578125" style="504" customWidth="1"/>
    <col min="13316" max="13316" width="8.140625" style="504" customWidth="1"/>
    <col min="13317" max="13317" width="8.5703125" style="504" bestFit="1" customWidth="1"/>
    <col min="13318" max="13318" width="7.85546875" style="504" customWidth="1"/>
    <col min="13319" max="13319" width="8.42578125" style="504" customWidth="1"/>
    <col min="13320" max="13326" width="7.85546875" style="504" customWidth="1"/>
    <col min="13327" max="13327" width="9.5703125" style="504" customWidth="1"/>
    <col min="13328" max="13328" width="9.140625" style="504"/>
    <col min="13329" max="13329" width="10" style="504" bestFit="1" customWidth="1"/>
    <col min="13330" max="13332" width="9.140625" style="504"/>
    <col min="13333" max="13333" width="12.42578125" style="504" customWidth="1"/>
    <col min="13334" max="13334" width="9.140625" style="504"/>
    <col min="13335" max="13335" width="12" style="504" customWidth="1"/>
    <col min="13336" max="13568" width="9.140625" style="504"/>
    <col min="13569" max="13569" width="5" style="504" customWidth="1"/>
    <col min="13570" max="13570" width="18.5703125" style="504" customWidth="1"/>
    <col min="13571" max="13571" width="8.42578125" style="504" customWidth="1"/>
    <col min="13572" max="13572" width="8.140625" style="504" customWidth="1"/>
    <col min="13573" max="13573" width="8.5703125" style="504" bestFit="1" customWidth="1"/>
    <col min="13574" max="13574" width="7.85546875" style="504" customWidth="1"/>
    <col min="13575" max="13575" width="8.42578125" style="504" customWidth="1"/>
    <col min="13576" max="13582" width="7.85546875" style="504" customWidth="1"/>
    <col min="13583" max="13583" width="9.5703125" style="504" customWidth="1"/>
    <col min="13584" max="13584" width="9.140625" style="504"/>
    <col min="13585" max="13585" width="10" style="504" bestFit="1" customWidth="1"/>
    <col min="13586" max="13588" width="9.140625" style="504"/>
    <col min="13589" max="13589" width="12.42578125" style="504" customWidth="1"/>
    <col min="13590" max="13590" width="9.140625" style="504"/>
    <col min="13591" max="13591" width="12" style="504" customWidth="1"/>
    <col min="13592" max="13824" width="9.140625" style="504"/>
    <col min="13825" max="13825" width="5" style="504" customWidth="1"/>
    <col min="13826" max="13826" width="18.5703125" style="504" customWidth="1"/>
    <col min="13827" max="13827" width="8.42578125" style="504" customWidth="1"/>
    <col min="13828" max="13828" width="8.140625" style="504" customWidth="1"/>
    <col min="13829" max="13829" width="8.5703125" style="504" bestFit="1" customWidth="1"/>
    <col min="13830" max="13830" width="7.85546875" style="504" customWidth="1"/>
    <col min="13831" max="13831" width="8.42578125" style="504" customWidth="1"/>
    <col min="13832" max="13838" width="7.85546875" style="504" customWidth="1"/>
    <col min="13839" max="13839" width="9.5703125" style="504" customWidth="1"/>
    <col min="13840" max="13840" width="9.140625" style="504"/>
    <col min="13841" max="13841" width="10" style="504" bestFit="1" customWidth="1"/>
    <col min="13842" max="13844" width="9.140625" style="504"/>
    <col min="13845" max="13845" width="12.42578125" style="504" customWidth="1"/>
    <col min="13846" max="13846" width="9.140625" style="504"/>
    <col min="13847" max="13847" width="12" style="504" customWidth="1"/>
    <col min="13848" max="14080" width="9.140625" style="504"/>
    <col min="14081" max="14081" width="5" style="504" customWidth="1"/>
    <col min="14082" max="14082" width="18.5703125" style="504" customWidth="1"/>
    <col min="14083" max="14083" width="8.42578125" style="504" customWidth="1"/>
    <col min="14084" max="14084" width="8.140625" style="504" customWidth="1"/>
    <col min="14085" max="14085" width="8.5703125" style="504" bestFit="1" customWidth="1"/>
    <col min="14086" max="14086" width="7.85546875" style="504" customWidth="1"/>
    <col min="14087" max="14087" width="8.42578125" style="504" customWidth="1"/>
    <col min="14088" max="14094" width="7.85546875" style="504" customWidth="1"/>
    <col min="14095" max="14095" width="9.5703125" style="504" customWidth="1"/>
    <col min="14096" max="14096" width="9.140625" style="504"/>
    <col min="14097" max="14097" width="10" style="504" bestFit="1" customWidth="1"/>
    <col min="14098" max="14100" width="9.140625" style="504"/>
    <col min="14101" max="14101" width="12.42578125" style="504" customWidth="1"/>
    <col min="14102" max="14102" width="9.140625" style="504"/>
    <col min="14103" max="14103" width="12" style="504" customWidth="1"/>
    <col min="14104" max="14336" width="9.140625" style="504"/>
    <col min="14337" max="14337" width="5" style="504" customWidth="1"/>
    <col min="14338" max="14338" width="18.5703125" style="504" customWidth="1"/>
    <col min="14339" max="14339" width="8.42578125" style="504" customWidth="1"/>
    <col min="14340" max="14340" width="8.140625" style="504" customWidth="1"/>
    <col min="14341" max="14341" width="8.5703125" style="504" bestFit="1" customWidth="1"/>
    <col min="14342" max="14342" width="7.85546875" style="504" customWidth="1"/>
    <col min="14343" max="14343" width="8.42578125" style="504" customWidth="1"/>
    <col min="14344" max="14350" width="7.85546875" style="504" customWidth="1"/>
    <col min="14351" max="14351" width="9.5703125" style="504" customWidth="1"/>
    <col min="14352" max="14352" width="9.140625" style="504"/>
    <col min="14353" max="14353" width="10" style="504" bestFit="1" customWidth="1"/>
    <col min="14354" max="14356" width="9.140625" style="504"/>
    <col min="14357" max="14357" width="12.42578125" style="504" customWidth="1"/>
    <col min="14358" max="14358" width="9.140625" style="504"/>
    <col min="14359" max="14359" width="12" style="504" customWidth="1"/>
    <col min="14360" max="14592" width="9.140625" style="504"/>
    <col min="14593" max="14593" width="5" style="504" customWidth="1"/>
    <col min="14594" max="14594" width="18.5703125" style="504" customWidth="1"/>
    <col min="14595" max="14595" width="8.42578125" style="504" customWidth="1"/>
    <col min="14596" max="14596" width="8.140625" style="504" customWidth="1"/>
    <col min="14597" max="14597" width="8.5703125" style="504" bestFit="1" customWidth="1"/>
    <col min="14598" max="14598" width="7.85546875" style="504" customWidth="1"/>
    <col min="14599" max="14599" width="8.42578125" style="504" customWidth="1"/>
    <col min="14600" max="14606" width="7.85546875" style="504" customWidth="1"/>
    <col min="14607" max="14607" width="9.5703125" style="504" customWidth="1"/>
    <col min="14608" max="14608" width="9.140625" style="504"/>
    <col min="14609" max="14609" width="10" style="504" bestFit="1" customWidth="1"/>
    <col min="14610" max="14612" width="9.140625" style="504"/>
    <col min="14613" max="14613" width="12.42578125" style="504" customWidth="1"/>
    <col min="14614" max="14614" width="9.140625" style="504"/>
    <col min="14615" max="14615" width="12" style="504" customWidth="1"/>
    <col min="14616" max="14848" width="9.140625" style="504"/>
    <col min="14849" max="14849" width="5" style="504" customWidth="1"/>
    <col min="14850" max="14850" width="18.5703125" style="504" customWidth="1"/>
    <col min="14851" max="14851" width="8.42578125" style="504" customWidth="1"/>
    <col min="14852" max="14852" width="8.140625" style="504" customWidth="1"/>
    <col min="14853" max="14853" width="8.5703125" style="504" bestFit="1" customWidth="1"/>
    <col min="14854" max="14854" width="7.85546875" style="504" customWidth="1"/>
    <col min="14855" max="14855" width="8.42578125" style="504" customWidth="1"/>
    <col min="14856" max="14862" width="7.85546875" style="504" customWidth="1"/>
    <col min="14863" max="14863" width="9.5703125" style="504" customWidth="1"/>
    <col min="14864" max="14864" width="9.140625" style="504"/>
    <col min="14865" max="14865" width="10" style="504" bestFit="1" customWidth="1"/>
    <col min="14866" max="14868" width="9.140625" style="504"/>
    <col min="14869" max="14869" width="12.42578125" style="504" customWidth="1"/>
    <col min="14870" max="14870" width="9.140625" style="504"/>
    <col min="14871" max="14871" width="12" style="504" customWidth="1"/>
    <col min="14872" max="15104" width="9.140625" style="504"/>
    <col min="15105" max="15105" width="5" style="504" customWidth="1"/>
    <col min="15106" max="15106" width="18.5703125" style="504" customWidth="1"/>
    <col min="15107" max="15107" width="8.42578125" style="504" customWidth="1"/>
    <col min="15108" max="15108" width="8.140625" style="504" customWidth="1"/>
    <col min="15109" max="15109" width="8.5703125" style="504" bestFit="1" customWidth="1"/>
    <col min="15110" max="15110" width="7.85546875" style="504" customWidth="1"/>
    <col min="15111" max="15111" width="8.42578125" style="504" customWidth="1"/>
    <col min="15112" max="15118" width="7.85546875" style="504" customWidth="1"/>
    <col min="15119" max="15119" width="9.5703125" style="504" customWidth="1"/>
    <col min="15120" max="15120" width="9.140625" style="504"/>
    <col min="15121" max="15121" width="10" style="504" bestFit="1" customWidth="1"/>
    <col min="15122" max="15124" width="9.140625" style="504"/>
    <col min="15125" max="15125" width="12.42578125" style="504" customWidth="1"/>
    <col min="15126" max="15126" width="9.140625" style="504"/>
    <col min="15127" max="15127" width="12" style="504" customWidth="1"/>
    <col min="15128" max="15360" width="9.140625" style="504"/>
    <col min="15361" max="15361" width="5" style="504" customWidth="1"/>
    <col min="15362" max="15362" width="18.5703125" style="504" customWidth="1"/>
    <col min="15363" max="15363" width="8.42578125" style="504" customWidth="1"/>
    <col min="15364" max="15364" width="8.140625" style="504" customWidth="1"/>
    <col min="15365" max="15365" width="8.5703125" style="504" bestFit="1" customWidth="1"/>
    <col min="15366" max="15366" width="7.85546875" style="504" customWidth="1"/>
    <col min="15367" max="15367" width="8.42578125" style="504" customWidth="1"/>
    <col min="15368" max="15374" width="7.85546875" style="504" customWidth="1"/>
    <col min="15375" max="15375" width="9.5703125" style="504" customWidth="1"/>
    <col min="15376" max="15376" width="9.140625" style="504"/>
    <col min="15377" max="15377" width="10" style="504" bestFit="1" customWidth="1"/>
    <col min="15378" max="15380" width="9.140625" style="504"/>
    <col min="15381" max="15381" width="12.42578125" style="504" customWidth="1"/>
    <col min="15382" max="15382" width="9.140625" style="504"/>
    <col min="15383" max="15383" width="12" style="504" customWidth="1"/>
    <col min="15384" max="15616" width="9.140625" style="504"/>
    <col min="15617" max="15617" width="5" style="504" customWidth="1"/>
    <col min="15618" max="15618" width="18.5703125" style="504" customWidth="1"/>
    <col min="15619" max="15619" width="8.42578125" style="504" customWidth="1"/>
    <col min="15620" max="15620" width="8.140625" style="504" customWidth="1"/>
    <col min="15621" max="15621" width="8.5703125" style="504" bestFit="1" customWidth="1"/>
    <col min="15622" max="15622" width="7.85546875" style="504" customWidth="1"/>
    <col min="15623" max="15623" width="8.42578125" style="504" customWidth="1"/>
    <col min="15624" max="15630" width="7.85546875" style="504" customWidth="1"/>
    <col min="15631" max="15631" width="9.5703125" style="504" customWidth="1"/>
    <col min="15632" max="15632" width="9.140625" style="504"/>
    <col min="15633" max="15633" width="10" style="504" bestFit="1" customWidth="1"/>
    <col min="15634" max="15636" width="9.140625" style="504"/>
    <col min="15637" max="15637" width="12.42578125" style="504" customWidth="1"/>
    <col min="15638" max="15638" width="9.140625" style="504"/>
    <col min="15639" max="15639" width="12" style="504" customWidth="1"/>
    <col min="15640" max="15872" width="9.140625" style="504"/>
    <col min="15873" max="15873" width="5" style="504" customWidth="1"/>
    <col min="15874" max="15874" width="18.5703125" style="504" customWidth="1"/>
    <col min="15875" max="15875" width="8.42578125" style="504" customWidth="1"/>
    <col min="15876" max="15876" width="8.140625" style="504" customWidth="1"/>
    <col min="15877" max="15877" width="8.5703125" style="504" bestFit="1" customWidth="1"/>
    <col min="15878" max="15878" width="7.85546875" style="504" customWidth="1"/>
    <col min="15879" max="15879" width="8.42578125" style="504" customWidth="1"/>
    <col min="15880" max="15886" width="7.85546875" style="504" customWidth="1"/>
    <col min="15887" max="15887" width="9.5703125" style="504" customWidth="1"/>
    <col min="15888" max="15888" width="9.140625" style="504"/>
    <col min="15889" max="15889" width="10" style="504" bestFit="1" customWidth="1"/>
    <col min="15890" max="15892" width="9.140625" style="504"/>
    <col min="15893" max="15893" width="12.42578125" style="504" customWidth="1"/>
    <col min="15894" max="15894" width="9.140625" style="504"/>
    <col min="15895" max="15895" width="12" style="504" customWidth="1"/>
    <col min="15896" max="16128" width="9.140625" style="504"/>
    <col min="16129" max="16129" width="5" style="504" customWidth="1"/>
    <col min="16130" max="16130" width="18.5703125" style="504" customWidth="1"/>
    <col min="16131" max="16131" width="8.42578125" style="504" customWidth="1"/>
    <col min="16132" max="16132" width="8.140625" style="504" customWidth="1"/>
    <col min="16133" max="16133" width="8.5703125" style="504" bestFit="1" customWidth="1"/>
    <col min="16134" max="16134" width="7.85546875" style="504" customWidth="1"/>
    <col min="16135" max="16135" width="8.42578125" style="504" customWidth="1"/>
    <col min="16136" max="16142" width="7.85546875" style="504" customWidth="1"/>
    <col min="16143" max="16143" width="9.5703125" style="504" customWidth="1"/>
    <col min="16144" max="16144" width="9.140625" style="504"/>
    <col min="16145" max="16145" width="10" style="504" bestFit="1" customWidth="1"/>
    <col min="16146" max="16148" width="9.140625" style="504"/>
    <col min="16149" max="16149" width="12.42578125" style="504" customWidth="1"/>
    <col min="16150" max="16150" width="9.140625" style="504"/>
    <col min="16151" max="16151" width="12" style="504" customWidth="1"/>
    <col min="16152" max="16384" width="9.140625" style="504"/>
  </cols>
  <sheetData>
    <row r="1" spans="1:17" s="490" customFormat="1" x14ac:dyDescent="0.2">
      <c r="A1" s="1045" t="s">
        <v>449</v>
      </c>
      <c r="B1" s="1039"/>
      <c r="C1" s="1039"/>
      <c r="D1" s="1038"/>
      <c r="E1" s="1039"/>
      <c r="F1" s="1039"/>
      <c r="G1" s="1045" t="s">
        <v>102</v>
      </c>
      <c r="H1" s="1038"/>
      <c r="I1" s="1038" t="s">
        <v>595</v>
      </c>
      <c r="J1" s="1039"/>
      <c r="K1" s="1039"/>
      <c r="L1" s="1040"/>
      <c r="M1" s="1040"/>
      <c r="N1" s="1040"/>
      <c r="O1" s="1040"/>
    </row>
    <row r="2" spans="1:17" s="490" customFormat="1" x14ac:dyDescent="0.2">
      <c r="A2" s="1045" t="s">
        <v>103</v>
      </c>
      <c r="B2" s="1039"/>
      <c r="C2" s="1039"/>
      <c r="D2" s="1038"/>
      <c r="E2" s="1039"/>
      <c r="F2" s="1039"/>
      <c r="G2" s="1045" t="s">
        <v>104</v>
      </c>
      <c r="H2" s="1038"/>
      <c r="I2" s="1038" t="s">
        <v>105</v>
      </c>
      <c r="J2" s="1039"/>
      <c r="K2" s="1039"/>
      <c r="L2" s="1040"/>
      <c r="M2" s="1040"/>
      <c r="N2" s="1040"/>
      <c r="O2" s="1040"/>
    </row>
    <row r="3" spans="1:17" s="490" customFormat="1" x14ac:dyDescent="0.2">
      <c r="A3" s="1045" t="s">
        <v>106</v>
      </c>
      <c r="B3" s="1039"/>
      <c r="C3" s="1039"/>
      <c r="D3" s="1046" t="s">
        <v>643</v>
      </c>
      <c r="E3" s="1039"/>
      <c r="F3" s="1039"/>
      <c r="G3" s="1045" t="s">
        <v>107</v>
      </c>
      <c r="H3" s="1038"/>
      <c r="I3" s="1038" t="s">
        <v>108</v>
      </c>
      <c r="J3" s="1039"/>
      <c r="K3" s="1039"/>
      <c r="L3" s="1040"/>
      <c r="M3" s="1040"/>
      <c r="N3" s="1040"/>
      <c r="O3" s="1040"/>
    </row>
    <row r="4" spans="1:17" s="490" customFormat="1" x14ac:dyDescent="0.2">
      <c r="A4" s="1045" t="s">
        <v>476</v>
      </c>
      <c r="B4" s="1039"/>
      <c r="C4" s="1039"/>
      <c r="D4" s="1038" t="s">
        <v>644</v>
      </c>
      <c r="E4" s="1039"/>
      <c r="F4" s="1039"/>
      <c r="G4" s="1045" t="s">
        <v>110</v>
      </c>
      <c r="H4" s="1038"/>
      <c r="I4" s="1038" t="s">
        <v>645</v>
      </c>
      <c r="J4" s="1039"/>
      <c r="K4" s="1039"/>
      <c r="L4" s="1040"/>
      <c r="M4" s="1040"/>
      <c r="N4" s="1040"/>
      <c r="O4" s="1040"/>
    </row>
    <row r="5" spans="1:17" s="490" customFormat="1" x14ac:dyDescent="0.2">
      <c r="A5" s="1045" t="s">
        <v>112</v>
      </c>
      <c r="B5" s="1039"/>
      <c r="C5" s="1039"/>
      <c r="D5" s="1038"/>
      <c r="E5" s="1039"/>
      <c r="F5" s="1039"/>
      <c r="G5" s="1045"/>
      <c r="H5" s="1039"/>
      <c r="I5" s="1038" t="s">
        <v>113</v>
      </c>
      <c r="J5" s="1039"/>
      <c r="K5" s="1039"/>
      <c r="L5" s="1040"/>
      <c r="M5" s="1040"/>
      <c r="N5" s="1040"/>
      <c r="O5" s="1040"/>
    </row>
    <row r="6" spans="1:17" s="490" customFormat="1" x14ac:dyDescent="0.2">
      <c r="A6" s="1041" t="s">
        <v>114</v>
      </c>
      <c r="B6" s="1042"/>
      <c r="C6" s="1042"/>
      <c r="D6" s="1039" t="s">
        <v>596</v>
      </c>
      <c r="E6" s="1039"/>
      <c r="F6" s="1039"/>
      <c r="G6" s="1041" t="s">
        <v>115</v>
      </c>
      <c r="H6" s="1041"/>
      <c r="I6" s="491" t="s">
        <v>116</v>
      </c>
      <c r="J6" s="1043"/>
      <c r="K6" s="1043"/>
      <c r="L6" s="1043"/>
      <c r="M6" s="1043"/>
      <c r="N6" s="1043"/>
      <c r="O6" s="1044"/>
    </row>
    <row r="7" spans="1:17" s="490" customFormat="1" ht="13.5" thickBot="1" x14ac:dyDescent="0.25">
      <c r="A7" s="492"/>
      <c r="B7" s="493"/>
      <c r="C7" s="494"/>
      <c r="D7" s="495"/>
      <c r="E7" s="495"/>
      <c r="F7" s="495"/>
      <c r="G7" s="495"/>
      <c r="H7" s="495"/>
      <c r="I7" s="495"/>
      <c r="J7" s="496"/>
      <c r="K7" s="661"/>
      <c r="L7" s="1030" t="s">
        <v>223</v>
      </c>
      <c r="M7" s="1030"/>
      <c r="N7" s="1030"/>
      <c r="O7" s="1030"/>
    </row>
    <row r="8" spans="1:17" s="499" customFormat="1" x14ac:dyDescent="0.2">
      <c r="A8" s="1031" t="str">
        <f>I1</f>
        <v>Mr. B. S. Surve</v>
      </c>
      <c r="B8" s="1032"/>
      <c r="C8" s="334">
        <v>43160</v>
      </c>
      <c r="D8" s="334">
        <v>43191</v>
      </c>
      <c r="E8" s="334">
        <v>43221</v>
      </c>
      <c r="F8" s="334">
        <v>43252</v>
      </c>
      <c r="G8" s="334">
        <v>43282</v>
      </c>
      <c r="H8" s="334">
        <v>43313</v>
      </c>
      <c r="I8" s="334">
        <v>43344</v>
      </c>
      <c r="J8" s="334">
        <v>43374</v>
      </c>
      <c r="K8" s="334">
        <v>43405</v>
      </c>
      <c r="L8" s="334">
        <v>43435</v>
      </c>
      <c r="M8" s="334">
        <v>43466</v>
      </c>
      <c r="N8" s="334">
        <v>43497</v>
      </c>
      <c r="O8" s="498" t="s">
        <v>117</v>
      </c>
      <c r="Q8" s="499" t="s">
        <v>116</v>
      </c>
    </row>
    <row r="9" spans="1:17" ht="15" x14ac:dyDescent="0.2">
      <c r="A9" s="500"/>
      <c r="B9" s="501" t="s">
        <v>118</v>
      </c>
      <c r="C9" s="502">
        <v>50500</v>
      </c>
      <c r="D9" s="502">
        <f t="shared" ref="D9:G24" si="0">+C9</f>
        <v>50500</v>
      </c>
      <c r="E9" s="502">
        <f t="shared" si="0"/>
        <v>50500</v>
      </c>
      <c r="F9" s="502">
        <f t="shared" si="0"/>
        <v>50500</v>
      </c>
      <c r="G9" s="502">
        <v>52000</v>
      </c>
      <c r="H9" s="502">
        <v>52000</v>
      </c>
      <c r="I9" s="502">
        <v>52000</v>
      </c>
      <c r="J9" s="502">
        <v>52000</v>
      </c>
      <c r="K9" s="502">
        <v>52000</v>
      </c>
      <c r="L9" s="502">
        <v>52000</v>
      </c>
      <c r="M9" s="502">
        <v>52000</v>
      </c>
      <c r="N9" s="502">
        <v>52000</v>
      </c>
      <c r="O9" s="503">
        <f t="shared" ref="O9:O51" si="1">SUM(C9:N9)</f>
        <v>618000</v>
      </c>
      <c r="Q9" s="504" t="s">
        <v>222</v>
      </c>
    </row>
    <row r="10" spans="1:17" ht="15" x14ac:dyDescent="0.2">
      <c r="A10" s="500"/>
      <c r="B10" s="501" t="s">
        <v>119</v>
      </c>
      <c r="C10" s="505">
        <v>0</v>
      </c>
      <c r="D10" s="505">
        <f t="shared" si="0"/>
        <v>0</v>
      </c>
      <c r="E10" s="505">
        <f t="shared" si="0"/>
        <v>0</v>
      </c>
      <c r="F10" s="505">
        <f t="shared" si="0"/>
        <v>0</v>
      </c>
      <c r="G10" s="505">
        <f>+F10</f>
        <v>0</v>
      </c>
      <c r="H10" s="505">
        <v>0</v>
      </c>
      <c r="I10" s="505">
        <f>+H10</f>
        <v>0</v>
      </c>
      <c r="J10" s="505">
        <f>+I10</f>
        <v>0</v>
      </c>
      <c r="K10" s="505">
        <f>+J10</f>
        <v>0</v>
      </c>
      <c r="L10" s="505">
        <f>+K10</f>
        <v>0</v>
      </c>
      <c r="M10" s="505">
        <f t="shared" ref="M10:M37" si="2">L10</f>
        <v>0</v>
      </c>
      <c r="N10" s="505">
        <f t="shared" ref="N10:N37" si="3">+M10</f>
        <v>0</v>
      </c>
      <c r="O10" s="506">
        <f t="shared" si="1"/>
        <v>0</v>
      </c>
    </row>
    <row r="11" spans="1:17" ht="15" x14ac:dyDescent="0.2">
      <c r="A11" s="500"/>
      <c r="B11" s="501" t="s">
        <v>120</v>
      </c>
      <c r="C11" s="505">
        <v>2525</v>
      </c>
      <c r="D11" s="505">
        <v>3535</v>
      </c>
      <c r="E11" s="505">
        <f t="shared" si="0"/>
        <v>3535</v>
      </c>
      <c r="F11" s="505">
        <f t="shared" si="0"/>
        <v>3535</v>
      </c>
      <c r="G11" s="505">
        <v>3640</v>
      </c>
      <c r="H11" s="505">
        <v>3640</v>
      </c>
      <c r="I11" s="505">
        <v>3640</v>
      </c>
      <c r="J11" s="505">
        <v>4680</v>
      </c>
      <c r="K11" s="505">
        <f t="shared" ref="K11:L26" si="4">+J11</f>
        <v>4680</v>
      </c>
      <c r="L11" s="505">
        <f t="shared" si="4"/>
        <v>4680</v>
      </c>
      <c r="M11" s="505">
        <f t="shared" si="2"/>
        <v>4680</v>
      </c>
      <c r="N11" s="505">
        <f t="shared" si="3"/>
        <v>4680</v>
      </c>
      <c r="O11" s="506">
        <f t="shared" si="1"/>
        <v>47450</v>
      </c>
    </row>
    <row r="12" spans="1:17" ht="15" hidden="1" x14ac:dyDescent="0.2">
      <c r="A12" s="500"/>
      <c r="B12" s="501" t="s">
        <v>121</v>
      </c>
      <c r="C12" s="505">
        <v>0</v>
      </c>
      <c r="D12" s="505">
        <f>+C12</f>
        <v>0</v>
      </c>
      <c r="E12" s="505">
        <f t="shared" si="0"/>
        <v>0</v>
      </c>
      <c r="F12" s="505">
        <f t="shared" si="0"/>
        <v>0</v>
      </c>
      <c r="G12" s="505">
        <f t="shared" si="0"/>
        <v>0</v>
      </c>
      <c r="H12" s="505">
        <v>0</v>
      </c>
      <c r="I12" s="505">
        <f>+H12</f>
        <v>0</v>
      </c>
      <c r="J12" s="505">
        <f>+I12</f>
        <v>0</v>
      </c>
      <c r="K12" s="505">
        <f t="shared" si="4"/>
        <v>0</v>
      </c>
      <c r="L12" s="505">
        <f t="shared" si="4"/>
        <v>0</v>
      </c>
      <c r="M12" s="505">
        <f t="shared" si="2"/>
        <v>0</v>
      </c>
      <c r="N12" s="505">
        <f t="shared" si="3"/>
        <v>0</v>
      </c>
      <c r="O12" s="506">
        <f t="shared" si="1"/>
        <v>0</v>
      </c>
    </row>
    <row r="13" spans="1:17" ht="15" hidden="1" x14ac:dyDescent="0.2">
      <c r="A13" s="500"/>
      <c r="B13" s="501" t="s">
        <v>122</v>
      </c>
      <c r="C13" s="505">
        <v>0</v>
      </c>
      <c r="D13" s="505">
        <f>+C13</f>
        <v>0</v>
      </c>
      <c r="E13" s="505">
        <f t="shared" si="0"/>
        <v>0</v>
      </c>
      <c r="F13" s="505">
        <f t="shared" si="0"/>
        <v>0</v>
      </c>
      <c r="G13" s="505">
        <f t="shared" si="0"/>
        <v>0</v>
      </c>
      <c r="H13" s="505">
        <v>0</v>
      </c>
      <c r="I13" s="505">
        <f>+H13</f>
        <v>0</v>
      </c>
      <c r="J13" s="505">
        <f>+I13</f>
        <v>0</v>
      </c>
      <c r="K13" s="505">
        <f t="shared" si="4"/>
        <v>0</v>
      </c>
      <c r="L13" s="505">
        <f t="shared" si="4"/>
        <v>0</v>
      </c>
      <c r="M13" s="505">
        <f t="shared" si="2"/>
        <v>0</v>
      </c>
      <c r="N13" s="505">
        <f t="shared" si="3"/>
        <v>0</v>
      </c>
      <c r="O13" s="506">
        <f t="shared" si="1"/>
        <v>0</v>
      </c>
    </row>
    <row r="14" spans="1:17" ht="15" x14ac:dyDescent="0.2">
      <c r="A14" s="500"/>
      <c r="B14" s="501" t="s">
        <v>123</v>
      </c>
      <c r="C14" s="505">
        <v>3780</v>
      </c>
      <c r="D14" s="505">
        <v>3852</v>
      </c>
      <c r="E14" s="505">
        <f t="shared" si="0"/>
        <v>3852</v>
      </c>
      <c r="F14" s="505">
        <f t="shared" si="0"/>
        <v>3852</v>
      </c>
      <c r="G14" s="505">
        <f t="shared" si="0"/>
        <v>3852</v>
      </c>
      <c r="H14" s="505">
        <f>+G14</f>
        <v>3852</v>
      </c>
      <c r="I14" s="505">
        <f>+H14</f>
        <v>3852</v>
      </c>
      <c r="J14" s="505">
        <v>3924</v>
      </c>
      <c r="K14" s="505">
        <f t="shared" si="4"/>
        <v>3924</v>
      </c>
      <c r="L14" s="505">
        <f t="shared" si="4"/>
        <v>3924</v>
      </c>
      <c r="M14" s="505">
        <f t="shared" si="2"/>
        <v>3924</v>
      </c>
      <c r="N14" s="505">
        <f t="shared" si="3"/>
        <v>3924</v>
      </c>
      <c r="O14" s="506">
        <f t="shared" si="1"/>
        <v>46512</v>
      </c>
    </row>
    <row r="15" spans="1:17" ht="15" hidden="1" x14ac:dyDescent="0.2">
      <c r="A15" s="500"/>
      <c r="B15" s="501" t="s">
        <v>124</v>
      </c>
      <c r="C15" s="505">
        <v>0</v>
      </c>
      <c r="D15" s="505">
        <f t="shared" ref="D15:G35" si="5">+C15</f>
        <v>0</v>
      </c>
      <c r="E15" s="505">
        <f t="shared" si="0"/>
        <v>0</v>
      </c>
      <c r="F15" s="505">
        <f t="shared" si="0"/>
        <v>0</v>
      </c>
      <c r="G15" s="505">
        <f t="shared" si="0"/>
        <v>0</v>
      </c>
      <c r="H15" s="505">
        <v>0</v>
      </c>
      <c r="I15" s="505">
        <f t="shared" ref="I15:L30" si="6">+H15</f>
        <v>0</v>
      </c>
      <c r="J15" s="505">
        <f t="shared" si="6"/>
        <v>0</v>
      </c>
      <c r="K15" s="505">
        <f t="shared" si="4"/>
        <v>0</v>
      </c>
      <c r="L15" s="505">
        <f t="shared" si="4"/>
        <v>0</v>
      </c>
      <c r="M15" s="505">
        <f t="shared" si="2"/>
        <v>0</v>
      </c>
      <c r="N15" s="505">
        <f t="shared" si="3"/>
        <v>0</v>
      </c>
      <c r="O15" s="506">
        <f t="shared" si="1"/>
        <v>0</v>
      </c>
    </row>
    <row r="16" spans="1:17" ht="15" hidden="1" x14ac:dyDescent="0.2">
      <c r="A16" s="500"/>
      <c r="B16" s="501" t="s">
        <v>125</v>
      </c>
      <c r="C16" s="505">
        <v>0</v>
      </c>
      <c r="D16" s="505">
        <f t="shared" si="5"/>
        <v>0</v>
      </c>
      <c r="E16" s="505">
        <f t="shared" si="0"/>
        <v>0</v>
      </c>
      <c r="F16" s="505">
        <f t="shared" si="0"/>
        <v>0</v>
      </c>
      <c r="G16" s="505">
        <f t="shared" si="0"/>
        <v>0</v>
      </c>
      <c r="H16" s="505">
        <v>0</v>
      </c>
      <c r="I16" s="505">
        <f t="shared" si="6"/>
        <v>0</v>
      </c>
      <c r="J16" s="505">
        <f t="shared" si="6"/>
        <v>0</v>
      </c>
      <c r="K16" s="505">
        <f t="shared" si="4"/>
        <v>0</v>
      </c>
      <c r="L16" s="505">
        <f t="shared" si="4"/>
        <v>0</v>
      </c>
      <c r="M16" s="505">
        <f t="shared" si="2"/>
        <v>0</v>
      </c>
      <c r="N16" s="505">
        <f t="shared" si="3"/>
        <v>0</v>
      </c>
      <c r="O16" s="506">
        <f t="shared" si="1"/>
        <v>0</v>
      </c>
    </row>
    <row r="17" spans="1:15" ht="15" hidden="1" x14ac:dyDescent="0.2">
      <c r="A17" s="500"/>
      <c r="B17" s="501" t="s">
        <v>126</v>
      </c>
      <c r="C17" s="505">
        <v>0</v>
      </c>
      <c r="D17" s="505">
        <f t="shared" si="5"/>
        <v>0</v>
      </c>
      <c r="E17" s="505">
        <f t="shared" si="0"/>
        <v>0</v>
      </c>
      <c r="F17" s="505">
        <f t="shared" si="0"/>
        <v>0</v>
      </c>
      <c r="G17" s="505">
        <f t="shared" si="0"/>
        <v>0</v>
      </c>
      <c r="H17" s="505">
        <v>0</v>
      </c>
      <c r="I17" s="505">
        <f t="shared" si="6"/>
        <v>0</v>
      </c>
      <c r="J17" s="505">
        <f t="shared" si="6"/>
        <v>0</v>
      </c>
      <c r="K17" s="505">
        <f t="shared" si="4"/>
        <v>0</v>
      </c>
      <c r="L17" s="505">
        <f t="shared" si="4"/>
        <v>0</v>
      </c>
      <c r="M17" s="505">
        <f t="shared" si="2"/>
        <v>0</v>
      </c>
      <c r="N17" s="505">
        <f t="shared" si="3"/>
        <v>0</v>
      </c>
      <c r="O17" s="506">
        <f t="shared" si="1"/>
        <v>0</v>
      </c>
    </row>
    <row r="18" spans="1:15" ht="15" x14ac:dyDescent="0.2">
      <c r="A18" s="500"/>
      <c r="B18" s="501" t="s">
        <v>224</v>
      </c>
      <c r="C18" s="505">
        <v>0</v>
      </c>
      <c r="D18" s="505">
        <f t="shared" si="5"/>
        <v>0</v>
      </c>
      <c r="E18" s="505">
        <f t="shared" si="0"/>
        <v>0</v>
      </c>
      <c r="F18" s="505">
        <f t="shared" si="0"/>
        <v>0</v>
      </c>
      <c r="G18" s="505">
        <f t="shared" si="0"/>
        <v>0</v>
      </c>
      <c r="H18" s="505">
        <v>0</v>
      </c>
      <c r="I18" s="505">
        <f t="shared" si="6"/>
        <v>0</v>
      </c>
      <c r="J18" s="505">
        <f t="shared" si="6"/>
        <v>0</v>
      </c>
      <c r="K18" s="505">
        <f t="shared" si="4"/>
        <v>0</v>
      </c>
      <c r="L18" s="505">
        <f t="shared" si="4"/>
        <v>0</v>
      </c>
      <c r="M18" s="505">
        <f t="shared" si="2"/>
        <v>0</v>
      </c>
      <c r="N18" s="505">
        <f t="shared" si="3"/>
        <v>0</v>
      </c>
      <c r="O18" s="506">
        <f t="shared" si="1"/>
        <v>0</v>
      </c>
    </row>
    <row r="19" spans="1:15" ht="15" x14ac:dyDescent="0.2">
      <c r="A19" s="500"/>
      <c r="B19" s="501" t="s">
        <v>128</v>
      </c>
      <c r="C19" s="505">
        <v>0</v>
      </c>
      <c r="D19" s="505">
        <f t="shared" si="5"/>
        <v>0</v>
      </c>
      <c r="E19" s="505">
        <f t="shared" si="0"/>
        <v>0</v>
      </c>
      <c r="F19" s="505">
        <f t="shared" si="0"/>
        <v>0</v>
      </c>
      <c r="G19" s="505">
        <f t="shared" si="0"/>
        <v>0</v>
      </c>
      <c r="H19" s="505">
        <v>0</v>
      </c>
      <c r="I19" s="505">
        <f t="shared" si="6"/>
        <v>0</v>
      </c>
      <c r="J19" s="505">
        <f t="shared" si="6"/>
        <v>0</v>
      </c>
      <c r="K19" s="505">
        <f t="shared" si="4"/>
        <v>0</v>
      </c>
      <c r="L19" s="505">
        <f t="shared" si="4"/>
        <v>0</v>
      </c>
      <c r="M19" s="505">
        <f t="shared" si="2"/>
        <v>0</v>
      </c>
      <c r="N19" s="505">
        <f t="shared" si="3"/>
        <v>0</v>
      </c>
      <c r="O19" s="506">
        <f t="shared" si="1"/>
        <v>0</v>
      </c>
    </row>
    <row r="20" spans="1:15" ht="15" customHeight="1" x14ac:dyDescent="0.2">
      <c r="A20" s="500"/>
      <c r="B20" s="501" t="s">
        <v>129</v>
      </c>
      <c r="C20" s="505">
        <v>0</v>
      </c>
      <c r="D20" s="505">
        <f t="shared" si="5"/>
        <v>0</v>
      </c>
      <c r="E20" s="505">
        <f t="shared" si="0"/>
        <v>0</v>
      </c>
      <c r="F20" s="505">
        <f t="shared" si="0"/>
        <v>0</v>
      </c>
      <c r="G20" s="505">
        <f t="shared" si="0"/>
        <v>0</v>
      </c>
      <c r="H20" s="505">
        <v>0</v>
      </c>
      <c r="I20" s="505">
        <f t="shared" si="6"/>
        <v>0</v>
      </c>
      <c r="J20" s="505">
        <f t="shared" si="6"/>
        <v>0</v>
      </c>
      <c r="K20" s="505">
        <f t="shared" si="4"/>
        <v>0</v>
      </c>
      <c r="L20" s="505">
        <f t="shared" si="4"/>
        <v>0</v>
      </c>
      <c r="M20" s="505">
        <f t="shared" si="2"/>
        <v>0</v>
      </c>
      <c r="N20" s="505">
        <f t="shared" si="3"/>
        <v>0</v>
      </c>
      <c r="O20" s="506">
        <f t="shared" si="1"/>
        <v>0</v>
      </c>
    </row>
    <row r="21" spans="1:15" ht="12.75" hidden="1" customHeight="1" x14ac:dyDescent="0.2">
      <c r="A21" s="1033" t="s">
        <v>130</v>
      </c>
      <c r="B21" s="507" t="s">
        <v>131</v>
      </c>
      <c r="C21" s="505">
        <v>0</v>
      </c>
      <c r="D21" s="505">
        <f t="shared" si="5"/>
        <v>0</v>
      </c>
      <c r="E21" s="505">
        <f t="shared" si="0"/>
        <v>0</v>
      </c>
      <c r="F21" s="505">
        <f t="shared" si="0"/>
        <v>0</v>
      </c>
      <c r="G21" s="505">
        <f t="shared" si="0"/>
        <v>0</v>
      </c>
      <c r="H21" s="505">
        <v>0</v>
      </c>
      <c r="I21" s="505">
        <f t="shared" si="6"/>
        <v>0</v>
      </c>
      <c r="J21" s="505">
        <f t="shared" si="6"/>
        <v>0</v>
      </c>
      <c r="K21" s="505">
        <f t="shared" si="4"/>
        <v>0</v>
      </c>
      <c r="L21" s="505">
        <f t="shared" si="4"/>
        <v>0</v>
      </c>
      <c r="M21" s="505">
        <f t="shared" si="2"/>
        <v>0</v>
      </c>
      <c r="N21" s="505">
        <f t="shared" si="3"/>
        <v>0</v>
      </c>
      <c r="O21" s="506">
        <f t="shared" si="1"/>
        <v>0</v>
      </c>
    </row>
    <row r="22" spans="1:15" ht="15" customHeight="1" x14ac:dyDescent="0.2">
      <c r="A22" s="1034"/>
      <c r="B22" s="507" t="s">
        <v>132</v>
      </c>
      <c r="C22" s="505">
        <v>0</v>
      </c>
      <c r="D22" s="505">
        <f t="shared" si="5"/>
        <v>0</v>
      </c>
      <c r="E22" s="505">
        <f t="shared" si="0"/>
        <v>0</v>
      </c>
      <c r="F22" s="505">
        <f t="shared" si="0"/>
        <v>0</v>
      </c>
      <c r="G22" s="505">
        <f t="shared" si="0"/>
        <v>0</v>
      </c>
      <c r="H22" s="505">
        <v>0</v>
      </c>
      <c r="I22" s="505">
        <f t="shared" si="6"/>
        <v>0</v>
      </c>
      <c r="J22" s="505">
        <v>6908</v>
      </c>
      <c r="K22" s="505">
        <v>0</v>
      </c>
      <c r="L22" s="505">
        <f t="shared" si="4"/>
        <v>0</v>
      </c>
      <c r="M22" s="505">
        <f t="shared" si="2"/>
        <v>0</v>
      </c>
      <c r="N22" s="505">
        <f t="shared" si="3"/>
        <v>0</v>
      </c>
      <c r="O22" s="506">
        <f t="shared" si="1"/>
        <v>6908</v>
      </c>
    </row>
    <row r="23" spans="1:15" ht="15" hidden="1" customHeight="1" x14ac:dyDescent="0.2">
      <c r="A23" s="1034"/>
      <c r="B23" s="507" t="s">
        <v>133</v>
      </c>
      <c r="C23" s="505">
        <v>0</v>
      </c>
      <c r="D23" s="505">
        <f t="shared" si="5"/>
        <v>0</v>
      </c>
      <c r="E23" s="505">
        <f t="shared" si="0"/>
        <v>0</v>
      </c>
      <c r="F23" s="505">
        <f t="shared" si="0"/>
        <v>0</v>
      </c>
      <c r="G23" s="505">
        <f t="shared" si="0"/>
        <v>0</v>
      </c>
      <c r="H23" s="505">
        <v>0</v>
      </c>
      <c r="I23" s="505">
        <f t="shared" si="6"/>
        <v>0</v>
      </c>
      <c r="J23" s="505">
        <f t="shared" si="6"/>
        <v>0</v>
      </c>
      <c r="K23" s="505">
        <f t="shared" si="6"/>
        <v>0</v>
      </c>
      <c r="L23" s="505">
        <f t="shared" si="4"/>
        <v>0</v>
      </c>
      <c r="M23" s="505">
        <f t="shared" si="2"/>
        <v>0</v>
      </c>
      <c r="N23" s="505">
        <f t="shared" si="3"/>
        <v>0</v>
      </c>
      <c r="O23" s="506">
        <f t="shared" si="1"/>
        <v>0</v>
      </c>
    </row>
    <row r="24" spans="1:15" ht="15" hidden="1" customHeight="1" x14ac:dyDescent="0.2">
      <c r="A24" s="1034"/>
      <c r="B24" s="507" t="s">
        <v>134</v>
      </c>
      <c r="C24" s="505">
        <v>0</v>
      </c>
      <c r="D24" s="505">
        <f t="shared" si="5"/>
        <v>0</v>
      </c>
      <c r="E24" s="505">
        <f t="shared" si="0"/>
        <v>0</v>
      </c>
      <c r="F24" s="505">
        <f t="shared" si="0"/>
        <v>0</v>
      </c>
      <c r="G24" s="505">
        <f t="shared" si="0"/>
        <v>0</v>
      </c>
      <c r="H24" s="505">
        <v>0</v>
      </c>
      <c r="I24" s="505">
        <f t="shared" si="6"/>
        <v>0</v>
      </c>
      <c r="J24" s="505">
        <f t="shared" si="6"/>
        <v>0</v>
      </c>
      <c r="K24" s="505">
        <f t="shared" si="6"/>
        <v>0</v>
      </c>
      <c r="L24" s="505">
        <f t="shared" si="4"/>
        <v>0</v>
      </c>
      <c r="M24" s="505">
        <f t="shared" si="2"/>
        <v>0</v>
      </c>
      <c r="N24" s="505">
        <f t="shared" si="3"/>
        <v>0</v>
      </c>
      <c r="O24" s="506">
        <f t="shared" si="1"/>
        <v>0</v>
      </c>
    </row>
    <row r="25" spans="1:15" ht="15" hidden="1" customHeight="1" x14ac:dyDescent="0.2">
      <c r="A25" s="1034"/>
      <c r="B25" s="507" t="s">
        <v>135</v>
      </c>
      <c r="C25" s="505">
        <v>0</v>
      </c>
      <c r="D25" s="505">
        <f t="shared" si="5"/>
        <v>0</v>
      </c>
      <c r="E25" s="505">
        <f t="shared" si="5"/>
        <v>0</v>
      </c>
      <c r="F25" s="505">
        <f t="shared" si="5"/>
        <v>0</v>
      </c>
      <c r="G25" s="505">
        <f t="shared" si="5"/>
        <v>0</v>
      </c>
      <c r="H25" s="505">
        <v>0</v>
      </c>
      <c r="I25" s="505">
        <f t="shared" si="6"/>
        <v>0</v>
      </c>
      <c r="J25" s="505">
        <f t="shared" si="6"/>
        <v>0</v>
      </c>
      <c r="K25" s="505">
        <f t="shared" si="6"/>
        <v>0</v>
      </c>
      <c r="L25" s="505">
        <f t="shared" si="4"/>
        <v>0</v>
      </c>
      <c r="M25" s="505">
        <f t="shared" si="2"/>
        <v>0</v>
      </c>
      <c r="N25" s="505">
        <f t="shared" si="3"/>
        <v>0</v>
      </c>
      <c r="O25" s="506">
        <f t="shared" si="1"/>
        <v>0</v>
      </c>
    </row>
    <row r="26" spans="1:15" ht="15" hidden="1" customHeight="1" x14ac:dyDescent="0.2">
      <c r="A26" s="1034"/>
      <c r="B26" s="507" t="s">
        <v>136</v>
      </c>
      <c r="C26" s="505">
        <v>0</v>
      </c>
      <c r="D26" s="505">
        <f t="shared" si="5"/>
        <v>0</v>
      </c>
      <c r="E26" s="505">
        <f t="shared" si="5"/>
        <v>0</v>
      </c>
      <c r="F26" s="505">
        <f t="shared" si="5"/>
        <v>0</v>
      </c>
      <c r="G26" s="505">
        <f t="shared" si="5"/>
        <v>0</v>
      </c>
      <c r="H26" s="505">
        <v>0</v>
      </c>
      <c r="I26" s="505">
        <f t="shared" si="6"/>
        <v>0</v>
      </c>
      <c r="J26" s="505">
        <f t="shared" si="6"/>
        <v>0</v>
      </c>
      <c r="K26" s="505">
        <f t="shared" si="6"/>
        <v>0</v>
      </c>
      <c r="L26" s="505">
        <f t="shared" si="4"/>
        <v>0</v>
      </c>
      <c r="M26" s="505">
        <f t="shared" si="2"/>
        <v>0</v>
      </c>
      <c r="N26" s="505">
        <f t="shared" si="3"/>
        <v>0</v>
      </c>
      <c r="O26" s="506">
        <f t="shared" si="1"/>
        <v>0</v>
      </c>
    </row>
    <row r="27" spans="1:15" ht="15" hidden="1" customHeight="1" x14ac:dyDescent="0.2">
      <c r="A27" s="1034"/>
      <c r="B27" s="507" t="s">
        <v>137</v>
      </c>
      <c r="C27" s="505">
        <v>0</v>
      </c>
      <c r="D27" s="505">
        <f t="shared" si="5"/>
        <v>0</v>
      </c>
      <c r="E27" s="505">
        <f t="shared" si="5"/>
        <v>0</v>
      </c>
      <c r="F27" s="505">
        <f t="shared" si="5"/>
        <v>0</v>
      </c>
      <c r="G27" s="505">
        <f t="shared" si="5"/>
        <v>0</v>
      </c>
      <c r="H27" s="505">
        <v>0</v>
      </c>
      <c r="I27" s="505">
        <f t="shared" si="6"/>
        <v>0</v>
      </c>
      <c r="J27" s="505">
        <f t="shared" si="6"/>
        <v>0</v>
      </c>
      <c r="K27" s="505">
        <f t="shared" si="6"/>
        <v>0</v>
      </c>
      <c r="L27" s="505">
        <f t="shared" si="6"/>
        <v>0</v>
      </c>
      <c r="M27" s="505">
        <f t="shared" si="2"/>
        <v>0</v>
      </c>
      <c r="N27" s="505">
        <f t="shared" si="3"/>
        <v>0</v>
      </c>
      <c r="O27" s="506">
        <f t="shared" si="1"/>
        <v>0</v>
      </c>
    </row>
    <row r="28" spans="1:15" ht="15" hidden="1" customHeight="1" x14ac:dyDescent="0.2">
      <c r="A28" s="1034"/>
      <c r="B28" s="507" t="s">
        <v>138</v>
      </c>
      <c r="C28" s="505">
        <v>0</v>
      </c>
      <c r="D28" s="505">
        <f t="shared" si="5"/>
        <v>0</v>
      </c>
      <c r="E28" s="505">
        <f t="shared" si="5"/>
        <v>0</v>
      </c>
      <c r="F28" s="505">
        <f t="shared" si="5"/>
        <v>0</v>
      </c>
      <c r="G28" s="505">
        <f t="shared" si="5"/>
        <v>0</v>
      </c>
      <c r="H28" s="505">
        <v>0</v>
      </c>
      <c r="I28" s="505">
        <f t="shared" si="6"/>
        <v>0</v>
      </c>
      <c r="J28" s="505">
        <f t="shared" si="6"/>
        <v>0</v>
      </c>
      <c r="K28" s="505">
        <f t="shared" si="6"/>
        <v>0</v>
      </c>
      <c r="L28" s="505">
        <f t="shared" si="6"/>
        <v>0</v>
      </c>
      <c r="M28" s="505">
        <f t="shared" si="2"/>
        <v>0</v>
      </c>
      <c r="N28" s="505">
        <f t="shared" si="3"/>
        <v>0</v>
      </c>
      <c r="O28" s="506">
        <f t="shared" si="1"/>
        <v>0</v>
      </c>
    </row>
    <row r="29" spans="1:15" ht="15" hidden="1" customHeight="1" x14ac:dyDescent="0.2">
      <c r="A29" s="1034"/>
      <c r="B29" s="507" t="s">
        <v>139</v>
      </c>
      <c r="C29" s="505">
        <v>0</v>
      </c>
      <c r="D29" s="505">
        <f t="shared" si="5"/>
        <v>0</v>
      </c>
      <c r="E29" s="505">
        <f t="shared" si="5"/>
        <v>0</v>
      </c>
      <c r="F29" s="505">
        <f t="shared" si="5"/>
        <v>0</v>
      </c>
      <c r="G29" s="505">
        <f t="shared" si="5"/>
        <v>0</v>
      </c>
      <c r="H29" s="505">
        <v>0</v>
      </c>
      <c r="I29" s="505">
        <f t="shared" si="6"/>
        <v>0</v>
      </c>
      <c r="J29" s="505">
        <f t="shared" si="6"/>
        <v>0</v>
      </c>
      <c r="K29" s="505">
        <f t="shared" si="6"/>
        <v>0</v>
      </c>
      <c r="L29" s="505">
        <f t="shared" si="6"/>
        <v>0</v>
      </c>
      <c r="M29" s="505">
        <f t="shared" si="2"/>
        <v>0</v>
      </c>
      <c r="N29" s="505">
        <f t="shared" si="3"/>
        <v>0</v>
      </c>
      <c r="O29" s="506">
        <f t="shared" si="1"/>
        <v>0</v>
      </c>
    </row>
    <row r="30" spans="1:15" ht="15" hidden="1" customHeight="1" x14ac:dyDescent="0.2">
      <c r="A30" s="1034"/>
      <c r="B30" s="507" t="s">
        <v>140</v>
      </c>
      <c r="C30" s="505">
        <v>0</v>
      </c>
      <c r="D30" s="505">
        <f t="shared" si="5"/>
        <v>0</v>
      </c>
      <c r="E30" s="505">
        <f t="shared" si="5"/>
        <v>0</v>
      </c>
      <c r="F30" s="505">
        <f t="shared" si="5"/>
        <v>0</v>
      </c>
      <c r="G30" s="505">
        <f t="shared" si="5"/>
        <v>0</v>
      </c>
      <c r="H30" s="505">
        <v>0</v>
      </c>
      <c r="I30" s="505">
        <f t="shared" si="6"/>
        <v>0</v>
      </c>
      <c r="J30" s="505">
        <f t="shared" si="6"/>
        <v>0</v>
      </c>
      <c r="K30" s="505">
        <f t="shared" si="6"/>
        <v>0</v>
      </c>
      <c r="L30" s="505">
        <f t="shared" si="6"/>
        <v>0</v>
      </c>
      <c r="M30" s="505">
        <f t="shared" si="2"/>
        <v>0</v>
      </c>
      <c r="N30" s="505">
        <f t="shared" si="3"/>
        <v>0</v>
      </c>
      <c r="O30" s="506">
        <f t="shared" si="1"/>
        <v>0</v>
      </c>
    </row>
    <row r="31" spans="1:15" ht="18.75" hidden="1" customHeight="1" x14ac:dyDescent="0.2">
      <c r="A31" s="1034"/>
      <c r="B31" s="507" t="s">
        <v>225</v>
      </c>
      <c r="C31" s="505">
        <v>0</v>
      </c>
      <c r="D31" s="505">
        <f t="shared" si="5"/>
        <v>0</v>
      </c>
      <c r="E31" s="505">
        <f t="shared" si="5"/>
        <v>0</v>
      </c>
      <c r="F31" s="505">
        <f t="shared" si="5"/>
        <v>0</v>
      </c>
      <c r="G31" s="505">
        <f t="shared" si="5"/>
        <v>0</v>
      </c>
      <c r="H31" s="505">
        <v>0</v>
      </c>
      <c r="I31" s="505">
        <f t="shared" ref="I31:L37" si="7">+H31</f>
        <v>0</v>
      </c>
      <c r="J31" s="505">
        <f t="shared" si="7"/>
        <v>0</v>
      </c>
      <c r="K31" s="505">
        <f t="shared" si="7"/>
        <v>0</v>
      </c>
      <c r="L31" s="505">
        <f t="shared" si="7"/>
        <v>0</v>
      </c>
      <c r="M31" s="505">
        <f t="shared" si="2"/>
        <v>0</v>
      </c>
      <c r="N31" s="505">
        <f t="shared" si="3"/>
        <v>0</v>
      </c>
      <c r="O31" s="506">
        <f t="shared" si="1"/>
        <v>0</v>
      </c>
    </row>
    <row r="32" spans="1:15" ht="15" customHeight="1" x14ac:dyDescent="0.2">
      <c r="A32" s="1034"/>
      <c r="B32" s="511" t="s">
        <v>142</v>
      </c>
      <c r="C32" s="505">
        <v>0</v>
      </c>
      <c r="D32" s="505">
        <f t="shared" si="5"/>
        <v>0</v>
      </c>
      <c r="E32" s="505">
        <v>623880</v>
      </c>
      <c r="F32" s="505">
        <v>0</v>
      </c>
      <c r="G32" s="505">
        <f t="shared" si="5"/>
        <v>0</v>
      </c>
      <c r="H32" s="505">
        <v>0</v>
      </c>
      <c r="I32" s="505">
        <f t="shared" si="7"/>
        <v>0</v>
      </c>
      <c r="J32" s="505">
        <f t="shared" si="7"/>
        <v>0</v>
      </c>
      <c r="K32" s="505">
        <f t="shared" si="7"/>
        <v>0</v>
      </c>
      <c r="L32" s="505">
        <f t="shared" si="7"/>
        <v>0</v>
      </c>
      <c r="M32" s="505">
        <f t="shared" si="2"/>
        <v>0</v>
      </c>
      <c r="N32" s="505">
        <f t="shared" si="3"/>
        <v>0</v>
      </c>
      <c r="O32" s="506">
        <f t="shared" si="1"/>
        <v>623880</v>
      </c>
    </row>
    <row r="33" spans="1:18" ht="12.75" hidden="1" customHeight="1" x14ac:dyDescent="0.2">
      <c r="A33" s="1035"/>
      <c r="B33" s="507" t="s">
        <v>226</v>
      </c>
      <c r="C33" s="505">
        <v>0</v>
      </c>
      <c r="D33" s="505">
        <f t="shared" si="5"/>
        <v>0</v>
      </c>
      <c r="E33" s="505">
        <f t="shared" si="5"/>
        <v>0</v>
      </c>
      <c r="F33" s="505">
        <f t="shared" si="5"/>
        <v>0</v>
      </c>
      <c r="G33" s="505">
        <f t="shared" si="5"/>
        <v>0</v>
      </c>
      <c r="H33" s="505">
        <v>0</v>
      </c>
      <c r="I33" s="505">
        <f t="shared" si="7"/>
        <v>0</v>
      </c>
      <c r="J33" s="505">
        <f t="shared" si="7"/>
        <v>0</v>
      </c>
      <c r="K33" s="505">
        <f t="shared" si="7"/>
        <v>0</v>
      </c>
      <c r="L33" s="505">
        <f t="shared" si="7"/>
        <v>0</v>
      </c>
      <c r="M33" s="505">
        <f t="shared" si="2"/>
        <v>0</v>
      </c>
      <c r="N33" s="505">
        <f t="shared" si="3"/>
        <v>0</v>
      </c>
      <c r="O33" s="506">
        <f t="shared" si="1"/>
        <v>0</v>
      </c>
    </row>
    <row r="34" spans="1:18" ht="15" customHeight="1" x14ac:dyDescent="0.2">
      <c r="A34" s="624"/>
      <c r="B34" s="507" t="s">
        <v>646</v>
      </c>
      <c r="C34" s="505">
        <v>0</v>
      </c>
      <c r="D34" s="505">
        <f t="shared" si="5"/>
        <v>0</v>
      </c>
      <c r="E34" s="505">
        <f t="shared" si="5"/>
        <v>0</v>
      </c>
      <c r="F34" s="505">
        <f t="shared" si="5"/>
        <v>0</v>
      </c>
      <c r="G34" s="505">
        <f t="shared" si="5"/>
        <v>0</v>
      </c>
      <c r="H34" s="505">
        <v>0</v>
      </c>
      <c r="I34" s="505">
        <f t="shared" si="7"/>
        <v>0</v>
      </c>
      <c r="J34" s="505">
        <f t="shared" si="7"/>
        <v>0</v>
      </c>
      <c r="K34" s="505">
        <f t="shared" si="7"/>
        <v>0</v>
      </c>
      <c r="L34" s="505">
        <f t="shared" si="7"/>
        <v>0</v>
      </c>
      <c r="M34" s="505">
        <f t="shared" si="2"/>
        <v>0</v>
      </c>
      <c r="N34" s="505">
        <f t="shared" si="3"/>
        <v>0</v>
      </c>
      <c r="O34" s="506">
        <f t="shared" si="1"/>
        <v>0</v>
      </c>
    </row>
    <row r="35" spans="1:18" ht="15" customHeight="1" x14ac:dyDescent="0.2">
      <c r="A35" s="1036" t="s">
        <v>143</v>
      </c>
      <c r="B35" s="1037"/>
      <c r="C35" s="505">
        <v>0</v>
      </c>
      <c r="D35" s="505">
        <f t="shared" si="5"/>
        <v>0</v>
      </c>
      <c r="E35" s="505">
        <f t="shared" si="5"/>
        <v>0</v>
      </c>
      <c r="F35" s="505">
        <f t="shared" si="5"/>
        <v>0</v>
      </c>
      <c r="G35" s="505">
        <f t="shared" si="5"/>
        <v>0</v>
      </c>
      <c r="H35" s="505">
        <v>0</v>
      </c>
      <c r="I35" s="505">
        <f t="shared" si="7"/>
        <v>0</v>
      </c>
      <c r="J35" s="505">
        <f t="shared" si="7"/>
        <v>0</v>
      </c>
      <c r="K35" s="505">
        <f t="shared" si="7"/>
        <v>0</v>
      </c>
      <c r="L35" s="505">
        <f t="shared" si="7"/>
        <v>0</v>
      </c>
      <c r="M35" s="505">
        <f t="shared" si="2"/>
        <v>0</v>
      </c>
      <c r="N35" s="505">
        <f t="shared" si="3"/>
        <v>0</v>
      </c>
      <c r="O35" s="506">
        <f t="shared" si="1"/>
        <v>0</v>
      </c>
    </row>
    <row r="36" spans="1:18" ht="15" customHeight="1" x14ac:dyDescent="0.2">
      <c r="A36" s="1036" t="s">
        <v>145</v>
      </c>
      <c r="B36" s="1037"/>
      <c r="C36" s="505">
        <v>0</v>
      </c>
      <c r="D36" s="505">
        <v>216</v>
      </c>
      <c r="E36" s="505">
        <v>0</v>
      </c>
      <c r="F36" s="505">
        <f>+E36</f>
        <v>0</v>
      </c>
      <c r="G36" s="505">
        <f t="shared" ref="G36:G37" si="8">+F36</f>
        <v>0</v>
      </c>
      <c r="H36" s="505">
        <v>0</v>
      </c>
      <c r="I36" s="505">
        <f t="shared" si="7"/>
        <v>0</v>
      </c>
      <c r="J36" s="505">
        <v>216</v>
      </c>
      <c r="K36" s="505">
        <v>0</v>
      </c>
      <c r="L36" s="505">
        <f t="shared" si="7"/>
        <v>0</v>
      </c>
      <c r="M36" s="505">
        <f t="shared" si="2"/>
        <v>0</v>
      </c>
      <c r="N36" s="505">
        <f t="shared" si="3"/>
        <v>0</v>
      </c>
      <c r="O36" s="506">
        <f t="shared" si="1"/>
        <v>432</v>
      </c>
    </row>
    <row r="37" spans="1:18" ht="15" customHeight="1" x14ac:dyDescent="0.2">
      <c r="A37" s="1036" t="s">
        <v>146</v>
      </c>
      <c r="B37" s="1037"/>
      <c r="C37" s="505">
        <v>0</v>
      </c>
      <c r="D37" s="505">
        <v>3030</v>
      </c>
      <c r="E37" s="505">
        <v>0</v>
      </c>
      <c r="F37" s="505">
        <f>+E37</f>
        <v>0</v>
      </c>
      <c r="G37" s="505">
        <f t="shared" si="8"/>
        <v>0</v>
      </c>
      <c r="H37" s="505">
        <v>0</v>
      </c>
      <c r="I37" s="505">
        <f t="shared" si="7"/>
        <v>0</v>
      </c>
      <c r="J37" s="505">
        <v>3120</v>
      </c>
      <c r="K37" s="505">
        <v>0</v>
      </c>
      <c r="L37" s="505">
        <f t="shared" si="7"/>
        <v>0</v>
      </c>
      <c r="M37" s="505">
        <f t="shared" si="2"/>
        <v>0</v>
      </c>
      <c r="N37" s="505">
        <f t="shared" si="3"/>
        <v>0</v>
      </c>
      <c r="O37" s="506">
        <f t="shared" si="1"/>
        <v>6150</v>
      </c>
    </row>
    <row r="38" spans="1:18" ht="15" customHeight="1" x14ac:dyDescent="0.2">
      <c r="A38" s="513"/>
      <c r="B38" s="514" t="s">
        <v>147</v>
      </c>
      <c r="C38" s="515">
        <f t="shared" ref="C38:N38" si="9">SUM(C9:C37)</f>
        <v>56805</v>
      </c>
      <c r="D38" s="515">
        <f t="shared" si="9"/>
        <v>61133</v>
      </c>
      <c r="E38" s="515">
        <f t="shared" si="9"/>
        <v>681767</v>
      </c>
      <c r="F38" s="515">
        <f t="shared" si="9"/>
        <v>57887</v>
      </c>
      <c r="G38" s="515">
        <f t="shared" si="9"/>
        <v>59492</v>
      </c>
      <c r="H38" s="515">
        <f t="shared" si="9"/>
        <v>59492</v>
      </c>
      <c r="I38" s="515">
        <f t="shared" si="9"/>
        <v>59492</v>
      </c>
      <c r="J38" s="515">
        <f t="shared" si="9"/>
        <v>70848</v>
      </c>
      <c r="K38" s="515">
        <f t="shared" si="9"/>
        <v>60604</v>
      </c>
      <c r="L38" s="515">
        <f t="shared" si="9"/>
        <v>60604</v>
      </c>
      <c r="M38" s="515">
        <f t="shared" si="9"/>
        <v>60604</v>
      </c>
      <c r="N38" s="515">
        <f t="shared" si="9"/>
        <v>60604</v>
      </c>
      <c r="O38" s="516">
        <f t="shared" si="1"/>
        <v>1349332</v>
      </c>
    </row>
    <row r="39" spans="1:18" ht="15" customHeight="1" x14ac:dyDescent="0.2">
      <c r="A39" s="995" t="s">
        <v>148</v>
      </c>
      <c r="B39" s="517" t="s">
        <v>149</v>
      </c>
      <c r="C39" s="508">
        <v>500</v>
      </c>
      <c r="D39" s="508">
        <v>0</v>
      </c>
      <c r="E39" s="508">
        <v>62888</v>
      </c>
      <c r="F39" s="508">
        <v>500</v>
      </c>
      <c r="G39" s="508">
        <v>500</v>
      </c>
      <c r="H39" s="508">
        <v>500</v>
      </c>
      <c r="I39" s="508">
        <v>500</v>
      </c>
      <c r="J39" s="508">
        <v>500</v>
      </c>
      <c r="K39" s="508">
        <v>0</v>
      </c>
      <c r="L39" s="508">
        <v>7500</v>
      </c>
      <c r="M39" s="508">
        <v>7500</v>
      </c>
      <c r="N39" s="508">
        <v>5355</v>
      </c>
      <c r="O39" s="506">
        <f t="shared" si="1"/>
        <v>86243</v>
      </c>
      <c r="P39" s="518"/>
    </row>
    <row r="40" spans="1:18" ht="15" x14ac:dyDescent="0.2">
      <c r="A40" s="996"/>
      <c r="B40" s="517" t="s">
        <v>150</v>
      </c>
      <c r="C40" s="508">
        <v>0</v>
      </c>
      <c r="D40" s="508">
        <v>0</v>
      </c>
      <c r="E40" s="508">
        <v>0</v>
      </c>
      <c r="F40" s="508">
        <v>0</v>
      </c>
      <c r="G40" s="508">
        <v>0</v>
      </c>
      <c r="H40" s="508">
        <v>0</v>
      </c>
      <c r="I40" s="508">
        <v>0</v>
      </c>
      <c r="J40" s="508">
        <v>0</v>
      </c>
      <c r="K40" s="508">
        <v>0</v>
      </c>
      <c r="L40" s="508">
        <v>0</v>
      </c>
      <c r="M40" s="508">
        <v>0</v>
      </c>
      <c r="N40" s="508">
        <v>0</v>
      </c>
      <c r="O40" s="506">
        <f t="shared" si="1"/>
        <v>0</v>
      </c>
      <c r="R40" s="490"/>
    </row>
    <row r="41" spans="1:18" ht="15" x14ac:dyDescent="0.2">
      <c r="A41" s="996"/>
      <c r="B41" s="517" t="s">
        <v>151</v>
      </c>
      <c r="C41" s="508">
        <v>30</v>
      </c>
      <c r="D41" s="508">
        <v>30</v>
      </c>
      <c r="E41" s="508">
        <v>30</v>
      </c>
      <c r="F41" s="508">
        <v>30</v>
      </c>
      <c r="G41" s="508">
        <v>30</v>
      </c>
      <c r="H41" s="508">
        <v>30</v>
      </c>
      <c r="I41" s="508">
        <v>30</v>
      </c>
      <c r="J41" s="508">
        <v>30</v>
      </c>
      <c r="K41" s="508">
        <v>30</v>
      </c>
      <c r="L41" s="508">
        <v>30</v>
      </c>
      <c r="M41" s="508">
        <v>30</v>
      </c>
      <c r="N41" s="508">
        <v>30</v>
      </c>
      <c r="O41" s="506">
        <f t="shared" si="1"/>
        <v>360</v>
      </c>
    </row>
    <row r="42" spans="1:18" ht="15" x14ac:dyDescent="0.2">
      <c r="A42" s="996"/>
      <c r="B42" s="517" t="s">
        <v>152</v>
      </c>
      <c r="C42" s="508">
        <v>0</v>
      </c>
      <c r="D42" s="508">
        <v>0</v>
      </c>
      <c r="E42" s="508">
        <v>0</v>
      </c>
      <c r="F42" s="508">
        <v>0</v>
      </c>
      <c r="G42" s="508">
        <v>0</v>
      </c>
      <c r="H42" s="508">
        <v>0</v>
      </c>
      <c r="I42" s="508">
        <v>0</v>
      </c>
      <c r="J42" s="508">
        <v>0</v>
      </c>
      <c r="K42" s="508">
        <v>0</v>
      </c>
      <c r="L42" s="508">
        <v>0</v>
      </c>
      <c r="M42" s="508">
        <v>0</v>
      </c>
      <c r="N42" s="508">
        <v>0</v>
      </c>
      <c r="O42" s="506">
        <f t="shared" si="1"/>
        <v>0</v>
      </c>
    </row>
    <row r="43" spans="1:18" ht="15" x14ac:dyDescent="0.2">
      <c r="A43" s="996"/>
      <c r="B43" s="517" t="s">
        <v>153</v>
      </c>
      <c r="C43" s="508">
        <v>250</v>
      </c>
      <c r="D43" s="508">
        <v>250</v>
      </c>
      <c r="E43" s="508">
        <v>250</v>
      </c>
      <c r="F43" s="508">
        <v>250</v>
      </c>
      <c r="G43" s="508">
        <v>450</v>
      </c>
      <c r="H43" s="508">
        <v>450</v>
      </c>
      <c r="I43" s="508">
        <v>450</v>
      </c>
      <c r="J43" s="508">
        <v>450</v>
      </c>
      <c r="K43" s="508">
        <v>450</v>
      </c>
      <c r="L43" s="508">
        <v>450</v>
      </c>
      <c r="M43" s="508">
        <v>450</v>
      </c>
      <c r="N43" s="508">
        <v>450</v>
      </c>
      <c r="O43" s="506">
        <f t="shared" si="1"/>
        <v>4600</v>
      </c>
    </row>
    <row r="44" spans="1:18" ht="15" x14ac:dyDescent="0.2">
      <c r="A44" s="996"/>
      <c r="B44" s="517" t="s">
        <v>154</v>
      </c>
      <c r="C44" s="508">
        <v>5000</v>
      </c>
      <c r="D44" s="508">
        <v>5000</v>
      </c>
      <c r="E44" s="508">
        <v>5000</v>
      </c>
      <c r="F44" s="508">
        <v>5000</v>
      </c>
      <c r="G44" s="508">
        <v>5000</v>
      </c>
      <c r="H44" s="508">
        <v>5000</v>
      </c>
      <c r="I44" s="508">
        <v>5000</v>
      </c>
      <c r="J44" s="508">
        <v>5000</v>
      </c>
      <c r="K44" s="508">
        <v>5000</v>
      </c>
      <c r="L44" s="508">
        <v>5000</v>
      </c>
      <c r="M44" s="508">
        <v>5000</v>
      </c>
      <c r="N44" s="508">
        <v>5000</v>
      </c>
      <c r="O44" s="506">
        <f t="shared" si="1"/>
        <v>60000</v>
      </c>
      <c r="P44" s="519"/>
    </row>
    <row r="45" spans="1:18" ht="15" x14ac:dyDescent="0.2">
      <c r="A45" s="996"/>
      <c r="B45" s="517" t="s">
        <v>155</v>
      </c>
      <c r="C45" s="508">
        <v>200</v>
      </c>
      <c r="D45" s="508">
        <v>200</v>
      </c>
      <c r="E45" s="508">
        <v>200</v>
      </c>
      <c r="F45" s="508">
        <v>200</v>
      </c>
      <c r="G45" s="508">
        <v>200</v>
      </c>
      <c r="H45" s="508">
        <v>200</v>
      </c>
      <c r="I45" s="508">
        <v>200</v>
      </c>
      <c r="J45" s="508">
        <v>200</v>
      </c>
      <c r="K45" s="508">
        <v>200</v>
      </c>
      <c r="L45" s="508">
        <v>200</v>
      </c>
      <c r="M45" s="508">
        <v>200</v>
      </c>
      <c r="N45" s="508">
        <v>300</v>
      </c>
      <c r="O45" s="506">
        <f t="shared" si="1"/>
        <v>2500</v>
      </c>
    </row>
    <row r="46" spans="1:18" ht="15" x14ac:dyDescent="0.2">
      <c r="A46" s="996"/>
      <c r="B46" s="517" t="s">
        <v>156</v>
      </c>
      <c r="C46" s="508">
        <v>363</v>
      </c>
      <c r="D46" s="508">
        <v>363</v>
      </c>
      <c r="E46" s="508">
        <v>363</v>
      </c>
      <c r="F46" s="508">
        <v>363</v>
      </c>
      <c r="G46" s="508">
        <v>363</v>
      </c>
      <c r="H46" s="508">
        <v>363</v>
      </c>
      <c r="I46" s="508">
        <v>363</v>
      </c>
      <c r="J46" s="508">
        <v>363</v>
      </c>
      <c r="K46" s="508">
        <v>363</v>
      </c>
      <c r="L46" s="508">
        <v>363</v>
      </c>
      <c r="M46" s="508">
        <v>363</v>
      </c>
      <c r="N46" s="508">
        <v>363</v>
      </c>
      <c r="O46" s="506">
        <f t="shared" si="1"/>
        <v>4356</v>
      </c>
    </row>
    <row r="47" spans="1:18" ht="15" x14ac:dyDescent="0.2">
      <c r="A47" s="996"/>
      <c r="B47" s="517" t="s">
        <v>157</v>
      </c>
      <c r="C47" s="508">
        <v>0</v>
      </c>
      <c r="D47" s="508">
        <v>0</v>
      </c>
      <c r="E47" s="508">
        <v>0</v>
      </c>
      <c r="F47" s="508">
        <v>0</v>
      </c>
      <c r="G47" s="508">
        <v>0</v>
      </c>
      <c r="H47" s="508">
        <v>0</v>
      </c>
      <c r="I47" s="508">
        <v>0</v>
      </c>
      <c r="J47" s="508">
        <v>0</v>
      </c>
      <c r="K47" s="508">
        <v>0</v>
      </c>
      <c r="L47" s="508">
        <v>0</v>
      </c>
      <c r="M47" s="508">
        <v>0</v>
      </c>
      <c r="N47" s="508">
        <v>0</v>
      </c>
      <c r="O47" s="506">
        <f t="shared" si="1"/>
        <v>0</v>
      </c>
    </row>
    <row r="48" spans="1:18" ht="28.5" customHeight="1" x14ac:dyDescent="0.2">
      <c r="A48" s="997"/>
      <c r="B48" s="520" t="s">
        <v>158</v>
      </c>
      <c r="C48" s="508">
        <v>0</v>
      </c>
      <c r="D48" s="508">
        <v>0</v>
      </c>
      <c r="E48" s="508">
        <v>0</v>
      </c>
      <c r="F48" s="508">
        <v>0</v>
      </c>
      <c r="G48" s="508">
        <v>0</v>
      </c>
      <c r="H48" s="508">
        <v>0</v>
      </c>
      <c r="I48" s="508">
        <v>0</v>
      </c>
      <c r="J48" s="508">
        <v>0</v>
      </c>
      <c r="K48" s="508">
        <v>0</v>
      </c>
      <c r="L48" s="508">
        <v>0</v>
      </c>
      <c r="M48" s="508">
        <v>0</v>
      </c>
      <c r="N48" s="508">
        <v>0</v>
      </c>
      <c r="O48" s="521">
        <f t="shared" si="1"/>
        <v>0</v>
      </c>
    </row>
    <row r="49" spans="1:19" ht="15" x14ac:dyDescent="0.2">
      <c r="A49" s="998"/>
      <c r="B49" s="522" t="s">
        <v>479</v>
      </c>
      <c r="C49" s="508">
        <v>0</v>
      </c>
      <c r="D49" s="508">
        <v>0</v>
      </c>
      <c r="E49" s="508">
        <v>0</v>
      </c>
      <c r="F49" s="508">
        <v>0</v>
      </c>
      <c r="G49" s="508">
        <v>0</v>
      </c>
      <c r="H49" s="508">
        <v>0</v>
      </c>
      <c r="I49" s="508">
        <v>0</v>
      </c>
      <c r="J49" s="508">
        <v>0</v>
      </c>
      <c r="K49" s="508">
        <v>0</v>
      </c>
      <c r="L49" s="508">
        <v>0</v>
      </c>
      <c r="M49" s="508">
        <v>0</v>
      </c>
      <c r="N49" s="508">
        <v>0</v>
      </c>
      <c r="O49" s="521">
        <f t="shared" si="1"/>
        <v>0</v>
      </c>
    </row>
    <row r="50" spans="1:19" ht="15" x14ac:dyDescent="0.2">
      <c r="A50" s="999" t="s">
        <v>160</v>
      </c>
      <c r="B50" s="1000"/>
      <c r="C50" s="523">
        <f t="shared" ref="C50:N50" si="10">SUM(C39:C49)</f>
        <v>6343</v>
      </c>
      <c r="D50" s="523">
        <f t="shared" si="10"/>
        <v>5843</v>
      </c>
      <c r="E50" s="523">
        <f t="shared" si="10"/>
        <v>68731</v>
      </c>
      <c r="F50" s="523">
        <f t="shared" si="10"/>
        <v>6343</v>
      </c>
      <c r="G50" s="523">
        <f t="shared" si="10"/>
        <v>6543</v>
      </c>
      <c r="H50" s="523">
        <f t="shared" si="10"/>
        <v>6543</v>
      </c>
      <c r="I50" s="523">
        <f t="shared" si="10"/>
        <v>6543</v>
      </c>
      <c r="J50" s="523">
        <f t="shared" si="10"/>
        <v>6543</v>
      </c>
      <c r="K50" s="523">
        <f t="shared" si="10"/>
        <v>6043</v>
      </c>
      <c r="L50" s="523">
        <f t="shared" si="10"/>
        <v>13543</v>
      </c>
      <c r="M50" s="523">
        <f t="shared" si="10"/>
        <v>13543</v>
      </c>
      <c r="N50" s="523">
        <f t="shared" si="10"/>
        <v>11498</v>
      </c>
      <c r="O50" s="524">
        <f t="shared" si="1"/>
        <v>158059</v>
      </c>
    </row>
    <row r="51" spans="1:19" ht="15.75" thickBot="1" x14ac:dyDescent="0.25">
      <c r="A51" s="1001" t="s">
        <v>161</v>
      </c>
      <c r="B51" s="1002"/>
      <c r="C51" s="525">
        <f t="shared" ref="C51:N51" si="11">C38-C50</f>
        <v>50462</v>
      </c>
      <c r="D51" s="525">
        <f t="shared" si="11"/>
        <v>55290</v>
      </c>
      <c r="E51" s="525">
        <f t="shared" si="11"/>
        <v>613036</v>
      </c>
      <c r="F51" s="525">
        <f t="shared" si="11"/>
        <v>51544</v>
      </c>
      <c r="G51" s="525">
        <f t="shared" si="11"/>
        <v>52949</v>
      </c>
      <c r="H51" s="525">
        <f t="shared" si="11"/>
        <v>52949</v>
      </c>
      <c r="I51" s="525">
        <f t="shared" si="11"/>
        <v>52949</v>
      </c>
      <c r="J51" s="525">
        <f t="shared" si="11"/>
        <v>64305</v>
      </c>
      <c r="K51" s="525">
        <f t="shared" si="11"/>
        <v>54561</v>
      </c>
      <c r="L51" s="525">
        <f t="shared" si="11"/>
        <v>47061</v>
      </c>
      <c r="M51" s="525">
        <f t="shared" si="11"/>
        <v>47061</v>
      </c>
      <c r="N51" s="525">
        <f t="shared" si="11"/>
        <v>49106</v>
      </c>
      <c r="O51" s="526">
        <f t="shared" si="1"/>
        <v>1191273</v>
      </c>
    </row>
    <row r="52" spans="1:19" x14ac:dyDescent="0.2">
      <c r="J52" s="504">
        <f>+J38-SUM(J20:J37)</f>
        <v>60604</v>
      </c>
      <c r="M52" s="504">
        <f>21404+28067</f>
        <v>49471</v>
      </c>
      <c r="Q52" s="528"/>
    </row>
    <row r="53" spans="1:19" ht="13.5" thickBot="1" x14ac:dyDescent="0.25">
      <c r="J53" s="528">
        <f>+J52-J50</f>
        <v>54061</v>
      </c>
    </row>
    <row r="54" spans="1:19" ht="13.5" thickBot="1" x14ac:dyDescent="0.25">
      <c r="B54" s="955" t="s">
        <v>162</v>
      </c>
      <c r="C54" s="1003"/>
      <c r="D54" s="1003"/>
      <c r="E54" s="1003"/>
      <c r="F54" s="1004"/>
      <c r="G54" s="1005">
        <f>O38</f>
        <v>1349332</v>
      </c>
      <c r="H54" s="1006"/>
    </row>
    <row r="55" spans="1:19" ht="13.5" thickBot="1" x14ac:dyDescent="0.25"/>
    <row r="56" spans="1:19" x14ac:dyDescent="0.2">
      <c r="B56" s="1007" t="s">
        <v>163</v>
      </c>
      <c r="C56" s="1010" t="s">
        <v>164</v>
      </c>
      <c r="D56" s="1013" t="s">
        <v>1673</v>
      </c>
      <c r="E56" s="1014"/>
      <c r="F56" s="1015"/>
      <c r="G56" s="1016">
        <v>40000</v>
      </c>
      <c r="H56" s="1017"/>
    </row>
    <row r="57" spans="1:19" x14ac:dyDescent="0.2">
      <c r="B57" s="1008"/>
      <c r="C57" s="1011"/>
      <c r="D57" s="1018" t="s">
        <v>166</v>
      </c>
      <c r="E57" s="1019"/>
      <c r="F57" s="1020"/>
      <c r="G57" s="1021">
        <f>+O45</f>
        <v>2500</v>
      </c>
      <c r="H57" s="1022"/>
      <c r="I57" s="529"/>
      <c r="J57" s="1090"/>
      <c r="K57" s="1090"/>
      <c r="L57" s="1090"/>
      <c r="M57" s="1091"/>
      <c r="N57" s="1091"/>
      <c r="O57" s="1091"/>
    </row>
    <row r="58" spans="1:19" ht="13.5" thickBot="1" x14ac:dyDescent="0.25">
      <c r="B58" s="1009"/>
      <c r="C58" s="1012"/>
      <c r="D58" s="1023" t="s">
        <v>243</v>
      </c>
      <c r="E58" s="1024"/>
      <c r="F58" s="1025"/>
      <c r="G58" s="1026">
        <f>IF(O18&gt;15000,15000,+O18)</f>
        <v>0</v>
      </c>
      <c r="H58" s="1027"/>
      <c r="J58" s="531"/>
      <c r="K58" s="531"/>
      <c r="L58" s="531"/>
      <c r="M58" s="531"/>
      <c r="N58" s="531"/>
      <c r="O58" s="531"/>
    </row>
    <row r="59" spans="1:19" ht="13.5" thickBot="1" x14ac:dyDescent="0.25">
      <c r="B59" s="532"/>
      <c r="J59" s="531"/>
      <c r="K59" s="531"/>
      <c r="L59" s="531"/>
      <c r="M59" s="531"/>
      <c r="N59" s="531"/>
      <c r="O59" s="531"/>
    </row>
    <row r="60" spans="1:19" ht="13.5" thickBot="1" x14ac:dyDescent="0.25">
      <c r="B60" s="955" t="s">
        <v>168</v>
      </c>
      <c r="C60" s="956"/>
      <c r="D60" s="956"/>
      <c r="E60" s="956"/>
      <c r="F60" s="957"/>
      <c r="G60" s="1028">
        <f>+G54-SUM(G56:H58)</f>
        <v>1306832</v>
      </c>
      <c r="H60" s="1029"/>
      <c r="J60" s="992" t="s">
        <v>169</v>
      </c>
      <c r="K60" s="993"/>
      <c r="L60" s="993"/>
      <c r="M60" s="993"/>
      <c r="N60" s="993"/>
      <c r="O60" s="994"/>
    </row>
    <row r="61" spans="1:19" ht="13.5" thickBot="1" x14ac:dyDescent="0.25">
      <c r="B61" s="533"/>
      <c r="C61" s="534"/>
      <c r="D61" s="534"/>
      <c r="E61" s="534"/>
      <c r="F61" s="534"/>
      <c r="G61" s="656"/>
      <c r="H61" s="534"/>
      <c r="J61" s="658"/>
      <c r="K61" s="659"/>
      <c r="L61" s="659"/>
      <c r="M61" s="659"/>
      <c r="N61" s="659"/>
      <c r="O61" s="660"/>
    </row>
    <row r="62" spans="1:19" ht="13.5" thickBot="1" x14ac:dyDescent="0.25">
      <c r="B62" s="955" t="s">
        <v>170</v>
      </c>
      <c r="C62" s="956"/>
      <c r="D62" s="956"/>
      <c r="E62" s="956"/>
      <c r="F62" s="957"/>
      <c r="G62" s="1047"/>
      <c r="H62" s="957"/>
      <c r="J62" s="658"/>
      <c r="K62" s="659"/>
      <c r="L62" s="659"/>
      <c r="M62" s="659"/>
      <c r="N62" s="659"/>
      <c r="O62" s="660"/>
    </row>
    <row r="63" spans="1:19" ht="12.75" customHeight="1" x14ac:dyDescent="0.2">
      <c r="B63" s="538" t="s">
        <v>171</v>
      </c>
      <c r="C63" s="977" t="s">
        <v>172</v>
      </c>
      <c r="D63" s="978"/>
      <c r="E63" s="978"/>
      <c r="F63" s="979"/>
      <c r="G63" s="980">
        <v>0</v>
      </c>
      <c r="H63" s="980"/>
      <c r="I63" s="539"/>
      <c r="J63" s="981" t="s">
        <v>173</v>
      </c>
      <c r="K63" s="982"/>
      <c r="L63" s="982"/>
      <c r="M63" s="982"/>
      <c r="N63" s="982"/>
      <c r="O63" s="983"/>
      <c r="Q63" s="540"/>
      <c r="R63" s="540"/>
      <c r="S63" s="540"/>
    </row>
    <row r="64" spans="1:19" ht="13.5" thickBot="1" x14ac:dyDescent="0.25">
      <c r="D64" s="527"/>
      <c r="I64" s="539"/>
      <c r="J64" s="541" t="s">
        <v>647</v>
      </c>
      <c r="K64" s="631"/>
      <c r="L64" s="631"/>
      <c r="M64" s="632"/>
      <c r="N64" s="632"/>
      <c r="O64" s="633"/>
      <c r="Q64" s="540"/>
      <c r="R64" s="540"/>
      <c r="S64" s="540"/>
    </row>
    <row r="65" spans="2:19" ht="13.5" thickBot="1" x14ac:dyDescent="0.25">
      <c r="B65" s="955" t="s">
        <v>175</v>
      </c>
      <c r="C65" s="956"/>
      <c r="D65" s="956"/>
      <c r="E65" s="956"/>
      <c r="F65" s="957"/>
      <c r="G65" s="1047">
        <f>+G60-G63</f>
        <v>1306832</v>
      </c>
      <c r="H65" s="957"/>
      <c r="I65" s="544"/>
      <c r="J65" s="545" t="s">
        <v>648</v>
      </c>
      <c r="K65" s="529"/>
      <c r="L65" s="529"/>
      <c r="M65" s="529"/>
      <c r="N65" s="529"/>
      <c r="O65" s="546"/>
      <c r="Q65" s="540"/>
      <c r="R65" s="540"/>
      <c r="S65" s="540"/>
    </row>
    <row r="66" spans="2:19" ht="12.75" customHeight="1" x14ac:dyDescent="0.2">
      <c r="B66" s="532"/>
      <c r="C66" s="532"/>
      <c r="I66" s="544"/>
      <c r="J66" s="547" t="s">
        <v>649</v>
      </c>
      <c r="K66" s="529"/>
      <c r="L66" s="529"/>
      <c r="M66" s="529"/>
      <c r="N66" s="529"/>
      <c r="O66" s="546">
        <f>76697+60113</f>
        <v>136810</v>
      </c>
      <c r="Q66" s="540"/>
      <c r="R66" s="540"/>
      <c r="S66" s="540"/>
    </row>
    <row r="67" spans="2:19" x14ac:dyDescent="0.2">
      <c r="B67" s="548" t="s">
        <v>176</v>
      </c>
      <c r="C67" s="532"/>
      <c r="I67" s="544"/>
      <c r="J67" s="549"/>
      <c r="K67" s="550"/>
      <c r="L67" s="550"/>
      <c r="M67" s="550"/>
      <c r="N67" s="550"/>
      <c r="O67" s="551"/>
      <c r="Q67" s="540"/>
      <c r="R67" s="540"/>
      <c r="S67" s="540"/>
    </row>
    <row r="68" spans="2:19" ht="26.25" customHeight="1" thickBot="1" x14ac:dyDescent="0.25">
      <c r="B68" s="548"/>
      <c r="C68" s="532"/>
      <c r="G68" s="552" t="s">
        <v>177</v>
      </c>
      <c r="H68" s="552" t="s">
        <v>178</v>
      </c>
      <c r="I68" s="544"/>
      <c r="J68" s="981" t="s">
        <v>179</v>
      </c>
      <c r="K68" s="982"/>
      <c r="L68" s="553"/>
      <c r="M68" s="553"/>
      <c r="N68" s="553"/>
      <c r="O68" s="655" t="s">
        <v>267</v>
      </c>
      <c r="Q68" s="540"/>
      <c r="R68" s="540"/>
      <c r="S68" s="540"/>
    </row>
    <row r="69" spans="2:19" ht="12.75" customHeight="1" x14ac:dyDescent="0.2">
      <c r="B69" s="968" t="s">
        <v>180</v>
      </c>
      <c r="C69" s="971" t="s">
        <v>181</v>
      </c>
      <c r="D69" s="973" t="s">
        <v>182</v>
      </c>
      <c r="E69" s="974"/>
      <c r="F69" s="974"/>
      <c r="G69" s="555">
        <f>+O44</f>
        <v>60000</v>
      </c>
      <c r="H69" s="556">
        <f t="shared" ref="H69:H77" si="12">+G69</f>
        <v>60000</v>
      </c>
      <c r="I69" s="544"/>
      <c r="J69" s="561" t="s">
        <v>650</v>
      </c>
      <c r="K69" s="539"/>
      <c r="L69" s="529"/>
      <c r="M69" s="529" t="s">
        <v>232</v>
      </c>
      <c r="N69" s="539" t="s">
        <v>233</v>
      </c>
      <c r="O69" s="558"/>
      <c r="P69" s="504" t="s">
        <v>651</v>
      </c>
      <c r="Q69" s="637"/>
      <c r="R69" s="637"/>
      <c r="S69" s="637"/>
    </row>
    <row r="70" spans="2:19" ht="12.75" customHeight="1" x14ac:dyDescent="0.2">
      <c r="B70" s="969"/>
      <c r="C70" s="972"/>
      <c r="D70" s="975" t="s">
        <v>184</v>
      </c>
      <c r="E70" s="976"/>
      <c r="F70" s="976"/>
      <c r="G70" s="559">
        <v>0</v>
      </c>
      <c r="H70" s="560">
        <f t="shared" si="12"/>
        <v>0</v>
      </c>
      <c r="I70" s="544"/>
      <c r="J70" s="561"/>
      <c r="K70" s="550"/>
      <c r="L70" s="557"/>
      <c r="M70" s="529"/>
      <c r="N70" s="557"/>
      <c r="O70" s="562"/>
      <c r="Q70" s="637"/>
      <c r="R70" s="637"/>
      <c r="S70" s="637"/>
    </row>
    <row r="71" spans="2:19" ht="12.75" customHeight="1" x14ac:dyDescent="0.2">
      <c r="B71" s="969"/>
      <c r="C71" s="972"/>
      <c r="D71" s="990" t="s">
        <v>185</v>
      </c>
      <c r="E71" s="991"/>
      <c r="F71" s="991"/>
      <c r="G71" s="654">
        <f>O41</f>
        <v>360</v>
      </c>
      <c r="H71" s="560">
        <f t="shared" si="12"/>
        <v>360</v>
      </c>
      <c r="I71" s="544"/>
      <c r="J71" s="561"/>
      <c r="K71" s="539"/>
      <c r="L71" s="557"/>
      <c r="M71" s="529"/>
      <c r="N71" s="557"/>
      <c r="O71" s="562"/>
      <c r="Q71" s="504">
        <v>884476085</v>
      </c>
      <c r="R71" s="504" t="s">
        <v>652</v>
      </c>
      <c r="S71" s="504">
        <v>3060</v>
      </c>
    </row>
    <row r="72" spans="2:19" x14ac:dyDescent="0.2">
      <c r="B72" s="969"/>
      <c r="C72" s="972"/>
      <c r="D72" s="975" t="s">
        <v>186</v>
      </c>
      <c r="E72" s="976"/>
      <c r="F72" s="976"/>
      <c r="G72" s="565">
        <v>0</v>
      </c>
      <c r="H72" s="560">
        <f t="shared" si="12"/>
        <v>0</v>
      </c>
      <c r="I72" s="544"/>
      <c r="J72" s="561"/>
      <c r="K72" s="534"/>
      <c r="L72" s="557"/>
      <c r="M72" s="529"/>
      <c r="N72" s="557"/>
      <c r="O72" s="562"/>
      <c r="Q72" s="504">
        <v>884476088</v>
      </c>
      <c r="R72" s="504" t="s">
        <v>652</v>
      </c>
      <c r="S72" s="504">
        <v>3060</v>
      </c>
    </row>
    <row r="73" spans="2:19" ht="12.75" customHeight="1" x14ac:dyDescent="0.2">
      <c r="B73" s="969"/>
      <c r="C73" s="972"/>
      <c r="D73" s="950" t="s">
        <v>188</v>
      </c>
      <c r="E73" s="976"/>
      <c r="F73" s="976"/>
      <c r="G73" s="654">
        <v>0</v>
      </c>
      <c r="H73" s="560">
        <f t="shared" si="12"/>
        <v>0</v>
      </c>
      <c r="I73" s="544"/>
      <c r="J73" s="561"/>
      <c r="K73" s="529"/>
      <c r="L73" s="529"/>
      <c r="M73" s="529"/>
      <c r="N73" s="557"/>
      <c r="O73" s="562"/>
      <c r="Q73" s="504">
        <v>884476089</v>
      </c>
      <c r="R73" s="504" t="s">
        <v>652</v>
      </c>
      <c r="S73" s="504">
        <v>3060</v>
      </c>
    </row>
    <row r="74" spans="2:19" ht="14.25" customHeight="1" x14ac:dyDescent="0.2">
      <c r="B74" s="969"/>
      <c r="C74" s="972"/>
      <c r="D74" s="975" t="s">
        <v>190</v>
      </c>
      <c r="E74" s="976"/>
      <c r="F74" s="976"/>
      <c r="G74" s="568">
        <v>0</v>
      </c>
      <c r="H74" s="560">
        <f t="shared" si="12"/>
        <v>0</v>
      </c>
      <c r="I74" s="544"/>
      <c r="J74" s="561"/>
      <c r="K74" s="529"/>
      <c r="L74" s="529"/>
      <c r="M74" s="529"/>
      <c r="N74" s="557"/>
      <c r="O74" s="562"/>
      <c r="Q74" s="504">
        <v>884476090</v>
      </c>
      <c r="R74" s="504" t="s">
        <v>652</v>
      </c>
      <c r="S74" s="504">
        <v>3060</v>
      </c>
    </row>
    <row r="75" spans="2:19" x14ac:dyDescent="0.2">
      <c r="B75" s="969"/>
      <c r="C75" s="972"/>
      <c r="D75" s="975" t="s">
        <v>191</v>
      </c>
      <c r="E75" s="976"/>
      <c r="F75" s="976"/>
      <c r="G75" s="565">
        <v>0</v>
      </c>
      <c r="H75" s="560">
        <f t="shared" si="12"/>
        <v>0</v>
      </c>
      <c r="I75" s="539"/>
      <c r="J75" s="638"/>
      <c r="K75" s="529"/>
      <c r="L75" s="529"/>
      <c r="M75" s="529"/>
      <c r="N75" s="557"/>
      <c r="O75" s="546"/>
      <c r="Q75" s="504">
        <v>884460574</v>
      </c>
      <c r="R75" s="504" t="s">
        <v>653</v>
      </c>
      <c r="S75" s="504">
        <v>4896</v>
      </c>
    </row>
    <row r="76" spans="2:19" x14ac:dyDescent="0.2">
      <c r="B76" s="969"/>
      <c r="C76" s="571" t="s">
        <v>192</v>
      </c>
      <c r="D76" s="984" t="s">
        <v>193</v>
      </c>
      <c r="E76" s="985"/>
      <c r="F76" s="985"/>
      <c r="G76" s="654">
        <v>0</v>
      </c>
      <c r="H76" s="560">
        <f t="shared" si="12"/>
        <v>0</v>
      </c>
      <c r="I76" s="539"/>
      <c r="J76" s="639"/>
      <c r="K76" s="529"/>
      <c r="L76" s="529"/>
      <c r="M76" s="529"/>
      <c r="N76" s="557"/>
      <c r="O76" s="640"/>
      <c r="Q76" s="504">
        <v>884460575</v>
      </c>
      <c r="R76" s="504" t="s">
        <v>653</v>
      </c>
      <c r="S76" s="504">
        <v>4896</v>
      </c>
    </row>
    <row r="77" spans="2:19" ht="13.5" customHeight="1" thickBot="1" x14ac:dyDescent="0.25">
      <c r="B77" s="969"/>
      <c r="C77" s="571" t="s">
        <v>194</v>
      </c>
      <c r="D77" s="986" t="s">
        <v>195</v>
      </c>
      <c r="E77" s="986"/>
      <c r="F77" s="986"/>
      <c r="G77" s="573">
        <v>0</v>
      </c>
      <c r="H77" s="574">
        <f t="shared" si="12"/>
        <v>0</v>
      </c>
      <c r="I77" s="544"/>
      <c r="J77" s="639"/>
      <c r="K77" s="529"/>
      <c r="L77" s="529"/>
      <c r="M77" s="544"/>
      <c r="N77" s="557"/>
      <c r="O77" s="546"/>
      <c r="Q77" s="504">
        <v>884460576</v>
      </c>
      <c r="R77" s="504" t="s">
        <v>653</v>
      </c>
      <c r="S77" s="504">
        <v>4896</v>
      </c>
    </row>
    <row r="78" spans="2:19" ht="13.5" thickBot="1" x14ac:dyDescent="0.25">
      <c r="B78" s="969"/>
      <c r="C78" s="575"/>
      <c r="D78" s="576"/>
      <c r="E78" s="987" t="s">
        <v>117</v>
      </c>
      <c r="F78" s="988"/>
      <c r="G78" s="577">
        <f>SUM(G69:G77)</f>
        <v>60360</v>
      </c>
      <c r="H78" s="578">
        <f>IF(SUM(G69:G75)&lt;150000,SUM(G69:G75),150000)+IF(+G76&lt;20000,+G76,20000)</f>
        <v>60360</v>
      </c>
      <c r="I78" s="544"/>
      <c r="J78" s="619"/>
      <c r="K78" s="529"/>
      <c r="L78" s="529"/>
      <c r="M78" s="529"/>
      <c r="N78" s="529"/>
      <c r="O78" s="546"/>
      <c r="Q78" s="504">
        <v>884460577</v>
      </c>
      <c r="R78" s="504" t="s">
        <v>653</v>
      </c>
      <c r="S78" s="504">
        <v>4896</v>
      </c>
    </row>
    <row r="79" spans="2:19" ht="12.75" customHeight="1" x14ac:dyDescent="0.2">
      <c r="B79" s="969"/>
      <c r="C79" s="583" t="s">
        <v>196</v>
      </c>
      <c r="D79" s="975" t="s">
        <v>187</v>
      </c>
      <c r="E79" s="976"/>
      <c r="F79" s="989"/>
      <c r="G79" s="555">
        <f>+O43+O81</f>
        <v>14980</v>
      </c>
      <c r="H79" s="584">
        <f>+IF(+G79&lt;25000,+G79,25000)</f>
        <v>14980</v>
      </c>
      <c r="I79" s="585"/>
      <c r="J79" s="572" t="s">
        <v>187</v>
      </c>
      <c r="K79" s="553"/>
      <c r="L79" s="553"/>
      <c r="M79" s="553"/>
      <c r="N79" s="553"/>
      <c r="O79" s="554"/>
      <c r="Q79" s="504">
        <v>884460578</v>
      </c>
      <c r="R79" s="504" t="s">
        <v>654</v>
      </c>
      <c r="S79" s="504">
        <v>3756</v>
      </c>
    </row>
    <row r="80" spans="2:19" x14ac:dyDescent="0.2">
      <c r="B80" s="969"/>
      <c r="C80" s="583" t="s">
        <v>197</v>
      </c>
      <c r="D80" s="950" t="s">
        <v>198</v>
      </c>
      <c r="E80" s="951"/>
      <c r="F80" s="952"/>
      <c r="G80" s="586"/>
      <c r="H80" s="587">
        <f>+IF(+G80&lt;40000,+G80,40000)</f>
        <v>0</v>
      </c>
      <c r="I80" s="544"/>
      <c r="J80" s="545" t="s">
        <v>189</v>
      </c>
      <c r="K80" s="534"/>
      <c r="L80" s="534"/>
      <c r="M80" s="534"/>
      <c r="N80" s="534"/>
      <c r="O80" s="570">
        <f>O43</f>
        <v>4600</v>
      </c>
      <c r="Q80" s="504">
        <v>884460579</v>
      </c>
      <c r="R80" s="504" t="s">
        <v>655</v>
      </c>
      <c r="S80" s="504">
        <v>3756</v>
      </c>
    </row>
    <row r="81" spans="2:19" ht="13.5" thickBot="1" x14ac:dyDescent="0.25">
      <c r="B81" s="969"/>
      <c r="C81" s="583" t="s">
        <v>199</v>
      </c>
      <c r="D81" s="950" t="s">
        <v>200</v>
      </c>
      <c r="E81" s="951"/>
      <c r="F81" s="952"/>
      <c r="G81" s="565"/>
      <c r="H81" s="588">
        <v>0</v>
      </c>
      <c r="I81" s="544"/>
      <c r="J81" s="641" t="s">
        <v>656</v>
      </c>
      <c r="K81" s="642"/>
      <c r="L81" s="642"/>
      <c r="M81" s="642"/>
      <c r="N81" s="642"/>
      <c r="O81" s="643">
        <v>10380</v>
      </c>
      <c r="S81" s="593">
        <f>SUM(S71:S80)</f>
        <v>39336</v>
      </c>
    </row>
    <row r="82" spans="2:19" x14ac:dyDescent="0.2">
      <c r="B82" s="969"/>
      <c r="C82" s="583" t="s">
        <v>201</v>
      </c>
      <c r="D82" s="950" t="s">
        <v>202</v>
      </c>
      <c r="E82" s="951"/>
      <c r="F82" s="952"/>
      <c r="G82" s="565"/>
      <c r="H82" s="588">
        <v>0</v>
      </c>
      <c r="I82" s="544"/>
      <c r="S82" s="593">
        <f>SUM(O69:O77)</f>
        <v>0</v>
      </c>
    </row>
    <row r="83" spans="2:19" ht="13.5" thickBot="1" x14ac:dyDescent="0.25">
      <c r="B83" s="970"/>
      <c r="C83" s="583" t="s">
        <v>203</v>
      </c>
      <c r="D83" s="950" t="s">
        <v>204</v>
      </c>
      <c r="E83" s="951"/>
      <c r="F83" s="952"/>
      <c r="G83" s="586"/>
      <c r="H83" s="587">
        <f>+IF(+G83&lt;100000,+G83,10000)</f>
        <v>0</v>
      </c>
      <c r="I83" s="544"/>
    </row>
    <row r="84" spans="2:19" ht="13.5" thickBot="1" x14ac:dyDescent="0.25">
      <c r="B84" s="953" t="s">
        <v>205</v>
      </c>
      <c r="C84" s="954"/>
      <c r="D84" s="954"/>
      <c r="E84" s="954"/>
      <c r="F84" s="954"/>
      <c r="G84" s="591">
        <f>SUM(G79:G83)</f>
        <v>14980</v>
      </c>
      <c r="H84" s="592">
        <f>SUM(H78:H83)</f>
        <v>75340</v>
      </c>
      <c r="J84" s="590"/>
    </row>
    <row r="85" spans="2:19" ht="13.5" thickBot="1" x14ac:dyDescent="0.25"/>
    <row r="86" spans="2:19" ht="13.5" thickBot="1" x14ac:dyDescent="0.25">
      <c r="B86" s="955" t="s">
        <v>206</v>
      </c>
      <c r="C86" s="956"/>
      <c r="D86" s="956"/>
      <c r="E86" s="956"/>
      <c r="F86" s="957"/>
      <c r="G86" s="958">
        <f>+G65-H84</f>
        <v>1231492</v>
      </c>
      <c r="H86" s="957"/>
      <c r="J86" s="504">
        <f>C38+D38+E38+F38</f>
        <v>857592</v>
      </c>
      <c r="K86" s="504" t="s">
        <v>235</v>
      </c>
    </row>
    <row r="87" spans="2:19" x14ac:dyDescent="0.2">
      <c r="B87" s="594"/>
      <c r="F87" s="593"/>
      <c r="J87" s="504">
        <f>G38+H38+I38</f>
        <v>178476</v>
      </c>
      <c r="K87" s="504" t="s">
        <v>236</v>
      </c>
    </row>
    <row r="88" spans="2:19" x14ac:dyDescent="0.2">
      <c r="C88" s="959" t="s">
        <v>207</v>
      </c>
      <c r="D88" s="960"/>
      <c r="E88" s="595" t="s">
        <v>208</v>
      </c>
      <c r="F88" s="595" t="s">
        <v>209</v>
      </c>
      <c r="G88" s="595" t="s">
        <v>210</v>
      </c>
      <c r="H88" s="595" t="s">
        <v>211</v>
      </c>
      <c r="J88" s="504">
        <f>J38+K38+L38</f>
        <v>192056</v>
      </c>
      <c r="K88" s="531" t="s">
        <v>237</v>
      </c>
    </row>
    <row r="89" spans="2:19" x14ac:dyDescent="0.2">
      <c r="C89" s="961" t="str">
        <f>IF(I6="M","0          - 250000","0          -  250000")</f>
        <v>0          - 250000</v>
      </c>
      <c r="D89" s="962"/>
      <c r="E89" s="597">
        <v>0</v>
      </c>
      <c r="F89" s="598">
        <f>IF(I6="M",(IF(G86&lt;250000,G86,250000)),(IF(G86&lt;250000,G86,250000)))</f>
        <v>250000</v>
      </c>
      <c r="G89" s="598">
        <f>G86-F89</f>
        <v>981492</v>
      </c>
      <c r="H89" s="598">
        <f>E89*F89</f>
        <v>0</v>
      </c>
      <c r="J89" s="504">
        <f>M38+N38</f>
        <v>121208</v>
      </c>
      <c r="K89" s="490" t="s">
        <v>238</v>
      </c>
    </row>
    <row r="90" spans="2:19" x14ac:dyDescent="0.2">
      <c r="C90" s="961" t="str">
        <f>IF(I6="M","250001 - 500000","250001-500000")</f>
        <v>250001 - 500000</v>
      </c>
      <c r="D90" s="962"/>
      <c r="E90" s="597">
        <v>0.05</v>
      </c>
      <c r="F90" s="598">
        <f>IF(I6="M",(IF(G89&lt;250000,G89,250000)),(IF(G89&lt;250000,G89,250000)))</f>
        <v>250000</v>
      </c>
      <c r="G90" s="598">
        <f>G89-F90</f>
        <v>731492</v>
      </c>
      <c r="H90" s="600">
        <f>ROUND(E90*F90,0.1)</f>
        <v>12500</v>
      </c>
      <c r="J90" s="601">
        <f>SUM(J86:J89)</f>
        <v>1349332</v>
      </c>
    </row>
    <row r="91" spans="2:19" x14ac:dyDescent="0.2">
      <c r="C91" s="963" t="s">
        <v>212</v>
      </c>
      <c r="D91" s="964"/>
      <c r="E91" s="597">
        <v>0.2</v>
      </c>
      <c r="F91" s="598">
        <f>IF(G90&lt;500000,G90,500000)</f>
        <v>500000</v>
      </c>
      <c r="G91" s="598">
        <f>G90-F91</f>
        <v>231492</v>
      </c>
      <c r="H91" s="600">
        <f>ROUND(E91*F91,0.1)</f>
        <v>100000</v>
      </c>
      <c r="J91" s="504">
        <f>+G86</f>
        <v>1231492</v>
      </c>
    </row>
    <row r="92" spans="2:19" x14ac:dyDescent="0.2">
      <c r="C92" s="961" t="s">
        <v>213</v>
      </c>
      <c r="D92" s="962"/>
      <c r="E92" s="597">
        <v>0.3</v>
      </c>
      <c r="F92" s="598">
        <f>G91</f>
        <v>231492</v>
      </c>
      <c r="G92" s="598">
        <f>G91-F92</f>
        <v>0</v>
      </c>
      <c r="H92" s="600">
        <f>ROUND(E92*F92,0.1)</f>
        <v>69448</v>
      </c>
      <c r="J92" s="504">
        <f>+J90-J91</f>
        <v>117840</v>
      </c>
    </row>
    <row r="93" spans="2:19" ht="12.75" customHeight="1" thickBot="1" x14ac:dyDescent="0.25">
      <c r="B93" s="602"/>
      <c r="C93" s="603"/>
      <c r="D93" s="531"/>
      <c r="E93" s="531"/>
      <c r="F93" s="531"/>
      <c r="J93" s="504">
        <f>ROUND(+G86/12,0.1)</f>
        <v>102624</v>
      </c>
      <c r="K93" s="623" t="s">
        <v>416</v>
      </c>
    </row>
    <row r="94" spans="2:19" ht="13.5" thickBot="1" x14ac:dyDescent="0.25">
      <c r="B94" s="965" t="s">
        <v>239</v>
      </c>
      <c r="C94" s="966"/>
      <c r="D94" s="966"/>
      <c r="E94" s="966"/>
      <c r="F94" s="967"/>
      <c r="G94" s="1088">
        <f>H89+H90+H91+H92</f>
        <v>181948</v>
      </c>
      <c r="H94" s="1089"/>
      <c r="J94" s="504">
        <f>+J91/3</f>
        <v>410497.33333333331</v>
      </c>
    </row>
    <row r="95" spans="2:19" ht="13.5" thickBot="1" x14ac:dyDescent="0.25">
      <c r="B95" s="606" t="s">
        <v>1354</v>
      </c>
      <c r="C95" s="607"/>
      <c r="D95" s="607"/>
      <c r="E95" s="607"/>
      <c r="F95" s="607"/>
      <c r="G95" s="652"/>
      <c r="H95" s="653">
        <v>108864</v>
      </c>
    </row>
    <row r="96" spans="2:19" ht="13.5" thickBot="1" x14ac:dyDescent="0.25">
      <c r="B96" s="606" t="s">
        <v>215</v>
      </c>
      <c r="C96" s="607"/>
      <c r="D96" s="607"/>
      <c r="E96" s="607"/>
      <c r="F96" s="607"/>
      <c r="G96" s="941">
        <f>IF((G65&lt;500000),5000,0)</f>
        <v>0</v>
      </c>
      <c r="H96" s="942">
        <f>IF(H93&lt;200000,0,IF(H93&lt;220000,((H93-200000)*10%),IF(H93&lt;=500000,2000,IF(H93&gt;=500000,0))))</f>
        <v>0</v>
      </c>
      <c r="J96" s="490"/>
      <c r="K96" s="610"/>
      <c r="L96" s="610"/>
    </row>
    <row r="97" spans="2:9" ht="13.5" thickBot="1" x14ac:dyDescent="0.25">
      <c r="B97" s="611" t="s">
        <v>216</v>
      </c>
      <c r="C97" s="612"/>
      <c r="D97" s="612"/>
      <c r="E97" s="612"/>
      <c r="F97" s="612"/>
      <c r="G97" s="943">
        <f>IF((G94-H95-G96)&lt;0,0,(G94-H95-G96))</f>
        <v>73084</v>
      </c>
      <c r="H97" s="944"/>
      <c r="I97" s="527"/>
    </row>
    <row r="98" spans="2:9" ht="13.5" thickBot="1" x14ac:dyDescent="0.25">
      <c r="B98" s="945" t="s">
        <v>240</v>
      </c>
      <c r="C98" s="946"/>
      <c r="D98" s="946"/>
      <c r="E98" s="946"/>
      <c r="F98" s="947"/>
      <c r="G98" s="1084">
        <f>ROUND((IF(G97&gt;0,(G97*4%),0)),0)</f>
        <v>2923</v>
      </c>
      <c r="H98" s="1085"/>
      <c r="I98" s="527"/>
    </row>
    <row r="99" spans="2:9" ht="13.5" thickBot="1" x14ac:dyDescent="0.25">
      <c r="B99" s="933" t="s">
        <v>218</v>
      </c>
      <c r="C99" s="934"/>
      <c r="D99" s="934"/>
      <c r="E99" s="934"/>
      <c r="F99" s="934"/>
      <c r="G99" s="1086">
        <f>G97+G98</f>
        <v>76007</v>
      </c>
      <c r="H99" s="1087"/>
      <c r="I99" s="610"/>
    </row>
    <row r="100" spans="2:9" ht="13.5" thickBot="1" x14ac:dyDescent="0.25">
      <c r="B100" s="937" t="s">
        <v>219</v>
      </c>
      <c r="C100" s="938"/>
      <c r="D100" s="938"/>
      <c r="E100" s="938"/>
      <c r="F100" s="938"/>
      <c r="G100" s="1078">
        <f>O39</f>
        <v>86243</v>
      </c>
      <c r="H100" s="1079"/>
      <c r="I100" s="610"/>
    </row>
    <row r="101" spans="2:9" ht="13.5" thickBot="1" x14ac:dyDescent="0.25">
      <c r="B101" s="937" t="str">
        <f>IF(G101&gt;0,"TAX PAYABLE","TAX REFUND")</f>
        <v>TAX REFUND</v>
      </c>
      <c r="C101" s="938"/>
      <c r="D101" s="938"/>
      <c r="E101" s="938"/>
      <c r="F101" s="938"/>
      <c r="G101" s="1078">
        <f>+G99-G100</f>
        <v>-10236</v>
      </c>
      <c r="H101" s="1079"/>
      <c r="I101" s="527"/>
    </row>
    <row r="102" spans="2:9" x14ac:dyDescent="0.2">
      <c r="C102" s="613"/>
      <c r="D102" s="656"/>
      <c r="E102" s="604"/>
      <c r="F102" s="604"/>
      <c r="G102" s="604"/>
      <c r="H102" s="604"/>
      <c r="I102" s="614"/>
    </row>
    <row r="103" spans="2:9" x14ac:dyDescent="0.2">
      <c r="C103" s="531"/>
      <c r="D103" s="534"/>
      <c r="E103" s="603"/>
      <c r="F103" s="531"/>
      <c r="G103" s="531"/>
      <c r="H103" s="531"/>
      <c r="I103" s="614"/>
    </row>
    <row r="104" spans="2:9" x14ac:dyDescent="0.2">
      <c r="C104" s="529"/>
    </row>
    <row r="105" spans="2:9" x14ac:dyDescent="0.2">
      <c r="C105" s="529"/>
    </row>
    <row r="106" spans="2:9" x14ac:dyDescent="0.2">
      <c r="B106" s="504"/>
    </row>
    <row r="107" spans="2:9" x14ac:dyDescent="0.2">
      <c r="B107" s="504"/>
    </row>
    <row r="108" spans="2:9" x14ac:dyDescent="0.2">
      <c r="B108" s="504"/>
    </row>
    <row r="109" spans="2:9" x14ac:dyDescent="0.2">
      <c r="B109" s="504"/>
    </row>
    <row r="110" spans="2:9" x14ac:dyDescent="0.2">
      <c r="B110" s="504"/>
    </row>
    <row r="111" spans="2:9" x14ac:dyDescent="0.2">
      <c r="B111" s="504"/>
    </row>
    <row r="112" spans="2:9" x14ac:dyDescent="0.2">
      <c r="B112" s="504"/>
    </row>
    <row r="113" spans="2:12" x14ac:dyDescent="0.2">
      <c r="B113" s="504"/>
    </row>
    <row r="114" spans="2:12" x14ac:dyDescent="0.2">
      <c r="B114" s="504"/>
    </row>
    <row r="115" spans="2:12" x14ac:dyDescent="0.2">
      <c r="B115" s="504"/>
    </row>
    <row r="116" spans="2:12" x14ac:dyDescent="0.2">
      <c r="B116" s="504"/>
    </row>
    <row r="117" spans="2:12" x14ac:dyDescent="0.2">
      <c r="B117" s="504"/>
    </row>
    <row r="118" spans="2:12" x14ac:dyDescent="0.2">
      <c r="B118" s="504"/>
      <c r="G118" s="615"/>
    </row>
    <row r="119" spans="2:12" x14ac:dyDescent="0.2">
      <c r="B119" s="504"/>
    </row>
    <row r="120" spans="2:12" x14ac:dyDescent="0.2">
      <c r="B120" s="504"/>
    </row>
    <row r="121" spans="2:12" x14ac:dyDescent="0.2">
      <c r="B121" s="504"/>
    </row>
    <row r="122" spans="2:12" x14ac:dyDescent="0.2">
      <c r="B122" s="504"/>
    </row>
    <row r="123" spans="2:12" x14ac:dyDescent="0.2">
      <c r="H123" s="615"/>
      <c r="I123" s="615"/>
      <c r="J123" s="529"/>
      <c r="K123" s="529"/>
      <c r="L123" s="527"/>
    </row>
    <row r="124" spans="2:12" x14ac:dyDescent="0.2">
      <c r="G124" s="615"/>
      <c r="H124" s="615"/>
      <c r="I124" s="529"/>
      <c r="J124" s="529"/>
      <c r="K124" s="529"/>
      <c r="L124" s="527"/>
    </row>
    <row r="125" spans="2:12" x14ac:dyDescent="0.2">
      <c r="G125" s="615"/>
      <c r="H125" s="615"/>
      <c r="I125" s="529"/>
    </row>
    <row r="126" spans="2:12" x14ac:dyDescent="0.2">
      <c r="G126" s="529"/>
    </row>
    <row r="127" spans="2:12" x14ac:dyDescent="0.2">
      <c r="G127" s="529"/>
    </row>
    <row r="133" spans="7:8" x14ac:dyDescent="0.2">
      <c r="G133" s="529"/>
      <c r="H133" s="527"/>
    </row>
    <row r="134" spans="7:8" x14ac:dyDescent="0.2">
      <c r="G134" s="529"/>
      <c r="H134" s="527"/>
    </row>
    <row r="135" spans="7:8" x14ac:dyDescent="0.2">
      <c r="G135" s="529"/>
    </row>
    <row r="136" spans="7:8" x14ac:dyDescent="0.2">
      <c r="G136" s="529"/>
    </row>
  </sheetData>
  <mergeCells count="93">
    <mergeCell ref="B101:F101"/>
    <mergeCell ref="G101:H101"/>
    <mergeCell ref="A1:C1"/>
    <mergeCell ref="D1:F1"/>
    <mergeCell ref="G1:H1"/>
    <mergeCell ref="A3:C3"/>
    <mergeCell ref="D3:F3"/>
    <mergeCell ref="G3:H3"/>
    <mergeCell ref="A37:B37"/>
    <mergeCell ref="A5:C5"/>
    <mergeCell ref="D5:F5"/>
    <mergeCell ref="G5:H5"/>
    <mergeCell ref="A39:A49"/>
    <mergeCell ref="A50:B50"/>
    <mergeCell ref="A51:B51"/>
    <mergeCell ref="B54:F54"/>
    <mergeCell ref="I1:O1"/>
    <mergeCell ref="A2:C2"/>
    <mergeCell ref="D2:F2"/>
    <mergeCell ref="G2:H2"/>
    <mergeCell ref="I2:O2"/>
    <mergeCell ref="I3:O3"/>
    <mergeCell ref="A4:C4"/>
    <mergeCell ref="D4:F4"/>
    <mergeCell ref="G4:H4"/>
    <mergeCell ref="I4:O4"/>
    <mergeCell ref="I5:O5"/>
    <mergeCell ref="A6:C6"/>
    <mergeCell ref="D6:F6"/>
    <mergeCell ref="G6:H6"/>
    <mergeCell ref="J6:O6"/>
    <mergeCell ref="L7:O7"/>
    <mergeCell ref="A8:B8"/>
    <mergeCell ref="A21:A33"/>
    <mergeCell ref="A35:B35"/>
    <mergeCell ref="A36:B36"/>
    <mergeCell ref="G54:H54"/>
    <mergeCell ref="B60:F60"/>
    <mergeCell ref="G60:H60"/>
    <mergeCell ref="J60:O60"/>
    <mergeCell ref="B56:B58"/>
    <mergeCell ref="C56:C58"/>
    <mergeCell ref="D56:F56"/>
    <mergeCell ref="G56:H56"/>
    <mergeCell ref="D57:F57"/>
    <mergeCell ref="G57:H57"/>
    <mergeCell ref="J57:L57"/>
    <mergeCell ref="M57:O57"/>
    <mergeCell ref="D58:F58"/>
    <mergeCell ref="G58:H58"/>
    <mergeCell ref="J63:O63"/>
    <mergeCell ref="D81:F81"/>
    <mergeCell ref="J68:K68"/>
    <mergeCell ref="B65:F65"/>
    <mergeCell ref="G65:H65"/>
    <mergeCell ref="D76:F76"/>
    <mergeCell ref="D77:F77"/>
    <mergeCell ref="E78:F78"/>
    <mergeCell ref="D79:F79"/>
    <mergeCell ref="D80:F80"/>
    <mergeCell ref="D71:F71"/>
    <mergeCell ref="D72:F72"/>
    <mergeCell ref="C69:C75"/>
    <mergeCell ref="D69:F69"/>
    <mergeCell ref="D70:F70"/>
    <mergeCell ref="D74:F74"/>
    <mergeCell ref="G62:H62"/>
    <mergeCell ref="C63:F63"/>
    <mergeCell ref="G63:H63"/>
    <mergeCell ref="B62:F62"/>
    <mergeCell ref="D73:F73"/>
    <mergeCell ref="D75:F75"/>
    <mergeCell ref="G94:H94"/>
    <mergeCell ref="D82:F82"/>
    <mergeCell ref="D83:F83"/>
    <mergeCell ref="B84:F84"/>
    <mergeCell ref="B86:F86"/>
    <mergeCell ref="G86:H86"/>
    <mergeCell ref="C88:D88"/>
    <mergeCell ref="C89:D89"/>
    <mergeCell ref="C90:D90"/>
    <mergeCell ref="C91:D91"/>
    <mergeCell ref="C92:D92"/>
    <mergeCell ref="B94:F94"/>
    <mergeCell ref="B69:B83"/>
    <mergeCell ref="B100:F100"/>
    <mergeCell ref="G100:H100"/>
    <mergeCell ref="G96:H96"/>
    <mergeCell ref="G97:H97"/>
    <mergeCell ref="B98:F98"/>
    <mergeCell ref="G98:H98"/>
    <mergeCell ref="B99:F99"/>
    <mergeCell ref="G99:H99"/>
  </mergeCells>
  <conditionalFormatting sqref="B91:F91 B101:F101 B94:F99">
    <cfRule type="cellIs" dxfId="1859" priority="1" stopIfTrue="1" operator="equal">
      <formula>"TAX PAYABLE"</formula>
    </cfRule>
    <cfRule type="cellIs" dxfId="1858" priority="2" stopIfTrue="1" operator="equal">
      <formula>"TAX REFUND"</formula>
    </cfRule>
  </conditionalFormatting>
  <conditionalFormatting sqref="G91:H91 G94">
    <cfRule type="cellIs" dxfId="1857" priority="3" stopIfTrue="1" operator="lessThan">
      <formula>0</formula>
    </cfRule>
    <cfRule type="cellIs" dxfId="1856" priority="4" stopIfTrue="1" operator="greaterThan">
      <formula>0</formula>
    </cfRule>
  </conditionalFormatting>
  <conditionalFormatting sqref="G101:H101">
    <cfRule type="cellIs" dxfId="1855" priority="5" stopIfTrue="1" operator="greaterThan">
      <formula>0</formula>
    </cfRule>
    <cfRule type="cellIs" dxfId="1854" priority="6"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$Q$8:$Q$9</formula1>
    </dataValidation>
  </dataValidations>
  <pageMargins left="0.7" right="0.7" top="0.75" bottom="0.75" header="0.3" footer="0.3"/>
  <pageSetup paperSize="5" orientation="landscape" horizontalDpi="300" verticalDpi="300" r:id="rId1"/>
  <headerFooter alignWithMargins="0"/>
  <legacy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7"/>
  <sheetViews>
    <sheetView topLeftCell="A65" workbookViewId="0">
      <selection activeCell="L84" sqref="L84"/>
    </sheetView>
  </sheetViews>
  <sheetFormatPr defaultRowHeight="12.75" x14ac:dyDescent="0.2"/>
  <cols>
    <col min="1" max="1" width="5" style="16" customWidth="1"/>
    <col min="2" max="2" width="20" style="37" customWidth="1"/>
    <col min="3" max="3" width="8.42578125" style="16" customWidth="1"/>
    <col min="4" max="4" width="8" style="16" customWidth="1"/>
    <col min="5" max="5" width="8.5703125" style="16" bestFit="1" customWidth="1"/>
    <col min="6" max="9" width="8.42578125" style="16" customWidth="1"/>
    <col min="10" max="14" width="7.85546875" style="16" customWidth="1"/>
    <col min="15" max="15" width="9" style="16" customWidth="1"/>
    <col min="16" max="20" width="9.140625" style="16"/>
    <col min="21" max="21" width="12.42578125" style="16" customWidth="1"/>
    <col min="22" max="22" width="9.140625" style="16"/>
    <col min="23" max="23" width="12" style="16" customWidth="1"/>
    <col min="24" max="256" width="9.140625" style="16"/>
    <col min="257" max="257" width="5" style="16" customWidth="1"/>
    <col min="258" max="258" width="20" style="16" customWidth="1"/>
    <col min="259" max="259" width="8.42578125" style="16" customWidth="1"/>
    <col min="260" max="260" width="8" style="16" customWidth="1"/>
    <col min="261" max="261" width="8.5703125" style="16" bestFit="1" customWidth="1"/>
    <col min="262" max="265" width="8.42578125" style="16" customWidth="1"/>
    <col min="266" max="270" width="7.85546875" style="16" customWidth="1"/>
    <col min="271" max="271" width="9" style="16" customWidth="1"/>
    <col min="272" max="276" width="9.140625" style="16"/>
    <col min="277" max="277" width="12.42578125" style="16" customWidth="1"/>
    <col min="278" max="278" width="9.140625" style="16"/>
    <col min="279" max="279" width="12" style="16" customWidth="1"/>
    <col min="280" max="512" width="9.140625" style="16"/>
    <col min="513" max="513" width="5" style="16" customWidth="1"/>
    <col min="514" max="514" width="20" style="16" customWidth="1"/>
    <col min="515" max="515" width="8.42578125" style="16" customWidth="1"/>
    <col min="516" max="516" width="8" style="16" customWidth="1"/>
    <col min="517" max="517" width="8.5703125" style="16" bestFit="1" customWidth="1"/>
    <col min="518" max="521" width="8.42578125" style="16" customWidth="1"/>
    <col min="522" max="526" width="7.85546875" style="16" customWidth="1"/>
    <col min="527" max="527" width="9" style="16" customWidth="1"/>
    <col min="528" max="532" width="9.140625" style="16"/>
    <col min="533" max="533" width="12.42578125" style="16" customWidth="1"/>
    <col min="534" max="534" width="9.140625" style="16"/>
    <col min="535" max="535" width="12" style="16" customWidth="1"/>
    <col min="536" max="768" width="9.140625" style="16"/>
    <col min="769" max="769" width="5" style="16" customWidth="1"/>
    <col min="770" max="770" width="20" style="16" customWidth="1"/>
    <col min="771" max="771" width="8.42578125" style="16" customWidth="1"/>
    <col min="772" max="772" width="8" style="16" customWidth="1"/>
    <col min="773" max="773" width="8.5703125" style="16" bestFit="1" customWidth="1"/>
    <col min="774" max="777" width="8.42578125" style="16" customWidth="1"/>
    <col min="778" max="782" width="7.85546875" style="16" customWidth="1"/>
    <col min="783" max="783" width="9" style="16" customWidth="1"/>
    <col min="784" max="788" width="9.140625" style="16"/>
    <col min="789" max="789" width="12.42578125" style="16" customWidth="1"/>
    <col min="790" max="790" width="9.140625" style="16"/>
    <col min="791" max="791" width="12" style="16" customWidth="1"/>
    <col min="792" max="1024" width="9.140625" style="16"/>
    <col min="1025" max="1025" width="5" style="16" customWidth="1"/>
    <col min="1026" max="1026" width="20" style="16" customWidth="1"/>
    <col min="1027" max="1027" width="8.42578125" style="16" customWidth="1"/>
    <col min="1028" max="1028" width="8" style="16" customWidth="1"/>
    <col min="1029" max="1029" width="8.5703125" style="16" bestFit="1" customWidth="1"/>
    <col min="1030" max="1033" width="8.42578125" style="16" customWidth="1"/>
    <col min="1034" max="1038" width="7.85546875" style="16" customWidth="1"/>
    <col min="1039" max="1039" width="9" style="16" customWidth="1"/>
    <col min="1040" max="1044" width="9.140625" style="16"/>
    <col min="1045" max="1045" width="12.42578125" style="16" customWidth="1"/>
    <col min="1046" max="1046" width="9.140625" style="16"/>
    <col min="1047" max="1047" width="12" style="16" customWidth="1"/>
    <col min="1048" max="1280" width="9.140625" style="16"/>
    <col min="1281" max="1281" width="5" style="16" customWidth="1"/>
    <col min="1282" max="1282" width="20" style="16" customWidth="1"/>
    <col min="1283" max="1283" width="8.42578125" style="16" customWidth="1"/>
    <col min="1284" max="1284" width="8" style="16" customWidth="1"/>
    <col min="1285" max="1285" width="8.5703125" style="16" bestFit="1" customWidth="1"/>
    <col min="1286" max="1289" width="8.42578125" style="16" customWidth="1"/>
    <col min="1290" max="1294" width="7.85546875" style="16" customWidth="1"/>
    <col min="1295" max="1295" width="9" style="16" customWidth="1"/>
    <col min="1296" max="1300" width="9.140625" style="16"/>
    <col min="1301" max="1301" width="12.42578125" style="16" customWidth="1"/>
    <col min="1302" max="1302" width="9.140625" style="16"/>
    <col min="1303" max="1303" width="12" style="16" customWidth="1"/>
    <col min="1304" max="1536" width="9.140625" style="16"/>
    <col min="1537" max="1537" width="5" style="16" customWidth="1"/>
    <col min="1538" max="1538" width="20" style="16" customWidth="1"/>
    <col min="1539" max="1539" width="8.42578125" style="16" customWidth="1"/>
    <col min="1540" max="1540" width="8" style="16" customWidth="1"/>
    <col min="1541" max="1541" width="8.5703125" style="16" bestFit="1" customWidth="1"/>
    <col min="1542" max="1545" width="8.42578125" style="16" customWidth="1"/>
    <col min="1546" max="1550" width="7.85546875" style="16" customWidth="1"/>
    <col min="1551" max="1551" width="9" style="16" customWidth="1"/>
    <col min="1552" max="1556" width="9.140625" style="16"/>
    <col min="1557" max="1557" width="12.42578125" style="16" customWidth="1"/>
    <col min="1558" max="1558" width="9.140625" style="16"/>
    <col min="1559" max="1559" width="12" style="16" customWidth="1"/>
    <col min="1560" max="1792" width="9.140625" style="16"/>
    <col min="1793" max="1793" width="5" style="16" customWidth="1"/>
    <col min="1794" max="1794" width="20" style="16" customWidth="1"/>
    <col min="1795" max="1795" width="8.42578125" style="16" customWidth="1"/>
    <col min="1796" max="1796" width="8" style="16" customWidth="1"/>
    <col min="1797" max="1797" width="8.5703125" style="16" bestFit="1" customWidth="1"/>
    <col min="1798" max="1801" width="8.42578125" style="16" customWidth="1"/>
    <col min="1802" max="1806" width="7.85546875" style="16" customWidth="1"/>
    <col min="1807" max="1807" width="9" style="16" customWidth="1"/>
    <col min="1808" max="1812" width="9.140625" style="16"/>
    <col min="1813" max="1813" width="12.42578125" style="16" customWidth="1"/>
    <col min="1814" max="1814" width="9.140625" style="16"/>
    <col min="1815" max="1815" width="12" style="16" customWidth="1"/>
    <col min="1816" max="2048" width="9.140625" style="16"/>
    <col min="2049" max="2049" width="5" style="16" customWidth="1"/>
    <col min="2050" max="2050" width="20" style="16" customWidth="1"/>
    <col min="2051" max="2051" width="8.42578125" style="16" customWidth="1"/>
    <col min="2052" max="2052" width="8" style="16" customWidth="1"/>
    <col min="2053" max="2053" width="8.5703125" style="16" bestFit="1" customWidth="1"/>
    <col min="2054" max="2057" width="8.42578125" style="16" customWidth="1"/>
    <col min="2058" max="2062" width="7.85546875" style="16" customWidth="1"/>
    <col min="2063" max="2063" width="9" style="16" customWidth="1"/>
    <col min="2064" max="2068" width="9.140625" style="16"/>
    <col min="2069" max="2069" width="12.42578125" style="16" customWidth="1"/>
    <col min="2070" max="2070" width="9.140625" style="16"/>
    <col min="2071" max="2071" width="12" style="16" customWidth="1"/>
    <col min="2072" max="2304" width="9.140625" style="16"/>
    <col min="2305" max="2305" width="5" style="16" customWidth="1"/>
    <col min="2306" max="2306" width="20" style="16" customWidth="1"/>
    <col min="2307" max="2307" width="8.42578125" style="16" customWidth="1"/>
    <col min="2308" max="2308" width="8" style="16" customWidth="1"/>
    <col min="2309" max="2309" width="8.5703125" style="16" bestFit="1" customWidth="1"/>
    <col min="2310" max="2313" width="8.42578125" style="16" customWidth="1"/>
    <col min="2314" max="2318" width="7.85546875" style="16" customWidth="1"/>
    <col min="2319" max="2319" width="9" style="16" customWidth="1"/>
    <col min="2320" max="2324" width="9.140625" style="16"/>
    <col min="2325" max="2325" width="12.42578125" style="16" customWidth="1"/>
    <col min="2326" max="2326" width="9.140625" style="16"/>
    <col min="2327" max="2327" width="12" style="16" customWidth="1"/>
    <col min="2328" max="2560" width="9.140625" style="16"/>
    <col min="2561" max="2561" width="5" style="16" customWidth="1"/>
    <col min="2562" max="2562" width="20" style="16" customWidth="1"/>
    <col min="2563" max="2563" width="8.42578125" style="16" customWidth="1"/>
    <col min="2564" max="2564" width="8" style="16" customWidth="1"/>
    <col min="2565" max="2565" width="8.5703125" style="16" bestFit="1" customWidth="1"/>
    <col min="2566" max="2569" width="8.42578125" style="16" customWidth="1"/>
    <col min="2570" max="2574" width="7.85546875" style="16" customWidth="1"/>
    <col min="2575" max="2575" width="9" style="16" customWidth="1"/>
    <col min="2576" max="2580" width="9.140625" style="16"/>
    <col min="2581" max="2581" width="12.42578125" style="16" customWidth="1"/>
    <col min="2582" max="2582" width="9.140625" style="16"/>
    <col min="2583" max="2583" width="12" style="16" customWidth="1"/>
    <col min="2584" max="2816" width="9.140625" style="16"/>
    <col min="2817" max="2817" width="5" style="16" customWidth="1"/>
    <col min="2818" max="2818" width="20" style="16" customWidth="1"/>
    <col min="2819" max="2819" width="8.42578125" style="16" customWidth="1"/>
    <col min="2820" max="2820" width="8" style="16" customWidth="1"/>
    <col min="2821" max="2821" width="8.5703125" style="16" bestFit="1" customWidth="1"/>
    <col min="2822" max="2825" width="8.42578125" style="16" customWidth="1"/>
    <col min="2826" max="2830" width="7.85546875" style="16" customWidth="1"/>
    <col min="2831" max="2831" width="9" style="16" customWidth="1"/>
    <col min="2832" max="2836" width="9.140625" style="16"/>
    <col min="2837" max="2837" width="12.42578125" style="16" customWidth="1"/>
    <col min="2838" max="2838" width="9.140625" style="16"/>
    <col min="2839" max="2839" width="12" style="16" customWidth="1"/>
    <col min="2840" max="3072" width="9.140625" style="16"/>
    <col min="3073" max="3073" width="5" style="16" customWidth="1"/>
    <col min="3074" max="3074" width="20" style="16" customWidth="1"/>
    <col min="3075" max="3075" width="8.42578125" style="16" customWidth="1"/>
    <col min="3076" max="3076" width="8" style="16" customWidth="1"/>
    <col min="3077" max="3077" width="8.5703125" style="16" bestFit="1" customWidth="1"/>
    <col min="3078" max="3081" width="8.42578125" style="16" customWidth="1"/>
    <col min="3082" max="3086" width="7.85546875" style="16" customWidth="1"/>
    <col min="3087" max="3087" width="9" style="16" customWidth="1"/>
    <col min="3088" max="3092" width="9.140625" style="16"/>
    <col min="3093" max="3093" width="12.42578125" style="16" customWidth="1"/>
    <col min="3094" max="3094" width="9.140625" style="16"/>
    <col min="3095" max="3095" width="12" style="16" customWidth="1"/>
    <col min="3096" max="3328" width="9.140625" style="16"/>
    <col min="3329" max="3329" width="5" style="16" customWidth="1"/>
    <col min="3330" max="3330" width="20" style="16" customWidth="1"/>
    <col min="3331" max="3331" width="8.42578125" style="16" customWidth="1"/>
    <col min="3332" max="3332" width="8" style="16" customWidth="1"/>
    <col min="3333" max="3333" width="8.5703125" style="16" bestFit="1" customWidth="1"/>
    <col min="3334" max="3337" width="8.42578125" style="16" customWidth="1"/>
    <col min="3338" max="3342" width="7.85546875" style="16" customWidth="1"/>
    <col min="3343" max="3343" width="9" style="16" customWidth="1"/>
    <col min="3344" max="3348" width="9.140625" style="16"/>
    <col min="3349" max="3349" width="12.42578125" style="16" customWidth="1"/>
    <col min="3350" max="3350" width="9.140625" style="16"/>
    <col min="3351" max="3351" width="12" style="16" customWidth="1"/>
    <col min="3352" max="3584" width="9.140625" style="16"/>
    <col min="3585" max="3585" width="5" style="16" customWidth="1"/>
    <col min="3586" max="3586" width="20" style="16" customWidth="1"/>
    <col min="3587" max="3587" width="8.42578125" style="16" customWidth="1"/>
    <col min="3588" max="3588" width="8" style="16" customWidth="1"/>
    <col min="3589" max="3589" width="8.5703125" style="16" bestFit="1" customWidth="1"/>
    <col min="3590" max="3593" width="8.42578125" style="16" customWidth="1"/>
    <col min="3594" max="3598" width="7.85546875" style="16" customWidth="1"/>
    <col min="3599" max="3599" width="9" style="16" customWidth="1"/>
    <col min="3600" max="3604" width="9.140625" style="16"/>
    <col min="3605" max="3605" width="12.42578125" style="16" customWidth="1"/>
    <col min="3606" max="3606" width="9.140625" style="16"/>
    <col min="3607" max="3607" width="12" style="16" customWidth="1"/>
    <col min="3608" max="3840" width="9.140625" style="16"/>
    <col min="3841" max="3841" width="5" style="16" customWidth="1"/>
    <col min="3842" max="3842" width="20" style="16" customWidth="1"/>
    <col min="3843" max="3843" width="8.42578125" style="16" customWidth="1"/>
    <col min="3844" max="3844" width="8" style="16" customWidth="1"/>
    <col min="3845" max="3845" width="8.5703125" style="16" bestFit="1" customWidth="1"/>
    <col min="3846" max="3849" width="8.42578125" style="16" customWidth="1"/>
    <col min="3850" max="3854" width="7.85546875" style="16" customWidth="1"/>
    <col min="3855" max="3855" width="9" style="16" customWidth="1"/>
    <col min="3856" max="3860" width="9.140625" style="16"/>
    <col min="3861" max="3861" width="12.42578125" style="16" customWidth="1"/>
    <col min="3862" max="3862" width="9.140625" style="16"/>
    <col min="3863" max="3863" width="12" style="16" customWidth="1"/>
    <col min="3864" max="4096" width="9.140625" style="16"/>
    <col min="4097" max="4097" width="5" style="16" customWidth="1"/>
    <col min="4098" max="4098" width="20" style="16" customWidth="1"/>
    <col min="4099" max="4099" width="8.42578125" style="16" customWidth="1"/>
    <col min="4100" max="4100" width="8" style="16" customWidth="1"/>
    <col min="4101" max="4101" width="8.5703125" style="16" bestFit="1" customWidth="1"/>
    <col min="4102" max="4105" width="8.42578125" style="16" customWidth="1"/>
    <col min="4106" max="4110" width="7.85546875" style="16" customWidth="1"/>
    <col min="4111" max="4111" width="9" style="16" customWidth="1"/>
    <col min="4112" max="4116" width="9.140625" style="16"/>
    <col min="4117" max="4117" width="12.42578125" style="16" customWidth="1"/>
    <col min="4118" max="4118" width="9.140625" style="16"/>
    <col min="4119" max="4119" width="12" style="16" customWidth="1"/>
    <col min="4120" max="4352" width="9.140625" style="16"/>
    <col min="4353" max="4353" width="5" style="16" customWidth="1"/>
    <col min="4354" max="4354" width="20" style="16" customWidth="1"/>
    <col min="4355" max="4355" width="8.42578125" style="16" customWidth="1"/>
    <col min="4356" max="4356" width="8" style="16" customWidth="1"/>
    <col min="4357" max="4357" width="8.5703125" style="16" bestFit="1" customWidth="1"/>
    <col min="4358" max="4361" width="8.42578125" style="16" customWidth="1"/>
    <col min="4362" max="4366" width="7.85546875" style="16" customWidth="1"/>
    <col min="4367" max="4367" width="9" style="16" customWidth="1"/>
    <col min="4368" max="4372" width="9.140625" style="16"/>
    <col min="4373" max="4373" width="12.42578125" style="16" customWidth="1"/>
    <col min="4374" max="4374" width="9.140625" style="16"/>
    <col min="4375" max="4375" width="12" style="16" customWidth="1"/>
    <col min="4376" max="4608" width="9.140625" style="16"/>
    <col min="4609" max="4609" width="5" style="16" customWidth="1"/>
    <col min="4610" max="4610" width="20" style="16" customWidth="1"/>
    <col min="4611" max="4611" width="8.42578125" style="16" customWidth="1"/>
    <col min="4612" max="4612" width="8" style="16" customWidth="1"/>
    <col min="4613" max="4613" width="8.5703125" style="16" bestFit="1" customWidth="1"/>
    <col min="4614" max="4617" width="8.42578125" style="16" customWidth="1"/>
    <col min="4618" max="4622" width="7.85546875" style="16" customWidth="1"/>
    <col min="4623" max="4623" width="9" style="16" customWidth="1"/>
    <col min="4624" max="4628" width="9.140625" style="16"/>
    <col min="4629" max="4629" width="12.42578125" style="16" customWidth="1"/>
    <col min="4630" max="4630" width="9.140625" style="16"/>
    <col min="4631" max="4631" width="12" style="16" customWidth="1"/>
    <col min="4632" max="4864" width="9.140625" style="16"/>
    <col min="4865" max="4865" width="5" style="16" customWidth="1"/>
    <col min="4866" max="4866" width="20" style="16" customWidth="1"/>
    <col min="4867" max="4867" width="8.42578125" style="16" customWidth="1"/>
    <col min="4868" max="4868" width="8" style="16" customWidth="1"/>
    <col min="4869" max="4869" width="8.5703125" style="16" bestFit="1" customWidth="1"/>
    <col min="4870" max="4873" width="8.42578125" style="16" customWidth="1"/>
    <col min="4874" max="4878" width="7.85546875" style="16" customWidth="1"/>
    <col min="4879" max="4879" width="9" style="16" customWidth="1"/>
    <col min="4880" max="4884" width="9.140625" style="16"/>
    <col min="4885" max="4885" width="12.42578125" style="16" customWidth="1"/>
    <col min="4886" max="4886" width="9.140625" style="16"/>
    <col min="4887" max="4887" width="12" style="16" customWidth="1"/>
    <col min="4888" max="5120" width="9.140625" style="16"/>
    <col min="5121" max="5121" width="5" style="16" customWidth="1"/>
    <col min="5122" max="5122" width="20" style="16" customWidth="1"/>
    <col min="5123" max="5123" width="8.42578125" style="16" customWidth="1"/>
    <col min="5124" max="5124" width="8" style="16" customWidth="1"/>
    <col min="5125" max="5125" width="8.5703125" style="16" bestFit="1" customWidth="1"/>
    <col min="5126" max="5129" width="8.42578125" style="16" customWidth="1"/>
    <col min="5130" max="5134" width="7.85546875" style="16" customWidth="1"/>
    <col min="5135" max="5135" width="9" style="16" customWidth="1"/>
    <col min="5136" max="5140" width="9.140625" style="16"/>
    <col min="5141" max="5141" width="12.42578125" style="16" customWidth="1"/>
    <col min="5142" max="5142" width="9.140625" style="16"/>
    <col min="5143" max="5143" width="12" style="16" customWidth="1"/>
    <col min="5144" max="5376" width="9.140625" style="16"/>
    <col min="5377" max="5377" width="5" style="16" customWidth="1"/>
    <col min="5378" max="5378" width="20" style="16" customWidth="1"/>
    <col min="5379" max="5379" width="8.42578125" style="16" customWidth="1"/>
    <col min="5380" max="5380" width="8" style="16" customWidth="1"/>
    <col min="5381" max="5381" width="8.5703125" style="16" bestFit="1" customWidth="1"/>
    <col min="5382" max="5385" width="8.42578125" style="16" customWidth="1"/>
    <col min="5386" max="5390" width="7.85546875" style="16" customWidth="1"/>
    <col min="5391" max="5391" width="9" style="16" customWidth="1"/>
    <col min="5392" max="5396" width="9.140625" style="16"/>
    <col min="5397" max="5397" width="12.42578125" style="16" customWidth="1"/>
    <col min="5398" max="5398" width="9.140625" style="16"/>
    <col min="5399" max="5399" width="12" style="16" customWidth="1"/>
    <col min="5400" max="5632" width="9.140625" style="16"/>
    <col min="5633" max="5633" width="5" style="16" customWidth="1"/>
    <col min="5634" max="5634" width="20" style="16" customWidth="1"/>
    <col min="5635" max="5635" width="8.42578125" style="16" customWidth="1"/>
    <col min="5636" max="5636" width="8" style="16" customWidth="1"/>
    <col min="5637" max="5637" width="8.5703125" style="16" bestFit="1" customWidth="1"/>
    <col min="5638" max="5641" width="8.42578125" style="16" customWidth="1"/>
    <col min="5642" max="5646" width="7.85546875" style="16" customWidth="1"/>
    <col min="5647" max="5647" width="9" style="16" customWidth="1"/>
    <col min="5648" max="5652" width="9.140625" style="16"/>
    <col min="5653" max="5653" width="12.42578125" style="16" customWidth="1"/>
    <col min="5654" max="5654" width="9.140625" style="16"/>
    <col min="5655" max="5655" width="12" style="16" customWidth="1"/>
    <col min="5656" max="5888" width="9.140625" style="16"/>
    <col min="5889" max="5889" width="5" style="16" customWidth="1"/>
    <col min="5890" max="5890" width="20" style="16" customWidth="1"/>
    <col min="5891" max="5891" width="8.42578125" style="16" customWidth="1"/>
    <col min="5892" max="5892" width="8" style="16" customWidth="1"/>
    <col min="5893" max="5893" width="8.5703125" style="16" bestFit="1" customWidth="1"/>
    <col min="5894" max="5897" width="8.42578125" style="16" customWidth="1"/>
    <col min="5898" max="5902" width="7.85546875" style="16" customWidth="1"/>
    <col min="5903" max="5903" width="9" style="16" customWidth="1"/>
    <col min="5904" max="5908" width="9.140625" style="16"/>
    <col min="5909" max="5909" width="12.42578125" style="16" customWidth="1"/>
    <col min="5910" max="5910" width="9.140625" style="16"/>
    <col min="5911" max="5911" width="12" style="16" customWidth="1"/>
    <col min="5912" max="6144" width="9.140625" style="16"/>
    <col min="6145" max="6145" width="5" style="16" customWidth="1"/>
    <col min="6146" max="6146" width="20" style="16" customWidth="1"/>
    <col min="6147" max="6147" width="8.42578125" style="16" customWidth="1"/>
    <col min="6148" max="6148" width="8" style="16" customWidth="1"/>
    <col min="6149" max="6149" width="8.5703125" style="16" bestFit="1" customWidth="1"/>
    <col min="6150" max="6153" width="8.42578125" style="16" customWidth="1"/>
    <col min="6154" max="6158" width="7.85546875" style="16" customWidth="1"/>
    <col min="6159" max="6159" width="9" style="16" customWidth="1"/>
    <col min="6160" max="6164" width="9.140625" style="16"/>
    <col min="6165" max="6165" width="12.42578125" style="16" customWidth="1"/>
    <col min="6166" max="6166" width="9.140625" style="16"/>
    <col min="6167" max="6167" width="12" style="16" customWidth="1"/>
    <col min="6168" max="6400" width="9.140625" style="16"/>
    <col min="6401" max="6401" width="5" style="16" customWidth="1"/>
    <col min="6402" max="6402" width="20" style="16" customWidth="1"/>
    <col min="6403" max="6403" width="8.42578125" style="16" customWidth="1"/>
    <col min="6404" max="6404" width="8" style="16" customWidth="1"/>
    <col min="6405" max="6405" width="8.5703125" style="16" bestFit="1" customWidth="1"/>
    <col min="6406" max="6409" width="8.42578125" style="16" customWidth="1"/>
    <col min="6410" max="6414" width="7.85546875" style="16" customWidth="1"/>
    <col min="6415" max="6415" width="9" style="16" customWidth="1"/>
    <col min="6416" max="6420" width="9.140625" style="16"/>
    <col min="6421" max="6421" width="12.42578125" style="16" customWidth="1"/>
    <col min="6422" max="6422" width="9.140625" style="16"/>
    <col min="6423" max="6423" width="12" style="16" customWidth="1"/>
    <col min="6424" max="6656" width="9.140625" style="16"/>
    <col min="6657" max="6657" width="5" style="16" customWidth="1"/>
    <col min="6658" max="6658" width="20" style="16" customWidth="1"/>
    <col min="6659" max="6659" width="8.42578125" style="16" customWidth="1"/>
    <col min="6660" max="6660" width="8" style="16" customWidth="1"/>
    <col min="6661" max="6661" width="8.5703125" style="16" bestFit="1" customWidth="1"/>
    <col min="6662" max="6665" width="8.42578125" style="16" customWidth="1"/>
    <col min="6666" max="6670" width="7.85546875" style="16" customWidth="1"/>
    <col min="6671" max="6671" width="9" style="16" customWidth="1"/>
    <col min="6672" max="6676" width="9.140625" style="16"/>
    <col min="6677" max="6677" width="12.42578125" style="16" customWidth="1"/>
    <col min="6678" max="6678" width="9.140625" style="16"/>
    <col min="6679" max="6679" width="12" style="16" customWidth="1"/>
    <col min="6680" max="6912" width="9.140625" style="16"/>
    <col min="6913" max="6913" width="5" style="16" customWidth="1"/>
    <col min="6914" max="6914" width="20" style="16" customWidth="1"/>
    <col min="6915" max="6915" width="8.42578125" style="16" customWidth="1"/>
    <col min="6916" max="6916" width="8" style="16" customWidth="1"/>
    <col min="6917" max="6917" width="8.5703125" style="16" bestFit="1" customWidth="1"/>
    <col min="6918" max="6921" width="8.42578125" style="16" customWidth="1"/>
    <col min="6922" max="6926" width="7.85546875" style="16" customWidth="1"/>
    <col min="6927" max="6927" width="9" style="16" customWidth="1"/>
    <col min="6928" max="6932" width="9.140625" style="16"/>
    <col min="6933" max="6933" width="12.42578125" style="16" customWidth="1"/>
    <col min="6934" max="6934" width="9.140625" style="16"/>
    <col min="6935" max="6935" width="12" style="16" customWidth="1"/>
    <col min="6936" max="7168" width="9.140625" style="16"/>
    <col min="7169" max="7169" width="5" style="16" customWidth="1"/>
    <col min="7170" max="7170" width="20" style="16" customWidth="1"/>
    <col min="7171" max="7171" width="8.42578125" style="16" customWidth="1"/>
    <col min="7172" max="7172" width="8" style="16" customWidth="1"/>
    <col min="7173" max="7173" width="8.5703125" style="16" bestFit="1" customWidth="1"/>
    <col min="7174" max="7177" width="8.42578125" style="16" customWidth="1"/>
    <col min="7178" max="7182" width="7.85546875" style="16" customWidth="1"/>
    <col min="7183" max="7183" width="9" style="16" customWidth="1"/>
    <col min="7184" max="7188" width="9.140625" style="16"/>
    <col min="7189" max="7189" width="12.42578125" style="16" customWidth="1"/>
    <col min="7190" max="7190" width="9.140625" style="16"/>
    <col min="7191" max="7191" width="12" style="16" customWidth="1"/>
    <col min="7192" max="7424" width="9.140625" style="16"/>
    <col min="7425" max="7425" width="5" style="16" customWidth="1"/>
    <col min="7426" max="7426" width="20" style="16" customWidth="1"/>
    <col min="7427" max="7427" width="8.42578125" style="16" customWidth="1"/>
    <col min="7428" max="7428" width="8" style="16" customWidth="1"/>
    <col min="7429" max="7429" width="8.5703125" style="16" bestFit="1" customWidth="1"/>
    <col min="7430" max="7433" width="8.42578125" style="16" customWidth="1"/>
    <col min="7434" max="7438" width="7.85546875" style="16" customWidth="1"/>
    <col min="7439" max="7439" width="9" style="16" customWidth="1"/>
    <col min="7440" max="7444" width="9.140625" style="16"/>
    <col min="7445" max="7445" width="12.42578125" style="16" customWidth="1"/>
    <col min="7446" max="7446" width="9.140625" style="16"/>
    <col min="7447" max="7447" width="12" style="16" customWidth="1"/>
    <col min="7448" max="7680" width="9.140625" style="16"/>
    <col min="7681" max="7681" width="5" style="16" customWidth="1"/>
    <col min="7682" max="7682" width="20" style="16" customWidth="1"/>
    <col min="7683" max="7683" width="8.42578125" style="16" customWidth="1"/>
    <col min="7684" max="7684" width="8" style="16" customWidth="1"/>
    <col min="7685" max="7685" width="8.5703125" style="16" bestFit="1" customWidth="1"/>
    <col min="7686" max="7689" width="8.42578125" style="16" customWidth="1"/>
    <col min="7690" max="7694" width="7.85546875" style="16" customWidth="1"/>
    <col min="7695" max="7695" width="9" style="16" customWidth="1"/>
    <col min="7696" max="7700" width="9.140625" style="16"/>
    <col min="7701" max="7701" width="12.42578125" style="16" customWidth="1"/>
    <col min="7702" max="7702" width="9.140625" style="16"/>
    <col min="7703" max="7703" width="12" style="16" customWidth="1"/>
    <col min="7704" max="7936" width="9.140625" style="16"/>
    <col min="7937" max="7937" width="5" style="16" customWidth="1"/>
    <col min="7938" max="7938" width="20" style="16" customWidth="1"/>
    <col min="7939" max="7939" width="8.42578125" style="16" customWidth="1"/>
    <col min="7940" max="7940" width="8" style="16" customWidth="1"/>
    <col min="7941" max="7941" width="8.5703125" style="16" bestFit="1" customWidth="1"/>
    <col min="7942" max="7945" width="8.42578125" style="16" customWidth="1"/>
    <col min="7946" max="7950" width="7.85546875" style="16" customWidth="1"/>
    <col min="7951" max="7951" width="9" style="16" customWidth="1"/>
    <col min="7952" max="7956" width="9.140625" style="16"/>
    <col min="7957" max="7957" width="12.42578125" style="16" customWidth="1"/>
    <col min="7958" max="7958" width="9.140625" style="16"/>
    <col min="7959" max="7959" width="12" style="16" customWidth="1"/>
    <col min="7960" max="8192" width="9.140625" style="16"/>
    <col min="8193" max="8193" width="5" style="16" customWidth="1"/>
    <col min="8194" max="8194" width="20" style="16" customWidth="1"/>
    <col min="8195" max="8195" width="8.42578125" style="16" customWidth="1"/>
    <col min="8196" max="8196" width="8" style="16" customWidth="1"/>
    <col min="8197" max="8197" width="8.5703125" style="16" bestFit="1" customWidth="1"/>
    <col min="8198" max="8201" width="8.42578125" style="16" customWidth="1"/>
    <col min="8202" max="8206" width="7.85546875" style="16" customWidth="1"/>
    <col min="8207" max="8207" width="9" style="16" customWidth="1"/>
    <col min="8208" max="8212" width="9.140625" style="16"/>
    <col min="8213" max="8213" width="12.42578125" style="16" customWidth="1"/>
    <col min="8214" max="8214" width="9.140625" style="16"/>
    <col min="8215" max="8215" width="12" style="16" customWidth="1"/>
    <col min="8216" max="8448" width="9.140625" style="16"/>
    <col min="8449" max="8449" width="5" style="16" customWidth="1"/>
    <col min="8450" max="8450" width="20" style="16" customWidth="1"/>
    <col min="8451" max="8451" width="8.42578125" style="16" customWidth="1"/>
    <col min="8452" max="8452" width="8" style="16" customWidth="1"/>
    <col min="8453" max="8453" width="8.5703125" style="16" bestFit="1" customWidth="1"/>
    <col min="8454" max="8457" width="8.42578125" style="16" customWidth="1"/>
    <col min="8458" max="8462" width="7.85546875" style="16" customWidth="1"/>
    <col min="8463" max="8463" width="9" style="16" customWidth="1"/>
    <col min="8464" max="8468" width="9.140625" style="16"/>
    <col min="8469" max="8469" width="12.42578125" style="16" customWidth="1"/>
    <col min="8470" max="8470" width="9.140625" style="16"/>
    <col min="8471" max="8471" width="12" style="16" customWidth="1"/>
    <col min="8472" max="8704" width="9.140625" style="16"/>
    <col min="8705" max="8705" width="5" style="16" customWidth="1"/>
    <col min="8706" max="8706" width="20" style="16" customWidth="1"/>
    <col min="8707" max="8707" width="8.42578125" style="16" customWidth="1"/>
    <col min="8708" max="8708" width="8" style="16" customWidth="1"/>
    <col min="8709" max="8709" width="8.5703125" style="16" bestFit="1" customWidth="1"/>
    <col min="8710" max="8713" width="8.42578125" style="16" customWidth="1"/>
    <col min="8714" max="8718" width="7.85546875" style="16" customWidth="1"/>
    <col min="8719" max="8719" width="9" style="16" customWidth="1"/>
    <col min="8720" max="8724" width="9.140625" style="16"/>
    <col min="8725" max="8725" width="12.42578125" style="16" customWidth="1"/>
    <col min="8726" max="8726" width="9.140625" style="16"/>
    <col min="8727" max="8727" width="12" style="16" customWidth="1"/>
    <col min="8728" max="8960" width="9.140625" style="16"/>
    <col min="8961" max="8961" width="5" style="16" customWidth="1"/>
    <col min="8962" max="8962" width="20" style="16" customWidth="1"/>
    <col min="8963" max="8963" width="8.42578125" style="16" customWidth="1"/>
    <col min="8964" max="8964" width="8" style="16" customWidth="1"/>
    <col min="8965" max="8965" width="8.5703125" style="16" bestFit="1" customWidth="1"/>
    <col min="8966" max="8969" width="8.42578125" style="16" customWidth="1"/>
    <col min="8970" max="8974" width="7.85546875" style="16" customWidth="1"/>
    <col min="8975" max="8975" width="9" style="16" customWidth="1"/>
    <col min="8976" max="8980" width="9.140625" style="16"/>
    <col min="8981" max="8981" width="12.42578125" style="16" customWidth="1"/>
    <col min="8982" max="8982" width="9.140625" style="16"/>
    <col min="8983" max="8983" width="12" style="16" customWidth="1"/>
    <col min="8984" max="9216" width="9.140625" style="16"/>
    <col min="9217" max="9217" width="5" style="16" customWidth="1"/>
    <col min="9218" max="9218" width="20" style="16" customWidth="1"/>
    <col min="9219" max="9219" width="8.42578125" style="16" customWidth="1"/>
    <col min="9220" max="9220" width="8" style="16" customWidth="1"/>
    <col min="9221" max="9221" width="8.5703125" style="16" bestFit="1" customWidth="1"/>
    <col min="9222" max="9225" width="8.42578125" style="16" customWidth="1"/>
    <col min="9226" max="9230" width="7.85546875" style="16" customWidth="1"/>
    <col min="9231" max="9231" width="9" style="16" customWidth="1"/>
    <col min="9232" max="9236" width="9.140625" style="16"/>
    <col min="9237" max="9237" width="12.42578125" style="16" customWidth="1"/>
    <col min="9238" max="9238" width="9.140625" style="16"/>
    <col min="9239" max="9239" width="12" style="16" customWidth="1"/>
    <col min="9240" max="9472" width="9.140625" style="16"/>
    <col min="9473" max="9473" width="5" style="16" customWidth="1"/>
    <col min="9474" max="9474" width="20" style="16" customWidth="1"/>
    <col min="9475" max="9475" width="8.42578125" style="16" customWidth="1"/>
    <col min="9476" max="9476" width="8" style="16" customWidth="1"/>
    <col min="9477" max="9477" width="8.5703125" style="16" bestFit="1" customWidth="1"/>
    <col min="9478" max="9481" width="8.42578125" style="16" customWidth="1"/>
    <col min="9482" max="9486" width="7.85546875" style="16" customWidth="1"/>
    <col min="9487" max="9487" width="9" style="16" customWidth="1"/>
    <col min="9488" max="9492" width="9.140625" style="16"/>
    <col min="9493" max="9493" width="12.42578125" style="16" customWidth="1"/>
    <col min="9494" max="9494" width="9.140625" style="16"/>
    <col min="9495" max="9495" width="12" style="16" customWidth="1"/>
    <col min="9496" max="9728" width="9.140625" style="16"/>
    <col min="9729" max="9729" width="5" style="16" customWidth="1"/>
    <col min="9730" max="9730" width="20" style="16" customWidth="1"/>
    <col min="9731" max="9731" width="8.42578125" style="16" customWidth="1"/>
    <col min="9732" max="9732" width="8" style="16" customWidth="1"/>
    <col min="9733" max="9733" width="8.5703125" style="16" bestFit="1" customWidth="1"/>
    <col min="9734" max="9737" width="8.42578125" style="16" customWidth="1"/>
    <col min="9738" max="9742" width="7.85546875" style="16" customWidth="1"/>
    <col min="9743" max="9743" width="9" style="16" customWidth="1"/>
    <col min="9744" max="9748" width="9.140625" style="16"/>
    <col min="9749" max="9749" width="12.42578125" style="16" customWidth="1"/>
    <col min="9750" max="9750" width="9.140625" style="16"/>
    <col min="9751" max="9751" width="12" style="16" customWidth="1"/>
    <col min="9752" max="9984" width="9.140625" style="16"/>
    <col min="9985" max="9985" width="5" style="16" customWidth="1"/>
    <col min="9986" max="9986" width="20" style="16" customWidth="1"/>
    <col min="9987" max="9987" width="8.42578125" style="16" customWidth="1"/>
    <col min="9988" max="9988" width="8" style="16" customWidth="1"/>
    <col min="9989" max="9989" width="8.5703125" style="16" bestFit="1" customWidth="1"/>
    <col min="9990" max="9993" width="8.42578125" style="16" customWidth="1"/>
    <col min="9994" max="9998" width="7.85546875" style="16" customWidth="1"/>
    <col min="9999" max="9999" width="9" style="16" customWidth="1"/>
    <col min="10000" max="10004" width="9.140625" style="16"/>
    <col min="10005" max="10005" width="12.42578125" style="16" customWidth="1"/>
    <col min="10006" max="10006" width="9.140625" style="16"/>
    <col min="10007" max="10007" width="12" style="16" customWidth="1"/>
    <col min="10008" max="10240" width="9.140625" style="16"/>
    <col min="10241" max="10241" width="5" style="16" customWidth="1"/>
    <col min="10242" max="10242" width="20" style="16" customWidth="1"/>
    <col min="10243" max="10243" width="8.42578125" style="16" customWidth="1"/>
    <col min="10244" max="10244" width="8" style="16" customWidth="1"/>
    <col min="10245" max="10245" width="8.5703125" style="16" bestFit="1" customWidth="1"/>
    <col min="10246" max="10249" width="8.42578125" style="16" customWidth="1"/>
    <col min="10250" max="10254" width="7.85546875" style="16" customWidth="1"/>
    <col min="10255" max="10255" width="9" style="16" customWidth="1"/>
    <col min="10256" max="10260" width="9.140625" style="16"/>
    <col min="10261" max="10261" width="12.42578125" style="16" customWidth="1"/>
    <col min="10262" max="10262" width="9.140625" style="16"/>
    <col min="10263" max="10263" width="12" style="16" customWidth="1"/>
    <col min="10264" max="10496" width="9.140625" style="16"/>
    <col min="10497" max="10497" width="5" style="16" customWidth="1"/>
    <col min="10498" max="10498" width="20" style="16" customWidth="1"/>
    <col min="10499" max="10499" width="8.42578125" style="16" customWidth="1"/>
    <col min="10500" max="10500" width="8" style="16" customWidth="1"/>
    <col min="10501" max="10501" width="8.5703125" style="16" bestFit="1" customWidth="1"/>
    <col min="10502" max="10505" width="8.42578125" style="16" customWidth="1"/>
    <col min="10506" max="10510" width="7.85546875" style="16" customWidth="1"/>
    <col min="10511" max="10511" width="9" style="16" customWidth="1"/>
    <col min="10512" max="10516" width="9.140625" style="16"/>
    <col min="10517" max="10517" width="12.42578125" style="16" customWidth="1"/>
    <col min="10518" max="10518" width="9.140625" style="16"/>
    <col min="10519" max="10519" width="12" style="16" customWidth="1"/>
    <col min="10520" max="10752" width="9.140625" style="16"/>
    <col min="10753" max="10753" width="5" style="16" customWidth="1"/>
    <col min="10754" max="10754" width="20" style="16" customWidth="1"/>
    <col min="10755" max="10755" width="8.42578125" style="16" customWidth="1"/>
    <col min="10756" max="10756" width="8" style="16" customWidth="1"/>
    <col min="10757" max="10757" width="8.5703125" style="16" bestFit="1" customWidth="1"/>
    <col min="10758" max="10761" width="8.42578125" style="16" customWidth="1"/>
    <col min="10762" max="10766" width="7.85546875" style="16" customWidth="1"/>
    <col min="10767" max="10767" width="9" style="16" customWidth="1"/>
    <col min="10768" max="10772" width="9.140625" style="16"/>
    <col min="10773" max="10773" width="12.42578125" style="16" customWidth="1"/>
    <col min="10774" max="10774" width="9.140625" style="16"/>
    <col min="10775" max="10775" width="12" style="16" customWidth="1"/>
    <col min="10776" max="11008" width="9.140625" style="16"/>
    <col min="11009" max="11009" width="5" style="16" customWidth="1"/>
    <col min="11010" max="11010" width="20" style="16" customWidth="1"/>
    <col min="11011" max="11011" width="8.42578125" style="16" customWidth="1"/>
    <col min="11012" max="11012" width="8" style="16" customWidth="1"/>
    <col min="11013" max="11013" width="8.5703125" style="16" bestFit="1" customWidth="1"/>
    <col min="11014" max="11017" width="8.42578125" style="16" customWidth="1"/>
    <col min="11018" max="11022" width="7.85546875" style="16" customWidth="1"/>
    <col min="11023" max="11023" width="9" style="16" customWidth="1"/>
    <col min="11024" max="11028" width="9.140625" style="16"/>
    <col min="11029" max="11029" width="12.42578125" style="16" customWidth="1"/>
    <col min="11030" max="11030" width="9.140625" style="16"/>
    <col min="11031" max="11031" width="12" style="16" customWidth="1"/>
    <col min="11032" max="11264" width="9.140625" style="16"/>
    <col min="11265" max="11265" width="5" style="16" customWidth="1"/>
    <col min="11266" max="11266" width="20" style="16" customWidth="1"/>
    <col min="11267" max="11267" width="8.42578125" style="16" customWidth="1"/>
    <col min="11268" max="11268" width="8" style="16" customWidth="1"/>
    <col min="11269" max="11269" width="8.5703125" style="16" bestFit="1" customWidth="1"/>
    <col min="11270" max="11273" width="8.42578125" style="16" customWidth="1"/>
    <col min="11274" max="11278" width="7.85546875" style="16" customWidth="1"/>
    <col min="11279" max="11279" width="9" style="16" customWidth="1"/>
    <col min="11280" max="11284" width="9.140625" style="16"/>
    <col min="11285" max="11285" width="12.42578125" style="16" customWidth="1"/>
    <col min="11286" max="11286" width="9.140625" style="16"/>
    <col min="11287" max="11287" width="12" style="16" customWidth="1"/>
    <col min="11288" max="11520" width="9.140625" style="16"/>
    <col min="11521" max="11521" width="5" style="16" customWidth="1"/>
    <col min="11522" max="11522" width="20" style="16" customWidth="1"/>
    <col min="11523" max="11523" width="8.42578125" style="16" customWidth="1"/>
    <col min="11524" max="11524" width="8" style="16" customWidth="1"/>
    <col min="11525" max="11525" width="8.5703125" style="16" bestFit="1" customWidth="1"/>
    <col min="11526" max="11529" width="8.42578125" style="16" customWidth="1"/>
    <col min="11530" max="11534" width="7.85546875" style="16" customWidth="1"/>
    <col min="11535" max="11535" width="9" style="16" customWidth="1"/>
    <col min="11536" max="11540" width="9.140625" style="16"/>
    <col min="11541" max="11541" width="12.42578125" style="16" customWidth="1"/>
    <col min="11542" max="11542" width="9.140625" style="16"/>
    <col min="11543" max="11543" width="12" style="16" customWidth="1"/>
    <col min="11544" max="11776" width="9.140625" style="16"/>
    <col min="11777" max="11777" width="5" style="16" customWidth="1"/>
    <col min="11778" max="11778" width="20" style="16" customWidth="1"/>
    <col min="11779" max="11779" width="8.42578125" style="16" customWidth="1"/>
    <col min="11780" max="11780" width="8" style="16" customWidth="1"/>
    <col min="11781" max="11781" width="8.5703125" style="16" bestFit="1" customWidth="1"/>
    <col min="11782" max="11785" width="8.42578125" style="16" customWidth="1"/>
    <col min="11786" max="11790" width="7.85546875" style="16" customWidth="1"/>
    <col min="11791" max="11791" width="9" style="16" customWidth="1"/>
    <col min="11792" max="11796" width="9.140625" style="16"/>
    <col min="11797" max="11797" width="12.42578125" style="16" customWidth="1"/>
    <col min="11798" max="11798" width="9.140625" style="16"/>
    <col min="11799" max="11799" width="12" style="16" customWidth="1"/>
    <col min="11800" max="12032" width="9.140625" style="16"/>
    <col min="12033" max="12033" width="5" style="16" customWidth="1"/>
    <col min="12034" max="12034" width="20" style="16" customWidth="1"/>
    <col min="12035" max="12035" width="8.42578125" style="16" customWidth="1"/>
    <col min="12036" max="12036" width="8" style="16" customWidth="1"/>
    <col min="12037" max="12037" width="8.5703125" style="16" bestFit="1" customWidth="1"/>
    <col min="12038" max="12041" width="8.42578125" style="16" customWidth="1"/>
    <col min="12042" max="12046" width="7.85546875" style="16" customWidth="1"/>
    <col min="12047" max="12047" width="9" style="16" customWidth="1"/>
    <col min="12048" max="12052" width="9.140625" style="16"/>
    <col min="12053" max="12053" width="12.42578125" style="16" customWidth="1"/>
    <col min="12054" max="12054" width="9.140625" style="16"/>
    <col min="12055" max="12055" width="12" style="16" customWidth="1"/>
    <col min="12056" max="12288" width="9.140625" style="16"/>
    <col min="12289" max="12289" width="5" style="16" customWidth="1"/>
    <col min="12290" max="12290" width="20" style="16" customWidth="1"/>
    <col min="12291" max="12291" width="8.42578125" style="16" customWidth="1"/>
    <col min="12292" max="12292" width="8" style="16" customWidth="1"/>
    <col min="12293" max="12293" width="8.5703125" style="16" bestFit="1" customWidth="1"/>
    <col min="12294" max="12297" width="8.42578125" style="16" customWidth="1"/>
    <col min="12298" max="12302" width="7.85546875" style="16" customWidth="1"/>
    <col min="12303" max="12303" width="9" style="16" customWidth="1"/>
    <col min="12304" max="12308" width="9.140625" style="16"/>
    <col min="12309" max="12309" width="12.42578125" style="16" customWidth="1"/>
    <col min="12310" max="12310" width="9.140625" style="16"/>
    <col min="12311" max="12311" width="12" style="16" customWidth="1"/>
    <col min="12312" max="12544" width="9.140625" style="16"/>
    <col min="12545" max="12545" width="5" style="16" customWidth="1"/>
    <col min="12546" max="12546" width="20" style="16" customWidth="1"/>
    <col min="12547" max="12547" width="8.42578125" style="16" customWidth="1"/>
    <col min="12548" max="12548" width="8" style="16" customWidth="1"/>
    <col min="12549" max="12549" width="8.5703125" style="16" bestFit="1" customWidth="1"/>
    <col min="12550" max="12553" width="8.42578125" style="16" customWidth="1"/>
    <col min="12554" max="12558" width="7.85546875" style="16" customWidth="1"/>
    <col min="12559" max="12559" width="9" style="16" customWidth="1"/>
    <col min="12560" max="12564" width="9.140625" style="16"/>
    <col min="12565" max="12565" width="12.42578125" style="16" customWidth="1"/>
    <col min="12566" max="12566" width="9.140625" style="16"/>
    <col min="12567" max="12567" width="12" style="16" customWidth="1"/>
    <col min="12568" max="12800" width="9.140625" style="16"/>
    <col min="12801" max="12801" width="5" style="16" customWidth="1"/>
    <col min="12802" max="12802" width="20" style="16" customWidth="1"/>
    <col min="12803" max="12803" width="8.42578125" style="16" customWidth="1"/>
    <col min="12804" max="12804" width="8" style="16" customWidth="1"/>
    <col min="12805" max="12805" width="8.5703125" style="16" bestFit="1" customWidth="1"/>
    <col min="12806" max="12809" width="8.42578125" style="16" customWidth="1"/>
    <col min="12810" max="12814" width="7.85546875" style="16" customWidth="1"/>
    <col min="12815" max="12815" width="9" style="16" customWidth="1"/>
    <col min="12816" max="12820" width="9.140625" style="16"/>
    <col min="12821" max="12821" width="12.42578125" style="16" customWidth="1"/>
    <col min="12822" max="12822" width="9.140625" style="16"/>
    <col min="12823" max="12823" width="12" style="16" customWidth="1"/>
    <col min="12824" max="13056" width="9.140625" style="16"/>
    <col min="13057" max="13057" width="5" style="16" customWidth="1"/>
    <col min="13058" max="13058" width="20" style="16" customWidth="1"/>
    <col min="13059" max="13059" width="8.42578125" style="16" customWidth="1"/>
    <col min="13060" max="13060" width="8" style="16" customWidth="1"/>
    <col min="13061" max="13061" width="8.5703125" style="16" bestFit="1" customWidth="1"/>
    <col min="13062" max="13065" width="8.42578125" style="16" customWidth="1"/>
    <col min="13066" max="13070" width="7.85546875" style="16" customWidth="1"/>
    <col min="13071" max="13071" width="9" style="16" customWidth="1"/>
    <col min="13072" max="13076" width="9.140625" style="16"/>
    <col min="13077" max="13077" width="12.42578125" style="16" customWidth="1"/>
    <col min="13078" max="13078" width="9.140625" style="16"/>
    <col min="13079" max="13079" width="12" style="16" customWidth="1"/>
    <col min="13080" max="13312" width="9.140625" style="16"/>
    <col min="13313" max="13313" width="5" style="16" customWidth="1"/>
    <col min="13314" max="13314" width="20" style="16" customWidth="1"/>
    <col min="13315" max="13315" width="8.42578125" style="16" customWidth="1"/>
    <col min="13316" max="13316" width="8" style="16" customWidth="1"/>
    <col min="13317" max="13317" width="8.5703125" style="16" bestFit="1" customWidth="1"/>
    <col min="13318" max="13321" width="8.42578125" style="16" customWidth="1"/>
    <col min="13322" max="13326" width="7.85546875" style="16" customWidth="1"/>
    <col min="13327" max="13327" width="9" style="16" customWidth="1"/>
    <col min="13328" max="13332" width="9.140625" style="16"/>
    <col min="13333" max="13333" width="12.42578125" style="16" customWidth="1"/>
    <col min="13334" max="13334" width="9.140625" style="16"/>
    <col min="13335" max="13335" width="12" style="16" customWidth="1"/>
    <col min="13336" max="13568" width="9.140625" style="16"/>
    <col min="13569" max="13569" width="5" style="16" customWidth="1"/>
    <col min="13570" max="13570" width="20" style="16" customWidth="1"/>
    <col min="13571" max="13571" width="8.42578125" style="16" customWidth="1"/>
    <col min="13572" max="13572" width="8" style="16" customWidth="1"/>
    <col min="13573" max="13573" width="8.5703125" style="16" bestFit="1" customWidth="1"/>
    <col min="13574" max="13577" width="8.42578125" style="16" customWidth="1"/>
    <col min="13578" max="13582" width="7.85546875" style="16" customWidth="1"/>
    <col min="13583" max="13583" width="9" style="16" customWidth="1"/>
    <col min="13584" max="13588" width="9.140625" style="16"/>
    <col min="13589" max="13589" width="12.42578125" style="16" customWidth="1"/>
    <col min="13590" max="13590" width="9.140625" style="16"/>
    <col min="13591" max="13591" width="12" style="16" customWidth="1"/>
    <col min="13592" max="13824" width="9.140625" style="16"/>
    <col min="13825" max="13825" width="5" style="16" customWidth="1"/>
    <col min="13826" max="13826" width="20" style="16" customWidth="1"/>
    <col min="13827" max="13827" width="8.42578125" style="16" customWidth="1"/>
    <col min="13828" max="13828" width="8" style="16" customWidth="1"/>
    <col min="13829" max="13829" width="8.5703125" style="16" bestFit="1" customWidth="1"/>
    <col min="13830" max="13833" width="8.42578125" style="16" customWidth="1"/>
    <col min="13834" max="13838" width="7.85546875" style="16" customWidth="1"/>
    <col min="13839" max="13839" width="9" style="16" customWidth="1"/>
    <col min="13840" max="13844" width="9.140625" style="16"/>
    <col min="13845" max="13845" width="12.42578125" style="16" customWidth="1"/>
    <col min="13846" max="13846" width="9.140625" style="16"/>
    <col min="13847" max="13847" width="12" style="16" customWidth="1"/>
    <col min="13848" max="14080" width="9.140625" style="16"/>
    <col min="14081" max="14081" width="5" style="16" customWidth="1"/>
    <col min="14082" max="14082" width="20" style="16" customWidth="1"/>
    <col min="14083" max="14083" width="8.42578125" style="16" customWidth="1"/>
    <col min="14084" max="14084" width="8" style="16" customWidth="1"/>
    <col min="14085" max="14085" width="8.5703125" style="16" bestFit="1" customWidth="1"/>
    <col min="14086" max="14089" width="8.42578125" style="16" customWidth="1"/>
    <col min="14090" max="14094" width="7.85546875" style="16" customWidth="1"/>
    <col min="14095" max="14095" width="9" style="16" customWidth="1"/>
    <col min="14096" max="14100" width="9.140625" style="16"/>
    <col min="14101" max="14101" width="12.42578125" style="16" customWidth="1"/>
    <col min="14102" max="14102" width="9.140625" style="16"/>
    <col min="14103" max="14103" width="12" style="16" customWidth="1"/>
    <col min="14104" max="14336" width="9.140625" style="16"/>
    <col min="14337" max="14337" width="5" style="16" customWidth="1"/>
    <col min="14338" max="14338" width="20" style="16" customWidth="1"/>
    <col min="14339" max="14339" width="8.42578125" style="16" customWidth="1"/>
    <col min="14340" max="14340" width="8" style="16" customWidth="1"/>
    <col min="14341" max="14341" width="8.5703125" style="16" bestFit="1" customWidth="1"/>
    <col min="14342" max="14345" width="8.42578125" style="16" customWidth="1"/>
    <col min="14346" max="14350" width="7.85546875" style="16" customWidth="1"/>
    <col min="14351" max="14351" width="9" style="16" customWidth="1"/>
    <col min="14352" max="14356" width="9.140625" style="16"/>
    <col min="14357" max="14357" width="12.42578125" style="16" customWidth="1"/>
    <col min="14358" max="14358" width="9.140625" style="16"/>
    <col min="14359" max="14359" width="12" style="16" customWidth="1"/>
    <col min="14360" max="14592" width="9.140625" style="16"/>
    <col min="14593" max="14593" width="5" style="16" customWidth="1"/>
    <col min="14594" max="14594" width="20" style="16" customWidth="1"/>
    <col min="14595" max="14595" width="8.42578125" style="16" customWidth="1"/>
    <col min="14596" max="14596" width="8" style="16" customWidth="1"/>
    <col min="14597" max="14597" width="8.5703125" style="16" bestFit="1" customWidth="1"/>
    <col min="14598" max="14601" width="8.42578125" style="16" customWidth="1"/>
    <col min="14602" max="14606" width="7.85546875" style="16" customWidth="1"/>
    <col min="14607" max="14607" width="9" style="16" customWidth="1"/>
    <col min="14608" max="14612" width="9.140625" style="16"/>
    <col min="14613" max="14613" width="12.42578125" style="16" customWidth="1"/>
    <col min="14614" max="14614" width="9.140625" style="16"/>
    <col min="14615" max="14615" width="12" style="16" customWidth="1"/>
    <col min="14616" max="14848" width="9.140625" style="16"/>
    <col min="14849" max="14849" width="5" style="16" customWidth="1"/>
    <col min="14850" max="14850" width="20" style="16" customWidth="1"/>
    <col min="14851" max="14851" width="8.42578125" style="16" customWidth="1"/>
    <col min="14852" max="14852" width="8" style="16" customWidth="1"/>
    <col min="14853" max="14853" width="8.5703125" style="16" bestFit="1" customWidth="1"/>
    <col min="14854" max="14857" width="8.42578125" style="16" customWidth="1"/>
    <col min="14858" max="14862" width="7.85546875" style="16" customWidth="1"/>
    <col min="14863" max="14863" width="9" style="16" customWidth="1"/>
    <col min="14864" max="14868" width="9.140625" style="16"/>
    <col min="14869" max="14869" width="12.42578125" style="16" customWidth="1"/>
    <col min="14870" max="14870" width="9.140625" style="16"/>
    <col min="14871" max="14871" width="12" style="16" customWidth="1"/>
    <col min="14872" max="15104" width="9.140625" style="16"/>
    <col min="15105" max="15105" width="5" style="16" customWidth="1"/>
    <col min="15106" max="15106" width="20" style="16" customWidth="1"/>
    <col min="15107" max="15107" width="8.42578125" style="16" customWidth="1"/>
    <col min="15108" max="15108" width="8" style="16" customWidth="1"/>
    <col min="15109" max="15109" width="8.5703125" style="16" bestFit="1" customWidth="1"/>
    <col min="15110" max="15113" width="8.42578125" style="16" customWidth="1"/>
    <col min="15114" max="15118" width="7.85546875" style="16" customWidth="1"/>
    <col min="15119" max="15119" width="9" style="16" customWidth="1"/>
    <col min="15120" max="15124" width="9.140625" style="16"/>
    <col min="15125" max="15125" width="12.42578125" style="16" customWidth="1"/>
    <col min="15126" max="15126" width="9.140625" style="16"/>
    <col min="15127" max="15127" width="12" style="16" customWidth="1"/>
    <col min="15128" max="15360" width="9.140625" style="16"/>
    <col min="15361" max="15361" width="5" style="16" customWidth="1"/>
    <col min="15362" max="15362" width="20" style="16" customWidth="1"/>
    <col min="15363" max="15363" width="8.42578125" style="16" customWidth="1"/>
    <col min="15364" max="15364" width="8" style="16" customWidth="1"/>
    <col min="15365" max="15365" width="8.5703125" style="16" bestFit="1" customWidth="1"/>
    <col min="15366" max="15369" width="8.42578125" style="16" customWidth="1"/>
    <col min="15370" max="15374" width="7.85546875" style="16" customWidth="1"/>
    <col min="15375" max="15375" width="9" style="16" customWidth="1"/>
    <col min="15376" max="15380" width="9.140625" style="16"/>
    <col min="15381" max="15381" width="12.42578125" style="16" customWidth="1"/>
    <col min="15382" max="15382" width="9.140625" style="16"/>
    <col min="15383" max="15383" width="12" style="16" customWidth="1"/>
    <col min="15384" max="15616" width="9.140625" style="16"/>
    <col min="15617" max="15617" width="5" style="16" customWidth="1"/>
    <col min="15618" max="15618" width="20" style="16" customWidth="1"/>
    <col min="15619" max="15619" width="8.42578125" style="16" customWidth="1"/>
    <col min="15620" max="15620" width="8" style="16" customWidth="1"/>
    <col min="15621" max="15621" width="8.5703125" style="16" bestFit="1" customWidth="1"/>
    <col min="15622" max="15625" width="8.42578125" style="16" customWidth="1"/>
    <col min="15626" max="15630" width="7.85546875" style="16" customWidth="1"/>
    <col min="15631" max="15631" width="9" style="16" customWidth="1"/>
    <col min="15632" max="15636" width="9.140625" style="16"/>
    <col min="15637" max="15637" width="12.42578125" style="16" customWidth="1"/>
    <col min="15638" max="15638" width="9.140625" style="16"/>
    <col min="15639" max="15639" width="12" style="16" customWidth="1"/>
    <col min="15640" max="15872" width="9.140625" style="16"/>
    <col min="15873" max="15873" width="5" style="16" customWidth="1"/>
    <col min="15874" max="15874" width="20" style="16" customWidth="1"/>
    <col min="15875" max="15875" width="8.42578125" style="16" customWidth="1"/>
    <col min="15876" max="15876" width="8" style="16" customWidth="1"/>
    <col min="15877" max="15877" width="8.5703125" style="16" bestFit="1" customWidth="1"/>
    <col min="15878" max="15881" width="8.42578125" style="16" customWidth="1"/>
    <col min="15882" max="15886" width="7.85546875" style="16" customWidth="1"/>
    <col min="15887" max="15887" width="9" style="16" customWidth="1"/>
    <col min="15888" max="15892" width="9.140625" style="16"/>
    <col min="15893" max="15893" width="12.42578125" style="16" customWidth="1"/>
    <col min="15894" max="15894" width="9.140625" style="16"/>
    <col min="15895" max="15895" width="12" style="16" customWidth="1"/>
    <col min="15896" max="16128" width="9.140625" style="16"/>
    <col min="16129" max="16129" width="5" style="16" customWidth="1"/>
    <col min="16130" max="16130" width="20" style="16" customWidth="1"/>
    <col min="16131" max="16131" width="8.42578125" style="16" customWidth="1"/>
    <col min="16132" max="16132" width="8" style="16" customWidth="1"/>
    <col min="16133" max="16133" width="8.5703125" style="16" bestFit="1" customWidth="1"/>
    <col min="16134" max="16137" width="8.42578125" style="16" customWidth="1"/>
    <col min="16138" max="16142" width="7.85546875" style="16" customWidth="1"/>
    <col min="16143" max="16143" width="9" style="16" customWidth="1"/>
    <col min="16144" max="16148" width="9.140625" style="16"/>
    <col min="16149" max="16149" width="12.42578125" style="16" customWidth="1"/>
    <col min="16150" max="16150" width="9.140625" style="16"/>
    <col min="16151" max="16151" width="12" style="16" customWidth="1"/>
    <col min="16152" max="16384" width="9.140625" style="16"/>
  </cols>
  <sheetData>
    <row r="1" spans="1:17" s="1" customFormat="1" x14ac:dyDescent="0.2">
      <c r="A1" s="867" t="s">
        <v>449</v>
      </c>
      <c r="B1" s="868"/>
      <c r="C1" s="868"/>
      <c r="D1" s="869"/>
      <c r="E1" s="868"/>
      <c r="F1" s="868"/>
      <c r="G1" s="867" t="s">
        <v>102</v>
      </c>
      <c r="H1" s="869"/>
      <c r="I1" s="869" t="s">
        <v>605</v>
      </c>
      <c r="J1" s="868"/>
      <c r="K1" s="868"/>
      <c r="L1" s="870"/>
      <c r="M1" s="870"/>
      <c r="N1" s="870"/>
      <c r="O1" s="870"/>
    </row>
    <row r="2" spans="1:17" s="1" customFormat="1" x14ac:dyDescent="0.2">
      <c r="A2" s="867" t="s">
        <v>103</v>
      </c>
      <c r="B2" s="868"/>
      <c r="C2" s="868"/>
      <c r="D2" s="869"/>
      <c r="E2" s="868"/>
      <c r="F2" s="868"/>
      <c r="G2" s="867" t="s">
        <v>104</v>
      </c>
      <c r="H2" s="869"/>
      <c r="I2" s="869" t="s">
        <v>105</v>
      </c>
      <c r="J2" s="868"/>
      <c r="K2" s="868"/>
      <c r="L2" s="870"/>
      <c r="M2" s="870"/>
      <c r="N2" s="870"/>
      <c r="O2" s="870"/>
    </row>
    <row r="3" spans="1:17" s="1" customFormat="1" x14ac:dyDescent="0.2">
      <c r="A3" s="867" t="s">
        <v>106</v>
      </c>
      <c r="B3" s="868"/>
      <c r="C3" s="868"/>
      <c r="D3" s="883" t="s">
        <v>606</v>
      </c>
      <c r="E3" s="868"/>
      <c r="F3" s="868"/>
      <c r="G3" s="867" t="s">
        <v>107</v>
      </c>
      <c r="H3" s="869"/>
      <c r="I3" s="869" t="s">
        <v>108</v>
      </c>
      <c r="J3" s="868"/>
      <c r="K3" s="868"/>
      <c r="L3" s="870"/>
      <c r="M3" s="870"/>
      <c r="N3" s="870"/>
      <c r="O3" s="870"/>
    </row>
    <row r="4" spans="1:17" s="1" customFormat="1" x14ac:dyDescent="0.2">
      <c r="A4" s="867" t="s">
        <v>476</v>
      </c>
      <c r="B4" s="868"/>
      <c r="C4" s="868"/>
      <c r="D4" s="869" t="s">
        <v>607</v>
      </c>
      <c r="E4" s="868"/>
      <c r="F4" s="868"/>
      <c r="G4" s="867" t="s">
        <v>110</v>
      </c>
      <c r="H4" s="869"/>
      <c r="I4" s="869" t="s">
        <v>456</v>
      </c>
      <c r="J4" s="868"/>
      <c r="K4" s="868"/>
      <c r="L4" s="870"/>
      <c r="M4" s="870"/>
      <c r="N4" s="870"/>
      <c r="O4" s="870"/>
    </row>
    <row r="5" spans="1:17" s="1" customFormat="1" x14ac:dyDescent="0.2">
      <c r="A5" s="867" t="s">
        <v>112</v>
      </c>
      <c r="B5" s="868"/>
      <c r="C5" s="868"/>
      <c r="D5" s="869" t="s">
        <v>607</v>
      </c>
      <c r="E5" s="868"/>
      <c r="F5" s="868"/>
      <c r="G5" s="867"/>
      <c r="H5" s="868"/>
      <c r="I5" s="869" t="s">
        <v>113</v>
      </c>
      <c r="J5" s="868"/>
      <c r="K5" s="868"/>
      <c r="L5" s="870"/>
      <c r="M5" s="870"/>
      <c r="N5" s="870"/>
      <c r="O5" s="870"/>
    </row>
    <row r="6" spans="1:17" s="1" customFormat="1" x14ac:dyDescent="0.2">
      <c r="A6" s="871" t="s">
        <v>114</v>
      </c>
      <c r="B6" s="872"/>
      <c r="C6" s="872"/>
      <c r="D6" s="868" t="s">
        <v>608</v>
      </c>
      <c r="E6" s="868"/>
      <c r="F6" s="868"/>
      <c r="G6" s="871" t="s">
        <v>115</v>
      </c>
      <c r="H6" s="871"/>
      <c r="I6" s="2" t="s">
        <v>222</v>
      </c>
      <c r="J6" s="888"/>
      <c r="K6" s="888"/>
      <c r="L6" s="888"/>
      <c r="M6" s="888"/>
      <c r="N6" s="888"/>
      <c r="O6" s="889"/>
    </row>
    <row r="7" spans="1:17" s="1" customFormat="1" ht="13.5" thickBot="1" x14ac:dyDescent="0.25">
      <c r="A7" s="3"/>
      <c r="B7" s="4"/>
      <c r="C7" s="5"/>
      <c r="D7" s="6"/>
      <c r="E7" s="6"/>
      <c r="F7" s="6"/>
      <c r="G7" s="6"/>
      <c r="H7" s="6"/>
      <c r="I7" s="6"/>
      <c r="J7" s="7"/>
      <c r="K7" s="8"/>
      <c r="L7" s="875" t="s">
        <v>223</v>
      </c>
      <c r="M7" s="875"/>
      <c r="N7" s="875"/>
      <c r="O7" s="875"/>
    </row>
    <row r="8" spans="1:17" s="11" customFormat="1" x14ac:dyDescent="0.2">
      <c r="A8" s="876" t="str">
        <f>I1</f>
        <v>Ms. Sheela George</v>
      </c>
      <c r="B8" s="877"/>
      <c r="C8" s="280">
        <v>43160</v>
      </c>
      <c r="D8" s="280">
        <v>43191</v>
      </c>
      <c r="E8" s="280">
        <v>43221</v>
      </c>
      <c r="F8" s="280">
        <v>43252</v>
      </c>
      <c r="G8" s="280">
        <v>43282</v>
      </c>
      <c r="H8" s="280">
        <v>43313</v>
      </c>
      <c r="I8" s="280">
        <v>43344</v>
      </c>
      <c r="J8" s="280">
        <v>43374</v>
      </c>
      <c r="K8" s="280">
        <v>43405</v>
      </c>
      <c r="L8" s="280">
        <v>43435</v>
      </c>
      <c r="M8" s="280">
        <v>43466</v>
      </c>
      <c r="N8" s="280">
        <v>43497</v>
      </c>
      <c r="O8" s="10" t="s">
        <v>117</v>
      </c>
      <c r="Q8" s="11" t="s">
        <v>116</v>
      </c>
    </row>
    <row r="9" spans="1:17" ht="15" x14ac:dyDescent="0.2">
      <c r="A9" s="12"/>
      <c r="B9" s="13" t="s">
        <v>118</v>
      </c>
      <c r="C9" s="14">
        <v>42800</v>
      </c>
      <c r="D9" s="14">
        <v>42800</v>
      </c>
      <c r="E9" s="14">
        <v>42800</v>
      </c>
      <c r="F9" s="14">
        <v>42800</v>
      </c>
      <c r="G9" s="14">
        <v>44100</v>
      </c>
      <c r="H9" s="14">
        <v>44100</v>
      </c>
      <c r="I9" s="14">
        <v>44100</v>
      </c>
      <c r="J9" s="14">
        <v>44100</v>
      </c>
      <c r="K9" s="14">
        <v>44100</v>
      </c>
      <c r="L9" s="14">
        <v>44100</v>
      </c>
      <c r="M9" s="14">
        <v>44100</v>
      </c>
      <c r="N9" s="14">
        <v>44100</v>
      </c>
      <c r="O9" s="15">
        <f>SUM(C9:N9)</f>
        <v>524000</v>
      </c>
      <c r="Q9" s="16" t="s">
        <v>222</v>
      </c>
    </row>
    <row r="10" spans="1:17" ht="15" x14ac:dyDescent="0.2">
      <c r="A10" s="12"/>
      <c r="B10" s="13" t="s">
        <v>119</v>
      </c>
      <c r="C10" s="17">
        <v>0</v>
      </c>
      <c r="D10" s="17">
        <f t="shared" ref="D10:N34" si="0">+C10</f>
        <v>0</v>
      </c>
      <c r="E10" s="17">
        <f t="shared" si="0"/>
        <v>0</v>
      </c>
      <c r="F10" s="17">
        <f t="shared" si="0"/>
        <v>0</v>
      </c>
      <c r="G10" s="17">
        <f t="shared" si="0"/>
        <v>0</v>
      </c>
      <c r="H10" s="17">
        <v>0</v>
      </c>
      <c r="I10" s="17">
        <f t="shared" si="0"/>
        <v>0</v>
      </c>
      <c r="J10" s="17">
        <f t="shared" si="0"/>
        <v>0</v>
      </c>
      <c r="K10" s="17">
        <f t="shared" si="0"/>
        <v>0</v>
      </c>
      <c r="L10" s="17">
        <f t="shared" si="0"/>
        <v>0</v>
      </c>
      <c r="M10" s="17">
        <f t="shared" si="0"/>
        <v>0</v>
      </c>
      <c r="N10" s="17">
        <f t="shared" si="0"/>
        <v>0</v>
      </c>
      <c r="O10" s="18">
        <f>SUM(C10:N10)</f>
        <v>0</v>
      </c>
    </row>
    <row r="11" spans="1:17" ht="15" x14ac:dyDescent="0.2">
      <c r="A11" s="12"/>
      <c r="B11" s="13" t="s">
        <v>120</v>
      </c>
      <c r="C11" s="17">
        <v>2140</v>
      </c>
      <c r="D11" s="17">
        <v>2996</v>
      </c>
      <c r="E11" s="17">
        <f t="shared" si="0"/>
        <v>2996</v>
      </c>
      <c r="F11" s="17">
        <f t="shared" si="0"/>
        <v>2996</v>
      </c>
      <c r="G11" s="17">
        <v>3087</v>
      </c>
      <c r="H11" s="17">
        <v>3087</v>
      </c>
      <c r="I11" s="17">
        <v>3087</v>
      </c>
      <c r="J11" s="17">
        <v>3969</v>
      </c>
      <c r="K11" s="17">
        <f>+J11</f>
        <v>3969</v>
      </c>
      <c r="L11" s="17">
        <f>+K11</f>
        <v>3969</v>
      </c>
      <c r="M11" s="17">
        <f>+L11</f>
        <v>3969</v>
      </c>
      <c r="N11" s="17">
        <f>+M11</f>
        <v>3969</v>
      </c>
      <c r="O11" s="18">
        <f>SUM(C11:N11)</f>
        <v>40234</v>
      </c>
    </row>
    <row r="12" spans="1:17" ht="15" hidden="1" x14ac:dyDescent="0.2">
      <c r="A12" s="12"/>
      <c r="B12" s="13" t="s">
        <v>121</v>
      </c>
      <c r="C12" s="17">
        <v>0</v>
      </c>
      <c r="D12" s="17">
        <f t="shared" si="0"/>
        <v>0</v>
      </c>
      <c r="E12" s="17">
        <f t="shared" si="0"/>
        <v>0</v>
      </c>
      <c r="F12" s="17">
        <f t="shared" si="0"/>
        <v>0</v>
      </c>
      <c r="G12" s="17">
        <f t="shared" si="0"/>
        <v>0</v>
      </c>
      <c r="H12" s="17">
        <v>0</v>
      </c>
      <c r="I12" s="17">
        <f t="shared" ref="I12:N13" si="1">+H12</f>
        <v>0</v>
      </c>
      <c r="J12" s="17">
        <f t="shared" si="1"/>
        <v>0</v>
      </c>
      <c r="K12" s="17">
        <f t="shared" si="1"/>
        <v>0</v>
      </c>
      <c r="L12" s="17">
        <f t="shared" si="1"/>
        <v>0</v>
      </c>
      <c r="M12" s="17">
        <f t="shared" si="1"/>
        <v>0</v>
      </c>
      <c r="N12" s="17">
        <f t="shared" si="1"/>
        <v>0</v>
      </c>
      <c r="O12" s="18">
        <f>SUM(C12:N12)</f>
        <v>0</v>
      </c>
    </row>
    <row r="13" spans="1:17" ht="15" hidden="1" x14ac:dyDescent="0.2">
      <c r="A13" s="12"/>
      <c r="B13" s="13" t="s">
        <v>122</v>
      </c>
      <c r="C13" s="17">
        <v>0</v>
      </c>
      <c r="D13" s="17">
        <f t="shared" si="0"/>
        <v>0</v>
      </c>
      <c r="E13" s="17">
        <f t="shared" si="0"/>
        <v>0</v>
      </c>
      <c r="F13" s="17">
        <f t="shared" si="0"/>
        <v>0</v>
      </c>
      <c r="G13" s="17">
        <f t="shared" si="0"/>
        <v>0</v>
      </c>
      <c r="H13" s="17">
        <v>0</v>
      </c>
      <c r="I13" s="17">
        <f t="shared" si="1"/>
        <v>0</v>
      </c>
      <c r="J13" s="17">
        <f t="shared" si="1"/>
        <v>0</v>
      </c>
      <c r="K13" s="17">
        <f t="shared" si="1"/>
        <v>0</v>
      </c>
      <c r="L13" s="17">
        <f t="shared" si="1"/>
        <v>0</v>
      </c>
      <c r="M13" s="17">
        <f t="shared" si="1"/>
        <v>0</v>
      </c>
      <c r="N13" s="17">
        <f t="shared" si="1"/>
        <v>0</v>
      </c>
      <c r="O13" s="18">
        <f t="shared" ref="O13:O36" si="2">SUM(C13:N13)</f>
        <v>0</v>
      </c>
    </row>
    <row r="14" spans="1:17" ht="15" x14ac:dyDescent="0.2">
      <c r="A14" s="12"/>
      <c r="B14" s="13" t="s">
        <v>123</v>
      </c>
      <c r="C14" s="17">
        <v>3780</v>
      </c>
      <c r="D14" s="17">
        <v>3852</v>
      </c>
      <c r="E14" s="17">
        <f t="shared" si="0"/>
        <v>3852</v>
      </c>
      <c r="F14" s="17">
        <f t="shared" si="0"/>
        <v>3852</v>
      </c>
      <c r="G14" s="17">
        <v>3752</v>
      </c>
      <c r="H14" s="17">
        <v>3752</v>
      </c>
      <c r="I14" s="17">
        <v>3752</v>
      </c>
      <c r="J14" s="17">
        <v>3924</v>
      </c>
      <c r="K14" s="17">
        <f>+J14</f>
        <v>3924</v>
      </c>
      <c r="L14" s="17">
        <f>+K14</f>
        <v>3924</v>
      </c>
      <c r="M14" s="17">
        <f>+L14</f>
        <v>3924</v>
      </c>
      <c r="N14" s="17">
        <f>+M14</f>
        <v>3924</v>
      </c>
      <c r="O14" s="18">
        <f t="shared" si="2"/>
        <v>46212</v>
      </c>
    </row>
    <row r="15" spans="1:17" ht="15" hidden="1" x14ac:dyDescent="0.2">
      <c r="A15" s="12"/>
      <c r="B15" s="13" t="s">
        <v>124</v>
      </c>
      <c r="C15" s="17">
        <v>0</v>
      </c>
      <c r="D15" s="17">
        <f t="shared" si="0"/>
        <v>0</v>
      </c>
      <c r="E15" s="17">
        <f t="shared" si="0"/>
        <v>0</v>
      </c>
      <c r="F15" s="17">
        <f t="shared" si="0"/>
        <v>0</v>
      </c>
      <c r="G15" s="17">
        <f t="shared" si="0"/>
        <v>0</v>
      </c>
      <c r="H15" s="17">
        <v>0</v>
      </c>
      <c r="I15" s="17">
        <f t="shared" ref="I15:N18" si="3">+H15</f>
        <v>0</v>
      </c>
      <c r="J15" s="17">
        <f t="shared" si="3"/>
        <v>0</v>
      </c>
      <c r="K15" s="17">
        <f t="shared" si="3"/>
        <v>0</v>
      </c>
      <c r="L15" s="17">
        <f t="shared" si="3"/>
        <v>0</v>
      </c>
      <c r="M15" s="17">
        <f t="shared" si="3"/>
        <v>0</v>
      </c>
      <c r="N15" s="17">
        <f t="shared" si="3"/>
        <v>0</v>
      </c>
      <c r="O15" s="18">
        <f t="shared" si="2"/>
        <v>0</v>
      </c>
    </row>
    <row r="16" spans="1:17" ht="15" hidden="1" x14ac:dyDescent="0.2">
      <c r="A16" s="12"/>
      <c r="B16" s="13" t="s">
        <v>405</v>
      </c>
      <c r="C16" s="17">
        <v>0</v>
      </c>
      <c r="D16" s="17">
        <f t="shared" si="0"/>
        <v>0</v>
      </c>
      <c r="E16" s="17">
        <f t="shared" si="0"/>
        <v>0</v>
      </c>
      <c r="F16" s="17">
        <f t="shared" si="0"/>
        <v>0</v>
      </c>
      <c r="G16" s="17">
        <f t="shared" si="0"/>
        <v>0</v>
      </c>
      <c r="H16" s="17">
        <v>0</v>
      </c>
      <c r="I16" s="17">
        <f t="shared" si="3"/>
        <v>0</v>
      </c>
      <c r="J16" s="17">
        <f t="shared" si="3"/>
        <v>0</v>
      </c>
      <c r="K16" s="17">
        <f t="shared" si="3"/>
        <v>0</v>
      </c>
      <c r="L16" s="17">
        <f t="shared" si="3"/>
        <v>0</v>
      </c>
      <c r="M16" s="17">
        <f t="shared" si="3"/>
        <v>0</v>
      </c>
      <c r="N16" s="17">
        <f t="shared" si="3"/>
        <v>0</v>
      </c>
      <c r="O16" s="18">
        <f t="shared" si="2"/>
        <v>0</v>
      </c>
    </row>
    <row r="17" spans="1:15" ht="15" hidden="1" x14ac:dyDescent="0.2">
      <c r="A17" s="12"/>
      <c r="B17" s="13" t="s">
        <v>126</v>
      </c>
      <c r="C17" s="17">
        <v>0</v>
      </c>
      <c r="D17" s="17">
        <f t="shared" si="0"/>
        <v>0</v>
      </c>
      <c r="E17" s="17">
        <f t="shared" si="0"/>
        <v>0</v>
      </c>
      <c r="F17" s="17">
        <f t="shared" si="0"/>
        <v>0</v>
      </c>
      <c r="G17" s="17">
        <f t="shared" si="0"/>
        <v>0</v>
      </c>
      <c r="H17" s="17">
        <v>0</v>
      </c>
      <c r="I17" s="17">
        <f t="shared" si="3"/>
        <v>0</v>
      </c>
      <c r="J17" s="17">
        <f t="shared" si="3"/>
        <v>0</v>
      </c>
      <c r="K17" s="17">
        <f t="shared" si="3"/>
        <v>0</v>
      </c>
      <c r="L17" s="17">
        <f t="shared" si="3"/>
        <v>0</v>
      </c>
      <c r="M17" s="17">
        <f t="shared" si="3"/>
        <v>0</v>
      </c>
      <c r="N17" s="17">
        <f t="shared" si="3"/>
        <v>0</v>
      </c>
      <c r="O17" s="18">
        <f t="shared" si="2"/>
        <v>0</v>
      </c>
    </row>
    <row r="18" spans="1:15" ht="15" hidden="1" x14ac:dyDescent="0.2">
      <c r="A18" s="12"/>
      <c r="B18" s="13" t="s">
        <v>609</v>
      </c>
      <c r="C18" s="17">
        <v>0</v>
      </c>
      <c r="D18" s="17">
        <f t="shared" si="0"/>
        <v>0</v>
      </c>
      <c r="E18" s="17">
        <f t="shared" si="0"/>
        <v>0</v>
      </c>
      <c r="F18" s="17">
        <f t="shared" si="0"/>
        <v>0</v>
      </c>
      <c r="G18" s="17">
        <f t="shared" si="0"/>
        <v>0</v>
      </c>
      <c r="H18" s="17">
        <v>0</v>
      </c>
      <c r="I18" s="17">
        <f t="shared" si="3"/>
        <v>0</v>
      </c>
      <c r="J18" s="17">
        <f t="shared" si="3"/>
        <v>0</v>
      </c>
      <c r="K18" s="17">
        <f t="shared" si="3"/>
        <v>0</v>
      </c>
      <c r="L18" s="17">
        <f t="shared" si="3"/>
        <v>0</v>
      </c>
      <c r="M18" s="17">
        <f t="shared" si="3"/>
        <v>0</v>
      </c>
      <c r="N18" s="17">
        <f t="shared" si="3"/>
        <v>0</v>
      </c>
      <c r="O18" s="18">
        <f t="shared" si="2"/>
        <v>0</v>
      </c>
    </row>
    <row r="19" spans="1:15" ht="15" x14ac:dyDescent="0.2">
      <c r="A19" s="12"/>
      <c r="B19" s="13" t="s">
        <v>128</v>
      </c>
      <c r="C19" s="17">
        <v>10272</v>
      </c>
      <c r="D19" s="17">
        <f t="shared" si="0"/>
        <v>10272</v>
      </c>
      <c r="E19" s="17">
        <f t="shared" si="0"/>
        <v>10272</v>
      </c>
      <c r="F19" s="17">
        <f t="shared" si="0"/>
        <v>10272</v>
      </c>
      <c r="G19" s="17">
        <v>10584</v>
      </c>
      <c r="H19" s="17">
        <v>10584</v>
      </c>
      <c r="I19" s="17">
        <v>10584</v>
      </c>
      <c r="J19" s="17">
        <v>10584</v>
      </c>
      <c r="K19" s="17">
        <v>10584</v>
      </c>
      <c r="L19" s="17">
        <v>10584</v>
      </c>
      <c r="M19" s="17">
        <v>10584</v>
      </c>
      <c r="N19" s="17">
        <v>10584</v>
      </c>
      <c r="O19" s="18">
        <f t="shared" si="2"/>
        <v>125760</v>
      </c>
    </row>
    <row r="20" spans="1:15" ht="15" customHeight="1" x14ac:dyDescent="0.2">
      <c r="A20" s="12"/>
      <c r="B20" s="13" t="s">
        <v>129</v>
      </c>
      <c r="C20" s="17">
        <v>0</v>
      </c>
      <c r="D20" s="17">
        <f t="shared" si="0"/>
        <v>0</v>
      </c>
      <c r="E20" s="17">
        <f t="shared" si="0"/>
        <v>0</v>
      </c>
      <c r="F20" s="17">
        <f t="shared" si="0"/>
        <v>0</v>
      </c>
      <c r="G20" s="17">
        <f t="shared" si="0"/>
        <v>0</v>
      </c>
      <c r="H20" s="17">
        <v>0</v>
      </c>
      <c r="I20" s="17">
        <f t="shared" ref="I20:N35" si="4">+H20</f>
        <v>0</v>
      </c>
      <c r="J20" s="17">
        <f t="shared" si="4"/>
        <v>0</v>
      </c>
      <c r="K20" s="17">
        <f t="shared" si="4"/>
        <v>0</v>
      </c>
      <c r="L20" s="17">
        <f t="shared" si="4"/>
        <v>0</v>
      </c>
      <c r="M20" s="17">
        <f t="shared" si="4"/>
        <v>0</v>
      </c>
      <c r="N20" s="17">
        <f t="shared" si="4"/>
        <v>0</v>
      </c>
      <c r="O20" s="18">
        <f t="shared" si="2"/>
        <v>0</v>
      </c>
    </row>
    <row r="21" spans="1:15" ht="15" hidden="1" customHeight="1" x14ac:dyDescent="0.2">
      <c r="A21" s="878" t="s">
        <v>130</v>
      </c>
      <c r="B21" s="19" t="s">
        <v>131</v>
      </c>
      <c r="C21" s="17">
        <v>0</v>
      </c>
      <c r="D21" s="17">
        <f t="shared" si="0"/>
        <v>0</v>
      </c>
      <c r="E21" s="17">
        <f t="shared" si="0"/>
        <v>0</v>
      </c>
      <c r="F21" s="17">
        <f t="shared" si="0"/>
        <v>0</v>
      </c>
      <c r="G21" s="17">
        <f t="shared" si="0"/>
        <v>0</v>
      </c>
      <c r="H21" s="17">
        <v>0</v>
      </c>
      <c r="I21" s="17">
        <f t="shared" si="4"/>
        <v>0</v>
      </c>
      <c r="J21" s="17">
        <f t="shared" si="4"/>
        <v>0</v>
      </c>
      <c r="K21" s="17">
        <f t="shared" si="4"/>
        <v>0</v>
      </c>
      <c r="L21" s="17">
        <f t="shared" si="4"/>
        <v>0</v>
      </c>
      <c r="M21" s="17">
        <f t="shared" si="4"/>
        <v>0</v>
      </c>
      <c r="N21" s="17">
        <f t="shared" si="4"/>
        <v>0</v>
      </c>
      <c r="O21" s="18">
        <f t="shared" si="2"/>
        <v>0</v>
      </c>
    </row>
    <row r="22" spans="1:15" ht="15" customHeight="1" x14ac:dyDescent="0.2">
      <c r="A22" s="879"/>
      <c r="B22" s="19" t="s">
        <v>132</v>
      </c>
      <c r="C22" s="17">
        <v>0</v>
      </c>
      <c r="D22" s="17">
        <f t="shared" si="0"/>
        <v>0</v>
      </c>
      <c r="E22" s="17">
        <f t="shared" si="0"/>
        <v>0</v>
      </c>
      <c r="F22" s="17">
        <f t="shared" si="0"/>
        <v>0</v>
      </c>
      <c r="G22" s="17">
        <f t="shared" si="0"/>
        <v>0</v>
      </c>
      <c r="H22" s="17">
        <v>0</v>
      </c>
      <c r="I22" s="17">
        <f t="shared" si="4"/>
        <v>0</v>
      </c>
      <c r="J22" s="17">
        <v>6908</v>
      </c>
      <c r="K22" s="17">
        <v>0</v>
      </c>
      <c r="L22" s="17">
        <f t="shared" si="4"/>
        <v>0</v>
      </c>
      <c r="M22" s="17">
        <f t="shared" si="4"/>
        <v>0</v>
      </c>
      <c r="N22" s="17">
        <f t="shared" si="4"/>
        <v>0</v>
      </c>
      <c r="O22" s="18">
        <f t="shared" si="2"/>
        <v>6908</v>
      </c>
    </row>
    <row r="23" spans="1:15" ht="15" hidden="1" customHeight="1" x14ac:dyDescent="0.2">
      <c r="A23" s="879"/>
      <c r="B23" s="19" t="s">
        <v>133</v>
      </c>
      <c r="C23" s="17">
        <v>0</v>
      </c>
      <c r="D23" s="17">
        <f t="shared" si="0"/>
        <v>0</v>
      </c>
      <c r="E23" s="17">
        <f t="shared" si="0"/>
        <v>0</v>
      </c>
      <c r="F23" s="17">
        <f t="shared" si="0"/>
        <v>0</v>
      </c>
      <c r="G23" s="17">
        <f t="shared" si="0"/>
        <v>0</v>
      </c>
      <c r="H23" s="17">
        <v>0</v>
      </c>
      <c r="I23" s="17">
        <f t="shared" si="4"/>
        <v>0</v>
      </c>
      <c r="J23" s="17">
        <f t="shared" si="4"/>
        <v>0</v>
      </c>
      <c r="K23" s="17">
        <f t="shared" si="4"/>
        <v>0</v>
      </c>
      <c r="L23" s="17">
        <f t="shared" si="4"/>
        <v>0</v>
      </c>
      <c r="M23" s="17">
        <f t="shared" si="4"/>
        <v>0</v>
      </c>
      <c r="N23" s="17">
        <f t="shared" si="4"/>
        <v>0</v>
      </c>
      <c r="O23" s="18">
        <f t="shared" si="2"/>
        <v>0</v>
      </c>
    </row>
    <row r="24" spans="1:15" ht="15" hidden="1" customHeight="1" x14ac:dyDescent="0.2">
      <c r="A24" s="879"/>
      <c r="B24" s="19" t="s">
        <v>134</v>
      </c>
      <c r="C24" s="17">
        <v>0</v>
      </c>
      <c r="D24" s="17">
        <f t="shared" si="0"/>
        <v>0</v>
      </c>
      <c r="E24" s="17">
        <f t="shared" si="0"/>
        <v>0</v>
      </c>
      <c r="F24" s="17">
        <f t="shared" si="0"/>
        <v>0</v>
      </c>
      <c r="G24" s="17">
        <f t="shared" si="0"/>
        <v>0</v>
      </c>
      <c r="H24" s="17">
        <v>0</v>
      </c>
      <c r="I24" s="17">
        <f t="shared" si="4"/>
        <v>0</v>
      </c>
      <c r="J24" s="17">
        <f t="shared" si="4"/>
        <v>0</v>
      </c>
      <c r="K24" s="17">
        <f t="shared" si="4"/>
        <v>0</v>
      </c>
      <c r="L24" s="17">
        <f t="shared" si="4"/>
        <v>0</v>
      </c>
      <c r="M24" s="17">
        <f t="shared" si="4"/>
        <v>0</v>
      </c>
      <c r="N24" s="17">
        <f t="shared" si="4"/>
        <v>0</v>
      </c>
      <c r="O24" s="18">
        <f t="shared" si="2"/>
        <v>0</v>
      </c>
    </row>
    <row r="25" spans="1:15" ht="15" hidden="1" customHeight="1" x14ac:dyDescent="0.2">
      <c r="A25" s="879"/>
      <c r="B25" s="19" t="s">
        <v>135</v>
      </c>
      <c r="C25" s="17">
        <v>0</v>
      </c>
      <c r="D25" s="17">
        <f t="shared" si="0"/>
        <v>0</v>
      </c>
      <c r="E25" s="17">
        <f t="shared" si="0"/>
        <v>0</v>
      </c>
      <c r="F25" s="17">
        <f t="shared" si="0"/>
        <v>0</v>
      </c>
      <c r="G25" s="17">
        <f t="shared" si="0"/>
        <v>0</v>
      </c>
      <c r="H25" s="17">
        <v>0</v>
      </c>
      <c r="I25" s="17">
        <f t="shared" si="4"/>
        <v>0</v>
      </c>
      <c r="J25" s="17">
        <f t="shared" si="4"/>
        <v>0</v>
      </c>
      <c r="K25" s="17">
        <f t="shared" si="4"/>
        <v>0</v>
      </c>
      <c r="L25" s="17">
        <f t="shared" si="4"/>
        <v>0</v>
      </c>
      <c r="M25" s="17">
        <f t="shared" si="4"/>
        <v>0</v>
      </c>
      <c r="N25" s="17">
        <f t="shared" si="4"/>
        <v>0</v>
      </c>
      <c r="O25" s="18">
        <f t="shared" si="2"/>
        <v>0</v>
      </c>
    </row>
    <row r="26" spans="1:15" ht="15" hidden="1" customHeight="1" x14ac:dyDescent="0.2">
      <c r="A26" s="879"/>
      <c r="B26" s="19" t="s">
        <v>136</v>
      </c>
      <c r="C26" s="17">
        <v>0</v>
      </c>
      <c r="D26" s="17">
        <f t="shared" si="0"/>
        <v>0</v>
      </c>
      <c r="E26" s="17">
        <f t="shared" si="0"/>
        <v>0</v>
      </c>
      <c r="F26" s="17">
        <f t="shared" si="0"/>
        <v>0</v>
      </c>
      <c r="G26" s="17">
        <f t="shared" si="0"/>
        <v>0</v>
      </c>
      <c r="H26" s="17">
        <v>0</v>
      </c>
      <c r="I26" s="17">
        <f t="shared" si="4"/>
        <v>0</v>
      </c>
      <c r="J26" s="17">
        <f t="shared" si="4"/>
        <v>0</v>
      </c>
      <c r="K26" s="17">
        <f t="shared" si="4"/>
        <v>0</v>
      </c>
      <c r="L26" s="17">
        <f t="shared" si="4"/>
        <v>0</v>
      </c>
      <c r="M26" s="17">
        <f t="shared" si="4"/>
        <v>0</v>
      </c>
      <c r="N26" s="17">
        <f t="shared" si="4"/>
        <v>0</v>
      </c>
      <c r="O26" s="18">
        <f t="shared" si="2"/>
        <v>0</v>
      </c>
    </row>
    <row r="27" spans="1:15" ht="15" hidden="1" customHeight="1" x14ac:dyDescent="0.2">
      <c r="A27" s="879"/>
      <c r="B27" s="19" t="s">
        <v>137</v>
      </c>
      <c r="C27" s="17">
        <v>0</v>
      </c>
      <c r="D27" s="17">
        <f t="shared" si="0"/>
        <v>0</v>
      </c>
      <c r="E27" s="17">
        <f t="shared" si="0"/>
        <v>0</v>
      </c>
      <c r="F27" s="17">
        <f t="shared" si="0"/>
        <v>0</v>
      </c>
      <c r="G27" s="17">
        <f t="shared" si="0"/>
        <v>0</v>
      </c>
      <c r="H27" s="17">
        <v>0</v>
      </c>
      <c r="I27" s="17">
        <f t="shared" si="4"/>
        <v>0</v>
      </c>
      <c r="J27" s="17">
        <f t="shared" si="4"/>
        <v>0</v>
      </c>
      <c r="K27" s="17">
        <f t="shared" si="4"/>
        <v>0</v>
      </c>
      <c r="L27" s="17">
        <f t="shared" si="4"/>
        <v>0</v>
      </c>
      <c r="M27" s="17">
        <f t="shared" si="4"/>
        <v>0</v>
      </c>
      <c r="N27" s="17">
        <f t="shared" si="4"/>
        <v>0</v>
      </c>
      <c r="O27" s="18">
        <f t="shared" si="2"/>
        <v>0</v>
      </c>
    </row>
    <row r="28" spans="1:15" ht="15" hidden="1" customHeight="1" x14ac:dyDescent="0.2">
      <c r="A28" s="879"/>
      <c r="B28" s="19" t="s">
        <v>138</v>
      </c>
      <c r="C28" s="17">
        <v>0</v>
      </c>
      <c r="D28" s="17">
        <f t="shared" si="0"/>
        <v>0</v>
      </c>
      <c r="E28" s="17">
        <f t="shared" si="0"/>
        <v>0</v>
      </c>
      <c r="F28" s="17">
        <f t="shared" si="0"/>
        <v>0</v>
      </c>
      <c r="G28" s="17">
        <f t="shared" si="0"/>
        <v>0</v>
      </c>
      <c r="H28" s="17">
        <v>0</v>
      </c>
      <c r="I28" s="17">
        <f t="shared" si="4"/>
        <v>0</v>
      </c>
      <c r="J28" s="17">
        <f t="shared" si="4"/>
        <v>0</v>
      </c>
      <c r="K28" s="17">
        <f t="shared" si="4"/>
        <v>0</v>
      </c>
      <c r="L28" s="17">
        <f t="shared" si="4"/>
        <v>0</v>
      </c>
      <c r="M28" s="17">
        <f t="shared" si="4"/>
        <v>0</v>
      </c>
      <c r="N28" s="17">
        <f t="shared" si="4"/>
        <v>0</v>
      </c>
      <c r="O28" s="18">
        <f t="shared" si="2"/>
        <v>0</v>
      </c>
    </row>
    <row r="29" spans="1:15" ht="15" hidden="1" customHeight="1" x14ac:dyDescent="0.2">
      <c r="A29" s="879"/>
      <c r="B29" s="19" t="s">
        <v>139</v>
      </c>
      <c r="C29" s="17">
        <v>0</v>
      </c>
      <c r="D29" s="17">
        <f t="shared" si="0"/>
        <v>0</v>
      </c>
      <c r="E29" s="17">
        <f t="shared" si="0"/>
        <v>0</v>
      </c>
      <c r="F29" s="17">
        <f t="shared" si="0"/>
        <v>0</v>
      </c>
      <c r="G29" s="17">
        <f t="shared" si="0"/>
        <v>0</v>
      </c>
      <c r="H29" s="17">
        <v>0</v>
      </c>
      <c r="I29" s="17">
        <f t="shared" si="4"/>
        <v>0</v>
      </c>
      <c r="J29" s="17">
        <f t="shared" si="4"/>
        <v>0</v>
      </c>
      <c r="K29" s="17">
        <f t="shared" si="4"/>
        <v>0</v>
      </c>
      <c r="L29" s="17">
        <f t="shared" si="4"/>
        <v>0</v>
      </c>
      <c r="M29" s="17">
        <f t="shared" si="4"/>
        <v>0</v>
      </c>
      <c r="N29" s="17">
        <f t="shared" si="4"/>
        <v>0</v>
      </c>
      <c r="O29" s="18">
        <f t="shared" si="2"/>
        <v>0</v>
      </c>
    </row>
    <row r="30" spans="1:15" ht="15" hidden="1" customHeight="1" x14ac:dyDescent="0.2">
      <c r="A30" s="879"/>
      <c r="B30" s="19" t="s">
        <v>140</v>
      </c>
      <c r="C30" s="17">
        <v>0</v>
      </c>
      <c r="D30" s="17">
        <f t="shared" si="0"/>
        <v>0</v>
      </c>
      <c r="E30" s="17">
        <f t="shared" si="0"/>
        <v>0</v>
      </c>
      <c r="F30" s="17">
        <f t="shared" si="0"/>
        <v>0</v>
      </c>
      <c r="G30" s="17">
        <f t="shared" si="0"/>
        <v>0</v>
      </c>
      <c r="H30" s="17">
        <v>0</v>
      </c>
      <c r="I30" s="17">
        <f t="shared" si="4"/>
        <v>0</v>
      </c>
      <c r="J30" s="17">
        <f t="shared" si="4"/>
        <v>0</v>
      </c>
      <c r="K30" s="17">
        <f t="shared" si="4"/>
        <v>0</v>
      </c>
      <c r="L30" s="17">
        <f t="shared" si="4"/>
        <v>0</v>
      </c>
      <c r="M30" s="17">
        <f t="shared" si="4"/>
        <v>0</v>
      </c>
      <c r="N30" s="17">
        <f t="shared" si="4"/>
        <v>0</v>
      </c>
      <c r="O30" s="18">
        <f t="shared" si="2"/>
        <v>0</v>
      </c>
    </row>
    <row r="31" spans="1:15" ht="15" hidden="1" customHeight="1" x14ac:dyDescent="0.2">
      <c r="A31" s="879"/>
      <c r="B31" s="19" t="s">
        <v>225</v>
      </c>
      <c r="C31" s="17">
        <v>0</v>
      </c>
      <c r="D31" s="17">
        <f t="shared" si="0"/>
        <v>0</v>
      </c>
      <c r="E31" s="17">
        <f t="shared" si="0"/>
        <v>0</v>
      </c>
      <c r="F31" s="17">
        <f t="shared" si="0"/>
        <v>0</v>
      </c>
      <c r="G31" s="17">
        <f t="shared" si="0"/>
        <v>0</v>
      </c>
      <c r="H31" s="17">
        <v>0</v>
      </c>
      <c r="I31" s="17">
        <f t="shared" si="4"/>
        <v>0</v>
      </c>
      <c r="J31" s="17">
        <f t="shared" si="4"/>
        <v>0</v>
      </c>
      <c r="K31" s="17">
        <f t="shared" si="4"/>
        <v>0</v>
      </c>
      <c r="L31" s="17">
        <f t="shared" si="4"/>
        <v>0</v>
      </c>
      <c r="M31" s="17">
        <f t="shared" si="4"/>
        <v>0</v>
      </c>
      <c r="N31" s="17">
        <f t="shared" si="4"/>
        <v>0</v>
      </c>
      <c r="O31" s="18">
        <f t="shared" si="2"/>
        <v>0</v>
      </c>
    </row>
    <row r="32" spans="1:15" ht="15" customHeight="1" x14ac:dyDescent="0.2">
      <c r="A32" s="879"/>
      <c r="B32" s="21" t="s">
        <v>142</v>
      </c>
      <c r="C32" s="17">
        <v>0</v>
      </c>
      <c r="D32" s="17">
        <f t="shared" si="0"/>
        <v>0</v>
      </c>
      <c r="E32" s="17">
        <f t="shared" si="0"/>
        <v>0</v>
      </c>
      <c r="F32" s="17">
        <f t="shared" si="0"/>
        <v>0</v>
      </c>
      <c r="G32" s="17">
        <f t="shared" si="0"/>
        <v>0</v>
      </c>
      <c r="H32" s="17">
        <v>0</v>
      </c>
      <c r="I32" s="17">
        <f t="shared" si="4"/>
        <v>0</v>
      </c>
      <c r="J32" s="17">
        <f t="shared" si="4"/>
        <v>0</v>
      </c>
      <c r="K32" s="17">
        <f t="shared" si="4"/>
        <v>0</v>
      </c>
      <c r="L32" s="17">
        <f t="shared" si="4"/>
        <v>0</v>
      </c>
      <c r="M32" s="17">
        <f t="shared" si="4"/>
        <v>0</v>
      </c>
      <c r="N32" s="17">
        <f t="shared" si="4"/>
        <v>0</v>
      </c>
      <c r="O32" s="18">
        <f t="shared" si="2"/>
        <v>0</v>
      </c>
    </row>
    <row r="33" spans="1:16" ht="15" hidden="1" customHeight="1" x14ac:dyDescent="0.2">
      <c r="A33" s="880"/>
      <c r="B33" s="19" t="s">
        <v>226</v>
      </c>
      <c r="C33" s="17">
        <v>0</v>
      </c>
      <c r="D33" s="17">
        <f t="shared" si="0"/>
        <v>0</v>
      </c>
      <c r="E33" s="17">
        <f t="shared" si="0"/>
        <v>0</v>
      </c>
      <c r="F33" s="17">
        <f t="shared" si="0"/>
        <v>0</v>
      </c>
      <c r="G33" s="17">
        <f t="shared" si="0"/>
        <v>0</v>
      </c>
      <c r="H33" s="17">
        <v>0</v>
      </c>
      <c r="I33" s="17">
        <f t="shared" si="4"/>
        <v>0</v>
      </c>
      <c r="J33" s="17">
        <f t="shared" si="4"/>
        <v>0</v>
      </c>
      <c r="K33" s="17">
        <f t="shared" si="4"/>
        <v>0</v>
      </c>
      <c r="L33" s="17">
        <f t="shared" si="4"/>
        <v>0</v>
      </c>
      <c r="M33" s="17">
        <f t="shared" si="4"/>
        <v>0</v>
      </c>
      <c r="N33" s="17">
        <f t="shared" si="4"/>
        <v>0</v>
      </c>
      <c r="O33" s="18">
        <f t="shared" si="2"/>
        <v>0</v>
      </c>
    </row>
    <row r="34" spans="1:16" ht="15" customHeight="1" x14ac:dyDescent="0.2">
      <c r="A34" s="865" t="s">
        <v>143</v>
      </c>
      <c r="B34" s="866"/>
      <c r="C34" s="17">
        <v>0</v>
      </c>
      <c r="D34" s="17">
        <f t="shared" si="0"/>
        <v>0</v>
      </c>
      <c r="E34" s="17">
        <f t="shared" si="0"/>
        <v>0</v>
      </c>
      <c r="F34" s="17">
        <f t="shared" si="0"/>
        <v>0</v>
      </c>
      <c r="G34" s="17">
        <f t="shared" si="0"/>
        <v>0</v>
      </c>
      <c r="H34" s="17">
        <v>0</v>
      </c>
      <c r="I34" s="17">
        <f t="shared" si="4"/>
        <v>0</v>
      </c>
      <c r="J34" s="17">
        <f t="shared" si="4"/>
        <v>0</v>
      </c>
      <c r="K34" s="17">
        <f t="shared" si="4"/>
        <v>0</v>
      </c>
      <c r="L34" s="17">
        <f t="shared" si="4"/>
        <v>0</v>
      </c>
      <c r="M34" s="17">
        <f t="shared" si="4"/>
        <v>0</v>
      </c>
      <c r="N34" s="17">
        <f t="shared" si="4"/>
        <v>0</v>
      </c>
      <c r="O34" s="18">
        <f t="shared" si="2"/>
        <v>0</v>
      </c>
    </row>
    <row r="35" spans="1:16" ht="15" customHeight="1" x14ac:dyDescent="0.2">
      <c r="A35" s="865" t="s">
        <v>145</v>
      </c>
      <c r="B35" s="866"/>
      <c r="C35" s="17">
        <v>0</v>
      </c>
      <c r="D35" s="17">
        <v>216</v>
      </c>
      <c r="E35" s="17">
        <v>0</v>
      </c>
      <c r="F35" s="17">
        <f>+E35</f>
        <v>0</v>
      </c>
      <c r="G35" s="17">
        <f>+F35</f>
        <v>0</v>
      </c>
      <c r="H35" s="17">
        <v>0</v>
      </c>
      <c r="I35" s="17">
        <f t="shared" si="4"/>
        <v>0</v>
      </c>
      <c r="J35" s="17">
        <v>216</v>
      </c>
      <c r="K35" s="17">
        <v>0</v>
      </c>
      <c r="L35" s="17">
        <f t="shared" si="4"/>
        <v>0</v>
      </c>
      <c r="M35" s="17">
        <f t="shared" si="4"/>
        <v>0</v>
      </c>
      <c r="N35" s="17">
        <f t="shared" si="4"/>
        <v>0</v>
      </c>
      <c r="O35" s="18">
        <f t="shared" si="2"/>
        <v>432</v>
      </c>
    </row>
    <row r="36" spans="1:16" ht="15" customHeight="1" x14ac:dyDescent="0.2">
      <c r="A36" s="865" t="s">
        <v>146</v>
      </c>
      <c r="B36" s="866"/>
      <c r="C36" s="17">
        <v>0</v>
      </c>
      <c r="D36" s="17">
        <v>2568</v>
      </c>
      <c r="E36" s="17">
        <v>0</v>
      </c>
      <c r="F36" s="17">
        <f>+E36</f>
        <v>0</v>
      </c>
      <c r="G36" s="17">
        <f>+F36</f>
        <v>0</v>
      </c>
      <c r="H36" s="17">
        <v>0</v>
      </c>
      <c r="I36" s="17">
        <f t="shared" ref="I36:N36" si="5">+H36</f>
        <v>0</v>
      </c>
      <c r="J36" s="17">
        <v>2646</v>
      </c>
      <c r="K36" s="17">
        <v>0</v>
      </c>
      <c r="L36" s="17">
        <f t="shared" si="5"/>
        <v>0</v>
      </c>
      <c r="M36" s="17">
        <f t="shared" si="5"/>
        <v>0</v>
      </c>
      <c r="N36" s="17">
        <f t="shared" si="5"/>
        <v>0</v>
      </c>
      <c r="O36" s="18">
        <f t="shared" si="2"/>
        <v>5214</v>
      </c>
    </row>
    <row r="37" spans="1:16" ht="15" customHeight="1" x14ac:dyDescent="0.2">
      <c r="A37" s="22"/>
      <c r="B37" s="23" t="s">
        <v>147</v>
      </c>
      <c r="C37" s="24">
        <f t="shared" ref="C37:N37" si="6">SUM(C9:C36)</f>
        <v>58992</v>
      </c>
      <c r="D37" s="24">
        <f t="shared" si="6"/>
        <v>62704</v>
      </c>
      <c r="E37" s="24">
        <f t="shared" si="6"/>
        <v>59920</v>
      </c>
      <c r="F37" s="24">
        <f t="shared" si="6"/>
        <v>59920</v>
      </c>
      <c r="G37" s="24">
        <f t="shared" si="6"/>
        <v>61523</v>
      </c>
      <c r="H37" s="24">
        <f t="shared" si="6"/>
        <v>61523</v>
      </c>
      <c r="I37" s="24">
        <f t="shared" si="6"/>
        <v>61523</v>
      </c>
      <c r="J37" s="24">
        <f t="shared" si="6"/>
        <v>72347</v>
      </c>
      <c r="K37" s="24">
        <f t="shared" si="6"/>
        <v>62577</v>
      </c>
      <c r="L37" s="24">
        <f t="shared" si="6"/>
        <v>62577</v>
      </c>
      <c r="M37" s="24">
        <f t="shared" si="6"/>
        <v>62577</v>
      </c>
      <c r="N37" s="24">
        <f t="shared" si="6"/>
        <v>62577</v>
      </c>
      <c r="O37" s="25">
        <f t="shared" ref="O37:O50" si="7">SUM(C37:N37)</f>
        <v>748760</v>
      </c>
    </row>
    <row r="38" spans="1:16" ht="15" customHeight="1" x14ac:dyDescent="0.2">
      <c r="A38" s="853" t="s">
        <v>148</v>
      </c>
      <c r="B38" s="27" t="s">
        <v>149</v>
      </c>
      <c r="C38" s="147">
        <v>1400</v>
      </c>
      <c r="D38" s="147">
        <v>1000</v>
      </c>
      <c r="E38" s="147">
        <v>1000</v>
      </c>
      <c r="F38" s="147">
        <v>1000</v>
      </c>
      <c r="G38" s="147">
        <v>1000</v>
      </c>
      <c r="H38" s="147">
        <v>1000</v>
      </c>
      <c r="I38" s="147">
        <v>1000</v>
      </c>
      <c r="J38" s="147">
        <v>1000</v>
      </c>
      <c r="K38" s="147">
        <v>3800</v>
      </c>
      <c r="L38" s="147">
        <v>3885</v>
      </c>
      <c r="M38" s="147">
        <v>3885</v>
      </c>
      <c r="N38" s="147">
        <v>4115</v>
      </c>
      <c r="O38" s="18">
        <f t="shared" si="7"/>
        <v>24085</v>
      </c>
      <c r="P38" s="29"/>
    </row>
    <row r="39" spans="1:16" ht="15" x14ac:dyDescent="0.2">
      <c r="A39" s="854"/>
      <c r="B39" s="27" t="s">
        <v>150</v>
      </c>
      <c r="C39" s="147">
        <v>0</v>
      </c>
      <c r="D39" s="147">
        <v>0</v>
      </c>
      <c r="E39" s="147">
        <v>0</v>
      </c>
      <c r="F39" s="147">
        <v>0</v>
      </c>
      <c r="G39" s="147">
        <v>0</v>
      </c>
      <c r="H39" s="147">
        <v>0</v>
      </c>
      <c r="I39" s="147">
        <v>0</v>
      </c>
      <c r="J39" s="147">
        <v>0</v>
      </c>
      <c r="K39" s="147">
        <v>0</v>
      </c>
      <c r="L39" s="147">
        <v>0</v>
      </c>
      <c r="M39" s="147">
        <v>0</v>
      </c>
      <c r="N39" s="147">
        <v>0</v>
      </c>
      <c r="O39" s="18">
        <f t="shared" si="7"/>
        <v>0</v>
      </c>
    </row>
    <row r="40" spans="1:16" ht="15" x14ac:dyDescent="0.2">
      <c r="A40" s="854"/>
      <c r="B40" s="27" t="s">
        <v>151</v>
      </c>
      <c r="C40" s="147">
        <v>30</v>
      </c>
      <c r="D40" s="147">
        <v>30</v>
      </c>
      <c r="E40" s="147">
        <v>30</v>
      </c>
      <c r="F40" s="147">
        <v>30</v>
      </c>
      <c r="G40" s="147">
        <v>30</v>
      </c>
      <c r="H40" s="147">
        <v>30</v>
      </c>
      <c r="I40" s="147">
        <v>30</v>
      </c>
      <c r="J40" s="147">
        <v>30</v>
      </c>
      <c r="K40" s="147">
        <v>30</v>
      </c>
      <c r="L40" s="147">
        <v>30</v>
      </c>
      <c r="M40" s="147">
        <v>30</v>
      </c>
      <c r="N40" s="147">
        <v>30</v>
      </c>
      <c r="O40" s="18">
        <f t="shared" si="7"/>
        <v>360</v>
      </c>
    </row>
    <row r="41" spans="1:16" ht="15" x14ac:dyDescent="0.2">
      <c r="A41" s="854"/>
      <c r="B41" s="27" t="s">
        <v>152</v>
      </c>
      <c r="C41" s="147">
        <v>0</v>
      </c>
      <c r="D41" s="147">
        <v>0</v>
      </c>
      <c r="E41" s="147">
        <v>0</v>
      </c>
      <c r="F41" s="147">
        <v>0</v>
      </c>
      <c r="G41" s="147">
        <v>0</v>
      </c>
      <c r="H41" s="147">
        <v>0</v>
      </c>
      <c r="I41" s="147">
        <v>0</v>
      </c>
      <c r="J41" s="147">
        <v>0</v>
      </c>
      <c r="K41" s="147">
        <v>0</v>
      </c>
      <c r="L41" s="147">
        <v>0</v>
      </c>
      <c r="M41" s="147">
        <v>0</v>
      </c>
      <c r="N41" s="147">
        <v>0</v>
      </c>
      <c r="O41" s="18">
        <f t="shared" si="7"/>
        <v>0</v>
      </c>
    </row>
    <row r="42" spans="1:16" ht="15" x14ac:dyDescent="0.2">
      <c r="A42" s="854"/>
      <c r="B42" s="27" t="s">
        <v>153</v>
      </c>
      <c r="C42" s="147">
        <v>250</v>
      </c>
      <c r="D42" s="147">
        <v>250</v>
      </c>
      <c r="E42" s="147">
        <v>250</v>
      </c>
      <c r="F42" s="147">
        <v>250</v>
      </c>
      <c r="G42" s="147">
        <v>250</v>
      </c>
      <c r="H42" s="147">
        <v>250</v>
      </c>
      <c r="I42" s="147">
        <v>250</v>
      </c>
      <c r="J42" s="147">
        <v>250</v>
      </c>
      <c r="K42" s="147">
        <v>250</v>
      </c>
      <c r="L42" s="147">
        <v>250</v>
      </c>
      <c r="M42" s="147">
        <v>250</v>
      </c>
      <c r="N42" s="147">
        <v>250</v>
      </c>
      <c r="O42" s="18">
        <f t="shared" si="7"/>
        <v>3000</v>
      </c>
    </row>
    <row r="43" spans="1:16" ht="15" x14ac:dyDescent="0.2">
      <c r="A43" s="854"/>
      <c r="B43" s="27" t="s">
        <v>154</v>
      </c>
      <c r="C43" s="147">
        <v>14000</v>
      </c>
      <c r="D43" s="147">
        <v>14000</v>
      </c>
      <c r="E43" s="147">
        <v>14000</v>
      </c>
      <c r="F43" s="147">
        <v>14000</v>
      </c>
      <c r="G43" s="147">
        <v>14000</v>
      </c>
      <c r="H43" s="147">
        <v>14000</v>
      </c>
      <c r="I43" s="147">
        <v>14000</v>
      </c>
      <c r="J43" s="147">
        <v>14000</v>
      </c>
      <c r="K43" s="147">
        <v>14000</v>
      </c>
      <c r="L43" s="147">
        <v>14000</v>
      </c>
      <c r="M43" s="147">
        <v>14000</v>
      </c>
      <c r="N43" s="147">
        <v>14000</v>
      </c>
      <c r="O43" s="18">
        <f t="shared" si="7"/>
        <v>168000</v>
      </c>
    </row>
    <row r="44" spans="1:16" ht="15" x14ac:dyDescent="0.2">
      <c r="A44" s="854"/>
      <c r="B44" s="27" t="s">
        <v>155</v>
      </c>
      <c r="C44" s="147">
        <v>200</v>
      </c>
      <c r="D44" s="147">
        <v>200</v>
      </c>
      <c r="E44" s="147">
        <v>200</v>
      </c>
      <c r="F44" s="147">
        <v>200</v>
      </c>
      <c r="G44" s="147">
        <v>200</v>
      </c>
      <c r="H44" s="147">
        <v>200</v>
      </c>
      <c r="I44" s="147">
        <v>200</v>
      </c>
      <c r="J44" s="147">
        <v>200</v>
      </c>
      <c r="K44" s="147">
        <v>200</v>
      </c>
      <c r="L44" s="147">
        <v>200</v>
      </c>
      <c r="M44" s="147">
        <v>200</v>
      </c>
      <c r="N44" s="147">
        <v>300</v>
      </c>
      <c r="O44" s="18">
        <f t="shared" si="7"/>
        <v>2500</v>
      </c>
    </row>
    <row r="45" spans="1:16" ht="15" x14ac:dyDescent="0.2">
      <c r="A45" s="854"/>
      <c r="B45" s="27" t="s">
        <v>156</v>
      </c>
      <c r="C45" s="147">
        <v>0</v>
      </c>
      <c r="D45" s="147">
        <v>0</v>
      </c>
      <c r="E45" s="147">
        <v>0</v>
      </c>
      <c r="F45" s="147">
        <v>0</v>
      </c>
      <c r="G45" s="147">
        <v>0</v>
      </c>
      <c r="H45" s="147">
        <v>0</v>
      </c>
      <c r="I45" s="147">
        <v>0</v>
      </c>
      <c r="J45" s="147">
        <v>0</v>
      </c>
      <c r="K45" s="147">
        <v>0</v>
      </c>
      <c r="L45" s="147">
        <v>0</v>
      </c>
      <c r="M45" s="147">
        <v>0</v>
      </c>
      <c r="N45" s="147">
        <v>0</v>
      </c>
      <c r="O45" s="18">
        <f t="shared" si="7"/>
        <v>0</v>
      </c>
    </row>
    <row r="46" spans="1:16" ht="15" x14ac:dyDescent="0.2">
      <c r="A46" s="854"/>
      <c r="B46" s="27" t="s">
        <v>157</v>
      </c>
      <c r="C46" s="147">
        <v>0</v>
      </c>
      <c r="D46" s="147">
        <v>0</v>
      </c>
      <c r="E46" s="147">
        <v>0</v>
      </c>
      <c r="F46" s="147">
        <v>0</v>
      </c>
      <c r="G46" s="147">
        <v>0</v>
      </c>
      <c r="H46" s="147">
        <v>0</v>
      </c>
      <c r="I46" s="147">
        <v>0</v>
      </c>
      <c r="J46" s="147">
        <v>0</v>
      </c>
      <c r="K46" s="147">
        <v>0</v>
      </c>
      <c r="L46" s="147">
        <v>0</v>
      </c>
      <c r="M46" s="147">
        <v>0</v>
      </c>
      <c r="N46" s="147">
        <v>0</v>
      </c>
      <c r="O46" s="18">
        <f t="shared" si="7"/>
        <v>0</v>
      </c>
    </row>
    <row r="47" spans="1:16" ht="28.5" customHeight="1" x14ac:dyDescent="0.2">
      <c r="A47" s="855"/>
      <c r="B47" s="30" t="s">
        <v>158</v>
      </c>
      <c r="C47" s="147">
        <v>1752</v>
      </c>
      <c r="D47" s="147">
        <v>1752</v>
      </c>
      <c r="E47" s="147">
        <v>1752</v>
      </c>
      <c r="F47" s="147">
        <v>1752</v>
      </c>
      <c r="G47" s="147">
        <v>1752</v>
      </c>
      <c r="H47" s="147">
        <v>1752</v>
      </c>
      <c r="I47" s="147">
        <v>1752</v>
      </c>
      <c r="J47" s="147">
        <v>1752</v>
      </c>
      <c r="K47" s="147">
        <v>1752</v>
      </c>
      <c r="L47" s="147">
        <v>1752</v>
      </c>
      <c r="M47" s="147">
        <v>1752</v>
      </c>
      <c r="N47" s="147">
        <v>1752</v>
      </c>
      <c r="O47" s="31">
        <f t="shared" si="7"/>
        <v>21024</v>
      </c>
    </row>
    <row r="48" spans="1:16" ht="15" x14ac:dyDescent="0.2">
      <c r="A48" s="856"/>
      <c r="B48" s="127" t="s">
        <v>610</v>
      </c>
      <c r="C48" s="147">
        <v>0</v>
      </c>
      <c r="D48" s="147">
        <v>0</v>
      </c>
      <c r="E48" s="147">
        <v>0</v>
      </c>
      <c r="F48" s="147">
        <v>0</v>
      </c>
      <c r="G48" s="147">
        <v>0</v>
      </c>
      <c r="H48" s="147">
        <v>0</v>
      </c>
      <c r="I48" s="147">
        <v>0</v>
      </c>
      <c r="J48" s="147">
        <v>0</v>
      </c>
      <c r="K48" s="147">
        <v>0</v>
      </c>
      <c r="L48" s="147">
        <v>0</v>
      </c>
      <c r="M48" s="147">
        <v>0</v>
      </c>
      <c r="N48" s="147">
        <v>0</v>
      </c>
      <c r="O48" s="31">
        <f t="shared" si="7"/>
        <v>0</v>
      </c>
    </row>
    <row r="49" spans="1:19" ht="15" x14ac:dyDescent="0.2">
      <c r="A49" s="857" t="s">
        <v>160</v>
      </c>
      <c r="B49" s="858"/>
      <c r="C49" s="33">
        <f t="shared" ref="C49:N49" si="8">SUM(C38:C48)</f>
        <v>17632</v>
      </c>
      <c r="D49" s="33">
        <f t="shared" si="8"/>
        <v>17232</v>
      </c>
      <c r="E49" s="33">
        <f t="shared" si="8"/>
        <v>17232</v>
      </c>
      <c r="F49" s="33">
        <f t="shared" si="8"/>
        <v>17232</v>
      </c>
      <c r="G49" s="33">
        <f t="shared" si="8"/>
        <v>17232</v>
      </c>
      <c r="H49" s="33">
        <f t="shared" si="8"/>
        <v>17232</v>
      </c>
      <c r="I49" s="33">
        <f t="shared" si="8"/>
        <v>17232</v>
      </c>
      <c r="J49" s="33">
        <f t="shared" si="8"/>
        <v>17232</v>
      </c>
      <c r="K49" s="33">
        <f t="shared" si="8"/>
        <v>20032</v>
      </c>
      <c r="L49" s="33">
        <f t="shared" si="8"/>
        <v>20117</v>
      </c>
      <c r="M49" s="33">
        <f t="shared" si="8"/>
        <v>20117</v>
      </c>
      <c r="N49" s="33">
        <f t="shared" si="8"/>
        <v>20447</v>
      </c>
      <c r="O49" s="34">
        <f t="shared" si="7"/>
        <v>218969</v>
      </c>
    </row>
    <row r="50" spans="1:19" ht="15.75" thickBot="1" x14ac:dyDescent="0.25">
      <c r="A50" s="859" t="s">
        <v>161</v>
      </c>
      <c r="B50" s="860"/>
      <c r="C50" s="35">
        <f t="shared" ref="C50:N50" si="9">C37-C49</f>
        <v>41360</v>
      </c>
      <c r="D50" s="35">
        <f t="shared" si="9"/>
        <v>45472</v>
      </c>
      <c r="E50" s="35">
        <f t="shared" si="9"/>
        <v>42688</v>
      </c>
      <c r="F50" s="35">
        <f t="shared" si="9"/>
        <v>42688</v>
      </c>
      <c r="G50" s="35">
        <f t="shared" si="9"/>
        <v>44291</v>
      </c>
      <c r="H50" s="35">
        <f t="shared" si="9"/>
        <v>44291</v>
      </c>
      <c r="I50" s="35">
        <f t="shared" si="9"/>
        <v>44291</v>
      </c>
      <c r="J50" s="35">
        <f t="shared" si="9"/>
        <v>55115</v>
      </c>
      <c r="K50" s="35">
        <f t="shared" si="9"/>
        <v>42545</v>
      </c>
      <c r="L50" s="35">
        <f t="shared" si="9"/>
        <v>42460</v>
      </c>
      <c r="M50" s="35">
        <f t="shared" si="9"/>
        <v>42460</v>
      </c>
      <c r="N50" s="35">
        <f t="shared" si="9"/>
        <v>42130</v>
      </c>
      <c r="O50" s="36">
        <f t="shared" si="7"/>
        <v>529791</v>
      </c>
    </row>
    <row r="51" spans="1:19" x14ac:dyDescent="0.2">
      <c r="J51" s="229">
        <f>+J37-SUM(J22:J36)</f>
        <v>62577</v>
      </c>
      <c r="Q51" s="38"/>
    </row>
    <row r="52" spans="1:19" ht="13.5" thickBot="1" x14ac:dyDescent="0.25">
      <c r="J52" s="38">
        <f>+J51-J49</f>
        <v>45345</v>
      </c>
    </row>
    <row r="53" spans="1:19" ht="13.5" thickBot="1" x14ac:dyDescent="0.25">
      <c r="B53" s="789" t="s">
        <v>162</v>
      </c>
      <c r="C53" s="861"/>
      <c r="D53" s="861"/>
      <c r="E53" s="861"/>
      <c r="F53" s="862"/>
      <c r="G53" s="863">
        <f>O37</f>
        <v>748760</v>
      </c>
      <c r="H53" s="864"/>
    </row>
    <row r="54" spans="1:19" ht="13.5" thickBot="1" x14ac:dyDescent="0.25"/>
    <row r="55" spans="1:19" x14ac:dyDescent="0.2">
      <c r="B55" s="830" t="s">
        <v>163</v>
      </c>
      <c r="C55" s="833" t="s">
        <v>164</v>
      </c>
      <c r="D55" s="836" t="s">
        <v>229</v>
      </c>
      <c r="E55" s="837"/>
      <c r="F55" s="838"/>
      <c r="G55" s="839">
        <v>40000</v>
      </c>
      <c r="H55" s="840"/>
    </row>
    <row r="56" spans="1:19" x14ac:dyDescent="0.2">
      <c r="B56" s="831"/>
      <c r="C56" s="834"/>
      <c r="D56" s="841" t="s">
        <v>166</v>
      </c>
      <c r="E56" s="842"/>
      <c r="F56" s="843"/>
      <c r="G56" s="844">
        <f>+O44</f>
        <v>2500</v>
      </c>
      <c r="H56" s="845"/>
      <c r="I56" s="39"/>
      <c r="J56" s="846"/>
      <c r="K56" s="846"/>
      <c r="L56" s="846"/>
      <c r="M56" s="847"/>
      <c r="N56" s="847"/>
      <c r="O56" s="847"/>
    </row>
    <row r="57" spans="1:19" ht="13.5" thickBot="1" x14ac:dyDescent="0.25">
      <c r="B57" s="832"/>
      <c r="C57" s="835"/>
      <c r="D57" s="848" t="s">
        <v>266</v>
      </c>
      <c r="E57" s="849"/>
      <c r="F57" s="850"/>
      <c r="G57" s="851">
        <v>0</v>
      </c>
      <c r="H57" s="852"/>
      <c r="J57" s="47"/>
      <c r="K57" s="47"/>
      <c r="L57" s="47"/>
      <c r="M57" s="47"/>
      <c r="N57" s="47"/>
      <c r="O57" s="47"/>
    </row>
    <row r="58" spans="1:19" ht="13.5" thickBot="1" x14ac:dyDescent="0.25">
      <c r="B58" s="48"/>
      <c r="J58" s="47"/>
      <c r="K58" s="47"/>
      <c r="L58" s="47"/>
      <c r="M58" s="47"/>
      <c r="N58" s="47"/>
      <c r="O58" s="47"/>
    </row>
    <row r="59" spans="1:19" ht="13.5" thickBot="1" x14ac:dyDescent="0.25">
      <c r="B59" s="789" t="s">
        <v>168</v>
      </c>
      <c r="C59" s="790"/>
      <c r="D59" s="790"/>
      <c r="E59" s="790"/>
      <c r="F59" s="791"/>
      <c r="G59" s="825">
        <f>+G53-SUM(G55:H57)</f>
        <v>706260</v>
      </c>
      <c r="H59" s="826"/>
      <c r="J59" s="827" t="s">
        <v>169</v>
      </c>
      <c r="K59" s="828"/>
      <c r="L59" s="828"/>
      <c r="M59" s="828"/>
      <c r="N59" s="828"/>
      <c r="O59" s="829"/>
    </row>
    <row r="60" spans="1:19" ht="13.5" thickBot="1" x14ac:dyDescent="0.25">
      <c r="B60" s="49"/>
      <c r="C60" s="50"/>
      <c r="D60" s="50"/>
      <c r="E60" s="50"/>
      <c r="F60" s="50"/>
      <c r="G60" s="45"/>
      <c r="H60" s="50"/>
      <c r="J60" s="129"/>
      <c r="K60" s="130"/>
      <c r="L60" s="130"/>
      <c r="M60" s="130"/>
      <c r="N60" s="130"/>
      <c r="O60" s="131"/>
    </row>
    <row r="61" spans="1:19" ht="13.5" thickBot="1" x14ac:dyDescent="0.25">
      <c r="B61" s="789" t="s">
        <v>170</v>
      </c>
      <c r="C61" s="790"/>
      <c r="D61" s="790"/>
      <c r="E61" s="790"/>
      <c r="F61" s="791"/>
      <c r="G61" s="805"/>
      <c r="H61" s="791"/>
      <c r="J61" s="129"/>
      <c r="K61" s="130"/>
      <c r="L61" s="130"/>
      <c r="M61" s="130"/>
      <c r="N61" s="130"/>
      <c r="O61" s="131"/>
    </row>
    <row r="62" spans="1:19" ht="12.75" customHeight="1" x14ac:dyDescent="0.2">
      <c r="B62" s="57" t="s">
        <v>171</v>
      </c>
      <c r="C62" s="806" t="s">
        <v>172</v>
      </c>
      <c r="D62" s="807"/>
      <c r="E62" s="807"/>
      <c r="F62" s="808"/>
      <c r="G62" s="809">
        <v>0</v>
      </c>
      <c r="H62" s="809"/>
      <c r="I62" s="58"/>
      <c r="J62" s="810" t="s">
        <v>173</v>
      </c>
      <c r="K62" s="811"/>
      <c r="L62" s="811"/>
      <c r="M62" s="811"/>
      <c r="N62" s="811"/>
      <c r="O62" s="812"/>
      <c r="Q62" s="59"/>
      <c r="R62" s="59"/>
      <c r="S62" s="59"/>
    </row>
    <row r="63" spans="1:19" ht="13.5" thickBot="1" x14ac:dyDescent="0.25">
      <c r="D63" s="37"/>
      <c r="I63" s="58"/>
      <c r="J63" s="60" t="s">
        <v>360</v>
      </c>
      <c r="K63" s="132"/>
      <c r="L63" s="132"/>
      <c r="M63" s="133"/>
      <c r="N63" s="133"/>
      <c r="O63" s="134"/>
      <c r="Q63" s="59"/>
      <c r="R63" s="59"/>
      <c r="S63" s="59"/>
    </row>
    <row r="64" spans="1:19" ht="13.5" thickBot="1" x14ac:dyDescent="0.25">
      <c r="B64" s="789" t="s">
        <v>175</v>
      </c>
      <c r="C64" s="790"/>
      <c r="D64" s="790"/>
      <c r="E64" s="790"/>
      <c r="F64" s="791"/>
      <c r="G64" s="805">
        <f>+G59-G62</f>
        <v>706260</v>
      </c>
      <c r="H64" s="791"/>
      <c r="I64" s="63"/>
      <c r="J64" s="64"/>
      <c r="K64" s="39"/>
      <c r="L64" s="39"/>
      <c r="M64" s="39"/>
      <c r="N64" s="39"/>
      <c r="O64" s="65"/>
      <c r="Q64" s="59"/>
      <c r="R64" s="59"/>
      <c r="S64" s="59"/>
    </row>
    <row r="65" spans="2:19" ht="12.75" customHeight="1" x14ac:dyDescent="0.2">
      <c r="B65" s="48"/>
      <c r="C65" s="48"/>
      <c r="I65" s="63"/>
      <c r="J65" s="64"/>
      <c r="K65" s="39"/>
      <c r="L65" s="39"/>
      <c r="M65" s="39"/>
      <c r="N65" s="39"/>
      <c r="O65" s="65"/>
      <c r="Q65" s="59"/>
      <c r="R65" s="59"/>
      <c r="S65" s="59"/>
    </row>
    <row r="66" spans="2:19" x14ac:dyDescent="0.2">
      <c r="B66" s="66" t="s">
        <v>176</v>
      </c>
      <c r="C66" s="48"/>
      <c r="I66" s="63"/>
      <c r="J66" s="67"/>
      <c r="K66" s="68"/>
      <c r="L66" s="68"/>
      <c r="M66" s="68"/>
      <c r="N66" s="68"/>
      <c r="O66" s="69"/>
      <c r="Q66" s="59"/>
      <c r="R66" s="59"/>
      <c r="S66" s="59"/>
    </row>
    <row r="67" spans="2:19" ht="26.25" customHeight="1" thickBot="1" x14ac:dyDescent="0.25">
      <c r="B67" s="66"/>
      <c r="C67" s="48"/>
      <c r="G67" s="70" t="s">
        <v>177</v>
      </c>
      <c r="H67" s="70" t="s">
        <v>178</v>
      </c>
      <c r="I67" s="63"/>
      <c r="J67" s="810" t="s">
        <v>179</v>
      </c>
      <c r="K67" s="811"/>
      <c r="L67" s="71"/>
      <c r="M67" s="71"/>
      <c r="N67" s="71"/>
      <c r="O67" s="72"/>
      <c r="Q67" s="59"/>
      <c r="R67" s="59"/>
      <c r="S67" s="59"/>
    </row>
    <row r="68" spans="2:19" ht="12.75" customHeight="1" x14ac:dyDescent="0.2">
      <c r="B68" s="802" t="s">
        <v>180</v>
      </c>
      <c r="C68" s="821" t="s">
        <v>181</v>
      </c>
      <c r="D68" s="823" t="s">
        <v>182</v>
      </c>
      <c r="E68" s="824"/>
      <c r="F68" s="824"/>
      <c r="G68" s="73">
        <f>+O43</f>
        <v>168000</v>
      </c>
      <c r="H68" s="74">
        <f>+G68</f>
        <v>168000</v>
      </c>
      <c r="I68" s="63"/>
      <c r="J68" s="75" t="s">
        <v>231</v>
      </c>
      <c r="K68" s="58"/>
      <c r="L68" s="58"/>
      <c r="M68" s="135" t="s">
        <v>232</v>
      </c>
      <c r="N68" s="58"/>
      <c r="O68" s="76">
        <v>21024</v>
      </c>
      <c r="Q68" s="59"/>
      <c r="R68" s="59"/>
      <c r="S68" s="59"/>
    </row>
    <row r="69" spans="2:19" ht="12.75" customHeight="1" x14ac:dyDescent="0.2">
      <c r="B69" s="803"/>
      <c r="C69" s="822"/>
      <c r="D69" s="782" t="s">
        <v>184</v>
      </c>
      <c r="E69" s="783"/>
      <c r="F69" s="783"/>
      <c r="G69" s="77">
        <f>+O47</f>
        <v>21024</v>
      </c>
      <c r="H69" s="78">
        <f t="shared" ref="H69:H75" si="10">+G69</f>
        <v>21024</v>
      </c>
      <c r="I69" s="63"/>
      <c r="J69" s="79"/>
      <c r="K69" s="68"/>
      <c r="L69" s="68"/>
      <c r="M69" s="68"/>
      <c r="N69" s="68"/>
      <c r="O69" s="69"/>
      <c r="Q69" s="59"/>
      <c r="R69" s="59"/>
      <c r="S69" s="59"/>
    </row>
    <row r="70" spans="2:19" ht="12.75" customHeight="1" x14ac:dyDescent="0.2">
      <c r="B70" s="803"/>
      <c r="C70" s="822"/>
      <c r="D70" s="819" t="s">
        <v>185</v>
      </c>
      <c r="E70" s="820"/>
      <c r="F70" s="820"/>
      <c r="G70" s="80">
        <f>O40</f>
        <v>360</v>
      </c>
      <c r="H70" s="78">
        <f t="shared" si="10"/>
        <v>360</v>
      </c>
      <c r="I70" s="63"/>
      <c r="J70" s="67"/>
      <c r="K70" s="68"/>
      <c r="L70" s="68"/>
      <c r="M70" s="68"/>
      <c r="N70" s="68"/>
      <c r="O70" s="69"/>
    </row>
    <row r="71" spans="2:19" x14ac:dyDescent="0.2">
      <c r="B71" s="803"/>
      <c r="C71" s="822"/>
      <c r="D71" s="782" t="s">
        <v>186</v>
      </c>
      <c r="E71" s="783"/>
      <c r="F71" s="783"/>
      <c r="G71" s="81">
        <v>0</v>
      </c>
      <c r="H71" s="78">
        <f t="shared" si="10"/>
        <v>0</v>
      </c>
      <c r="I71" s="63"/>
      <c r="J71" s="82" t="s">
        <v>187</v>
      </c>
      <c r="K71" s="71"/>
      <c r="L71" s="71"/>
      <c r="M71" s="71"/>
      <c r="N71" s="71"/>
      <c r="O71" s="72"/>
    </row>
    <row r="72" spans="2:19" ht="12.75" customHeight="1" x14ac:dyDescent="0.2">
      <c r="B72" s="803"/>
      <c r="C72" s="822"/>
      <c r="D72" s="784" t="s">
        <v>188</v>
      </c>
      <c r="E72" s="783"/>
      <c r="F72" s="783"/>
      <c r="G72" s="80">
        <v>0</v>
      </c>
      <c r="H72" s="78">
        <f t="shared" si="10"/>
        <v>0</v>
      </c>
      <c r="I72" s="63"/>
      <c r="J72" s="75" t="s">
        <v>189</v>
      </c>
      <c r="K72" s="50"/>
      <c r="L72" s="50"/>
      <c r="M72" s="50"/>
      <c r="N72" s="50"/>
      <c r="O72" s="83">
        <f>O42</f>
        <v>3000</v>
      </c>
    </row>
    <row r="73" spans="2:19" ht="14.25" customHeight="1" x14ac:dyDescent="0.2">
      <c r="B73" s="803"/>
      <c r="C73" s="822"/>
      <c r="D73" s="782" t="s">
        <v>190</v>
      </c>
      <c r="E73" s="783"/>
      <c r="F73" s="783"/>
      <c r="G73" s="84">
        <v>0</v>
      </c>
      <c r="H73" s="78">
        <f t="shared" si="10"/>
        <v>0</v>
      </c>
      <c r="I73" s="63"/>
      <c r="J73" s="64"/>
      <c r="K73" s="39"/>
      <c r="L73" s="39"/>
      <c r="M73" s="39"/>
      <c r="N73" s="39"/>
      <c r="O73" s="65"/>
    </row>
    <row r="74" spans="2:19" x14ac:dyDescent="0.2">
      <c r="B74" s="803"/>
      <c r="C74" s="822"/>
      <c r="D74" s="782" t="s">
        <v>191</v>
      </c>
      <c r="E74" s="783"/>
      <c r="F74" s="783"/>
      <c r="G74" s="81">
        <v>0</v>
      </c>
      <c r="H74" s="78">
        <f t="shared" si="10"/>
        <v>0</v>
      </c>
      <c r="I74" s="58"/>
      <c r="J74" s="150"/>
      <c r="K74" s="50"/>
      <c r="L74" s="50"/>
      <c r="M74" s="50"/>
      <c r="N74" s="50"/>
      <c r="O74" s="83"/>
    </row>
    <row r="75" spans="2:19" x14ac:dyDescent="0.2">
      <c r="B75" s="803"/>
      <c r="C75" s="88" t="s">
        <v>192</v>
      </c>
      <c r="D75" s="813" t="s">
        <v>193</v>
      </c>
      <c r="E75" s="814"/>
      <c r="F75" s="814"/>
      <c r="G75" s="80">
        <v>0</v>
      </c>
      <c r="H75" s="78">
        <f t="shared" si="10"/>
        <v>0</v>
      </c>
      <c r="I75" s="58"/>
      <c r="J75" s="79"/>
      <c r="K75" s="39"/>
      <c r="L75" s="39"/>
      <c r="M75" s="39"/>
      <c r="N75" s="39"/>
      <c r="O75" s="65"/>
    </row>
    <row r="76" spans="2:19" ht="13.5" customHeight="1" thickBot="1" x14ac:dyDescent="0.25">
      <c r="B76" s="803"/>
      <c r="C76" s="88" t="s">
        <v>194</v>
      </c>
      <c r="D76" s="815" t="s">
        <v>195</v>
      </c>
      <c r="E76" s="815"/>
      <c r="F76" s="815"/>
      <c r="G76" s="89">
        <v>0</v>
      </c>
      <c r="H76" s="90">
        <f>+G76</f>
        <v>0</v>
      </c>
      <c r="I76" s="63"/>
      <c r="J76" s="67"/>
      <c r="K76" s="68"/>
      <c r="L76" s="68"/>
      <c r="M76" s="91"/>
      <c r="N76" s="91"/>
      <c r="O76" s="92"/>
    </row>
    <row r="77" spans="2:19" ht="13.5" thickBot="1" x14ac:dyDescent="0.25">
      <c r="B77" s="803"/>
      <c r="C77" s="93"/>
      <c r="D77" s="94"/>
      <c r="E77" s="816" t="s">
        <v>117</v>
      </c>
      <c r="F77" s="817"/>
      <c r="G77" s="95">
        <f>SUM(G68:G76)</f>
        <v>189384</v>
      </c>
      <c r="H77" s="96">
        <f>IF(SUM(G68:G74)&lt;150000,SUM(G68:G74),150000)+IF(+G75&lt;20000,+G75,20000)</f>
        <v>150000</v>
      </c>
      <c r="I77" s="63"/>
      <c r="J77" s="140"/>
      <c r="K77" s="141"/>
      <c r="L77" s="141"/>
      <c r="M77" s="142"/>
      <c r="N77" s="142"/>
      <c r="O77" s="143"/>
    </row>
    <row r="78" spans="2:19" ht="12.75" customHeight="1" x14ac:dyDescent="0.2">
      <c r="B78" s="803"/>
      <c r="C78" s="100" t="s">
        <v>196</v>
      </c>
      <c r="D78" s="782" t="s">
        <v>187</v>
      </c>
      <c r="E78" s="783"/>
      <c r="F78" s="818"/>
      <c r="G78" s="73">
        <f>+O42</f>
        <v>3000</v>
      </c>
      <c r="H78" s="101">
        <f>+IF(+G78&lt;25000,+G78,25000)</f>
        <v>3000</v>
      </c>
      <c r="I78" s="87"/>
    </row>
    <row r="79" spans="2:19" x14ac:dyDescent="0.2">
      <c r="B79" s="803"/>
      <c r="C79" s="100" t="s">
        <v>197</v>
      </c>
      <c r="D79" s="784" t="s">
        <v>198</v>
      </c>
      <c r="E79" s="785"/>
      <c r="F79" s="786"/>
      <c r="G79" s="102"/>
      <c r="H79" s="103">
        <f>+IF(+G79&lt;40000,+G79,40000)</f>
        <v>0</v>
      </c>
      <c r="I79" s="63"/>
    </row>
    <row r="80" spans="2:19" x14ac:dyDescent="0.2">
      <c r="B80" s="803"/>
      <c r="C80" s="100" t="s">
        <v>199</v>
      </c>
      <c r="D80" s="784" t="s">
        <v>200</v>
      </c>
      <c r="E80" s="785"/>
      <c r="F80" s="786"/>
      <c r="G80" s="81"/>
      <c r="H80" s="104">
        <v>0</v>
      </c>
      <c r="I80" s="63"/>
      <c r="J80" s="106"/>
    </row>
    <row r="81" spans="2:12" x14ac:dyDescent="0.2">
      <c r="B81" s="803"/>
      <c r="C81" s="100" t="s">
        <v>201</v>
      </c>
      <c r="D81" s="784" t="s">
        <v>202</v>
      </c>
      <c r="E81" s="785"/>
      <c r="F81" s="786"/>
      <c r="G81" s="81"/>
      <c r="H81" s="104">
        <v>0</v>
      </c>
      <c r="I81" s="63"/>
    </row>
    <row r="82" spans="2:12" ht="13.5" thickBot="1" x14ac:dyDescent="0.25">
      <c r="B82" s="804"/>
      <c r="C82" s="100" t="s">
        <v>203</v>
      </c>
      <c r="D82" s="784" t="s">
        <v>204</v>
      </c>
      <c r="E82" s="785"/>
      <c r="F82" s="786"/>
      <c r="G82" s="102"/>
      <c r="H82" s="103">
        <f>+IF(+G82&lt;100000,+G82,10000)</f>
        <v>0</v>
      </c>
      <c r="I82" s="63"/>
    </row>
    <row r="83" spans="2:12" ht="13.5" thickBot="1" x14ac:dyDescent="0.25">
      <c r="B83" s="787" t="s">
        <v>205</v>
      </c>
      <c r="C83" s="788"/>
      <c r="D83" s="788"/>
      <c r="E83" s="788"/>
      <c r="F83" s="788"/>
      <c r="G83" s="107">
        <f>SUM(G78:G82)</f>
        <v>3000</v>
      </c>
      <c r="H83" s="108">
        <f>SUM(H77:H82)</f>
        <v>153000</v>
      </c>
    </row>
    <row r="84" spans="2:12" ht="13.5" thickBot="1" x14ac:dyDescent="0.25"/>
    <row r="85" spans="2:12" ht="13.5" thickBot="1" x14ac:dyDescent="0.25">
      <c r="B85" s="789" t="s">
        <v>206</v>
      </c>
      <c r="C85" s="790"/>
      <c r="D85" s="790"/>
      <c r="E85" s="790"/>
      <c r="F85" s="791"/>
      <c r="G85" s="1055">
        <f>ROUND(+G64-H83,-1)</f>
        <v>553260</v>
      </c>
      <c r="H85" s="1056"/>
      <c r="J85" s="109">
        <f>C37+D37+E37+F37</f>
        <v>241536</v>
      </c>
      <c r="K85" s="16" t="s">
        <v>235</v>
      </c>
    </row>
    <row r="86" spans="2:12" x14ac:dyDescent="0.2">
      <c r="B86" s="110"/>
      <c r="F86" s="105"/>
      <c r="J86" s="109">
        <f>G37+H37+I37</f>
        <v>184569</v>
      </c>
      <c r="K86" s="16" t="s">
        <v>236</v>
      </c>
    </row>
    <row r="87" spans="2:12" x14ac:dyDescent="0.2">
      <c r="C87" s="793" t="s">
        <v>207</v>
      </c>
      <c r="D87" s="794"/>
      <c r="E87" s="111" t="s">
        <v>208</v>
      </c>
      <c r="F87" s="111" t="s">
        <v>209</v>
      </c>
      <c r="G87" s="111" t="s">
        <v>210</v>
      </c>
      <c r="H87" s="111" t="s">
        <v>211</v>
      </c>
      <c r="J87" s="109">
        <f>J37+K37+L37</f>
        <v>197501</v>
      </c>
      <c r="K87" s="47" t="s">
        <v>237</v>
      </c>
    </row>
    <row r="88" spans="2:12" x14ac:dyDescent="0.2">
      <c r="C88" s="795" t="str">
        <f>IF(I6="M","0          - 250000","0          -  250000")</f>
        <v>0          -  250000</v>
      </c>
      <c r="D88" s="796"/>
      <c r="E88" s="112">
        <v>0</v>
      </c>
      <c r="F88" s="113">
        <f>IF(I6="M",(IF(G85&lt;250000,G85,250000)),(IF(G85&lt;250000,G85,250000)))</f>
        <v>250000</v>
      </c>
      <c r="G88" s="113">
        <f>G85-F88</f>
        <v>303260</v>
      </c>
      <c r="H88" s="113">
        <f>E88*F88</f>
        <v>0</v>
      </c>
      <c r="J88" s="16">
        <f>M37+N37</f>
        <v>125154</v>
      </c>
      <c r="K88" s="1" t="s">
        <v>238</v>
      </c>
      <c r="L88" s="16">
        <f>+J88/2</f>
        <v>62577</v>
      </c>
    </row>
    <row r="89" spans="2:12" x14ac:dyDescent="0.2">
      <c r="C89" s="795" t="str">
        <f>IF(I6="M","250001 - 500000","250001-500000")</f>
        <v>250001-500000</v>
      </c>
      <c r="D89" s="796"/>
      <c r="E89" s="112">
        <v>0.05</v>
      </c>
      <c r="F89" s="113">
        <f>IF(I6="M",(IF(G88&lt;250000,G88,250000)),(IF(G88&lt;250000,G88,250000)))</f>
        <v>250000</v>
      </c>
      <c r="G89" s="113">
        <f>G88-F89</f>
        <v>53260</v>
      </c>
      <c r="H89" s="114">
        <f>ROUND(E89*F89,0.1)</f>
        <v>12500</v>
      </c>
      <c r="J89" s="115">
        <f>SUM(J85:J88)</f>
        <v>748760</v>
      </c>
    </row>
    <row r="90" spans="2:12" x14ac:dyDescent="0.2">
      <c r="C90" s="797" t="s">
        <v>212</v>
      </c>
      <c r="D90" s="798"/>
      <c r="E90" s="112">
        <v>0.2</v>
      </c>
      <c r="F90" s="113">
        <f>IF(G89&lt;500000,G89,500000)</f>
        <v>53260</v>
      </c>
      <c r="G90" s="113">
        <f>G89-F90</f>
        <v>0</v>
      </c>
      <c r="H90" s="114">
        <f>ROUND(E90*F90,0.1)</f>
        <v>10652</v>
      </c>
      <c r="J90" s="16">
        <f>+G85</f>
        <v>553260</v>
      </c>
    </row>
    <row r="91" spans="2:12" x14ac:dyDescent="0.2">
      <c r="C91" s="795" t="s">
        <v>213</v>
      </c>
      <c r="D91" s="796"/>
      <c r="E91" s="112">
        <v>0.3</v>
      </c>
      <c r="F91" s="113">
        <f>G90</f>
        <v>0</v>
      </c>
      <c r="G91" s="113">
        <f>G90-F91</f>
        <v>0</v>
      </c>
      <c r="H91" s="114">
        <f>ROUND(E91*F91,0.1)</f>
        <v>0</v>
      </c>
      <c r="J91" s="16">
        <f>+J89-J90</f>
        <v>195500</v>
      </c>
      <c r="K91" s="1"/>
    </row>
    <row r="92" spans="2:12" ht="12.75" customHeight="1" thickBot="1" x14ac:dyDescent="0.25">
      <c r="B92" s="116"/>
      <c r="C92" s="117"/>
      <c r="D92" s="47"/>
      <c r="E92" s="47"/>
      <c r="F92" s="47"/>
      <c r="J92" s="87"/>
      <c r="K92" s="118"/>
    </row>
    <row r="93" spans="2:12" ht="14.25" customHeight="1" thickBot="1" x14ac:dyDescent="0.25">
      <c r="B93" s="799" t="s">
        <v>239</v>
      </c>
      <c r="C93" s="800"/>
      <c r="D93" s="800"/>
      <c r="E93" s="800"/>
      <c r="F93" s="801"/>
      <c r="G93" s="771">
        <f>H88+H89+H90+H91</f>
        <v>23152</v>
      </c>
      <c r="H93" s="772"/>
    </row>
    <row r="94" spans="2:12" ht="14.25" customHeight="1" thickBot="1" x14ac:dyDescent="0.25">
      <c r="B94" s="119" t="s">
        <v>215</v>
      </c>
      <c r="C94" s="120"/>
      <c r="D94" s="120"/>
      <c r="E94" s="120"/>
      <c r="F94" s="120"/>
      <c r="G94" s="884">
        <f>IF((G64&lt;500000),5000,0)</f>
        <v>0</v>
      </c>
      <c r="H94" s="885">
        <f>IF(H92&lt;200000,0,IF(H92&lt;220000,((H92-200000)*10%),IF(H92&lt;=500000,2000,IF(H92&gt;=500000,0))))</f>
        <v>0</v>
      </c>
    </row>
    <row r="95" spans="2:12" ht="14.25" customHeight="1" thickBot="1" x14ac:dyDescent="0.25">
      <c r="B95" s="122" t="s">
        <v>216</v>
      </c>
      <c r="C95" s="123"/>
      <c r="D95" s="123"/>
      <c r="E95" s="123"/>
      <c r="F95" s="123"/>
      <c r="G95" s="771">
        <f>IF((G93-G94)&lt;0,0,(G93-G94))</f>
        <v>23152</v>
      </c>
      <c r="H95" s="772"/>
    </row>
    <row r="96" spans="2:12" ht="14.25" customHeight="1" thickBot="1" x14ac:dyDescent="0.25">
      <c r="B96" s="773" t="s">
        <v>240</v>
      </c>
      <c r="C96" s="774"/>
      <c r="D96" s="774"/>
      <c r="E96" s="774"/>
      <c r="F96" s="775"/>
      <c r="G96" s="776">
        <f>ROUND((IF(G95&gt;0,(G95*4%),0)),0)</f>
        <v>926</v>
      </c>
      <c r="H96" s="777"/>
    </row>
    <row r="97" spans="2:9" ht="14.25" customHeight="1" thickBot="1" x14ac:dyDescent="0.25">
      <c r="B97" s="778" t="s">
        <v>218</v>
      </c>
      <c r="C97" s="779"/>
      <c r="D97" s="779"/>
      <c r="E97" s="779"/>
      <c r="F97" s="779"/>
      <c r="G97" s="780">
        <f>+G95+G96</f>
        <v>24078</v>
      </c>
      <c r="H97" s="781"/>
    </row>
    <row r="98" spans="2:9" ht="13.5" thickBot="1" x14ac:dyDescent="0.25">
      <c r="B98" s="765" t="s">
        <v>219</v>
      </c>
      <c r="C98" s="766"/>
      <c r="D98" s="766"/>
      <c r="E98" s="766"/>
      <c r="F98" s="766"/>
      <c r="G98" s="767">
        <f>O38</f>
        <v>24085</v>
      </c>
      <c r="H98" s="768"/>
    </row>
    <row r="99" spans="2:9" ht="13.5" thickBot="1" x14ac:dyDescent="0.25">
      <c r="B99" s="765" t="str">
        <f>IF(G99&gt;0,"TAX PAYABLE","TAX REFUND")</f>
        <v>TAX REFUND</v>
      </c>
      <c r="C99" s="766"/>
      <c r="D99" s="766"/>
      <c r="E99" s="766"/>
      <c r="F99" s="766"/>
      <c r="G99" s="767">
        <f>+G97-G98</f>
        <v>-7</v>
      </c>
      <c r="H99" s="768"/>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c r="I106" s="121"/>
    </row>
    <row r="107" spans="2:9"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9:F99 B90:F90 B93:F97">
    <cfRule type="cellIs" dxfId="1853" priority="1" stopIfTrue="1" operator="equal">
      <formula>"TAX PAYABLE"</formula>
    </cfRule>
    <cfRule type="cellIs" dxfId="1852" priority="2" stopIfTrue="1" operator="equal">
      <formula>"TAX REFUND"</formula>
    </cfRule>
  </conditionalFormatting>
  <conditionalFormatting sqref="G90:H90">
    <cfRule type="cellIs" dxfId="1851" priority="3" stopIfTrue="1" operator="lessThan">
      <formula>0</formula>
    </cfRule>
    <cfRule type="cellIs" dxfId="1850" priority="4" stopIfTrue="1" operator="greaterThan">
      <formula>0</formula>
    </cfRule>
  </conditionalFormatting>
  <conditionalFormatting sqref="G99:H99">
    <cfRule type="cellIs" dxfId="1849" priority="5" stopIfTrue="1" operator="greaterThan">
      <formula>0</formula>
    </cfRule>
    <cfRule type="cellIs" dxfId="1848" priority="6"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$Q$8:$Q$9</formula1>
    </dataValidation>
  </dataValidations>
  <pageMargins left="0.75" right="0.75" top="1" bottom="1" header="0.5" footer="0.5"/>
  <headerFooter alignWithMargins="0"/>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7"/>
  <sheetViews>
    <sheetView topLeftCell="A59" workbookViewId="0">
      <selection activeCell="Q73" sqref="Q73"/>
    </sheetView>
  </sheetViews>
  <sheetFormatPr defaultRowHeight="12.75" x14ac:dyDescent="0.2"/>
  <cols>
    <col min="1" max="1" width="5" style="16" customWidth="1"/>
    <col min="2" max="2" width="18.5703125" style="37" customWidth="1"/>
    <col min="3" max="3" width="8.140625" style="16" customWidth="1"/>
    <col min="4" max="4" width="8" style="16" customWidth="1"/>
    <col min="5" max="5" width="7.5703125" style="16" customWidth="1"/>
    <col min="6" max="6" width="7.85546875" style="16" customWidth="1"/>
    <col min="7" max="7" width="7.5703125" style="16" customWidth="1"/>
    <col min="8" max="8" width="8.5703125" style="16" customWidth="1"/>
    <col min="9" max="15" width="8.28515625" style="16" customWidth="1"/>
    <col min="16" max="20" width="9.140625" style="16"/>
    <col min="21" max="21" width="12.42578125" style="16" customWidth="1"/>
    <col min="22" max="22" width="9.140625" style="16"/>
    <col min="23" max="23" width="12" style="16" customWidth="1"/>
    <col min="24" max="256" width="9.140625" style="16"/>
    <col min="257" max="257" width="5" style="16" customWidth="1"/>
    <col min="258" max="258" width="18.5703125" style="16" customWidth="1"/>
    <col min="259" max="259" width="8.140625" style="16" customWidth="1"/>
    <col min="260" max="260" width="8" style="16" customWidth="1"/>
    <col min="261" max="261" width="7.5703125" style="16" customWidth="1"/>
    <col min="262" max="262" width="7.85546875" style="16" customWidth="1"/>
    <col min="263" max="263" width="7.5703125" style="16" customWidth="1"/>
    <col min="264" max="264" width="8.5703125" style="16" customWidth="1"/>
    <col min="265" max="271" width="8.28515625" style="16" customWidth="1"/>
    <col min="272" max="276" width="9.140625" style="16"/>
    <col min="277" max="277" width="12.42578125" style="16" customWidth="1"/>
    <col min="278" max="278" width="9.140625" style="16"/>
    <col min="279" max="279" width="12" style="16" customWidth="1"/>
    <col min="280" max="512" width="9.140625" style="16"/>
    <col min="513" max="513" width="5" style="16" customWidth="1"/>
    <col min="514" max="514" width="18.5703125" style="16" customWidth="1"/>
    <col min="515" max="515" width="8.140625" style="16" customWidth="1"/>
    <col min="516" max="516" width="8" style="16" customWidth="1"/>
    <col min="517" max="517" width="7.5703125" style="16" customWidth="1"/>
    <col min="518" max="518" width="7.85546875" style="16" customWidth="1"/>
    <col min="519" max="519" width="7.5703125" style="16" customWidth="1"/>
    <col min="520" max="520" width="8.5703125" style="16" customWidth="1"/>
    <col min="521" max="527" width="8.28515625" style="16" customWidth="1"/>
    <col min="528" max="532" width="9.140625" style="16"/>
    <col min="533" max="533" width="12.42578125" style="16" customWidth="1"/>
    <col min="534" max="534" width="9.140625" style="16"/>
    <col min="535" max="535" width="12" style="16" customWidth="1"/>
    <col min="536" max="768" width="9.140625" style="16"/>
    <col min="769" max="769" width="5" style="16" customWidth="1"/>
    <col min="770" max="770" width="18.5703125" style="16" customWidth="1"/>
    <col min="771" max="771" width="8.140625" style="16" customWidth="1"/>
    <col min="772" max="772" width="8" style="16" customWidth="1"/>
    <col min="773" max="773" width="7.5703125" style="16" customWidth="1"/>
    <col min="774" max="774" width="7.85546875" style="16" customWidth="1"/>
    <col min="775" max="775" width="7.5703125" style="16" customWidth="1"/>
    <col min="776" max="776" width="8.5703125" style="16" customWidth="1"/>
    <col min="777" max="783" width="8.28515625" style="16" customWidth="1"/>
    <col min="784" max="788" width="9.140625" style="16"/>
    <col min="789" max="789" width="12.42578125" style="16" customWidth="1"/>
    <col min="790" max="790" width="9.140625" style="16"/>
    <col min="791" max="791" width="12" style="16" customWidth="1"/>
    <col min="792" max="1024" width="9.140625" style="16"/>
    <col min="1025" max="1025" width="5" style="16" customWidth="1"/>
    <col min="1026" max="1026" width="18.5703125" style="16" customWidth="1"/>
    <col min="1027" max="1027" width="8.140625" style="16" customWidth="1"/>
    <col min="1028" max="1028" width="8" style="16" customWidth="1"/>
    <col min="1029" max="1029" width="7.5703125" style="16" customWidth="1"/>
    <col min="1030" max="1030" width="7.85546875" style="16" customWidth="1"/>
    <col min="1031" max="1031" width="7.5703125" style="16" customWidth="1"/>
    <col min="1032" max="1032" width="8.5703125" style="16" customWidth="1"/>
    <col min="1033" max="1039" width="8.28515625" style="16" customWidth="1"/>
    <col min="1040" max="1044" width="9.140625" style="16"/>
    <col min="1045" max="1045" width="12.42578125" style="16" customWidth="1"/>
    <col min="1046" max="1046" width="9.140625" style="16"/>
    <col min="1047" max="1047" width="12" style="16" customWidth="1"/>
    <col min="1048" max="1280" width="9.140625" style="16"/>
    <col min="1281" max="1281" width="5" style="16" customWidth="1"/>
    <col min="1282" max="1282" width="18.5703125" style="16" customWidth="1"/>
    <col min="1283" max="1283" width="8.140625" style="16" customWidth="1"/>
    <col min="1284" max="1284" width="8" style="16" customWidth="1"/>
    <col min="1285" max="1285" width="7.5703125" style="16" customWidth="1"/>
    <col min="1286" max="1286" width="7.85546875" style="16" customWidth="1"/>
    <col min="1287" max="1287" width="7.5703125" style="16" customWidth="1"/>
    <col min="1288" max="1288" width="8.5703125" style="16" customWidth="1"/>
    <col min="1289" max="1295" width="8.28515625" style="16" customWidth="1"/>
    <col min="1296" max="1300" width="9.140625" style="16"/>
    <col min="1301" max="1301" width="12.42578125" style="16" customWidth="1"/>
    <col min="1302" max="1302" width="9.140625" style="16"/>
    <col min="1303" max="1303" width="12" style="16" customWidth="1"/>
    <col min="1304" max="1536" width="9.140625" style="16"/>
    <col min="1537" max="1537" width="5" style="16" customWidth="1"/>
    <col min="1538" max="1538" width="18.5703125" style="16" customWidth="1"/>
    <col min="1539" max="1539" width="8.140625" style="16" customWidth="1"/>
    <col min="1540" max="1540" width="8" style="16" customWidth="1"/>
    <col min="1541" max="1541" width="7.5703125" style="16" customWidth="1"/>
    <col min="1542" max="1542" width="7.85546875" style="16" customWidth="1"/>
    <col min="1543" max="1543" width="7.5703125" style="16" customWidth="1"/>
    <col min="1544" max="1544" width="8.5703125" style="16" customWidth="1"/>
    <col min="1545" max="1551" width="8.28515625" style="16" customWidth="1"/>
    <col min="1552" max="1556" width="9.140625" style="16"/>
    <col min="1557" max="1557" width="12.42578125" style="16" customWidth="1"/>
    <col min="1558" max="1558" width="9.140625" style="16"/>
    <col min="1559" max="1559" width="12" style="16" customWidth="1"/>
    <col min="1560" max="1792" width="9.140625" style="16"/>
    <col min="1793" max="1793" width="5" style="16" customWidth="1"/>
    <col min="1794" max="1794" width="18.5703125" style="16" customWidth="1"/>
    <col min="1795" max="1795" width="8.140625" style="16" customWidth="1"/>
    <col min="1796" max="1796" width="8" style="16" customWidth="1"/>
    <col min="1797" max="1797" width="7.5703125" style="16" customWidth="1"/>
    <col min="1798" max="1798" width="7.85546875" style="16" customWidth="1"/>
    <col min="1799" max="1799" width="7.5703125" style="16" customWidth="1"/>
    <col min="1800" max="1800" width="8.5703125" style="16" customWidth="1"/>
    <col min="1801" max="1807" width="8.28515625" style="16" customWidth="1"/>
    <col min="1808" max="1812" width="9.140625" style="16"/>
    <col min="1813" max="1813" width="12.42578125" style="16" customWidth="1"/>
    <col min="1814" max="1814" width="9.140625" style="16"/>
    <col min="1815" max="1815" width="12" style="16" customWidth="1"/>
    <col min="1816" max="2048" width="9.140625" style="16"/>
    <col min="2049" max="2049" width="5" style="16" customWidth="1"/>
    <col min="2050" max="2050" width="18.5703125" style="16" customWidth="1"/>
    <col min="2051" max="2051" width="8.140625" style="16" customWidth="1"/>
    <col min="2052" max="2052" width="8" style="16" customWidth="1"/>
    <col min="2053" max="2053" width="7.5703125" style="16" customWidth="1"/>
    <col min="2054" max="2054" width="7.85546875" style="16" customWidth="1"/>
    <col min="2055" max="2055" width="7.5703125" style="16" customWidth="1"/>
    <col min="2056" max="2056" width="8.5703125" style="16" customWidth="1"/>
    <col min="2057" max="2063" width="8.28515625" style="16" customWidth="1"/>
    <col min="2064" max="2068" width="9.140625" style="16"/>
    <col min="2069" max="2069" width="12.42578125" style="16" customWidth="1"/>
    <col min="2070" max="2070" width="9.140625" style="16"/>
    <col min="2071" max="2071" width="12" style="16" customWidth="1"/>
    <col min="2072" max="2304" width="9.140625" style="16"/>
    <col min="2305" max="2305" width="5" style="16" customWidth="1"/>
    <col min="2306" max="2306" width="18.5703125" style="16" customWidth="1"/>
    <col min="2307" max="2307" width="8.140625" style="16" customWidth="1"/>
    <col min="2308" max="2308" width="8" style="16" customWidth="1"/>
    <col min="2309" max="2309" width="7.5703125" style="16" customWidth="1"/>
    <col min="2310" max="2310" width="7.85546875" style="16" customWidth="1"/>
    <col min="2311" max="2311" width="7.5703125" style="16" customWidth="1"/>
    <col min="2312" max="2312" width="8.5703125" style="16" customWidth="1"/>
    <col min="2313" max="2319" width="8.28515625" style="16" customWidth="1"/>
    <col min="2320" max="2324" width="9.140625" style="16"/>
    <col min="2325" max="2325" width="12.42578125" style="16" customWidth="1"/>
    <col min="2326" max="2326" width="9.140625" style="16"/>
    <col min="2327" max="2327" width="12" style="16" customWidth="1"/>
    <col min="2328" max="2560" width="9.140625" style="16"/>
    <col min="2561" max="2561" width="5" style="16" customWidth="1"/>
    <col min="2562" max="2562" width="18.5703125" style="16" customWidth="1"/>
    <col min="2563" max="2563" width="8.140625" style="16" customWidth="1"/>
    <col min="2564" max="2564" width="8" style="16" customWidth="1"/>
    <col min="2565" max="2565" width="7.5703125" style="16" customWidth="1"/>
    <col min="2566" max="2566" width="7.85546875" style="16" customWidth="1"/>
    <col min="2567" max="2567" width="7.5703125" style="16" customWidth="1"/>
    <col min="2568" max="2568" width="8.5703125" style="16" customWidth="1"/>
    <col min="2569" max="2575" width="8.28515625" style="16" customWidth="1"/>
    <col min="2576" max="2580" width="9.140625" style="16"/>
    <col min="2581" max="2581" width="12.42578125" style="16" customWidth="1"/>
    <col min="2582" max="2582" width="9.140625" style="16"/>
    <col min="2583" max="2583" width="12" style="16" customWidth="1"/>
    <col min="2584" max="2816" width="9.140625" style="16"/>
    <col min="2817" max="2817" width="5" style="16" customWidth="1"/>
    <col min="2818" max="2818" width="18.5703125" style="16" customWidth="1"/>
    <col min="2819" max="2819" width="8.140625" style="16" customWidth="1"/>
    <col min="2820" max="2820" width="8" style="16" customWidth="1"/>
    <col min="2821" max="2821" width="7.5703125" style="16" customWidth="1"/>
    <col min="2822" max="2822" width="7.85546875" style="16" customWidth="1"/>
    <col min="2823" max="2823" width="7.5703125" style="16" customWidth="1"/>
    <col min="2824" max="2824" width="8.5703125" style="16" customWidth="1"/>
    <col min="2825" max="2831" width="8.28515625" style="16" customWidth="1"/>
    <col min="2832" max="2836" width="9.140625" style="16"/>
    <col min="2837" max="2837" width="12.42578125" style="16" customWidth="1"/>
    <col min="2838" max="2838" width="9.140625" style="16"/>
    <col min="2839" max="2839" width="12" style="16" customWidth="1"/>
    <col min="2840" max="3072" width="9.140625" style="16"/>
    <col min="3073" max="3073" width="5" style="16" customWidth="1"/>
    <col min="3074" max="3074" width="18.5703125" style="16" customWidth="1"/>
    <col min="3075" max="3075" width="8.140625" style="16" customWidth="1"/>
    <col min="3076" max="3076" width="8" style="16" customWidth="1"/>
    <col min="3077" max="3077" width="7.5703125" style="16" customWidth="1"/>
    <col min="3078" max="3078" width="7.85546875" style="16" customWidth="1"/>
    <col min="3079" max="3079" width="7.5703125" style="16" customWidth="1"/>
    <col min="3080" max="3080" width="8.5703125" style="16" customWidth="1"/>
    <col min="3081" max="3087" width="8.28515625" style="16" customWidth="1"/>
    <col min="3088" max="3092" width="9.140625" style="16"/>
    <col min="3093" max="3093" width="12.42578125" style="16" customWidth="1"/>
    <col min="3094" max="3094" width="9.140625" style="16"/>
    <col min="3095" max="3095" width="12" style="16" customWidth="1"/>
    <col min="3096" max="3328" width="9.140625" style="16"/>
    <col min="3329" max="3329" width="5" style="16" customWidth="1"/>
    <col min="3330" max="3330" width="18.5703125" style="16" customWidth="1"/>
    <col min="3331" max="3331" width="8.140625" style="16" customWidth="1"/>
    <col min="3332" max="3332" width="8" style="16" customWidth="1"/>
    <col min="3333" max="3333" width="7.5703125" style="16" customWidth="1"/>
    <col min="3334" max="3334" width="7.85546875" style="16" customWidth="1"/>
    <col min="3335" max="3335" width="7.5703125" style="16" customWidth="1"/>
    <col min="3336" max="3336" width="8.5703125" style="16" customWidth="1"/>
    <col min="3337" max="3343" width="8.28515625" style="16" customWidth="1"/>
    <col min="3344" max="3348" width="9.140625" style="16"/>
    <col min="3349" max="3349" width="12.42578125" style="16" customWidth="1"/>
    <col min="3350" max="3350" width="9.140625" style="16"/>
    <col min="3351" max="3351" width="12" style="16" customWidth="1"/>
    <col min="3352" max="3584" width="9.140625" style="16"/>
    <col min="3585" max="3585" width="5" style="16" customWidth="1"/>
    <col min="3586" max="3586" width="18.5703125" style="16" customWidth="1"/>
    <col min="3587" max="3587" width="8.140625" style="16" customWidth="1"/>
    <col min="3588" max="3588" width="8" style="16" customWidth="1"/>
    <col min="3589" max="3589" width="7.5703125" style="16" customWidth="1"/>
    <col min="3590" max="3590" width="7.85546875" style="16" customWidth="1"/>
    <col min="3591" max="3591" width="7.5703125" style="16" customWidth="1"/>
    <col min="3592" max="3592" width="8.5703125" style="16" customWidth="1"/>
    <col min="3593" max="3599" width="8.28515625" style="16" customWidth="1"/>
    <col min="3600" max="3604" width="9.140625" style="16"/>
    <col min="3605" max="3605" width="12.42578125" style="16" customWidth="1"/>
    <col min="3606" max="3606" width="9.140625" style="16"/>
    <col min="3607" max="3607" width="12" style="16" customWidth="1"/>
    <col min="3608" max="3840" width="9.140625" style="16"/>
    <col min="3841" max="3841" width="5" style="16" customWidth="1"/>
    <col min="3842" max="3842" width="18.5703125" style="16" customWidth="1"/>
    <col min="3843" max="3843" width="8.140625" style="16" customWidth="1"/>
    <col min="3844" max="3844" width="8" style="16" customWidth="1"/>
    <col min="3845" max="3845" width="7.5703125" style="16" customWidth="1"/>
    <col min="3846" max="3846" width="7.85546875" style="16" customWidth="1"/>
    <col min="3847" max="3847" width="7.5703125" style="16" customWidth="1"/>
    <col min="3848" max="3848" width="8.5703125" style="16" customWidth="1"/>
    <col min="3849" max="3855" width="8.28515625" style="16" customWidth="1"/>
    <col min="3856" max="3860" width="9.140625" style="16"/>
    <col min="3861" max="3861" width="12.42578125" style="16" customWidth="1"/>
    <col min="3862" max="3862" width="9.140625" style="16"/>
    <col min="3863" max="3863" width="12" style="16" customWidth="1"/>
    <col min="3864" max="4096" width="9.140625" style="16"/>
    <col min="4097" max="4097" width="5" style="16" customWidth="1"/>
    <col min="4098" max="4098" width="18.5703125" style="16" customWidth="1"/>
    <col min="4099" max="4099" width="8.140625" style="16" customWidth="1"/>
    <col min="4100" max="4100" width="8" style="16" customWidth="1"/>
    <col min="4101" max="4101" width="7.5703125" style="16" customWidth="1"/>
    <col min="4102" max="4102" width="7.85546875" style="16" customWidth="1"/>
    <col min="4103" max="4103" width="7.5703125" style="16" customWidth="1"/>
    <col min="4104" max="4104" width="8.5703125" style="16" customWidth="1"/>
    <col min="4105" max="4111" width="8.28515625" style="16" customWidth="1"/>
    <col min="4112" max="4116" width="9.140625" style="16"/>
    <col min="4117" max="4117" width="12.42578125" style="16" customWidth="1"/>
    <col min="4118" max="4118" width="9.140625" style="16"/>
    <col min="4119" max="4119" width="12" style="16" customWidth="1"/>
    <col min="4120" max="4352" width="9.140625" style="16"/>
    <col min="4353" max="4353" width="5" style="16" customWidth="1"/>
    <col min="4354" max="4354" width="18.5703125" style="16" customWidth="1"/>
    <col min="4355" max="4355" width="8.140625" style="16" customWidth="1"/>
    <col min="4356" max="4356" width="8" style="16" customWidth="1"/>
    <col min="4357" max="4357" width="7.5703125" style="16" customWidth="1"/>
    <col min="4358" max="4358" width="7.85546875" style="16" customWidth="1"/>
    <col min="4359" max="4359" width="7.5703125" style="16" customWidth="1"/>
    <col min="4360" max="4360" width="8.5703125" style="16" customWidth="1"/>
    <col min="4361" max="4367" width="8.28515625" style="16" customWidth="1"/>
    <col min="4368" max="4372" width="9.140625" style="16"/>
    <col min="4373" max="4373" width="12.42578125" style="16" customWidth="1"/>
    <col min="4374" max="4374" width="9.140625" style="16"/>
    <col min="4375" max="4375" width="12" style="16" customWidth="1"/>
    <col min="4376" max="4608" width="9.140625" style="16"/>
    <col min="4609" max="4609" width="5" style="16" customWidth="1"/>
    <col min="4610" max="4610" width="18.5703125" style="16" customWidth="1"/>
    <col min="4611" max="4611" width="8.140625" style="16" customWidth="1"/>
    <col min="4612" max="4612" width="8" style="16" customWidth="1"/>
    <col min="4613" max="4613" width="7.5703125" style="16" customWidth="1"/>
    <col min="4614" max="4614" width="7.85546875" style="16" customWidth="1"/>
    <col min="4615" max="4615" width="7.5703125" style="16" customWidth="1"/>
    <col min="4616" max="4616" width="8.5703125" style="16" customWidth="1"/>
    <col min="4617" max="4623" width="8.28515625" style="16" customWidth="1"/>
    <col min="4624" max="4628" width="9.140625" style="16"/>
    <col min="4629" max="4629" width="12.42578125" style="16" customWidth="1"/>
    <col min="4630" max="4630" width="9.140625" style="16"/>
    <col min="4631" max="4631" width="12" style="16" customWidth="1"/>
    <col min="4632" max="4864" width="9.140625" style="16"/>
    <col min="4865" max="4865" width="5" style="16" customWidth="1"/>
    <col min="4866" max="4866" width="18.5703125" style="16" customWidth="1"/>
    <col min="4867" max="4867" width="8.140625" style="16" customWidth="1"/>
    <col min="4868" max="4868" width="8" style="16" customWidth="1"/>
    <col min="4869" max="4869" width="7.5703125" style="16" customWidth="1"/>
    <col min="4870" max="4870" width="7.85546875" style="16" customWidth="1"/>
    <col min="4871" max="4871" width="7.5703125" style="16" customWidth="1"/>
    <col min="4872" max="4872" width="8.5703125" style="16" customWidth="1"/>
    <col min="4873" max="4879" width="8.28515625" style="16" customWidth="1"/>
    <col min="4880" max="4884" width="9.140625" style="16"/>
    <col min="4885" max="4885" width="12.42578125" style="16" customWidth="1"/>
    <col min="4886" max="4886" width="9.140625" style="16"/>
    <col min="4887" max="4887" width="12" style="16" customWidth="1"/>
    <col min="4888" max="5120" width="9.140625" style="16"/>
    <col min="5121" max="5121" width="5" style="16" customWidth="1"/>
    <col min="5122" max="5122" width="18.5703125" style="16" customWidth="1"/>
    <col min="5123" max="5123" width="8.140625" style="16" customWidth="1"/>
    <col min="5124" max="5124" width="8" style="16" customWidth="1"/>
    <col min="5125" max="5125" width="7.5703125" style="16" customWidth="1"/>
    <col min="5126" max="5126" width="7.85546875" style="16" customWidth="1"/>
    <col min="5127" max="5127" width="7.5703125" style="16" customWidth="1"/>
    <col min="5128" max="5128" width="8.5703125" style="16" customWidth="1"/>
    <col min="5129" max="5135" width="8.28515625" style="16" customWidth="1"/>
    <col min="5136" max="5140" width="9.140625" style="16"/>
    <col min="5141" max="5141" width="12.42578125" style="16" customWidth="1"/>
    <col min="5142" max="5142" width="9.140625" style="16"/>
    <col min="5143" max="5143" width="12" style="16" customWidth="1"/>
    <col min="5144" max="5376" width="9.140625" style="16"/>
    <col min="5377" max="5377" width="5" style="16" customWidth="1"/>
    <col min="5378" max="5378" width="18.5703125" style="16" customWidth="1"/>
    <col min="5379" max="5379" width="8.140625" style="16" customWidth="1"/>
    <col min="5380" max="5380" width="8" style="16" customWidth="1"/>
    <col min="5381" max="5381" width="7.5703125" style="16" customWidth="1"/>
    <col min="5382" max="5382" width="7.85546875" style="16" customWidth="1"/>
    <col min="5383" max="5383" width="7.5703125" style="16" customWidth="1"/>
    <col min="5384" max="5384" width="8.5703125" style="16" customWidth="1"/>
    <col min="5385" max="5391" width="8.28515625" style="16" customWidth="1"/>
    <col min="5392" max="5396" width="9.140625" style="16"/>
    <col min="5397" max="5397" width="12.42578125" style="16" customWidth="1"/>
    <col min="5398" max="5398" width="9.140625" style="16"/>
    <col min="5399" max="5399" width="12" style="16" customWidth="1"/>
    <col min="5400" max="5632" width="9.140625" style="16"/>
    <col min="5633" max="5633" width="5" style="16" customWidth="1"/>
    <col min="5634" max="5634" width="18.5703125" style="16" customWidth="1"/>
    <col min="5635" max="5635" width="8.140625" style="16" customWidth="1"/>
    <col min="5636" max="5636" width="8" style="16" customWidth="1"/>
    <col min="5637" max="5637" width="7.5703125" style="16" customWidth="1"/>
    <col min="5638" max="5638" width="7.85546875" style="16" customWidth="1"/>
    <col min="5639" max="5639" width="7.5703125" style="16" customWidth="1"/>
    <col min="5640" max="5640" width="8.5703125" style="16" customWidth="1"/>
    <col min="5641" max="5647" width="8.28515625" style="16" customWidth="1"/>
    <col min="5648" max="5652" width="9.140625" style="16"/>
    <col min="5653" max="5653" width="12.42578125" style="16" customWidth="1"/>
    <col min="5654" max="5654" width="9.140625" style="16"/>
    <col min="5655" max="5655" width="12" style="16" customWidth="1"/>
    <col min="5656" max="5888" width="9.140625" style="16"/>
    <col min="5889" max="5889" width="5" style="16" customWidth="1"/>
    <col min="5890" max="5890" width="18.5703125" style="16" customWidth="1"/>
    <col min="5891" max="5891" width="8.140625" style="16" customWidth="1"/>
    <col min="5892" max="5892" width="8" style="16" customWidth="1"/>
    <col min="5893" max="5893" width="7.5703125" style="16" customWidth="1"/>
    <col min="5894" max="5894" width="7.85546875" style="16" customWidth="1"/>
    <col min="5895" max="5895" width="7.5703125" style="16" customWidth="1"/>
    <col min="5896" max="5896" width="8.5703125" style="16" customWidth="1"/>
    <col min="5897" max="5903" width="8.28515625" style="16" customWidth="1"/>
    <col min="5904" max="5908" width="9.140625" style="16"/>
    <col min="5909" max="5909" width="12.42578125" style="16" customWidth="1"/>
    <col min="5910" max="5910" width="9.140625" style="16"/>
    <col min="5911" max="5911" width="12" style="16" customWidth="1"/>
    <col min="5912" max="6144" width="9.140625" style="16"/>
    <col min="6145" max="6145" width="5" style="16" customWidth="1"/>
    <col min="6146" max="6146" width="18.5703125" style="16" customWidth="1"/>
    <col min="6147" max="6147" width="8.140625" style="16" customWidth="1"/>
    <col min="6148" max="6148" width="8" style="16" customWidth="1"/>
    <col min="6149" max="6149" width="7.5703125" style="16" customWidth="1"/>
    <col min="6150" max="6150" width="7.85546875" style="16" customWidth="1"/>
    <col min="6151" max="6151" width="7.5703125" style="16" customWidth="1"/>
    <col min="6152" max="6152" width="8.5703125" style="16" customWidth="1"/>
    <col min="6153" max="6159" width="8.28515625" style="16" customWidth="1"/>
    <col min="6160" max="6164" width="9.140625" style="16"/>
    <col min="6165" max="6165" width="12.42578125" style="16" customWidth="1"/>
    <col min="6166" max="6166" width="9.140625" style="16"/>
    <col min="6167" max="6167" width="12" style="16" customWidth="1"/>
    <col min="6168" max="6400" width="9.140625" style="16"/>
    <col min="6401" max="6401" width="5" style="16" customWidth="1"/>
    <col min="6402" max="6402" width="18.5703125" style="16" customWidth="1"/>
    <col min="6403" max="6403" width="8.140625" style="16" customWidth="1"/>
    <col min="6404" max="6404" width="8" style="16" customWidth="1"/>
    <col min="6405" max="6405" width="7.5703125" style="16" customWidth="1"/>
    <col min="6406" max="6406" width="7.85546875" style="16" customWidth="1"/>
    <col min="6407" max="6407" width="7.5703125" style="16" customWidth="1"/>
    <col min="6408" max="6408" width="8.5703125" style="16" customWidth="1"/>
    <col min="6409" max="6415" width="8.28515625" style="16" customWidth="1"/>
    <col min="6416" max="6420" width="9.140625" style="16"/>
    <col min="6421" max="6421" width="12.42578125" style="16" customWidth="1"/>
    <col min="6422" max="6422" width="9.140625" style="16"/>
    <col min="6423" max="6423" width="12" style="16" customWidth="1"/>
    <col min="6424" max="6656" width="9.140625" style="16"/>
    <col min="6657" max="6657" width="5" style="16" customWidth="1"/>
    <col min="6658" max="6658" width="18.5703125" style="16" customWidth="1"/>
    <col min="6659" max="6659" width="8.140625" style="16" customWidth="1"/>
    <col min="6660" max="6660" width="8" style="16" customWidth="1"/>
    <col min="6661" max="6661" width="7.5703125" style="16" customWidth="1"/>
    <col min="6662" max="6662" width="7.85546875" style="16" customWidth="1"/>
    <col min="6663" max="6663" width="7.5703125" style="16" customWidth="1"/>
    <col min="6664" max="6664" width="8.5703125" style="16" customWidth="1"/>
    <col min="6665" max="6671" width="8.28515625" style="16" customWidth="1"/>
    <col min="6672" max="6676" width="9.140625" style="16"/>
    <col min="6677" max="6677" width="12.42578125" style="16" customWidth="1"/>
    <col min="6678" max="6678" width="9.140625" style="16"/>
    <col min="6679" max="6679" width="12" style="16" customWidth="1"/>
    <col min="6680" max="6912" width="9.140625" style="16"/>
    <col min="6913" max="6913" width="5" style="16" customWidth="1"/>
    <col min="6914" max="6914" width="18.5703125" style="16" customWidth="1"/>
    <col min="6915" max="6915" width="8.140625" style="16" customWidth="1"/>
    <col min="6916" max="6916" width="8" style="16" customWidth="1"/>
    <col min="6917" max="6917" width="7.5703125" style="16" customWidth="1"/>
    <col min="6918" max="6918" width="7.85546875" style="16" customWidth="1"/>
    <col min="6919" max="6919" width="7.5703125" style="16" customWidth="1"/>
    <col min="6920" max="6920" width="8.5703125" style="16" customWidth="1"/>
    <col min="6921" max="6927" width="8.28515625" style="16" customWidth="1"/>
    <col min="6928" max="6932" width="9.140625" style="16"/>
    <col min="6933" max="6933" width="12.42578125" style="16" customWidth="1"/>
    <col min="6934" max="6934" width="9.140625" style="16"/>
    <col min="6935" max="6935" width="12" style="16" customWidth="1"/>
    <col min="6936" max="7168" width="9.140625" style="16"/>
    <col min="7169" max="7169" width="5" style="16" customWidth="1"/>
    <col min="7170" max="7170" width="18.5703125" style="16" customWidth="1"/>
    <col min="7171" max="7171" width="8.140625" style="16" customWidth="1"/>
    <col min="7172" max="7172" width="8" style="16" customWidth="1"/>
    <col min="7173" max="7173" width="7.5703125" style="16" customWidth="1"/>
    <col min="7174" max="7174" width="7.85546875" style="16" customWidth="1"/>
    <col min="7175" max="7175" width="7.5703125" style="16" customWidth="1"/>
    <col min="7176" max="7176" width="8.5703125" style="16" customWidth="1"/>
    <col min="7177" max="7183" width="8.28515625" style="16" customWidth="1"/>
    <col min="7184" max="7188" width="9.140625" style="16"/>
    <col min="7189" max="7189" width="12.42578125" style="16" customWidth="1"/>
    <col min="7190" max="7190" width="9.140625" style="16"/>
    <col min="7191" max="7191" width="12" style="16" customWidth="1"/>
    <col min="7192" max="7424" width="9.140625" style="16"/>
    <col min="7425" max="7425" width="5" style="16" customWidth="1"/>
    <col min="7426" max="7426" width="18.5703125" style="16" customWidth="1"/>
    <col min="7427" max="7427" width="8.140625" style="16" customWidth="1"/>
    <col min="7428" max="7428" width="8" style="16" customWidth="1"/>
    <col min="7429" max="7429" width="7.5703125" style="16" customWidth="1"/>
    <col min="7430" max="7430" width="7.85546875" style="16" customWidth="1"/>
    <col min="7431" max="7431" width="7.5703125" style="16" customWidth="1"/>
    <col min="7432" max="7432" width="8.5703125" style="16" customWidth="1"/>
    <col min="7433" max="7439" width="8.28515625" style="16" customWidth="1"/>
    <col min="7440" max="7444" width="9.140625" style="16"/>
    <col min="7445" max="7445" width="12.42578125" style="16" customWidth="1"/>
    <col min="7446" max="7446" width="9.140625" style="16"/>
    <col min="7447" max="7447" width="12" style="16" customWidth="1"/>
    <col min="7448" max="7680" width="9.140625" style="16"/>
    <col min="7681" max="7681" width="5" style="16" customWidth="1"/>
    <col min="7682" max="7682" width="18.5703125" style="16" customWidth="1"/>
    <col min="7683" max="7683" width="8.140625" style="16" customWidth="1"/>
    <col min="7684" max="7684" width="8" style="16" customWidth="1"/>
    <col min="7685" max="7685" width="7.5703125" style="16" customWidth="1"/>
    <col min="7686" max="7686" width="7.85546875" style="16" customWidth="1"/>
    <col min="7687" max="7687" width="7.5703125" style="16" customWidth="1"/>
    <col min="7688" max="7688" width="8.5703125" style="16" customWidth="1"/>
    <col min="7689" max="7695" width="8.28515625" style="16" customWidth="1"/>
    <col min="7696" max="7700" width="9.140625" style="16"/>
    <col min="7701" max="7701" width="12.42578125" style="16" customWidth="1"/>
    <col min="7702" max="7702" width="9.140625" style="16"/>
    <col min="7703" max="7703" width="12" style="16" customWidth="1"/>
    <col min="7704" max="7936" width="9.140625" style="16"/>
    <col min="7937" max="7937" width="5" style="16" customWidth="1"/>
    <col min="7938" max="7938" width="18.5703125" style="16" customWidth="1"/>
    <col min="7939" max="7939" width="8.140625" style="16" customWidth="1"/>
    <col min="7940" max="7940" width="8" style="16" customWidth="1"/>
    <col min="7941" max="7941" width="7.5703125" style="16" customWidth="1"/>
    <col min="7942" max="7942" width="7.85546875" style="16" customWidth="1"/>
    <col min="7943" max="7943" width="7.5703125" style="16" customWidth="1"/>
    <col min="7944" max="7944" width="8.5703125" style="16" customWidth="1"/>
    <col min="7945" max="7951" width="8.28515625" style="16" customWidth="1"/>
    <col min="7952" max="7956" width="9.140625" style="16"/>
    <col min="7957" max="7957" width="12.42578125" style="16" customWidth="1"/>
    <col min="7958" max="7958" width="9.140625" style="16"/>
    <col min="7959" max="7959" width="12" style="16" customWidth="1"/>
    <col min="7960" max="8192" width="9.140625" style="16"/>
    <col min="8193" max="8193" width="5" style="16" customWidth="1"/>
    <col min="8194" max="8194" width="18.5703125" style="16" customWidth="1"/>
    <col min="8195" max="8195" width="8.140625" style="16" customWidth="1"/>
    <col min="8196" max="8196" width="8" style="16" customWidth="1"/>
    <col min="8197" max="8197" width="7.5703125" style="16" customWidth="1"/>
    <col min="8198" max="8198" width="7.85546875" style="16" customWidth="1"/>
    <col min="8199" max="8199" width="7.5703125" style="16" customWidth="1"/>
    <col min="8200" max="8200" width="8.5703125" style="16" customWidth="1"/>
    <col min="8201" max="8207" width="8.28515625" style="16" customWidth="1"/>
    <col min="8208" max="8212" width="9.140625" style="16"/>
    <col min="8213" max="8213" width="12.42578125" style="16" customWidth="1"/>
    <col min="8214" max="8214" width="9.140625" style="16"/>
    <col min="8215" max="8215" width="12" style="16" customWidth="1"/>
    <col min="8216" max="8448" width="9.140625" style="16"/>
    <col min="8449" max="8449" width="5" style="16" customWidth="1"/>
    <col min="8450" max="8450" width="18.5703125" style="16" customWidth="1"/>
    <col min="8451" max="8451" width="8.140625" style="16" customWidth="1"/>
    <col min="8452" max="8452" width="8" style="16" customWidth="1"/>
    <col min="8453" max="8453" width="7.5703125" style="16" customWidth="1"/>
    <col min="8454" max="8454" width="7.85546875" style="16" customWidth="1"/>
    <col min="8455" max="8455" width="7.5703125" style="16" customWidth="1"/>
    <col min="8456" max="8456" width="8.5703125" style="16" customWidth="1"/>
    <col min="8457" max="8463" width="8.28515625" style="16" customWidth="1"/>
    <col min="8464" max="8468" width="9.140625" style="16"/>
    <col min="8469" max="8469" width="12.42578125" style="16" customWidth="1"/>
    <col min="8470" max="8470" width="9.140625" style="16"/>
    <col min="8471" max="8471" width="12" style="16" customWidth="1"/>
    <col min="8472" max="8704" width="9.140625" style="16"/>
    <col min="8705" max="8705" width="5" style="16" customWidth="1"/>
    <col min="8706" max="8706" width="18.5703125" style="16" customWidth="1"/>
    <col min="8707" max="8707" width="8.140625" style="16" customWidth="1"/>
    <col min="8708" max="8708" width="8" style="16" customWidth="1"/>
    <col min="8709" max="8709" width="7.5703125" style="16" customWidth="1"/>
    <col min="8710" max="8710" width="7.85546875" style="16" customWidth="1"/>
    <col min="8711" max="8711" width="7.5703125" style="16" customWidth="1"/>
    <col min="8712" max="8712" width="8.5703125" style="16" customWidth="1"/>
    <col min="8713" max="8719" width="8.28515625" style="16" customWidth="1"/>
    <col min="8720" max="8724" width="9.140625" style="16"/>
    <col min="8725" max="8725" width="12.42578125" style="16" customWidth="1"/>
    <col min="8726" max="8726" width="9.140625" style="16"/>
    <col min="8727" max="8727" width="12" style="16" customWidth="1"/>
    <col min="8728" max="8960" width="9.140625" style="16"/>
    <col min="8961" max="8961" width="5" style="16" customWidth="1"/>
    <col min="8962" max="8962" width="18.5703125" style="16" customWidth="1"/>
    <col min="8963" max="8963" width="8.140625" style="16" customWidth="1"/>
    <col min="8964" max="8964" width="8" style="16" customWidth="1"/>
    <col min="8965" max="8965" width="7.5703125" style="16" customWidth="1"/>
    <col min="8966" max="8966" width="7.85546875" style="16" customWidth="1"/>
    <col min="8967" max="8967" width="7.5703125" style="16" customWidth="1"/>
    <col min="8968" max="8968" width="8.5703125" style="16" customWidth="1"/>
    <col min="8969" max="8975" width="8.28515625" style="16" customWidth="1"/>
    <col min="8976" max="8980" width="9.140625" style="16"/>
    <col min="8981" max="8981" width="12.42578125" style="16" customWidth="1"/>
    <col min="8982" max="8982" width="9.140625" style="16"/>
    <col min="8983" max="8983" width="12" style="16" customWidth="1"/>
    <col min="8984" max="9216" width="9.140625" style="16"/>
    <col min="9217" max="9217" width="5" style="16" customWidth="1"/>
    <col min="9218" max="9218" width="18.5703125" style="16" customWidth="1"/>
    <col min="9219" max="9219" width="8.140625" style="16" customWidth="1"/>
    <col min="9220" max="9220" width="8" style="16" customWidth="1"/>
    <col min="9221" max="9221" width="7.5703125" style="16" customWidth="1"/>
    <col min="9222" max="9222" width="7.85546875" style="16" customWidth="1"/>
    <col min="9223" max="9223" width="7.5703125" style="16" customWidth="1"/>
    <col min="9224" max="9224" width="8.5703125" style="16" customWidth="1"/>
    <col min="9225" max="9231" width="8.28515625" style="16" customWidth="1"/>
    <col min="9232" max="9236" width="9.140625" style="16"/>
    <col min="9237" max="9237" width="12.42578125" style="16" customWidth="1"/>
    <col min="9238" max="9238" width="9.140625" style="16"/>
    <col min="9239" max="9239" width="12" style="16" customWidth="1"/>
    <col min="9240" max="9472" width="9.140625" style="16"/>
    <col min="9473" max="9473" width="5" style="16" customWidth="1"/>
    <col min="9474" max="9474" width="18.5703125" style="16" customWidth="1"/>
    <col min="9475" max="9475" width="8.140625" style="16" customWidth="1"/>
    <col min="9476" max="9476" width="8" style="16" customWidth="1"/>
    <col min="9477" max="9477" width="7.5703125" style="16" customWidth="1"/>
    <col min="9478" max="9478" width="7.85546875" style="16" customWidth="1"/>
    <col min="9479" max="9479" width="7.5703125" style="16" customWidth="1"/>
    <col min="9480" max="9480" width="8.5703125" style="16" customWidth="1"/>
    <col min="9481" max="9487" width="8.28515625" style="16" customWidth="1"/>
    <col min="9488" max="9492" width="9.140625" style="16"/>
    <col min="9493" max="9493" width="12.42578125" style="16" customWidth="1"/>
    <col min="9494" max="9494" width="9.140625" style="16"/>
    <col min="9495" max="9495" width="12" style="16" customWidth="1"/>
    <col min="9496" max="9728" width="9.140625" style="16"/>
    <col min="9729" max="9729" width="5" style="16" customWidth="1"/>
    <col min="9730" max="9730" width="18.5703125" style="16" customWidth="1"/>
    <col min="9731" max="9731" width="8.140625" style="16" customWidth="1"/>
    <col min="9732" max="9732" width="8" style="16" customWidth="1"/>
    <col min="9733" max="9733" width="7.5703125" style="16" customWidth="1"/>
    <col min="9734" max="9734" width="7.85546875" style="16" customWidth="1"/>
    <col min="9735" max="9735" width="7.5703125" style="16" customWidth="1"/>
    <col min="9736" max="9736" width="8.5703125" style="16" customWidth="1"/>
    <col min="9737" max="9743" width="8.28515625" style="16" customWidth="1"/>
    <col min="9744" max="9748" width="9.140625" style="16"/>
    <col min="9749" max="9749" width="12.42578125" style="16" customWidth="1"/>
    <col min="9750" max="9750" width="9.140625" style="16"/>
    <col min="9751" max="9751" width="12" style="16" customWidth="1"/>
    <col min="9752" max="9984" width="9.140625" style="16"/>
    <col min="9985" max="9985" width="5" style="16" customWidth="1"/>
    <col min="9986" max="9986" width="18.5703125" style="16" customWidth="1"/>
    <col min="9987" max="9987" width="8.140625" style="16" customWidth="1"/>
    <col min="9988" max="9988" width="8" style="16" customWidth="1"/>
    <col min="9989" max="9989" width="7.5703125" style="16" customWidth="1"/>
    <col min="9990" max="9990" width="7.85546875" style="16" customWidth="1"/>
    <col min="9991" max="9991" width="7.5703125" style="16" customWidth="1"/>
    <col min="9992" max="9992" width="8.5703125" style="16" customWidth="1"/>
    <col min="9993" max="9999" width="8.28515625" style="16" customWidth="1"/>
    <col min="10000" max="10004" width="9.140625" style="16"/>
    <col min="10005" max="10005" width="12.42578125" style="16" customWidth="1"/>
    <col min="10006" max="10006" width="9.140625" style="16"/>
    <col min="10007" max="10007" width="12" style="16" customWidth="1"/>
    <col min="10008" max="10240" width="9.140625" style="16"/>
    <col min="10241" max="10241" width="5" style="16" customWidth="1"/>
    <col min="10242" max="10242" width="18.5703125" style="16" customWidth="1"/>
    <col min="10243" max="10243" width="8.140625" style="16" customWidth="1"/>
    <col min="10244" max="10244" width="8" style="16" customWidth="1"/>
    <col min="10245" max="10245" width="7.5703125" style="16" customWidth="1"/>
    <col min="10246" max="10246" width="7.85546875" style="16" customWidth="1"/>
    <col min="10247" max="10247" width="7.5703125" style="16" customWidth="1"/>
    <col min="10248" max="10248" width="8.5703125" style="16" customWidth="1"/>
    <col min="10249" max="10255" width="8.28515625" style="16" customWidth="1"/>
    <col min="10256" max="10260" width="9.140625" style="16"/>
    <col min="10261" max="10261" width="12.42578125" style="16" customWidth="1"/>
    <col min="10262" max="10262" width="9.140625" style="16"/>
    <col min="10263" max="10263" width="12" style="16" customWidth="1"/>
    <col min="10264" max="10496" width="9.140625" style="16"/>
    <col min="10497" max="10497" width="5" style="16" customWidth="1"/>
    <col min="10498" max="10498" width="18.5703125" style="16" customWidth="1"/>
    <col min="10499" max="10499" width="8.140625" style="16" customWidth="1"/>
    <col min="10500" max="10500" width="8" style="16" customWidth="1"/>
    <col min="10501" max="10501" width="7.5703125" style="16" customWidth="1"/>
    <col min="10502" max="10502" width="7.85546875" style="16" customWidth="1"/>
    <col min="10503" max="10503" width="7.5703125" style="16" customWidth="1"/>
    <col min="10504" max="10504" width="8.5703125" style="16" customWidth="1"/>
    <col min="10505" max="10511" width="8.28515625" style="16" customWidth="1"/>
    <col min="10512" max="10516" width="9.140625" style="16"/>
    <col min="10517" max="10517" width="12.42578125" style="16" customWidth="1"/>
    <col min="10518" max="10518" width="9.140625" style="16"/>
    <col min="10519" max="10519" width="12" style="16" customWidth="1"/>
    <col min="10520" max="10752" width="9.140625" style="16"/>
    <col min="10753" max="10753" width="5" style="16" customWidth="1"/>
    <col min="10754" max="10754" width="18.5703125" style="16" customWidth="1"/>
    <col min="10755" max="10755" width="8.140625" style="16" customWidth="1"/>
    <col min="10756" max="10756" width="8" style="16" customWidth="1"/>
    <col min="10757" max="10757" width="7.5703125" style="16" customWidth="1"/>
    <col min="10758" max="10758" width="7.85546875" style="16" customWidth="1"/>
    <col min="10759" max="10759" width="7.5703125" style="16" customWidth="1"/>
    <col min="10760" max="10760" width="8.5703125" style="16" customWidth="1"/>
    <col min="10761" max="10767" width="8.28515625" style="16" customWidth="1"/>
    <col min="10768" max="10772" width="9.140625" style="16"/>
    <col min="10773" max="10773" width="12.42578125" style="16" customWidth="1"/>
    <col min="10774" max="10774" width="9.140625" style="16"/>
    <col min="10775" max="10775" width="12" style="16" customWidth="1"/>
    <col min="10776" max="11008" width="9.140625" style="16"/>
    <col min="11009" max="11009" width="5" style="16" customWidth="1"/>
    <col min="11010" max="11010" width="18.5703125" style="16" customWidth="1"/>
    <col min="11011" max="11011" width="8.140625" style="16" customWidth="1"/>
    <col min="11012" max="11012" width="8" style="16" customWidth="1"/>
    <col min="11013" max="11013" width="7.5703125" style="16" customWidth="1"/>
    <col min="11014" max="11014" width="7.85546875" style="16" customWidth="1"/>
    <col min="11015" max="11015" width="7.5703125" style="16" customWidth="1"/>
    <col min="11016" max="11016" width="8.5703125" style="16" customWidth="1"/>
    <col min="11017" max="11023" width="8.28515625" style="16" customWidth="1"/>
    <col min="11024" max="11028" width="9.140625" style="16"/>
    <col min="11029" max="11029" width="12.42578125" style="16" customWidth="1"/>
    <col min="11030" max="11030" width="9.140625" style="16"/>
    <col min="11031" max="11031" width="12" style="16" customWidth="1"/>
    <col min="11032" max="11264" width="9.140625" style="16"/>
    <col min="11265" max="11265" width="5" style="16" customWidth="1"/>
    <col min="11266" max="11266" width="18.5703125" style="16" customWidth="1"/>
    <col min="11267" max="11267" width="8.140625" style="16" customWidth="1"/>
    <col min="11268" max="11268" width="8" style="16" customWidth="1"/>
    <col min="11269" max="11269" width="7.5703125" style="16" customWidth="1"/>
    <col min="11270" max="11270" width="7.85546875" style="16" customWidth="1"/>
    <col min="11271" max="11271" width="7.5703125" style="16" customWidth="1"/>
    <col min="11272" max="11272" width="8.5703125" style="16" customWidth="1"/>
    <col min="11273" max="11279" width="8.28515625" style="16" customWidth="1"/>
    <col min="11280" max="11284" width="9.140625" style="16"/>
    <col min="11285" max="11285" width="12.42578125" style="16" customWidth="1"/>
    <col min="11286" max="11286" width="9.140625" style="16"/>
    <col min="11287" max="11287" width="12" style="16" customWidth="1"/>
    <col min="11288" max="11520" width="9.140625" style="16"/>
    <col min="11521" max="11521" width="5" style="16" customWidth="1"/>
    <col min="11522" max="11522" width="18.5703125" style="16" customWidth="1"/>
    <col min="11523" max="11523" width="8.140625" style="16" customWidth="1"/>
    <col min="11524" max="11524" width="8" style="16" customWidth="1"/>
    <col min="11525" max="11525" width="7.5703125" style="16" customWidth="1"/>
    <col min="11526" max="11526" width="7.85546875" style="16" customWidth="1"/>
    <col min="11527" max="11527" width="7.5703125" style="16" customWidth="1"/>
    <col min="11528" max="11528" width="8.5703125" style="16" customWidth="1"/>
    <col min="11529" max="11535" width="8.28515625" style="16" customWidth="1"/>
    <col min="11536" max="11540" width="9.140625" style="16"/>
    <col min="11541" max="11541" width="12.42578125" style="16" customWidth="1"/>
    <col min="11542" max="11542" width="9.140625" style="16"/>
    <col min="11543" max="11543" width="12" style="16" customWidth="1"/>
    <col min="11544" max="11776" width="9.140625" style="16"/>
    <col min="11777" max="11777" width="5" style="16" customWidth="1"/>
    <col min="11778" max="11778" width="18.5703125" style="16" customWidth="1"/>
    <col min="11779" max="11779" width="8.140625" style="16" customWidth="1"/>
    <col min="11780" max="11780" width="8" style="16" customWidth="1"/>
    <col min="11781" max="11781" width="7.5703125" style="16" customWidth="1"/>
    <col min="11782" max="11782" width="7.85546875" style="16" customWidth="1"/>
    <col min="11783" max="11783" width="7.5703125" style="16" customWidth="1"/>
    <col min="11784" max="11784" width="8.5703125" style="16" customWidth="1"/>
    <col min="11785" max="11791" width="8.28515625" style="16" customWidth="1"/>
    <col min="11792" max="11796" width="9.140625" style="16"/>
    <col min="11797" max="11797" width="12.42578125" style="16" customWidth="1"/>
    <col min="11798" max="11798" width="9.140625" style="16"/>
    <col min="11799" max="11799" width="12" style="16" customWidth="1"/>
    <col min="11800" max="12032" width="9.140625" style="16"/>
    <col min="12033" max="12033" width="5" style="16" customWidth="1"/>
    <col min="12034" max="12034" width="18.5703125" style="16" customWidth="1"/>
    <col min="12035" max="12035" width="8.140625" style="16" customWidth="1"/>
    <col min="12036" max="12036" width="8" style="16" customWidth="1"/>
    <col min="12037" max="12037" width="7.5703125" style="16" customWidth="1"/>
    <col min="12038" max="12038" width="7.85546875" style="16" customWidth="1"/>
    <col min="12039" max="12039" width="7.5703125" style="16" customWidth="1"/>
    <col min="12040" max="12040" width="8.5703125" style="16" customWidth="1"/>
    <col min="12041" max="12047" width="8.28515625" style="16" customWidth="1"/>
    <col min="12048" max="12052" width="9.140625" style="16"/>
    <col min="12053" max="12053" width="12.42578125" style="16" customWidth="1"/>
    <col min="12054" max="12054" width="9.140625" style="16"/>
    <col min="12055" max="12055" width="12" style="16" customWidth="1"/>
    <col min="12056" max="12288" width="9.140625" style="16"/>
    <col min="12289" max="12289" width="5" style="16" customWidth="1"/>
    <col min="12290" max="12290" width="18.5703125" style="16" customWidth="1"/>
    <col min="12291" max="12291" width="8.140625" style="16" customWidth="1"/>
    <col min="12292" max="12292" width="8" style="16" customWidth="1"/>
    <col min="12293" max="12293" width="7.5703125" style="16" customWidth="1"/>
    <col min="12294" max="12294" width="7.85546875" style="16" customWidth="1"/>
    <col min="12295" max="12295" width="7.5703125" style="16" customWidth="1"/>
    <col min="12296" max="12296" width="8.5703125" style="16" customWidth="1"/>
    <col min="12297" max="12303" width="8.28515625" style="16" customWidth="1"/>
    <col min="12304" max="12308" width="9.140625" style="16"/>
    <col min="12309" max="12309" width="12.42578125" style="16" customWidth="1"/>
    <col min="12310" max="12310" width="9.140625" style="16"/>
    <col min="12311" max="12311" width="12" style="16" customWidth="1"/>
    <col min="12312" max="12544" width="9.140625" style="16"/>
    <col min="12545" max="12545" width="5" style="16" customWidth="1"/>
    <col min="12546" max="12546" width="18.5703125" style="16" customWidth="1"/>
    <col min="12547" max="12547" width="8.140625" style="16" customWidth="1"/>
    <col min="12548" max="12548" width="8" style="16" customWidth="1"/>
    <col min="12549" max="12549" width="7.5703125" style="16" customWidth="1"/>
    <col min="12550" max="12550" width="7.85546875" style="16" customWidth="1"/>
    <col min="12551" max="12551" width="7.5703125" style="16" customWidth="1"/>
    <col min="12552" max="12552" width="8.5703125" style="16" customWidth="1"/>
    <col min="12553" max="12559" width="8.28515625" style="16" customWidth="1"/>
    <col min="12560" max="12564" width="9.140625" style="16"/>
    <col min="12565" max="12565" width="12.42578125" style="16" customWidth="1"/>
    <col min="12566" max="12566" width="9.140625" style="16"/>
    <col min="12567" max="12567" width="12" style="16" customWidth="1"/>
    <col min="12568" max="12800" width="9.140625" style="16"/>
    <col min="12801" max="12801" width="5" style="16" customWidth="1"/>
    <col min="12802" max="12802" width="18.5703125" style="16" customWidth="1"/>
    <col min="12803" max="12803" width="8.140625" style="16" customWidth="1"/>
    <col min="12804" max="12804" width="8" style="16" customWidth="1"/>
    <col min="12805" max="12805" width="7.5703125" style="16" customWidth="1"/>
    <col min="12806" max="12806" width="7.85546875" style="16" customWidth="1"/>
    <col min="12807" max="12807" width="7.5703125" style="16" customWidth="1"/>
    <col min="12808" max="12808" width="8.5703125" style="16" customWidth="1"/>
    <col min="12809" max="12815" width="8.28515625" style="16" customWidth="1"/>
    <col min="12816" max="12820" width="9.140625" style="16"/>
    <col min="12821" max="12821" width="12.42578125" style="16" customWidth="1"/>
    <col min="12822" max="12822" width="9.140625" style="16"/>
    <col min="12823" max="12823" width="12" style="16" customWidth="1"/>
    <col min="12824" max="13056" width="9.140625" style="16"/>
    <col min="13057" max="13057" width="5" style="16" customWidth="1"/>
    <col min="13058" max="13058" width="18.5703125" style="16" customWidth="1"/>
    <col min="13059" max="13059" width="8.140625" style="16" customWidth="1"/>
    <col min="13060" max="13060" width="8" style="16" customWidth="1"/>
    <col min="13061" max="13061" width="7.5703125" style="16" customWidth="1"/>
    <col min="13062" max="13062" width="7.85546875" style="16" customWidth="1"/>
    <col min="13063" max="13063" width="7.5703125" style="16" customWidth="1"/>
    <col min="13064" max="13064" width="8.5703125" style="16" customWidth="1"/>
    <col min="13065" max="13071" width="8.28515625" style="16" customWidth="1"/>
    <col min="13072" max="13076" width="9.140625" style="16"/>
    <col min="13077" max="13077" width="12.42578125" style="16" customWidth="1"/>
    <col min="13078" max="13078" width="9.140625" style="16"/>
    <col min="13079" max="13079" width="12" style="16" customWidth="1"/>
    <col min="13080" max="13312" width="9.140625" style="16"/>
    <col min="13313" max="13313" width="5" style="16" customWidth="1"/>
    <col min="13314" max="13314" width="18.5703125" style="16" customWidth="1"/>
    <col min="13315" max="13315" width="8.140625" style="16" customWidth="1"/>
    <col min="13316" max="13316" width="8" style="16" customWidth="1"/>
    <col min="13317" max="13317" width="7.5703125" style="16" customWidth="1"/>
    <col min="13318" max="13318" width="7.85546875" style="16" customWidth="1"/>
    <col min="13319" max="13319" width="7.5703125" style="16" customWidth="1"/>
    <col min="13320" max="13320" width="8.5703125" style="16" customWidth="1"/>
    <col min="13321" max="13327" width="8.28515625" style="16" customWidth="1"/>
    <col min="13328" max="13332" width="9.140625" style="16"/>
    <col min="13333" max="13333" width="12.42578125" style="16" customWidth="1"/>
    <col min="13334" max="13334" width="9.140625" style="16"/>
    <col min="13335" max="13335" width="12" style="16" customWidth="1"/>
    <col min="13336" max="13568" width="9.140625" style="16"/>
    <col min="13569" max="13569" width="5" style="16" customWidth="1"/>
    <col min="13570" max="13570" width="18.5703125" style="16" customWidth="1"/>
    <col min="13571" max="13571" width="8.140625" style="16" customWidth="1"/>
    <col min="13572" max="13572" width="8" style="16" customWidth="1"/>
    <col min="13573" max="13573" width="7.5703125" style="16" customWidth="1"/>
    <col min="13574" max="13574" width="7.85546875" style="16" customWidth="1"/>
    <col min="13575" max="13575" width="7.5703125" style="16" customWidth="1"/>
    <col min="13576" max="13576" width="8.5703125" style="16" customWidth="1"/>
    <col min="13577" max="13583" width="8.28515625" style="16" customWidth="1"/>
    <col min="13584" max="13588" width="9.140625" style="16"/>
    <col min="13589" max="13589" width="12.42578125" style="16" customWidth="1"/>
    <col min="13590" max="13590" width="9.140625" style="16"/>
    <col min="13591" max="13591" width="12" style="16" customWidth="1"/>
    <col min="13592" max="13824" width="9.140625" style="16"/>
    <col min="13825" max="13825" width="5" style="16" customWidth="1"/>
    <col min="13826" max="13826" width="18.5703125" style="16" customWidth="1"/>
    <col min="13827" max="13827" width="8.140625" style="16" customWidth="1"/>
    <col min="13828" max="13828" width="8" style="16" customWidth="1"/>
    <col min="13829" max="13829" width="7.5703125" style="16" customWidth="1"/>
    <col min="13830" max="13830" width="7.85546875" style="16" customWidth="1"/>
    <col min="13831" max="13831" width="7.5703125" style="16" customWidth="1"/>
    <col min="13832" max="13832" width="8.5703125" style="16" customWidth="1"/>
    <col min="13833" max="13839" width="8.28515625" style="16" customWidth="1"/>
    <col min="13840" max="13844" width="9.140625" style="16"/>
    <col min="13845" max="13845" width="12.42578125" style="16" customWidth="1"/>
    <col min="13846" max="13846" width="9.140625" style="16"/>
    <col min="13847" max="13847" width="12" style="16" customWidth="1"/>
    <col min="13848" max="14080" width="9.140625" style="16"/>
    <col min="14081" max="14081" width="5" style="16" customWidth="1"/>
    <col min="14082" max="14082" width="18.5703125" style="16" customWidth="1"/>
    <col min="14083" max="14083" width="8.140625" style="16" customWidth="1"/>
    <col min="14084" max="14084" width="8" style="16" customWidth="1"/>
    <col min="14085" max="14085" width="7.5703125" style="16" customWidth="1"/>
    <col min="14086" max="14086" width="7.85546875" style="16" customWidth="1"/>
    <col min="14087" max="14087" width="7.5703125" style="16" customWidth="1"/>
    <col min="14088" max="14088" width="8.5703125" style="16" customWidth="1"/>
    <col min="14089" max="14095" width="8.28515625" style="16" customWidth="1"/>
    <col min="14096" max="14100" width="9.140625" style="16"/>
    <col min="14101" max="14101" width="12.42578125" style="16" customWidth="1"/>
    <col min="14102" max="14102" width="9.140625" style="16"/>
    <col min="14103" max="14103" width="12" style="16" customWidth="1"/>
    <col min="14104" max="14336" width="9.140625" style="16"/>
    <col min="14337" max="14337" width="5" style="16" customWidth="1"/>
    <col min="14338" max="14338" width="18.5703125" style="16" customWidth="1"/>
    <col min="14339" max="14339" width="8.140625" style="16" customWidth="1"/>
    <col min="14340" max="14340" width="8" style="16" customWidth="1"/>
    <col min="14341" max="14341" width="7.5703125" style="16" customWidth="1"/>
    <col min="14342" max="14342" width="7.85546875" style="16" customWidth="1"/>
    <col min="14343" max="14343" width="7.5703125" style="16" customWidth="1"/>
    <col min="14344" max="14344" width="8.5703125" style="16" customWidth="1"/>
    <col min="14345" max="14351" width="8.28515625" style="16" customWidth="1"/>
    <col min="14352" max="14356" width="9.140625" style="16"/>
    <col min="14357" max="14357" width="12.42578125" style="16" customWidth="1"/>
    <col min="14358" max="14358" width="9.140625" style="16"/>
    <col min="14359" max="14359" width="12" style="16" customWidth="1"/>
    <col min="14360" max="14592" width="9.140625" style="16"/>
    <col min="14593" max="14593" width="5" style="16" customWidth="1"/>
    <col min="14594" max="14594" width="18.5703125" style="16" customWidth="1"/>
    <col min="14595" max="14595" width="8.140625" style="16" customWidth="1"/>
    <col min="14596" max="14596" width="8" style="16" customWidth="1"/>
    <col min="14597" max="14597" width="7.5703125" style="16" customWidth="1"/>
    <col min="14598" max="14598" width="7.85546875" style="16" customWidth="1"/>
    <col min="14599" max="14599" width="7.5703125" style="16" customWidth="1"/>
    <col min="14600" max="14600" width="8.5703125" style="16" customWidth="1"/>
    <col min="14601" max="14607" width="8.28515625" style="16" customWidth="1"/>
    <col min="14608" max="14612" width="9.140625" style="16"/>
    <col min="14613" max="14613" width="12.42578125" style="16" customWidth="1"/>
    <col min="14614" max="14614" width="9.140625" style="16"/>
    <col min="14615" max="14615" width="12" style="16" customWidth="1"/>
    <col min="14616" max="14848" width="9.140625" style="16"/>
    <col min="14849" max="14849" width="5" style="16" customWidth="1"/>
    <col min="14850" max="14850" width="18.5703125" style="16" customWidth="1"/>
    <col min="14851" max="14851" width="8.140625" style="16" customWidth="1"/>
    <col min="14852" max="14852" width="8" style="16" customWidth="1"/>
    <col min="14853" max="14853" width="7.5703125" style="16" customWidth="1"/>
    <col min="14854" max="14854" width="7.85546875" style="16" customWidth="1"/>
    <col min="14855" max="14855" width="7.5703125" style="16" customWidth="1"/>
    <col min="14856" max="14856" width="8.5703125" style="16" customWidth="1"/>
    <col min="14857" max="14863" width="8.28515625" style="16" customWidth="1"/>
    <col min="14864" max="14868" width="9.140625" style="16"/>
    <col min="14869" max="14869" width="12.42578125" style="16" customWidth="1"/>
    <col min="14870" max="14870" width="9.140625" style="16"/>
    <col min="14871" max="14871" width="12" style="16" customWidth="1"/>
    <col min="14872" max="15104" width="9.140625" style="16"/>
    <col min="15105" max="15105" width="5" style="16" customWidth="1"/>
    <col min="15106" max="15106" width="18.5703125" style="16" customWidth="1"/>
    <col min="15107" max="15107" width="8.140625" style="16" customWidth="1"/>
    <col min="15108" max="15108" width="8" style="16" customWidth="1"/>
    <col min="15109" max="15109" width="7.5703125" style="16" customWidth="1"/>
    <col min="15110" max="15110" width="7.85546875" style="16" customWidth="1"/>
    <col min="15111" max="15111" width="7.5703125" style="16" customWidth="1"/>
    <col min="15112" max="15112" width="8.5703125" style="16" customWidth="1"/>
    <col min="15113" max="15119" width="8.28515625" style="16" customWidth="1"/>
    <col min="15120" max="15124" width="9.140625" style="16"/>
    <col min="15125" max="15125" width="12.42578125" style="16" customWidth="1"/>
    <col min="15126" max="15126" width="9.140625" style="16"/>
    <col min="15127" max="15127" width="12" style="16" customWidth="1"/>
    <col min="15128" max="15360" width="9.140625" style="16"/>
    <col min="15361" max="15361" width="5" style="16" customWidth="1"/>
    <col min="15362" max="15362" width="18.5703125" style="16" customWidth="1"/>
    <col min="15363" max="15363" width="8.140625" style="16" customWidth="1"/>
    <col min="15364" max="15364" width="8" style="16" customWidth="1"/>
    <col min="15365" max="15365" width="7.5703125" style="16" customWidth="1"/>
    <col min="15366" max="15366" width="7.85546875" style="16" customWidth="1"/>
    <col min="15367" max="15367" width="7.5703125" style="16" customWidth="1"/>
    <col min="15368" max="15368" width="8.5703125" style="16" customWidth="1"/>
    <col min="15369" max="15375" width="8.28515625" style="16" customWidth="1"/>
    <col min="15376" max="15380" width="9.140625" style="16"/>
    <col min="15381" max="15381" width="12.42578125" style="16" customWidth="1"/>
    <col min="15382" max="15382" width="9.140625" style="16"/>
    <col min="15383" max="15383" width="12" style="16" customWidth="1"/>
    <col min="15384" max="15616" width="9.140625" style="16"/>
    <col min="15617" max="15617" width="5" style="16" customWidth="1"/>
    <col min="15618" max="15618" width="18.5703125" style="16" customWidth="1"/>
    <col min="15619" max="15619" width="8.140625" style="16" customWidth="1"/>
    <col min="15620" max="15620" width="8" style="16" customWidth="1"/>
    <col min="15621" max="15621" width="7.5703125" style="16" customWidth="1"/>
    <col min="15622" max="15622" width="7.85546875" style="16" customWidth="1"/>
    <col min="15623" max="15623" width="7.5703125" style="16" customWidth="1"/>
    <col min="15624" max="15624" width="8.5703125" style="16" customWidth="1"/>
    <col min="15625" max="15631" width="8.28515625" style="16" customWidth="1"/>
    <col min="15632" max="15636" width="9.140625" style="16"/>
    <col min="15637" max="15637" width="12.42578125" style="16" customWidth="1"/>
    <col min="15638" max="15638" width="9.140625" style="16"/>
    <col min="15639" max="15639" width="12" style="16" customWidth="1"/>
    <col min="15640" max="15872" width="9.140625" style="16"/>
    <col min="15873" max="15873" width="5" style="16" customWidth="1"/>
    <col min="15874" max="15874" width="18.5703125" style="16" customWidth="1"/>
    <col min="15875" max="15875" width="8.140625" style="16" customWidth="1"/>
    <col min="15876" max="15876" width="8" style="16" customWidth="1"/>
    <col min="15877" max="15877" width="7.5703125" style="16" customWidth="1"/>
    <col min="15878" max="15878" width="7.85546875" style="16" customWidth="1"/>
    <col min="15879" max="15879" width="7.5703125" style="16" customWidth="1"/>
    <col min="15880" max="15880" width="8.5703125" style="16" customWidth="1"/>
    <col min="15881" max="15887" width="8.28515625" style="16" customWidth="1"/>
    <col min="15888" max="15892" width="9.140625" style="16"/>
    <col min="15893" max="15893" width="12.42578125" style="16" customWidth="1"/>
    <col min="15894" max="15894" width="9.140625" style="16"/>
    <col min="15895" max="15895" width="12" style="16" customWidth="1"/>
    <col min="15896" max="16128" width="9.140625" style="16"/>
    <col min="16129" max="16129" width="5" style="16" customWidth="1"/>
    <col min="16130" max="16130" width="18.5703125" style="16" customWidth="1"/>
    <col min="16131" max="16131" width="8.140625" style="16" customWidth="1"/>
    <col min="16132" max="16132" width="8" style="16" customWidth="1"/>
    <col min="16133" max="16133" width="7.5703125" style="16" customWidth="1"/>
    <col min="16134" max="16134" width="7.85546875" style="16" customWidth="1"/>
    <col min="16135" max="16135" width="7.5703125" style="16" customWidth="1"/>
    <col min="16136" max="16136" width="8.5703125" style="16" customWidth="1"/>
    <col min="16137" max="16143" width="8.28515625" style="16" customWidth="1"/>
    <col min="16144" max="16148" width="9.140625" style="16"/>
    <col min="16149" max="16149" width="12.42578125" style="16" customWidth="1"/>
    <col min="16150" max="16150" width="9.140625" style="16"/>
    <col min="16151" max="16151" width="12" style="16" customWidth="1"/>
    <col min="16152" max="16384" width="9.140625" style="16"/>
  </cols>
  <sheetData>
    <row r="1" spans="1:17" s="1" customFormat="1" x14ac:dyDescent="0.2">
      <c r="A1" s="867" t="s">
        <v>449</v>
      </c>
      <c r="B1" s="868"/>
      <c r="C1" s="868"/>
      <c r="D1" s="869"/>
      <c r="E1" s="868"/>
      <c r="F1" s="868"/>
      <c r="G1" s="867" t="s">
        <v>102</v>
      </c>
      <c r="H1" s="869"/>
      <c r="I1" s="869" t="s">
        <v>598</v>
      </c>
      <c r="J1" s="868"/>
      <c r="K1" s="868"/>
      <c r="L1" s="870"/>
      <c r="M1" s="870"/>
      <c r="N1" s="870"/>
      <c r="O1" s="870"/>
    </row>
    <row r="2" spans="1:17" s="1" customFormat="1" x14ac:dyDescent="0.2">
      <c r="A2" s="867" t="s">
        <v>103</v>
      </c>
      <c r="B2" s="868"/>
      <c r="C2" s="868"/>
      <c r="D2" s="869"/>
      <c r="E2" s="868"/>
      <c r="F2" s="868"/>
      <c r="G2" s="867" t="s">
        <v>104</v>
      </c>
      <c r="H2" s="869"/>
      <c r="I2" s="869" t="s">
        <v>105</v>
      </c>
      <c r="J2" s="868"/>
      <c r="K2" s="868"/>
      <c r="L2" s="870"/>
      <c r="M2" s="870"/>
      <c r="N2" s="870"/>
      <c r="O2" s="870"/>
    </row>
    <row r="3" spans="1:17" s="1" customFormat="1" x14ac:dyDescent="0.2">
      <c r="A3" s="867" t="s">
        <v>106</v>
      </c>
      <c r="B3" s="868"/>
      <c r="C3" s="868"/>
      <c r="D3" s="1095" t="s">
        <v>626</v>
      </c>
      <c r="E3" s="868"/>
      <c r="F3" s="868"/>
      <c r="G3" s="867" t="s">
        <v>107</v>
      </c>
      <c r="H3" s="869"/>
      <c r="I3" s="869" t="s">
        <v>108</v>
      </c>
      <c r="J3" s="868"/>
      <c r="K3" s="868"/>
      <c r="L3" s="870"/>
      <c r="M3" s="870"/>
      <c r="N3" s="870"/>
      <c r="O3" s="870"/>
    </row>
    <row r="4" spans="1:17" s="1" customFormat="1" x14ac:dyDescent="0.2">
      <c r="A4" s="867" t="s">
        <v>476</v>
      </c>
      <c r="B4" s="868"/>
      <c r="C4" s="868"/>
      <c r="D4" s="869" t="s">
        <v>627</v>
      </c>
      <c r="E4" s="868"/>
      <c r="F4" s="868"/>
      <c r="G4" s="867" t="s">
        <v>110</v>
      </c>
      <c r="H4" s="869"/>
      <c r="I4" s="869" t="s">
        <v>628</v>
      </c>
      <c r="J4" s="868"/>
      <c r="K4" s="868"/>
      <c r="L4" s="870"/>
      <c r="M4" s="870"/>
      <c r="N4" s="870"/>
      <c r="O4" s="870"/>
    </row>
    <row r="5" spans="1:17" s="1" customFormat="1" x14ac:dyDescent="0.2">
      <c r="A5" s="867" t="s">
        <v>112</v>
      </c>
      <c r="B5" s="868"/>
      <c r="C5" s="868"/>
      <c r="D5" s="869"/>
      <c r="E5" s="868"/>
      <c r="F5" s="868"/>
      <c r="G5" s="867"/>
      <c r="H5" s="868"/>
      <c r="I5" s="869" t="s">
        <v>113</v>
      </c>
      <c r="J5" s="868"/>
      <c r="K5" s="868"/>
      <c r="L5" s="870"/>
      <c r="M5" s="870"/>
      <c r="N5" s="870"/>
      <c r="O5" s="870"/>
    </row>
    <row r="6" spans="1:17" s="1" customFormat="1" x14ac:dyDescent="0.2">
      <c r="A6" s="871" t="s">
        <v>114</v>
      </c>
      <c r="B6" s="872"/>
      <c r="C6" s="872"/>
      <c r="D6" s="868" t="s">
        <v>599</v>
      </c>
      <c r="E6" s="868"/>
      <c r="F6" s="868"/>
      <c r="G6" s="871" t="s">
        <v>115</v>
      </c>
      <c r="H6" s="871"/>
      <c r="I6" s="2" t="s">
        <v>116</v>
      </c>
      <c r="J6" s="888"/>
      <c r="K6" s="888"/>
      <c r="L6" s="888"/>
      <c r="M6" s="888"/>
      <c r="N6" s="888"/>
      <c r="O6" s="889"/>
    </row>
    <row r="7" spans="1:17" s="1" customFormat="1" ht="13.5" thickBot="1" x14ac:dyDescent="0.25">
      <c r="A7" s="3"/>
      <c r="B7" s="4"/>
      <c r="C7" s="5"/>
      <c r="D7" s="6"/>
      <c r="E7" s="6"/>
      <c r="F7" s="6"/>
      <c r="G7" s="6"/>
      <c r="H7" s="6"/>
      <c r="I7" s="6"/>
      <c r="J7" s="923"/>
      <c r="K7" s="924"/>
      <c r="L7" s="924"/>
      <c r="M7" s="924"/>
      <c r="N7" s="924"/>
      <c r="O7" s="925"/>
    </row>
    <row r="8" spans="1:17" s="11" customFormat="1" x14ac:dyDescent="0.2">
      <c r="A8" s="876" t="str">
        <f>I1</f>
        <v xml:space="preserve">Mr. S. N. Vanga </v>
      </c>
      <c r="B8" s="877"/>
      <c r="C8" s="9">
        <v>43160</v>
      </c>
      <c r="D8" s="9">
        <v>43191</v>
      </c>
      <c r="E8" s="9">
        <v>43221</v>
      </c>
      <c r="F8" s="9">
        <v>43252</v>
      </c>
      <c r="G8" s="9">
        <v>43282</v>
      </c>
      <c r="H8" s="9">
        <v>43313</v>
      </c>
      <c r="I8" s="9">
        <v>43344</v>
      </c>
      <c r="J8" s="9">
        <v>43374</v>
      </c>
      <c r="K8" s="9">
        <v>43405</v>
      </c>
      <c r="L8" s="9">
        <v>43435</v>
      </c>
      <c r="M8" s="9">
        <v>43466</v>
      </c>
      <c r="N8" s="9">
        <v>43497</v>
      </c>
      <c r="O8" s="10" t="s">
        <v>117</v>
      </c>
      <c r="Q8" s="11" t="s">
        <v>116</v>
      </c>
    </row>
    <row r="9" spans="1:17" ht="15" x14ac:dyDescent="0.2">
      <c r="A9" s="12"/>
      <c r="B9" s="13" t="s">
        <v>118</v>
      </c>
      <c r="C9" s="14">
        <v>44100</v>
      </c>
      <c r="D9" s="14">
        <f>+C9</f>
        <v>44100</v>
      </c>
      <c r="E9" s="14">
        <f>+D9</f>
        <v>44100</v>
      </c>
      <c r="F9" s="14">
        <f>+E9</f>
        <v>44100</v>
      </c>
      <c r="G9" s="14">
        <v>45400</v>
      </c>
      <c r="H9" s="14">
        <v>45400</v>
      </c>
      <c r="I9" s="14">
        <v>45400</v>
      </c>
      <c r="J9" s="14">
        <v>45400</v>
      </c>
      <c r="K9" s="14">
        <v>45400</v>
      </c>
      <c r="L9" s="14">
        <v>45400</v>
      </c>
      <c r="M9" s="14">
        <v>45400</v>
      </c>
      <c r="N9" s="14">
        <v>45400</v>
      </c>
      <c r="O9" s="15">
        <f>SUM(C9:N9)</f>
        <v>539600</v>
      </c>
      <c r="Q9" s="16" t="s">
        <v>222</v>
      </c>
    </row>
    <row r="10" spans="1:17"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7" ht="15" x14ac:dyDescent="0.2">
      <c r="A11" s="12"/>
      <c r="B11" s="13" t="s">
        <v>120</v>
      </c>
      <c r="C11" s="17">
        <v>2205</v>
      </c>
      <c r="D11" s="17">
        <v>3087</v>
      </c>
      <c r="E11" s="17">
        <v>3087</v>
      </c>
      <c r="F11" s="17">
        <v>3087</v>
      </c>
      <c r="G11" s="17">
        <v>3178</v>
      </c>
      <c r="H11" s="17">
        <v>3178</v>
      </c>
      <c r="I11" s="17">
        <v>3178</v>
      </c>
      <c r="J11" s="17">
        <v>4086</v>
      </c>
      <c r="K11" s="17">
        <v>4086</v>
      </c>
      <c r="L11" s="17">
        <v>4086</v>
      </c>
      <c r="M11" s="17">
        <v>4086</v>
      </c>
      <c r="N11" s="17">
        <v>4086</v>
      </c>
      <c r="O11" s="18">
        <f>SUM(C11:N11)</f>
        <v>41430</v>
      </c>
    </row>
    <row r="12" spans="1:17"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7"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7" ht="15" x14ac:dyDescent="0.2">
      <c r="A14" s="12"/>
      <c r="B14" s="13" t="s">
        <v>123</v>
      </c>
      <c r="C14" s="17">
        <v>3780</v>
      </c>
      <c r="D14" s="17">
        <v>3752</v>
      </c>
      <c r="E14" s="17">
        <v>3752</v>
      </c>
      <c r="F14" s="17">
        <v>3752</v>
      </c>
      <c r="G14" s="17">
        <v>3752</v>
      </c>
      <c r="H14" s="17">
        <v>3752</v>
      </c>
      <c r="I14" s="17">
        <v>3752</v>
      </c>
      <c r="J14" s="17">
        <v>3924</v>
      </c>
      <c r="K14" s="17">
        <v>3924</v>
      </c>
      <c r="L14" s="17">
        <v>3924</v>
      </c>
      <c r="M14" s="17">
        <v>3924</v>
      </c>
      <c r="N14" s="17">
        <v>3924</v>
      </c>
      <c r="O14" s="18">
        <f t="shared" si="0"/>
        <v>45912</v>
      </c>
    </row>
    <row r="15" spans="1:17"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7" ht="15" hidden="1"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10584</v>
      </c>
      <c r="D19" s="17">
        <v>10584</v>
      </c>
      <c r="E19" s="17">
        <v>10584</v>
      </c>
      <c r="F19" s="17">
        <v>10584</v>
      </c>
      <c r="G19" s="17">
        <v>10896</v>
      </c>
      <c r="H19" s="17">
        <v>10896</v>
      </c>
      <c r="I19" s="17">
        <v>10896</v>
      </c>
      <c r="J19" s="17">
        <v>10896</v>
      </c>
      <c r="K19" s="17">
        <v>10896</v>
      </c>
      <c r="L19" s="17">
        <v>10896</v>
      </c>
      <c r="M19" s="17">
        <v>10896</v>
      </c>
      <c r="N19" s="17">
        <v>10896</v>
      </c>
      <c r="O19" s="18">
        <f t="shared" si="0"/>
        <v>129504</v>
      </c>
    </row>
    <row r="20" spans="1:15" ht="15" customHeight="1" x14ac:dyDescent="0.2">
      <c r="A20" s="12"/>
      <c r="B20" s="166" t="s">
        <v>129</v>
      </c>
      <c r="C20" s="17">
        <v>0</v>
      </c>
      <c r="D20" s="17">
        <v>0</v>
      </c>
      <c r="E20" s="17">
        <v>0</v>
      </c>
      <c r="F20" s="17">
        <v>0</v>
      </c>
      <c r="G20" s="17">
        <v>0</v>
      </c>
      <c r="H20" s="17">
        <v>26250</v>
      </c>
      <c r="I20" s="17">
        <v>0</v>
      </c>
      <c r="J20" s="17">
        <v>0</v>
      </c>
      <c r="K20" s="17">
        <v>0</v>
      </c>
      <c r="L20" s="17">
        <v>0</v>
      </c>
      <c r="M20" s="17">
        <v>0</v>
      </c>
      <c r="N20" s="17">
        <v>0</v>
      </c>
      <c r="O20" s="18">
        <f t="shared" si="0"/>
        <v>26250</v>
      </c>
    </row>
    <row r="21" spans="1:15" ht="15" hidden="1" customHeight="1" x14ac:dyDescent="0.2">
      <c r="A21" s="878"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79"/>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5" ht="15" hidden="1" customHeight="1" x14ac:dyDescent="0.2">
      <c r="A23" s="879"/>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79"/>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79"/>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79"/>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79"/>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79"/>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79"/>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79"/>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79"/>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79"/>
      <c r="B32" s="21" t="s">
        <v>252</v>
      </c>
      <c r="C32" s="17">
        <v>0</v>
      </c>
      <c r="D32" s="17">
        <v>0</v>
      </c>
      <c r="E32" s="17">
        <v>0</v>
      </c>
      <c r="F32" s="17">
        <v>0</v>
      </c>
      <c r="G32" s="17">
        <v>0</v>
      </c>
      <c r="H32" s="17">
        <v>0</v>
      </c>
      <c r="I32" s="17">
        <v>0</v>
      </c>
      <c r="J32" s="17">
        <v>0</v>
      </c>
      <c r="K32" s="17">
        <v>0</v>
      </c>
      <c r="L32" s="17">
        <v>16495</v>
      </c>
      <c r="M32" s="17">
        <v>0</v>
      </c>
      <c r="N32" s="17">
        <v>0</v>
      </c>
      <c r="O32" s="18">
        <f t="shared" si="0"/>
        <v>16495</v>
      </c>
    </row>
    <row r="33" spans="1:18" ht="15" hidden="1" customHeight="1" x14ac:dyDescent="0.2">
      <c r="A33" s="880"/>
      <c r="B33" s="19" t="s">
        <v>226</v>
      </c>
      <c r="C33" s="17">
        <v>0</v>
      </c>
      <c r="D33" s="17">
        <v>0</v>
      </c>
      <c r="E33" s="17">
        <v>0</v>
      </c>
      <c r="F33" s="17">
        <v>0</v>
      </c>
      <c r="G33" s="17">
        <v>0</v>
      </c>
      <c r="H33" s="17">
        <v>0</v>
      </c>
      <c r="I33" s="17">
        <v>0</v>
      </c>
      <c r="J33" s="17">
        <v>0</v>
      </c>
      <c r="K33" s="17">
        <v>0</v>
      </c>
      <c r="L33" s="17">
        <v>0</v>
      </c>
      <c r="M33" s="17">
        <v>0</v>
      </c>
      <c r="N33" s="17">
        <v>0</v>
      </c>
      <c r="O33" s="18">
        <f t="shared" si="0"/>
        <v>0</v>
      </c>
    </row>
    <row r="34" spans="1:18" ht="15" customHeight="1" x14ac:dyDescent="0.2">
      <c r="A34" s="865" t="s">
        <v>143</v>
      </c>
      <c r="B34" s="866"/>
      <c r="C34" s="17">
        <v>0</v>
      </c>
      <c r="D34" s="17">
        <v>0</v>
      </c>
      <c r="E34" s="17">
        <v>0</v>
      </c>
      <c r="F34" s="17">
        <v>0</v>
      </c>
      <c r="G34" s="17">
        <v>0</v>
      </c>
      <c r="H34" s="17">
        <v>0</v>
      </c>
      <c r="I34" s="17">
        <v>0</v>
      </c>
      <c r="J34" s="17">
        <v>0</v>
      </c>
      <c r="K34" s="17">
        <v>0</v>
      </c>
      <c r="L34" s="17">
        <v>0</v>
      </c>
      <c r="M34" s="17">
        <v>0</v>
      </c>
      <c r="N34" s="17">
        <v>0</v>
      </c>
      <c r="O34" s="18">
        <f t="shared" si="0"/>
        <v>0</v>
      </c>
    </row>
    <row r="35" spans="1:18" ht="15" customHeight="1" x14ac:dyDescent="0.2">
      <c r="A35" s="865" t="s">
        <v>145</v>
      </c>
      <c r="B35" s="866"/>
      <c r="C35" s="17">
        <v>0</v>
      </c>
      <c r="D35" s="17">
        <v>216</v>
      </c>
      <c r="E35" s="17">
        <v>0</v>
      </c>
      <c r="F35" s="17">
        <v>0</v>
      </c>
      <c r="G35" s="17">
        <v>0</v>
      </c>
      <c r="H35" s="17">
        <v>0</v>
      </c>
      <c r="I35" s="17">
        <v>0</v>
      </c>
      <c r="J35" s="17">
        <v>216</v>
      </c>
      <c r="K35" s="17">
        <v>0</v>
      </c>
      <c r="L35" s="17">
        <v>0</v>
      </c>
      <c r="M35" s="17">
        <v>0</v>
      </c>
      <c r="N35" s="17">
        <v>0</v>
      </c>
      <c r="O35" s="18">
        <f t="shared" si="0"/>
        <v>432</v>
      </c>
    </row>
    <row r="36" spans="1:18" ht="15" customHeight="1" x14ac:dyDescent="0.2">
      <c r="A36" s="865" t="s">
        <v>146</v>
      </c>
      <c r="B36" s="866"/>
      <c r="C36" s="17">
        <v>0</v>
      </c>
      <c r="D36" s="17">
        <v>2646</v>
      </c>
      <c r="E36" s="17">
        <v>0</v>
      </c>
      <c r="F36" s="17">
        <v>0</v>
      </c>
      <c r="G36" s="17">
        <v>0</v>
      </c>
      <c r="H36" s="17">
        <v>0</v>
      </c>
      <c r="I36" s="17">
        <v>0</v>
      </c>
      <c r="J36" s="17">
        <v>2724</v>
      </c>
      <c r="K36" s="17">
        <v>0</v>
      </c>
      <c r="L36" s="17">
        <v>0</v>
      </c>
      <c r="M36" s="17">
        <v>0</v>
      </c>
      <c r="N36" s="17">
        <v>0</v>
      </c>
      <c r="O36" s="18">
        <f t="shared" si="0"/>
        <v>5370</v>
      </c>
    </row>
    <row r="37" spans="1:18" ht="15" customHeight="1" x14ac:dyDescent="0.2">
      <c r="A37" s="22"/>
      <c r="B37" s="23" t="s">
        <v>147</v>
      </c>
      <c r="C37" s="24">
        <f t="shared" ref="C37:N37" si="1">SUM(C9:C36)</f>
        <v>60669</v>
      </c>
      <c r="D37" s="24">
        <f t="shared" si="1"/>
        <v>64385</v>
      </c>
      <c r="E37" s="24">
        <f t="shared" si="1"/>
        <v>61523</v>
      </c>
      <c r="F37" s="24">
        <f t="shared" si="1"/>
        <v>61523</v>
      </c>
      <c r="G37" s="24">
        <f t="shared" si="1"/>
        <v>63226</v>
      </c>
      <c r="H37" s="24">
        <f t="shared" si="1"/>
        <v>89476</v>
      </c>
      <c r="I37" s="24">
        <f t="shared" si="1"/>
        <v>63226</v>
      </c>
      <c r="J37" s="24">
        <f t="shared" si="1"/>
        <v>74154</v>
      </c>
      <c r="K37" s="24">
        <f t="shared" si="1"/>
        <v>64306</v>
      </c>
      <c r="L37" s="24">
        <f t="shared" si="1"/>
        <v>80801</v>
      </c>
      <c r="M37" s="24">
        <f t="shared" si="1"/>
        <v>64306</v>
      </c>
      <c r="N37" s="24">
        <f t="shared" si="1"/>
        <v>64306</v>
      </c>
      <c r="O37" s="25">
        <f>SUM(C37:N37)</f>
        <v>811901</v>
      </c>
    </row>
    <row r="38" spans="1:18" ht="15" customHeight="1" x14ac:dyDescent="0.2">
      <c r="A38" s="853" t="s">
        <v>148</v>
      </c>
      <c r="B38" s="27" t="s">
        <v>149</v>
      </c>
      <c r="C38" s="147">
        <v>770</v>
      </c>
      <c r="D38" s="147">
        <v>0</v>
      </c>
      <c r="E38" s="147">
        <v>1000</v>
      </c>
      <c r="F38" s="147">
        <v>1000</v>
      </c>
      <c r="G38" s="147">
        <v>1000</v>
      </c>
      <c r="H38" s="147">
        <v>1000</v>
      </c>
      <c r="I38" s="147">
        <v>1000</v>
      </c>
      <c r="J38" s="147">
        <v>1000</v>
      </c>
      <c r="K38" s="147">
        <v>2500</v>
      </c>
      <c r="L38" s="147">
        <v>3940</v>
      </c>
      <c r="M38" s="147">
        <v>5633</v>
      </c>
      <c r="N38" s="147">
        <v>5882</v>
      </c>
      <c r="O38" s="18">
        <f>SUM(C38:N38)</f>
        <v>24725</v>
      </c>
      <c r="P38" s="29"/>
    </row>
    <row r="39" spans="1:18" ht="15" x14ac:dyDescent="0.2">
      <c r="A39" s="854"/>
      <c r="B39" s="27" t="s">
        <v>150</v>
      </c>
      <c r="C39" s="147">
        <v>0</v>
      </c>
      <c r="D39" s="147">
        <v>0</v>
      </c>
      <c r="E39" s="147">
        <v>0</v>
      </c>
      <c r="F39" s="147">
        <v>0</v>
      </c>
      <c r="G39" s="147">
        <v>0</v>
      </c>
      <c r="H39" s="147">
        <v>0</v>
      </c>
      <c r="I39" s="147">
        <v>0</v>
      </c>
      <c r="J39" s="147">
        <v>0</v>
      </c>
      <c r="K39" s="147">
        <v>0</v>
      </c>
      <c r="L39" s="147">
        <v>0</v>
      </c>
      <c r="M39" s="147">
        <v>0</v>
      </c>
      <c r="N39" s="147">
        <v>0</v>
      </c>
      <c r="O39" s="18">
        <f>SUM(C39:N39)</f>
        <v>0</v>
      </c>
      <c r="R39" s="1"/>
    </row>
    <row r="40" spans="1:18" ht="15" x14ac:dyDescent="0.2">
      <c r="A40" s="854"/>
      <c r="B40" s="27" t="s">
        <v>151</v>
      </c>
      <c r="C40" s="147">
        <v>30</v>
      </c>
      <c r="D40" s="147">
        <v>30</v>
      </c>
      <c r="E40" s="147">
        <v>30</v>
      </c>
      <c r="F40" s="147">
        <v>30</v>
      </c>
      <c r="G40" s="147">
        <v>30</v>
      </c>
      <c r="H40" s="147">
        <v>30</v>
      </c>
      <c r="I40" s="147">
        <v>30</v>
      </c>
      <c r="J40" s="147">
        <v>30</v>
      </c>
      <c r="K40" s="147">
        <v>30</v>
      </c>
      <c r="L40" s="147">
        <v>30</v>
      </c>
      <c r="M40" s="147">
        <v>30</v>
      </c>
      <c r="N40" s="147">
        <v>30</v>
      </c>
      <c r="O40" s="18">
        <f t="shared" ref="O40:O50" si="2">SUM(C40:N40)</f>
        <v>360</v>
      </c>
    </row>
    <row r="41" spans="1:18" ht="15" x14ac:dyDescent="0.2">
      <c r="A41" s="854"/>
      <c r="B41" s="27" t="s">
        <v>152</v>
      </c>
      <c r="C41" s="147">
        <v>0</v>
      </c>
      <c r="D41" s="147">
        <v>0</v>
      </c>
      <c r="E41" s="147">
        <v>0</v>
      </c>
      <c r="F41" s="147">
        <v>0</v>
      </c>
      <c r="G41" s="147">
        <v>0</v>
      </c>
      <c r="H41" s="147">
        <v>0</v>
      </c>
      <c r="I41" s="147">
        <v>0</v>
      </c>
      <c r="J41" s="147">
        <v>0</v>
      </c>
      <c r="K41" s="147">
        <v>0</v>
      </c>
      <c r="L41" s="147">
        <v>0</v>
      </c>
      <c r="M41" s="147">
        <v>0</v>
      </c>
      <c r="N41" s="147">
        <v>0</v>
      </c>
      <c r="O41" s="18">
        <f t="shared" si="2"/>
        <v>0</v>
      </c>
    </row>
    <row r="42" spans="1:18" ht="15" x14ac:dyDescent="0.2">
      <c r="A42" s="854"/>
      <c r="B42" s="27" t="s">
        <v>153</v>
      </c>
      <c r="C42" s="147">
        <v>250</v>
      </c>
      <c r="D42" s="147">
        <v>250</v>
      </c>
      <c r="E42" s="147">
        <v>250</v>
      </c>
      <c r="F42" s="147">
        <v>250</v>
      </c>
      <c r="G42" s="147">
        <v>250</v>
      </c>
      <c r="H42" s="147">
        <v>250</v>
      </c>
      <c r="I42" s="147">
        <v>250</v>
      </c>
      <c r="J42" s="147">
        <v>250</v>
      </c>
      <c r="K42" s="147">
        <v>250</v>
      </c>
      <c r="L42" s="147">
        <v>250</v>
      </c>
      <c r="M42" s="147">
        <v>250</v>
      </c>
      <c r="N42" s="147">
        <v>250</v>
      </c>
      <c r="O42" s="18">
        <f t="shared" si="2"/>
        <v>3000</v>
      </c>
    </row>
    <row r="43" spans="1:18" ht="15" x14ac:dyDescent="0.2">
      <c r="A43" s="854"/>
      <c r="B43" s="27" t="s">
        <v>154</v>
      </c>
      <c r="C43" s="147">
        <v>20000</v>
      </c>
      <c r="D43" s="147">
        <v>20000</v>
      </c>
      <c r="E43" s="147">
        <v>20000</v>
      </c>
      <c r="F43" s="147">
        <v>20000</v>
      </c>
      <c r="G43" s="147">
        <v>20000</v>
      </c>
      <c r="H43" s="147">
        <v>20000</v>
      </c>
      <c r="I43" s="147">
        <v>20000</v>
      </c>
      <c r="J43" s="147">
        <v>20000</v>
      </c>
      <c r="K43" s="147">
        <v>20000</v>
      </c>
      <c r="L43" s="147">
        <v>20000</v>
      </c>
      <c r="M43" s="147">
        <v>20000</v>
      </c>
      <c r="N43" s="147">
        <v>20000</v>
      </c>
      <c r="O43" s="18">
        <f t="shared" si="2"/>
        <v>240000</v>
      </c>
    </row>
    <row r="44" spans="1:18" ht="15" x14ac:dyDescent="0.2">
      <c r="A44" s="854"/>
      <c r="B44" s="27" t="s">
        <v>155</v>
      </c>
      <c r="C44" s="147">
        <v>200</v>
      </c>
      <c r="D44" s="147">
        <v>200</v>
      </c>
      <c r="E44" s="147">
        <v>200</v>
      </c>
      <c r="F44" s="147">
        <v>200</v>
      </c>
      <c r="G44" s="147">
        <v>200</v>
      </c>
      <c r="H44" s="147">
        <v>200</v>
      </c>
      <c r="I44" s="147">
        <v>200</v>
      </c>
      <c r="J44" s="147">
        <v>200</v>
      </c>
      <c r="K44" s="147">
        <v>200</v>
      </c>
      <c r="L44" s="147">
        <v>200</v>
      </c>
      <c r="M44" s="147">
        <v>200</v>
      </c>
      <c r="N44" s="147">
        <v>300</v>
      </c>
      <c r="O44" s="18">
        <f t="shared" si="2"/>
        <v>2500</v>
      </c>
    </row>
    <row r="45" spans="1:18" ht="15" x14ac:dyDescent="0.2">
      <c r="A45" s="854"/>
      <c r="B45" s="27" t="s">
        <v>156</v>
      </c>
      <c r="C45" s="147">
        <v>0</v>
      </c>
      <c r="D45" s="147">
        <v>0</v>
      </c>
      <c r="E45" s="147">
        <v>0</v>
      </c>
      <c r="F45" s="147">
        <v>0</v>
      </c>
      <c r="G45" s="147">
        <v>0</v>
      </c>
      <c r="H45" s="147">
        <v>0</v>
      </c>
      <c r="I45" s="147">
        <v>0</v>
      </c>
      <c r="J45" s="147">
        <v>0</v>
      </c>
      <c r="K45" s="147">
        <v>0</v>
      </c>
      <c r="L45" s="147">
        <v>0</v>
      </c>
      <c r="M45" s="147">
        <v>0</v>
      </c>
      <c r="N45" s="147">
        <v>0</v>
      </c>
      <c r="O45" s="18">
        <f t="shared" si="2"/>
        <v>0</v>
      </c>
    </row>
    <row r="46" spans="1:18" ht="15" x14ac:dyDescent="0.2">
      <c r="A46" s="854"/>
      <c r="B46" s="27" t="s">
        <v>157</v>
      </c>
      <c r="C46" s="147">
        <v>0</v>
      </c>
      <c r="D46" s="147">
        <v>0</v>
      </c>
      <c r="E46" s="147">
        <v>0</v>
      </c>
      <c r="F46" s="147">
        <v>0</v>
      </c>
      <c r="G46" s="147">
        <v>0</v>
      </c>
      <c r="H46" s="147">
        <v>0</v>
      </c>
      <c r="I46" s="147">
        <v>0</v>
      </c>
      <c r="J46" s="147">
        <v>0</v>
      </c>
      <c r="K46" s="147">
        <v>0</v>
      </c>
      <c r="L46" s="147">
        <v>0</v>
      </c>
      <c r="M46" s="147">
        <v>0</v>
      </c>
      <c r="N46" s="147">
        <v>0</v>
      </c>
      <c r="O46" s="18">
        <f t="shared" si="2"/>
        <v>0</v>
      </c>
    </row>
    <row r="47" spans="1:18" ht="28.5" customHeight="1" x14ac:dyDescent="0.2">
      <c r="A47" s="855"/>
      <c r="B47" s="30" t="s">
        <v>158</v>
      </c>
      <c r="C47" s="147">
        <v>0</v>
      </c>
      <c r="D47" s="147">
        <v>0</v>
      </c>
      <c r="E47" s="147">
        <v>0</v>
      </c>
      <c r="F47" s="147">
        <v>0</v>
      </c>
      <c r="G47" s="147">
        <v>0</v>
      </c>
      <c r="H47" s="147">
        <v>0</v>
      </c>
      <c r="I47" s="147">
        <v>0</v>
      </c>
      <c r="J47" s="147">
        <v>0</v>
      </c>
      <c r="K47" s="147">
        <v>0</v>
      </c>
      <c r="L47" s="147">
        <v>0</v>
      </c>
      <c r="M47" s="147">
        <v>0</v>
      </c>
      <c r="N47" s="147">
        <v>0</v>
      </c>
      <c r="O47" s="31">
        <f t="shared" si="2"/>
        <v>0</v>
      </c>
    </row>
    <row r="48" spans="1:18" ht="23.25" x14ac:dyDescent="0.2">
      <c r="A48" s="856"/>
      <c r="B48" s="160" t="s">
        <v>629</v>
      </c>
      <c r="C48" s="147">
        <v>0</v>
      </c>
      <c r="D48" s="147">
        <v>0</v>
      </c>
      <c r="E48" s="147">
        <v>0</v>
      </c>
      <c r="F48" s="147">
        <v>0</v>
      </c>
      <c r="G48" s="147">
        <v>0</v>
      </c>
      <c r="H48" s="147">
        <v>0</v>
      </c>
      <c r="I48" s="147">
        <v>0</v>
      </c>
      <c r="J48" s="147">
        <v>0</v>
      </c>
      <c r="K48" s="147">
        <v>0</v>
      </c>
      <c r="L48" s="147">
        <v>0</v>
      </c>
      <c r="M48" s="147">
        <v>0</v>
      </c>
      <c r="N48" s="147">
        <v>0</v>
      </c>
      <c r="O48" s="31">
        <f t="shared" si="2"/>
        <v>0</v>
      </c>
    </row>
    <row r="49" spans="1:19" ht="15" x14ac:dyDescent="0.2">
      <c r="A49" s="857" t="s">
        <v>160</v>
      </c>
      <c r="B49" s="858"/>
      <c r="C49" s="33">
        <f t="shared" ref="C49:N49" si="3">SUM(C38:C48)</f>
        <v>21250</v>
      </c>
      <c r="D49" s="33">
        <f t="shared" si="3"/>
        <v>20480</v>
      </c>
      <c r="E49" s="33">
        <f t="shared" si="3"/>
        <v>21480</v>
      </c>
      <c r="F49" s="33">
        <f t="shared" si="3"/>
        <v>21480</v>
      </c>
      <c r="G49" s="33">
        <f t="shared" si="3"/>
        <v>21480</v>
      </c>
      <c r="H49" s="33">
        <f t="shared" si="3"/>
        <v>21480</v>
      </c>
      <c r="I49" s="33">
        <f t="shared" si="3"/>
        <v>21480</v>
      </c>
      <c r="J49" s="33">
        <f t="shared" si="3"/>
        <v>21480</v>
      </c>
      <c r="K49" s="33">
        <f t="shared" si="3"/>
        <v>22980</v>
      </c>
      <c r="L49" s="33">
        <f t="shared" si="3"/>
        <v>24420</v>
      </c>
      <c r="M49" s="33">
        <f t="shared" si="3"/>
        <v>26113</v>
      </c>
      <c r="N49" s="33">
        <f t="shared" si="3"/>
        <v>26462</v>
      </c>
      <c r="O49" s="34">
        <f t="shared" si="2"/>
        <v>270585</v>
      </c>
    </row>
    <row r="50" spans="1:19" ht="15.75" thickBot="1" x14ac:dyDescent="0.25">
      <c r="A50" s="859" t="s">
        <v>161</v>
      </c>
      <c r="B50" s="860"/>
      <c r="C50" s="35">
        <f t="shared" ref="C50:N50" si="4">C37-C49</f>
        <v>39419</v>
      </c>
      <c r="D50" s="35">
        <f t="shared" si="4"/>
        <v>43905</v>
      </c>
      <c r="E50" s="35">
        <f t="shared" si="4"/>
        <v>40043</v>
      </c>
      <c r="F50" s="35">
        <f t="shared" si="4"/>
        <v>40043</v>
      </c>
      <c r="G50" s="35">
        <f t="shared" si="4"/>
        <v>41746</v>
      </c>
      <c r="H50" s="35">
        <f t="shared" si="4"/>
        <v>67996</v>
      </c>
      <c r="I50" s="35">
        <f t="shared" si="4"/>
        <v>41746</v>
      </c>
      <c r="J50" s="35">
        <f t="shared" si="4"/>
        <v>52674</v>
      </c>
      <c r="K50" s="35">
        <f t="shared" si="4"/>
        <v>41326</v>
      </c>
      <c r="L50" s="35">
        <f t="shared" si="4"/>
        <v>56381</v>
      </c>
      <c r="M50" s="35">
        <f t="shared" si="4"/>
        <v>38193</v>
      </c>
      <c r="N50" s="35">
        <f t="shared" si="4"/>
        <v>37844</v>
      </c>
      <c r="O50" s="36">
        <f t="shared" si="2"/>
        <v>541316</v>
      </c>
      <c r="Q50" s="16">
        <f>20687+4920+20687+4952+21805+21925+22681*2+3454</f>
        <v>143792</v>
      </c>
    </row>
    <row r="51" spans="1:19" x14ac:dyDescent="0.2">
      <c r="J51" s="16">
        <f>+J37-SUM(J20:J36)</f>
        <v>64306</v>
      </c>
      <c r="Q51" s="38">
        <f>SUM(C50:M50)</f>
        <v>503472</v>
      </c>
    </row>
    <row r="52" spans="1:19" ht="13.5" thickBot="1" x14ac:dyDescent="0.25">
      <c r="J52" s="38">
        <f>+J51-J49</f>
        <v>42826</v>
      </c>
    </row>
    <row r="53" spans="1:19" ht="13.5" thickBot="1" x14ac:dyDescent="0.25">
      <c r="B53" s="789" t="s">
        <v>162</v>
      </c>
      <c r="C53" s="861"/>
      <c r="D53" s="861"/>
      <c r="E53" s="861"/>
      <c r="F53" s="862"/>
      <c r="G53" s="863">
        <f>O37</f>
        <v>811901</v>
      </c>
      <c r="H53" s="864"/>
    </row>
    <row r="54" spans="1:19" ht="13.5" thickBot="1" x14ac:dyDescent="0.25"/>
    <row r="55" spans="1:19" x14ac:dyDescent="0.2">
      <c r="B55" s="830" t="s">
        <v>163</v>
      </c>
      <c r="C55" s="833" t="s">
        <v>164</v>
      </c>
      <c r="D55" s="836" t="s">
        <v>229</v>
      </c>
      <c r="E55" s="837"/>
      <c r="F55" s="838"/>
      <c r="G55" s="839">
        <v>40000</v>
      </c>
      <c r="H55" s="840"/>
    </row>
    <row r="56" spans="1:19" x14ac:dyDescent="0.2">
      <c r="B56" s="831"/>
      <c r="C56" s="834"/>
      <c r="D56" s="841" t="s">
        <v>166</v>
      </c>
      <c r="E56" s="842"/>
      <c r="F56" s="843"/>
      <c r="G56" s="844">
        <f>+O44</f>
        <v>2500</v>
      </c>
      <c r="H56" s="845"/>
      <c r="I56" s="39"/>
      <c r="J56" s="846"/>
      <c r="K56" s="846"/>
      <c r="L56" s="846"/>
      <c r="M56" s="847"/>
      <c r="N56" s="847"/>
      <c r="O56" s="847"/>
    </row>
    <row r="57" spans="1:19" ht="13.5" thickBot="1" x14ac:dyDescent="0.25">
      <c r="B57" s="832"/>
      <c r="C57" s="835"/>
      <c r="D57" s="848" t="s">
        <v>630</v>
      </c>
      <c r="E57" s="849"/>
      <c r="F57" s="850"/>
      <c r="G57" s="851">
        <v>2400</v>
      </c>
      <c r="H57" s="852"/>
      <c r="J57" s="47"/>
      <c r="K57" s="47"/>
      <c r="L57" s="47"/>
      <c r="M57" s="47"/>
      <c r="N57" s="47"/>
      <c r="O57" s="47"/>
    </row>
    <row r="58" spans="1:19" ht="13.5" thickBot="1" x14ac:dyDescent="0.25">
      <c r="B58" s="48"/>
      <c r="J58" s="47"/>
      <c r="K58" s="47"/>
      <c r="L58" s="47"/>
      <c r="M58" s="47"/>
      <c r="N58" s="47"/>
      <c r="O58" s="47"/>
    </row>
    <row r="59" spans="1:19" ht="13.5" thickBot="1" x14ac:dyDescent="0.25">
      <c r="B59" s="789" t="s">
        <v>168</v>
      </c>
      <c r="C59" s="790"/>
      <c r="D59" s="790"/>
      <c r="E59" s="790"/>
      <c r="F59" s="791"/>
      <c r="G59" s="825">
        <f>+G53-SUM(G55:H57)</f>
        <v>767001</v>
      </c>
      <c r="H59" s="826"/>
      <c r="J59" s="827" t="s">
        <v>169</v>
      </c>
      <c r="K59" s="828"/>
      <c r="L59" s="828"/>
      <c r="M59" s="828"/>
      <c r="N59" s="828"/>
      <c r="O59" s="829"/>
    </row>
    <row r="60" spans="1:19" ht="13.5" thickBot="1" x14ac:dyDescent="0.25">
      <c r="B60" s="49"/>
      <c r="C60" s="50"/>
      <c r="D60" s="50"/>
      <c r="E60" s="50"/>
      <c r="F60" s="50"/>
      <c r="G60" s="45"/>
      <c r="H60" s="50"/>
      <c r="J60" s="129"/>
      <c r="K60" s="130"/>
      <c r="L60" s="130"/>
      <c r="M60" s="130"/>
      <c r="N60" s="130"/>
      <c r="O60" s="131"/>
    </row>
    <row r="61" spans="1:19" ht="13.5" thickBot="1" x14ac:dyDescent="0.25">
      <c r="B61" s="789" t="s">
        <v>170</v>
      </c>
      <c r="C61" s="790"/>
      <c r="D61" s="790"/>
      <c r="E61" s="790"/>
      <c r="F61" s="791"/>
      <c r="G61" s="805"/>
      <c r="H61" s="791"/>
      <c r="J61" s="129"/>
      <c r="K61" s="130"/>
      <c r="L61" s="130"/>
      <c r="M61" s="130"/>
      <c r="N61" s="130"/>
      <c r="O61" s="131"/>
    </row>
    <row r="62" spans="1:19" ht="12.75" customHeight="1" x14ac:dyDescent="0.2">
      <c r="B62" s="57" t="s">
        <v>171</v>
      </c>
      <c r="C62" s="806" t="s">
        <v>172</v>
      </c>
      <c r="D62" s="807"/>
      <c r="E62" s="807"/>
      <c r="F62" s="808"/>
      <c r="G62" s="809">
        <v>52861</v>
      </c>
      <c r="H62" s="809"/>
      <c r="I62" s="58"/>
      <c r="J62" s="810" t="s">
        <v>173</v>
      </c>
      <c r="K62" s="811"/>
      <c r="L62" s="811"/>
      <c r="M62" s="811"/>
      <c r="N62" s="811"/>
      <c r="O62" s="812"/>
      <c r="Q62" s="59"/>
      <c r="R62" s="59"/>
      <c r="S62" s="59"/>
    </row>
    <row r="63" spans="1:19" ht="13.5" thickBot="1" x14ac:dyDescent="0.25">
      <c r="D63" s="37"/>
      <c r="I63" s="58"/>
      <c r="J63" s="60" t="s">
        <v>631</v>
      </c>
      <c r="K63" s="132"/>
      <c r="L63" s="132"/>
      <c r="M63" s="133"/>
      <c r="N63" s="133" t="s">
        <v>315</v>
      </c>
      <c r="O63" s="134"/>
      <c r="Q63" s="59"/>
      <c r="R63" s="59"/>
      <c r="S63" s="59"/>
    </row>
    <row r="64" spans="1:19" ht="13.5" thickBot="1" x14ac:dyDescent="0.25">
      <c r="B64" s="789" t="s">
        <v>175</v>
      </c>
      <c r="C64" s="790"/>
      <c r="D64" s="790"/>
      <c r="E64" s="790"/>
      <c r="F64" s="791"/>
      <c r="G64" s="805">
        <f>+G59-G62</f>
        <v>714140</v>
      </c>
      <c r="H64" s="791"/>
      <c r="I64" s="63"/>
      <c r="J64" s="75" t="s">
        <v>632</v>
      </c>
      <c r="K64" s="39"/>
      <c r="L64" s="39"/>
      <c r="M64" s="39"/>
      <c r="N64" s="39" t="s">
        <v>388</v>
      </c>
      <c r="O64" s="65"/>
      <c r="Q64" s="59"/>
      <c r="R64" s="59"/>
      <c r="S64" s="59"/>
    </row>
    <row r="65" spans="2:19" ht="12.75" customHeight="1" x14ac:dyDescent="0.2">
      <c r="B65" s="48"/>
      <c r="C65" s="48"/>
      <c r="I65" s="63"/>
      <c r="J65" s="64"/>
      <c r="K65" s="39"/>
      <c r="L65" s="39"/>
      <c r="M65" s="39"/>
      <c r="N65" s="39"/>
      <c r="O65" s="65"/>
      <c r="Q65" s="59"/>
      <c r="R65" s="59"/>
      <c r="S65" s="59"/>
    </row>
    <row r="66" spans="2:19" x14ac:dyDescent="0.2">
      <c r="B66" s="66" t="s">
        <v>176</v>
      </c>
      <c r="C66" s="48"/>
      <c r="I66" s="63"/>
      <c r="J66" s="67"/>
      <c r="K66" s="68"/>
      <c r="L66" s="68"/>
      <c r="M66" s="68"/>
      <c r="N66" s="68"/>
      <c r="O66" s="69"/>
      <c r="Q66" s="59"/>
      <c r="R66" s="59"/>
      <c r="S66" s="59"/>
    </row>
    <row r="67" spans="2:19" ht="26.25" customHeight="1" thickBot="1" x14ac:dyDescent="0.25">
      <c r="B67" s="66"/>
      <c r="C67" s="48"/>
      <c r="G67" s="70" t="s">
        <v>177</v>
      </c>
      <c r="H67" s="70" t="s">
        <v>178</v>
      </c>
      <c r="I67" s="63"/>
      <c r="J67" s="810" t="s">
        <v>179</v>
      </c>
      <c r="K67" s="811"/>
      <c r="L67" s="71"/>
      <c r="M67" s="71"/>
      <c r="N67" s="71"/>
      <c r="O67" s="158" t="s">
        <v>267</v>
      </c>
      <c r="Q67" s="59"/>
      <c r="R67" s="59"/>
      <c r="S67" s="59"/>
    </row>
    <row r="68" spans="2:19" ht="12.75" customHeight="1" x14ac:dyDescent="0.2">
      <c r="B68" s="802" t="s">
        <v>180</v>
      </c>
      <c r="C68" s="821" t="s">
        <v>181</v>
      </c>
      <c r="D68" s="823" t="s">
        <v>182</v>
      </c>
      <c r="E68" s="824"/>
      <c r="F68" s="824"/>
      <c r="G68" s="73">
        <f>+O43</f>
        <v>240000</v>
      </c>
      <c r="H68" s="74">
        <f t="shared" ref="H68:H76" si="5">+G68</f>
        <v>240000</v>
      </c>
      <c r="I68" s="63"/>
      <c r="J68" s="75" t="s">
        <v>232</v>
      </c>
      <c r="K68" s="58"/>
      <c r="L68" s="58"/>
      <c r="M68" s="58"/>
      <c r="N68" s="58"/>
      <c r="O68" s="76">
        <v>0</v>
      </c>
      <c r="Q68" s="59"/>
      <c r="R68" s="59"/>
      <c r="S68" s="59"/>
    </row>
    <row r="69" spans="2:19" ht="12.75" customHeight="1" x14ac:dyDescent="0.2">
      <c r="B69" s="803"/>
      <c r="C69" s="822"/>
      <c r="D69" s="782" t="s">
        <v>184</v>
      </c>
      <c r="E69" s="783"/>
      <c r="F69" s="783"/>
      <c r="G69" s="77">
        <v>0</v>
      </c>
      <c r="H69" s="78">
        <f t="shared" si="5"/>
        <v>0</v>
      </c>
      <c r="I69" s="63"/>
      <c r="J69" s="181"/>
      <c r="K69" s="58"/>
      <c r="L69" s="58"/>
      <c r="M69" s="183"/>
      <c r="N69" s="68"/>
      <c r="O69" s="136"/>
      <c r="Q69" s="59"/>
      <c r="R69" s="59"/>
      <c r="S69" s="59"/>
    </row>
    <row r="70" spans="2:19" ht="12.75" customHeight="1" x14ac:dyDescent="0.2">
      <c r="B70" s="803"/>
      <c r="C70" s="822"/>
      <c r="D70" s="819" t="s">
        <v>185</v>
      </c>
      <c r="E70" s="820"/>
      <c r="F70" s="820"/>
      <c r="G70" s="80">
        <f>O40</f>
        <v>360</v>
      </c>
      <c r="H70" s="78">
        <f t="shared" si="5"/>
        <v>360</v>
      </c>
      <c r="I70" s="63"/>
      <c r="J70" s="75"/>
      <c r="K70" s="68"/>
      <c r="L70" s="68"/>
      <c r="M70" s="68"/>
      <c r="N70" s="68"/>
      <c r="O70" s="69"/>
    </row>
    <row r="71" spans="2:19" x14ac:dyDescent="0.2">
      <c r="B71" s="803"/>
      <c r="C71" s="822"/>
      <c r="D71" s="782" t="s">
        <v>186</v>
      </c>
      <c r="E71" s="783"/>
      <c r="F71" s="783"/>
      <c r="G71" s="81">
        <v>0</v>
      </c>
      <c r="H71" s="78">
        <f t="shared" si="5"/>
        <v>0</v>
      </c>
      <c r="I71" s="63"/>
      <c r="J71" s="181"/>
      <c r="K71" s="58"/>
      <c r="L71" s="58"/>
      <c r="M71" s="183"/>
      <c r="N71" s="58"/>
      <c r="O71" s="76"/>
    </row>
    <row r="72" spans="2:19" ht="12.75" customHeight="1" x14ac:dyDescent="0.2">
      <c r="B72" s="803"/>
      <c r="C72" s="822"/>
      <c r="D72" s="784" t="s">
        <v>188</v>
      </c>
      <c r="E72" s="783"/>
      <c r="F72" s="783"/>
      <c r="G72" s="80">
        <v>0</v>
      </c>
      <c r="H72" s="78">
        <f t="shared" si="5"/>
        <v>0</v>
      </c>
      <c r="I72" s="63"/>
      <c r="J72" s="64"/>
      <c r="K72" s="50"/>
      <c r="L72" s="50"/>
      <c r="M72" s="183"/>
      <c r="N72" s="50"/>
      <c r="O72" s="83"/>
    </row>
    <row r="73" spans="2:19" ht="14.25" customHeight="1" x14ac:dyDescent="0.2">
      <c r="B73" s="803"/>
      <c r="C73" s="822"/>
      <c r="D73" s="782" t="s">
        <v>190</v>
      </c>
      <c r="E73" s="783"/>
      <c r="F73" s="783"/>
      <c r="G73" s="84">
        <v>0</v>
      </c>
      <c r="H73" s="78">
        <f t="shared" si="5"/>
        <v>0</v>
      </c>
      <c r="I73" s="63"/>
      <c r="J73" s="64"/>
      <c r="K73" s="39"/>
      <c r="L73" s="39"/>
      <c r="M73" s="39"/>
      <c r="N73" s="39"/>
      <c r="O73" s="65"/>
    </row>
    <row r="74" spans="2:19" x14ac:dyDescent="0.2">
      <c r="B74" s="803"/>
      <c r="C74" s="822"/>
      <c r="D74" s="782" t="s">
        <v>191</v>
      </c>
      <c r="E74" s="783"/>
      <c r="F74" s="783"/>
      <c r="G74" s="81">
        <v>0</v>
      </c>
      <c r="H74" s="78">
        <f t="shared" si="5"/>
        <v>0</v>
      </c>
      <c r="I74" s="58"/>
      <c r="J74" s="82" t="s">
        <v>187</v>
      </c>
      <c r="K74" s="71"/>
      <c r="L74" s="71"/>
      <c r="M74" s="71"/>
      <c r="N74" s="71"/>
      <c r="O74" s="72"/>
    </row>
    <row r="75" spans="2:19" x14ac:dyDescent="0.2">
      <c r="B75" s="803"/>
      <c r="C75" s="88" t="s">
        <v>192</v>
      </c>
      <c r="D75" s="813" t="s">
        <v>193</v>
      </c>
      <c r="E75" s="814"/>
      <c r="F75" s="814"/>
      <c r="G75" s="80">
        <v>0</v>
      </c>
      <c r="H75" s="78">
        <f t="shared" si="5"/>
        <v>0</v>
      </c>
      <c r="I75" s="58"/>
      <c r="J75" s="75" t="s">
        <v>189</v>
      </c>
      <c r="K75" s="50"/>
      <c r="L75" s="50"/>
      <c r="M75" s="50"/>
      <c r="N75" s="50"/>
      <c r="O75" s="83">
        <f>O42</f>
        <v>3000</v>
      </c>
    </row>
    <row r="76" spans="2:19" ht="13.5" customHeight="1" thickBot="1" x14ac:dyDescent="0.25">
      <c r="B76" s="803"/>
      <c r="C76" s="88" t="s">
        <v>194</v>
      </c>
      <c r="D76" s="815" t="s">
        <v>195</v>
      </c>
      <c r="E76" s="815"/>
      <c r="F76" s="815"/>
      <c r="G76" s="89">
        <v>0</v>
      </c>
      <c r="H76" s="90">
        <f t="shared" si="5"/>
        <v>0</v>
      </c>
      <c r="I76" s="63"/>
      <c r="J76" s="67"/>
      <c r="K76" s="68"/>
      <c r="L76" s="68"/>
      <c r="M76" s="91"/>
      <c r="N76" s="91"/>
      <c r="O76" s="92"/>
    </row>
    <row r="77" spans="2:19" ht="13.5" thickBot="1" x14ac:dyDescent="0.25">
      <c r="B77" s="803"/>
      <c r="C77" s="93"/>
      <c r="D77" s="94"/>
      <c r="E77" s="816" t="s">
        <v>117</v>
      </c>
      <c r="F77" s="817"/>
      <c r="G77" s="95">
        <f>SUM(G68:G76)</f>
        <v>240360</v>
      </c>
      <c r="H77" s="96">
        <f>IF(SUM(G68:G74)&lt;150000,SUM(G68:G74),150000)+IF(+G75&lt;20000,+G75,20000)</f>
        <v>150000</v>
      </c>
      <c r="I77" s="63"/>
      <c r="J77" s="140"/>
      <c r="K77" s="141"/>
      <c r="L77" s="141"/>
      <c r="M77" s="142"/>
      <c r="N77" s="142"/>
      <c r="O77" s="143"/>
    </row>
    <row r="78" spans="2:19" ht="12.75" customHeight="1" x14ac:dyDescent="0.2">
      <c r="B78" s="803"/>
      <c r="C78" s="100" t="s">
        <v>196</v>
      </c>
      <c r="D78" s="782" t="s">
        <v>187</v>
      </c>
      <c r="E78" s="783"/>
      <c r="F78" s="818"/>
      <c r="G78" s="73">
        <f>+O42</f>
        <v>3000</v>
      </c>
      <c r="H78" s="101">
        <f>+IF(+G78&lt;25000,+G78,25000)</f>
        <v>3000</v>
      </c>
      <c r="I78" s="87"/>
    </row>
    <row r="79" spans="2:19" x14ac:dyDescent="0.2">
      <c r="B79" s="803"/>
      <c r="C79" s="100" t="s">
        <v>197</v>
      </c>
      <c r="D79" s="784" t="s">
        <v>198</v>
      </c>
      <c r="E79" s="785"/>
      <c r="F79" s="786"/>
      <c r="G79" s="102"/>
      <c r="H79" s="103">
        <f>+IF(+G79&lt;40000,+G79,40000)</f>
        <v>0</v>
      </c>
      <c r="I79" s="63"/>
    </row>
    <row r="80" spans="2:19" x14ac:dyDescent="0.2">
      <c r="B80" s="803"/>
      <c r="C80" s="100" t="s">
        <v>199</v>
      </c>
      <c r="D80" s="784" t="s">
        <v>200</v>
      </c>
      <c r="E80" s="785"/>
      <c r="F80" s="786"/>
      <c r="G80" s="81"/>
      <c r="H80" s="104">
        <v>0</v>
      </c>
      <c r="I80" s="63"/>
      <c r="J80" s="106"/>
    </row>
    <row r="81" spans="2:12" x14ac:dyDescent="0.2">
      <c r="B81" s="803"/>
      <c r="C81" s="100" t="s">
        <v>201</v>
      </c>
      <c r="D81" s="784" t="s">
        <v>202</v>
      </c>
      <c r="E81" s="785"/>
      <c r="F81" s="786"/>
      <c r="G81" s="81"/>
      <c r="H81" s="104">
        <v>0</v>
      </c>
      <c r="I81" s="63"/>
    </row>
    <row r="82" spans="2:12" ht="13.5" thickBot="1" x14ac:dyDescent="0.25">
      <c r="B82" s="804"/>
      <c r="C82" s="100" t="s">
        <v>203</v>
      </c>
      <c r="D82" s="784" t="s">
        <v>204</v>
      </c>
      <c r="E82" s="785"/>
      <c r="F82" s="786"/>
      <c r="G82" s="102"/>
      <c r="H82" s="103">
        <f>+IF(+G82&lt;100000,+G82,10000)</f>
        <v>0</v>
      </c>
      <c r="I82" s="63"/>
    </row>
    <row r="83" spans="2:12" ht="13.5" thickBot="1" x14ac:dyDescent="0.25">
      <c r="B83" s="787" t="s">
        <v>205</v>
      </c>
      <c r="C83" s="788"/>
      <c r="D83" s="788"/>
      <c r="E83" s="788"/>
      <c r="F83" s="788"/>
      <c r="G83" s="107">
        <f>SUM(G78:G82)</f>
        <v>3000</v>
      </c>
      <c r="H83" s="108">
        <f>SUM(H77:H82)</f>
        <v>153000</v>
      </c>
    </row>
    <row r="84" spans="2:12" ht="13.5" thickBot="1" x14ac:dyDescent="0.25"/>
    <row r="85" spans="2:12" ht="13.5" thickBot="1" x14ac:dyDescent="0.25">
      <c r="B85" s="789" t="s">
        <v>206</v>
      </c>
      <c r="C85" s="790"/>
      <c r="D85" s="790"/>
      <c r="E85" s="790"/>
      <c r="F85" s="791"/>
      <c r="G85" s="792">
        <f>+G64-H83</f>
        <v>561140</v>
      </c>
      <c r="H85" s="791"/>
      <c r="J85" s="16">
        <f>C37+D37+E37+F37</f>
        <v>248100</v>
      </c>
      <c r="K85" s="16" t="s">
        <v>235</v>
      </c>
    </row>
    <row r="86" spans="2:12" x14ac:dyDescent="0.2">
      <c r="B86" s="110"/>
      <c r="F86" s="105"/>
      <c r="J86" s="16">
        <f>G37+H37+I37</f>
        <v>215928</v>
      </c>
      <c r="K86" s="16" t="s">
        <v>236</v>
      </c>
    </row>
    <row r="87" spans="2:12" x14ac:dyDescent="0.2">
      <c r="C87" s="793" t="s">
        <v>207</v>
      </c>
      <c r="D87" s="794"/>
      <c r="E87" s="111" t="s">
        <v>208</v>
      </c>
      <c r="F87" s="111" t="s">
        <v>209</v>
      </c>
      <c r="G87" s="111" t="s">
        <v>210</v>
      </c>
      <c r="H87" s="111" t="s">
        <v>211</v>
      </c>
      <c r="J87" s="16">
        <f>J37+K37+L37</f>
        <v>219261</v>
      </c>
      <c r="K87" s="47" t="s">
        <v>237</v>
      </c>
    </row>
    <row r="88" spans="2:12" x14ac:dyDescent="0.2">
      <c r="C88" s="795" t="str">
        <f>IF(I6="M","0          - 250000","0          -  250000")</f>
        <v>0          - 250000</v>
      </c>
      <c r="D88" s="796"/>
      <c r="E88" s="112">
        <v>0</v>
      </c>
      <c r="F88" s="113">
        <f>IF(I6="M",(IF(G85&lt;250000,G85,250000)),(IF(G85&lt;250000,G85,250000)))</f>
        <v>250000</v>
      </c>
      <c r="G88" s="113">
        <f>G85-F88</f>
        <v>311140</v>
      </c>
      <c r="H88" s="113">
        <f>E88*F88</f>
        <v>0</v>
      </c>
      <c r="J88" s="16">
        <f>M37+N37</f>
        <v>128612</v>
      </c>
      <c r="K88" s="1" t="s">
        <v>238</v>
      </c>
    </row>
    <row r="89" spans="2:12" x14ac:dyDescent="0.2">
      <c r="C89" s="795" t="str">
        <f>IF(I6="M","250001 - 500000","250001-500000")</f>
        <v>250001 - 500000</v>
      </c>
      <c r="D89" s="796"/>
      <c r="E89" s="112">
        <v>0.05</v>
      </c>
      <c r="F89" s="113">
        <f>IF(I6="M",(IF(G88&lt;250000,G88,250000)),(IF(G88&lt;250000,G88,250000)))</f>
        <v>250000</v>
      </c>
      <c r="G89" s="113">
        <f>G88-F89</f>
        <v>61140</v>
      </c>
      <c r="H89" s="114">
        <f>ROUND(E89*F89,0.1)</f>
        <v>12500</v>
      </c>
      <c r="J89" s="115">
        <f>SUM(J85:J88)</f>
        <v>811901</v>
      </c>
    </row>
    <row r="90" spans="2:12" x14ac:dyDescent="0.2">
      <c r="C90" s="797" t="s">
        <v>212</v>
      </c>
      <c r="D90" s="798"/>
      <c r="E90" s="112">
        <v>0.2</v>
      </c>
      <c r="F90" s="113">
        <f>IF(G89&lt;500000,G89,500000)</f>
        <v>61140</v>
      </c>
      <c r="G90" s="113">
        <f>G89-F90</f>
        <v>0</v>
      </c>
      <c r="H90" s="114">
        <f>ROUND(E90*F90,0.1)</f>
        <v>12228</v>
      </c>
      <c r="J90" s="16">
        <f>+G85</f>
        <v>561140</v>
      </c>
    </row>
    <row r="91" spans="2:12" x14ac:dyDescent="0.2">
      <c r="C91" s="795" t="s">
        <v>213</v>
      </c>
      <c r="D91" s="796"/>
      <c r="E91" s="112">
        <v>0.3</v>
      </c>
      <c r="F91" s="113">
        <f>G90</f>
        <v>0</v>
      </c>
      <c r="G91" s="113">
        <f>G90-F91</f>
        <v>0</v>
      </c>
      <c r="H91" s="114">
        <f>ROUND(E91*F91,0.1)</f>
        <v>0</v>
      </c>
      <c r="J91" s="16">
        <f>+J89-J90</f>
        <v>250761</v>
      </c>
    </row>
    <row r="92" spans="2:12" ht="12.75" customHeight="1" thickBot="1" x14ac:dyDescent="0.25">
      <c r="B92" s="116"/>
      <c r="C92" s="117"/>
      <c r="D92" s="47"/>
      <c r="E92" s="47"/>
      <c r="F92" s="47"/>
      <c r="J92" s="16">
        <f>ROUND(+G85/7,0.1)</f>
        <v>80163</v>
      </c>
      <c r="K92" s="223" t="s">
        <v>416</v>
      </c>
    </row>
    <row r="93" spans="2:12" ht="13.5" thickBot="1" x14ac:dyDescent="0.25">
      <c r="B93" s="799" t="s">
        <v>239</v>
      </c>
      <c r="C93" s="800"/>
      <c r="D93" s="800"/>
      <c r="E93" s="800"/>
      <c r="F93" s="801"/>
      <c r="G93" s="771">
        <f>H88+H89+H90+H91</f>
        <v>24728</v>
      </c>
      <c r="H93" s="772"/>
      <c r="J93" s="16">
        <f>+J91/3</f>
        <v>83587</v>
      </c>
    </row>
    <row r="94" spans="2:12" ht="13.5" thickBot="1" x14ac:dyDescent="0.25">
      <c r="B94" s="119" t="s">
        <v>215</v>
      </c>
      <c r="C94" s="120"/>
      <c r="D94" s="120"/>
      <c r="E94" s="120"/>
      <c r="F94" s="120"/>
      <c r="G94" s="895">
        <f>IF((G64&lt;500000),5000,0)</f>
        <v>0</v>
      </c>
      <c r="H94" s="896">
        <f>IF(H92&lt;200000,0,IF(H92&lt;220000,((H92-200000)*10%),IF(H92&lt;=500000,2000,IF(H92&gt;=500000,0))))</f>
        <v>0</v>
      </c>
      <c r="J94" s="1"/>
      <c r="K94" s="121"/>
      <c r="L94" s="121"/>
    </row>
    <row r="95" spans="2:12" ht="13.5" thickBot="1" x14ac:dyDescent="0.25">
      <c r="B95" s="122" t="s">
        <v>216</v>
      </c>
      <c r="C95" s="123"/>
      <c r="D95" s="123"/>
      <c r="E95" s="123"/>
      <c r="F95" s="123"/>
      <c r="G95" s="897">
        <f>IF((G93-G94)&lt;0,0,(G93-G94))</f>
        <v>24728</v>
      </c>
      <c r="H95" s="898"/>
      <c r="I95" s="37"/>
    </row>
    <row r="96" spans="2:12" ht="13.5" thickBot="1" x14ac:dyDescent="0.25">
      <c r="B96" s="773" t="s">
        <v>240</v>
      </c>
      <c r="C96" s="774"/>
      <c r="D96" s="774"/>
      <c r="E96" s="774"/>
      <c r="F96" s="775"/>
      <c r="G96" s="899">
        <f>ROUND((IF(G95&gt;0,(G95*4%),0)),0)</f>
        <v>989</v>
      </c>
      <c r="H96" s="900"/>
      <c r="I96" s="37"/>
    </row>
    <row r="97" spans="2:9" ht="13.5" thickBot="1" x14ac:dyDescent="0.25">
      <c r="B97" s="778" t="s">
        <v>218</v>
      </c>
      <c r="C97" s="779"/>
      <c r="D97" s="779"/>
      <c r="E97" s="779"/>
      <c r="F97" s="779"/>
      <c r="G97" s="901">
        <f>G95+G96</f>
        <v>25717</v>
      </c>
      <c r="H97" s="902"/>
      <c r="I97" s="121"/>
    </row>
    <row r="98" spans="2:9" ht="13.5" thickBot="1" x14ac:dyDescent="0.25">
      <c r="B98" s="765" t="s">
        <v>219</v>
      </c>
      <c r="C98" s="766"/>
      <c r="D98" s="766"/>
      <c r="E98" s="766"/>
      <c r="F98" s="766"/>
      <c r="G98" s="893">
        <f>O38</f>
        <v>24725</v>
      </c>
      <c r="H98" s="894"/>
      <c r="I98" s="121"/>
    </row>
    <row r="99" spans="2:9" ht="13.5" thickBot="1" x14ac:dyDescent="0.25">
      <c r="B99" s="765" t="str">
        <f>IF(G99&gt;0,"TAX PAYABLE","TAX REFUND")</f>
        <v>TAX PAYABLE</v>
      </c>
      <c r="C99" s="766"/>
      <c r="D99" s="766"/>
      <c r="E99" s="766"/>
      <c r="F99" s="766"/>
      <c r="G99" s="893">
        <f>+G97-G98</f>
        <v>992</v>
      </c>
      <c r="H99" s="894"/>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J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0:F90 B99:F99 B93:F97">
    <cfRule type="cellIs" dxfId="1847" priority="3" stopIfTrue="1" operator="equal">
      <formula>"TAX PAYABLE"</formula>
    </cfRule>
    <cfRule type="cellIs" dxfId="1846" priority="4" stopIfTrue="1" operator="equal">
      <formula>"TAX REFUND"</formula>
    </cfRule>
  </conditionalFormatting>
  <conditionalFormatting sqref="G90:H90">
    <cfRule type="cellIs" dxfId="1845" priority="5" stopIfTrue="1" operator="lessThan">
      <formula>0</formula>
    </cfRule>
    <cfRule type="cellIs" dxfId="1844" priority="6" stopIfTrue="1" operator="greaterThan">
      <formula>0</formula>
    </cfRule>
  </conditionalFormatting>
  <conditionalFormatting sqref="G99:H99">
    <cfRule type="cellIs" dxfId="1843" priority="1" stopIfTrue="1" operator="greaterThan">
      <formula>0</formula>
    </cfRule>
    <cfRule type="cellIs" dxfId="1842"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$Q$8:$Q$9</formula1>
    </dataValidation>
  </dataValidations>
  <pageMargins left="0.7" right="0.7" top="0.75" bottom="0.75" header="0.3" footer="0.3"/>
  <pageSetup paperSize="5" orientation="landscape" horizontalDpi="300" verticalDpi="300" r:id="rId1"/>
  <headerFooter alignWithMargins="0"/>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8"/>
  <sheetViews>
    <sheetView topLeftCell="A58" workbookViewId="0">
      <selection activeCell="R74" sqref="R74"/>
    </sheetView>
  </sheetViews>
  <sheetFormatPr defaultRowHeight="12.75" x14ac:dyDescent="0.2"/>
  <cols>
    <col min="1" max="1" width="5" style="16" customWidth="1"/>
    <col min="2" max="2" width="18.5703125" style="37" customWidth="1"/>
    <col min="3" max="3" width="8.7109375" style="16" customWidth="1"/>
    <col min="4" max="4" width="7.5703125" style="16" customWidth="1"/>
    <col min="5" max="5" width="8.5703125" style="16" bestFit="1" customWidth="1"/>
    <col min="6" max="8" width="8.140625" style="16" customWidth="1"/>
    <col min="9" max="15" width="8.7109375" style="16" customWidth="1"/>
    <col min="16" max="20" width="9.140625" style="16"/>
    <col min="21" max="21" width="12.42578125" style="16" customWidth="1"/>
    <col min="22" max="22" width="9.140625" style="16"/>
    <col min="23" max="23" width="12" style="16" customWidth="1"/>
    <col min="24" max="256" width="9.140625" style="16"/>
    <col min="257" max="257" width="5" style="16" customWidth="1"/>
    <col min="258" max="258" width="18.5703125" style="16" customWidth="1"/>
    <col min="259" max="259" width="8.7109375" style="16" customWidth="1"/>
    <col min="260" max="260" width="7.5703125" style="16" customWidth="1"/>
    <col min="261" max="261" width="8.5703125" style="16" bestFit="1" customWidth="1"/>
    <col min="262" max="264" width="8.140625" style="16" customWidth="1"/>
    <col min="265" max="271" width="8.7109375" style="16" customWidth="1"/>
    <col min="272" max="276" width="9.140625" style="16"/>
    <col min="277" max="277" width="12.42578125" style="16" customWidth="1"/>
    <col min="278" max="278" width="9.140625" style="16"/>
    <col min="279" max="279" width="12" style="16" customWidth="1"/>
    <col min="280" max="512" width="9.140625" style="16"/>
    <col min="513" max="513" width="5" style="16" customWidth="1"/>
    <col min="514" max="514" width="18.5703125" style="16" customWidth="1"/>
    <col min="515" max="515" width="8.7109375" style="16" customWidth="1"/>
    <col min="516" max="516" width="7.5703125" style="16" customWidth="1"/>
    <col min="517" max="517" width="8.5703125" style="16" bestFit="1" customWidth="1"/>
    <col min="518" max="520" width="8.140625" style="16" customWidth="1"/>
    <col min="521" max="527" width="8.7109375" style="16" customWidth="1"/>
    <col min="528" max="532" width="9.140625" style="16"/>
    <col min="533" max="533" width="12.42578125" style="16" customWidth="1"/>
    <col min="534" max="534" width="9.140625" style="16"/>
    <col min="535" max="535" width="12" style="16" customWidth="1"/>
    <col min="536" max="768" width="9.140625" style="16"/>
    <col min="769" max="769" width="5" style="16" customWidth="1"/>
    <col min="770" max="770" width="18.5703125" style="16" customWidth="1"/>
    <col min="771" max="771" width="8.7109375" style="16" customWidth="1"/>
    <col min="772" max="772" width="7.5703125" style="16" customWidth="1"/>
    <col min="773" max="773" width="8.5703125" style="16" bestFit="1" customWidth="1"/>
    <col min="774" max="776" width="8.140625" style="16" customWidth="1"/>
    <col min="777" max="783" width="8.7109375" style="16" customWidth="1"/>
    <col min="784" max="788" width="9.140625" style="16"/>
    <col min="789" max="789" width="12.42578125" style="16" customWidth="1"/>
    <col min="790" max="790" width="9.140625" style="16"/>
    <col min="791" max="791" width="12" style="16" customWidth="1"/>
    <col min="792" max="1024" width="9.140625" style="16"/>
    <col min="1025" max="1025" width="5" style="16" customWidth="1"/>
    <col min="1026" max="1026" width="18.5703125" style="16" customWidth="1"/>
    <col min="1027" max="1027" width="8.7109375" style="16" customWidth="1"/>
    <col min="1028" max="1028" width="7.5703125" style="16" customWidth="1"/>
    <col min="1029" max="1029" width="8.5703125" style="16" bestFit="1" customWidth="1"/>
    <col min="1030" max="1032" width="8.140625" style="16" customWidth="1"/>
    <col min="1033" max="1039" width="8.7109375" style="16" customWidth="1"/>
    <col min="1040" max="1044" width="9.140625" style="16"/>
    <col min="1045" max="1045" width="12.42578125" style="16" customWidth="1"/>
    <col min="1046" max="1046" width="9.140625" style="16"/>
    <col min="1047" max="1047" width="12" style="16" customWidth="1"/>
    <col min="1048" max="1280" width="9.140625" style="16"/>
    <col min="1281" max="1281" width="5" style="16" customWidth="1"/>
    <col min="1282" max="1282" width="18.5703125" style="16" customWidth="1"/>
    <col min="1283" max="1283" width="8.7109375" style="16" customWidth="1"/>
    <col min="1284" max="1284" width="7.5703125" style="16" customWidth="1"/>
    <col min="1285" max="1285" width="8.5703125" style="16" bestFit="1" customWidth="1"/>
    <col min="1286" max="1288" width="8.140625" style="16" customWidth="1"/>
    <col min="1289" max="1295" width="8.7109375" style="16" customWidth="1"/>
    <col min="1296" max="1300" width="9.140625" style="16"/>
    <col min="1301" max="1301" width="12.42578125" style="16" customWidth="1"/>
    <col min="1302" max="1302" width="9.140625" style="16"/>
    <col min="1303" max="1303" width="12" style="16" customWidth="1"/>
    <col min="1304" max="1536" width="9.140625" style="16"/>
    <col min="1537" max="1537" width="5" style="16" customWidth="1"/>
    <col min="1538" max="1538" width="18.5703125" style="16" customWidth="1"/>
    <col min="1539" max="1539" width="8.7109375" style="16" customWidth="1"/>
    <col min="1540" max="1540" width="7.5703125" style="16" customWidth="1"/>
    <col min="1541" max="1541" width="8.5703125" style="16" bestFit="1" customWidth="1"/>
    <col min="1542" max="1544" width="8.140625" style="16" customWidth="1"/>
    <col min="1545" max="1551" width="8.7109375" style="16" customWidth="1"/>
    <col min="1552" max="1556" width="9.140625" style="16"/>
    <col min="1557" max="1557" width="12.42578125" style="16" customWidth="1"/>
    <col min="1558" max="1558" width="9.140625" style="16"/>
    <col min="1559" max="1559" width="12" style="16" customWidth="1"/>
    <col min="1560" max="1792" width="9.140625" style="16"/>
    <col min="1793" max="1793" width="5" style="16" customWidth="1"/>
    <col min="1794" max="1794" width="18.5703125" style="16" customWidth="1"/>
    <col min="1795" max="1795" width="8.7109375" style="16" customWidth="1"/>
    <col min="1796" max="1796" width="7.5703125" style="16" customWidth="1"/>
    <col min="1797" max="1797" width="8.5703125" style="16" bestFit="1" customWidth="1"/>
    <col min="1798" max="1800" width="8.140625" style="16" customWidth="1"/>
    <col min="1801" max="1807" width="8.7109375" style="16" customWidth="1"/>
    <col min="1808" max="1812" width="9.140625" style="16"/>
    <col min="1813" max="1813" width="12.42578125" style="16" customWidth="1"/>
    <col min="1814" max="1814" width="9.140625" style="16"/>
    <col min="1815" max="1815" width="12" style="16" customWidth="1"/>
    <col min="1816" max="2048" width="9.140625" style="16"/>
    <col min="2049" max="2049" width="5" style="16" customWidth="1"/>
    <col min="2050" max="2050" width="18.5703125" style="16" customWidth="1"/>
    <col min="2051" max="2051" width="8.7109375" style="16" customWidth="1"/>
    <col min="2052" max="2052" width="7.5703125" style="16" customWidth="1"/>
    <col min="2053" max="2053" width="8.5703125" style="16" bestFit="1" customWidth="1"/>
    <col min="2054" max="2056" width="8.140625" style="16" customWidth="1"/>
    <col min="2057" max="2063" width="8.7109375" style="16" customWidth="1"/>
    <col min="2064" max="2068" width="9.140625" style="16"/>
    <col min="2069" max="2069" width="12.42578125" style="16" customWidth="1"/>
    <col min="2070" max="2070" width="9.140625" style="16"/>
    <col min="2071" max="2071" width="12" style="16" customWidth="1"/>
    <col min="2072" max="2304" width="9.140625" style="16"/>
    <col min="2305" max="2305" width="5" style="16" customWidth="1"/>
    <col min="2306" max="2306" width="18.5703125" style="16" customWidth="1"/>
    <col min="2307" max="2307" width="8.7109375" style="16" customWidth="1"/>
    <col min="2308" max="2308" width="7.5703125" style="16" customWidth="1"/>
    <col min="2309" max="2309" width="8.5703125" style="16" bestFit="1" customWidth="1"/>
    <col min="2310" max="2312" width="8.140625" style="16" customWidth="1"/>
    <col min="2313" max="2319" width="8.7109375" style="16" customWidth="1"/>
    <col min="2320" max="2324" width="9.140625" style="16"/>
    <col min="2325" max="2325" width="12.42578125" style="16" customWidth="1"/>
    <col min="2326" max="2326" width="9.140625" style="16"/>
    <col min="2327" max="2327" width="12" style="16" customWidth="1"/>
    <col min="2328" max="2560" width="9.140625" style="16"/>
    <col min="2561" max="2561" width="5" style="16" customWidth="1"/>
    <col min="2562" max="2562" width="18.5703125" style="16" customWidth="1"/>
    <col min="2563" max="2563" width="8.7109375" style="16" customWidth="1"/>
    <col min="2564" max="2564" width="7.5703125" style="16" customWidth="1"/>
    <col min="2565" max="2565" width="8.5703125" style="16" bestFit="1" customWidth="1"/>
    <col min="2566" max="2568" width="8.140625" style="16" customWidth="1"/>
    <col min="2569" max="2575" width="8.7109375" style="16" customWidth="1"/>
    <col min="2576" max="2580" width="9.140625" style="16"/>
    <col min="2581" max="2581" width="12.42578125" style="16" customWidth="1"/>
    <col min="2582" max="2582" width="9.140625" style="16"/>
    <col min="2583" max="2583" width="12" style="16" customWidth="1"/>
    <col min="2584" max="2816" width="9.140625" style="16"/>
    <col min="2817" max="2817" width="5" style="16" customWidth="1"/>
    <col min="2818" max="2818" width="18.5703125" style="16" customWidth="1"/>
    <col min="2819" max="2819" width="8.7109375" style="16" customWidth="1"/>
    <col min="2820" max="2820" width="7.5703125" style="16" customWidth="1"/>
    <col min="2821" max="2821" width="8.5703125" style="16" bestFit="1" customWidth="1"/>
    <col min="2822" max="2824" width="8.140625" style="16" customWidth="1"/>
    <col min="2825" max="2831" width="8.7109375" style="16" customWidth="1"/>
    <col min="2832" max="2836" width="9.140625" style="16"/>
    <col min="2837" max="2837" width="12.42578125" style="16" customWidth="1"/>
    <col min="2838" max="2838" width="9.140625" style="16"/>
    <col min="2839" max="2839" width="12" style="16" customWidth="1"/>
    <col min="2840" max="3072" width="9.140625" style="16"/>
    <col min="3073" max="3073" width="5" style="16" customWidth="1"/>
    <col min="3074" max="3074" width="18.5703125" style="16" customWidth="1"/>
    <col min="3075" max="3075" width="8.7109375" style="16" customWidth="1"/>
    <col min="3076" max="3076" width="7.5703125" style="16" customWidth="1"/>
    <col min="3077" max="3077" width="8.5703125" style="16" bestFit="1" customWidth="1"/>
    <col min="3078" max="3080" width="8.140625" style="16" customWidth="1"/>
    <col min="3081" max="3087" width="8.7109375" style="16" customWidth="1"/>
    <col min="3088" max="3092" width="9.140625" style="16"/>
    <col min="3093" max="3093" width="12.42578125" style="16" customWidth="1"/>
    <col min="3094" max="3094" width="9.140625" style="16"/>
    <col min="3095" max="3095" width="12" style="16" customWidth="1"/>
    <col min="3096" max="3328" width="9.140625" style="16"/>
    <col min="3329" max="3329" width="5" style="16" customWidth="1"/>
    <col min="3330" max="3330" width="18.5703125" style="16" customWidth="1"/>
    <col min="3331" max="3331" width="8.7109375" style="16" customWidth="1"/>
    <col min="3332" max="3332" width="7.5703125" style="16" customWidth="1"/>
    <col min="3333" max="3333" width="8.5703125" style="16" bestFit="1" customWidth="1"/>
    <col min="3334" max="3336" width="8.140625" style="16" customWidth="1"/>
    <col min="3337" max="3343" width="8.7109375" style="16" customWidth="1"/>
    <col min="3344" max="3348" width="9.140625" style="16"/>
    <col min="3349" max="3349" width="12.42578125" style="16" customWidth="1"/>
    <col min="3350" max="3350" width="9.140625" style="16"/>
    <col min="3351" max="3351" width="12" style="16" customWidth="1"/>
    <col min="3352" max="3584" width="9.140625" style="16"/>
    <col min="3585" max="3585" width="5" style="16" customWidth="1"/>
    <col min="3586" max="3586" width="18.5703125" style="16" customWidth="1"/>
    <col min="3587" max="3587" width="8.7109375" style="16" customWidth="1"/>
    <col min="3588" max="3588" width="7.5703125" style="16" customWidth="1"/>
    <col min="3589" max="3589" width="8.5703125" style="16" bestFit="1" customWidth="1"/>
    <col min="3590" max="3592" width="8.140625" style="16" customWidth="1"/>
    <col min="3593" max="3599" width="8.7109375" style="16" customWidth="1"/>
    <col min="3600" max="3604" width="9.140625" style="16"/>
    <col min="3605" max="3605" width="12.42578125" style="16" customWidth="1"/>
    <col min="3606" max="3606" width="9.140625" style="16"/>
    <col min="3607" max="3607" width="12" style="16" customWidth="1"/>
    <col min="3608" max="3840" width="9.140625" style="16"/>
    <col min="3841" max="3841" width="5" style="16" customWidth="1"/>
    <col min="3842" max="3842" width="18.5703125" style="16" customWidth="1"/>
    <col min="3843" max="3843" width="8.7109375" style="16" customWidth="1"/>
    <col min="3844" max="3844" width="7.5703125" style="16" customWidth="1"/>
    <col min="3845" max="3845" width="8.5703125" style="16" bestFit="1" customWidth="1"/>
    <col min="3846" max="3848" width="8.140625" style="16" customWidth="1"/>
    <col min="3849" max="3855" width="8.7109375" style="16" customWidth="1"/>
    <col min="3856" max="3860" width="9.140625" style="16"/>
    <col min="3861" max="3861" width="12.42578125" style="16" customWidth="1"/>
    <col min="3862" max="3862" width="9.140625" style="16"/>
    <col min="3863" max="3863" width="12" style="16" customWidth="1"/>
    <col min="3864" max="4096" width="9.140625" style="16"/>
    <col min="4097" max="4097" width="5" style="16" customWidth="1"/>
    <col min="4098" max="4098" width="18.5703125" style="16" customWidth="1"/>
    <col min="4099" max="4099" width="8.7109375" style="16" customWidth="1"/>
    <col min="4100" max="4100" width="7.5703125" style="16" customWidth="1"/>
    <col min="4101" max="4101" width="8.5703125" style="16" bestFit="1" customWidth="1"/>
    <col min="4102" max="4104" width="8.140625" style="16" customWidth="1"/>
    <col min="4105" max="4111" width="8.7109375" style="16" customWidth="1"/>
    <col min="4112" max="4116" width="9.140625" style="16"/>
    <col min="4117" max="4117" width="12.42578125" style="16" customWidth="1"/>
    <col min="4118" max="4118" width="9.140625" style="16"/>
    <col min="4119" max="4119" width="12" style="16" customWidth="1"/>
    <col min="4120" max="4352" width="9.140625" style="16"/>
    <col min="4353" max="4353" width="5" style="16" customWidth="1"/>
    <col min="4354" max="4354" width="18.5703125" style="16" customWidth="1"/>
    <col min="4355" max="4355" width="8.7109375" style="16" customWidth="1"/>
    <col min="4356" max="4356" width="7.5703125" style="16" customWidth="1"/>
    <col min="4357" max="4357" width="8.5703125" style="16" bestFit="1" customWidth="1"/>
    <col min="4358" max="4360" width="8.140625" style="16" customWidth="1"/>
    <col min="4361" max="4367" width="8.7109375" style="16" customWidth="1"/>
    <col min="4368" max="4372" width="9.140625" style="16"/>
    <col min="4373" max="4373" width="12.42578125" style="16" customWidth="1"/>
    <col min="4374" max="4374" width="9.140625" style="16"/>
    <col min="4375" max="4375" width="12" style="16" customWidth="1"/>
    <col min="4376" max="4608" width="9.140625" style="16"/>
    <col min="4609" max="4609" width="5" style="16" customWidth="1"/>
    <col min="4610" max="4610" width="18.5703125" style="16" customWidth="1"/>
    <col min="4611" max="4611" width="8.7109375" style="16" customWidth="1"/>
    <col min="4612" max="4612" width="7.5703125" style="16" customWidth="1"/>
    <col min="4613" max="4613" width="8.5703125" style="16" bestFit="1" customWidth="1"/>
    <col min="4614" max="4616" width="8.140625" style="16" customWidth="1"/>
    <col min="4617" max="4623" width="8.7109375" style="16" customWidth="1"/>
    <col min="4624" max="4628" width="9.140625" style="16"/>
    <col min="4629" max="4629" width="12.42578125" style="16" customWidth="1"/>
    <col min="4630" max="4630" width="9.140625" style="16"/>
    <col min="4631" max="4631" width="12" style="16" customWidth="1"/>
    <col min="4632" max="4864" width="9.140625" style="16"/>
    <col min="4865" max="4865" width="5" style="16" customWidth="1"/>
    <col min="4866" max="4866" width="18.5703125" style="16" customWidth="1"/>
    <col min="4867" max="4867" width="8.7109375" style="16" customWidth="1"/>
    <col min="4868" max="4868" width="7.5703125" style="16" customWidth="1"/>
    <col min="4869" max="4869" width="8.5703125" style="16" bestFit="1" customWidth="1"/>
    <col min="4870" max="4872" width="8.140625" style="16" customWidth="1"/>
    <col min="4873" max="4879" width="8.7109375" style="16" customWidth="1"/>
    <col min="4880" max="4884" width="9.140625" style="16"/>
    <col min="4885" max="4885" width="12.42578125" style="16" customWidth="1"/>
    <col min="4886" max="4886" width="9.140625" style="16"/>
    <col min="4887" max="4887" width="12" style="16" customWidth="1"/>
    <col min="4888" max="5120" width="9.140625" style="16"/>
    <col min="5121" max="5121" width="5" style="16" customWidth="1"/>
    <col min="5122" max="5122" width="18.5703125" style="16" customWidth="1"/>
    <col min="5123" max="5123" width="8.7109375" style="16" customWidth="1"/>
    <col min="5124" max="5124" width="7.5703125" style="16" customWidth="1"/>
    <col min="5125" max="5125" width="8.5703125" style="16" bestFit="1" customWidth="1"/>
    <col min="5126" max="5128" width="8.140625" style="16" customWidth="1"/>
    <col min="5129" max="5135" width="8.7109375" style="16" customWidth="1"/>
    <col min="5136" max="5140" width="9.140625" style="16"/>
    <col min="5141" max="5141" width="12.42578125" style="16" customWidth="1"/>
    <col min="5142" max="5142" width="9.140625" style="16"/>
    <col min="5143" max="5143" width="12" style="16" customWidth="1"/>
    <col min="5144" max="5376" width="9.140625" style="16"/>
    <col min="5377" max="5377" width="5" style="16" customWidth="1"/>
    <col min="5378" max="5378" width="18.5703125" style="16" customWidth="1"/>
    <col min="5379" max="5379" width="8.7109375" style="16" customWidth="1"/>
    <col min="5380" max="5380" width="7.5703125" style="16" customWidth="1"/>
    <col min="5381" max="5381" width="8.5703125" style="16" bestFit="1" customWidth="1"/>
    <col min="5382" max="5384" width="8.140625" style="16" customWidth="1"/>
    <col min="5385" max="5391" width="8.7109375" style="16" customWidth="1"/>
    <col min="5392" max="5396" width="9.140625" style="16"/>
    <col min="5397" max="5397" width="12.42578125" style="16" customWidth="1"/>
    <col min="5398" max="5398" width="9.140625" style="16"/>
    <col min="5399" max="5399" width="12" style="16" customWidth="1"/>
    <col min="5400" max="5632" width="9.140625" style="16"/>
    <col min="5633" max="5633" width="5" style="16" customWidth="1"/>
    <col min="5634" max="5634" width="18.5703125" style="16" customWidth="1"/>
    <col min="5635" max="5635" width="8.7109375" style="16" customWidth="1"/>
    <col min="5636" max="5636" width="7.5703125" style="16" customWidth="1"/>
    <col min="5637" max="5637" width="8.5703125" style="16" bestFit="1" customWidth="1"/>
    <col min="5638" max="5640" width="8.140625" style="16" customWidth="1"/>
    <col min="5641" max="5647" width="8.7109375" style="16" customWidth="1"/>
    <col min="5648" max="5652" width="9.140625" style="16"/>
    <col min="5653" max="5653" width="12.42578125" style="16" customWidth="1"/>
    <col min="5654" max="5654" width="9.140625" style="16"/>
    <col min="5655" max="5655" width="12" style="16" customWidth="1"/>
    <col min="5656" max="5888" width="9.140625" style="16"/>
    <col min="5889" max="5889" width="5" style="16" customWidth="1"/>
    <col min="5890" max="5890" width="18.5703125" style="16" customWidth="1"/>
    <col min="5891" max="5891" width="8.7109375" style="16" customWidth="1"/>
    <col min="5892" max="5892" width="7.5703125" style="16" customWidth="1"/>
    <col min="5893" max="5893" width="8.5703125" style="16" bestFit="1" customWidth="1"/>
    <col min="5894" max="5896" width="8.140625" style="16" customWidth="1"/>
    <col min="5897" max="5903" width="8.7109375" style="16" customWidth="1"/>
    <col min="5904" max="5908" width="9.140625" style="16"/>
    <col min="5909" max="5909" width="12.42578125" style="16" customWidth="1"/>
    <col min="5910" max="5910" width="9.140625" style="16"/>
    <col min="5911" max="5911" width="12" style="16" customWidth="1"/>
    <col min="5912" max="6144" width="9.140625" style="16"/>
    <col min="6145" max="6145" width="5" style="16" customWidth="1"/>
    <col min="6146" max="6146" width="18.5703125" style="16" customWidth="1"/>
    <col min="6147" max="6147" width="8.7109375" style="16" customWidth="1"/>
    <col min="6148" max="6148" width="7.5703125" style="16" customWidth="1"/>
    <col min="6149" max="6149" width="8.5703125" style="16" bestFit="1" customWidth="1"/>
    <col min="6150" max="6152" width="8.140625" style="16" customWidth="1"/>
    <col min="6153" max="6159" width="8.7109375" style="16" customWidth="1"/>
    <col min="6160" max="6164" width="9.140625" style="16"/>
    <col min="6165" max="6165" width="12.42578125" style="16" customWidth="1"/>
    <col min="6166" max="6166" width="9.140625" style="16"/>
    <col min="6167" max="6167" width="12" style="16" customWidth="1"/>
    <col min="6168" max="6400" width="9.140625" style="16"/>
    <col min="6401" max="6401" width="5" style="16" customWidth="1"/>
    <col min="6402" max="6402" width="18.5703125" style="16" customWidth="1"/>
    <col min="6403" max="6403" width="8.7109375" style="16" customWidth="1"/>
    <col min="6404" max="6404" width="7.5703125" style="16" customWidth="1"/>
    <col min="6405" max="6405" width="8.5703125" style="16" bestFit="1" customWidth="1"/>
    <col min="6406" max="6408" width="8.140625" style="16" customWidth="1"/>
    <col min="6409" max="6415" width="8.7109375" style="16" customWidth="1"/>
    <col min="6416" max="6420" width="9.140625" style="16"/>
    <col min="6421" max="6421" width="12.42578125" style="16" customWidth="1"/>
    <col min="6422" max="6422" width="9.140625" style="16"/>
    <col min="6423" max="6423" width="12" style="16" customWidth="1"/>
    <col min="6424" max="6656" width="9.140625" style="16"/>
    <col min="6657" max="6657" width="5" style="16" customWidth="1"/>
    <col min="6658" max="6658" width="18.5703125" style="16" customWidth="1"/>
    <col min="6659" max="6659" width="8.7109375" style="16" customWidth="1"/>
    <col min="6660" max="6660" width="7.5703125" style="16" customWidth="1"/>
    <col min="6661" max="6661" width="8.5703125" style="16" bestFit="1" customWidth="1"/>
    <col min="6662" max="6664" width="8.140625" style="16" customWidth="1"/>
    <col min="6665" max="6671" width="8.7109375" style="16" customWidth="1"/>
    <col min="6672" max="6676" width="9.140625" style="16"/>
    <col min="6677" max="6677" width="12.42578125" style="16" customWidth="1"/>
    <col min="6678" max="6678" width="9.140625" style="16"/>
    <col min="6679" max="6679" width="12" style="16" customWidth="1"/>
    <col min="6680" max="6912" width="9.140625" style="16"/>
    <col min="6913" max="6913" width="5" style="16" customWidth="1"/>
    <col min="6914" max="6914" width="18.5703125" style="16" customWidth="1"/>
    <col min="6915" max="6915" width="8.7109375" style="16" customWidth="1"/>
    <col min="6916" max="6916" width="7.5703125" style="16" customWidth="1"/>
    <col min="6917" max="6917" width="8.5703125" style="16" bestFit="1" customWidth="1"/>
    <col min="6918" max="6920" width="8.140625" style="16" customWidth="1"/>
    <col min="6921" max="6927" width="8.7109375" style="16" customWidth="1"/>
    <col min="6928" max="6932" width="9.140625" style="16"/>
    <col min="6933" max="6933" width="12.42578125" style="16" customWidth="1"/>
    <col min="6934" max="6934" width="9.140625" style="16"/>
    <col min="6935" max="6935" width="12" style="16" customWidth="1"/>
    <col min="6936" max="7168" width="9.140625" style="16"/>
    <col min="7169" max="7169" width="5" style="16" customWidth="1"/>
    <col min="7170" max="7170" width="18.5703125" style="16" customWidth="1"/>
    <col min="7171" max="7171" width="8.7109375" style="16" customWidth="1"/>
    <col min="7172" max="7172" width="7.5703125" style="16" customWidth="1"/>
    <col min="7173" max="7173" width="8.5703125" style="16" bestFit="1" customWidth="1"/>
    <col min="7174" max="7176" width="8.140625" style="16" customWidth="1"/>
    <col min="7177" max="7183" width="8.7109375" style="16" customWidth="1"/>
    <col min="7184" max="7188" width="9.140625" style="16"/>
    <col min="7189" max="7189" width="12.42578125" style="16" customWidth="1"/>
    <col min="7190" max="7190" width="9.140625" style="16"/>
    <col min="7191" max="7191" width="12" style="16" customWidth="1"/>
    <col min="7192" max="7424" width="9.140625" style="16"/>
    <col min="7425" max="7425" width="5" style="16" customWidth="1"/>
    <col min="7426" max="7426" width="18.5703125" style="16" customWidth="1"/>
    <col min="7427" max="7427" width="8.7109375" style="16" customWidth="1"/>
    <col min="7428" max="7428" width="7.5703125" style="16" customWidth="1"/>
    <col min="7429" max="7429" width="8.5703125" style="16" bestFit="1" customWidth="1"/>
    <col min="7430" max="7432" width="8.140625" style="16" customWidth="1"/>
    <col min="7433" max="7439" width="8.7109375" style="16" customWidth="1"/>
    <col min="7440" max="7444" width="9.140625" style="16"/>
    <col min="7445" max="7445" width="12.42578125" style="16" customWidth="1"/>
    <col min="7446" max="7446" width="9.140625" style="16"/>
    <col min="7447" max="7447" width="12" style="16" customWidth="1"/>
    <col min="7448" max="7680" width="9.140625" style="16"/>
    <col min="7681" max="7681" width="5" style="16" customWidth="1"/>
    <col min="7682" max="7682" width="18.5703125" style="16" customWidth="1"/>
    <col min="7683" max="7683" width="8.7109375" style="16" customWidth="1"/>
    <col min="7684" max="7684" width="7.5703125" style="16" customWidth="1"/>
    <col min="7685" max="7685" width="8.5703125" style="16" bestFit="1" customWidth="1"/>
    <col min="7686" max="7688" width="8.140625" style="16" customWidth="1"/>
    <col min="7689" max="7695" width="8.7109375" style="16" customWidth="1"/>
    <col min="7696" max="7700" width="9.140625" style="16"/>
    <col min="7701" max="7701" width="12.42578125" style="16" customWidth="1"/>
    <col min="7702" max="7702" width="9.140625" style="16"/>
    <col min="7703" max="7703" width="12" style="16" customWidth="1"/>
    <col min="7704" max="7936" width="9.140625" style="16"/>
    <col min="7937" max="7937" width="5" style="16" customWidth="1"/>
    <col min="7938" max="7938" width="18.5703125" style="16" customWidth="1"/>
    <col min="7939" max="7939" width="8.7109375" style="16" customWidth="1"/>
    <col min="7940" max="7940" width="7.5703125" style="16" customWidth="1"/>
    <col min="7941" max="7941" width="8.5703125" style="16" bestFit="1" customWidth="1"/>
    <col min="7942" max="7944" width="8.140625" style="16" customWidth="1"/>
    <col min="7945" max="7951" width="8.7109375" style="16" customWidth="1"/>
    <col min="7952" max="7956" width="9.140625" style="16"/>
    <col min="7957" max="7957" width="12.42578125" style="16" customWidth="1"/>
    <col min="7958" max="7958" width="9.140625" style="16"/>
    <col min="7959" max="7959" width="12" style="16" customWidth="1"/>
    <col min="7960" max="8192" width="9.140625" style="16"/>
    <col min="8193" max="8193" width="5" style="16" customWidth="1"/>
    <col min="8194" max="8194" width="18.5703125" style="16" customWidth="1"/>
    <col min="8195" max="8195" width="8.7109375" style="16" customWidth="1"/>
    <col min="8196" max="8196" width="7.5703125" style="16" customWidth="1"/>
    <col min="8197" max="8197" width="8.5703125" style="16" bestFit="1" customWidth="1"/>
    <col min="8198" max="8200" width="8.140625" style="16" customWidth="1"/>
    <col min="8201" max="8207" width="8.7109375" style="16" customWidth="1"/>
    <col min="8208" max="8212" width="9.140625" style="16"/>
    <col min="8213" max="8213" width="12.42578125" style="16" customWidth="1"/>
    <col min="8214" max="8214" width="9.140625" style="16"/>
    <col min="8215" max="8215" width="12" style="16" customWidth="1"/>
    <col min="8216" max="8448" width="9.140625" style="16"/>
    <col min="8449" max="8449" width="5" style="16" customWidth="1"/>
    <col min="8450" max="8450" width="18.5703125" style="16" customWidth="1"/>
    <col min="8451" max="8451" width="8.7109375" style="16" customWidth="1"/>
    <col min="8452" max="8452" width="7.5703125" style="16" customWidth="1"/>
    <col min="8453" max="8453" width="8.5703125" style="16" bestFit="1" customWidth="1"/>
    <col min="8454" max="8456" width="8.140625" style="16" customWidth="1"/>
    <col min="8457" max="8463" width="8.7109375" style="16" customWidth="1"/>
    <col min="8464" max="8468" width="9.140625" style="16"/>
    <col min="8469" max="8469" width="12.42578125" style="16" customWidth="1"/>
    <col min="8470" max="8470" width="9.140625" style="16"/>
    <col min="8471" max="8471" width="12" style="16" customWidth="1"/>
    <col min="8472" max="8704" width="9.140625" style="16"/>
    <col min="8705" max="8705" width="5" style="16" customWidth="1"/>
    <col min="8706" max="8706" width="18.5703125" style="16" customWidth="1"/>
    <col min="8707" max="8707" width="8.7109375" style="16" customWidth="1"/>
    <col min="8708" max="8708" width="7.5703125" style="16" customWidth="1"/>
    <col min="8709" max="8709" width="8.5703125" style="16" bestFit="1" customWidth="1"/>
    <col min="8710" max="8712" width="8.140625" style="16" customWidth="1"/>
    <col min="8713" max="8719" width="8.7109375" style="16" customWidth="1"/>
    <col min="8720" max="8724" width="9.140625" style="16"/>
    <col min="8725" max="8725" width="12.42578125" style="16" customWidth="1"/>
    <col min="8726" max="8726" width="9.140625" style="16"/>
    <col min="8727" max="8727" width="12" style="16" customWidth="1"/>
    <col min="8728" max="8960" width="9.140625" style="16"/>
    <col min="8961" max="8961" width="5" style="16" customWidth="1"/>
    <col min="8962" max="8962" width="18.5703125" style="16" customWidth="1"/>
    <col min="8963" max="8963" width="8.7109375" style="16" customWidth="1"/>
    <col min="8964" max="8964" width="7.5703125" style="16" customWidth="1"/>
    <col min="8965" max="8965" width="8.5703125" style="16" bestFit="1" customWidth="1"/>
    <col min="8966" max="8968" width="8.140625" style="16" customWidth="1"/>
    <col min="8969" max="8975" width="8.7109375" style="16" customWidth="1"/>
    <col min="8976" max="8980" width="9.140625" style="16"/>
    <col min="8981" max="8981" width="12.42578125" style="16" customWidth="1"/>
    <col min="8982" max="8982" width="9.140625" style="16"/>
    <col min="8983" max="8983" width="12" style="16" customWidth="1"/>
    <col min="8984" max="9216" width="9.140625" style="16"/>
    <col min="9217" max="9217" width="5" style="16" customWidth="1"/>
    <col min="9218" max="9218" width="18.5703125" style="16" customWidth="1"/>
    <col min="9219" max="9219" width="8.7109375" style="16" customWidth="1"/>
    <col min="9220" max="9220" width="7.5703125" style="16" customWidth="1"/>
    <col min="9221" max="9221" width="8.5703125" style="16" bestFit="1" customWidth="1"/>
    <col min="9222" max="9224" width="8.140625" style="16" customWidth="1"/>
    <col min="9225" max="9231" width="8.7109375" style="16" customWidth="1"/>
    <col min="9232" max="9236" width="9.140625" style="16"/>
    <col min="9237" max="9237" width="12.42578125" style="16" customWidth="1"/>
    <col min="9238" max="9238" width="9.140625" style="16"/>
    <col min="9239" max="9239" width="12" style="16" customWidth="1"/>
    <col min="9240" max="9472" width="9.140625" style="16"/>
    <col min="9473" max="9473" width="5" style="16" customWidth="1"/>
    <col min="9474" max="9474" width="18.5703125" style="16" customWidth="1"/>
    <col min="9475" max="9475" width="8.7109375" style="16" customWidth="1"/>
    <col min="9476" max="9476" width="7.5703125" style="16" customWidth="1"/>
    <col min="9477" max="9477" width="8.5703125" style="16" bestFit="1" customWidth="1"/>
    <col min="9478" max="9480" width="8.140625" style="16" customWidth="1"/>
    <col min="9481" max="9487" width="8.7109375" style="16" customWidth="1"/>
    <col min="9488" max="9492" width="9.140625" style="16"/>
    <col min="9493" max="9493" width="12.42578125" style="16" customWidth="1"/>
    <col min="9494" max="9494" width="9.140625" style="16"/>
    <col min="9495" max="9495" width="12" style="16" customWidth="1"/>
    <col min="9496" max="9728" width="9.140625" style="16"/>
    <col min="9729" max="9729" width="5" style="16" customWidth="1"/>
    <col min="9730" max="9730" width="18.5703125" style="16" customWidth="1"/>
    <col min="9731" max="9731" width="8.7109375" style="16" customWidth="1"/>
    <col min="9732" max="9732" width="7.5703125" style="16" customWidth="1"/>
    <col min="9733" max="9733" width="8.5703125" style="16" bestFit="1" customWidth="1"/>
    <col min="9734" max="9736" width="8.140625" style="16" customWidth="1"/>
    <col min="9737" max="9743" width="8.7109375" style="16" customWidth="1"/>
    <col min="9744" max="9748" width="9.140625" style="16"/>
    <col min="9749" max="9749" width="12.42578125" style="16" customWidth="1"/>
    <col min="9750" max="9750" width="9.140625" style="16"/>
    <col min="9751" max="9751" width="12" style="16" customWidth="1"/>
    <col min="9752" max="9984" width="9.140625" style="16"/>
    <col min="9985" max="9985" width="5" style="16" customWidth="1"/>
    <col min="9986" max="9986" width="18.5703125" style="16" customWidth="1"/>
    <col min="9987" max="9987" width="8.7109375" style="16" customWidth="1"/>
    <col min="9988" max="9988" width="7.5703125" style="16" customWidth="1"/>
    <col min="9989" max="9989" width="8.5703125" style="16" bestFit="1" customWidth="1"/>
    <col min="9990" max="9992" width="8.140625" style="16" customWidth="1"/>
    <col min="9993" max="9999" width="8.7109375" style="16" customWidth="1"/>
    <col min="10000" max="10004" width="9.140625" style="16"/>
    <col min="10005" max="10005" width="12.42578125" style="16" customWidth="1"/>
    <col min="10006" max="10006" width="9.140625" style="16"/>
    <col min="10007" max="10007" width="12" style="16" customWidth="1"/>
    <col min="10008" max="10240" width="9.140625" style="16"/>
    <col min="10241" max="10241" width="5" style="16" customWidth="1"/>
    <col min="10242" max="10242" width="18.5703125" style="16" customWidth="1"/>
    <col min="10243" max="10243" width="8.7109375" style="16" customWidth="1"/>
    <col min="10244" max="10244" width="7.5703125" style="16" customWidth="1"/>
    <col min="10245" max="10245" width="8.5703125" style="16" bestFit="1" customWidth="1"/>
    <col min="10246" max="10248" width="8.140625" style="16" customWidth="1"/>
    <col min="10249" max="10255" width="8.7109375" style="16" customWidth="1"/>
    <col min="10256" max="10260" width="9.140625" style="16"/>
    <col min="10261" max="10261" width="12.42578125" style="16" customWidth="1"/>
    <col min="10262" max="10262" width="9.140625" style="16"/>
    <col min="10263" max="10263" width="12" style="16" customWidth="1"/>
    <col min="10264" max="10496" width="9.140625" style="16"/>
    <col min="10497" max="10497" width="5" style="16" customWidth="1"/>
    <col min="10498" max="10498" width="18.5703125" style="16" customWidth="1"/>
    <col min="10499" max="10499" width="8.7109375" style="16" customWidth="1"/>
    <col min="10500" max="10500" width="7.5703125" style="16" customWidth="1"/>
    <col min="10501" max="10501" width="8.5703125" style="16" bestFit="1" customWidth="1"/>
    <col min="10502" max="10504" width="8.140625" style="16" customWidth="1"/>
    <col min="10505" max="10511" width="8.7109375" style="16" customWidth="1"/>
    <col min="10512" max="10516" width="9.140625" style="16"/>
    <col min="10517" max="10517" width="12.42578125" style="16" customWidth="1"/>
    <col min="10518" max="10518" width="9.140625" style="16"/>
    <col min="10519" max="10519" width="12" style="16" customWidth="1"/>
    <col min="10520" max="10752" width="9.140625" style="16"/>
    <col min="10753" max="10753" width="5" style="16" customWidth="1"/>
    <col min="10754" max="10754" width="18.5703125" style="16" customWidth="1"/>
    <col min="10755" max="10755" width="8.7109375" style="16" customWidth="1"/>
    <col min="10756" max="10756" width="7.5703125" style="16" customWidth="1"/>
    <col min="10757" max="10757" width="8.5703125" style="16" bestFit="1" customWidth="1"/>
    <col min="10758" max="10760" width="8.140625" style="16" customWidth="1"/>
    <col min="10761" max="10767" width="8.7109375" style="16" customWidth="1"/>
    <col min="10768" max="10772" width="9.140625" style="16"/>
    <col min="10773" max="10773" width="12.42578125" style="16" customWidth="1"/>
    <col min="10774" max="10774" width="9.140625" style="16"/>
    <col min="10775" max="10775" width="12" style="16" customWidth="1"/>
    <col min="10776" max="11008" width="9.140625" style="16"/>
    <col min="11009" max="11009" width="5" style="16" customWidth="1"/>
    <col min="11010" max="11010" width="18.5703125" style="16" customWidth="1"/>
    <col min="11011" max="11011" width="8.7109375" style="16" customWidth="1"/>
    <col min="11012" max="11012" width="7.5703125" style="16" customWidth="1"/>
    <col min="11013" max="11013" width="8.5703125" style="16" bestFit="1" customWidth="1"/>
    <col min="11014" max="11016" width="8.140625" style="16" customWidth="1"/>
    <col min="11017" max="11023" width="8.7109375" style="16" customWidth="1"/>
    <col min="11024" max="11028" width="9.140625" style="16"/>
    <col min="11029" max="11029" width="12.42578125" style="16" customWidth="1"/>
    <col min="11030" max="11030" width="9.140625" style="16"/>
    <col min="11031" max="11031" width="12" style="16" customWidth="1"/>
    <col min="11032" max="11264" width="9.140625" style="16"/>
    <col min="11265" max="11265" width="5" style="16" customWidth="1"/>
    <col min="11266" max="11266" width="18.5703125" style="16" customWidth="1"/>
    <col min="11267" max="11267" width="8.7109375" style="16" customWidth="1"/>
    <col min="11268" max="11268" width="7.5703125" style="16" customWidth="1"/>
    <col min="11269" max="11269" width="8.5703125" style="16" bestFit="1" customWidth="1"/>
    <col min="11270" max="11272" width="8.140625" style="16" customWidth="1"/>
    <col min="11273" max="11279" width="8.7109375" style="16" customWidth="1"/>
    <col min="11280" max="11284" width="9.140625" style="16"/>
    <col min="11285" max="11285" width="12.42578125" style="16" customWidth="1"/>
    <col min="11286" max="11286" width="9.140625" style="16"/>
    <col min="11287" max="11287" width="12" style="16" customWidth="1"/>
    <col min="11288" max="11520" width="9.140625" style="16"/>
    <col min="11521" max="11521" width="5" style="16" customWidth="1"/>
    <col min="11522" max="11522" width="18.5703125" style="16" customWidth="1"/>
    <col min="11523" max="11523" width="8.7109375" style="16" customWidth="1"/>
    <col min="11524" max="11524" width="7.5703125" style="16" customWidth="1"/>
    <col min="11525" max="11525" width="8.5703125" style="16" bestFit="1" customWidth="1"/>
    <col min="11526" max="11528" width="8.140625" style="16" customWidth="1"/>
    <col min="11529" max="11535" width="8.7109375" style="16" customWidth="1"/>
    <col min="11536" max="11540" width="9.140625" style="16"/>
    <col min="11541" max="11541" width="12.42578125" style="16" customWidth="1"/>
    <col min="11542" max="11542" width="9.140625" style="16"/>
    <col min="11543" max="11543" width="12" style="16" customWidth="1"/>
    <col min="11544" max="11776" width="9.140625" style="16"/>
    <col min="11777" max="11777" width="5" style="16" customWidth="1"/>
    <col min="11778" max="11778" width="18.5703125" style="16" customWidth="1"/>
    <col min="11779" max="11779" width="8.7109375" style="16" customWidth="1"/>
    <col min="11780" max="11780" width="7.5703125" style="16" customWidth="1"/>
    <col min="11781" max="11781" width="8.5703125" style="16" bestFit="1" customWidth="1"/>
    <col min="11782" max="11784" width="8.140625" style="16" customWidth="1"/>
    <col min="11785" max="11791" width="8.7109375" style="16" customWidth="1"/>
    <col min="11792" max="11796" width="9.140625" style="16"/>
    <col min="11797" max="11797" width="12.42578125" style="16" customWidth="1"/>
    <col min="11798" max="11798" width="9.140625" style="16"/>
    <col min="11799" max="11799" width="12" style="16" customWidth="1"/>
    <col min="11800" max="12032" width="9.140625" style="16"/>
    <col min="12033" max="12033" width="5" style="16" customWidth="1"/>
    <col min="12034" max="12034" width="18.5703125" style="16" customWidth="1"/>
    <col min="12035" max="12035" width="8.7109375" style="16" customWidth="1"/>
    <col min="12036" max="12036" width="7.5703125" style="16" customWidth="1"/>
    <col min="12037" max="12037" width="8.5703125" style="16" bestFit="1" customWidth="1"/>
    <col min="12038" max="12040" width="8.140625" style="16" customWidth="1"/>
    <col min="12041" max="12047" width="8.7109375" style="16" customWidth="1"/>
    <col min="12048" max="12052" width="9.140625" style="16"/>
    <col min="12053" max="12053" width="12.42578125" style="16" customWidth="1"/>
    <col min="12054" max="12054" width="9.140625" style="16"/>
    <col min="12055" max="12055" width="12" style="16" customWidth="1"/>
    <col min="12056" max="12288" width="9.140625" style="16"/>
    <col min="12289" max="12289" width="5" style="16" customWidth="1"/>
    <col min="12290" max="12290" width="18.5703125" style="16" customWidth="1"/>
    <col min="12291" max="12291" width="8.7109375" style="16" customWidth="1"/>
    <col min="12292" max="12292" width="7.5703125" style="16" customWidth="1"/>
    <col min="12293" max="12293" width="8.5703125" style="16" bestFit="1" customWidth="1"/>
    <col min="12294" max="12296" width="8.140625" style="16" customWidth="1"/>
    <col min="12297" max="12303" width="8.7109375" style="16" customWidth="1"/>
    <col min="12304" max="12308" width="9.140625" style="16"/>
    <col min="12309" max="12309" width="12.42578125" style="16" customWidth="1"/>
    <col min="12310" max="12310" width="9.140625" style="16"/>
    <col min="12311" max="12311" width="12" style="16" customWidth="1"/>
    <col min="12312" max="12544" width="9.140625" style="16"/>
    <col min="12545" max="12545" width="5" style="16" customWidth="1"/>
    <col min="12546" max="12546" width="18.5703125" style="16" customWidth="1"/>
    <col min="12547" max="12547" width="8.7109375" style="16" customWidth="1"/>
    <col min="12548" max="12548" width="7.5703125" style="16" customWidth="1"/>
    <col min="12549" max="12549" width="8.5703125" style="16" bestFit="1" customWidth="1"/>
    <col min="12550" max="12552" width="8.140625" style="16" customWidth="1"/>
    <col min="12553" max="12559" width="8.7109375" style="16" customWidth="1"/>
    <col min="12560" max="12564" width="9.140625" style="16"/>
    <col min="12565" max="12565" width="12.42578125" style="16" customWidth="1"/>
    <col min="12566" max="12566" width="9.140625" style="16"/>
    <col min="12567" max="12567" width="12" style="16" customWidth="1"/>
    <col min="12568" max="12800" width="9.140625" style="16"/>
    <col min="12801" max="12801" width="5" style="16" customWidth="1"/>
    <col min="12802" max="12802" width="18.5703125" style="16" customWidth="1"/>
    <col min="12803" max="12803" width="8.7109375" style="16" customWidth="1"/>
    <col min="12804" max="12804" width="7.5703125" style="16" customWidth="1"/>
    <col min="12805" max="12805" width="8.5703125" style="16" bestFit="1" customWidth="1"/>
    <col min="12806" max="12808" width="8.140625" style="16" customWidth="1"/>
    <col min="12809" max="12815" width="8.7109375" style="16" customWidth="1"/>
    <col min="12816" max="12820" width="9.140625" style="16"/>
    <col min="12821" max="12821" width="12.42578125" style="16" customWidth="1"/>
    <col min="12822" max="12822" width="9.140625" style="16"/>
    <col min="12823" max="12823" width="12" style="16" customWidth="1"/>
    <col min="12824" max="13056" width="9.140625" style="16"/>
    <col min="13057" max="13057" width="5" style="16" customWidth="1"/>
    <col min="13058" max="13058" width="18.5703125" style="16" customWidth="1"/>
    <col min="13059" max="13059" width="8.7109375" style="16" customWidth="1"/>
    <col min="13060" max="13060" width="7.5703125" style="16" customWidth="1"/>
    <col min="13061" max="13061" width="8.5703125" style="16" bestFit="1" customWidth="1"/>
    <col min="13062" max="13064" width="8.140625" style="16" customWidth="1"/>
    <col min="13065" max="13071" width="8.7109375" style="16" customWidth="1"/>
    <col min="13072" max="13076" width="9.140625" style="16"/>
    <col min="13077" max="13077" width="12.42578125" style="16" customWidth="1"/>
    <col min="13078" max="13078" width="9.140625" style="16"/>
    <col min="13079" max="13079" width="12" style="16" customWidth="1"/>
    <col min="13080" max="13312" width="9.140625" style="16"/>
    <col min="13313" max="13313" width="5" style="16" customWidth="1"/>
    <col min="13314" max="13314" width="18.5703125" style="16" customWidth="1"/>
    <col min="13315" max="13315" width="8.7109375" style="16" customWidth="1"/>
    <col min="13316" max="13316" width="7.5703125" style="16" customWidth="1"/>
    <col min="13317" max="13317" width="8.5703125" style="16" bestFit="1" customWidth="1"/>
    <col min="13318" max="13320" width="8.140625" style="16" customWidth="1"/>
    <col min="13321" max="13327" width="8.7109375" style="16" customWidth="1"/>
    <col min="13328" max="13332" width="9.140625" style="16"/>
    <col min="13333" max="13333" width="12.42578125" style="16" customWidth="1"/>
    <col min="13334" max="13334" width="9.140625" style="16"/>
    <col min="13335" max="13335" width="12" style="16" customWidth="1"/>
    <col min="13336" max="13568" width="9.140625" style="16"/>
    <col min="13569" max="13569" width="5" style="16" customWidth="1"/>
    <col min="13570" max="13570" width="18.5703125" style="16" customWidth="1"/>
    <col min="13571" max="13571" width="8.7109375" style="16" customWidth="1"/>
    <col min="13572" max="13572" width="7.5703125" style="16" customWidth="1"/>
    <col min="13573" max="13573" width="8.5703125" style="16" bestFit="1" customWidth="1"/>
    <col min="13574" max="13576" width="8.140625" style="16" customWidth="1"/>
    <col min="13577" max="13583" width="8.7109375" style="16" customWidth="1"/>
    <col min="13584" max="13588" width="9.140625" style="16"/>
    <col min="13589" max="13589" width="12.42578125" style="16" customWidth="1"/>
    <col min="13590" max="13590" width="9.140625" style="16"/>
    <col min="13591" max="13591" width="12" style="16" customWidth="1"/>
    <col min="13592" max="13824" width="9.140625" style="16"/>
    <col min="13825" max="13825" width="5" style="16" customWidth="1"/>
    <col min="13826" max="13826" width="18.5703125" style="16" customWidth="1"/>
    <col min="13827" max="13827" width="8.7109375" style="16" customWidth="1"/>
    <col min="13828" max="13828" width="7.5703125" style="16" customWidth="1"/>
    <col min="13829" max="13829" width="8.5703125" style="16" bestFit="1" customWidth="1"/>
    <col min="13830" max="13832" width="8.140625" style="16" customWidth="1"/>
    <col min="13833" max="13839" width="8.7109375" style="16" customWidth="1"/>
    <col min="13840" max="13844" width="9.140625" style="16"/>
    <col min="13845" max="13845" width="12.42578125" style="16" customWidth="1"/>
    <col min="13846" max="13846" width="9.140625" style="16"/>
    <col min="13847" max="13847" width="12" style="16" customWidth="1"/>
    <col min="13848" max="14080" width="9.140625" style="16"/>
    <col min="14081" max="14081" width="5" style="16" customWidth="1"/>
    <col min="14082" max="14082" width="18.5703125" style="16" customWidth="1"/>
    <col min="14083" max="14083" width="8.7109375" style="16" customWidth="1"/>
    <col min="14084" max="14084" width="7.5703125" style="16" customWidth="1"/>
    <col min="14085" max="14085" width="8.5703125" style="16" bestFit="1" customWidth="1"/>
    <col min="14086" max="14088" width="8.140625" style="16" customWidth="1"/>
    <col min="14089" max="14095" width="8.7109375" style="16" customWidth="1"/>
    <col min="14096" max="14100" width="9.140625" style="16"/>
    <col min="14101" max="14101" width="12.42578125" style="16" customWidth="1"/>
    <col min="14102" max="14102" width="9.140625" style="16"/>
    <col min="14103" max="14103" width="12" style="16" customWidth="1"/>
    <col min="14104" max="14336" width="9.140625" style="16"/>
    <col min="14337" max="14337" width="5" style="16" customWidth="1"/>
    <col min="14338" max="14338" width="18.5703125" style="16" customWidth="1"/>
    <col min="14339" max="14339" width="8.7109375" style="16" customWidth="1"/>
    <col min="14340" max="14340" width="7.5703125" style="16" customWidth="1"/>
    <col min="14341" max="14341" width="8.5703125" style="16" bestFit="1" customWidth="1"/>
    <col min="14342" max="14344" width="8.140625" style="16" customWidth="1"/>
    <col min="14345" max="14351" width="8.7109375" style="16" customWidth="1"/>
    <col min="14352" max="14356" width="9.140625" style="16"/>
    <col min="14357" max="14357" width="12.42578125" style="16" customWidth="1"/>
    <col min="14358" max="14358" width="9.140625" style="16"/>
    <col min="14359" max="14359" width="12" style="16" customWidth="1"/>
    <col min="14360" max="14592" width="9.140625" style="16"/>
    <col min="14593" max="14593" width="5" style="16" customWidth="1"/>
    <col min="14594" max="14594" width="18.5703125" style="16" customWidth="1"/>
    <col min="14595" max="14595" width="8.7109375" style="16" customWidth="1"/>
    <col min="14596" max="14596" width="7.5703125" style="16" customWidth="1"/>
    <col min="14597" max="14597" width="8.5703125" style="16" bestFit="1" customWidth="1"/>
    <col min="14598" max="14600" width="8.140625" style="16" customWidth="1"/>
    <col min="14601" max="14607" width="8.7109375" style="16" customWidth="1"/>
    <col min="14608" max="14612" width="9.140625" style="16"/>
    <col min="14613" max="14613" width="12.42578125" style="16" customWidth="1"/>
    <col min="14614" max="14614" width="9.140625" style="16"/>
    <col min="14615" max="14615" width="12" style="16" customWidth="1"/>
    <col min="14616" max="14848" width="9.140625" style="16"/>
    <col min="14849" max="14849" width="5" style="16" customWidth="1"/>
    <col min="14850" max="14850" width="18.5703125" style="16" customWidth="1"/>
    <col min="14851" max="14851" width="8.7109375" style="16" customWidth="1"/>
    <col min="14852" max="14852" width="7.5703125" style="16" customWidth="1"/>
    <col min="14853" max="14853" width="8.5703125" style="16" bestFit="1" customWidth="1"/>
    <col min="14854" max="14856" width="8.140625" style="16" customWidth="1"/>
    <col min="14857" max="14863" width="8.7109375" style="16" customWidth="1"/>
    <col min="14864" max="14868" width="9.140625" style="16"/>
    <col min="14869" max="14869" width="12.42578125" style="16" customWidth="1"/>
    <col min="14870" max="14870" width="9.140625" style="16"/>
    <col min="14871" max="14871" width="12" style="16" customWidth="1"/>
    <col min="14872" max="15104" width="9.140625" style="16"/>
    <col min="15105" max="15105" width="5" style="16" customWidth="1"/>
    <col min="15106" max="15106" width="18.5703125" style="16" customWidth="1"/>
    <col min="15107" max="15107" width="8.7109375" style="16" customWidth="1"/>
    <col min="15108" max="15108" width="7.5703125" style="16" customWidth="1"/>
    <col min="15109" max="15109" width="8.5703125" style="16" bestFit="1" customWidth="1"/>
    <col min="15110" max="15112" width="8.140625" style="16" customWidth="1"/>
    <col min="15113" max="15119" width="8.7109375" style="16" customWidth="1"/>
    <col min="15120" max="15124" width="9.140625" style="16"/>
    <col min="15125" max="15125" width="12.42578125" style="16" customWidth="1"/>
    <col min="15126" max="15126" width="9.140625" style="16"/>
    <col min="15127" max="15127" width="12" style="16" customWidth="1"/>
    <col min="15128" max="15360" width="9.140625" style="16"/>
    <col min="15361" max="15361" width="5" style="16" customWidth="1"/>
    <col min="15362" max="15362" width="18.5703125" style="16" customWidth="1"/>
    <col min="15363" max="15363" width="8.7109375" style="16" customWidth="1"/>
    <col min="15364" max="15364" width="7.5703125" style="16" customWidth="1"/>
    <col min="15365" max="15365" width="8.5703125" style="16" bestFit="1" customWidth="1"/>
    <col min="15366" max="15368" width="8.140625" style="16" customWidth="1"/>
    <col min="15369" max="15375" width="8.7109375" style="16" customWidth="1"/>
    <col min="15376" max="15380" width="9.140625" style="16"/>
    <col min="15381" max="15381" width="12.42578125" style="16" customWidth="1"/>
    <col min="15382" max="15382" width="9.140625" style="16"/>
    <col min="15383" max="15383" width="12" style="16" customWidth="1"/>
    <col min="15384" max="15616" width="9.140625" style="16"/>
    <col min="15617" max="15617" width="5" style="16" customWidth="1"/>
    <col min="15618" max="15618" width="18.5703125" style="16" customWidth="1"/>
    <col min="15619" max="15619" width="8.7109375" style="16" customWidth="1"/>
    <col min="15620" max="15620" width="7.5703125" style="16" customWidth="1"/>
    <col min="15621" max="15621" width="8.5703125" style="16" bestFit="1" customWidth="1"/>
    <col min="15622" max="15624" width="8.140625" style="16" customWidth="1"/>
    <col min="15625" max="15631" width="8.7109375" style="16" customWidth="1"/>
    <col min="15632" max="15636" width="9.140625" style="16"/>
    <col min="15637" max="15637" width="12.42578125" style="16" customWidth="1"/>
    <col min="15638" max="15638" width="9.140625" style="16"/>
    <col min="15639" max="15639" width="12" style="16" customWidth="1"/>
    <col min="15640" max="15872" width="9.140625" style="16"/>
    <col min="15873" max="15873" width="5" style="16" customWidth="1"/>
    <col min="15874" max="15874" width="18.5703125" style="16" customWidth="1"/>
    <col min="15875" max="15875" width="8.7109375" style="16" customWidth="1"/>
    <col min="15876" max="15876" width="7.5703125" style="16" customWidth="1"/>
    <col min="15877" max="15877" width="8.5703125" style="16" bestFit="1" customWidth="1"/>
    <col min="15878" max="15880" width="8.140625" style="16" customWidth="1"/>
    <col min="15881" max="15887" width="8.7109375" style="16" customWidth="1"/>
    <col min="15888" max="15892" width="9.140625" style="16"/>
    <col min="15893" max="15893" width="12.42578125" style="16" customWidth="1"/>
    <col min="15894" max="15894" width="9.140625" style="16"/>
    <col min="15895" max="15895" width="12" style="16" customWidth="1"/>
    <col min="15896" max="16128" width="9.140625" style="16"/>
    <col min="16129" max="16129" width="5" style="16" customWidth="1"/>
    <col min="16130" max="16130" width="18.5703125" style="16" customWidth="1"/>
    <col min="16131" max="16131" width="8.7109375" style="16" customWidth="1"/>
    <col min="16132" max="16132" width="7.5703125" style="16" customWidth="1"/>
    <col min="16133" max="16133" width="8.5703125" style="16" bestFit="1" customWidth="1"/>
    <col min="16134" max="16136" width="8.140625" style="16" customWidth="1"/>
    <col min="16137" max="16143" width="8.7109375" style="16" customWidth="1"/>
    <col min="16144" max="16148" width="9.140625" style="16"/>
    <col min="16149" max="16149" width="12.42578125" style="16" customWidth="1"/>
    <col min="16150" max="16150" width="9.140625" style="16"/>
    <col min="16151" max="16151" width="12" style="16" customWidth="1"/>
    <col min="16152" max="16384" width="9.140625" style="16"/>
  </cols>
  <sheetData>
    <row r="1" spans="1:17" s="1" customFormat="1" x14ac:dyDescent="0.2">
      <c r="A1" s="867" t="s">
        <v>449</v>
      </c>
      <c r="B1" s="868"/>
      <c r="C1" s="868"/>
      <c r="D1" s="869"/>
      <c r="E1" s="868"/>
      <c r="F1" s="868"/>
      <c r="G1" s="867" t="s">
        <v>102</v>
      </c>
      <c r="H1" s="869"/>
      <c r="I1" s="869" t="s">
        <v>600</v>
      </c>
      <c r="J1" s="868"/>
      <c r="K1" s="868"/>
      <c r="L1" s="870"/>
      <c r="M1" s="870"/>
      <c r="N1" s="870"/>
      <c r="O1" s="870"/>
    </row>
    <row r="2" spans="1:17" s="1" customFormat="1" x14ac:dyDescent="0.2">
      <c r="A2" s="867" t="s">
        <v>103</v>
      </c>
      <c r="B2" s="868"/>
      <c r="C2" s="868"/>
      <c r="D2" s="869"/>
      <c r="E2" s="868"/>
      <c r="F2" s="868"/>
      <c r="G2" s="867" t="s">
        <v>104</v>
      </c>
      <c r="H2" s="869"/>
      <c r="I2" s="869" t="s">
        <v>105</v>
      </c>
      <c r="J2" s="868"/>
      <c r="K2" s="868"/>
      <c r="L2" s="870"/>
      <c r="M2" s="870"/>
      <c r="N2" s="870"/>
      <c r="O2" s="870"/>
    </row>
    <row r="3" spans="1:17" s="1" customFormat="1" x14ac:dyDescent="0.2">
      <c r="A3" s="867" t="s">
        <v>106</v>
      </c>
      <c r="B3" s="868"/>
      <c r="C3" s="868"/>
      <c r="D3" s="883" t="s">
        <v>620</v>
      </c>
      <c r="E3" s="868"/>
      <c r="F3" s="868"/>
      <c r="G3" s="867" t="s">
        <v>107</v>
      </c>
      <c r="H3" s="869"/>
      <c r="I3" s="869" t="s">
        <v>108</v>
      </c>
      <c r="J3" s="868"/>
      <c r="K3" s="868"/>
      <c r="L3" s="870"/>
      <c r="M3" s="870"/>
      <c r="N3" s="870"/>
      <c r="O3" s="870"/>
    </row>
    <row r="4" spans="1:17" s="1" customFormat="1" x14ac:dyDescent="0.2">
      <c r="A4" s="867" t="s">
        <v>476</v>
      </c>
      <c r="B4" s="868"/>
      <c r="C4" s="868"/>
      <c r="D4" s="869" t="s">
        <v>621</v>
      </c>
      <c r="E4" s="868"/>
      <c r="F4" s="868"/>
      <c r="G4" s="867" t="s">
        <v>110</v>
      </c>
      <c r="H4" s="869"/>
      <c r="I4" s="869" t="s">
        <v>622</v>
      </c>
      <c r="J4" s="868"/>
      <c r="K4" s="868"/>
      <c r="L4" s="870"/>
      <c r="M4" s="870"/>
      <c r="N4" s="870"/>
      <c r="O4" s="870"/>
    </row>
    <row r="5" spans="1:17" s="1" customFormat="1" x14ac:dyDescent="0.2">
      <c r="A5" s="867" t="s">
        <v>112</v>
      </c>
      <c r="B5" s="868"/>
      <c r="C5" s="868"/>
      <c r="D5" s="869"/>
      <c r="E5" s="868"/>
      <c r="F5" s="868"/>
      <c r="G5" s="867"/>
      <c r="H5" s="868"/>
      <c r="I5" s="869" t="s">
        <v>113</v>
      </c>
      <c r="J5" s="868"/>
      <c r="K5" s="868"/>
      <c r="L5" s="870"/>
      <c r="M5" s="870"/>
      <c r="N5" s="870"/>
      <c r="O5" s="870"/>
    </row>
    <row r="6" spans="1:17" s="1" customFormat="1" x14ac:dyDescent="0.2">
      <c r="A6" s="871" t="s">
        <v>114</v>
      </c>
      <c r="B6" s="872"/>
      <c r="C6" s="872"/>
      <c r="D6" s="868" t="s">
        <v>601</v>
      </c>
      <c r="E6" s="868"/>
      <c r="F6" s="868"/>
      <c r="G6" s="871" t="s">
        <v>115</v>
      </c>
      <c r="H6" s="871"/>
      <c r="I6" s="2" t="s">
        <v>116</v>
      </c>
      <c r="J6" s="888"/>
      <c r="K6" s="888"/>
      <c r="L6" s="888"/>
      <c r="M6" s="888"/>
      <c r="N6" s="888"/>
      <c r="O6" s="889"/>
    </row>
    <row r="7" spans="1:17" s="1" customFormat="1" ht="13.5" thickBot="1" x14ac:dyDescent="0.25">
      <c r="A7" s="3"/>
      <c r="B7" s="4"/>
      <c r="C7" s="5"/>
      <c r="D7" s="6"/>
      <c r="E7" s="6"/>
      <c r="F7" s="6"/>
      <c r="G7" s="6"/>
      <c r="H7" s="6"/>
      <c r="I7" s="6"/>
      <c r="J7" s="7"/>
      <c r="K7" s="8"/>
      <c r="L7" s="875" t="s">
        <v>223</v>
      </c>
      <c r="M7" s="875"/>
      <c r="N7" s="875"/>
      <c r="O7" s="875"/>
    </row>
    <row r="8" spans="1:17" s="11" customFormat="1" x14ac:dyDescent="0.2">
      <c r="A8" s="876" t="str">
        <f>I1</f>
        <v>Mr. I. A. Pereira</v>
      </c>
      <c r="B8" s="877"/>
      <c r="C8" s="9">
        <v>43160</v>
      </c>
      <c r="D8" s="9">
        <v>43191</v>
      </c>
      <c r="E8" s="9">
        <v>43221</v>
      </c>
      <c r="F8" s="9">
        <v>43252</v>
      </c>
      <c r="G8" s="9">
        <v>43282</v>
      </c>
      <c r="H8" s="9">
        <v>43313</v>
      </c>
      <c r="I8" s="9">
        <v>43344</v>
      </c>
      <c r="J8" s="9">
        <v>43374</v>
      </c>
      <c r="K8" s="9">
        <v>43405</v>
      </c>
      <c r="L8" s="9">
        <v>43435</v>
      </c>
      <c r="M8" s="9">
        <v>43466</v>
      </c>
      <c r="N8" s="9">
        <v>43497</v>
      </c>
      <c r="O8" s="10" t="s">
        <v>117</v>
      </c>
      <c r="Q8" s="11" t="s">
        <v>116</v>
      </c>
    </row>
    <row r="9" spans="1:17" ht="15" x14ac:dyDescent="0.2">
      <c r="A9" s="12"/>
      <c r="B9" s="13" t="s">
        <v>118</v>
      </c>
      <c r="C9" s="14">
        <v>56900</v>
      </c>
      <c r="D9" s="14">
        <f>+C9</f>
        <v>56900</v>
      </c>
      <c r="E9" s="14">
        <f>+D9</f>
        <v>56900</v>
      </c>
      <c r="F9" s="14">
        <f>+E9</f>
        <v>56900</v>
      </c>
      <c r="G9" s="14">
        <v>58600</v>
      </c>
      <c r="H9" s="14">
        <v>58600</v>
      </c>
      <c r="I9" s="14">
        <v>58600</v>
      </c>
      <c r="J9" s="14">
        <v>58600</v>
      </c>
      <c r="K9" s="14">
        <v>58600</v>
      </c>
      <c r="L9" s="14">
        <v>58600</v>
      </c>
      <c r="M9" s="14">
        <v>58600</v>
      </c>
      <c r="N9" s="14">
        <v>58600</v>
      </c>
      <c r="O9" s="15">
        <f>SUM(C9:N9)</f>
        <v>696400</v>
      </c>
      <c r="Q9" s="16" t="s">
        <v>222</v>
      </c>
    </row>
    <row r="10" spans="1:17" ht="15" x14ac:dyDescent="0.2">
      <c r="A10" s="12"/>
      <c r="B10" s="13" t="s">
        <v>119</v>
      </c>
      <c r="C10" s="17">
        <v>0</v>
      </c>
      <c r="D10" s="17">
        <f>+C10</f>
        <v>0</v>
      </c>
      <c r="E10" s="17">
        <f t="shared" ref="E10:N25" si="0">+D10</f>
        <v>0</v>
      </c>
      <c r="F10" s="17">
        <f t="shared" si="0"/>
        <v>0</v>
      </c>
      <c r="G10" s="17">
        <f t="shared" si="0"/>
        <v>0</v>
      </c>
      <c r="H10" s="17">
        <v>0</v>
      </c>
      <c r="I10" s="17">
        <f t="shared" si="0"/>
        <v>0</v>
      </c>
      <c r="J10" s="17">
        <f t="shared" si="0"/>
        <v>0</v>
      </c>
      <c r="K10" s="17">
        <f t="shared" si="0"/>
        <v>0</v>
      </c>
      <c r="L10" s="17">
        <f t="shared" si="0"/>
        <v>0</v>
      </c>
      <c r="M10" s="17">
        <f t="shared" si="0"/>
        <v>0</v>
      </c>
      <c r="N10" s="17">
        <f t="shared" si="0"/>
        <v>0</v>
      </c>
      <c r="O10" s="18">
        <f>SUM(C10:N10)</f>
        <v>0</v>
      </c>
    </row>
    <row r="11" spans="1:17" ht="15" x14ac:dyDescent="0.2">
      <c r="A11" s="12"/>
      <c r="B11" s="13" t="s">
        <v>120</v>
      </c>
      <c r="C11" s="17">
        <v>2845</v>
      </c>
      <c r="D11" s="17">
        <v>3983</v>
      </c>
      <c r="E11" s="17">
        <f t="shared" si="0"/>
        <v>3983</v>
      </c>
      <c r="F11" s="17">
        <f t="shared" si="0"/>
        <v>3983</v>
      </c>
      <c r="G11" s="17">
        <v>4102</v>
      </c>
      <c r="H11" s="17">
        <v>4102</v>
      </c>
      <c r="I11" s="17">
        <v>4102</v>
      </c>
      <c r="J11" s="17">
        <v>5274</v>
      </c>
      <c r="K11" s="17">
        <f>+J11</f>
        <v>5274</v>
      </c>
      <c r="L11" s="17">
        <f>+K11</f>
        <v>5274</v>
      </c>
      <c r="M11" s="17">
        <f>+L11</f>
        <v>5274</v>
      </c>
      <c r="N11" s="17">
        <f>+M11</f>
        <v>5274</v>
      </c>
      <c r="O11" s="18">
        <f>SUM(C11:N11)</f>
        <v>53470</v>
      </c>
    </row>
    <row r="12" spans="1:17" ht="15" hidden="1" x14ac:dyDescent="0.2">
      <c r="A12" s="12"/>
      <c r="B12" s="13" t="s">
        <v>121</v>
      </c>
      <c r="C12" s="17">
        <v>0</v>
      </c>
      <c r="D12" s="17">
        <f>+C12</f>
        <v>0</v>
      </c>
      <c r="E12" s="17">
        <f t="shared" si="0"/>
        <v>0</v>
      </c>
      <c r="F12" s="17">
        <f t="shared" si="0"/>
        <v>0</v>
      </c>
      <c r="G12" s="17">
        <f t="shared" si="0"/>
        <v>0</v>
      </c>
      <c r="H12" s="17">
        <v>0</v>
      </c>
      <c r="I12" s="17">
        <f t="shared" ref="I12:N13" si="1">+H12</f>
        <v>0</v>
      </c>
      <c r="J12" s="17">
        <f t="shared" si="1"/>
        <v>0</v>
      </c>
      <c r="K12" s="17">
        <f t="shared" si="1"/>
        <v>0</v>
      </c>
      <c r="L12" s="17">
        <f t="shared" si="1"/>
        <v>0</v>
      </c>
      <c r="M12" s="17">
        <f t="shared" si="1"/>
        <v>0</v>
      </c>
      <c r="N12" s="17">
        <f t="shared" si="1"/>
        <v>0</v>
      </c>
      <c r="O12" s="18">
        <f>SUM(C12:N12)</f>
        <v>0</v>
      </c>
    </row>
    <row r="13" spans="1:17" ht="15" hidden="1" x14ac:dyDescent="0.2">
      <c r="A13" s="12"/>
      <c r="B13" s="13" t="s">
        <v>122</v>
      </c>
      <c r="C13" s="17">
        <v>0</v>
      </c>
      <c r="D13" s="17">
        <f>+C13</f>
        <v>0</v>
      </c>
      <c r="E13" s="17">
        <f t="shared" si="0"/>
        <v>0</v>
      </c>
      <c r="F13" s="17">
        <f t="shared" si="0"/>
        <v>0</v>
      </c>
      <c r="G13" s="17">
        <f t="shared" si="0"/>
        <v>0</v>
      </c>
      <c r="H13" s="17">
        <v>0</v>
      </c>
      <c r="I13" s="17">
        <f t="shared" si="1"/>
        <v>0</v>
      </c>
      <c r="J13" s="17">
        <f t="shared" si="1"/>
        <v>0</v>
      </c>
      <c r="K13" s="17">
        <f t="shared" si="1"/>
        <v>0</v>
      </c>
      <c r="L13" s="17">
        <f t="shared" si="1"/>
        <v>0</v>
      </c>
      <c r="M13" s="17">
        <f t="shared" si="1"/>
        <v>0</v>
      </c>
      <c r="N13" s="17">
        <f t="shared" si="1"/>
        <v>0</v>
      </c>
      <c r="O13" s="18">
        <f t="shared" ref="O13:O36" si="2">SUM(C13:N13)</f>
        <v>0</v>
      </c>
    </row>
    <row r="14" spans="1:17" ht="15" x14ac:dyDescent="0.2">
      <c r="A14" s="12"/>
      <c r="B14" s="13" t="s">
        <v>123</v>
      </c>
      <c r="C14" s="17">
        <v>3780</v>
      </c>
      <c r="D14" s="17">
        <v>3852</v>
      </c>
      <c r="E14" s="17">
        <f t="shared" si="0"/>
        <v>3852</v>
      </c>
      <c r="F14" s="17">
        <f t="shared" si="0"/>
        <v>3852</v>
      </c>
      <c r="G14" s="17">
        <f t="shared" si="0"/>
        <v>3852</v>
      </c>
      <c r="H14" s="17">
        <f>+G14</f>
        <v>3852</v>
      </c>
      <c r="I14" s="17">
        <f>+H14</f>
        <v>3852</v>
      </c>
      <c r="J14" s="17">
        <v>3924</v>
      </c>
      <c r="K14" s="17">
        <f>+J14</f>
        <v>3924</v>
      </c>
      <c r="L14" s="17">
        <f>+K14</f>
        <v>3924</v>
      </c>
      <c r="M14" s="17">
        <f>+L14</f>
        <v>3924</v>
      </c>
      <c r="N14" s="17">
        <f>+M14</f>
        <v>3924</v>
      </c>
      <c r="O14" s="18">
        <f t="shared" si="2"/>
        <v>46512</v>
      </c>
    </row>
    <row r="15" spans="1:17" ht="15" hidden="1" x14ac:dyDescent="0.2">
      <c r="A15" s="12"/>
      <c r="B15" s="13" t="s">
        <v>124</v>
      </c>
      <c r="C15" s="17">
        <v>0</v>
      </c>
      <c r="D15" s="17">
        <f t="shared" ref="D15:G34" si="3">+C15</f>
        <v>0</v>
      </c>
      <c r="E15" s="17">
        <f t="shared" si="0"/>
        <v>0</v>
      </c>
      <c r="F15" s="17">
        <f t="shared" si="0"/>
        <v>0</v>
      </c>
      <c r="G15" s="17">
        <f t="shared" si="0"/>
        <v>0</v>
      </c>
      <c r="H15" s="17">
        <v>0</v>
      </c>
      <c r="I15" s="17">
        <f t="shared" ref="I15:N18" si="4">+H15</f>
        <v>0</v>
      </c>
      <c r="J15" s="17">
        <f t="shared" si="4"/>
        <v>0</v>
      </c>
      <c r="K15" s="17">
        <f t="shared" si="4"/>
        <v>0</v>
      </c>
      <c r="L15" s="17">
        <f t="shared" si="4"/>
        <v>0</v>
      </c>
      <c r="M15" s="17">
        <f t="shared" si="4"/>
        <v>0</v>
      </c>
      <c r="N15" s="17">
        <f t="shared" si="4"/>
        <v>0</v>
      </c>
      <c r="O15" s="18">
        <f t="shared" si="2"/>
        <v>0</v>
      </c>
    </row>
    <row r="16" spans="1:17" ht="15" hidden="1" x14ac:dyDescent="0.2">
      <c r="A16" s="12"/>
      <c r="B16" s="13" t="s">
        <v>125</v>
      </c>
      <c r="C16" s="17">
        <v>0</v>
      </c>
      <c r="D16" s="17">
        <f t="shared" si="3"/>
        <v>0</v>
      </c>
      <c r="E16" s="17">
        <f t="shared" si="0"/>
        <v>0</v>
      </c>
      <c r="F16" s="17">
        <f t="shared" si="0"/>
        <v>0</v>
      </c>
      <c r="G16" s="17">
        <f t="shared" si="0"/>
        <v>0</v>
      </c>
      <c r="H16" s="17">
        <v>0</v>
      </c>
      <c r="I16" s="17">
        <f t="shared" si="4"/>
        <v>0</v>
      </c>
      <c r="J16" s="17">
        <f t="shared" si="4"/>
        <v>0</v>
      </c>
      <c r="K16" s="17">
        <f t="shared" si="4"/>
        <v>0</v>
      </c>
      <c r="L16" s="17">
        <f t="shared" si="4"/>
        <v>0</v>
      </c>
      <c r="M16" s="17">
        <f t="shared" si="4"/>
        <v>0</v>
      </c>
      <c r="N16" s="17">
        <f t="shared" si="4"/>
        <v>0</v>
      </c>
      <c r="O16" s="18">
        <f t="shared" si="2"/>
        <v>0</v>
      </c>
    </row>
    <row r="17" spans="1:15" ht="15" hidden="1" x14ac:dyDescent="0.2">
      <c r="A17" s="12"/>
      <c r="B17" s="13" t="s">
        <v>126</v>
      </c>
      <c r="C17" s="17">
        <v>0</v>
      </c>
      <c r="D17" s="17">
        <f t="shared" si="3"/>
        <v>0</v>
      </c>
      <c r="E17" s="17">
        <f t="shared" si="0"/>
        <v>0</v>
      </c>
      <c r="F17" s="17">
        <f t="shared" si="0"/>
        <v>0</v>
      </c>
      <c r="G17" s="17">
        <f t="shared" si="0"/>
        <v>0</v>
      </c>
      <c r="H17" s="17">
        <v>0</v>
      </c>
      <c r="I17" s="17">
        <f t="shared" si="4"/>
        <v>0</v>
      </c>
      <c r="J17" s="17">
        <f t="shared" si="4"/>
        <v>0</v>
      </c>
      <c r="K17" s="17">
        <f t="shared" si="4"/>
        <v>0</v>
      </c>
      <c r="L17" s="17">
        <f t="shared" si="4"/>
        <v>0</v>
      </c>
      <c r="M17" s="17">
        <f t="shared" si="4"/>
        <v>0</v>
      </c>
      <c r="N17" s="17">
        <f t="shared" si="4"/>
        <v>0</v>
      </c>
      <c r="O17" s="18">
        <f t="shared" si="2"/>
        <v>0</v>
      </c>
    </row>
    <row r="18" spans="1:15" ht="15" x14ac:dyDescent="0.2">
      <c r="A18" s="12"/>
      <c r="B18" s="13" t="s">
        <v>224</v>
      </c>
      <c r="C18" s="17">
        <v>0</v>
      </c>
      <c r="D18" s="17">
        <f t="shared" si="3"/>
        <v>0</v>
      </c>
      <c r="E18" s="17">
        <f t="shared" si="0"/>
        <v>0</v>
      </c>
      <c r="F18" s="17">
        <f t="shared" si="0"/>
        <v>0</v>
      </c>
      <c r="G18" s="17">
        <f t="shared" si="0"/>
        <v>0</v>
      </c>
      <c r="H18" s="17">
        <v>0</v>
      </c>
      <c r="I18" s="17">
        <f t="shared" si="4"/>
        <v>0</v>
      </c>
      <c r="J18" s="17">
        <f t="shared" si="4"/>
        <v>0</v>
      </c>
      <c r="K18" s="17">
        <f t="shared" si="4"/>
        <v>0</v>
      </c>
      <c r="L18" s="17">
        <f t="shared" si="4"/>
        <v>0</v>
      </c>
      <c r="M18" s="17">
        <f t="shared" si="4"/>
        <v>0</v>
      </c>
      <c r="N18" s="17">
        <f t="shared" si="4"/>
        <v>0</v>
      </c>
      <c r="O18" s="18">
        <f t="shared" si="2"/>
        <v>0</v>
      </c>
    </row>
    <row r="19" spans="1:15" ht="15" x14ac:dyDescent="0.2">
      <c r="A19" s="12"/>
      <c r="B19" s="13" t="s">
        <v>128</v>
      </c>
      <c r="C19" s="17">
        <v>13656</v>
      </c>
      <c r="D19" s="17">
        <f t="shared" si="3"/>
        <v>13656</v>
      </c>
      <c r="E19" s="17">
        <f t="shared" si="0"/>
        <v>13656</v>
      </c>
      <c r="F19" s="17">
        <f t="shared" si="0"/>
        <v>13656</v>
      </c>
      <c r="G19" s="17">
        <v>14064</v>
      </c>
      <c r="H19" s="17">
        <v>14064</v>
      </c>
      <c r="I19" s="17">
        <v>14064</v>
      </c>
      <c r="J19" s="17">
        <v>14064</v>
      </c>
      <c r="K19" s="17">
        <v>14064</v>
      </c>
      <c r="L19" s="17">
        <v>14064</v>
      </c>
      <c r="M19" s="17">
        <v>14064</v>
      </c>
      <c r="N19" s="17">
        <v>14064</v>
      </c>
      <c r="O19" s="18">
        <f t="shared" si="2"/>
        <v>167136</v>
      </c>
    </row>
    <row r="20" spans="1:15" ht="15" customHeight="1" x14ac:dyDescent="0.2">
      <c r="A20" s="12"/>
      <c r="B20" s="13" t="s">
        <v>129</v>
      </c>
      <c r="C20" s="17">
        <v>0</v>
      </c>
      <c r="D20" s="17">
        <f t="shared" si="3"/>
        <v>0</v>
      </c>
      <c r="E20" s="17">
        <f t="shared" si="0"/>
        <v>0</v>
      </c>
      <c r="F20" s="17">
        <f t="shared" si="0"/>
        <v>0</v>
      </c>
      <c r="G20" s="17">
        <f t="shared" si="0"/>
        <v>0</v>
      </c>
      <c r="H20" s="17">
        <v>0</v>
      </c>
      <c r="I20" s="17">
        <f t="shared" ref="I20:N35" si="5">+H20</f>
        <v>0</v>
      </c>
      <c r="J20" s="17">
        <f t="shared" si="5"/>
        <v>0</v>
      </c>
      <c r="K20" s="17">
        <f t="shared" si="5"/>
        <v>0</v>
      </c>
      <c r="L20" s="17">
        <f t="shared" si="5"/>
        <v>0</v>
      </c>
      <c r="M20" s="17">
        <f t="shared" si="5"/>
        <v>0</v>
      </c>
      <c r="N20" s="17">
        <f t="shared" si="5"/>
        <v>0</v>
      </c>
      <c r="O20" s="18">
        <f t="shared" si="2"/>
        <v>0</v>
      </c>
    </row>
    <row r="21" spans="1:15" ht="15" hidden="1" customHeight="1" x14ac:dyDescent="0.2">
      <c r="A21" s="878" t="s">
        <v>130</v>
      </c>
      <c r="B21" s="19" t="s">
        <v>131</v>
      </c>
      <c r="C21" s="17">
        <v>0</v>
      </c>
      <c r="D21" s="17">
        <f t="shared" si="3"/>
        <v>0</v>
      </c>
      <c r="E21" s="17">
        <f t="shared" si="0"/>
        <v>0</v>
      </c>
      <c r="F21" s="17">
        <f t="shared" si="0"/>
        <v>0</v>
      </c>
      <c r="G21" s="17">
        <f t="shared" si="0"/>
        <v>0</v>
      </c>
      <c r="H21" s="17">
        <v>0</v>
      </c>
      <c r="I21" s="17">
        <f t="shared" si="5"/>
        <v>0</v>
      </c>
      <c r="J21" s="17">
        <f t="shared" si="5"/>
        <v>0</v>
      </c>
      <c r="K21" s="17">
        <f t="shared" si="5"/>
        <v>0</v>
      </c>
      <c r="L21" s="17">
        <f t="shared" si="5"/>
        <v>0</v>
      </c>
      <c r="M21" s="17">
        <f t="shared" si="5"/>
        <v>0</v>
      </c>
      <c r="N21" s="17">
        <f t="shared" si="5"/>
        <v>0</v>
      </c>
      <c r="O21" s="18">
        <f t="shared" si="2"/>
        <v>0</v>
      </c>
    </row>
    <row r="22" spans="1:15" ht="15" customHeight="1" x14ac:dyDescent="0.2">
      <c r="A22" s="879"/>
      <c r="B22" s="19" t="s">
        <v>132</v>
      </c>
      <c r="C22" s="17">
        <v>0</v>
      </c>
      <c r="D22" s="17">
        <f t="shared" si="3"/>
        <v>0</v>
      </c>
      <c r="E22" s="17">
        <f t="shared" si="0"/>
        <v>0</v>
      </c>
      <c r="F22" s="17">
        <f t="shared" si="0"/>
        <v>0</v>
      </c>
      <c r="G22" s="17">
        <f t="shared" si="0"/>
        <v>0</v>
      </c>
      <c r="H22" s="17">
        <v>0</v>
      </c>
      <c r="I22" s="17">
        <f t="shared" si="5"/>
        <v>0</v>
      </c>
      <c r="J22" s="17">
        <v>6908</v>
      </c>
      <c r="K22" s="17">
        <v>0</v>
      </c>
      <c r="L22" s="17">
        <f t="shared" si="5"/>
        <v>0</v>
      </c>
      <c r="M22" s="17">
        <f t="shared" si="5"/>
        <v>0</v>
      </c>
      <c r="N22" s="17">
        <f t="shared" si="5"/>
        <v>0</v>
      </c>
      <c r="O22" s="18">
        <f t="shared" si="2"/>
        <v>6908</v>
      </c>
    </row>
    <row r="23" spans="1:15" ht="15" hidden="1" customHeight="1" x14ac:dyDescent="0.2">
      <c r="A23" s="879"/>
      <c r="B23" s="19" t="s">
        <v>133</v>
      </c>
      <c r="C23" s="17">
        <v>0</v>
      </c>
      <c r="D23" s="17">
        <f t="shared" si="3"/>
        <v>0</v>
      </c>
      <c r="E23" s="17">
        <f t="shared" si="0"/>
        <v>0</v>
      </c>
      <c r="F23" s="17">
        <f t="shared" si="0"/>
        <v>0</v>
      </c>
      <c r="G23" s="17">
        <f t="shared" si="0"/>
        <v>0</v>
      </c>
      <c r="H23" s="17">
        <v>0</v>
      </c>
      <c r="I23" s="17">
        <f t="shared" si="5"/>
        <v>0</v>
      </c>
      <c r="J23" s="17">
        <f t="shared" si="5"/>
        <v>0</v>
      </c>
      <c r="K23" s="17">
        <f t="shared" si="5"/>
        <v>0</v>
      </c>
      <c r="L23" s="17">
        <f t="shared" si="5"/>
        <v>0</v>
      </c>
      <c r="M23" s="17">
        <f t="shared" si="5"/>
        <v>0</v>
      </c>
      <c r="N23" s="17">
        <f t="shared" si="5"/>
        <v>0</v>
      </c>
      <c r="O23" s="18">
        <f t="shared" si="2"/>
        <v>0</v>
      </c>
    </row>
    <row r="24" spans="1:15" ht="15" hidden="1" customHeight="1" x14ac:dyDescent="0.2">
      <c r="A24" s="879"/>
      <c r="B24" s="19" t="s">
        <v>134</v>
      </c>
      <c r="C24" s="17">
        <v>0</v>
      </c>
      <c r="D24" s="17">
        <f t="shared" si="3"/>
        <v>0</v>
      </c>
      <c r="E24" s="17">
        <f t="shared" si="0"/>
        <v>0</v>
      </c>
      <c r="F24" s="17">
        <f t="shared" si="0"/>
        <v>0</v>
      </c>
      <c r="G24" s="17">
        <f t="shared" si="0"/>
        <v>0</v>
      </c>
      <c r="H24" s="17">
        <v>0</v>
      </c>
      <c r="I24" s="17">
        <f t="shared" si="5"/>
        <v>0</v>
      </c>
      <c r="J24" s="17">
        <f t="shared" si="5"/>
        <v>0</v>
      </c>
      <c r="K24" s="17">
        <f t="shared" si="5"/>
        <v>0</v>
      </c>
      <c r="L24" s="17">
        <f t="shared" si="5"/>
        <v>0</v>
      </c>
      <c r="M24" s="17">
        <f t="shared" si="5"/>
        <v>0</v>
      </c>
      <c r="N24" s="17">
        <f t="shared" si="5"/>
        <v>0</v>
      </c>
      <c r="O24" s="18">
        <f t="shared" si="2"/>
        <v>0</v>
      </c>
    </row>
    <row r="25" spans="1:15" ht="15" hidden="1" customHeight="1" x14ac:dyDescent="0.2">
      <c r="A25" s="879"/>
      <c r="B25" s="19" t="s">
        <v>135</v>
      </c>
      <c r="C25" s="17">
        <v>0</v>
      </c>
      <c r="D25" s="17">
        <f t="shared" si="3"/>
        <v>0</v>
      </c>
      <c r="E25" s="17">
        <f t="shared" si="0"/>
        <v>0</v>
      </c>
      <c r="F25" s="17">
        <f t="shared" si="0"/>
        <v>0</v>
      </c>
      <c r="G25" s="17">
        <f t="shared" si="0"/>
        <v>0</v>
      </c>
      <c r="H25" s="17">
        <v>0</v>
      </c>
      <c r="I25" s="17">
        <f t="shared" si="5"/>
        <v>0</v>
      </c>
      <c r="J25" s="17">
        <f t="shared" si="5"/>
        <v>0</v>
      </c>
      <c r="K25" s="17">
        <f t="shared" si="5"/>
        <v>0</v>
      </c>
      <c r="L25" s="17">
        <f t="shared" si="5"/>
        <v>0</v>
      </c>
      <c r="M25" s="17">
        <f t="shared" si="5"/>
        <v>0</v>
      </c>
      <c r="N25" s="17">
        <f t="shared" si="5"/>
        <v>0</v>
      </c>
      <c r="O25" s="18">
        <f t="shared" si="2"/>
        <v>0</v>
      </c>
    </row>
    <row r="26" spans="1:15" ht="15" hidden="1" customHeight="1" x14ac:dyDescent="0.2">
      <c r="A26" s="879"/>
      <c r="B26" s="19" t="s">
        <v>136</v>
      </c>
      <c r="C26" s="17">
        <v>0</v>
      </c>
      <c r="D26" s="17">
        <f t="shared" si="3"/>
        <v>0</v>
      </c>
      <c r="E26" s="17">
        <f t="shared" si="3"/>
        <v>0</v>
      </c>
      <c r="F26" s="17">
        <f t="shared" si="3"/>
        <v>0</v>
      </c>
      <c r="G26" s="17">
        <f t="shared" si="3"/>
        <v>0</v>
      </c>
      <c r="H26" s="17">
        <v>0</v>
      </c>
      <c r="I26" s="17">
        <f t="shared" si="5"/>
        <v>0</v>
      </c>
      <c r="J26" s="17">
        <f t="shared" si="5"/>
        <v>0</v>
      </c>
      <c r="K26" s="17">
        <f t="shared" si="5"/>
        <v>0</v>
      </c>
      <c r="L26" s="17">
        <f t="shared" si="5"/>
        <v>0</v>
      </c>
      <c r="M26" s="17">
        <f t="shared" si="5"/>
        <v>0</v>
      </c>
      <c r="N26" s="17">
        <f t="shared" si="5"/>
        <v>0</v>
      </c>
      <c r="O26" s="18">
        <f t="shared" si="2"/>
        <v>0</v>
      </c>
    </row>
    <row r="27" spans="1:15" ht="15" hidden="1" customHeight="1" x14ac:dyDescent="0.2">
      <c r="A27" s="879"/>
      <c r="B27" s="19" t="s">
        <v>137</v>
      </c>
      <c r="C27" s="17">
        <v>0</v>
      </c>
      <c r="D27" s="17">
        <f t="shared" si="3"/>
        <v>0</v>
      </c>
      <c r="E27" s="17">
        <f t="shared" si="3"/>
        <v>0</v>
      </c>
      <c r="F27" s="17">
        <f t="shared" si="3"/>
        <v>0</v>
      </c>
      <c r="G27" s="17">
        <f t="shared" si="3"/>
        <v>0</v>
      </c>
      <c r="H27" s="17">
        <v>0</v>
      </c>
      <c r="I27" s="17">
        <f t="shared" si="5"/>
        <v>0</v>
      </c>
      <c r="J27" s="17">
        <f t="shared" si="5"/>
        <v>0</v>
      </c>
      <c r="K27" s="17">
        <f t="shared" si="5"/>
        <v>0</v>
      </c>
      <c r="L27" s="17">
        <f t="shared" si="5"/>
        <v>0</v>
      </c>
      <c r="M27" s="17">
        <f t="shared" si="5"/>
        <v>0</v>
      </c>
      <c r="N27" s="17">
        <f t="shared" si="5"/>
        <v>0</v>
      </c>
      <c r="O27" s="18">
        <f t="shared" si="2"/>
        <v>0</v>
      </c>
    </row>
    <row r="28" spans="1:15" ht="15" hidden="1" customHeight="1" x14ac:dyDescent="0.2">
      <c r="A28" s="879"/>
      <c r="B28" s="19" t="s">
        <v>138</v>
      </c>
      <c r="C28" s="17">
        <v>0</v>
      </c>
      <c r="D28" s="17">
        <f t="shared" si="3"/>
        <v>0</v>
      </c>
      <c r="E28" s="17">
        <f t="shared" si="3"/>
        <v>0</v>
      </c>
      <c r="F28" s="17">
        <f t="shared" si="3"/>
        <v>0</v>
      </c>
      <c r="G28" s="17">
        <f t="shared" si="3"/>
        <v>0</v>
      </c>
      <c r="H28" s="17">
        <v>0</v>
      </c>
      <c r="I28" s="17">
        <f t="shared" si="5"/>
        <v>0</v>
      </c>
      <c r="J28" s="17">
        <f t="shared" si="5"/>
        <v>0</v>
      </c>
      <c r="K28" s="17">
        <f t="shared" si="5"/>
        <v>0</v>
      </c>
      <c r="L28" s="17">
        <f t="shared" si="5"/>
        <v>0</v>
      </c>
      <c r="M28" s="17">
        <f t="shared" si="5"/>
        <v>0</v>
      </c>
      <c r="N28" s="17">
        <f t="shared" si="5"/>
        <v>0</v>
      </c>
      <c r="O28" s="18">
        <f t="shared" si="2"/>
        <v>0</v>
      </c>
    </row>
    <row r="29" spans="1:15" ht="15" hidden="1" customHeight="1" x14ac:dyDescent="0.2">
      <c r="A29" s="879"/>
      <c r="B29" s="19" t="s">
        <v>139</v>
      </c>
      <c r="C29" s="17">
        <v>0</v>
      </c>
      <c r="D29" s="17">
        <f t="shared" si="3"/>
        <v>0</v>
      </c>
      <c r="E29" s="17">
        <f t="shared" si="3"/>
        <v>0</v>
      </c>
      <c r="F29" s="17">
        <f t="shared" si="3"/>
        <v>0</v>
      </c>
      <c r="G29" s="17">
        <f t="shared" si="3"/>
        <v>0</v>
      </c>
      <c r="H29" s="17">
        <v>0</v>
      </c>
      <c r="I29" s="17">
        <f t="shared" si="5"/>
        <v>0</v>
      </c>
      <c r="J29" s="17">
        <f t="shared" si="5"/>
        <v>0</v>
      </c>
      <c r="K29" s="17">
        <f t="shared" si="5"/>
        <v>0</v>
      </c>
      <c r="L29" s="17">
        <f t="shared" si="5"/>
        <v>0</v>
      </c>
      <c r="M29" s="17">
        <f t="shared" si="5"/>
        <v>0</v>
      </c>
      <c r="N29" s="17">
        <f t="shared" si="5"/>
        <v>0</v>
      </c>
      <c r="O29" s="18">
        <f t="shared" si="2"/>
        <v>0</v>
      </c>
    </row>
    <row r="30" spans="1:15" ht="15" hidden="1" customHeight="1" x14ac:dyDescent="0.2">
      <c r="A30" s="879"/>
      <c r="B30" s="19" t="s">
        <v>140</v>
      </c>
      <c r="C30" s="17">
        <v>0</v>
      </c>
      <c r="D30" s="17">
        <f t="shared" si="3"/>
        <v>0</v>
      </c>
      <c r="E30" s="17">
        <f t="shared" si="3"/>
        <v>0</v>
      </c>
      <c r="F30" s="17">
        <f t="shared" si="3"/>
        <v>0</v>
      </c>
      <c r="G30" s="17">
        <f t="shared" si="3"/>
        <v>0</v>
      </c>
      <c r="H30" s="17">
        <v>0</v>
      </c>
      <c r="I30" s="17">
        <f t="shared" si="5"/>
        <v>0</v>
      </c>
      <c r="J30" s="17">
        <f t="shared" si="5"/>
        <v>0</v>
      </c>
      <c r="K30" s="17">
        <f t="shared" si="5"/>
        <v>0</v>
      </c>
      <c r="L30" s="17">
        <f t="shared" si="5"/>
        <v>0</v>
      </c>
      <c r="M30" s="17">
        <f t="shared" si="5"/>
        <v>0</v>
      </c>
      <c r="N30" s="17">
        <f t="shared" si="5"/>
        <v>0</v>
      </c>
      <c r="O30" s="18">
        <f t="shared" si="2"/>
        <v>0</v>
      </c>
    </row>
    <row r="31" spans="1:15" ht="15" customHeight="1" x14ac:dyDescent="0.2">
      <c r="A31" s="879"/>
      <c r="B31" s="21" t="s">
        <v>252</v>
      </c>
      <c r="C31" s="17">
        <v>0</v>
      </c>
      <c r="D31" s="17">
        <f t="shared" si="3"/>
        <v>0</v>
      </c>
      <c r="E31" s="17">
        <v>20294</v>
      </c>
      <c r="F31" s="17">
        <v>0</v>
      </c>
      <c r="G31" s="17">
        <f t="shared" si="3"/>
        <v>0</v>
      </c>
      <c r="H31" s="17">
        <v>0</v>
      </c>
      <c r="I31" s="17">
        <f t="shared" si="5"/>
        <v>0</v>
      </c>
      <c r="J31" s="17">
        <f t="shared" si="5"/>
        <v>0</v>
      </c>
      <c r="K31" s="17">
        <f t="shared" si="5"/>
        <v>0</v>
      </c>
      <c r="L31" s="17">
        <f t="shared" si="5"/>
        <v>0</v>
      </c>
      <c r="M31" s="17">
        <f t="shared" si="5"/>
        <v>0</v>
      </c>
      <c r="N31" s="17">
        <f t="shared" si="5"/>
        <v>0</v>
      </c>
      <c r="O31" s="18">
        <f t="shared" si="2"/>
        <v>20294</v>
      </c>
    </row>
    <row r="32" spans="1:15" ht="15" customHeight="1" x14ac:dyDescent="0.2">
      <c r="A32" s="879"/>
      <c r="B32" s="21" t="s">
        <v>142</v>
      </c>
      <c r="C32" s="17">
        <v>0</v>
      </c>
      <c r="D32" s="17">
        <f t="shared" si="3"/>
        <v>0</v>
      </c>
      <c r="E32" s="17">
        <f t="shared" si="3"/>
        <v>0</v>
      </c>
      <c r="F32" s="17">
        <f t="shared" si="3"/>
        <v>0</v>
      </c>
      <c r="G32" s="17">
        <f t="shared" si="3"/>
        <v>0</v>
      </c>
      <c r="H32" s="17">
        <v>0</v>
      </c>
      <c r="I32" s="17">
        <f t="shared" si="5"/>
        <v>0</v>
      </c>
      <c r="J32" s="17">
        <f t="shared" si="5"/>
        <v>0</v>
      </c>
      <c r="K32" s="17">
        <f t="shared" si="5"/>
        <v>0</v>
      </c>
      <c r="L32" s="17">
        <f t="shared" si="5"/>
        <v>0</v>
      </c>
      <c r="M32" s="17">
        <f t="shared" si="5"/>
        <v>0</v>
      </c>
      <c r="N32" s="17">
        <f t="shared" si="5"/>
        <v>0</v>
      </c>
      <c r="O32" s="18">
        <f t="shared" si="2"/>
        <v>0</v>
      </c>
    </row>
    <row r="33" spans="1:18" ht="15" hidden="1" customHeight="1" x14ac:dyDescent="0.2">
      <c r="A33" s="880"/>
      <c r="B33" s="19" t="s">
        <v>226</v>
      </c>
      <c r="C33" s="17">
        <v>0</v>
      </c>
      <c r="D33" s="17">
        <f t="shared" si="3"/>
        <v>0</v>
      </c>
      <c r="E33" s="17">
        <f t="shared" si="3"/>
        <v>0</v>
      </c>
      <c r="F33" s="17">
        <f t="shared" si="3"/>
        <v>0</v>
      </c>
      <c r="G33" s="17">
        <f t="shared" si="3"/>
        <v>0</v>
      </c>
      <c r="H33" s="17">
        <v>0</v>
      </c>
      <c r="I33" s="17">
        <f t="shared" si="5"/>
        <v>0</v>
      </c>
      <c r="J33" s="17">
        <f t="shared" si="5"/>
        <v>0</v>
      </c>
      <c r="K33" s="17">
        <f t="shared" si="5"/>
        <v>0</v>
      </c>
      <c r="L33" s="17">
        <f t="shared" si="5"/>
        <v>0</v>
      </c>
      <c r="M33" s="17">
        <f t="shared" si="5"/>
        <v>0</v>
      </c>
      <c r="N33" s="17">
        <f t="shared" si="5"/>
        <v>0</v>
      </c>
      <c r="O33" s="18">
        <f t="shared" si="2"/>
        <v>0</v>
      </c>
    </row>
    <row r="34" spans="1:18" ht="15" customHeight="1" x14ac:dyDescent="0.2">
      <c r="A34" s="865" t="s">
        <v>143</v>
      </c>
      <c r="B34" s="866"/>
      <c r="C34" s="17">
        <v>0</v>
      </c>
      <c r="D34" s="17">
        <f t="shared" si="3"/>
        <v>0</v>
      </c>
      <c r="E34" s="17">
        <f t="shared" si="3"/>
        <v>0</v>
      </c>
      <c r="F34" s="17">
        <f t="shared" si="3"/>
        <v>0</v>
      </c>
      <c r="G34" s="17">
        <f t="shared" si="3"/>
        <v>0</v>
      </c>
      <c r="H34" s="17">
        <v>0</v>
      </c>
      <c r="I34" s="17">
        <f t="shared" si="5"/>
        <v>0</v>
      </c>
      <c r="J34" s="17">
        <f t="shared" si="5"/>
        <v>0</v>
      </c>
      <c r="K34" s="17">
        <f t="shared" si="5"/>
        <v>0</v>
      </c>
      <c r="L34" s="17">
        <f t="shared" si="5"/>
        <v>0</v>
      </c>
      <c r="M34" s="17">
        <f t="shared" si="5"/>
        <v>0</v>
      </c>
      <c r="N34" s="17">
        <f t="shared" si="5"/>
        <v>0</v>
      </c>
      <c r="O34" s="18">
        <f t="shared" si="2"/>
        <v>0</v>
      </c>
    </row>
    <row r="35" spans="1:18" ht="15" customHeight="1" x14ac:dyDescent="0.2">
      <c r="A35" s="865" t="s">
        <v>145</v>
      </c>
      <c r="B35" s="866"/>
      <c r="C35" s="17">
        <v>0</v>
      </c>
      <c r="D35" s="17">
        <v>216</v>
      </c>
      <c r="E35" s="17">
        <v>0</v>
      </c>
      <c r="F35" s="17">
        <f>+E35</f>
        <v>0</v>
      </c>
      <c r="G35" s="17">
        <f t="shared" ref="G35:G36" si="6">+F35</f>
        <v>0</v>
      </c>
      <c r="H35" s="17">
        <v>0</v>
      </c>
      <c r="I35" s="17">
        <f t="shared" si="5"/>
        <v>0</v>
      </c>
      <c r="J35" s="17">
        <v>216</v>
      </c>
      <c r="K35" s="17">
        <v>0</v>
      </c>
      <c r="L35" s="17">
        <f t="shared" si="5"/>
        <v>0</v>
      </c>
      <c r="M35" s="17">
        <f t="shared" si="5"/>
        <v>0</v>
      </c>
      <c r="N35" s="17">
        <f t="shared" si="5"/>
        <v>0</v>
      </c>
      <c r="O35" s="18">
        <f t="shared" si="2"/>
        <v>432</v>
      </c>
    </row>
    <row r="36" spans="1:18" ht="15" customHeight="1" x14ac:dyDescent="0.2">
      <c r="A36" s="865" t="s">
        <v>146</v>
      </c>
      <c r="B36" s="866"/>
      <c r="C36" s="17">
        <v>0</v>
      </c>
      <c r="D36" s="17">
        <v>3414</v>
      </c>
      <c r="E36" s="17">
        <v>0</v>
      </c>
      <c r="F36" s="17">
        <f>+E36</f>
        <v>0</v>
      </c>
      <c r="G36" s="17">
        <f t="shared" si="6"/>
        <v>0</v>
      </c>
      <c r="H36" s="17">
        <v>0</v>
      </c>
      <c r="I36" s="17">
        <f t="shared" ref="I36:N36" si="7">+H36</f>
        <v>0</v>
      </c>
      <c r="J36" s="17">
        <v>3516</v>
      </c>
      <c r="K36" s="17">
        <v>0</v>
      </c>
      <c r="L36" s="17">
        <f t="shared" si="7"/>
        <v>0</v>
      </c>
      <c r="M36" s="17">
        <f t="shared" si="7"/>
        <v>0</v>
      </c>
      <c r="N36" s="17">
        <f t="shared" si="7"/>
        <v>0</v>
      </c>
      <c r="O36" s="18">
        <f t="shared" si="2"/>
        <v>6930</v>
      </c>
    </row>
    <row r="37" spans="1:18" ht="15" customHeight="1" x14ac:dyDescent="0.2">
      <c r="A37" s="22"/>
      <c r="B37" s="23" t="s">
        <v>147</v>
      </c>
      <c r="C37" s="24">
        <f t="shared" ref="C37:N37" si="8">SUM(C9:C36)</f>
        <v>77181</v>
      </c>
      <c r="D37" s="24">
        <f t="shared" si="8"/>
        <v>82021</v>
      </c>
      <c r="E37" s="24">
        <f t="shared" si="8"/>
        <v>98685</v>
      </c>
      <c r="F37" s="24">
        <f t="shared" si="8"/>
        <v>78391</v>
      </c>
      <c r="G37" s="24">
        <f t="shared" si="8"/>
        <v>80618</v>
      </c>
      <c r="H37" s="24">
        <f t="shared" si="8"/>
        <v>80618</v>
      </c>
      <c r="I37" s="24">
        <f t="shared" si="8"/>
        <v>80618</v>
      </c>
      <c r="J37" s="24">
        <f t="shared" si="8"/>
        <v>92502</v>
      </c>
      <c r="K37" s="24">
        <f t="shared" si="8"/>
        <v>81862</v>
      </c>
      <c r="L37" s="24">
        <f t="shared" si="8"/>
        <v>81862</v>
      </c>
      <c r="M37" s="24">
        <f t="shared" si="8"/>
        <v>81862</v>
      </c>
      <c r="N37" s="24">
        <f t="shared" si="8"/>
        <v>81862</v>
      </c>
      <c r="O37" s="25">
        <f>SUM(C37:N37)</f>
        <v>998082</v>
      </c>
    </row>
    <row r="38" spans="1:18" ht="15" customHeight="1" x14ac:dyDescent="0.2">
      <c r="A38" s="853" t="s">
        <v>148</v>
      </c>
      <c r="B38" s="27" t="s">
        <v>149</v>
      </c>
      <c r="C38" s="147">
        <v>4700</v>
      </c>
      <c r="D38" s="147">
        <v>4500</v>
      </c>
      <c r="E38" s="147">
        <v>4500</v>
      </c>
      <c r="F38" s="147">
        <v>4500</v>
      </c>
      <c r="G38" s="147">
        <v>4500</v>
      </c>
      <c r="H38" s="147">
        <v>4500</v>
      </c>
      <c r="I38" s="147">
        <v>4500</v>
      </c>
      <c r="J38" s="147">
        <v>4500</v>
      </c>
      <c r="K38" s="147">
        <v>7500</v>
      </c>
      <c r="L38" s="147">
        <v>7500</v>
      </c>
      <c r="M38" s="147">
        <v>7250</v>
      </c>
      <c r="N38" s="147">
        <v>7885</v>
      </c>
      <c r="O38" s="18">
        <f>SUM(C38:N38)</f>
        <v>66335</v>
      </c>
      <c r="P38" s="29"/>
    </row>
    <row r="39" spans="1:18" ht="15" x14ac:dyDescent="0.2">
      <c r="A39" s="854"/>
      <c r="B39" s="27" t="s">
        <v>150</v>
      </c>
      <c r="C39" s="147">
        <v>0</v>
      </c>
      <c r="D39" s="147">
        <v>0</v>
      </c>
      <c r="E39" s="147">
        <v>0</v>
      </c>
      <c r="F39" s="147">
        <v>0</v>
      </c>
      <c r="G39" s="147">
        <v>0</v>
      </c>
      <c r="H39" s="147">
        <v>0</v>
      </c>
      <c r="I39" s="147">
        <v>0</v>
      </c>
      <c r="J39" s="147">
        <v>0</v>
      </c>
      <c r="K39" s="147">
        <v>0</v>
      </c>
      <c r="L39" s="147">
        <v>0</v>
      </c>
      <c r="M39" s="147">
        <v>0</v>
      </c>
      <c r="N39" s="147">
        <v>0</v>
      </c>
      <c r="O39" s="18">
        <f>SUM(C39:N39)</f>
        <v>0</v>
      </c>
      <c r="Q39" s="16">
        <f>+Q37+Q38</f>
        <v>0</v>
      </c>
      <c r="R39" s="1"/>
    </row>
    <row r="40" spans="1:18" ht="15" x14ac:dyDescent="0.2">
      <c r="A40" s="854"/>
      <c r="B40" s="27" t="s">
        <v>151</v>
      </c>
      <c r="C40" s="147">
        <v>60</v>
      </c>
      <c r="D40" s="147">
        <v>60</v>
      </c>
      <c r="E40" s="147">
        <v>60</v>
      </c>
      <c r="F40" s="147">
        <v>60</v>
      </c>
      <c r="G40" s="147">
        <v>60</v>
      </c>
      <c r="H40" s="147">
        <v>60</v>
      </c>
      <c r="I40" s="147">
        <v>60</v>
      </c>
      <c r="J40" s="147">
        <v>60</v>
      </c>
      <c r="K40" s="147">
        <v>60</v>
      </c>
      <c r="L40" s="147">
        <v>60</v>
      </c>
      <c r="M40" s="147">
        <v>60</v>
      </c>
      <c r="N40" s="147">
        <v>60</v>
      </c>
      <c r="O40" s="18">
        <f t="shared" ref="O40:O50" si="9">SUM(C40:N40)</f>
        <v>720</v>
      </c>
    </row>
    <row r="41" spans="1:18" ht="15" x14ac:dyDescent="0.2">
      <c r="A41" s="854"/>
      <c r="B41" s="27" t="s">
        <v>152</v>
      </c>
      <c r="C41" s="147">
        <v>0</v>
      </c>
      <c r="D41" s="147">
        <v>0</v>
      </c>
      <c r="E41" s="147">
        <v>0</v>
      </c>
      <c r="F41" s="147">
        <v>0</v>
      </c>
      <c r="G41" s="147">
        <v>0</v>
      </c>
      <c r="H41" s="147">
        <v>0</v>
      </c>
      <c r="I41" s="147">
        <v>0</v>
      </c>
      <c r="J41" s="147">
        <v>0</v>
      </c>
      <c r="K41" s="147">
        <v>0</v>
      </c>
      <c r="L41" s="147">
        <v>0</v>
      </c>
      <c r="M41" s="147">
        <v>0</v>
      </c>
      <c r="N41" s="147">
        <v>0</v>
      </c>
      <c r="O41" s="18">
        <f t="shared" si="9"/>
        <v>0</v>
      </c>
    </row>
    <row r="42" spans="1:18" ht="15" x14ac:dyDescent="0.2">
      <c r="A42" s="854"/>
      <c r="B42" s="27" t="s">
        <v>153</v>
      </c>
      <c r="C42" s="147">
        <v>0</v>
      </c>
      <c r="D42" s="147">
        <v>0</v>
      </c>
      <c r="E42" s="147">
        <v>0</v>
      </c>
      <c r="F42" s="147">
        <v>0</v>
      </c>
      <c r="G42" s="147">
        <v>0</v>
      </c>
      <c r="H42" s="147">
        <v>0</v>
      </c>
      <c r="I42" s="147">
        <v>0</v>
      </c>
      <c r="J42" s="147">
        <v>0</v>
      </c>
      <c r="K42" s="147">
        <v>0</v>
      </c>
      <c r="L42" s="147">
        <v>0</v>
      </c>
      <c r="M42" s="147">
        <v>0</v>
      </c>
      <c r="N42" s="147">
        <v>0</v>
      </c>
      <c r="O42" s="18">
        <f t="shared" si="9"/>
        <v>0</v>
      </c>
    </row>
    <row r="43" spans="1:18" ht="15" x14ac:dyDescent="0.2">
      <c r="A43" s="854"/>
      <c r="B43" s="27" t="s">
        <v>154</v>
      </c>
      <c r="C43" s="147">
        <v>20000</v>
      </c>
      <c r="D43" s="147">
        <v>20000</v>
      </c>
      <c r="E43" s="147">
        <v>20000</v>
      </c>
      <c r="F43" s="147">
        <v>20000</v>
      </c>
      <c r="G43" s="147">
        <v>30000</v>
      </c>
      <c r="H43" s="147">
        <v>30000</v>
      </c>
      <c r="I43" s="147">
        <v>30000</v>
      </c>
      <c r="J43" s="147">
        <v>30000</v>
      </c>
      <c r="K43" s="147">
        <v>30000</v>
      </c>
      <c r="L43" s="147">
        <v>30000</v>
      </c>
      <c r="M43" s="147">
        <v>30000</v>
      </c>
      <c r="N43" s="147">
        <v>30000</v>
      </c>
      <c r="O43" s="18">
        <f t="shared" si="9"/>
        <v>320000</v>
      </c>
    </row>
    <row r="44" spans="1:18" ht="15" x14ac:dyDescent="0.2">
      <c r="A44" s="854"/>
      <c r="B44" s="27" t="s">
        <v>155</v>
      </c>
      <c r="C44" s="147">
        <v>200</v>
      </c>
      <c r="D44" s="147">
        <v>200</v>
      </c>
      <c r="E44" s="147">
        <v>200</v>
      </c>
      <c r="F44" s="147">
        <v>200</v>
      </c>
      <c r="G44" s="147">
        <v>200</v>
      </c>
      <c r="H44" s="147">
        <v>200</v>
      </c>
      <c r="I44" s="147">
        <v>200</v>
      </c>
      <c r="J44" s="147">
        <v>200</v>
      </c>
      <c r="K44" s="147">
        <v>200</v>
      </c>
      <c r="L44" s="147">
        <v>200</v>
      </c>
      <c r="M44" s="147">
        <v>200</v>
      </c>
      <c r="N44" s="147">
        <v>300</v>
      </c>
      <c r="O44" s="18">
        <f t="shared" si="9"/>
        <v>2500</v>
      </c>
    </row>
    <row r="45" spans="1:18" ht="15" x14ac:dyDescent="0.2">
      <c r="A45" s="854"/>
      <c r="B45" s="27" t="s">
        <v>623</v>
      </c>
      <c r="C45" s="147">
        <v>0</v>
      </c>
      <c r="D45" s="147">
        <v>0</v>
      </c>
      <c r="E45" s="147">
        <v>0</v>
      </c>
      <c r="F45" s="147">
        <v>0</v>
      </c>
      <c r="G45" s="147">
        <v>0</v>
      </c>
      <c r="H45" s="147">
        <v>0</v>
      </c>
      <c r="I45" s="147">
        <v>0</v>
      </c>
      <c r="J45" s="147">
        <v>0</v>
      </c>
      <c r="K45" s="147">
        <v>0</v>
      </c>
      <c r="L45" s="147">
        <v>0</v>
      </c>
      <c r="M45" s="147">
        <v>0</v>
      </c>
      <c r="N45" s="147">
        <v>0</v>
      </c>
      <c r="O45" s="18">
        <f t="shared" si="9"/>
        <v>0</v>
      </c>
    </row>
    <row r="46" spans="1:18" ht="15" x14ac:dyDescent="0.2">
      <c r="A46" s="854"/>
      <c r="B46" s="27" t="s">
        <v>157</v>
      </c>
      <c r="C46" s="147">
        <v>0</v>
      </c>
      <c r="D46" s="147">
        <v>0</v>
      </c>
      <c r="E46" s="147">
        <v>0</v>
      </c>
      <c r="F46" s="147">
        <v>0</v>
      </c>
      <c r="G46" s="147">
        <v>0</v>
      </c>
      <c r="H46" s="147">
        <v>0</v>
      </c>
      <c r="I46" s="147">
        <v>0</v>
      </c>
      <c r="J46" s="147">
        <v>0</v>
      </c>
      <c r="K46" s="147">
        <v>0</v>
      </c>
      <c r="L46" s="147">
        <v>0</v>
      </c>
      <c r="M46" s="147">
        <v>0</v>
      </c>
      <c r="N46" s="147">
        <v>0</v>
      </c>
      <c r="O46" s="18">
        <f t="shared" si="9"/>
        <v>0</v>
      </c>
    </row>
    <row r="47" spans="1:18" ht="28.5" customHeight="1" x14ac:dyDescent="0.2">
      <c r="A47" s="855"/>
      <c r="B47" s="30" t="s">
        <v>158</v>
      </c>
      <c r="C47" s="147">
        <v>0</v>
      </c>
      <c r="D47" s="147">
        <v>0</v>
      </c>
      <c r="E47" s="147">
        <v>0</v>
      </c>
      <c r="F47" s="147">
        <v>0</v>
      </c>
      <c r="G47" s="147">
        <v>0</v>
      </c>
      <c r="H47" s="147">
        <v>0</v>
      </c>
      <c r="I47" s="147">
        <v>0</v>
      </c>
      <c r="J47" s="147">
        <v>0</v>
      </c>
      <c r="K47" s="147">
        <v>0</v>
      </c>
      <c r="L47" s="147">
        <v>0</v>
      </c>
      <c r="M47" s="147">
        <v>0</v>
      </c>
      <c r="N47" s="147">
        <v>0</v>
      </c>
      <c r="O47" s="31">
        <f t="shared" si="9"/>
        <v>0</v>
      </c>
    </row>
    <row r="48" spans="1:18" ht="15" x14ac:dyDescent="0.2">
      <c r="A48" s="856"/>
      <c r="B48" s="127" t="s">
        <v>479</v>
      </c>
      <c r="C48" s="147">
        <v>0</v>
      </c>
      <c r="D48" s="147">
        <v>0</v>
      </c>
      <c r="E48" s="147">
        <v>0</v>
      </c>
      <c r="F48" s="147">
        <v>0</v>
      </c>
      <c r="G48" s="147">
        <v>0</v>
      </c>
      <c r="H48" s="147">
        <v>0</v>
      </c>
      <c r="I48" s="147">
        <v>0</v>
      </c>
      <c r="J48" s="147">
        <v>0</v>
      </c>
      <c r="K48" s="147">
        <v>0</v>
      </c>
      <c r="L48" s="147">
        <v>0</v>
      </c>
      <c r="M48" s="147">
        <v>0</v>
      </c>
      <c r="N48" s="147">
        <v>0</v>
      </c>
      <c r="O48" s="31">
        <f t="shared" si="9"/>
        <v>0</v>
      </c>
    </row>
    <row r="49" spans="1:19" ht="15" x14ac:dyDescent="0.2">
      <c r="A49" s="857" t="s">
        <v>160</v>
      </c>
      <c r="B49" s="858"/>
      <c r="C49" s="33">
        <f t="shared" ref="C49:N49" si="10">SUM(C38:C48)</f>
        <v>24960</v>
      </c>
      <c r="D49" s="33">
        <f t="shared" si="10"/>
        <v>24760</v>
      </c>
      <c r="E49" s="33">
        <f t="shared" si="10"/>
        <v>24760</v>
      </c>
      <c r="F49" s="33">
        <f t="shared" si="10"/>
        <v>24760</v>
      </c>
      <c r="G49" s="33">
        <f t="shared" si="10"/>
        <v>34760</v>
      </c>
      <c r="H49" s="33">
        <f t="shared" si="10"/>
        <v>34760</v>
      </c>
      <c r="I49" s="33">
        <f t="shared" si="10"/>
        <v>34760</v>
      </c>
      <c r="J49" s="33">
        <f t="shared" si="10"/>
        <v>34760</v>
      </c>
      <c r="K49" s="33">
        <f t="shared" si="10"/>
        <v>37760</v>
      </c>
      <c r="L49" s="33">
        <f t="shared" si="10"/>
        <v>37760</v>
      </c>
      <c r="M49" s="33">
        <f t="shared" si="10"/>
        <v>37510</v>
      </c>
      <c r="N49" s="33">
        <f t="shared" si="10"/>
        <v>38245</v>
      </c>
      <c r="O49" s="34">
        <f t="shared" si="9"/>
        <v>389555</v>
      </c>
    </row>
    <row r="50" spans="1:19" ht="15.75" thickBot="1" x14ac:dyDescent="0.25">
      <c r="A50" s="859" t="s">
        <v>161</v>
      </c>
      <c r="B50" s="860"/>
      <c r="C50" s="35">
        <f t="shared" ref="C50:N50" si="11">C37-C49</f>
        <v>52221</v>
      </c>
      <c r="D50" s="35">
        <f t="shared" si="11"/>
        <v>57261</v>
      </c>
      <c r="E50" s="35">
        <f t="shared" si="11"/>
        <v>73925</v>
      </c>
      <c r="F50" s="35">
        <f t="shared" si="11"/>
        <v>53631</v>
      </c>
      <c r="G50" s="35">
        <f t="shared" si="11"/>
        <v>45858</v>
      </c>
      <c r="H50" s="35">
        <f t="shared" si="11"/>
        <v>45858</v>
      </c>
      <c r="I50" s="35">
        <f t="shared" si="11"/>
        <v>45858</v>
      </c>
      <c r="J50" s="35">
        <f t="shared" si="11"/>
        <v>57742</v>
      </c>
      <c r="K50" s="35">
        <f t="shared" si="11"/>
        <v>44102</v>
      </c>
      <c r="L50" s="35">
        <f t="shared" si="11"/>
        <v>44102</v>
      </c>
      <c r="M50" s="35">
        <f t="shared" si="11"/>
        <v>44352</v>
      </c>
      <c r="N50" s="35">
        <f t="shared" si="11"/>
        <v>43617</v>
      </c>
      <c r="O50" s="36">
        <f t="shared" si="9"/>
        <v>608527</v>
      </c>
      <c r="Q50" s="16">
        <f>28598+27698+15000+11406+6596+29237+29357+30554+31454+30454+6354+3454+32072*2+31772*2+31633</f>
        <v>409483</v>
      </c>
    </row>
    <row r="51" spans="1:19" x14ac:dyDescent="0.2">
      <c r="J51" s="16">
        <f>+J37-SUM(J20:J36)</f>
        <v>81862</v>
      </c>
      <c r="Q51" s="16">
        <f>+O18</f>
        <v>0</v>
      </c>
    </row>
    <row r="52" spans="1:19" ht="13.5" thickBot="1" x14ac:dyDescent="0.25">
      <c r="J52" s="38">
        <f>+J51-J49</f>
        <v>47102</v>
      </c>
      <c r="Q52" s="16">
        <f>+Q50+Q51</f>
        <v>409483</v>
      </c>
    </row>
    <row r="53" spans="1:19" ht="13.5" thickBot="1" x14ac:dyDescent="0.25">
      <c r="B53" s="789" t="s">
        <v>162</v>
      </c>
      <c r="C53" s="861"/>
      <c r="D53" s="861"/>
      <c r="E53" s="861"/>
      <c r="F53" s="862"/>
      <c r="G53" s="863">
        <f>O37</f>
        <v>998082</v>
      </c>
      <c r="H53" s="864"/>
    </row>
    <row r="54" spans="1:19" ht="13.5" thickBot="1" x14ac:dyDescent="0.25"/>
    <row r="55" spans="1:19" x14ac:dyDescent="0.2">
      <c r="B55" s="830" t="s">
        <v>163</v>
      </c>
      <c r="C55" s="833" t="s">
        <v>164</v>
      </c>
      <c r="D55" s="836" t="s">
        <v>229</v>
      </c>
      <c r="E55" s="837"/>
      <c r="F55" s="838"/>
      <c r="G55" s="839">
        <v>40000</v>
      </c>
      <c r="H55" s="840"/>
    </row>
    <row r="56" spans="1:19" x14ac:dyDescent="0.2">
      <c r="B56" s="831"/>
      <c r="C56" s="834"/>
      <c r="D56" s="841" t="s">
        <v>166</v>
      </c>
      <c r="E56" s="842"/>
      <c r="F56" s="843"/>
      <c r="G56" s="844">
        <f>+O44</f>
        <v>2500</v>
      </c>
      <c r="H56" s="845"/>
      <c r="I56" s="39"/>
      <c r="J56" s="846"/>
      <c r="K56" s="846"/>
      <c r="L56" s="846"/>
      <c r="M56" s="847"/>
      <c r="N56" s="847"/>
      <c r="O56" s="847"/>
    </row>
    <row r="57" spans="1:19" x14ac:dyDescent="0.2">
      <c r="B57" s="886"/>
      <c r="C57" s="887"/>
      <c r="D57" s="153" t="s">
        <v>129</v>
      </c>
      <c r="E57" s="41"/>
      <c r="F57" s="42"/>
      <c r="G57" s="43"/>
      <c r="H57" s="44">
        <v>0</v>
      </c>
      <c r="I57" s="39"/>
      <c r="J57" s="45"/>
      <c r="K57" s="45"/>
      <c r="L57" s="45"/>
      <c r="M57" s="46"/>
      <c r="N57" s="46"/>
      <c r="O57" s="46"/>
    </row>
    <row r="58" spans="1:19" ht="13.5" thickBot="1" x14ac:dyDescent="0.25">
      <c r="B58" s="832"/>
      <c r="C58" s="835"/>
      <c r="D58" s="848" t="s">
        <v>243</v>
      </c>
      <c r="E58" s="849"/>
      <c r="F58" s="850"/>
      <c r="G58" s="851">
        <f>IF(O18&gt;15000,15000,+O18)</f>
        <v>0</v>
      </c>
      <c r="H58" s="852"/>
      <c r="J58" s="47"/>
      <c r="K58" s="47"/>
      <c r="L58" s="47"/>
      <c r="M58" s="47"/>
      <c r="N58" s="47"/>
      <c r="O58" s="47"/>
    </row>
    <row r="59" spans="1:19" ht="13.5" thickBot="1" x14ac:dyDescent="0.25">
      <c r="B59" s="48"/>
      <c r="J59" s="47"/>
      <c r="K59" s="47"/>
      <c r="L59" s="47"/>
      <c r="M59" s="47"/>
      <c r="N59" s="47"/>
      <c r="O59" s="47"/>
    </row>
    <row r="60" spans="1:19" ht="13.5" thickBot="1" x14ac:dyDescent="0.25">
      <c r="B60" s="789" t="s">
        <v>168</v>
      </c>
      <c r="C60" s="790"/>
      <c r="D60" s="790"/>
      <c r="E60" s="790"/>
      <c r="F60" s="791"/>
      <c r="G60" s="825">
        <f>+G53-SUM(G55:H58)</f>
        <v>955582</v>
      </c>
      <c r="H60" s="826"/>
      <c r="J60" s="827" t="s">
        <v>169</v>
      </c>
      <c r="K60" s="828"/>
      <c r="L60" s="828"/>
      <c r="M60" s="828"/>
      <c r="N60" s="828"/>
      <c r="O60" s="829"/>
    </row>
    <row r="61" spans="1:19" ht="13.5" thickBot="1" x14ac:dyDescent="0.25">
      <c r="B61" s="49"/>
      <c r="C61" s="50"/>
      <c r="D61" s="50"/>
      <c r="E61" s="50"/>
      <c r="F61" s="50"/>
      <c r="G61" s="45"/>
      <c r="H61" s="50"/>
      <c r="J61" s="129"/>
      <c r="K61" s="130"/>
      <c r="L61" s="130"/>
      <c r="M61" s="130"/>
      <c r="N61" s="130"/>
      <c r="O61" s="131"/>
    </row>
    <row r="62" spans="1:19" ht="13.5" thickBot="1" x14ac:dyDescent="0.25">
      <c r="B62" s="789" t="s">
        <v>170</v>
      </c>
      <c r="C62" s="790"/>
      <c r="D62" s="790"/>
      <c r="E62" s="790"/>
      <c r="F62" s="791"/>
      <c r="G62" s="805"/>
      <c r="H62" s="791"/>
      <c r="J62" s="129"/>
      <c r="K62" s="130"/>
      <c r="L62" s="130"/>
      <c r="M62" s="130"/>
      <c r="N62" s="130"/>
      <c r="O62" s="131"/>
    </row>
    <row r="63" spans="1:19" ht="12.75" customHeight="1" x14ac:dyDescent="0.2">
      <c r="B63" s="57" t="s">
        <v>171</v>
      </c>
      <c r="C63" s="806" t="s">
        <v>172</v>
      </c>
      <c r="D63" s="807"/>
      <c r="E63" s="807"/>
      <c r="F63" s="808"/>
      <c r="G63" s="809">
        <v>38683</v>
      </c>
      <c r="H63" s="809"/>
      <c r="I63" s="58"/>
      <c r="J63" s="810" t="s">
        <v>173</v>
      </c>
      <c r="K63" s="811"/>
      <c r="L63" s="811"/>
      <c r="M63" s="811"/>
      <c r="N63" s="811"/>
      <c r="O63" s="812"/>
      <c r="Q63" s="59"/>
      <c r="R63" s="59"/>
      <c r="S63" s="59"/>
    </row>
    <row r="64" spans="1:19" ht="13.5" thickBot="1" x14ac:dyDescent="0.25">
      <c r="D64" s="37"/>
      <c r="I64" s="58"/>
      <c r="J64" s="60" t="s">
        <v>624</v>
      </c>
      <c r="K64" s="61"/>
      <c r="L64" s="61"/>
      <c r="M64" s="61"/>
      <c r="N64" s="61"/>
      <c r="O64" s="62"/>
      <c r="Q64" s="59"/>
      <c r="R64" s="59"/>
      <c r="S64" s="59"/>
    </row>
    <row r="65" spans="2:19" ht="13.5" thickBot="1" x14ac:dyDescent="0.25">
      <c r="B65" s="789" t="s">
        <v>175</v>
      </c>
      <c r="C65" s="790"/>
      <c r="D65" s="790"/>
      <c r="E65" s="790"/>
      <c r="F65" s="791"/>
      <c r="G65" s="805">
        <f>+G60-G63</f>
        <v>916899</v>
      </c>
      <c r="H65" s="791"/>
      <c r="I65" s="63"/>
      <c r="J65" s="75" t="s">
        <v>625</v>
      </c>
      <c r="K65" s="39"/>
      <c r="L65" s="39"/>
      <c r="M65" s="39"/>
      <c r="N65" s="39"/>
      <c r="O65" s="65"/>
      <c r="Q65" s="59"/>
      <c r="R65" s="59"/>
      <c r="S65" s="59"/>
    </row>
    <row r="66" spans="2:19" ht="12.75" customHeight="1" x14ac:dyDescent="0.2">
      <c r="B66" s="48"/>
      <c r="C66" s="48"/>
      <c r="I66" s="63"/>
      <c r="J66" s="75"/>
      <c r="K66" s="39"/>
      <c r="L66" s="39"/>
      <c r="M66" s="39"/>
      <c r="N66" s="39"/>
      <c r="O66" s="65"/>
      <c r="Q66" s="59"/>
      <c r="R66" s="59"/>
      <c r="S66" s="59"/>
    </row>
    <row r="67" spans="2:19" x14ac:dyDescent="0.2">
      <c r="B67" s="66" t="s">
        <v>176</v>
      </c>
      <c r="C67" s="48"/>
      <c r="I67" s="63"/>
      <c r="J67" s="67"/>
      <c r="K67" s="68"/>
      <c r="L67" s="68"/>
      <c r="M67" s="68"/>
      <c r="N67" s="68"/>
      <c r="O67" s="69"/>
      <c r="Q67" s="59"/>
      <c r="R67" s="59"/>
      <c r="S67" s="59"/>
    </row>
    <row r="68" spans="2:19" ht="26.25" customHeight="1" thickBot="1" x14ac:dyDescent="0.25">
      <c r="B68" s="66"/>
      <c r="C68" s="48"/>
      <c r="G68" s="70" t="s">
        <v>177</v>
      </c>
      <c r="H68" s="70" t="s">
        <v>178</v>
      </c>
      <c r="I68" s="63"/>
      <c r="J68" s="810" t="s">
        <v>179</v>
      </c>
      <c r="K68" s="811"/>
      <c r="L68" s="71"/>
      <c r="M68" s="71"/>
      <c r="N68" s="71"/>
      <c r="O68" s="72"/>
      <c r="Q68" s="59"/>
      <c r="R68" s="59"/>
      <c r="S68" s="59"/>
    </row>
    <row r="69" spans="2:19" ht="12.75" customHeight="1" x14ac:dyDescent="0.2">
      <c r="B69" s="802" t="s">
        <v>180</v>
      </c>
      <c r="C69" s="821" t="s">
        <v>181</v>
      </c>
      <c r="D69" s="823" t="s">
        <v>182</v>
      </c>
      <c r="E69" s="824"/>
      <c r="F69" s="824"/>
      <c r="G69" s="73">
        <f>+O43</f>
        <v>320000</v>
      </c>
      <c r="H69" s="74">
        <f t="shared" ref="H69:H77" si="12">+G69</f>
        <v>320000</v>
      </c>
      <c r="I69" s="63"/>
      <c r="J69" s="75" t="s">
        <v>231</v>
      </c>
      <c r="K69" s="58"/>
      <c r="L69" s="58"/>
      <c r="M69" s="135"/>
      <c r="N69" s="135"/>
      <c r="O69" s="76">
        <v>568</v>
      </c>
      <c r="Q69" s="59"/>
      <c r="R69" s="59"/>
      <c r="S69" s="59"/>
    </row>
    <row r="70" spans="2:19" ht="12.75" customHeight="1" x14ac:dyDescent="0.2">
      <c r="B70" s="803"/>
      <c r="C70" s="822"/>
      <c r="D70" s="782" t="s">
        <v>184</v>
      </c>
      <c r="E70" s="783"/>
      <c r="F70" s="783"/>
      <c r="G70" s="77">
        <v>125400</v>
      </c>
      <c r="H70" s="78">
        <f t="shared" si="12"/>
        <v>125400</v>
      </c>
      <c r="I70" s="63"/>
      <c r="J70" s="181"/>
      <c r="K70" s="135"/>
      <c r="L70" s="135"/>
      <c r="M70" s="135"/>
      <c r="N70" s="135"/>
      <c r="O70" s="136"/>
      <c r="Q70" s="59"/>
      <c r="R70" s="59"/>
      <c r="S70" s="59"/>
    </row>
    <row r="71" spans="2:19" ht="12.75" customHeight="1" x14ac:dyDescent="0.2">
      <c r="B71" s="803"/>
      <c r="C71" s="822"/>
      <c r="D71" s="819" t="s">
        <v>185</v>
      </c>
      <c r="E71" s="820"/>
      <c r="F71" s="820"/>
      <c r="G71" s="80">
        <f>O40</f>
        <v>720</v>
      </c>
      <c r="H71" s="78">
        <f t="shared" si="12"/>
        <v>720</v>
      </c>
      <c r="I71" s="63"/>
      <c r="J71" s="181"/>
      <c r="K71" s="182"/>
      <c r="L71" s="135"/>
      <c r="M71" s="135"/>
      <c r="N71" s="135"/>
      <c r="O71" s="136"/>
    </row>
    <row r="72" spans="2:19" x14ac:dyDescent="0.2">
      <c r="B72" s="803"/>
      <c r="C72" s="822"/>
      <c r="D72" s="782" t="s">
        <v>186</v>
      </c>
      <c r="E72" s="783"/>
      <c r="F72" s="783"/>
      <c r="G72" s="81">
        <v>0</v>
      </c>
      <c r="H72" s="78">
        <f t="shared" si="12"/>
        <v>0</v>
      </c>
      <c r="I72" s="63"/>
      <c r="J72" s="181"/>
      <c r="K72" s="183"/>
      <c r="L72" s="183"/>
      <c r="M72" s="135"/>
      <c r="N72" s="135"/>
      <c r="O72" s="184"/>
    </row>
    <row r="73" spans="2:19" ht="12.75" customHeight="1" x14ac:dyDescent="0.2">
      <c r="B73" s="803"/>
      <c r="C73" s="822"/>
      <c r="D73" s="784" t="s">
        <v>188</v>
      </c>
      <c r="E73" s="783"/>
      <c r="F73" s="783"/>
      <c r="G73" s="80">
        <v>0</v>
      </c>
      <c r="H73" s="78">
        <f t="shared" si="12"/>
        <v>0</v>
      </c>
      <c r="I73" s="63"/>
      <c r="J73" s="181"/>
      <c r="K73" s="183"/>
      <c r="L73" s="183"/>
      <c r="M73" s="135"/>
      <c r="N73" s="135"/>
      <c r="O73" s="184"/>
    </row>
    <row r="74" spans="2:19" ht="14.25" customHeight="1" x14ac:dyDescent="0.2">
      <c r="B74" s="803"/>
      <c r="C74" s="822"/>
      <c r="D74" s="782" t="s">
        <v>190</v>
      </c>
      <c r="E74" s="783"/>
      <c r="F74" s="783"/>
      <c r="G74" s="84">
        <v>0</v>
      </c>
      <c r="H74" s="78">
        <f t="shared" si="12"/>
        <v>0</v>
      </c>
      <c r="I74" s="63"/>
      <c r="J74" s="181"/>
      <c r="K74" s="183"/>
      <c r="L74" s="183"/>
      <c r="M74" s="183"/>
      <c r="N74" s="183"/>
      <c r="O74" s="184"/>
    </row>
    <row r="75" spans="2:19" x14ac:dyDescent="0.2">
      <c r="B75" s="803"/>
      <c r="C75" s="822"/>
      <c r="D75" s="782" t="s">
        <v>191</v>
      </c>
      <c r="E75" s="783"/>
      <c r="F75" s="783"/>
      <c r="G75" s="81">
        <v>71317</v>
      </c>
      <c r="H75" s="78">
        <f t="shared" si="12"/>
        <v>71317</v>
      </c>
      <c r="I75" s="58"/>
      <c r="J75" s="150"/>
      <c r="K75" s="50"/>
      <c r="L75" s="50"/>
      <c r="M75" s="50"/>
      <c r="N75" s="50"/>
      <c r="O75" s="83"/>
    </row>
    <row r="76" spans="2:19" x14ac:dyDescent="0.2">
      <c r="B76" s="803"/>
      <c r="C76" s="88" t="s">
        <v>192</v>
      </c>
      <c r="D76" s="813" t="s">
        <v>193</v>
      </c>
      <c r="E76" s="814"/>
      <c r="F76" s="814"/>
      <c r="G76" s="80">
        <v>0</v>
      </c>
      <c r="H76" s="78">
        <f t="shared" si="12"/>
        <v>0</v>
      </c>
      <c r="I76" s="58"/>
      <c r="J76" s="82" t="s">
        <v>187</v>
      </c>
      <c r="K76" s="71"/>
      <c r="L76" s="71"/>
      <c r="M76" s="71"/>
      <c r="N76" s="71"/>
      <c r="O76" s="72"/>
    </row>
    <row r="77" spans="2:19" ht="13.5" customHeight="1" thickBot="1" x14ac:dyDescent="0.25">
      <c r="B77" s="803"/>
      <c r="C77" s="88" t="s">
        <v>194</v>
      </c>
      <c r="D77" s="815" t="s">
        <v>195</v>
      </c>
      <c r="E77" s="815"/>
      <c r="F77" s="815"/>
      <c r="G77" s="89">
        <v>0</v>
      </c>
      <c r="H77" s="90">
        <f t="shared" si="12"/>
        <v>0</v>
      </c>
      <c r="I77" s="63"/>
      <c r="J77" s="75" t="s">
        <v>189</v>
      </c>
      <c r="K77" s="50"/>
      <c r="L77" s="50"/>
      <c r="M77" s="50"/>
      <c r="N77" s="50"/>
      <c r="O77" s="83">
        <v>0</v>
      </c>
    </row>
    <row r="78" spans="2:19" ht="13.5" thickBot="1" x14ac:dyDescent="0.25">
      <c r="B78" s="803"/>
      <c r="C78" s="93"/>
      <c r="D78" s="94"/>
      <c r="E78" s="816" t="s">
        <v>117</v>
      </c>
      <c r="F78" s="817"/>
      <c r="G78" s="95">
        <f>SUM(G69:G77)</f>
        <v>517437</v>
      </c>
      <c r="H78" s="96">
        <f>IF(SUM(G69:G75)&lt;150000,SUM(G69:G75),150000)+IF(+G76&lt;20000,+G76,20000)</f>
        <v>150000</v>
      </c>
      <c r="I78" s="63"/>
      <c r="J78" s="185"/>
      <c r="K78" s="141"/>
      <c r="L78" s="141"/>
      <c r="M78" s="142"/>
      <c r="N78" s="142"/>
      <c r="O78" s="143">
        <v>0</v>
      </c>
    </row>
    <row r="79" spans="2:19" ht="12.75" customHeight="1" x14ac:dyDescent="0.2">
      <c r="B79" s="803"/>
      <c r="C79" s="100" t="s">
        <v>196</v>
      </c>
      <c r="D79" s="782" t="s">
        <v>187</v>
      </c>
      <c r="E79" s="783"/>
      <c r="F79" s="818"/>
      <c r="G79" s="73">
        <v>10502</v>
      </c>
      <c r="H79" s="101">
        <f>+IF(+G79&lt;25000,+G79,25000)</f>
        <v>10502</v>
      </c>
      <c r="I79" s="87"/>
    </row>
    <row r="80" spans="2:19" x14ac:dyDescent="0.2">
      <c r="B80" s="803"/>
      <c r="C80" s="100" t="s">
        <v>197</v>
      </c>
      <c r="D80" s="784" t="s">
        <v>198</v>
      </c>
      <c r="E80" s="785"/>
      <c r="F80" s="786"/>
      <c r="G80" s="102"/>
      <c r="H80" s="103">
        <f>+IF(+G80&lt;40000,+G80,40000)</f>
        <v>0</v>
      </c>
      <c r="I80" s="63"/>
    </row>
    <row r="81" spans="2:12" x14ac:dyDescent="0.2">
      <c r="B81" s="803"/>
      <c r="C81" s="100" t="s">
        <v>199</v>
      </c>
      <c r="D81" s="784" t="s">
        <v>200</v>
      </c>
      <c r="E81" s="785"/>
      <c r="F81" s="786"/>
      <c r="G81" s="81"/>
      <c r="H81" s="104">
        <v>0</v>
      </c>
      <c r="I81" s="63"/>
      <c r="J81" s="106"/>
    </row>
    <row r="82" spans="2:12" x14ac:dyDescent="0.2">
      <c r="B82" s="803"/>
      <c r="C82" s="100" t="s">
        <v>201</v>
      </c>
      <c r="D82" s="784" t="s">
        <v>202</v>
      </c>
      <c r="E82" s="785"/>
      <c r="F82" s="786"/>
      <c r="G82" s="81"/>
      <c r="H82" s="104">
        <v>0</v>
      </c>
      <c r="I82" s="63"/>
    </row>
    <row r="83" spans="2:12" ht="13.5" thickBot="1" x14ac:dyDescent="0.25">
      <c r="B83" s="804"/>
      <c r="C83" s="100" t="s">
        <v>203</v>
      </c>
      <c r="D83" s="784" t="s">
        <v>204</v>
      </c>
      <c r="E83" s="785"/>
      <c r="F83" s="786"/>
      <c r="G83" s="102"/>
      <c r="H83" s="103">
        <f>+IF(+G83&lt;100000,+G83,10000)</f>
        <v>0</v>
      </c>
      <c r="I83" s="63"/>
    </row>
    <row r="84" spans="2:12" ht="13.5" thickBot="1" x14ac:dyDescent="0.25">
      <c r="B84" s="787" t="s">
        <v>205</v>
      </c>
      <c r="C84" s="788"/>
      <c r="D84" s="788"/>
      <c r="E84" s="788"/>
      <c r="F84" s="788"/>
      <c r="G84" s="107">
        <f>SUM(G79:G83)</f>
        <v>10502</v>
      </c>
      <c r="H84" s="108">
        <f>SUM(H78:H83)</f>
        <v>160502</v>
      </c>
    </row>
    <row r="85" spans="2:12" ht="13.5" thickBot="1" x14ac:dyDescent="0.25"/>
    <row r="86" spans="2:12" ht="13.5" thickBot="1" x14ac:dyDescent="0.25">
      <c r="B86" s="789" t="s">
        <v>206</v>
      </c>
      <c r="C86" s="790"/>
      <c r="D86" s="790"/>
      <c r="E86" s="790"/>
      <c r="F86" s="791"/>
      <c r="G86" s="792">
        <f>+G65-H84</f>
        <v>756397</v>
      </c>
      <c r="H86" s="791"/>
      <c r="J86" s="109">
        <f>C37+D37+E37+F37</f>
        <v>336278</v>
      </c>
      <c r="K86" s="16" t="s">
        <v>235</v>
      </c>
    </row>
    <row r="87" spans="2:12" x14ac:dyDescent="0.2">
      <c r="B87" s="110"/>
      <c r="F87" s="105"/>
      <c r="J87" s="109">
        <f>G37+H37+I37</f>
        <v>241854</v>
      </c>
      <c r="K87" s="16" t="s">
        <v>236</v>
      </c>
    </row>
    <row r="88" spans="2:12" x14ac:dyDescent="0.2">
      <c r="C88" s="793" t="s">
        <v>207</v>
      </c>
      <c r="D88" s="794"/>
      <c r="E88" s="111" t="s">
        <v>208</v>
      </c>
      <c r="F88" s="111" t="s">
        <v>209</v>
      </c>
      <c r="G88" s="111" t="s">
        <v>210</v>
      </c>
      <c r="H88" s="111" t="s">
        <v>211</v>
      </c>
      <c r="J88" s="109">
        <f>J37+K37+L37</f>
        <v>256226</v>
      </c>
      <c r="K88" s="47" t="s">
        <v>237</v>
      </c>
    </row>
    <row r="89" spans="2:12" x14ac:dyDescent="0.2">
      <c r="C89" s="795" t="str">
        <f>IF(I6="M","0          - 250000","0          -  250000")</f>
        <v>0          - 250000</v>
      </c>
      <c r="D89" s="796"/>
      <c r="E89" s="112">
        <v>0</v>
      </c>
      <c r="F89" s="113">
        <f>IF(I6="M",(IF(G86&lt;250000,G86,250000)),(IF(G86&lt;250000,G86,250000)))</f>
        <v>250000</v>
      </c>
      <c r="G89" s="113">
        <f>G86-F89</f>
        <v>506397</v>
      </c>
      <c r="H89" s="113">
        <f>E89*F89</f>
        <v>0</v>
      </c>
      <c r="J89" s="16">
        <f>M37+N37</f>
        <v>163724</v>
      </c>
      <c r="K89" s="1" t="s">
        <v>238</v>
      </c>
      <c r="L89" s="16">
        <f>+J89/2</f>
        <v>81862</v>
      </c>
    </row>
    <row r="90" spans="2:12" x14ac:dyDescent="0.2">
      <c r="C90" s="795" t="str">
        <f>IF(I6="M","250001 - 500000","250001-500000")</f>
        <v>250001 - 500000</v>
      </c>
      <c r="D90" s="796"/>
      <c r="E90" s="112">
        <v>0.05</v>
      </c>
      <c r="F90" s="113">
        <f>IF(I6="M",(IF(G89&lt;250000,G89,250000)),(IF(G89&lt;250000,G89,250000)))</f>
        <v>250000</v>
      </c>
      <c r="G90" s="113">
        <f>G89-F90</f>
        <v>256397</v>
      </c>
      <c r="H90" s="114">
        <f>ROUND(E90*F90,0.1)</f>
        <v>12500</v>
      </c>
      <c r="J90" s="115">
        <f>SUM(J86:J89)</f>
        <v>998082</v>
      </c>
    </row>
    <row r="91" spans="2:12" x14ac:dyDescent="0.2">
      <c r="C91" s="797" t="s">
        <v>212</v>
      </c>
      <c r="D91" s="798"/>
      <c r="E91" s="112">
        <v>0.2</v>
      </c>
      <c r="F91" s="113">
        <f>IF(G90&lt;500000,G90,500000)</f>
        <v>256397</v>
      </c>
      <c r="G91" s="113">
        <f>G90-F91</f>
        <v>0</v>
      </c>
      <c r="H91" s="114">
        <f>ROUND(E91*F91,0.1)</f>
        <v>51279</v>
      </c>
      <c r="J91" s="16">
        <f>+G86</f>
        <v>756397</v>
      </c>
    </row>
    <row r="92" spans="2:12" x14ac:dyDescent="0.2">
      <c r="C92" s="795" t="s">
        <v>213</v>
      </c>
      <c r="D92" s="796"/>
      <c r="E92" s="112">
        <v>0.3</v>
      </c>
      <c r="F92" s="113">
        <f>G91</f>
        <v>0</v>
      </c>
      <c r="G92" s="113">
        <f>G91-F92</f>
        <v>0</v>
      </c>
      <c r="H92" s="114">
        <f>ROUND(E92*F92,0.1)</f>
        <v>0</v>
      </c>
      <c r="J92" s="16">
        <f>+J90-J91</f>
        <v>241685</v>
      </c>
    </row>
    <row r="93" spans="2:12" ht="12.75" customHeight="1" thickBot="1" x14ac:dyDescent="0.25">
      <c r="B93" s="116"/>
      <c r="C93" s="117"/>
      <c r="D93" s="47"/>
      <c r="E93" s="47"/>
      <c r="F93" s="47"/>
      <c r="J93" s="16">
        <f>ROUND(+G86/12,0.1)</f>
        <v>63033</v>
      </c>
      <c r="K93" s="223" t="s">
        <v>416</v>
      </c>
    </row>
    <row r="94" spans="2:12" ht="13.5" thickBot="1" x14ac:dyDescent="0.25">
      <c r="B94" s="799" t="s">
        <v>239</v>
      </c>
      <c r="C94" s="800"/>
      <c r="D94" s="800"/>
      <c r="E94" s="800"/>
      <c r="F94" s="801"/>
      <c r="G94" s="771">
        <f>H89+H90+H91+H92</f>
        <v>63779</v>
      </c>
      <c r="H94" s="772"/>
      <c r="J94" s="16">
        <f>+J92/5</f>
        <v>48337</v>
      </c>
    </row>
    <row r="95" spans="2:12" ht="13.5" thickBot="1" x14ac:dyDescent="0.25">
      <c r="B95" s="119" t="s">
        <v>215</v>
      </c>
      <c r="C95" s="120"/>
      <c r="D95" s="120"/>
      <c r="E95" s="120"/>
      <c r="F95" s="120"/>
      <c r="G95" s="884">
        <f>IF((G65&lt;500000),5000,0)</f>
        <v>0</v>
      </c>
      <c r="H95" s="885">
        <f>IF(H93&lt;200000,0,IF(H93&lt;220000,((H93-200000)*10%),IF(H93&lt;=500000,2000,IF(H93&gt;=500000,0))))</f>
        <v>0</v>
      </c>
      <c r="J95" s="1"/>
      <c r="K95" s="121"/>
      <c r="L95" s="121"/>
    </row>
    <row r="96" spans="2:12" ht="13.5" thickBot="1" x14ac:dyDescent="0.25">
      <c r="B96" s="122" t="s">
        <v>216</v>
      </c>
      <c r="C96" s="123"/>
      <c r="D96" s="123"/>
      <c r="E96" s="123"/>
      <c r="F96" s="123"/>
      <c r="G96" s="771">
        <f>IF((G94-G95)&lt;0,0,(G94-G95))</f>
        <v>63779</v>
      </c>
      <c r="H96" s="772"/>
      <c r="I96" s="37"/>
    </row>
    <row r="97" spans="2:9" ht="13.5" thickBot="1" x14ac:dyDescent="0.25">
      <c r="B97" s="773" t="s">
        <v>240</v>
      </c>
      <c r="C97" s="774"/>
      <c r="D97" s="774"/>
      <c r="E97" s="774"/>
      <c r="F97" s="775"/>
      <c r="G97" s="776">
        <f>ROUND((IF(G96&gt;0,(G96*4%),0)),0)</f>
        <v>2551</v>
      </c>
      <c r="H97" s="777"/>
      <c r="I97" s="37"/>
    </row>
    <row r="98" spans="2:9" ht="13.5" thickBot="1" x14ac:dyDescent="0.25">
      <c r="B98" s="778" t="s">
        <v>218</v>
      </c>
      <c r="C98" s="779"/>
      <c r="D98" s="779"/>
      <c r="E98" s="779"/>
      <c r="F98" s="779"/>
      <c r="G98" s="780">
        <f>G96+G97</f>
        <v>66330</v>
      </c>
      <c r="H98" s="781"/>
      <c r="I98" s="121"/>
    </row>
    <row r="99" spans="2:9" ht="13.5" thickBot="1" x14ac:dyDescent="0.25">
      <c r="B99" s="765" t="s">
        <v>219</v>
      </c>
      <c r="C99" s="766"/>
      <c r="D99" s="766"/>
      <c r="E99" s="766"/>
      <c r="F99" s="766"/>
      <c r="G99" s="767">
        <f>O38</f>
        <v>66335</v>
      </c>
      <c r="H99" s="768"/>
      <c r="I99" s="121"/>
    </row>
    <row r="100" spans="2:9" ht="13.5" thickBot="1" x14ac:dyDescent="0.25">
      <c r="B100" s="765" t="str">
        <f>IF(G100&gt;0,"TAX PAYABLE","TAX REFUND")</f>
        <v>TAX REFUND</v>
      </c>
      <c r="C100" s="766"/>
      <c r="D100" s="766"/>
      <c r="E100" s="766"/>
      <c r="F100" s="766"/>
      <c r="G100" s="767">
        <f>+G98-G99</f>
        <v>-5</v>
      </c>
      <c r="H100" s="768"/>
      <c r="I100" s="37"/>
    </row>
    <row r="101" spans="2:9" x14ac:dyDescent="0.2">
      <c r="C101" s="124"/>
      <c r="D101" s="45"/>
      <c r="E101" s="118"/>
      <c r="F101" s="118"/>
      <c r="G101" s="118"/>
      <c r="H101" s="118"/>
      <c r="I101" s="125"/>
    </row>
    <row r="102" spans="2:9" x14ac:dyDescent="0.2">
      <c r="C102" s="47"/>
      <c r="D102" s="50"/>
      <c r="E102" s="117"/>
      <c r="F102" s="47"/>
      <c r="G102" s="47"/>
      <c r="H102" s="47"/>
      <c r="I102" s="125"/>
    </row>
    <row r="103" spans="2:9" x14ac:dyDescent="0.2">
      <c r="C103" s="39"/>
      <c r="D103" s="126"/>
      <c r="E103" s="126"/>
      <c r="F103" s="126"/>
      <c r="G103" s="39"/>
      <c r="H103" s="39"/>
      <c r="I103" s="37"/>
    </row>
    <row r="104" spans="2:9" x14ac:dyDescent="0.2">
      <c r="C104" s="39"/>
      <c r="D104" s="126"/>
      <c r="E104" s="126"/>
      <c r="F104" s="39"/>
      <c r="G104" s="39"/>
      <c r="H104" s="39"/>
      <c r="I104" s="37"/>
    </row>
    <row r="105" spans="2:9" x14ac:dyDescent="0.2">
      <c r="C105" s="39"/>
      <c r="D105" s="126"/>
      <c r="E105" s="126"/>
      <c r="F105" s="39"/>
      <c r="G105" s="39"/>
      <c r="H105" s="39"/>
      <c r="I105" s="37"/>
    </row>
    <row r="106" spans="2:9" x14ac:dyDescent="0.2">
      <c r="C106" s="39"/>
      <c r="D106" s="39"/>
      <c r="E106" s="39"/>
      <c r="F106" s="39"/>
      <c r="G106" s="39"/>
      <c r="H106" s="39"/>
      <c r="I106" s="37"/>
    </row>
    <row r="107" spans="2:9" x14ac:dyDescent="0.2">
      <c r="C107" s="39"/>
      <c r="D107" s="39"/>
      <c r="E107" s="39"/>
      <c r="F107" s="39"/>
      <c r="G107" s="39"/>
      <c r="H107" s="39"/>
    </row>
    <row r="108" spans="2:9" x14ac:dyDescent="0.2">
      <c r="C108" s="39"/>
      <c r="D108" s="39"/>
      <c r="E108" s="39"/>
      <c r="F108" s="39"/>
      <c r="G108" s="39"/>
      <c r="H108"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60:F60"/>
    <mergeCell ref="G60:H60"/>
    <mergeCell ref="J60:O60"/>
    <mergeCell ref="B55:B58"/>
    <mergeCell ref="C55:C58"/>
    <mergeCell ref="D55:F55"/>
    <mergeCell ref="G55:H55"/>
    <mergeCell ref="D56:F56"/>
    <mergeCell ref="G56:H56"/>
    <mergeCell ref="J56:L56"/>
    <mergeCell ref="M56:O56"/>
    <mergeCell ref="D58:F58"/>
    <mergeCell ref="G58:H58"/>
    <mergeCell ref="J63:O63"/>
    <mergeCell ref="D81:F81"/>
    <mergeCell ref="J68:K68"/>
    <mergeCell ref="B65:F65"/>
    <mergeCell ref="G65:H65"/>
    <mergeCell ref="D76:F76"/>
    <mergeCell ref="D77:F77"/>
    <mergeCell ref="E78:F78"/>
    <mergeCell ref="D79:F79"/>
    <mergeCell ref="D80:F80"/>
    <mergeCell ref="D71:F71"/>
    <mergeCell ref="D72:F72"/>
    <mergeCell ref="C69:C75"/>
    <mergeCell ref="D69:F69"/>
    <mergeCell ref="D70:F70"/>
    <mergeCell ref="D74:F74"/>
    <mergeCell ref="G62:H62"/>
    <mergeCell ref="C63:F63"/>
    <mergeCell ref="G63:H63"/>
    <mergeCell ref="B62:F62"/>
    <mergeCell ref="D73:F73"/>
    <mergeCell ref="D75:F75"/>
    <mergeCell ref="G94:H94"/>
    <mergeCell ref="D82:F82"/>
    <mergeCell ref="D83:F83"/>
    <mergeCell ref="B84:F84"/>
    <mergeCell ref="B86:F86"/>
    <mergeCell ref="G86:H86"/>
    <mergeCell ref="C88:D88"/>
    <mergeCell ref="C89:D89"/>
    <mergeCell ref="C90:D90"/>
    <mergeCell ref="C91:D91"/>
    <mergeCell ref="C92:D92"/>
    <mergeCell ref="B94:F94"/>
    <mergeCell ref="B69:B83"/>
    <mergeCell ref="B100:F100"/>
    <mergeCell ref="G100:H100"/>
    <mergeCell ref="G95:H95"/>
    <mergeCell ref="G96:H96"/>
    <mergeCell ref="B97:F97"/>
    <mergeCell ref="G97:H97"/>
    <mergeCell ref="B98:F98"/>
    <mergeCell ref="G98:H98"/>
    <mergeCell ref="B99:F99"/>
    <mergeCell ref="G99:H99"/>
  </mergeCells>
  <conditionalFormatting sqref="B91:F91 B100:F100 B94:F98">
    <cfRule type="cellIs" dxfId="1841" priority="3" stopIfTrue="1" operator="equal">
      <formula>"TAX PAYABLE"</formula>
    </cfRule>
    <cfRule type="cellIs" dxfId="1840" priority="4" stopIfTrue="1" operator="equal">
      <formula>"TAX REFUND"</formula>
    </cfRule>
  </conditionalFormatting>
  <conditionalFormatting sqref="G91:H91">
    <cfRule type="cellIs" dxfId="1839" priority="5" stopIfTrue="1" operator="lessThan">
      <formula>0</formula>
    </cfRule>
    <cfRule type="cellIs" dxfId="1838" priority="6" stopIfTrue="1" operator="greaterThan">
      <formula>0</formula>
    </cfRule>
  </conditionalFormatting>
  <conditionalFormatting sqref="G100:H100">
    <cfRule type="cellIs" dxfId="1837" priority="1" stopIfTrue="1" operator="greaterThan">
      <formula>0</formula>
    </cfRule>
    <cfRule type="cellIs" dxfId="1836"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$Q$8:$Q$9</formula1>
    </dataValidation>
  </dataValidations>
  <pageMargins left="1.2" right="0.45" top="0.75" bottom="0.75" header="0.3" footer="0.3"/>
  <pageSetup paperSize="5" orientation="landscape" horizontalDpi="300" verticalDpi="300" r:id="rId1"/>
  <headerFooter alignWithMargins="0"/>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9"/>
  <sheetViews>
    <sheetView topLeftCell="A63" workbookViewId="0">
      <selection activeCell="O38" sqref="O38"/>
    </sheetView>
  </sheetViews>
  <sheetFormatPr defaultRowHeight="12.75" x14ac:dyDescent="0.2"/>
  <cols>
    <col min="1" max="1" width="5" style="16" customWidth="1"/>
    <col min="2" max="2" width="16.5703125" style="37" customWidth="1"/>
    <col min="3" max="3" width="8.140625" style="16" customWidth="1"/>
    <col min="4" max="4" width="7.5703125" style="16" customWidth="1"/>
    <col min="5" max="5" width="8.5703125" style="16" bestFit="1" customWidth="1"/>
    <col min="6" max="7" width="7.5703125" style="16" customWidth="1"/>
    <col min="8" max="8" width="8.5703125" style="16" customWidth="1"/>
    <col min="9" max="9" width="7.140625" style="16" bestFit="1" customWidth="1"/>
    <col min="10" max="10" width="7.85546875" style="16" customWidth="1"/>
    <col min="11" max="15" width="8.140625" style="16" customWidth="1"/>
    <col min="16" max="20" width="9.140625" style="16"/>
    <col min="21" max="21" width="12.42578125" style="16" customWidth="1"/>
    <col min="22" max="22" width="9.140625" style="16"/>
    <col min="23" max="23" width="12" style="16" customWidth="1"/>
    <col min="24" max="256" width="9.140625" style="16"/>
    <col min="257" max="257" width="5" style="16" customWidth="1"/>
    <col min="258" max="258" width="16.5703125" style="16" customWidth="1"/>
    <col min="259" max="259" width="8.140625" style="16" customWidth="1"/>
    <col min="260" max="260" width="7.5703125" style="16" customWidth="1"/>
    <col min="261" max="261" width="8.5703125" style="16" bestFit="1" customWidth="1"/>
    <col min="262" max="263" width="7.5703125" style="16" customWidth="1"/>
    <col min="264" max="264" width="8.5703125" style="16" customWidth="1"/>
    <col min="265" max="265" width="7.140625" style="16" bestFit="1" customWidth="1"/>
    <col min="266" max="266" width="7.85546875" style="16" customWidth="1"/>
    <col min="267" max="271" width="8.140625" style="16" customWidth="1"/>
    <col min="272" max="276" width="9.140625" style="16"/>
    <col min="277" max="277" width="12.42578125" style="16" customWidth="1"/>
    <col min="278" max="278" width="9.140625" style="16"/>
    <col min="279" max="279" width="12" style="16" customWidth="1"/>
    <col min="280" max="512" width="9.140625" style="16"/>
    <col min="513" max="513" width="5" style="16" customWidth="1"/>
    <col min="514" max="514" width="16.5703125" style="16" customWidth="1"/>
    <col min="515" max="515" width="8.140625" style="16" customWidth="1"/>
    <col min="516" max="516" width="7.5703125" style="16" customWidth="1"/>
    <col min="517" max="517" width="8.5703125" style="16" bestFit="1" customWidth="1"/>
    <col min="518" max="519" width="7.5703125" style="16" customWidth="1"/>
    <col min="520" max="520" width="8.5703125" style="16" customWidth="1"/>
    <col min="521" max="521" width="7.140625" style="16" bestFit="1" customWidth="1"/>
    <col min="522" max="522" width="7.85546875" style="16" customWidth="1"/>
    <col min="523" max="527" width="8.140625" style="16" customWidth="1"/>
    <col min="528" max="532" width="9.140625" style="16"/>
    <col min="533" max="533" width="12.42578125" style="16" customWidth="1"/>
    <col min="534" max="534" width="9.140625" style="16"/>
    <col min="535" max="535" width="12" style="16" customWidth="1"/>
    <col min="536" max="768" width="9.140625" style="16"/>
    <col min="769" max="769" width="5" style="16" customWidth="1"/>
    <col min="770" max="770" width="16.5703125" style="16" customWidth="1"/>
    <col min="771" max="771" width="8.140625" style="16" customWidth="1"/>
    <col min="772" max="772" width="7.5703125" style="16" customWidth="1"/>
    <col min="773" max="773" width="8.5703125" style="16" bestFit="1" customWidth="1"/>
    <col min="774" max="775" width="7.5703125" style="16" customWidth="1"/>
    <col min="776" max="776" width="8.5703125" style="16" customWidth="1"/>
    <col min="777" max="777" width="7.140625" style="16" bestFit="1" customWidth="1"/>
    <col min="778" max="778" width="7.85546875" style="16" customWidth="1"/>
    <col min="779" max="783" width="8.140625" style="16" customWidth="1"/>
    <col min="784" max="788" width="9.140625" style="16"/>
    <col min="789" max="789" width="12.42578125" style="16" customWidth="1"/>
    <col min="790" max="790" width="9.140625" style="16"/>
    <col min="791" max="791" width="12" style="16" customWidth="1"/>
    <col min="792" max="1024" width="9.140625" style="16"/>
    <col min="1025" max="1025" width="5" style="16" customWidth="1"/>
    <col min="1026" max="1026" width="16.5703125" style="16" customWidth="1"/>
    <col min="1027" max="1027" width="8.140625" style="16" customWidth="1"/>
    <col min="1028" max="1028" width="7.5703125" style="16" customWidth="1"/>
    <col min="1029" max="1029" width="8.5703125" style="16" bestFit="1" customWidth="1"/>
    <col min="1030" max="1031" width="7.5703125" style="16" customWidth="1"/>
    <col min="1032" max="1032" width="8.5703125" style="16" customWidth="1"/>
    <col min="1033" max="1033" width="7.140625" style="16" bestFit="1" customWidth="1"/>
    <col min="1034" max="1034" width="7.85546875" style="16" customWidth="1"/>
    <col min="1035" max="1039" width="8.140625" style="16" customWidth="1"/>
    <col min="1040" max="1044" width="9.140625" style="16"/>
    <col min="1045" max="1045" width="12.42578125" style="16" customWidth="1"/>
    <col min="1046" max="1046" width="9.140625" style="16"/>
    <col min="1047" max="1047" width="12" style="16" customWidth="1"/>
    <col min="1048" max="1280" width="9.140625" style="16"/>
    <col min="1281" max="1281" width="5" style="16" customWidth="1"/>
    <col min="1282" max="1282" width="16.5703125" style="16" customWidth="1"/>
    <col min="1283" max="1283" width="8.140625" style="16" customWidth="1"/>
    <col min="1284" max="1284" width="7.5703125" style="16" customWidth="1"/>
    <col min="1285" max="1285" width="8.5703125" style="16" bestFit="1" customWidth="1"/>
    <col min="1286" max="1287" width="7.5703125" style="16" customWidth="1"/>
    <col min="1288" max="1288" width="8.5703125" style="16" customWidth="1"/>
    <col min="1289" max="1289" width="7.140625" style="16" bestFit="1" customWidth="1"/>
    <col min="1290" max="1290" width="7.85546875" style="16" customWidth="1"/>
    <col min="1291" max="1295" width="8.140625" style="16" customWidth="1"/>
    <col min="1296" max="1300" width="9.140625" style="16"/>
    <col min="1301" max="1301" width="12.42578125" style="16" customWidth="1"/>
    <col min="1302" max="1302" width="9.140625" style="16"/>
    <col min="1303" max="1303" width="12" style="16" customWidth="1"/>
    <col min="1304" max="1536" width="9.140625" style="16"/>
    <col min="1537" max="1537" width="5" style="16" customWidth="1"/>
    <col min="1538" max="1538" width="16.5703125" style="16" customWidth="1"/>
    <col min="1539" max="1539" width="8.140625" style="16" customWidth="1"/>
    <col min="1540" max="1540" width="7.5703125" style="16" customWidth="1"/>
    <col min="1541" max="1541" width="8.5703125" style="16" bestFit="1" customWidth="1"/>
    <col min="1542" max="1543" width="7.5703125" style="16" customWidth="1"/>
    <col min="1544" max="1544" width="8.5703125" style="16" customWidth="1"/>
    <col min="1545" max="1545" width="7.140625" style="16" bestFit="1" customWidth="1"/>
    <col min="1546" max="1546" width="7.85546875" style="16" customWidth="1"/>
    <col min="1547" max="1551" width="8.140625" style="16" customWidth="1"/>
    <col min="1552" max="1556" width="9.140625" style="16"/>
    <col min="1557" max="1557" width="12.42578125" style="16" customWidth="1"/>
    <col min="1558" max="1558" width="9.140625" style="16"/>
    <col min="1559" max="1559" width="12" style="16" customWidth="1"/>
    <col min="1560" max="1792" width="9.140625" style="16"/>
    <col min="1793" max="1793" width="5" style="16" customWidth="1"/>
    <col min="1794" max="1794" width="16.5703125" style="16" customWidth="1"/>
    <col min="1795" max="1795" width="8.140625" style="16" customWidth="1"/>
    <col min="1796" max="1796" width="7.5703125" style="16" customWidth="1"/>
    <col min="1797" max="1797" width="8.5703125" style="16" bestFit="1" customWidth="1"/>
    <col min="1798" max="1799" width="7.5703125" style="16" customWidth="1"/>
    <col min="1800" max="1800" width="8.5703125" style="16" customWidth="1"/>
    <col min="1801" max="1801" width="7.140625" style="16" bestFit="1" customWidth="1"/>
    <col min="1802" max="1802" width="7.85546875" style="16" customWidth="1"/>
    <col min="1803" max="1807" width="8.140625" style="16" customWidth="1"/>
    <col min="1808" max="1812" width="9.140625" style="16"/>
    <col min="1813" max="1813" width="12.42578125" style="16" customWidth="1"/>
    <col min="1814" max="1814" width="9.140625" style="16"/>
    <col min="1815" max="1815" width="12" style="16" customWidth="1"/>
    <col min="1816" max="2048" width="9.140625" style="16"/>
    <col min="2049" max="2049" width="5" style="16" customWidth="1"/>
    <col min="2050" max="2050" width="16.5703125" style="16" customWidth="1"/>
    <col min="2051" max="2051" width="8.140625" style="16" customWidth="1"/>
    <col min="2052" max="2052" width="7.5703125" style="16" customWidth="1"/>
    <col min="2053" max="2053" width="8.5703125" style="16" bestFit="1" customWidth="1"/>
    <col min="2054" max="2055" width="7.5703125" style="16" customWidth="1"/>
    <col min="2056" max="2056" width="8.5703125" style="16" customWidth="1"/>
    <col min="2057" max="2057" width="7.140625" style="16" bestFit="1" customWidth="1"/>
    <col min="2058" max="2058" width="7.85546875" style="16" customWidth="1"/>
    <col min="2059" max="2063" width="8.140625" style="16" customWidth="1"/>
    <col min="2064" max="2068" width="9.140625" style="16"/>
    <col min="2069" max="2069" width="12.42578125" style="16" customWidth="1"/>
    <col min="2070" max="2070" width="9.140625" style="16"/>
    <col min="2071" max="2071" width="12" style="16" customWidth="1"/>
    <col min="2072" max="2304" width="9.140625" style="16"/>
    <col min="2305" max="2305" width="5" style="16" customWidth="1"/>
    <col min="2306" max="2306" width="16.5703125" style="16" customWidth="1"/>
    <col min="2307" max="2307" width="8.140625" style="16" customWidth="1"/>
    <col min="2308" max="2308" width="7.5703125" style="16" customWidth="1"/>
    <col min="2309" max="2309" width="8.5703125" style="16" bestFit="1" customWidth="1"/>
    <col min="2310" max="2311" width="7.5703125" style="16" customWidth="1"/>
    <col min="2312" max="2312" width="8.5703125" style="16" customWidth="1"/>
    <col min="2313" max="2313" width="7.140625" style="16" bestFit="1" customWidth="1"/>
    <col min="2314" max="2314" width="7.85546875" style="16" customWidth="1"/>
    <col min="2315" max="2319" width="8.140625" style="16" customWidth="1"/>
    <col min="2320" max="2324" width="9.140625" style="16"/>
    <col min="2325" max="2325" width="12.42578125" style="16" customWidth="1"/>
    <col min="2326" max="2326" width="9.140625" style="16"/>
    <col min="2327" max="2327" width="12" style="16" customWidth="1"/>
    <col min="2328" max="2560" width="9.140625" style="16"/>
    <col min="2561" max="2561" width="5" style="16" customWidth="1"/>
    <col min="2562" max="2562" width="16.5703125" style="16" customWidth="1"/>
    <col min="2563" max="2563" width="8.140625" style="16" customWidth="1"/>
    <col min="2564" max="2564" width="7.5703125" style="16" customWidth="1"/>
    <col min="2565" max="2565" width="8.5703125" style="16" bestFit="1" customWidth="1"/>
    <col min="2566" max="2567" width="7.5703125" style="16" customWidth="1"/>
    <col min="2568" max="2568" width="8.5703125" style="16" customWidth="1"/>
    <col min="2569" max="2569" width="7.140625" style="16" bestFit="1" customWidth="1"/>
    <col min="2570" max="2570" width="7.85546875" style="16" customWidth="1"/>
    <col min="2571" max="2575" width="8.140625" style="16" customWidth="1"/>
    <col min="2576" max="2580" width="9.140625" style="16"/>
    <col min="2581" max="2581" width="12.42578125" style="16" customWidth="1"/>
    <col min="2582" max="2582" width="9.140625" style="16"/>
    <col min="2583" max="2583" width="12" style="16" customWidth="1"/>
    <col min="2584" max="2816" width="9.140625" style="16"/>
    <col min="2817" max="2817" width="5" style="16" customWidth="1"/>
    <col min="2818" max="2818" width="16.5703125" style="16" customWidth="1"/>
    <col min="2819" max="2819" width="8.140625" style="16" customWidth="1"/>
    <col min="2820" max="2820" width="7.5703125" style="16" customWidth="1"/>
    <col min="2821" max="2821" width="8.5703125" style="16" bestFit="1" customWidth="1"/>
    <col min="2822" max="2823" width="7.5703125" style="16" customWidth="1"/>
    <col min="2824" max="2824" width="8.5703125" style="16" customWidth="1"/>
    <col min="2825" max="2825" width="7.140625" style="16" bestFit="1" customWidth="1"/>
    <col min="2826" max="2826" width="7.85546875" style="16" customWidth="1"/>
    <col min="2827" max="2831" width="8.140625" style="16" customWidth="1"/>
    <col min="2832" max="2836" width="9.140625" style="16"/>
    <col min="2837" max="2837" width="12.42578125" style="16" customWidth="1"/>
    <col min="2838" max="2838" width="9.140625" style="16"/>
    <col min="2839" max="2839" width="12" style="16" customWidth="1"/>
    <col min="2840" max="3072" width="9.140625" style="16"/>
    <col min="3073" max="3073" width="5" style="16" customWidth="1"/>
    <col min="3074" max="3074" width="16.5703125" style="16" customWidth="1"/>
    <col min="3075" max="3075" width="8.140625" style="16" customWidth="1"/>
    <col min="3076" max="3076" width="7.5703125" style="16" customWidth="1"/>
    <col min="3077" max="3077" width="8.5703125" style="16" bestFit="1" customWidth="1"/>
    <col min="3078" max="3079" width="7.5703125" style="16" customWidth="1"/>
    <col min="3080" max="3080" width="8.5703125" style="16" customWidth="1"/>
    <col min="3081" max="3081" width="7.140625" style="16" bestFit="1" customWidth="1"/>
    <col min="3082" max="3082" width="7.85546875" style="16" customWidth="1"/>
    <col min="3083" max="3087" width="8.140625" style="16" customWidth="1"/>
    <col min="3088" max="3092" width="9.140625" style="16"/>
    <col min="3093" max="3093" width="12.42578125" style="16" customWidth="1"/>
    <col min="3094" max="3094" width="9.140625" style="16"/>
    <col min="3095" max="3095" width="12" style="16" customWidth="1"/>
    <col min="3096" max="3328" width="9.140625" style="16"/>
    <col min="3329" max="3329" width="5" style="16" customWidth="1"/>
    <col min="3330" max="3330" width="16.5703125" style="16" customWidth="1"/>
    <col min="3331" max="3331" width="8.140625" style="16" customWidth="1"/>
    <col min="3332" max="3332" width="7.5703125" style="16" customWidth="1"/>
    <col min="3333" max="3333" width="8.5703125" style="16" bestFit="1" customWidth="1"/>
    <col min="3334" max="3335" width="7.5703125" style="16" customWidth="1"/>
    <col min="3336" max="3336" width="8.5703125" style="16" customWidth="1"/>
    <col min="3337" max="3337" width="7.140625" style="16" bestFit="1" customWidth="1"/>
    <col min="3338" max="3338" width="7.85546875" style="16" customWidth="1"/>
    <col min="3339" max="3343" width="8.140625" style="16" customWidth="1"/>
    <col min="3344" max="3348" width="9.140625" style="16"/>
    <col min="3349" max="3349" width="12.42578125" style="16" customWidth="1"/>
    <col min="3350" max="3350" width="9.140625" style="16"/>
    <col min="3351" max="3351" width="12" style="16" customWidth="1"/>
    <col min="3352" max="3584" width="9.140625" style="16"/>
    <col min="3585" max="3585" width="5" style="16" customWidth="1"/>
    <col min="3586" max="3586" width="16.5703125" style="16" customWidth="1"/>
    <col min="3587" max="3587" width="8.140625" style="16" customWidth="1"/>
    <col min="3588" max="3588" width="7.5703125" style="16" customWidth="1"/>
    <col min="3589" max="3589" width="8.5703125" style="16" bestFit="1" customWidth="1"/>
    <col min="3590" max="3591" width="7.5703125" style="16" customWidth="1"/>
    <col min="3592" max="3592" width="8.5703125" style="16" customWidth="1"/>
    <col min="3593" max="3593" width="7.140625" style="16" bestFit="1" customWidth="1"/>
    <col min="3594" max="3594" width="7.85546875" style="16" customWidth="1"/>
    <col min="3595" max="3599" width="8.140625" style="16" customWidth="1"/>
    <col min="3600" max="3604" width="9.140625" style="16"/>
    <col min="3605" max="3605" width="12.42578125" style="16" customWidth="1"/>
    <col min="3606" max="3606" width="9.140625" style="16"/>
    <col min="3607" max="3607" width="12" style="16" customWidth="1"/>
    <col min="3608" max="3840" width="9.140625" style="16"/>
    <col min="3841" max="3841" width="5" style="16" customWidth="1"/>
    <col min="3842" max="3842" width="16.5703125" style="16" customWidth="1"/>
    <col min="3843" max="3843" width="8.140625" style="16" customWidth="1"/>
    <col min="3844" max="3844" width="7.5703125" style="16" customWidth="1"/>
    <col min="3845" max="3845" width="8.5703125" style="16" bestFit="1" customWidth="1"/>
    <col min="3846" max="3847" width="7.5703125" style="16" customWidth="1"/>
    <col min="3848" max="3848" width="8.5703125" style="16" customWidth="1"/>
    <col min="3849" max="3849" width="7.140625" style="16" bestFit="1" customWidth="1"/>
    <col min="3850" max="3850" width="7.85546875" style="16" customWidth="1"/>
    <col min="3851" max="3855" width="8.140625" style="16" customWidth="1"/>
    <col min="3856" max="3860" width="9.140625" style="16"/>
    <col min="3861" max="3861" width="12.42578125" style="16" customWidth="1"/>
    <col min="3862" max="3862" width="9.140625" style="16"/>
    <col min="3863" max="3863" width="12" style="16" customWidth="1"/>
    <col min="3864" max="4096" width="9.140625" style="16"/>
    <col min="4097" max="4097" width="5" style="16" customWidth="1"/>
    <col min="4098" max="4098" width="16.5703125" style="16" customWidth="1"/>
    <col min="4099" max="4099" width="8.140625" style="16" customWidth="1"/>
    <col min="4100" max="4100" width="7.5703125" style="16" customWidth="1"/>
    <col min="4101" max="4101" width="8.5703125" style="16" bestFit="1" customWidth="1"/>
    <col min="4102" max="4103" width="7.5703125" style="16" customWidth="1"/>
    <col min="4104" max="4104" width="8.5703125" style="16" customWidth="1"/>
    <col min="4105" max="4105" width="7.140625" style="16" bestFit="1" customWidth="1"/>
    <col min="4106" max="4106" width="7.85546875" style="16" customWidth="1"/>
    <col min="4107" max="4111" width="8.140625" style="16" customWidth="1"/>
    <col min="4112" max="4116" width="9.140625" style="16"/>
    <col min="4117" max="4117" width="12.42578125" style="16" customWidth="1"/>
    <col min="4118" max="4118" width="9.140625" style="16"/>
    <col min="4119" max="4119" width="12" style="16" customWidth="1"/>
    <col min="4120" max="4352" width="9.140625" style="16"/>
    <col min="4353" max="4353" width="5" style="16" customWidth="1"/>
    <col min="4354" max="4354" width="16.5703125" style="16" customWidth="1"/>
    <col min="4355" max="4355" width="8.140625" style="16" customWidth="1"/>
    <col min="4356" max="4356" width="7.5703125" style="16" customWidth="1"/>
    <col min="4357" max="4357" width="8.5703125" style="16" bestFit="1" customWidth="1"/>
    <col min="4358" max="4359" width="7.5703125" style="16" customWidth="1"/>
    <col min="4360" max="4360" width="8.5703125" style="16" customWidth="1"/>
    <col min="4361" max="4361" width="7.140625" style="16" bestFit="1" customWidth="1"/>
    <col min="4362" max="4362" width="7.85546875" style="16" customWidth="1"/>
    <col min="4363" max="4367" width="8.140625" style="16" customWidth="1"/>
    <col min="4368" max="4372" width="9.140625" style="16"/>
    <col min="4373" max="4373" width="12.42578125" style="16" customWidth="1"/>
    <col min="4374" max="4374" width="9.140625" style="16"/>
    <col min="4375" max="4375" width="12" style="16" customWidth="1"/>
    <col min="4376" max="4608" width="9.140625" style="16"/>
    <col min="4609" max="4609" width="5" style="16" customWidth="1"/>
    <col min="4610" max="4610" width="16.5703125" style="16" customWidth="1"/>
    <col min="4611" max="4611" width="8.140625" style="16" customWidth="1"/>
    <col min="4612" max="4612" width="7.5703125" style="16" customWidth="1"/>
    <col min="4613" max="4613" width="8.5703125" style="16" bestFit="1" customWidth="1"/>
    <col min="4614" max="4615" width="7.5703125" style="16" customWidth="1"/>
    <col min="4616" max="4616" width="8.5703125" style="16" customWidth="1"/>
    <col min="4617" max="4617" width="7.140625" style="16" bestFit="1" customWidth="1"/>
    <col min="4618" max="4618" width="7.85546875" style="16" customWidth="1"/>
    <col min="4619" max="4623" width="8.140625" style="16" customWidth="1"/>
    <col min="4624" max="4628" width="9.140625" style="16"/>
    <col min="4629" max="4629" width="12.42578125" style="16" customWidth="1"/>
    <col min="4630" max="4630" width="9.140625" style="16"/>
    <col min="4631" max="4631" width="12" style="16" customWidth="1"/>
    <col min="4632" max="4864" width="9.140625" style="16"/>
    <col min="4865" max="4865" width="5" style="16" customWidth="1"/>
    <col min="4866" max="4866" width="16.5703125" style="16" customWidth="1"/>
    <col min="4867" max="4867" width="8.140625" style="16" customWidth="1"/>
    <col min="4868" max="4868" width="7.5703125" style="16" customWidth="1"/>
    <col min="4869" max="4869" width="8.5703125" style="16" bestFit="1" customWidth="1"/>
    <col min="4870" max="4871" width="7.5703125" style="16" customWidth="1"/>
    <col min="4872" max="4872" width="8.5703125" style="16" customWidth="1"/>
    <col min="4873" max="4873" width="7.140625" style="16" bestFit="1" customWidth="1"/>
    <col min="4874" max="4874" width="7.85546875" style="16" customWidth="1"/>
    <col min="4875" max="4879" width="8.140625" style="16" customWidth="1"/>
    <col min="4880" max="4884" width="9.140625" style="16"/>
    <col min="4885" max="4885" width="12.42578125" style="16" customWidth="1"/>
    <col min="4886" max="4886" width="9.140625" style="16"/>
    <col min="4887" max="4887" width="12" style="16" customWidth="1"/>
    <col min="4888" max="5120" width="9.140625" style="16"/>
    <col min="5121" max="5121" width="5" style="16" customWidth="1"/>
    <col min="5122" max="5122" width="16.5703125" style="16" customWidth="1"/>
    <col min="5123" max="5123" width="8.140625" style="16" customWidth="1"/>
    <col min="5124" max="5124" width="7.5703125" style="16" customWidth="1"/>
    <col min="5125" max="5125" width="8.5703125" style="16" bestFit="1" customWidth="1"/>
    <col min="5126" max="5127" width="7.5703125" style="16" customWidth="1"/>
    <col min="5128" max="5128" width="8.5703125" style="16" customWidth="1"/>
    <col min="5129" max="5129" width="7.140625" style="16" bestFit="1" customWidth="1"/>
    <col min="5130" max="5130" width="7.85546875" style="16" customWidth="1"/>
    <col min="5131" max="5135" width="8.140625" style="16" customWidth="1"/>
    <col min="5136" max="5140" width="9.140625" style="16"/>
    <col min="5141" max="5141" width="12.42578125" style="16" customWidth="1"/>
    <col min="5142" max="5142" width="9.140625" style="16"/>
    <col min="5143" max="5143" width="12" style="16" customWidth="1"/>
    <col min="5144" max="5376" width="9.140625" style="16"/>
    <col min="5377" max="5377" width="5" style="16" customWidth="1"/>
    <col min="5378" max="5378" width="16.5703125" style="16" customWidth="1"/>
    <col min="5379" max="5379" width="8.140625" style="16" customWidth="1"/>
    <col min="5380" max="5380" width="7.5703125" style="16" customWidth="1"/>
    <col min="5381" max="5381" width="8.5703125" style="16" bestFit="1" customWidth="1"/>
    <col min="5382" max="5383" width="7.5703125" style="16" customWidth="1"/>
    <col min="5384" max="5384" width="8.5703125" style="16" customWidth="1"/>
    <col min="5385" max="5385" width="7.140625" style="16" bestFit="1" customWidth="1"/>
    <col min="5386" max="5386" width="7.85546875" style="16" customWidth="1"/>
    <col min="5387" max="5391" width="8.140625" style="16" customWidth="1"/>
    <col min="5392" max="5396" width="9.140625" style="16"/>
    <col min="5397" max="5397" width="12.42578125" style="16" customWidth="1"/>
    <col min="5398" max="5398" width="9.140625" style="16"/>
    <col min="5399" max="5399" width="12" style="16" customWidth="1"/>
    <col min="5400" max="5632" width="9.140625" style="16"/>
    <col min="5633" max="5633" width="5" style="16" customWidth="1"/>
    <col min="5634" max="5634" width="16.5703125" style="16" customWidth="1"/>
    <col min="5635" max="5635" width="8.140625" style="16" customWidth="1"/>
    <col min="5636" max="5636" width="7.5703125" style="16" customWidth="1"/>
    <col min="5637" max="5637" width="8.5703125" style="16" bestFit="1" customWidth="1"/>
    <col min="5638" max="5639" width="7.5703125" style="16" customWidth="1"/>
    <col min="5640" max="5640" width="8.5703125" style="16" customWidth="1"/>
    <col min="5641" max="5641" width="7.140625" style="16" bestFit="1" customWidth="1"/>
    <col min="5642" max="5642" width="7.85546875" style="16" customWidth="1"/>
    <col min="5643" max="5647" width="8.140625" style="16" customWidth="1"/>
    <col min="5648" max="5652" width="9.140625" style="16"/>
    <col min="5653" max="5653" width="12.42578125" style="16" customWidth="1"/>
    <col min="5654" max="5654" width="9.140625" style="16"/>
    <col min="5655" max="5655" width="12" style="16" customWidth="1"/>
    <col min="5656" max="5888" width="9.140625" style="16"/>
    <col min="5889" max="5889" width="5" style="16" customWidth="1"/>
    <col min="5890" max="5890" width="16.5703125" style="16" customWidth="1"/>
    <col min="5891" max="5891" width="8.140625" style="16" customWidth="1"/>
    <col min="5892" max="5892" width="7.5703125" style="16" customWidth="1"/>
    <col min="5893" max="5893" width="8.5703125" style="16" bestFit="1" customWidth="1"/>
    <col min="5894" max="5895" width="7.5703125" style="16" customWidth="1"/>
    <col min="5896" max="5896" width="8.5703125" style="16" customWidth="1"/>
    <col min="5897" max="5897" width="7.140625" style="16" bestFit="1" customWidth="1"/>
    <col min="5898" max="5898" width="7.85546875" style="16" customWidth="1"/>
    <col min="5899" max="5903" width="8.140625" style="16" customWidth="1"/>
    <col min="5904" max="5908" width="9.140625" style="16"/>
    <col min="5909" max="5909" width="12.42578125" style="16" customWidth="1"/>
    <col min="5910" max="5910" width="9.140625" style="16"/>
    <col min="5911" max="5911" width="12" style="16" customWidth="1"/>
    <col min="5912" max="6144" width="9.140625" style="16"/>
    <col min="6145" max="6145" width="5" style="16" customWidth="1"/>
    <col min="6146" max="6146" width="16.5703125" style="16" customWidth="1"/>
    <col min="6147" max="6147" width="8.140625" style="16" customWidth="1"/>
    <col min="6148" max="6148" width="7.5703125" style="16" customWidth="1"/>
    <col min="6149" max="6149" width="8.5703125" style="16" bestFit="1" customWidth="1"/>
    <col min="6150" max="6151" width="7.5703125" style="16" customWidth="1"/>
    <col min="6152" max="6152" width="8.5703125" style="16" customWidth="1"/>
    <col min="6153" max="6153" width="7.140625" style="16" bestFit="1" customWidth="1"/>
    <col min="6154" max="6154" width="7.85546875" style="16" customWidth="1"/>
    <col min="6155" max="6159" width="8.140625" style="16" customWidth="1"/>
    <col min="6160" max="6164" width="9.140625" style="16"/>
    <col min="6165" max="6165" width="12.42578125" style="16" customWidth="1"/>
    <col min="6166" max="6166" width="9.140625" style="16"/>
    <col min="6167" max="6167" width="12" style="16" customWidth="1"/>
    <col min="6168" max="6400" width="9.140625" style="16"/>
    <col min="6401" max="6401" width="5" style="16" customWidth="1"/>
    <col min="6402" max="6402" width="16.5703125" style="16" customWidth="1"/>
    <col min="6403" max="6403" width="8.140625" style="16" customWidth="1"/>
    <col min="6404" max="6404" width="7.5703125" style="16" customWidth="1"/>
    <col min="6405" max="6405" width="8.5703125" style="16" bestFit="1" customWidth="1"/>
    <col min="6406" max="6407" width="7.5703125" style="16" customWidth="1"/>
    <col min="6408" max="6408" width="8.5703125" style="16" customWidth="1"/>
    <col min="6409" max="6409" width="7.140625" style="16" bestFit="1" customWidth="1"/>
    <col min="6410" max="6410" width="7.85546875" style="16" customWidth="1"/>
    <col min="6411" max="6415" width="8.140625" style="16" customWidth="1"/>
    <col min="6416" max="6420" width="9.140625" style="16"/>
    <col min="6421" max="6421" width="12.42578125" style="16" customWidth="1"/>
    <col min="6422" max="6422" width="9.140625" style="16"/>
    <col min="6423" max="6423" width="12" style="16" customWidth="1"/>
    <col min="6424" max="6656" width="9.140625" style="16"/>
    <col min="6657" max="6657" width="5" style="16" customWidth="1"/>
    <col min="6658" max="6658" width="16.5703125" style="16" customWidth="1"/>
    <col min="6659" max="6659" width="8.140625" style="16" customWidth="1"/>
    <col min="6660" max="6660" width="7.5703125" style="16" customWidth="1"/>
    <col min="6661" max="6661" width="8.5703125" style="16" bestFit="1" customWidth="1"/>
    <col min="6662" max="6663" width="7.5703125" style="16" customWidth="1"/>
    <col min="6664" max="6664" width="8.5703125" style="16" customWidth="1"/>
    <col min="6665" max="6665" width="7.140625" style="16" bestFit="1" customWidth="1"/>
    <col min="6666" max="6666" width="7.85546875" style="16" customWidth="1"/>
    <col min="6667" max="6671" width="8.140625" style="16" customWidth="1"/>
    <col min="6672" max="6676" width="9.140625" style="16"/>
    <col min="6677" max="6677" width="12.42578125" style="16" customWidth="1"/>
    <col min="6678" max="6678" width="9.140625" style="16"/>
    <col min="6679" max="6679" width="12" style="16" customWidth="1"/>
    <col min="6680" max="6912" width="9.140625" style="16"/>
    <col min="6913" max="6913" width="5" style="16" customWidth="1"/>
    <col min="6914" max="6914" width="16.5703125" style="16" customWidth="1"/>
    <col min="6915" max="6915" width="8.140625" style="16" customWidth="1"/>
    <col min="6916" max="6916" width="7.5703125" style="16" customWidth="1"/>
    <col min="6917" max="6917" width="8.5703125" style="16" bestFit="1" customWidth="1"/>
    <col min="6918" max="6919" width="7.5703125" style="16" customWidth="1"/>
    <col min="6920" max="6920" width="8.5703125" style="16" customWidth="1"/>
    <col min="6921" max="6921" width="7.140625" style="16" bestFit="1" customWidth="1"/>
    <col min="6922" max="6922" width="7.85546875" style="16" customWidth="1"/>
    <col min="6923" max="6927" width="8.140625" style="16" customWidth="1"/>
    <col min="6928" max="6932" width="9.140625" style="16"/>
    <col min="6933" max="6933" width="12.42578125" style="16" customWidth="1"/>
    <col min="6934" max="6934" width="9.140625" style="16"/>
    <col min="6935" max="6935" width="12" style="16" customWidth="1"/>
    <col min="6936" max="7168" width="9.140625" style="16"/>
    <col min="7169" max="7169" width="5" style="16" customWidth="1"/>
    <col min="7170" max="7170" width="16.5703125" style="16" customWidth="1"/>
    <col min="7171" max="7171" width="8.140625" style="16" customWidth="1"/>
    <col min="7172" max="7172" width="7.5703125" style="16" customWidth="1"/>
    <col min="7173" max="7173" width="8.5703125" style="16" bestFit="1" customWidth="1"/>
    <col min="7174" max="7175" width="7.5703125" style="16" customWidth="1"/>
    <col min="7176" max="7176" width="8.5703125" style="16" customWidth="1"/>
    <col min="7177" max="7177" width="7.140625" style="16" bestFit="1" customWidth="1"/>
    <col min="7178" max="7178" width="7.85546875" style="16" customWidth="1"/>
    <col min="7179" max="7183" width="8.140625" style="16" customWidth="1"/>
    <col min="7184" max="7188" width="9.140625" style="16"/>
    <col min="7189" max="7189" width="12.42578125" style="16" customWidth="1"/>
    <col min="7190" max="7190" width="9.140625" style="16"/>
    <col min="7191" max="7191" width="12" style="16" customWidth="1"/>
    <col min="7192" max="7424" width="9.140625" style="16"/>
    <col min="7425" max="7425" width="5" style="16" customWidth="1"/>
    <col min="7426" max="7426" width="16.5703125" style="16" customWidth="1"/>
    <col min="7427" max="7427" width="8.140625" style="16" customWidth="1"/>
    <col min="7428" max="7428" width="7.5703125" style="16" customWidth="1"/>
    <col min="7429" max="7429" width="8.5703125" style="16" bestFit="1" customWidth="1"/>
    <col min="7430" max="7431" width="7.5703125" style="16" customWidth="1"/>
    <col min="7432" max="7432" width="8.5703125" style="16" customWidth="1"/>
    <col min="7433" max="7433" width="7.140625" style="16" bestFit="1" customWidth="1"/>
    <col min="7434" max="7434" width="7.85546875" style="16" customWidth="1"/>
    <col min="7435" max="7439" width="8.140625" style="16" customWidth="1"/>
    <col min="7440" max="7444" width="9.140625" style="16"/>
    <col min="7445" max="7445" width="12.42578125" style="16" customWidth="1"/>
    <col min="7446" max="7446" width="9.140625" style="16"/>
    <col min="7447" max="7447" width="12" style="16" customWidth="1"/>
    <col min="7448" max="7680" width="9.140625" style="16"/>
    <col min="7681" max="7681" width="5" style="16" customWidth="1"/>
    <col min="7682" max="7682" width="16.5703125" style="16" customWidth="1"/>
    <col min="7683" max="7683" width="8.140625" style="16" customWidth="1"/>
    <col min="7684" max="7684" width="7.5703125" style="16" customWidth="1"/>
    <col min="7685" max="7685" width="8.5703125" style="16" bestFit="1" customWidth="1"/>
    <col min="7686" max="7687" width="7.5703125" style="16" customWidth="1"/>
    <col min="7688" max="7688" width="8.5703125" style="16" customWidth="1"/>
    <col min="7689" max="7689" width="7.140625" style="16" bestFit="1" customWidth="1"/>
    <col min="7690" max="7690" width="7.85546875" style="16" customWidth="1"/>
    <col min="7691" max="7695" width="8.140625" style="16" customWidth="1"/>
    <col min="7696" max="7700" width="9.140625" style="16"/>
    <col min="7701" max="7701" width="12.42578125" style="16" customWidth="1"/>
    <col min="7702" max="7702" width="9.140625" style="16"/>
    <col min="7703" max="7703" width="12" style="16" customWidth="1"/>
    <col min="7704" max="7936" width="9.140625" style="16"/>
    <col min="7937" max="7937" width="5" style="16" customWidth="1"/>
    <col min="7938" max="7938" width="16.5703125" style="16" customWidth="1"/>
    <col min="7939" max="7939" width="8.140625" style="16" customWidth="1"/>
    <col min="7940" max="7940" width="7.5703125" style="16" customWidth="1"/>
    <col min="7941" max="7941" width="8.5703125" style="16" bestFit="1" customWidth="1"/>
    <col min="7942" max="7943" width="7.5703125" style="16" customWidth="1"/>
    <col min="7944" max="7944" width="8.5703125" style="16" customWidth="1"/>
    <col min="7945" max="7945" width="7.140625" style="16" bestFit="1" customWidth="1"/>
    <col min="7946" max="7946" width="7.85546875" style="16" customWidth="1"/>
    <col min="7947" max="7951" width="8.140625" style="16" customWidth="1"/>
    <col min="7952" max="7956" width="9.140625" style="16"/>
    <col min="7957" max="7957" width="12.42578125" style="16" customWidth="1"/>
    <col min="7958" max="7958" width="9.140625" style="16"/>
    <col min="7959" max="7959" width="12" style="16" customWidth="1"/>
    <col min="7960" max="8192" width="9.140625" style="16"/>
    <col min="8193" max="8193" width="5" style="16" customWidth="1"/>
    <col min="8194" max="8194" width="16.5703125" style="16" customWidth="1"/>
    <col min="8195" max="8195" width="8.140625" style="16" customWidth="1"/>
    <col min="8196" max="8196" width="7.5703125" style="16" customWidth="1"/>
    <col min="8197" max="8197" width="8.5703125" style="16" bestFit="1" customWidth="1"/>
    <col min="8198" max="8199" width="7.5703125" style="16" customWidth="1"/>
    <col min="8200" max="8200" width="8.5703125" style="16" customWidth="1"/>
    <col min="8201" max="8201" width="7.140625" style="16" bestFit="1" customWidth="1"/>
    <col min="8202" max="8202" width="7.85546875" style="16" customWidth="1"/>
    <col min="8203" max="8207" width="8.140625" style="16" customWidth="1"/>
    <col min="8208" max="8212" width="9.140625" style="16"/>
    <col min="8213" max="8213" width="12.42578125" style="16" customWidth="1"/>
    <col min="8214" max="8214" width="9.140625" style="16"/>
    <col min="8215" max="8215" width="12" style="16" customWidth="1"/>
    <col min="8216" max="8448" width="9.140625" style="16"/>
    <col min="8449" max="8449" width="5" style="16" customWidth="1"/>
    <col min="8450" max="8450" width="16.5703125" style="16" customWidth="1"/>
    <col min="8451" max="8451" width="8.140625" style="16" customWidth="1"/>
    <col min="8452" max="8452" width="7.5703125" style="16" customWidth="1"/>
    <col min="8453" max="8453" width="8.5703125" style="16" bestFit="1" customWidth="1"/>
    <col min="8454" max="8455" width="7.5703125" style="16" customWidth="1"/>
    <col min="8456" max="8456" width="8.5703125" style="16" customWidth="1"/>
    <col min="8457" max="8457" width="7.140625" style="16" bestFit="1" customWidth="1"/>
    <col min="8458" max="8458" width="7.85546875" style="16" customWidth="1"/>
    <col min="8459" max="8463" width="8.140625" style="16" customWidth="1"/>
    <col min="8464" max="8468" width="9.140625" style="16"/>
    <col min="8469" max="8469" width="12.42578125" style="16" customWidth="1"/>
    <col min="8470" max="8470" width="9.140625" style="16"/>
    <col min="8471" max="8471" width="12" style="16" customWidth="1"/>
    <col min="8472" max="8704" width="9.140625" style="16"/>
    <col min="8705" max="8705" width="5" style="16" customWidth="1"/>
    <col min="8706" max="8706" width="16.5703125" style="16" customWidth="1"/>
    <col min="8707" max="8707" width="8.140625" style="16" customWidth="1"/>
    <col min="8708" max="8708" width="7.5703125" style="16" customWidth="1"/>
    <col min="8709" max="8709" width="8.5703125" style="16" bestFit="1" customWidth="1"/>
    <col min="8710" max="8711" width="7.5703125" style="16" customWidth="1"/>
    <col min="8712" max="8712" width="8.5703125" style="16" customWidth="1"/>
    <col min="8713" max="8713" width="7.140625" style="16" bestFit="1" customWidth="1"/>
    <col min="8714" max="8714" width="7.85546875" style="16" customWidth="1"/>
    <col min="8715" max="8719" width="8.140625" style="16" customWidth="1"/>
    <col min="8720" max="8724" width="9.140625" style="16"/>
    <col min="8725" max="8725" width="12.42578125" style="16" customWidth="1"/>
    <col min="8726" max="8726" width="9.140625" style="16"/>
    <col min="8727" max="8727" width="12" style="16" customWidth="1"/>
    <col min="8728" max="8960" width="9.140625" style="16"/>
    <col min="8961" max="8961" width="5" style="16" customWidth="1"/>
    <col min="8962" max="8962" width="16.5703125" style="16" customWidth="1"/>
    <col min="8963" max="8963" width="8.140625" style="16" customWidth="1"/>
    <col min="8964" max="8964" width="7.5703125" style="16" customWidth="1"/>
    <col min="8965" max="8965" width="8.5703125" style="16" bestFit="1" customWidth="1"/>
    <col min="8966" max="8967" width="7.5703125" style="16" customWidth="1"/>
    <col min="8968" max="8968" width="8.5703125" style="16" customWidth="1"/>
    <col min="8969" max="8969" width="7.140625" style="16" bestFit="1" customWidth="1"/>
    <col min="8970" max="8970" width="7.85546875" style="16" customWidth="1"/>
    <col min="8971" max="8975" width="8.140625" style="16" customWidth="1"/>
    <col min="8976" max="8980" width="9.140625" style="16"/>
    <col min="8981" max="8981" width="12.42578125" style="16" customWidth="1"/>
    <col min="8982" max="8982" width="9.140625" style="16"/>
    <col min="8983" max="8983" width="12" style="16" customWidth="1"/>
    <col min="8984" max="9216" width="9.140625" style="16"/>
    <col min="9217" max="9217" width="5" style="16" customWidth="1"/>
    <col min="9218" max="9218" width="16.5703125" style="16" customWidth="1"/>
    <col min="9219" max="9219" width="8.140625" style="16" customWidth="1"/>
    <col min="9220" max="9220" width="7.5703125" style="16" customWidth="1"/>
    <col min="9221" max="9221" width="8.5703125" style="16" bestFit="1" customWidth="1"/>
    <col min="9222" max="9223" width="7.5703125" style="16" customWidth="1"/>
    <col min="9224" max="9224" width="8.5703125" style="16" customWidth="1"/>
    <col min="9225" max="9225" width="7.140625" style="16" bestFit="1" customWidth="1"/>
    <col min="9226" max="9226" width="7.85546875" style="16" customWidth="1"/>
    <col min="9227" max="9231" width="8.140625" style="16" customWidth="1"/>
    <col min="9232" max="9236" width="9.140625" style="16"/>
    <col min="9237" max="9237" width="12.42578125" style="16" customWidth="1"/>
    <col min="9238" max="9238" width="9.140625" style="16"/>
    <col min="9239" max="9239" width="12" style="16" customWidth="1"/>
    <col min="9240" max="9472" width="9.140625" style="16"/>
    <col min="9473" max="9473" width="5" style="16" customWidth="1"/>
    <col min="9474" max="9474" width="16.5703125" style="16" customWidth="1"/>
    <col min="9475" max="9475" width="8.140625" style="16" customWidth="1"/>
    <col min="9476" max="9476" width="7.5703125" style="16" customWidth="1"/>
    <col min="9477" max="9477" width="8.5703125" style="16" bestFit="1" customWidth="1"/>
    <col min="9478" max="9479" width="7.5703125" style="16" customWidth="1"/>
    <col min="9480" max="9480" width="8.5703125" style="16" customWidth="1"/>
    <col min="9481" max="9481" width="7.140625" style="16" bestFit="1" customWidth="1"/>
    <col min="9482" max="9482" width="7.85546875" style="16" customWidth="1"/>
    <col min="9483" max="9487" width="8.140625" style="16" customWidth="1"/>
    <col min="9488" max="9492" width="9.140625" style="16"/>
    <col min="9493" max="9493" width="12.42578125" style="16" customWidth="1"/>
    <col min="9494" max="9494" width="9.140625" style="16"/>
    <col min="9495" max="9495" width="12" style="16" customWidth="1"/>
    <col min="9496" max="9728" width="9.140625" style="16"/>
    <col min="9729" max="9729" width="5" style="16" customWidth="1"/>
    <col min="9730" max="9730" width="16.5703125" style="16" customWidth="1"/>
    <col min="9731" max="9731" width="8.140625" style="16" customWidth="1"/>
    <col min="9732" max="9732" width="7.5703125" style="16" customWidth="1"/>
    <col min="9733" max="9733" width="8.5703125" style="16" bestFit="1" customWidth="1"/>
    <col min="9734" max="9735" width="7.5703125" style="16" customWidth="1"/>
    <col min="9736" max="9736" width="8.5703125" style="16" customWidth="1"/>
    <col min="9737" max="9737" width="7.140625" style="16" bestFit="1" customWidth="1"/>
    <col min="9738" max="9738" width="7.85546875" style="16" customWidth="1"/>
    <col min="9739" max="9743" width="8.140625" style="16" customWidth="1"/>
    <col min="9744" max="9748" width="9.140625" style="16"/>
    <col min="9749" max="9749" width="12.42578125" style="16" customWidth="1"/>
    <col min="9750" max="9750" width="9.140625" style="16"/>
    <col min="9751" max="9751" width="12" style="16" customWidth="1"/>
    <col min="9752" max="9984" width="9.140625" style="16"/>
    <col min="9985" max="9985" width="5" style="16" customWidth="1"/>
    <col min="9986" max="9986" width="16.5703125" style="16" customWidth="1"/>
    <col min="9987" max="9987" width="8.140625" style="16" customWidth="1"/>
    <col min="9988" max="9988" width="7.5703125" style="16" customWidth="1"/>
    <col min="9989" max="9989" width="8.5703125" style="16" bestFit="1" customWidth="1"/>
    <col min="9990" max="9991" width="7.5703125" style="16" customWidth="1"/>
    <col min="9992" max="9992" width="8.5703125" style="16" customWidth="1"/>
    <col min="9993" max="9993" width="7.140625" style="16" bestFit="1" customWidth="1"/>
    <col min="9994" max="9994" width="7.85546875" style="16" customWidth="1"/>
    <col min="9995" max="9999" width="8.140625" style="16" customWidth="1"/>
    <col min="10000" max="10004" width="9.140625" style="16"/>
    <col min="10005" max="10005" width="12.42578125" style="16" customWidth="1"/>
    <col min="10006" max="10006" width="9.140625" style="16"/>
    <col min="10007" max="10007" width="12" style="16" customWidth="1"/>
    <col min="10008" max="10240" width="9.140625" style="16"/>
    <col min="10241" max="10241" width="5" style="16" customWidth="1"/>
    <col min="10242" max="10242" width="16.5703125" style="16" customWidth="1"/>
    <col min="10243" max="10243" width="8.140625" style="16" customWidth="1"/>
    <col min="10244" max="10244" width="7.5703125" style="16" customWidth="1"/>
    <col min="10245" max="10245" width="8.5703125" style="16" bestFit="1" customWidth="1"/>
    <col min="10246" max="10247" width="7.5703125" style="16" customWidth="1"/>
    <col min="10248" max="10248" width="8.5703125" style="16" customWidth="1"/>
    <col min="10249" max="10249" width="7.140625" style="16" bestFit="1" customWidth="1"/>
    <col min="10250" max="10250" width="7.85546875" style="16" customWidth="1"/>
    <col min="10251" max="10255" width="8.140625" style="16" customWidth="1"/>
    <col min="10256" max="10260" width="9.140625" style="16"/>
    <col min="10261" max="10261" width="12.42578125" style="16" customWidth="1"/>
    <col min="10262" max="10262" width="9.140625" style="16"/>
    <col min="10263" max="10263" width="12" style="16" customWidth="1"/>
    <col min="10264" max="10496" width="9.140625" style="16"/>
    <col min="10497" max="10497" width="5" style="16" customWidth="1"/>
    <col min="10498" max="10498" width="16.5703125" style="16" customWidth="1"/>
    <col min="10499" max="10499" width="8.140625" style="16" customWidth="1"/>
    <col min="10500" max="10500" width="7.5703125" style="16" customWidth="1"/>
    <col min="10501" max="10501" width="8.5703125" style="16" bestFit="1" customWidth="1"/>
    <col min="10502" max="10503" width="7.5703125" style="16" customWidth="1"/>
    <col min="10504" max="10504" width="8.5703125" style="16" customWidth="1"/>
    <col min="10505" max="10505" width="7.140625" style="16" bestFit="1" customWidth="1"/>
    <col min="10506" max="10506" width="7.85546875" style="16" customWidth="1"/>
    <col min="10507" max="10511" width="8.140625" style="16" customWidth="1"/>
    <col min="10512" max="10516" width="9.140625" style="16"/>
    <col min="10517" max="10517" width="12.42578125" style="16" customWidth="1"/>
    <col min="10518" max="10518" width="9.140625" style="16"/>
    <col min="10519" max="10519" width="12" style="16" customWidth="1"/>
    <col min="10520" max="10752" width="9.140625" style="16"/>
    <col min="10753" max="10753" width="5" style="16" customWidth="1"/>
    <col min="10754" max="10754" width="16.5703125" style="16" customWidth="1"/>
    <col min="10755" max="10755" width="8.140625" style="16" customWidth="1"/>
    <col min="10756" max="10756" width="7.5703125" style="16" customWidth="1"/>
    <col min="10757" max="10757" width="8.5703125" style="16" bestFit="1" customWidth="1"/>
    <col min="10758" max="10759" width="7.5703125" style="16" customWidth="1"/>
    <col min="10760" max="10760" width="8.5703125" style="16" customWidth="1"/>
    <col min="10761" max="10761" width="7.140625" style="16" bestFit="1" customWidth="1"/>
    <col min="10762" max="10762" width="7.85546875" style="16" customWidth="1"/>
    <col min="10763" max="10767" width="8.140625" style="16" customWidth="1"/>
    <col min="10768" max="10772" width="9.140625" style="16"/>
    <col min="10773" max="10773" width="12.42578125" style="16" customWidth="1"/>
    <col min="10774" max="10774" width="9.140625" style="16"/>
    <col min="10775" max="10775" width="12" style="16" customWidth="1"/>
    <col min="10776" max="11008" width="9.140625" style="16"/>
    <col min="11009" max="11009" width="5" style="16" customWidth="1"/>
    <col min="11010" max="11010" width="16.5703125" style="16" customWidth="1"/>
    <col min="11011" max="11011" width="8.140625" style="16" customWidth="1"/>
    <col min="11012" max="11012" width="7.5703125" style="16" customWidth="1"/>
    <col min="11013" max="11013" width="8.5703125" style="16" bestFit="1" customWidth="1"/>
    <col min="11014" max="11015" width="7.5703125" style="16" customWidth="1"/>
    <col min="11016" max="11016" width="8.5703125" style="16" customWidth="1"/>
    <col min="11017" max="11017" width="7.140625" style="16" bestFit="1" customWidth="1"/>
    <col min="11018" max="11018" width="7.85546875" style="16" customWidth="1"/>
    <col min="11019" max="11023" width="8.140625" style="16" customWidth="1"/>
    <col min="11024" max="11028" width="9.140625" style="16"/>
    <col min="11029" max="11029" width="12.42578125" style="16" customWidth="1"/>
    <col min="11030" max="11030" width="9.140625" style="16"/>
    <col min="11031" max="11031" width="12" style="16" customWidth="1"/>
    <col min="11032" max="11264" width="9.140625" style="16"/>
    <col min="11265" max="11265" width="5" style="16" customWidth="1"/>
    <col min="11266" max="11266" width="16.5703125" style="16" customWidth="1"/>
    <col min="11267" max="11267" width="8.140625" style="16" customWidth="1"/>
    <col min="11268" max="11268" width="7.5703125" style="16" customWidth="1"/>
    <col min="11269" max="11269" width="8.5703125" style="16" bestFit="1" customWidth="1"/>
    <col min="11270" max="11271" width="7.5703125" style="16" customWidth="1"/>
    <col min="11272" max="11272" width="8.5703125" style="16" customWidth="1"/>
    <col min="11273" max="11273" width="7.140625" style="16" bestFit="1" customWidth="1"/>
    <col min="11274" max="11274" width="7.85546875" style="16" customWidth="1"/>
    <col min="11275" max="11279" width="8.140625" style="16" customWidth="1"/>
    <col min="11280" max="11284" width="9.140625" style="16"/>
    <col min="11285" max="11285" width="12.42578125" style="16" customWidth="1"/>
    <col min="11286" max="11286" width="9.140625" style="16"/>
    <col min="11287" max="11287" width="12" style="16" customWidth="1"/>
    <col min="11288" max="11520" width="9.140625" style="16"/>
    <col min="11521" max="11521" width="5" style="16" customWidth="1"/>
    <col min="11522" max="11522" width="16.5703125" style="16" customWidth="1"/>
    <col min="11523" max="11523" width="8.140625" style="16" customWidth="1"/>
    <col min="11524" max="11524" width="7.5703125" style="16" customWidth="1"/>
    <col min="11525" max="11525" width="8.5703125" style="16" bestFit="1" customWidth="1"/>
    <col min="11526" max="11527" width="7.5703125" style="16" customWidth="1"/>
    <col min="11528" max="11528" width="8.5703125" style="16" customWidth="1"/>
    <col min="11529" max="11529" width="7.140625" style="16" bestFit="1" customWidth="1"/>
    <col min="11530" max="11530" width="7.85546875" style="16" customWidth="1"/>
    <col min="11531" max="11535" width="8.140625" style="16" customWidth="1"/>
    <col min="11536" max="11540" width="9.140625" style="16"/>
    <col min="11541" max="11541" width="12.42578125" style="16" customWidth="1"/>
    <col min="11542" max="11542" width="9.140625" style="16"/>
    <col min="11543" max="11543" width="12" style="16" customWidth="1"/>
    <col min="11544" max="11776" width="9.140625" style="16"/>
    <col min="11777" max="11777" width="5" style="16" customWidth="1"/>
    <col min="11778" max="11778" width="16.5703125" style="16" customWidth="1"/>
    <col min="11779" max="11779" width="8.140625" style="16" customWidth="1"/>
    <col min="11780" max="11780" width="7.5703125" style="16" customWidth="1"/>
    <col min="11781" max="11781" width="8.5703125" style="16" bestFit="1" customWidth="1"/>
    <col min="11782" max="11783" width="7.5703125" style="16" customWidth="1"/>
    <col min="11784" max="11784" width="8.5703125" style="16" customWidth="1"/>
    <col min="11785" max="11785" width="7.140625" style="16" bestFit="1" customWidth="1"/>
    <col min="11786" max="11786" width="7.85546875" style="16" customWidth="1"/>
    <col min="11787" max="11791" width="8.140625" style="16" customWidth="1"/>
    <col min="11792" max="11796" width="9.140625" style="16"/>
    <col min="11797" max="11797" width="12.42578125" style="16" customWidth="1"/>
    <col min="11798" max="11798" width="9.140625" style="16"/>
    <col min="11799" max="11799" width="12" style="16" customWidth="1"/>
    <col min="11800" max="12032" width="9.140625" style="16"/>
    <col min="12033" max="12033" width="5" style="16" customWidth="1"/>
    <col min="12034" max="12034" width="16.5703125" style="16" customWidth="1"/>
    <col min="12035" max="12035" width="8.140625" style="16" customWidth="1"/>
    <col min="12036" max="12036" width="7.5703125" style="16" customWidth="1"/>
    <col min="12037" max="12037" width="8.5703125" style="16" bestFit="1" customWidth="1"/>
    <col min="12038" max="12039" width="7.5703125" style="16" customWidth="1"/>
    <col min="12040" max="12040" width="8.5703125" style="16" customWidth="1"/>
    <col min="12041" max="12041" width="7.140625" style="16" bestFit="1" customWidth="1"/>
    <col min="12042" max="12042" width="7.85546875" style="16" customWidth="1"/>
    <col min="12043" max="12047" width="8.140625" style="16" customWidth="1"/>
    <col min="12048" max="12052" width="9.140625" style="16"/>
    <col min="12053" max="12053" width="12.42578125" style="16" customWidth="1"/>
    <col min="12054" max="12054" width="9.140625" style="16"/>
    <col min="12055" max="12055" width="12" style="16" customWidth="1"/>
    <col min="12056" max="12288" width="9.140625" style="16"/>
    <col min="12289" max="12289" width="5" style="16" customWidth="1"/>
    <col min="12290" max="12290" width="16.5703125" style="16" customWidth="1"/>
    <col min="12291" max="12291" width="8.140625" style="16" customWidth="1"/>
    <col min="12292" max="12292" width="7.5703125" style="16" customWidth="1"/>
    <col min="12293" max="12293" width="8.5703125" style="16" bestFit="1" customWidth="1"/>
    <col min="12294" max="12295" width="7.5703125" style="16" customWidth="1"/>
    <col min="12296" max="12296" width="8.5703125" style="16" customWidth="1"/>
    <col min="12297" max="12297" width="7.140625" style="16" bestFit="1" customWidth="1"/>
    <col min="12298" max="12298" width="7.85546875" style="16" customWidth="1"/>
    <col min="12299" max="12303" width="8.140625" style="16" customWidth="1"/>
    <col min="12304" max="12308" width="9.140625" style="16"/>
    <col min="12309" max="12309" width="12.42578125" style="16" customWidth="1"/>
    <col min="12310" max="12310" width="9.140625" style="16"/>
    <col min="12311" max="12311" width="12" style="16" customWidth="1"/>
    <col min="12312" max="12544" width="9.140625" style="16"/>
    <col min="12545" max="12545" width="5" style="16" customWidth="1"/>
    <col min="12546" max="12546" width="16.5703125" style="16" customWidth="1"/>
    <col min="12547" max="12547" width="8.140625" style="16" customWidth="1"/>
    <col min="12548" max="12548" width="7.5703125" style="16" customWidth="1"/>
    <col min="12549" max="12549" width="8.5703125" style="16" bestFit="1" customWidth="1"/>
    <col min="12550" max="12551" width="7.5703125" style="16" customWidth="1"/>
    <col min="12552" max="12552" width="8.5703125" style="16" customWidth="1"/>
    <col min="12553" max="12553" width="7.140625" style="16" bestFit="1" customWidth="1"/>
    <col min="12554" max="12554" width="7.85546875" style="16" customWidth="1"/>
    <col min="12555" max="12559" width="8.140625" style="16" customWidth="1"/>
    <col min="12560" max="12564" width="9.140625" style="16"/>
    <col min="12565" max="12565" width="12.42578125" style="16" customWidth="1"/>
    <col min="12566" max="12566" width="9.140625" style="16"/>
    <col min="12567" max="12567" width="12" style="16" customWidth="1"/>
    <col min="12568" max="12800" width="9.140625" style="16"/>
    <col min="12801" max="12801" width="5" style="16" customWidth="1"/>
    <col min="12802" max="12802" width="16.5703125" style="16" customWidth="1"/>
    <col min="12803" max="12803" width="8.140625" style="16" customWidth="1"/>
    <col min="12804" max="12804" width="7.5703125" style="16" customWidth="1"/>
    <col min="12805" max="12805" width="8.5703125" style="16" bestFit="1" customWidth="1"/>
    <col min="12806" max="12807" width="7.5703125" style="16" customWidth="1"/>
    <col min="12808" max="12808" width="8.5703125" style="16" customWidth="1"/>
    <col min="12809" max="12809" width="7.140625" style="16" bestFit="1" customWidth="1"/>
    <col min="12810" max="12810" width="7.85546875" style="16" customWidth="1"/>
    <col min="12811" max="12815" width="8.140625" style="16" customWidth="1"/>
    <col min="12816" max="12820" width="9.140625" style="16"/>
    <col min="12821" max="12821" width="12.42578125" style="16" customWidth="1"/>
    <col min="12822" max="12822" width="9.140625" style="16"/>
    <col min="12823" max="12823" width="12" style="16" customWidth="1"/>
    <col min="12824" max="13056" width="9.140625" style="16"/>
    <col min="13057" max="13057" width="5" style="16" customWidth="1"/>
    <col min="13058" max="13058" width="16.5703125" style="16" customWidth="1"/>
    <col min="13059" max="13059" width="8.140625" style="16" customWidth="1"/>
    <col min="13060" max="13060" width="7.5703125" style="16" customWidth="1"/>
    <col min="13061" max="13061" width="8.5703125" style="16" bestFit="1" customWidth="1"/>
    <col min="13062" max="13063" width="7.5703125" style="16" customWidth="1"/>
    <col min="13064" max="13064" width="8.5703125" style="16" customWidth="1"/>
    <col min="13065" max="13065" width="7.140625" style="16" bestFit="1" customWidth="1"/>
    <col min="13066" max="13066" width="7.85546875" style="16" customWidth="1"/>
    <col min="13067" max="13071" width="8.140625" style="16" customWidth="1"/>
    <col min="13072" max="13076" width="9.140625" style="16"/>
    <col min="13077" max="13077" width="12.42578125" style="16" customWidth="1"/>
    <col min="13078" max="13078" width="9.140625" style="16"/>
    <col min="13079" max="13079" width="12" style="16" customWidth="1"/>
    <col min="13080" max="13312" width="9.140625" style="16"/>
    <col min="13313" max="13313" width="5" style="16" customWidth="1"/>
    <col min="13314" max="13314" width="16.5703125" style="16" customWidth="1"/>
    <col min="13315" max="13315" width="8.140625" style="16" customWidth="1"/>
    <col min="13316" max="13316" width="7.5703125" style="16" customWidth="1"/>
    <col min="13317" max="13317" width="8.5703125" style="16" bestFit="1" customWidth="1"/>
    <col min="13318" max="13319" width="7.5703125" style="16" customWidth="1"/>
    <col min="13320" max="13320" width="8.5703125" style="16" customWidth="1"/>
    <col min="13321" max="13321" width="7.140625" style="16" bestFit="1" customWidth="1"/>
    <col min="13322" max="13322" width="7.85546875" style="16" customWidth="1"/>
    <col min="13323" max="13327" width="8.140625" style="16" customWidth="1"/>
    <col min="13328" max="13332" width="9.140625" style="16"/>
    <col min="13333" max="13333" width="12.42578125" style="16" customWidth="1"/>
    <col min="13334" max="13334" width="9.140625" style="16"/>
    <col min="13335" max="13335" width="12" style="16" customWidth="1"/>
    <col min="13336" max="13568" width="9.140625" style="16"/>
    <col min="13569" max="13569" width="5" style="16" customWidth="1"/>
    <col min="13570" max="13570" width="16.5703125" style="16" customWidth="1"/>
    <col min="13571" max="13571" width="8.140625" style="16" customWidth="1"/>
    <col min="13572" max="13572" width="7.5703125" style="16" customWidth="1"/>
    <col min="13573" max="13573" width="8.5703125" style="16" bestFit="1" customWidth="1"/>
    <col min="13574" max="13575" width="7.5703125" style="16" customWidth="1"/>
    <col min="13576" max="13576" width="8.5703125" style="16" customWidth="1"/>
    <col min="13577" max="13577" width="7.140625" style="16" bestFit="1" customWidth="1"/>
    <col min="13578" max="13578" width="7.85546875" style="16" customWidth="1"/>
    <col min="13579" max="13583" width="8.140625" style="16" customWidth="1"/>
    <col min="13584" max="13588" width="9.140625" style="16"/>
    <col min="13589" max="13589" width="12.42578125" style="16" customWidth="1"/>
    <col min="13590" max="13590" width="9.140625" style="16"/>
    <col min="13591" max="13591" width="12" style="16" customWidth="1"/>
    <col min="13592" max="13824" width="9.140625" style="16"/>
    <col min="13825" max="13825" width="5" style="16" customWidth="1"/>
    <col min="13826" max="13826" width="16.5703125" style="16" customWidth="1"/>
    <col min="13827" max="13827" width="8.140625" style="16" customWidth="1"/>
    <col min="13828" max="13828" width="7.5703125" style="16" customWidth="1"/>
    <col min="13829" max="13829" width="8.5703125" style="16" bestFit="1" customWidth="1"/>
    <col min="13830" max="13831" width="7.5703125" style="16" customWidth="1"/>
    <col min="13832" max="13832" width="8.5703125" style="16" customWidth="1"/>
    <col min="13833" max="13833" width="7.140625" style="16" bestFit="1" customWidth="1"/>
    <col min="13834" max="13834" width="7.85546875" style="16" customWidth="1"/>
    <col min="13835" max="13839" width="8.140625" style="16" customWidth="1"/>
    <col min="13840" max="13844" width="9.140625" style="16"/>
    <col min="13845" max="13845" width="12.42578125" style="16" customWidth="1"/>
    <col min="13846" max="13846" width="9.140625" style="16"/>
    <col min="13847" max="13847" width="12" style="16" customWidth="1"/>
    <col min="13848" max="14080" width="9.140625" style="16"/>
    <col min="14081" max="14081" width="5" style="16" customWidth="1"/>
    <col min="14082" max="14082" width="16.5703125" style="16" customWidth="1"/>
    <col min="14083" max="14083" width="8.140625" style="16" customWidth="1"/>
    <col min="14084" max="14084" width="7.5703125" style="16" customWidth="1"/>
    <col min="14085" max="14085" width="8.5703125" style="16" bestFit="1" customWidth="1"/>
    <col min="14086" max="14087" width="7.5703125" style="16" customWidth="1"/>
    <col min="14088" max="14088" width="8.5703125" style="16" customWidth="1"/>
    <col min="14089" max="14089" width="7.140625" style="16" bestFit="1" customWidth="1"/>
    <col min="14090" max="14090" width="7.85546875" style="16" customWidth="1"/>
    <col min="14091" max="14095" width="8.140625" style="16" customWidth="1"/>
    <col min="14096" max="14100" width="9.140625" style="16"/>
    <col min="14101" max="14101" width="12.42578125" style="16" customWidth="1"/>
    <col min="14102" max="14102" width="9.140625" style="16"/>
    <col min="14103" max="14103" width="12" style="16" customWidth="1"/>
    <col min="14104" max="14336" width="9.140625" style="16"/>
    <col min="14337" max="14337" width="5" style="16" customWidth="1"/>
    <col min="14338" max="14338" width="16.5703125" style="16" customWidth="1"/>
    <col min="14339" max="14339" width="8.140625" style="16" customWidth="1"/>
    <col min="14340" max="14340" width="7.5703125" style="16" customWidth="1"/>
    <col min="14341" max="14341" width="8.5703125" style="16" bestFit="1" customWidth="1"/>
    <col min="14342" max="14343" width="7.5703125" style="16" customWidth="1"/>
    <col min="14344" max="14344" width="8.5703125" style="16" customWidth="1"/>
    <col min="14345" max="14345" width="7.140625" style="16" bestFit="1" customWidth="1"/>
    <col min="14346" max="14346" width="7.85546875" style="16" customWidth="1"/>
    <col min="14347" max="14351" width="8.140625" style="16" customWidth="1"/>
    <col min="14352" max="14356" width="9.140625" style="16"/>
    <col min="14357" max="14357" width="12.42578125" style="16" customWidth="1"/>
    <col min="14358" max="14358" width="9.140625" style="16"/>
    <col min="14359" max="14359" width="12" style="16" customWidth="1"/>
    <col min="14360" max="14592" width="9.140625" style="16"/>
    <col min="14593" max="14593" width="5" style="16" customWidth="1"/>
    <col min="14594" max="14594" width="16.5703125" style="16" customWidth="1"/>
    <col min="14595" max="14595" width="8.140625" style="16" customWidth="1"/>
    <col min="14596" max="14596" width="7.5703125" style="16" customWidth="1"/>
    <col min="14597" max="14597" width="8.5703125" style="16" bestFit="1" customWidth="1"/>
    <col min="14598" max="14599" width="7.5703125" style="16" customWidth="1"/>
    <col min="14600" max="14600" width="8.5703125" style="16" customWidth="1"/>
    <col min="14601" max="14601" width="7.140625" style="16" bestFit="1" customWidth="1"/>
    <col min="14602" max="14602" width="7.85546875" style="16" customWidth="1"/>
    <col min="14603" max="14607" width="8.140625" style="16" customWidth="1"/>
    <col min="14608" max="14612" width="9.140625" style="16"/>
    <col min="14613" max="14613" width="12.42578125" style="16" customWidth="1"/>
    <col min="14614" max="14614" width="9.140625" style="16"/>
    <col min="14615" max="14615" width="12" style="16" customWidth="1"/>
    <col min="14616" max="14848" width="9.140625" style="16"/>
    <col min="14849" max="14849" width="5" style="16" customWidth="1"/>
    <col min="14850" max="14850" width="16.5703125" style="16" customWidth="1"/>
    <col min="14851" max="14851" width="8.140625" style="16" customWidth="1"/>
    <col min="14852" max="14852" width="7.5703125" style="16" customWidth="1"/>
    <col min="14853" max="14853" width="8.5703125" style="16" bestFit="1" customWidth="1"/>
    <col min="14854" max="14855" width="7.5703125" style="16" customWidth="1"/>
    <col min="14856" max="14856" width="8.5703125" style="16" customWidth="1"/>
    <col min="14857" max="14857" width="7.140625" style="16" bestFit="1" customWidth="1"/>
    <col min="14858" max="14858" width="7.85546875" style="16" customWidth="1"/>
    <col min="14859" max="14863" width="8.140625" style="16" customWidth="1"/>
    <col min="14864" max="14868" width="9.140625" style="16"/>
    <col min="14869" max="14869" width="12.42578125" style="16" customWidth="1"/>
    <col min="14870" max="14870" width="9.140625" style="16"/>
    <col min="14871" max="14871" width="12" style="16" customWidth="1"/>
    <col min="14872" max="15104" width="9.140625" style="16"/>
    <col min="15105" max="15105" width="5" style="16" customWidth="1"/>
    <col min="15106" max="15106" width="16.5703125" style="16" customWidth="1"/>
    <col min="15107" max="15107" width="8.140625" style="16" customWidth="1"/>
    <col min="15108" max="15108" width="7.5703125" style="16" customWidth="1"/>
    <col min="15109" max="15109" width="8.5703125" style="16" bestFit="1" customWidth="1"/>
    <col min="15110" max="15111" width="7.5703125" style="16" customWidth="1"/>
    <col min="15112" max="15112" width="8.5703125" style="16" customWidth="1"/>
    <col min="15113" max="15113" width="7.140625" style="16" bestFit="1" customWidth="1"/>
    <col min="15114" max="15114" width="7.85546875" style="16" customWidth="1"/>
    <col min="15115" max="15119" width="8.140625" style="16" customWidth="1"/>
    <col min="15120" max="15124" width="9.140625" style="16"/>
    <col min="15125" max="15125" width="12.42578125" style="16" customWidth="1"/>
    <col min="15126" max="15126" width="9.140625" style="16"/>
    <col min="15127" max="15127" width="12" style="16" customWidth="1"/>
    <col min="15128" max="15360" width="9.140625" style="16"/>
    <col min="15361" max="15361" width="5" style="16" customWidth="1"/>
    <col min="15362" max="15362" width="16.5703125" style="16" customWidth="1"/>
    <col min="15363" max="15363" width="8.140625" style="16" customWidth="1"/>
    <col min="15364" max="15364" width="7.5703125" style="16" customWidth="1"/>
    <col min="15365" max="15365" width="8.5703125" style="16" bestFit="1" customWidth="1"/>
    <col min="15366" max="15367" width="7.5703125" style="16" customWidth="1"/>
    <col min="15368" max="15368" width="8.5703125" style="16" customWidth="1"/>
    <col min="15369" max="15369" width="7.140625" style="16" bestFit="1" customWidth="1"/>
    <col min="15370" max="15370" width="7.85546875" style="16" customWidth="1"/>
    <col min="15371" max="15375" width="8.140625" style="16" customWidth="1"/>
    <col min="15376" max="15380" width="9.140625" style="16"/>
    <col min="15381" max="15381" width="12.42578125" style="16" customWidth="1"/>
    <col min="15382" max="15382" width="9.140625" style="16"/>
    <col min="15383" max="15383" width="12" style="16" customWidth="1"/>
    <col min="15384" max="15616" width="9.140625" style="16"/>
    <col min="15617" max="15617" width="5" style="16" customWidth="1"/>
    <col min="15618" max="15618" width="16.5703125" style="16" customWidth="1"/>
    <col min="15619" max="15619" width="8.140625" style="16" customWidth="1"/>
    <col min="15620" max="15620" width="7.5703125" style="16" customWidth="1"/>
    <col min="15621" max="15621" width="8.5703125" style="16" bestFit="1" customWidth="1"/>
    <col min="15622" max="15623" width="7.5703125" style="16" customWidth="1"/>
    <col min="15624" max="15624" width="8.5703125" style="16" customWidth="1"/>
    <col min="15625" max="15625" width="7.140625" style="16" bestFit="1" customWidth="1"/>
    <col min="15626" max="15626" width="7.85546875" style="16" customWidth="1"/>
    <col min="15627" max="15631" width="8.140625" style="16" customWidth="1"/>
    <col min="15632" max="15636" width="9.140625" style="16"/>
    <col min="15637" max="15637" width="12.42578125" style="16" customWidth="1"/>
    <col min="15638" max="15638" width="9.140625" style="16"/>
    <col min="15639" max="15639" width="12" style="16" customWidth="1"/>
    <col min="15640" max="15872" width="9.140625" style="16"/>
    <col min="15873" max="15873" width="5" style="16" customWidth="1"/>
    <col min="15874" max="15874" width="16.5703125" style="16" customWidth="1"/>
    <col min="15875" max="15875" width="8.140625" style="16" customWidth="1"/>
    <col min="15876" max="15876" width="7.5703125" style="16" customWidth="1"/>
    <col min="15877" max="15877" width="8.5703125" style="16" bestFit="1" customWidth="1"/>
    <col min="15878" max="15879" width="7.5703125" style="16" customWidth="1"/>
    <col min="15880" max="15880" width="8.5703125" style="16" customWidth="1"/>
    <col min="15881" max="15881" width="7.140625" style="16" bestFit="1" customWidth="1"/>
    <col min="15882" max="15882" width="7.85546875" style="16" customWidth="1"/>
    <col min="15883" max="15887" width="8.140625" style="16" customWidth="1"/>
    <col min="15888" max="15892" width="9.140625" style="16"/>
    <col min="15893" max="15893" width="12.42578125" style="16" customWidth="1"/>
    <col min="15894" max="15894" width="9.140625" style="16"/>
    <col min="15895" max="15895" width="12" style="16" customWidth="1"/>
    <col min="15896" max="16128" width="9.140625" style="16"/>
    <col min="16129" max="16129" width="5" style="16" customWidth="1"/>
    <col min="16130" max="16130" width="16.5703125" style="16" customWidth="1"/>
    <col min="16131" max="16131" width="8.140625" style="16" customWidth="1"/>
    <col min="16132" max="16132" width="7.5703125" style="16" customWidth="1"/>
    <col min="16133" max="16133" width="8.5703125" style="16" bestFit="1" customWidth="1"/>
    <col min="16134" max="16135" width="7.5703125" style="16" customWidth="1"/>
    <col min="16136" max="16136" width="8.5703125" style="16" customWidth="1"/>
    <col min="16137" max="16137" width="7.140625" style="16" bestFit="1" customWidth="1"/>
    <col min="16138" max="16138" width="7.85546875" style="16" customWidth="1"/>
    <col min="16139" max="16143" width="8.140625" style="16" customWidth="1"/>
    <col min="16144" max="16148" width="9.140625" style="16"/>
    <col min="16149" max="16149" width="12.42578125" style="16" customWidth="1"/>
    <col min="16150" max="16150" width="9.140625" style="16"/>
    <col min="16151" max="16151" width="12" style="16" customWidth="1"/>
    <col min="16152" max="16384" width="9.140625" style="16"/>
  </cols>
  <sheetData>
    <row r="1" spans="1:17" s="1" customFormat="1" x14ac:dyDescent="0.2">
      <c r="A1" s="867" t="s">
        <v>449</v>
      </c>
      <c r="B1" s="868"/>
      <c r="C1" s="868"/>
      <c r="D1" s="869"/>
      <c r="E1" s="868"/>
      <c r="F1" s="868"/>
      <c r="G1" s="867" t="s">
        <v>102</v>
      </c>
      <c r="H1" s="869"/>
      <c r="I1" s="869" t="s">
        <v>602</v>
      </c>
      <c r="J1" s="868"/>
      <c r="K1" s="868"/>
      <c r="L1" s="870"/>
      <c r="M1" s="870"/>
      <c r="N1" s="870"/>
      <c r="O1" s="870"/>
    </row>
    <row r="2" spans="1:17" s="1" customFormat="1" x14ac:dyDescent="0.2">
      <c r="A2" s="867" t="s">
        <v>103</v>
      </c>
      <c r="B2" s="868"/>
      <c r="C2" s="868"/>
      <c r="D2" s="869"/>
      <c r="E2" s="868"/>
      <c r="F2" s="868"/>
      <c r="G2" s="867" t="s">
        <v>104</v>
      </c>
      <c r="H2" s="869"/>
      <c r="I2" s="869" t="s">
        <v>105</v>
      </c>
      <c r="J2" s="868"/>
      <c r="K2" s="868"/>
      <c r="L2" s="870"/>
      <c r="M2" s="870"/>
      <c r="N2" s="870"/>
      <c r="O2" s="870"/>
    </row>
    <row r="3" spans="1:17" s="1" customFormat="1" x14ac:dyDescent="0.2">
      <c r="A3" s="867" t="s">
        <v>106</v>
      </c>
      <c r="B3" s="868"/>
      <c r="C3" s="868"/>
      <c r="D3" s="883" t="s">
        <v>611</v>
      </c>
      <c r="E3" s="868"/>
      <c r="F3" s="868"/>
      <c r="G3" s="867" t="s">
        <v>107</v>
      </c>
      <c r="H3" s="869"/>
      <c r="I3" s="869" t="s">
        <v>108</v>
      </c>
      <c r="J3" s="868"/>
      <c r="K3" s="868"/>
      <c r="L3" s="870"/>
      <c r="M3" s="870"/>
      <c r="N3" s="870"/>
      <c r="O3" s="870"/>
    </row>
    <row r="4" spans="1:17" s="1" customFormat="1" x14ac:dyDescent="0.2">
      <c r="A4" s="867" t="s">
        <v>476</v>
      </c>
      <c r="B4" s="868"/>
      <c r="C4" s="868"/>
      <c r="D4" s="869" t="s">
        <v>612</v>
      </c>
      <c r="E4" s="868"/>
      <c r="F4" s="868"/>
      <c r="G4" s="867" t="s">
        <v>110</v>
      </c>
      <c r="H4" s="869"/>
      <c r="I4" s="869" t="s">
        <v>613</v>
      </c>
      <c r="J4" s="868"/>
      <c r="K4" s="868"/>
      <c r="L4" s="870"/>
      <c r="M4" s="870"/>
      <c r="N4" s="870"/>
      <c r="O4" s="870"/>
    </row>
    <row r="5" spans="1:17" s="1" customFormat="1" x14ac:dyDescent="0.2">
      <c r="A5" s="867" t="s">
        <v>112</v>
      </c>
      <c r="B5" s="868"/>
      <c r="C5" s="868"/>
      <c r="D5" s="869" t="s">
        <v>612</v>
      </c>
      <c r="E5" s="868"/>
      <c r="F5" s="868"/>
      <c r="G5" s="867"/>
      <c r="H5" s="868"/>
      <c r="I5" s="869" t="s">
        <v>113</v>
      </c>
      <c r="J5" s="868"/>
      <c r="K5" s="868"/>
      <c r="L5" s="870"/>
      <c r="M5" s="870"/>
      <c r="N5" s="870"/>
      <c r="O5" s="870"/>
    </row>
    <row r="6" spans="1:17" s="1" customFormat="1" x14ac:dyDescent="0.2">
      <c r="A6" s="871" t="s">
        <v>114</v>
      </c>
      <c r="B6" s="872"/>
      <c r="C6" s="872"/>
      <c r="D6" s="868" t="s">
        <v>603</v>
      </c>
      <c r="E6" s="868"/>
      <c r="F6" s="868"/>
      <c r="G6" s="871" t="s">
        <v>115</v>
      </c>
      <c r="H6" s="871"/>
      <c r="I6" s="2" t="s">
        <v>116</v>
      </c>
      <c r="J6" s="888"/>
      <c r="K6" s="888"/>
      <c r="L6" s="888"/>
      <c r="M6" s="888"/>
      <c r="N6" s="888"/>
      <c r="O6" s="889"/>
    </row>
    <row r="7" spans="1:17" s="1" customFormat="1" ht="13.5" thickBot="1" x14ac:dyDescent="0.25">
      <c r="A7" s="3"/>
      <c r="B7" s="4"/>
      <c r="C7" s="5"/>
      <c r="D7" s="6"/>
      <c r="E7" s="6"/>
      <c r="F7" s="6"/>
      <c r="G7" s="6"/>
      <c r="H7" s="6"/>
      <c r="I7" s="6"/>
      <c r="J7" s="7"/>
      <c r="K7" s="8"/>
      <c r="L7" s="875" t="s">
        <v>223</v>
      </c>
      <c r="M7" s="875"/>
      <c r="N7" s="875"/>
      <c r="O7" s="875"/>
    </row>
    <row r="8" spans="1:17" s="11" customFormat="1" x14ac:dyDescent="0.2">
      <c r="A8" s="876" t="str">
        <f>I1</f>
        <v>Mr. M. B. Rajeshirke</v>
      </c>
      <c r="B8" s="877"/>
      <c r="C8" s="9">
        <v>43160</v>
      </c>
      <c r="D8" s="9">
        <v>43191</v>
      </c>
      <c r="E8" s="9">
        <v>43221</v>
      </c>
      <c r="F8" s="9">
        <v>43252</v>
      </c>
      <c r="G8" s="9">
        <v>43282</v>
      </c>
      <c r="H8" s="9">
        <v>43313</v>
      </c>
      <c r="I8" s="9">
        <v>43344</v>
      </c>
      <c r="J8" s="9">
        <v>43374</v>
      </c>
      <c r="K8" s="9">
        <v>43405</v>
      </c>
      <c r="L8" s="9">
        <v>43435</v>
      </c>
      <c r="M8" s="9">
        <v>43466</v>
      </c>
      <c r="N8" s="9">
        <v>43497</v>
      </c>
      <c r="O8" s="10" t="s">
        <v>117</v>
      </c>
      <c r="Q8" s="11" t="s">
        <v>116</v>
      </c>
    </row>
    <row r="9" spans="1:17" ht="15" x14ac:dyDescent="0.2">
      <c r="A9" s="12"/>
      <c r="B9" s="13" t="s">
        <v>118</v>
      </c>
      <c r="C9" s="14">
        <v>44100</v>
      </c>
      <c r="D9" s="14">
        <v>44100</v>
      </c>
      <c r="E9" s="14">
        <v>44100</v>
      </c>
      <c r="F9" s="14">
        <v>44100</v>
      </c>
      <c r="G9" s="14">
        <v>45400</v>
      </c>
      <c r="H9" s="14">
        <v>45400</v>
      </c>
      <c r="I9" s="14">
        <v>45400</v>
      </c>
      <c r="J9" s="14">
        <v>45400</v>
      </c>
      <c r="K9" s="14">
        <v>45400</v>
      </c>
      <c r="L9" s="14">
        <v>45400</v>
      </c>
      <c r="M9" s="14">
        <v>45400</v>
      </c>
      <c r="N9" s="14">
        <v>45400</v>
      </c>
      <c r="O9" s="15">
        <f>SUM(C9:N9)</f>
        <v>539600</v>
      </c>
      <c r="Q9" s="16" t="s">
        <v>222</v>
      </c>
    </row>
    <row r="10" spans="1:17"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7" ht="15" x14ac:dyDescent="0.2">
      <c r="A11" s="12"/>
      <c r="B11" s="13" t="s">
        <v>120</v>
      </c>
      <c r="C11" s="17">
        <v>2205</v>
      </c>
      <c r="D11" s="17">
        <v>3087</v>
      </c>
      <c r="E11" s="17">
        <v>3087</v>
      </c>
      <c r="F11" s="17">
        <v>3087</v>
      </c>
      <c r="G11" s="17">
        <v>3178</v>
      </c>
      <c r="H11" s="17">
        <v>3178</v>
      </c>
      <c r="I11" s="17">
        <v>3178</v>
      </c>
      <c r="J11" s="17">
        <v>4086</v>
      </c>
      <c r="K11" s="17">
        <v>4086</v>
      </c>
      <c r="L11" s="17">
        <v>4086</v>
      </c>
      <c r="M11" s="17">
        <v>4086</v>
      </c>
      <c r="N11" s="17">
        <v>4086</v>
      </c>
      <c r="O11" s="18">
        <f>SUM(C11:N11)</f>
        <v>41430</v>
      </c>
    </row>
    <row r="12" spans="1:17"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7"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7" si="0">SUM(C13:N13)</f>
        <v>0</v>
      </c>
    </row>
    <row r="14" spans="1:17" ht="15" x14ac:dyDescent="0.2">
      <c r="A14" s="12"/>
      <c r="B14" s="13" t="s">
        <v>123</v>
      </c>
      <c r="C14" s="17">
        <v>3780</v>
      </c>
      <c r="D14" s="17">
        <v>3852</v>
      </c>
      <c r="E14" s="17">
        <v>3852</v>
      </c>
      <c r="F14" s="17">
        <v>3852</v>
      </c>
      <c r="G14" s="17">
        <v>3852</v>
      </c>
      <c r="H14" s="17">
        <v>3852</v>
      </c>
      <c r="I14" s="17">
        <v>3852</v>
      </c>
      <c r="J14" s="17">
        <v>3924</v>
      </c>
      <c r="K14" s="17">
        <v>3924</v>
      </c>
      <c r="L14" s="17">
        <v>3924</v>
      </c>
      <c r="M14" s="17">
        <v>3924</v>
      </c>
      <c r="N14" s="17">
        <v>3924</v>
      </c>
      <c r="O14" s="18">
        <f t="shared" si="0"/>
        <v>46512</v>
      </c>
    </row>
    <row r="15" spans="1:17" ht="15"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7" ht="15" x14ac:dyDescent="0.2">
      <c r="A16" s="12"/>
      <c r="B16" s="13" t="s">
        <v>125</v>
      </c>
      <c r="C16" s="17">
        <v>0</v>
      </c>
      <c r="D16" s="17">
        <v>0</v>
      </c>
      <c r="E16" s="17">
        <v>0</v>
      </c>
      <c r="F16" s="17">
        <v>0</v>
      </c>
      <c r="G16" s="17">
        <v>5000</v>
      </c>
      <c r="H16" s="17">
        <v>0</v>
      </c>
      <c r="I16" s="17">
        <v>0</v>
      </c>
      <c r="J16" s="17">
        <v>0</v>
      </c>
      <c r="K16" s="17">
        <v>0</v>
      </c>
      <c r="L16" s="17">
        <v>0</v>
      </c>
      <c r="M16" s="17">
        <v>0</v>
      </c>
      <c r="N16" s="17">
        <v>0</v>
      </c>
      <c r="O16" s="18">
        <f t="shared" si="0"/>
        <v>5000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10584</v>
      </c>
      <c r="D19" s="17">
        <v>10584</v>
      </c>
      <c r="E19" s="17">
        <v>10584</v>
      </c>
      <c r="F19" s="17">
        <v>10584</v>
      </c>
      <c r="G19" s="17">
        <v>10896</v>
      </c>
      <c r="H19" s="17">
        <v>10896</v>
      </c>
      <c r="I19" s="17">
        <v>10896</v>
      </c>
      <c r="J19" s="17">
        <v>10896</v>
      </c>
      <c r="K19" s="17">
        <v>10896</v>
      </c>
      <c r="L19" s="17">
        <v>10896</v>
      </c>
      <c r="M19" s="17">
        <v>10896</v>
      </c>
      <c r="N19" s="17">
        <v>10896</v>
      </c>
      <c r="O19" s="18">
        <f t="shared" si="0"/>
        <v>129504</v>
      </c>
    </row>
    <row r="20" spans="1:15" ht="25.5" x14ac:dyDescent="0.2">
      <c r="A20" s="12"/>
      <c r="B20" s="166" t="s">
        <v>280</v>
      </c>
      <c r="C20" s="17">
        <v>0</v>
      </c>
      <c r="D20" s="17">
        <v>0</v>
      </c>
      <c r="E20" s="17">
        <v>0</v>
      </c>
      <c r="F20" s="17">
        <v>0</v>
      </c>
      <c r="G20" s="17">
        <v>0</v>
      </c>
      <c r="H20" s="17">
        <v>0</v>
      </c>
      <c r="I20" s="17">
        <v>0</v>
      </c>
      <c r="J20" s="17">
        <v>0</v>
      </c>
      <c r="K20" s="17">
        <v>0</v>
      </c>
      <c r="L20" s="17">
        <v>0</v>
      </c>
      <c r="M20" s="17">
        <v>0</v>
      </c>
      <c r="N20" s="17">
        <v>0</v>
      </c>
      <c r="O20" s="18">
        <f>SUM(C20:N20)</f>
        <v>0</v>
      </c>
    </row>
    <row r="21" spans="1:15" ht="15" customHeight="1" x14ac:dyDescent="0.2">
      <c r="A21" s="12"/>
      <c r="B21" s="13" t="s">
        <v>129</v>
      </c>
      <c r="C21" s="17">
        <v>0</v>
      </c>
      <c r="D21" s="17">
        <v>0</v>
      </c>
      <c r="E21" s="17">
        <v>0</v>
      </c>
      <c r="F21" s="17">
        <v>0</v>
      </c>
      <c r="G21" s="17">
        <v>0</v>
      </c>
      <c r="H21" s="17">
        <v>0</v>
      </c>
      <c r="I21" s="17">
        <v>0</v>
      </c>
      <c r="J21" s="17">
        <v>0</v>
      </c>
      <c r="K21" s="17">
        <v>0</v>
      </c>
      <c r="L21" s="17">
        <v>0</v>
      </c>
      <c r="M21" s="17">
        <v>0</v>
      </c>
      <c r="N21" s="17">
        <v>0</v>
      </c>
      <c r="O21" s="18">
        <f t="shared" si="0"/>
        <v>0</v>
      </c>
    </row>
    <row r="22" spans="1:15" ht="15" hidden="1" customHeight="1" x14ac:dyDescent="0.2">
      <c r="A22" s="878" t="s">
        <v>130</v>
      </c>
      <c r="B22" s="19" t="s">
        <v>131</v>
      </c>
      <c r="C22" s="17">
        <v>0</v>
      </c>
      <c r="D22" s="17">
        <v>0</v>
      </c>
      <c r="E22" s="17">
        <v>0</v>
      </c>
      <c r="F22" s="17">
        <v>0</v>
      </c>
      <c r="G22" s="17">
        <v>0</v>
      </c>
      <c r="H22" s="17">
        <v>0</v>
      </c>
      <c r="I22" s="17">
        <v>0</v>
      </c>
      <c r="J22" s="17">
        <v>0</v>
      </c>
      <c r="K22" s="17">
        <v>0</v>
      </c>
      <c r="L22" s="17">
        <v>0</v>
      </c>
      <c r="M22" s="17">
        <v>0</v>
      </c>
      <c r="N22" s="17">
        <v>0</v>
      </c>
      <c r="O22" s="18">
        <f t="shared" si="0"/>
        <v>0</v>
      </c>
    </row>
    <row r="23" spans="1:15" ht="15" customHeight="1" x14ac:dyDescent="0.2">
      <c r="A23" s="879"/>
      <c r="B23" s="19" t="s">
        <v>132</v>
      </c>
      <c r="C23" s="17">
        <v>0</v>
      </c>
      <c r="D23" s="17">
        <v>0</v>
      </c>
      <c r="E23" s="17">
        <v>0</v>
      </c>
      <c r="F23" s="17">
        <v>0</v>
      </c>
      <c r="G23" s="17">
        <v>0</v>
      </c>
      <c r="H23" s="17">
        <v>0</v>
      </c>
      <c r="I23" s="17">
        <v>0</v>
      </c>
      <c r="J23" s="17">
        <v>6908</v>
      </c>
      <c r="K23" s="17">
        <v>0</v>
      </c>
      <c r="L23" s="17">
        <v>0</v>
      </c>
      <c r="M23" s="17">
        <v>0</v>
      </c>
      <c r="N23" s="17">
        <v>0</v>
      </c>
      <c r="O23" s="18">
        <f t="shared" si="0"/>
        <v>6908</v>
      </c>
    </row>
    <row r="24" spans="1:15" ht="15" hidden="1" customHeight="1" x14ac:dyDescent="0.2">
      <c r="A24" s="879"/>
      <c r="B24" s="19" t="s">
        <v>133</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79"/>
      <c r="B25" s="19" t="s">
        <v>134</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79"/>
      <c r="B26" s="19" t="s">
        <v>135</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79"/>
      <c r="B27" s="19" t="s">
        <v>136</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79"/>
      <c r="B28" s="19" t="s">
        <v>137</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79"/>
      <c r="B29" s="19" t="s">
        <v>138</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79"/>
      <c r="B30" s="19" t="s">
        <v>139</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79"/>
      <c r="B31" s="19" t="s">
        <v>140</v>
      </c>
      <c r="C31" s="17">
        <v>0</v>
      </c>
      <c r="D31" s="17">
        <v>0</v>
      </c>
      <c r="E31" s="17">
        <v>0</v>
      </c>
      <c r="F31" s="17">
        <v>0</v>
      </c>
      <c r="G31" s="17">
        <v>0</v>
      </c>
      <c r="H31" s="17">
        <v>0</v>
      </c>
      <c r="I31" s="17">
        <v>0</v>
      </c>
      <c r="J31" s="17">
        <v>0</v>
      </c>
      <c r="K31" s="17">
        <v>0</v>
      </c>
      <c r="L31" s="17">
        <v>0</v>
      </c>
      <c r="M31" s="17">
        <v>0</v>
      </c>
      <c r="N31" s="17">
        <v>0</v>
      </c>
      <c r="O31" s="18">
        <f t="shared" si="0"/>
        <v>0</v>
      </c>
    </row>
    <row r="32" spans="1:15" ht="15" hidden="1" customHeight="1" x14ac:dyDescent="0.2">
      <c r="A32" s="879"/>
      <c r="B32" s="19" t="s">
        <v>225</v>
      </c>
      <c r="C32" s="17">
        <v>0</v>
      </c>
      <c r="D32" s="17">
        <v>0</v>
      </c>
      <c r="E32" s="17">
        <v>0</v>
      </c>
      <c r="F32" s="17">
        <v>0</v>
      </c>
      <c r="G32" s="17">
        <v>0</v>
      </c>
      <c r="H32" s="17">
        <v>0</v>
      </c>
      <c r="I32" s="17">
        <v>0</v>
      </c>
      <c r="J32" s="17">
        <v>0</v>
      </c>
      <c r="K32" s="17">
        <v>0</v>
      </c>
      <c r="L32" s="17">
        <v>0</v>
      </c>
      <c r="M32" s="17">
        <v>0</v>
      </c>
      <c r="N32" s="17">
        <v>0</v>
      </c>
      <c r="O32" s="18">
        <f t="shared" si="0"/>
        <v>0</v>
      </c>
    </row>
    <row r="33" spans="1:18" ht="15" customHeight="1" x14ac:dyDescent="0.2">
      <c r="A33" s="879"/>
      <c r="B33" s="21" t="s">
        <v>142</v>
      </c>
      <c r="C33" s="17">
        <v>0</v>
      </c>
      <c r="D33" s="17">
        <v>0</v>
      </c>
      <c r="E33" s="17">
        <v>0</v>
      </c>
      <c r="F33" s="17">
        <v>0</v>
      </c>
      <c r="G33" s="17">
        <v>0</v>
      </c>
      <c r="H33" s="17">
        <v>0</v>
      </c>
      <c r="I33" s="17">
        <v>0</v>
      </c>
      <c r="J33" s="17">
        <v>0</v>
      </c>
      <c r="K33" s="17">
        <v>0</v>
      </c>
      <c r="L33" s="17">
        <v>0</v>
      </c>
      <c r="M33" s="17">
        <v>0</v>
      </c>
      <c r="N33" s="17">
        <v>0</v>
      </c>
      <c r="O33" s="18">
        <f t="shared" si="0"/>
        <v>0</v>
      </c>
    </row>
    <row r="34" spans="1:18" ht="15" hidden="1" customHeight="1" x14ac:dyDescent="0.2">
      <c r="A34" s="880"/>
      <c r="B34" s="19" t="s">
        <v>226</v>
      </c>
      <c r="C34" s="17">
        <v>0</v>
      </c>
      <c r="D34" s="17">
        <v>0</v>
      </c>
      <c r="E34" s="17">
        <v>0</v>
      </c>
      <c r="F34" s="17">
        <v>0</v>
      </c>
      <c r="G34" s="17">
        <v>0</v>
      </c>
      <c r="H34" s="17">
        <v>0</v>
      </c>
      <c r="I34" s="17">
        <v>0</v>
      </c>
      <c r="J34" s="17">
        <v>0</v>
      </c>
      <c r="K34" s="17">
        <v>0</v>
      </c>
      <c r="L34" s="17">
        <v>0</v>
      </c>
      <c r="M34" s="17">
        <v>0</v>
      </c>
      <c r="N34" s="17">
        <v>0</v>
      </c>
      <c r="O34" s="18">
        <f t="shared" si="0"/>
        <v>0</v>
      </c>
    </row>
    <row r="35" spans="1:18" ht="15" customHeight="1" x14ac:dyDescent="0.2">
      <c r="A35" s="865" t="s">
        <v>144</v>
      </c>
      <c r="B35" s="866"/>
      <c r="C35" s="17">
        <v>0</v>
      </c>
      <c r="D35" s="17">
        <v>0</v>
      </c>
      <c r="E35" s="17">
        <v>0</v>
      </c>
      <c r="F35" s="17">
        <v>0</v>
      </c>
      <c r="G35" s="17">
        <v>0</v>
      </c>
      <c r="H35" s="17">
        <v>0</v>
      </c>
      <c r="I35" s="17">
        <v>0</v>
      </c>
      <c r="J35" s="17">
        <v>0</v>
      </c>
      <c r="K35" s="17">
        <v>0</v>
      </c>
      <c r="L35" s="17">
        <v>0</v>
      </c>
      <c r="M35" s="17">
        <v>0</v>
      </c>
      <c r="N35" s="17">
        <v>0</v>
      </c>
      <c r="O35" s="18">
        <f t="shared" si="0"/>
        <v>0</v>
      </c>
    </row>
    <row r="36" spans="1:18" ht="15" customHeight="1" x14ac:dyDescent="0.2">
      <c r="A36" s="865" t="s">
        <v>145</v>
      </c>
      <c r="B36" s="866"/>
      <c r="C36" s="17">
        <v>0</v>
      </c>
      <c r="D36" s="17">
        <v>216</v>
      </c>
      <c r="E36" s="17">
        <v>0</v>
      </c>
      <c r="F36" s="17">
        <v>0</v>
      </c>
      <c r="G36" s="17">
        <v>0</v>
      </c>
      <c r="H36" s="17">
        <v>0</v>
      </c>
      <c r="I36" s="17">
        <v>0</v>
      </c>
      <c r="J36" s="17">
        <v>216</v>
      </c>
      <c r="K36" s="17">
        <v>0</v>
      </c>
      <c r="L36" s="17">
        <v>0</v>
      </c>
      <c r="M36" s="17">
        <v>0</v>
      </c>
      <c r="N36" s="17">
        <v>0</v>
      </c>
      <c r="O36" s="18">
        <f t="shared" si="0"/>
        <v>432</v>
      </c>
    </row>
    <row r="37" spans="1:18" ht="15" customHeight="1" x14ac:dyDescent="0.2">
      <c r="A37" s="865" t="s">
        <v>146</v>
      </c>
      <c r="B37" s="866"/>
      <c r="C37" s="17">
        <v>0</v>
      </c>
      <c r="D37" s="17">
        <v>2646</v>
      </c>
      <c r="E37" s="17">
        <v>0</v>
      </c>
      <c r="F37" s="17">
        <v>0</v>
      </c>
      <c r="G37" s="17">
        <v>0</v>
      </c>
      <c r="H37" s="17">
        <v>0</v>
      </c>
      <c r="I37" s="17">
        <v>0</v>
      </c>
      <c r="J37" s="17">
        <v>2724</v>
      </c>
      <c r="K37" s="17">
        <v>0</v>
      </c>
      <c r="L37" s="17">
        <v>0</v>
      </c>
      <c r="M37" s="17">
        <v>0</v>
      </c>
      <c r="N37" s="17">
        <v>0</v>
      </c>
      <c r="O37" s="18">
        <f t="shared" si="0"/>
        <v>5370</v>
      </c>
    </row>
    <row r="38" spans="1:18" ht="15" customHeight="1" x14ac:dyDescent="0.2">
      <c r="A38" s="22"/>
      <c r="B38" s="23" t="s">
        <v>147</v>
      </c>
      <c r="C38" s="24">
        <f t="shared" ref="C38:N38" si="1">SUM(C9:C37)</f>
        <v>60669</v>
      </c>
      <c r="D38" s="24">
        <f t="shared" si="1"/>
        <v>64485</v>
      </c>
      <c r="E38" s="24">
        <f t="shared" si="1"/>
        <v>61623</v>
      </c>
      <c r="F38" s="24">
        <f t="shared" si="1"/>
        <v>61623</v>
      </c>
      <c r="G38" s="24">
        <f t="shared" si="1"/>
        <v>68326</v>
      </c>
      <c r="H38" s="24">
        <f t="shared" si="1"/>
        <v>63326</v>
      </c>
      <c r="I38" s="24">
        <f t="shared" si="1"/>
        <v>63326</v>
      </c>
      <c r="J38" s="24">
        <f t="shared" si="1"/>
        <v>74154</v>
      </c>
      <c r="K38" s="24">
        <f t="shared" si="1"/>
        <v>64306</v>
      </c>
      <c r="L38" s="24">
        <f t="shared" si="1"/>
        <v>64306</v>
      </c>
      <c r="M38" s="24">
        <f t="shared" si="1"/>
        <v>64306</v>
      </c>
      <c r="N38" s="24">
        <f t="shared" si="1"/>
        <v>64306</v>
      </c>
      <c r="O38" s="25">
        <f>SUM(C38:N38)</f>
        <v>774756</v>
      </c>
    </row>
    <row r="39" spans="1:18" ht="15" customHeight="1" x14ac:dyDescent="0.2">
      <c r="A39" s="853" t="s">
        <v>148</v>
      </c>
      <c r="B39" s="27" t="s">
        <v>149</v>
      </c>
      <c r="C39" s="147">
        <v>1900</v>
      </c>
      <c r="D39" s="147">
        <v>2000</v>
      </c>
      <c r="E39" s="147">
        <v>2000</v>
      </c>
      <c r="F39" s="147">
        <v>2000</v>
      </c>
      <c r="G39" s="147">
        <v>2000</v>
      </c>
      <c r="H39" s="147">
        <v>2000</v>
      </c>
      <c r="I39" s="147">
        <v>2000</v>
      </c>
      <c r="J39" s="147">
        <v>2000</v>
      </c>
      <c r="K39" s="147">
        <v>3300</v>
      </c>
      <c r="L39" s="147">
        <v>3340</v>
      </c>
      <c r="M39" s="147">
        <v>3335</v>
      </c>
      <c r="N39" s="147">
        <v>3615</v>
      </c>
      <c r="O39" s="18">
        <f>SUM(C39:N39)</f>
        <v>29490</v>
      </c>
      <c r="P39" s="29"/>
    </row>
    <row r="40" spans="1:18" ht="15" x14ac:dyDescent="0.2">
      <c r="A40" s="854"/>
      <c r="B40" s="27" t="s">
        <v>150</v>
      </c>
      <c r="C40" s="147">
        <v>0</v>
      </c>
      <c r="D40" s="147">
        <v>0</v>
      </c>
      <c r="E40" s="147">
        <v>0</v>
      </c>
      <c r="F40" s="147">
        <v>0</v>
      </c>
      <c r="G40" s="147">
        <v>0</v>
      </c>
      <c r="H40" s="147">
        <v>0</v>
      </c>
      <c r="I40" s="147">
        <v>0</v>
      </c>
      <c r="J40" s="147">
        <v>0</v>
      </c>
      <c r="K40" s="147">
        <v>0</v>
      </c>
      <c r="L40" s="147">
        <v>0</v>
      </c>
      <c r="M40" s="147">
        <v>0</v>
      </c>
      <c r="N40" s="147">
        <v>0</v>
      </c>
      <c r="O40" s="18">
        <f>SUM(C40:N40)</f>
        <v>0</v>
      </c>
      <c r="R40" s="1"/>
    </row>
    <row r="41" spans="1:18" ht="15" x14ac:dyDescent="0.2">
      <c r="A41" s="854"/>
      <c r="B41" s="27" t="s">
        <v>151</v>
      </c>
      <c r="C41" s="147">
        <v>30</v>
      </c>
      <c r="D41" s="147">
        <v>30</v>
      </c>
      <c r="E41" s="147">
        <v>30</v>
      </c>
      <c r="F41" s="147">
        <v>30</v>
      </c>
      <c r="G41" s="147">
        <v>30</v>
      </c>
      <c r="H41" s="147">
        <v>30</v>
      </c>
      <c r="I41" s="147">
        <v>30</v>
      </c>
      <c r="J41" s="147">
        <v>30</v>
      </c>
      <c r="K41" s="147">
        <v>30</v>
      </c>
      <c r="L41" s="147">
        <v>30</v>
      </c>
      <c r="M41" s="147">
        <v>30</v>
      </c>
      <c r="N41" s="147">
        <v>30</v>
      </c>
      <c r="O41" s="18">
        <f t="shared" ref="O41:O52" si="2">SUM(C41:N41)</f>
        <v>360</v>
      </c>
    </row>
    <row r="42" spans="1:18" ht="15" x14ac:dyDescent="0.2">
      <c r="A42" s="854"/>
      <c r="B42" s="27" t="s">
        <v>152</v>
      </c>
      <c r="C42" s="147">
        <v>0</v>
      </c>
      <c r="D42" s="147">
        <v>0</v>
      </c>
      <c r="E42" s="147">
        <v>0</v>
      </c>
      <c r="F42" s="147">
        <v>0</v>
      </c>
      <c r="G42" s="147">
        <v>0</v>
      </c>
      <c r="H42" s="147">
        <v>0</v>
      </c>
      <c r="I42" s="147">
        <v>0</v>
      </c>
      <c r="J42" s="147">
        <v>0</v>
      </c>
      <c r="K42" s="147">
        <v>0</v>
      </c>
      <c r="L42" s="147">
        <v>0</v>
      </c>
      <c r="M42" s="147">
        <v>0</v>
      </c>
      <c r="N42" s="147">
        <v>0</v>
      </c>
      <c r="O42" s="18">
        <f t="shared" si="2"/>
        <v>0</v>
      </c>
    </row>
    <row r="43" spans="1:18" ht="15" x14ac:dyDescent="0.2">
      <c r="A43" s="854"/>
      <c r="B43" s="27" t="s">
        <v>153</v>
      </c>
      <c r="C43" s="147">
        <v>250</v>
      </c>
      <c r="D43" s="147">
        <v>250</v>
      </c>
      <c r="E43" s="147">
        <v>250</v>
      </c>
      <c r="F43" s="147">
        <v>250</v>
      </c>
      <c r="G43" s="147">
        <v>250</v>
      </c>
      <c r="H43" s="147">
        <v>250</v>
      </c>
      <c r="I43" s="147">
        <v>250</v>
      </c>
      <c r="J43" s="147">
        <v>250</v>
      </c>
      <c r="K43" s="147">
        <v>250</v>
      </c>
      <c r="L43" s="147">
        <v>250</v>
      </c>
      <c r="M43" s="147">
        <v>250</v>
      </c>
      <c r="N43" s="147">
        <v>250</v>
      </c>
      <c r="O43" s="18">
        <f t="shared" si="2"/>
        <v>3000</v>
      </c>
    </row>
    <row r="44" spans="1:18" ht="15" x14ac:dyDescent="0.2">
      <c r="A44" s="854"/>
      <c r="B44" s="27" t="s">
        <v>154</v>
      </c>
      <c r="C44" s="147">
        <v>20000</v>
      </c>
      <c r="D44" s="147">
        <v>25000</v>
      </c>
      <c r="E44" s="147">
        <v>25000</v>
      </c>
      <c r="F44" s="147">
        <v>25000</v>
      </c>
      <c r="G44" s="147">
        <v>25000</v>
      </c>
      <c r="H44" s="147">
        <v>25000</v>
      </c>
      <c r="I44" s="147">
        <v>25000</v>
      </c>
      <c r="J44" s="147">
        <v>25000</v>
      </c>
      <c r="K44" s="147">
        <v>25000</v>
      </c>
      <c r="L44" s="147">
        <v>25000</v>
      </c>
      <c r="M44" s="147">
        <v>25000</v>
      </c>
      <c r="N44" s="147">
        <v>25000</v>
      </c>
      <c r="O44" s="18">
        <f t="shared" si="2"/>
        <v>295000</v>
      </c>
    </row>
    <row r="45" spans="1:18" ht="15" x14ac:dyDescent="0.2">
      <c r="A45" s="854"/>
      <c r="B45" s="27" t="s">
        <v>155</v>
      </c>
      <c r="C45" s="147">
        <v>200</v>
      </c>
      <c r="D45" s="147">
        <v>200</v>
      </c>
      <c r="E45" s="147">
        <v>200</v>
      </c>
      <c r="F45" s="147">
        <v>200</v>
      </c>
      <c r="G45" s="147">
        <v>200</v>
      </c>
      <c r="H45" s="147">
        <v>200</v>
      </c>
      <c r="I45" s="147">
        <v>200</v>
      </c>
      <c r="J45" s="147">
        <v>200</v>
      </c>
      <c r="K45" s="147">
        <v>200</v>
      </c>
      <c r="L45" s="147">
        <v>200</v>
      </c>
      <c r="M45" s="147">
        <v>200</v>
      </c>
      <c r="N45" s="147">
        <v>300</v>
      </c>
      <c r="O45" s="18">
        <f t="shared" si="2"/>
        <v>2500</v>
      </c>
    </row>
    <row r="46" spans="1:18" ht="30" x14ac:dyDescent="0.2">
      <c r="A46" s="854"/>
      <c r="B46" s="27" t="s">
        <v>614</v>
      </c>
      <c r="C46" s="147">
        <v>0</v>
      </c>
      <c r="D46" s="147">
        <v>0</v>
      </c>
      <c r="E46" s="147">
        <v>0</v>
      </c>
      <c r="F46" s="147">
        <v>0</v>
      </c>
      <c r="G46" s="147">
        <v>0</v>
      </c>
      <c r="H46" s="147">
        <v>0</v>
      </c>
      <c r="I46" s="147">
        <v>0</v>
      </c>
      <c r="J46" s="147">
        <v>0</v>
      </c>
      <c r="K46" s="147">
        <v>0</v>
      </c>
      <c r="L46" s="147">
        <v>0</v>
      </c>
      <c r="M46" s="147">
        <v>0</v>
      </c>
      <c r="N46" s="147">
        <v>0</v>
      </c>
      <c r="O46" s="18">
        <f t="shared" si="2"/>
        <v>0</v>
      </c>
    </row>
    <row r="47" spans="1:18" ht="15" x14ac:dyDescent="0.2">
      <c r="A47" s="854"/>
      <c r="B47" s="281" t="s">
        <v>321</v>
      </c>
      <c r="C47" s="147">
        <v>0</v>
      </c>
      <c r="D47" s="147">
        <v>0</v>
      </c>
      <c r="E47" s="147">
        <v>0</v>
      </c>
      <c r="F47" s="147">
        <v>0</v>
      </c>
      <c r="G47" s="147">
        <v>0</v>
      </c>
      <c r="H47" s="147">
        <v>0</v>
      </c>
      <c r="I47" s="147">
        <v>0</v>
      </c>
      <c r="J47" s="147">
        <v>0</v>
      </c>
      <c r="K47" s="147">
        <v>0</v>
      </c>
      <c r="L47" s="147">
        <v>0</v>
      </c>
      <c r="M47" s="147">
        <v>0</v>
      </c>
      <c r="N47" s="147">
        <v>0</v>
      </c>
      <c r="O47" s="18">
        <f t="shared" si="2"/>
        <v>0</v>
      </c>
    </row>
    <row r="48" spans="1:18" ht="15" x14ac:dyDescent="0.2">
      <c r="A48" s="854"/>
      <c r="B48" s="27" t="s">
        <v>157</v>
      </c>
      <c r="C48" s="147">
        <v>0</v>
      </c>
      <c r="D48" s="147">
        <v>0</v>
      </c>
      <c r="E48" s="147">
        <v>0</v>
      </c>
      <c r="F48" s="147">
        <v>0</v>
      </c>
      <c r="G48" s="147">
        <v>0</v>
      </c>
      <c r="H48" s="147">
        <v>0</v>
      </c>
      <c r="I48" s="147">
        <v>0</v>
      </c>
      <c r="J48" s="147">
        <v>0</v>
      </c>
      <c r="K48" s="147">
        <v>0</v>
      </c>
      <c r="L48" s="147">
        <v>0</v>
      </c>
      <c r="M48" s="147">
        <v>0</v>
      </c>
      <c r="N48" s="147">
        <v>0</v>
      </c>
      <c r="O48" s="18">
        <f t="shared" si="2"/>
        <v>0</v>
      </c>
    </row>
    <row r="49" spans="1:19" ht="28.5" customHeight="1" x14ac:dyDescent="0.2">
      <c r="A49" s="855"/>
      <c r="B49" s="30" t="s">
        <v>158</v>
      </c>
      <c r="C49" s="147">
        <v>1021</v>
      </c>
      <c r="D49" s="147">
        <v>1021</v>
      </c>
      <c r="E49" s="147">
        <v>1021</v>
      </c>
      <c r="F49" s="147">
        <v>1021</v>
      </c>
      <c r="G49" s="147">
        <v>1021</v>
      </c>
      <c r="H49" s="147">
        <v>1021</v>
      </c>
      <c r="I49" s="147">
        <v>1021</v>
      </c>
      <c r="J49" s="147">
        <v>1021</v>
      </c>
      <c r="K49" s="147">
        <v>1021</v>
      </c>
      <c r="L49" s="147">
        <v>1021</v>
      </c>
      <c r="M49" s="147">
        <v>1021</v>
      </c>
      <c r="N49" s="147">
        <v>1021</v>
      </c>
      <c r="O49" s="31">
        <f t="shared" si="2"/>
        <v>12252</v>
      </c>
    </row>
    <row r="50" spans="1:19" ht="24.75" customHeight="1" x14ac:dyDescent="0.2">
      <c r="A50" s="856"/>
      <c r="B50" s="169" t="s">
        <v>615</v>
      </c>
      <c r="C50" s="147">
        <v>0</v>
      </c>
      <c r="D50" s="147">
        <v>0</v>
      </c>
      <c r="E50" s="147">
        <v>0</v>
      </c>
      <c r="F50" s="147">
        <v>0</v>
      </c>
      <c r="G50" s="147">
        <v>0</v>
      </c>
      <c r="H50" s="147">
        <v>0</v>
      </c>
      <c r="I50" s="147">
        <v>0</v>
      </c>
      <c r="J50" s="147">
        <v>0</v>
      </c>
      <c r="K50" s="147">
        <v>0</v>
      </c>
      <c r="L50" s="147">
        <v>0</v>
      </c>
      <c r="M50" s="147">
        <v>0</v>
      </c>
      <c r="N50" s="147">
        <v>0</v>
      </c>
      <c r="O50" s="31">
        <f t="shared" si="2"/>
        <v>0</v>
      </c>
    </row>
    <row r="51" spans="1:19" ht="15" x14ac:dyDescent="0.2">
      <c r="A51" s="857" t="s">
        <v>160</v>
      </c>
      <c r="B51" s="858"/>
      <c r="C51" s="33">
        <f t="shared" ref="C51:N51" si="3">SUM(C39:C50)</f>
        <v>23401</v>
      </c>
      <c r="D51" s="33">
        <f t="shared" si="3"/>
        <v>28501</v>
      </c>
      <c r="E51" s="33">
        <f t="shared" si="3"/>
        <v>28501</v>
      </c>
      <c r="F51" s="33">
        <f t="shared" si="3"/>
        <v>28501</v>
      </c>
      <c r="G51" s="33">
        <f t="shared" si="3"/>
        <v>28501</v>
      </c>
      <c r="H51" s="33">
        <f t="shared" si="3"/>
        <v>28501</v>
      </c>
      <c r="I51" s="33">
        <f t="shared" si="3"/>
        <v>28501</v>
      </c>
      <c r="J51" s="33">
        <f t="shared" si="3"/>
        <v>28501</v>
      </c>
      <c r="K51" s="33">
        <f t="shared" si="3"/>
        <v>29801</v>
      </c>
      <c r="L51" s="33">
        <f t="shared" si="3"/>
        <v>29841</v>
      </c>
      <c r="M51" s="33">
        <f t="shared" si="3"/>
        <v>29836</v>
      </c>
      <c r="N51" s="33">
        <f t="shared" si="3"/>
        <v>30216</v>
      </c>
      <c r="O51" s="34">
        <f t="shared" si="2"/>
        <v>342602</v>
      </c>
    </row>
    <row r="52" spans="1:19" ht="15.75" thickBot="1" x14ac:dyDescent="0.25">
      <c r="A52" s="859" t="s">
        <v>161</v>
      </c>
      <c r="B52" s="860"/>
      <c r="C52" s="35">
        <f t="shared" ref="C52:N52" si="4">C38-C51</f>
        <v>37268</v>
      </c>
      <c r="D52" s="35">
        <f t="shared" si="4"/>
        <v>35984</v>
      </c>
      <c r="E52" s="35">
        <f t="shared" si="4"/>
        <v>33122</v>
      </c>
      <c r="F52" s="35">
        <f t="shared" si="4"/>
        <v>33122</v>
      </c>
      <c r="G52" s="35">
        <f t="shared" si="4"/>
        <v>39825</v>
      </c>
      <c r="H52" s="35">
        <f t="shared" si="4"/>
        <v>34825</v>
      </c>
      <c r="I52" s="35">
        <f t="shared" si="4"/>
        <v>34825</v>
      </c>
      <c r="J52" s="35">
        <f t="shared" si="4"/>
        <v>45653</v>
      </c>
      <c r="K52" s="35">
        <f t="shared" si="4"/>
        <v>34505</v>
      </c>
      <c r="L52" s="35">
        <f t="shared" si="4"/>
        <v>34465</v>
      </c>
      <c r="M52" s="35">
        <f t="shared" si="4"/>
        <v>34470</v>
      </c>
      <c r="N52" s="35">
        <f t="shared" si="4"/>
        <v>34090</v>
      </c>
      <c r="O52" s="36">
        <f t="shared" si="2"/>
        <v>432154</v>
      </c>
      <c r="Q52" s="16">
        <f>13422+18378+12022+5188+13134+13404+14628+16028+15153+4995+3454+16118*2+16118*2+15841</f>
        <v>210119</v>
      </c>
    </row>
    <row r="53" spans="1:19" x14ac:dyDescent="0.2">
      <c r="D53" s="16">
        <f>18378+12022</f>
        <v>30400</v>
      </c>
      <c r="E53" s="16">
        <f>5188+13134</f>
        <v>18322</v>
      </c>
      <c r="J53" s="16">
        <f>+J38-SUM(J21:J37)</f>
        <v>64306</v>
      </c>
      <c r="Q53" s="38"/>
    </row>
    <row r="54" spans="1:19" ht="13.5" thickBot="1" x14ac:dyDescent="0.25">
      <c r="J54" s="38">
        <f>+J53-J51</f>
        <v>35805</v>
      </c>
    </row>
    <row r="55" spans="1:19" ht="13.5" thickBot="1" x14ac:dyDescent="0.25">
      <c r="B55" s="789" t="s">
        <v>162</v>
      </c>
      <c r="C55" s="861"/>
      <c r="D55" s="861"/>
      <c r="E55" s="861"/>
      <c r="F55" s="862"/>
      <c r="G55" s="863">
        <f>O38</f>
        <v>774756</v>
      </c>
      <c r="H55" s="864"/>
    </row>
    <row r="56" spans="1:19" ht="13.5" thickBot="1" x14ac:dyDescent="0.25"/>
    <row r="57" spans="1:19" x14ac:dyDescent="0.2">
      <c r="B57" s="830" t="s">
        <v>163</v>
      </c>
      <c r="C57" s="833" t="s">
        <v>164</v>
      </c>
      <c r="D57" s="836" t="s">
        <v>229</v>
      </c>
      <c r="E57" s="837"/>
      <c r="F57" s="838"/>
      <c r="G57" s="839">
        <v>40000</v>
      </c>
      <c r="H57" s="840"/>
    </row>
    <row r="58" spans="1:19" x14ac:dyDescent="0.2">
      <c r="B58" s="831"/>
      <c r="C58" s="834"/>
      <c r="D58" s="841" t="s">
        <v>166</v>
      </c>
      <c r="E58" s="842"/>
      <c r="F58" s="843"/>
      <c r="G58" s="844">
        <f>+O45</f>
        <v>2500</v>
      </c>
      <c r="H58" s="845"/>
      <c r="I58" s="39"/>
      <c r="J58" s="846"/>
      <c r="K58" s="846"/>
      <c r="L58" s="846"/>
      <c r="M58" s="847"/>
      <c r="N58" s="847"/>
      <c r="O58" s="847"/>
    </row>
    <row r="59" spans="1:19" ht="13.5" thickBot="1" x14ac:dyDescent="0.25">
      <c r="B59" s="832"/>
      <c r="C59" s="835"/>
      <c r="D59" s="848" t="s">
        <v>243</v>
      </c>
      <c r="E59" s="849"/>
      <c r="F59" s="850"/>
      <c r="G59" s="851">
        <f>IF(O18&gt;15000,15000,+O18)</f>
        <v>0</v>
      </c>
      <c r="H59" s="852"/>
      <c r="J59" s="47"/>
      <c r="K59" s="47"/>
      <c r="L59" s="47"/>
      <c r="M59" s="47"/>
      <c r="N59" s="47"/>
      <c r="O59" s="47"/>
    </row>
    <row r="60" spans="1:19" ht="13.5" thickBot="1" x14ac:dyDescent="0.25">
      <c r="B60" s="48"/>
      <c r="J60" s="47"/>
      <c r="K60" s="47"/>
      <c r="L60" s="47"/>
      <c r="M60" s="47"/>
      <c r="N60" s="47"/>
      <c r="O60" s="47"/>
    </row>
    <row r="61" spans="1:19" ht="13.5" thickBot="1" x14ac:dyDescent="0.25">
      <c r="B61" s="789" t="s">
        <v>168</v>
      </c>
      <c r="C61" s="790"/>
      <c r="D61" s="790"/>
      <c r="E61" s="790"/>
      <c r="F61" s="791"/>
      <c r="G61" s="825">
        <f>+G55-SUM(G57:H59)</f>
        <v>732256</v>
      </c>
      <c r="H61" s="826"/>
      <c r="J61" s="827" t="s">
        <v>169</v>
      </c>
      <c r="K61" s="828"/>
      <c r="L61" s="828"/>
      <c r="M61" s="828"/>
      <c r="N61" s="828"/>
      <c r="O61" s="829"/>
    </row>
    <row r="62" spans="1:19" ht="13.5" thickBot="1" x14ac:dyDescent="0.25">
      <c r="B62" s="49"/>
      <c r="C62" s="50"/>
      <c r="D62" s="50"/>
      <c r="E62" s="50"/>
      <c r="F62" s="50"/>
      <c r="G62" s="45"/>
      <c r="H62" s="50"/>
      <c r="J62" s="129"/>
      <c r="K62" s="130"/>
      <c r="L62" s="130"/>
      <c r="M62" s="130"/>
      <c r="N62" s="130"/>
      <c r="O62" s="131"/>
    </row>
    <row r="63" spans="1:19" ht="13.5" thickBot="1" x14ac:dyDescent="0.25">
      <c r="B63" s="789" t="s">
        <v>170</v>
      </c>
      <c r="C63" s="790"/>
      <c r="D63" s="790"/>
      <c r="E63" s="790"/>
      <c r="F63" s="791"/>
      <c r="G63" s="805"/>
      <c r="H63" s="791"/>
      <c r="J63" s="129"/>
      <c r="K63" s="130"/>
      <c r="L63" s="130"/>
      <c r="M63" s="130"/>
      <c r="N63" s="130"/>
      <c r="O63" s="131"/>
    </row>
    <row r="64" spans="1:19" ht="12.75" customHeight="1" x14ac:dyDescent="0.2">
      <c r="B64" s="57" t="s">
        <v>171</v>
      </c>
      <c r="C64" s="806" t="s">
        <v>172</v>
      </c>
      <c r="D64" s="807"/>
      <c r="E64" s="807"/>
      <c r="F64" s="808"/>
      <c r="G64" s="809">
        <v>0</v>
      </c>
      <c r="H64" s="809"/>
      <c r="I64" s="58"/>
      <c r="J64" s="810" t="s">
        <v>173</v>
      </c>
      <c r="K64" s="811"/>
      <c r="L64" s="811"/>
      <c r="M64" s="811"/>
      <c r="N64" s="811"/>
      <c r="O64" s="812"/>
      <c r="Q64" s="59"/>
      <c r="R64" s="59"/>
      <c r="S64" s="59"/>
    </row>
    <row r="65" spans="2:19" ht="13.5" thickBot="1" x14ac:dyDescent="0.25">
      <c r="D65" s="37"/>
      <c r="I65" s="58"/>
      <c r="J65" s="60" t="s">
        <v>254</v>
      </c>
      <c r="K65" s="132"/>
      <c r="L65" s="132"/>
      <c r="M65" s="133"/>
      <c r="N65" s="133"/>
      <c r="O65" s="134"/>
      <c r="Q65" s="59"/>
      <c r="R65" s="59"/>
      <c r="S65" s="59"/>
    </row>
    <row r="66" spans="2:19" ht="13.5" thickBot="1" x14ac:dyDescent="0.25">
      <c r="B66" s="789" t="s">
        <v>175</v>
      </c>
      <c r="C66" s="790"/>
      <c r="D66" s="790"/>
      <c r="E66" s="790"/>
      <c r="F66" s="791"/>
      <c r="G66" s="805">
        <f>+G61-G64</f>
        <v>732256</v>
      </c>
      <c r="H66" s="791"/>
      <c r="I66" s="63"/>
      <c r="J66" s="75" t="s">
        <v>616</v>
      </c>
      <c r="K66" s="39"/>
      <c r="L66" s="39"/>
      <c r="M66" s="39"/>
      <c r="N66" s="39"/>
      <c r="O66" s="65">
        <v>0</v>
      </c>
      <c r="Q66" s="59"/>
      <c r="R66" s="59"/>
      <c r="S66" s="59"/>
    </row>
    <row r="67" spans="2:19" ht="12.75" customHeight="1" x14ac:dyDescent="0.2">
      <c r="B67" s="48"/>
      <c r="C67" s="48"/>
      <c r="I67" s="63"/>
      <c r="J67" s="64"/>
      <c r="K67" s="39"/>
      <c r="L67" s="39"/>
      <c r="M67" s="39"/>
      <c r="N67" s="39"/>
      <c r="O67" s="65"/>
      <c r="Q67" s="59"/>
      <c r="R67" s="59"/>
      <c r="S67" s="59"/>
    </row>
    <row r="68" spans="2:19" x14ac:dyDescent="0.2">
      <c r="B68" s="66" t="s">
        <v>176</v>
      </c>
      <c r="C68" s="48"/>
      <c r="I68" s="63"/>
      <c r="J68" s="67"/>
      <c r="K68" s="68"/>
      <c r="L68" s="68"/>
      <c r="M68" s="68"/>
      <c r="N68" s="68"/>
      <c r="O68" s="69"/>
      <c r="Q68" s="59"/>
      <c r="R68" s="59"/>
      <c r="S68" s="59"/>
    </row>
    <row r="69" spans="2:19" ht="26.25" customHeight="1" thickBot="1" x14ac:dyDescent="0.25">
      <c r="B69" s="66"/>
      <c r="C69" s="48"/>
      <c r="G69" s="70" t="s">
        <v>177</v>
      </c>
      <c r="H69" s="70" t="s">
        <v>178</v>
      </c>
      <c r="I69" s="63"/>
      <c r="J69" s="810" t="s">
        <v>179</v>
      </c>
      <c r="K69" s="811"/>
      <c r="L69" s="71"/>
      <c r="M69" s="71"/>
      <c r="N69" s="71"/>
      <c r="O69" s="158" t="s">
        <v>267</v>
      </c>
      <c r="Q69" s="59"/>
      <c r="R69" s="59"/>
      <c r="S69" s="59"/>
    </row>
    <row r="70" spans="2:19" ht="12.75" customHeight="1" x14ac:dyDescent="0.2">
      <c r="B70" s="802" t="s">
        <v>180</v>
      </c>
      <c r="C70" s="821" t="s">
        <v>181</v>
      </c>
      <c r="D70" s="823" t="s">
        <v>182</v>
      </c>
      <c r="E70" s="824"/>
      <c r="F70" s="824"/>
      <c r="G70" s="73">
        <f>+O44</f>
        <v>295000</v>
      </c>
      <c r="H70" s="74">
        <f t="shared" ref="H70:H78" si="5">+G70</f>
        <v>295000</v>
      </c>
      <c r="I70" s="63"/>
      <c r="J70" s="75" t="s">
        <v>231</v>
      </c>
      <c r="K70" s="58"/>
      <c r="L70" s="58"/>
      <c r="M70" s="58"/>
      <c r="N70" s="58"/>
      <c r="O70" s="76">
        <v>0</v>
      </c>
      <c r="Q70" s="59"/>
      <c r="R70" s="59"/>
      <c r="S70" s="59"/>
    </row>
    <row r="71" spans="2:19" ht="12.75" customHeight="1" x14ac:dyDescent="0.2">
      <c r="B71" s="803"/>
      <c r="C71" s="822"/>
      <c r="D71" s="782" t="s">
        <v>184</v>
      </c>
      <c r="E71" s="783"/>
      <c r="F71" s="783"/>
      <c r="G71" s="77">
        <f>+O49</f>
        <v>12252</v>
      </c>
      <c r="H71" s="78">
        <f t="shared" si="5"/>
        <v>12252</v>
      </c>
      <c r="I71" s="63"/>
      <c r="J71" s="181"/>
      <c r="K71" s="58"/>
      <c r="L71" s="58"/>
      <c r="M71" s="183"/>
      <c r="N71" s="68"/>
      <c r="O71" s="136"/>
      <c r="Q71" s="59"/>
      <c r="R71" s="59"/>
      <c r="S71" s="59"/>
    </row>
    <row r="72" spans="2:19" ht="12.75" customHeight="1" x14ac:dyDescent="0.2">
      <c r="B72" s="803"/>
      <c r="C72" s="822"/>
      <c r="D72" s="819" t="s">
        <v>185</v>
      </c>
      <c r="E72" s="820"/>
      <c r="F72" s="820"/>
      <c r="G72" s="80">
        <f>O41</f>
        <v>360</v>
      </c>
      <c r="H72" s="78">
        <f t="shared" si="5"/>
        <v>360</v>
      </c>
      <c r="I72" s="63"/>
      <c r="J72" s="75"/>
      <c r="K72" s="68"/>
      <c r="L72" s="68"/>
      <c r="M72" s="68"/>
      <c r="N72" s="68"/>
      <c r="O72" s="69"/>
    </row>
    <row r="73" spans="2:19" x14ac:dyDescent="0.2">
      <c r="B73" s="803"/>
      <c r="C73" s="822"/>
      <c r="D73" s="782" t="s">
        <v>501</v>
      </c>
      <c r="E73" s="783"/>
      <c r="F73" s="783"/>
      <c r="G73" s="81">
        <v>0</v>
      </c>
      <c r="H73" s="78">
        <f t="shared" si="5"/>
        <v>0</v>
      </c>
      <c r="I73" s="63"/>
      <c r="J73" s="181"/>
      <c r="K73" s="58"/>
      <c r="L73" s="58"/>
      <c r="M73" s="183"/>
      <c r="N73" s="58"/>
      <c r="O73" s="76"/>
    </row>
    <row r="74" spans="2:19" ht="12.75" customHeight="1" x14ac:dyDescent="0.2">
      <c r="B74" s="803"/>
      <c r="C74" s="822"/>
      <c r="D74" s="784" t="s">
        <v>188</v>
      </c>
      <c r="E74" s="783"/>
      <c r="F74" s="783"/>
      <c r="G74" s="80">
        <v>0</v>
      </c>
      <c r="H74" s="78">
        <f t="shared" si="5"/>
        <v>0</v>
      </c>
      <c r="I74" s="63"/>
      <c r="J74" s="64"/>
      <c r="K74" s="50"/>
      <c r="L74" s="50"/>
      <c r="M74" s="183"/>
      <c r="N74" s="50"/>
      <c r="O74" s="83"/>
    </row>
    <row r="75" spans="2:19" ht="14.25" customHeight="1" x14ac:dyDescent="0.2">
      <c r="B75" s="803"/>
      <c r="C75" s="822"/>
      <c r="D75" s="782" t="s">
        <v>190</v>
      </c>
      <c r="E75" s="783"/>
      <c r="F75" s="783"/>
      <c r="G75" s="84">
        <v>0</v>
      </c>
      <c r="H75" s="78">
        <f t="shared" si="5"/>
        <v>0</v>
      </c>
      <c r="I75" s="63"/>
      <c r="J75" s="64"/>
      <c r="K75" s="39"/>
      <c r="L75" s="39"/>
      <c r="M75" s="39"/>
      <c r="N75" s="39"/>
      <c r="O75" s="65"/>
    </row>
    <row r="76" spans="2:19" x14ac:dyDescent="0.2">
      <c r="B76" s="803"/>
      <c r="C76" s="822"/>
      <c r="D76" s="782" t="s">
        <v>191</v>
      </c>
      <c r="E76" s="783"/>
      <c r="F76" s="783"/>
      <c r="G76" s="81">
        <v>0</v>
      </c>
      <c r="H76" s="78">
        <f t="shared" si="5"/>
        <v>0</v>
      </c>
      <c r="I76" s="58"/>
      <c r="J76" s="82" t="s">
        <v>187</v>
      </c>
      <c r="K76" s="71"/>
      <c r="L76" s="71"/>
      <c r="M76" s="71"/>
      <c r="N76" s="71"/>
      <c r="O76" s="72"/>
    </row>
    <row r="77" spans="2:19" x14ac:dyDescent="0.2">
      <c r="B77" s="803"/>
      <c r="C77" s="88" t="s">
        <v>192</v>
      </c>
      <c r="D77" s="813" t="s">
        <v>193</v>
      </c>
      <c r="E77" s="814"/>
      <c r="F77" s="814"/>
      <c r="G77" s="80">
        <v>0</v>
      </c>
      <c r="H77" s="78">
        <f t="shared" si="5"/>
        <v>0</v>
      </c>
      <c r="I77" s="58"/>
      <c r="J77" s="75" t="s">
        <v>189</v>
      </c>
      <c r="K77" s="50"/>
      <c r="L77" s="50"/>
      <c r="M77" s="50"/>
      <c r="N77" s="50"/>
      <c r="O77" s="83"/>
    </row>
    <row r="78" spans="2:19" ht="13.5" customHeight="1" thickBot="1" x14ac:dyDescent="0.25">
      <c r="B78" s="803"/>
      <c r="C78" s="88" t="s">
        <v>194</v>
      </c>
      <c r="D78" s="815" t="s">
        <v>195</v>
      </c>
      <c r="E78" s="815"/>
      <c r="F78" s="815"/>
      <c r="G78" s="89">
        <v>0</v>
      </c>
      <c r="H78" s="90">
        <f t="shared" si="5"/>
        <v>0</v>
      </c>
      <c r="I78" s="63"/>
      <c r="J78" s="931" t="s">
        <v>617</v>
      </c>
      <c r="K78" s="1096"/>
      <c r="L78" s="1096"/>
      <c r="M78" s="1096"/>
      <c r="N78" s="1096"/>
      <c r="O78" s="92">
        <v>0</v>
      </c>
      <c r="P78" s="16" t="s">
        <v>618</v>
      </c>
    </row>
    <row r="79" spans="2:19" ht="14.25" customHeight="1" thickBot="1" x14ac:dyDescent="0.25">
      <c r="B79" s="803"/>
      <c r="C79" s="93"/>
      <c r="D79" s="94"/>
      <c r="E79" s="816" t="s">
        <v>117</v>
      </c>
      <c r="F79" s="817"/>
      <c r="G79" s="95">
        <f>SUM(G70:G78)</f>
        <v>307612</v>
      </c>
      <c r="H79" s="96">
        <f>IF(SUM(G70:G76)&lt;150000,SUM(G70:G76),150000)+IF(+G77&lt;20000,+G77,20000)</f>
        <v>150000</v>
      </c>
      <c r="I79" s="63"/>
      <c r="J79" s="140" t="s">
        <v>619</v>
      </c>
      <c r="K79" s="141"/>
      <c r="L79" s="141"/>
      <c r="M79" s="142"/>
      <c r="N79" s="142"/>
      <c r="O79" s="143"/>
    </row>
    <row r="80" spans="2:19" ht="12.75" customHeight="1" x14ac:dyDescent="0.2">
      <c r="B80" s="803"/>
      <c r="C80" s="100" t="s">
        <v>196</v>
      </c>
      <c r="D80" s="782" t="s">
        <v>187</v>
      </c>
      <c r="E80" s="783"/>
      <c r="F80" s="818"/>
      <c r="G80" s="73">
        <v>3000</v>
      </c>
      <c r="H80" s="101">
        <f>+IF(+G80&lt;25000,+G80,25000)</f>
        <v>3000</v>
      </c>
      <c r="I80" s="87"/>
    </row>
    <row r="81" spans="2:12" x14ac:dyDescent="0.2">
      <c r="B81" s="803"/>
      <c r="C81" s="100" t="s">
        <v>197</v>
      </c>
      <c r="D81" s="784" t="s">
        <v>198</v>
      </c>
      <c r="E81" s="785"/>
      <c r="F81" s="786"/>
      <c r="G81" s="102"/>
      <c r="H81" s="103">
        <f>+IF(+G81&lt;40000,+G81,40000)</f>
        <v>0</v>
      </c>
      <c r="I81" s="63"/>
      <c r="J81" s="172"/>
      <c r="K81" s="172"/>
    </row>
    <row r="82" spans="2:12" x14ac:dyDescent="0.2">
      <c r="B82" s="803"/>
      <c r="C82" s="100" t="s">
        <v>199</v>
      </c>
      <c r="D82" s="784" t="s">
        <v>200</v>
      </c>
      <c r="E82" s="785"/>
      <c r="F82" s="786"/>
      <c r="G82" s="81"/>
      <c r="H82" s="104">
        <v>0</v>
      </c>
      <c r="I82" s="63"/>
    </row>
    <row r="83" spans="2:12" x14ac:dyDescent="0.2">
      <c r="B83" s="803"/>
      <c r="C83" s="100" t="s">
        <v>201</v>
      </c>
      <c r="D83" s="784" t="s">
        <v>202</v>
      </c>
      <c r="E83" s="785"/>
      <c r="F83" s="786"/>
      <c r="G83" s="81"/>
      <c r="H83" s="104">
        <v>0</v>
      </c>
      <c r="I83" s="63"/>
      <c r="J83" s="106"/>
    </row>
    <row r="84" spans="2:12" ht="13.5" thickBot="1" x14ac:dyDescent="0.25">
      <c r="B84" s="804"/>
      <c r="C84" s="100" t="s">
        <v>203</v>
      </c>
      <c r="D84" s="784" t="s">
        <v>204</v>
      </c>
      <c r="E84" s="785"/>
      <c r="F84" s="786"/>
      <c r="G84" s="102"/>
      <c r="H84" s="103">
        <f>+IF(+G84&lt;100000,+G84,10000)</f>
        <v>0</v>
      </c>
      <c r="I84" s="63"/>
    </row>
    <row r="85" spans="2:12" ht="13.5" thickBot="1" x14ac:dyDescent="0.25">
      <c r="B85" s="787" t="s">
        <v>205</v>
      </c>
      <c r="C85" s="788"/>
      <c r="D85" s="788"/>
      <c r="E85" s="788"/>
      <c r="F85" s="788"/>
      <c r="G85" s="107">
        <f>SUM(G80:G84)</f>
        <v>3000</v>
      </c>
      <c r="H85" s="108">
        <f>SUM(H79:H84)</f>
        <v>153000</v>
      </c>
    </row>
    <row r="86" spans="2:12" ht="13.5" thickBot="1" x14ac:dyDescent="0.25"/>
    <row r="87" spans="2:12" ht="13.5" thickBot="1" x14ac:dyDescent="0.25">
      <c r="B87" s="789" t="s">
        <v>206</v>
      </c>
      <c r="C87" s="790"/>
      <c r="D87" s="790"/>
      <c r="E87" s="790"/>
      <c r="F87" s="791"/>
      <c r="G87" s="792">
        <f>+G66-H85</f>
        <v>579256</v>
      </c>
      <c r="H87" s="791"/>
      <c r="J87" s="109">
        <f>C38+D38+E38+F38</f>
        <v>248400</v>
      </c>
      <c r="K87" s="16" t="s">
        <v>235</v>
      </c>
    </row>
    <row r="88" spans="2:12" x14ac:dyDescent="0.2">
      <c r="B88" s="110"/>
      <c r="F88" s="105"/>
      <c r="J88" s="109">
        <f>G38+H38+I38</f>
        <v>194978</v>
      </c>
      <c r="K88" s="16" t="s">
        <v>236</v>
      </c>
    </row>
    <row r="89" spans="2:12" x14ac:dyDescent="0.2">
      <c r="C89" s="793" t="s">
        <v>207</v>
      </c>
      <c r="D89" s="794"/>
      <c r="E89" s="111" t="s">
        <v>208</v>
      </c>
      <c r="F89" s="111" t="s">
        <v>209</v>
      </c>
      <c r="G89" s="111" t="s">
        <v>210</v>
      </c>
      <c r="H89" s="111" t="s">
        <v>211</v>
      </c>
      <c r="J89" s="109">
        <f>J38+K38+L38</f>
        <v>202766</v>
      </c>
      <c r="K89" s="47" t="s">
        <v>237</v>
      </c>
    </row>
    <row r="90" spans="2:12" x14ac:dyDescent="0.2">
      <c r="C90" s="795" t="str">
        <f>IF(I6="M","0          - 250000","0          -  250000")</f>
        <v>0          - 250000</v>
      </c>
      <c r="D90" s="796"/>
      <c r="E90" s="112">
        <v>0</v>
      </c>
      <c r="F90" s="113">
        <f>IF(I6="M",(IF(G87&lt;250000,G87,250000)),(IF(G87&lt;250000,G87,250000)))</f>
        <v>250000</v>
      </c>
      <c r="G90" s="113">
        <f>G87-F90</f>
        <v>329256</v>
      </c>
      <c r="H90" s="113">
        <f>E90*F90</f>
        <v>0</v>
      </c>
      <c r="J90" s="16">
        <f>M38+N38</f>
        <v>128612</v>
      </c>
      <c r="K90" s="1" t="s">
        <v>238</v>
      </c>
    </row>
    <row r="91" spans="2:12" x14ac:dyDescent="0.2">
      <c r="C91" s="795" t="str">
        <f>IF(I6="M","250001 - 500000","250001-500000")</f>
        <v>250001 - 500000</v>
      </c>
      <c r="D91" s="796"/>
      <c r="E91" s="112">
        <v>0.05</v>
      </c>
      <c r="F91" s="113">
        <f>IF(I6="M",(IF(G90&lt;250000,G90,250000)),(IF(G90&lt;250000,G90,250000)))</f>
        <v>250000</v>
      </c>
      <c r="G91" s="113">
        <f>G90-F91</f>
        <v>79256</v>
      </c>
      <c r="H91" s="114">
        <f>ROUND(E91*F91,0.1)</f>
        <v>12500</v>
      </c>
      <c r="J91" s="115">
        <f>SUM(J87:J90)</f>
        <v>774756</v>
      </c>
    </row>
    <row r="92" spans="2:12" x14ac:dyDescent="0.2">
      <c r="C92" s="797" t="s">
        <v>212</v>
      </c>
      <c r="D92" s="798"/>
      <c r="E92" s="112">
        <v>0.2</v>
      </c>
      <c r="F92" s="113">
        <f>IF(G91&lt;500000,G91,500000)</f>
        <v>79256</v>
      </c>
      <c r="G92" s="113">
        <f>G91-F92</f>
        <v>0</v>
      </c>
      <c r="H92" s="114">
        <f>ROUND(E92*F92,0.1)</f>
        <v>15851</v>
      </c>
      <c r="J92" s="16">
        <f>+G87</f>
        <v>579256</v>
      </c>
    </row>
    <row r="93" spans="2:12" x14ac:dyDescent="0.2">
      <c r="C93" s="795" t="s">
        <v>213</v>
      </c>
      <c r="D93" s="796"/>
      <c r="E93" s="112">
        <v>0.3</v>
      </c>
      <c r="F93" s="113">
        <f>G92</f>
        <v>0</v>
      </c>
      <c r="G93" s="113">
        <f>G92-F93</f>
        <v>0</v>
      </c>
      <c r="H93" s="114">
        <f>ROUND(E93*F93,0.1)</f>
        <v>0</v>
      </c>
      <c r="J93" s="16">
        <f>+J91-J92</f>
        <v>195500</v>
      </c>
    </row>
    <row r="94" spans="2:12" ht="12.75" customHeight="1" thickBot="1" x14ac:dyDescent="0.25">
      <c r="B94" s="116"/>
      <c r="C94" s="117"/>
      <c r="D94" s="47"/>
      <c r="E94" s="47"/>
      <c r="F94" s="47"/>
      <c r="K94" s="223"/>
    </row>
    <row r="95" spans="2:12" ht="13.5" thickBot="1" x14ac:dyDescent="0.25">
      <c r="B95" s="799" t="s">
        <v>239</v>
      </c>
      <c r="C95" s="800"/>
      <c r="D95" s="800"/>
      <c r="E95" s="800"/>
      <c r="F95" s="801"/>
      <c r="G95" s="771">
        <f>H90+H91+H92+H93</f>
        <v>28351</v>
      </c>
      <c r="H95" s="772"/>
    </row>
    <row r="96" spans="2:12" ht="13.5" thickBot="1" x14ac:dyDescent="0.25">
      <c r="B96" s="154" t="s">
        <v>215</v>
      </c>
      <c r="C96" s="155"/>
      <c r="D96" s="155"/>
      <c r="E96" s="155"/>
      <c r="F96" s="155"/>
      <c r="G96" s="1072">
        <f>IF((G66&lt;500000),5000,0)</f>
        <v>0</v>
      </c>
      <c r="H96" s="1073">
        <f>IF(H94&lt;200000,0,IF(H94&lt;220000,((H94-200000)*10%),IF(H94&lt;=500000,2000,IF(H94&gt;=500000,0))))</f>
        <v>0</v>
      </c>
      <c r="J96" s="1"/>
      <c r="K96" s="121"/>
      <c r="L96" s="121"/>
    </row>
    <row r="97" spans="2:9" ht="13.5" thickBot="1" x14ac:dyDescent="0.25">
      <c r="B97" s="122" t="s">
        <v>216</v>
      </c>
      <c r="C97" s="123"/>
      <c r="D97" s="123"/>
      <c r="E97" s="123"/>
      <c r="F97" s="123"/>
      <c r="G97" s="771">
        <f>IF((G95-G96)&lt;0,0,(G95-G96))</f>
        <v>28351</v>
      </c>
      <c r="H97" s="772"/>
      <c r="I97" s="37"/>
    </row>
    <row r="98" spans="2:9" ht="13.5" thickBot="1" x14ac:dyDescent="0.25">
      <c r="B98" s="773" t="s">
        <v>240</v>
      </c>
      <c r="C98" s="774"/>
      <c r="D98" s="774"/>
      <c r="E98" s="774"/>
      <c r="F98" s="775"/>
      <c r="G98" s="776">
        <f>ROUND((IF(G97&gt;0,(G97*4%),0)),0)</f>
        <v>1134</v>
      </c>
      <c r="H98" s="777"/>
      <c r="I98" s="37"/>
    </row>
    <row r="99" spans="2:9" ht="13.5" thickBot="1" x14ac:dyDescent="0.25">
      <c r="B99" s="778" t="s">
        <v>218</v>
      </c>
      <c r="C99" s="779"/>
      <c r="D99" s="779"/>
      <c r="E99" s="779"/>
      <c r="F99" s="779"/>
      <c r="G99" s="780">
        <f>G97+G98</f>
        <v>29485</v>
      </c>
      <c r="H99" s="781"/>
      <c r="I99" s="121"/>
    </row>
    <row r="100" spans="2:9" ht="13.5" thickBot="1" x14ac:dyDescent="0.25">
      <c r="B100" s="765" t="s">
        <v>219</v>
      </c>
      <c r="C100" s="766"/>
      <c r="D100" s="766"/>
      <c r="E100" s="766"/>
      <c r="F100" s="766"/>
      <c r="G100" s="767">
        <f>O39</f>
        <v>29490</v>
      </c>
      <c r="H100" s="768"/>
      <c r="I100" s="121"/>
    </row>
    <row r="101" spans="2:9" ht="13.5" thickBot="1" x14ac:dyDescent="0.25">
      <c r="B101" s="765" t="str">
        <f>IF(G101&gt;0,"TAX PAYABLE","TAX REFUND")</f>
        <v>TAX REFUND</v>
      </c>
      <c r="C101" s="766"/>
      <c r="D101" s="766"/>
      <c r="E101" s="766"/>
      <c r="F101" s="766"/>
      <c r="G101" s="767">
        <f>+G99-G100</f>
        <v>-5</v>
      </c>
      <c r="H101" s="768"/>
      <c r="I101" s="37"/>
    </row>
    <row r="102" spans="2:9" x14ac:dyDescent="0.2">
      <c r="C102" s="124"/>
      <c r="D102" s="45"/>
      <c r="E102" s="118"/>
      <c r="F102" s="118"/>
      <c r="G102" s="118"/>
      <c r="H102" s="118"/>
      <c r="I102" s="125"/>
    </row>
    <row r="103" spans="2:9" x14ac:dyDescent="0.2">
      <c r="C103" s="47"/>
      <c r="D103" s="50"/>
      <c r="E103" s="117"/>
      <c r="F103" s="47"/>
      <c r="G103" s="47"/>
      <c r="H103" s="47"/>
      <c r="I103" s="125"/>
    </row>
    <row r="104" spans="2:9" x14ac:dyDescent="0.2">
      <c r="C104" s="39"/>
      <c r="D104" s="126"/>
      <c r="E104" s="126"/>
      <c r="F104" s="126"/>
      <c r="G104" s="39"/>
      <c r="H104" s="39"/>
      <c r="I104" s="37"/>
    </row>
    <row r="105" spans="2:9" x14ac:dyDescent="0.2">
      <c r="C105" s="39"/>
      <c r="D105" s="126"/>
      <c r="E105" s="126"/>
      <c r="F105" s="39"/>
      <c r="G105" s="39"/>
      <c r="H105" s="39"/>
      <c r="I105" s="37"/>
    </row>
    <row r="106" spans="2:9" x14ac:dyDescent="0.2">
      <c r="C106" s="39"/>
      <c r="D106" s="126"/>
      <c r="E106" s="126"/>
      <c r="F106" s="39"/>
      <c r="G106" s="39"/>
      <c r="H106" s="39"/>
      <c r="I106" s="37"/>
    </row>
    <row r="107" spans="2:9" x14ac:dyDescent="0.2">
      <c r="C107" s="39"/>
      <c r="D107" s="39"/>
      <c r="E107" s="39"/>
      <c r="F107" s="39"/>
      <c r="G107" s="39"/>
      <c r="H107" s="39"/>
      <c r="I107" s="37"/>
    </row>
    <row r="108" spans="2:9" x14ac:dyDescent="0.2">
      <c r="C108" s="39"/>
      <c r="D108" s="39"/>
      <c r="E108" s="39"/>
      <c r="F108" s="39"/>
      <c r="G108" s="39"/>
      <c r="H108" s="39"/>
      <c r="I108" s="121"/>
    </row>
    <row r="109" spans="2:9" x14ac:dyDescent="0.2">
      <c r="C109" s="39"/>
      <c r="D109" s="39"/>
      <c r="E109" s="39"/>
      <c r="F109" s="39"/>
      <c r="G109" s="39"/>
      <c r="H109" s="39"/>
    </row>
  </sheetData>
  <mergeCells count="94">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7:B37"/>
    <mergeCell ref="A5:C5"/>
    <mergeCell ref="D5:F5"/>
    <mergeCell ref="G5:H5"/>
    <mergeCell ref="I5:O5"/>
    <mergeCell ref="A6:C6"/>
    <mergeCell ref="D6:F6"/>
    <mergeCell ref="G6:H6"/>
    <mergeCell ref="J6:O6"/>
    <mergeCell ref="L7:O7"/>
    <mergeCell ref="A8:B8"/>
    <mergeCell ref="A22:A34"/>
    <mergeCell ref="A35:B35"/>
    <mergeCell ref="A36:B36"/>
    <mergeCell ref="A39:A50"/>
    <mergeCell ref="A51:B51"/>
    <mergeCell ref="A52:B52"/>
    <mergeCell ref="B55:F55"/>
    <mergeCell ref="G55:H55"/>
    <mergeCell ref="B61:F61"/>
    <mergeCell ref="G61:H61"/>
    <mergeCell ref="J61:O61"/>
    <mergeCell ref="B57:B59"/>
    <mergeCell ref="C57:C59"/>
    <mergeCell ref="D57:F57"/>
    <mergeCell ref="G57:H57"/>
    <mergeCell ref="D58:F58"/>
    <mergeCell ref="G58:H58"/>
    <mergeCell ref="J58:L58"/>
    <mergeCell ref="M58:O58"/>
    <mergeCell ref="D59:F59"/>
    <mergeCell ref="G59:H59"/>
    <mergeCell ref="G63:H63"/>
    <mergeCell ref="C64:F64"/>
    <mergeCell ref="G64:H64"/>
    <mergeCell ref="J64:O64"/>
    <mergeCell ref="J69:K69"/>
    <mergeCell ref="B66:F66"/>
    <mergeCell ref="G66:H66"/>
    <mergeCell ref="B63:F63"/>
    <mergeCell ref="D72:F72"/>
    <mergeCell ref="D73:F73"/>
    <mergeCell ref="D74:F74"/>
    <mergeCell ref="D75:F75"/>
    <mergeCell ref="D76:F76"/>
    <mergeCell ref="G87:H87"/>
    <mergeCell ref="D77:F77"/>
    <mergeCell ref="D78:F78"/>
    <mergeCell ref="J78:N78"/>
    <mergeCell ref="E79:F79"/>
    <mergeCell ref="D80:F80"/>
    <mergeCell ref="D81:F81"/>
    <mergeCell ref="D82:F82"/>
    <mergeCell ref="D83:F83"/>
    <mergeCell ref="D84:F84"/>
    <mergeCell ref="B85:F85"/>
    <mergeCell ref="B87:F87"/>
    <mergeCell ref="B70:B84"/>
    <mergeCell ref="C70:C76"/>
    <mergeCell ref="D70:F70"/>
    <mergeCell ref="D71:F71"/>
    <mergeCell ref="C89:D89"/>
    <mergeCell ref="C90:D90"/>
    <mergeCell ref="C91:D91"/>
    <mergeCell ref="C92:D92"/>
    <mergeCell ref="C93:D93"/>
    <mergeCell ref="B100:F100"/>
    <mergeCell ref="G100:H100"/>
    <mergeCell ref="B101:F101"/>
    <mergeCell ref="G101:H101"/>
    <mergeCell ref="G95:H95"/>
    <mergeCell ref="G96:H96"/>
    <mergeCell ref="G97:H97"/>
    <mergeCell ref="B98:F98"/>
    <mergeCell ref="G98:H98"/>
    <mergeCell ref="B99:F99"/>
    <mergeCell ref="G99:H99"/>
    <mergeCell ref="B95:F95"/>
  </mergeCells>
  <conditionalFormatting sqref="B92:F92 B101:F101 B95:F99">
    <cfRule type="cellIs" dxfId="1835" priority="3" stopIfTrue="1" operator="equal">
      <formula>"TAX PAYABLE"</formula>
    </cfRule>
    <cfRule type="cellIs" dxfId="1834" priority="4" stopIfTrue="1" operator="equal">
      <formula>"TAX REFUND"</formula>
    </cfRule>
  </conditionalFormatting>
  <conditionalFormatting sqref="G92:H92">
    <cfRule type="cellIs" dxfId="1833" priority="5" stopIfTrue="1" operator="lessThan">
      <formula>0</formula>
    </cfRule>
    <cfRule type="cellIs" dxfId="1832" priority="6" stopIfTrue="1" operator="greaterThan">
      <formula>0</formula>
    </cfRule>
  </conditionalFormatting>
  <conditionalFormatting sqref="G101:H101">
    <cfRule type="cellIs" dxfId="1831" priority="1" stopIfTrue="1" operator="greaterThan">
      <formula>0</formula>
    </cfRule>
    <cfRule type="cellIs" dxfId="1830"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$Q$8:$Q$9</formula1>
    </dataValidation>
  </dataValidations>
  <pageMargins left="0.7" right="0.7" top="0.75" bottom="0.75" header="0.3" footer="0.3"/>
  <pageSetup paperSize="5" orientation="landscape" horizontalDpi="300" verticalDpi="300" r:id="rId1"/>
  <headerFooter alignWithMargins="0"/>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9"/>
  <sheetViews>
    <sheetView topLeftCell="A65" workbookViewId="0">
      <selection activeCell="G74" sqref="G74"/>
    </sheetView>
  </sheetViews>
  <sheetFormatPr defaultRowHeight="12.75" x14ac:dyDescent="0.2"/>
  <cols>
    <col min="1" max="1" width="5" style="16" customWidth="1"/>
    <col min="2" max="2" width="18.140625" style="37" customWidth="1"/>
    <col min="3" max="3" width="11.140625" style="16" bestFit="1" customWidth="1"/>
    <col min="4" max="4" width="6.7109375" style="16" bestFit="1" customWidth="1"/>
    <col min="5" max="5" width="8.5703125" style="16" bestFit="1" customWidth="1"/>
    <col min="6" max="6" width="9.28515625" style="16" bestFit="1" customWidth="1"/>
    <col min="7" max="7" width="8.42578125" style="16" bestFit="1" customWidth="1"/>
    <col min="8" max="8" width="9.7109375" style="16" bestFit="1" customWidth="1"/>
    <col min="9" max="9" width="7.140625" style="16" bestFit="1" customWidth="1"/>
    <col min="10" max="10" width="7.7109375" style="16" customWidth="1"/>
    <col min="11" max="12" width="7" style="16" bestFit="1" customWidth="1"/>
    <col min="13" max="13" width="6.85546875" style="16" bestFit="1" customWidth="1"/>
    <col min="14" max="14" width="7" style="16" bestFit="1" customWidth="1"/>
    <col min="15" max="15" width="10.28515625" style="16" customWidth="1"/>
    <col min="16" max="20" width="9.140625" style="16"/>
    <col min="21" max="21" width="12.42578125" style="16" customWidth="1"/>
    <col min="22" max="22" width="9.140625" style="16"/>
    <col min="23" max="23" width="12" style="16" customWidth="1"/>
    <col min="24" max="256" width="9.140625" style="16"/>
    <col min="257" max="257" width="5" style="16" customWidth="1"/>
    <col min="258" max="258" width="18.140625" style="16" customWidth="1"/>
    <col min="259" max="259" width="11.140625" style="16" bestFit="1" customWidth="1"/>
    <col min="260" max="260" width="6.7109375" style="16" bestFit="1" customWidth="1"/>
    <col min="261" max="261" width="8.5703125" style="16" bestFit="1" customWidth="1"/>
    <col min="262" max="262" width="9.28515625" style="16" bestFit="1" customWidth="1"/>
    <col min="263" max="263" width="8.42578125" style="16" bestFit="1" customWidth="1"/>
    <col min="264" max="264" width="9.7109375" style="16" bestFit="1" customWidth="1"/>
    <col min="265" max="265" width="7.140625" style="16" bestFit="1" customWidth="1"/>
    <col min="266" max="266" width="7.7109375" style="16" customWidth="1"/>
    <col min="267" max="268" width="7" style="16" bestFit="1" customWidth="1"/>
    <col min="269" max="269" width="6.85546875" style="16" bestFit="1" customWidth="1"/>
    <col min="270" max="270" width="7" style="16" bestFit="1" customWidth="1"/>
    <col min="271" max="271" width="10.28515625" style="16" customWidth="1"/>
    <col min="272" max="276" width="9.140625" style="16"/>
    <col min="277" max="277" width="12.42578125" style="16" customWidth="1"/>
    <col min="278" max="278" width="9.140625" style="16"/>
    <col min="279" max="279" width="12" style="16" customWidth="1"/>
    <col min="280" max="512" width="9.140625" style="16"/>
    <col min="513" max="513" width="5" style="16" customWidth="1"/>
    <col min="514" max="514" width="18.140625" style="16" customWidth="1"/>
    <col min="515" max="515" width="11.140625" style="16" bestFit="1" customWidth="1"/>
    <col min="516" max="516" width="6.7109375" style="16" bestFit="1" customWidth="1"/>
    <col min="517" max="517" width="8.5703125" style="16" bestFit="1" customWidth="1"/>
    <col min="518" max="518" width="9.28515625" style="16" bestFit="1" customWidth="1"/>
    <col min="519" max="519" width="8.42578125" style="16" bestFit="1" customWidth="1"/>
    <col min="520" max="520" width="9.7109375" style="16" bestFit="1" customWidth="1"/>
    <col min="521" max="521" width="7.140625" style="16" bestFit="1" customWidth="1"/>
    <col min="522" max="522" width="7.7109375" style="16" customWidth="1"/>
    <col min="523" max="524" width="7" style="16" bestFit="1" customWidth="1"/>
    <col min="525" max="525" width="6.85546875" style="16" bestFit="1" customWidth="1"/>
    <col min="526" max="526" width="7" style="16" bestFit="1" customWidth="1"/>
    <col min="527" max="527" width="10.28515625" style="16" customWidth="1"/>
    <col min="528" max="532" width="9.140625" style="16"/>
    <col min="533" max="533" width="12.42578125" style="16" customWidth="1"/>
    <col min="534" max="534" width="9.140625" style="16"/>
    <col min="535" max="535" width="12" style="16" customWidth="1"/>
    <col min="536" max="768" width="9.140625" style="16"/>
    <col min="769" max="769" width="5" style="16" customWidth="1"/>
    <col min="770" max="770" width="18.140625" style="16" customWidth="1"/>
    <col min="771" max="771" width="11.140625" style="16" bestFit="1" customWidth="1"/>
    <col min="772" max="772" width="6.7109375" style="16" bestFit="1" customWidth="1"/>
    <col min="773" max="773" width="8.5703125" style="16" bestFit="1" customWidth="1"/>
    <col min="774" max="774" width="9.28515625" style="16" bestFit="1" customWidth="1"/>
    <col min="775" max="775" width="8.42578125" style="16" bestFit="1" customWidth="1"/>
    <col min="776" max="776" width="9.7109375" style="16" bestFit="1" customWidth="1"/>
    <col min="777" max="777" width="7.140625" style="16" bestFit="1" customWidth="1"/>
    <col min="778" max="778" width="7.7109375" style="16" customWidth="1"/>
    <col min="779" max="780" width="7" style="16" bestFit="1" customWidth="1"/>
    <col min="781" max="781" width="6.85546875" style="16" bestFit="1" customWidth="1"/>
    <col min="782" max="782" width="7" style="16" bestFit="1" customWidth="1"/>
    <col min="783" max="783" width="10.28515625" style="16" customWidth="1"/>
    <col min="784" max="788" width="9.140625" style="16"/>
    <col min="789" max="789" width="12.42578125" style="16" customWidth="1"/>
    <col min="790" max="790" width="9.140625" style="16"/>
    <col min="791" max="791" width="12" style="16" customWidth="1"/>
    <col min="792" max="1024" width="9.140625" style="16"/>
    <col min="1025" max="1025" width="5" style="16" customWidth="1"/>
    <col min="1026" max="1026" width="18.140625" style="16" customWidth="1"/>
    <col min="1027" max="1027" width="11.140625" style="16" bestFit="1" customWidth="1"/>
    <col min="1028" max="1028" width="6.7109375" style="16" bestFit="1" customWidth="1"/>
    <col min="1029" max="1029" width="8.5703125" style="16" bestFit="1" customWidth="1"/>
    <col min="1030" max="1030" width="9.28515625" style="16" bestFit="1" customWidth="1"/>
    <col min="1031" max="1031" width="8.42578125" style="16" bestFit="1" customWidth="1"/>
    <col min="1032" max="1032" width="9.7109375" style="16" bestFit="1" customWidth="1"/>
    <col min="1033" max="1033" width="7.140625" style="16" bestFit="1" customWidth="1"/>
    <col min="1034" max="1034" width="7.7109375" style="16" customWidth="1"/>
    <col min="1035" max="1036" width="7" style="16" bestFit="1" customWidth="1"/>
    <col min="1037" max="1037" width="6.85546875" style="16" bestFit="1" customWidth="1"/>
    <col min="1038" max="1038" width="7" style="16" bestFit="1" customWidth="1"/>
    <col min="1039" max="1039" width="10.28515625" style="16" customWidth="1"/>
    <col min="1040" max="1044" width="9.140625" style="16"/>
    <col min="1045" max="1045" width="12.42578125" style="16" customWidth="1"/>
    <col min="1046" max="1046" width="9.140625" style="16"/>
    <col min="1047" max="1047" width="12" style="16" customWidth="1"/>
    <col min="1048" max="1280" width="9.140625" style="16"/>
    <col min="1281" max="1281" width="5" style="16" customWidth="1"/>
    <col min="1282" max="1282" width="18.140625" style="16" customWidth="1"/>
    <col min="1283" max="1283" width="11.140625" style="16" bestFit="1" customWidth="1"/>
    <col min="1284" max="1284" width="6.7109375" style="16" bestFit="1" customWidth="1"/>
    <col min="1285" max="1285" width="8.5703125" style="16" bestFit="1" customWidth="1"/>
    <col min="1286" max="1286" width="9.28515625" style="16" bestFit="1" customWidth="1"/>
    <col min="1287" max="1287" width="8.42578125" style="16" bestFit="1" customWidth="1"/>
    <col min="1288" max="1288" width="9.7109375" style="16" bestFit="1" customWidth="1"/>
    <col min="1289" max="1289" width="7.140625" style="16" bestFit="1" customWidth="1"/>
    <col min="1290" max="1290" width="7.7109375" style="16" customWidth="1"/>
    <col min="1291" max="1292" width="7" style="16" bestFit="1" customWidth="1"/>
    <col min="1293" max="1293" width="6.85546875" style="16" bestFit="1" customWidth="1"/>
    <col min="1294" max="1294" width="7" style="16" bestFit="1" customWidth="1"/>
    <col min="1295" max="1295" width="10.28515625" style="16" customWidth="1"/>
    <col min="1296" max="1300" width="9.140625" style="16"/>
    <col min="1301" max="1301" width="12.42578125" style="16" customWidth="1"/>
    <col min="1302" max="1302" width="9.140625" style="16"/>
    <col min="1303" max="1303" width="12" style="16" customWidth="1"/>
    <col min="1304" max="1536" width="9.140625" style="16"/>
    <col min="1537" max="1537" width="5" style="16" customWidth="1"/>
    <col min="1538" max="1538" width="18.140625" style="16" customWidth="1"/>
    <col min="1539" max="1539" width="11.140625" style="16" bestFit="1" customWidth="1"/>
    <col min="1540" max="1540" width="6.7109375" style="16" bestFit="1" customWidth="1"/>
    <col min="1541" max="1541" width="8.5703125" style="16" bestFit="1" customWidth="1"/>
    <col min="1542" max="1542" width="9.28515625" style="16" bestFit="1" customWidth="1"/>
    <col min="1543" max="1543" width="8.42578125" style="16" bestFit="1" customWidth="1"/>
    <col min="1544" max="1544" width="9.7109375" style="16" bestFit="1" customWidth="1"/>
    <col min="1545" max="1545" width="7.140625" style="16" bestFit="1" customWidth="1"/>
    <col min="1546" max="1546" width="7.7109375" style="16" customWidth="1"/>
    <col min="1547" max="1548" width="7" style="16" bestFit="1" customWidth="1"/>
    <col min="1549" max="1549" width="6.85546875" style="16" bestFit="1" customWidth="1"/>
    <col min="1550" max="1550" width="7" style="16" bestFit="1" customWidth="1"/>
    <col min="1551" max="1551" width="10.28515625" style="16" customWidth="1"/>
    <col min="1552" max="1556" width="9.140625" style="16"/>
    <col min="1557" max="1557" width="12.42578125" style="16" customWidth="1"/>
    <col min="1558" max="1558" width="9.140625" style="16"/>
    <col min="1559" max="1559" width="12" style="16" customWidth="1"/>
    <col min="1560" max="1792" width="9.140625" style="16"/>
    <col min="1793" max="1793" width="5" style="16" customWidth="1"/>
    <col min="1794" max="1794" width="18.140625" style="16" customWidth="1"/>
    <col min="1795" max="1795" width="11.140625" style="16" bestFit="1" customWidth="1"/>
    <col min="1796" max="1796" width="6.7109375" style="16" bestFit="1" customWidth="1"/>
    <col min="1797" max="1797" width="8.5703125" style="16" bestFit="1" customWidth="1"/>
    <col min="1798" max="1798" width="9.28515625" style="16" bestFit="1" customWidth="1"/>
    <col min="1799" max="1799" width="8.42578125" style="16" bestFit="1" customWidth="1"/>
    <col min="1800" max="1800" width="9.7109375" style="16" bestFit="1" customWidth="1"/>
    <col min="1801" max="1801" width="7.140625" style="16" bestFit="1" customWidth="1"/>
    <col min="1802" max="1802" width="7.7109375" style="16" customWidth="1"/>
    <col min="1803" max="1804" width="7" style="16" bestFit="1" customWidth="1"/>
    <col min="1805" max="1805" width="6.85546875" style="16" bestFit="1" customWidth="1"/>
    <col min="1806" max="1806" width="7" style="16" bestFit="1" customWidth="1"/>
    <col min="1807" max="1807" width="10.28515625" style="16" customWidth="1"/>
    <col min="1808" max="1812" width="9.140625" style="16"/>
    <col min="1813" max="1813" width="12.42578125" style="16" customWidth="1"/>
    <col min="1814" max="1814" width="9.140625" style="16"/>
    <col min="1815" max="1815" width="12" style="16" customWidth="1"/>
    <col min="1816" max="2048" width="9.140625" style="16"/>
    <col min="2049" max="2049" width="5" style="16" customWidth="1"/>
    <col min="2050" max="2050" width="18.140625" style="16" customWidth="1"/>
    <col min="2051" max="2051" width="11.140625" style="16" bestFit="1" customWidth="1"/>
    <col min="2052" max="2052" width="6.7109375" style="16" bestFit="1" customWidth="1"/>
    <col min="2053" max="2053" width="8.5703125" style="16" bestFit="1" customWidth="1"/>
    <col min="2054" max="2054" width="9.28515625" style="16" bestFit="1" customWidth="1"/>
    <col min="2055" max="2055" width="8.42578125" style="16" bestFit="1" customWidth="1"/>
    <col min="2056" max="2056" width="9.7109375" style="16" bestFit="1" customWidth="1"/>
    <col min="2057" max="2057" width="7.140625" style="16" bestFit="1" customWidth="1"/>
    <col min="2058" max="2058" width="7.7109375" style="16" customWidth="1"/>
    <col min="2059" max="2060" width="7" style="16" bestFit="1" customWidth="1"/>
    <col min="2061" max="2061" width="6.85546875" style="16" bestFit="1" customWidth="1"/>
    <col min="2062" max="2062" width="7" style="16" bestFit="1" customWidth="1"/>
    <col min="2063" max="2063" width="10.28515625" style="16" customWidth="1"/>
    <col min="2064" max="2068" width="9.140625" style="16"/>
    <col min="2069" max="2069" width="12.42578125" style="16" customWidth="1"/>
    <col min="2070" max="2070" width="9.140625" style="16"/>
    <col min="2071" max="2071" width="12" style="16" customWidth="1"/>
    <col min="2072" max="2304" width="9.140625" style="16"/>
    <col min="2305" max="2305" width="5" style="16" customWidth="1"/>
    <col min="2306" max="2306" width="18.140625" style="16" customWidth="1"/>
    <col min="2307" max="2307" width="11.140625" style="16" bestFit="1" customWidth="1"/>
    <col min="2308" max="2308" width="6.7109375" style="16" bestFit="1" customWidth="1"/>
    <col min="2309" max="2309" width="8.5703125" style="16" bestFit="1" customWidth="1"/>
    <col min="2310" max="2310" width="9.28515625" style="16" bestFit="1" customWidth="1"/>
    <col min="2311" max="2311" width="8.42578125" style="16" bestFit="1" customWidth="1"/>
    <col min="2312" max="2312" width="9.7109375" style="16" bestFit="1" customWidth="1"/>
    <col min="2313" max="2313" width="7.140625" style="16" bestFit="1" customWidth="1"/>
    <col min="2314" max="2314" width="7.7109375" style="16" customWidth="1"/>
    <col min="2315" max="2316" width="7" style="16" bestFit="1" customWidth="1"/>
    <col min="2317" max="2317" width="6.85546875" style="16" bestFit="1" customWidth="1"/>
    <col min="2318" max="2318" width="7" style="16" bestFit="1" customWidth="1"/>
    <col min="2319" max="2319" width="10.28515625" style="16" customWidth="1"/>
    <col min="2320" max="2324" width="9.140625" style="16"/>
    <col min="2325" max="2325" width="12.42578125" style="16" customWidth="1"/>
    <col min="2326" max="2326" width="9.140625" style="16"/>
    <col min="2327" max="2327" width="12" style="16" customWidth="1"/>
    <col min="2328" max="2560" width="9.140625" style="16"/>
    <col min="2561" max="2561" width="5" style="16" customWidth="1"/>
    <col min="2562" max="2562" width="18.140625" style="16" customWidth="1"/>
    <col min="2563" max="2563" width="11.140625" style="16" bestFit="1" customWidth="1"/>
    <col min="2564" max="2564" width="6.7109375" style="16" bestFit="1" customWidth="1"/>
    <col min="2565" max="2565" width="8.5703125" style="16" bestFit="1" customWidth="1"/>
    <col min="2566" max="2566" width="9.28515625" style="16" bestFit="1" customWidth="1"/>
    <col min="2567" max="2567" width="8.42578125" style="16" bestFit="1" customWidth="1"/>
    <col min="2568" max="2568" width="9.7109375" style="16" bestFit="1" customWidth="1"/>
    <col min="2569" max="2569" width="7.140625" style="16" bestFit="1" customWidth="1"/>
    <col min="2570" max="2570" width="7.7109375" style="16" customWidth="1"/>
    <col min="2571" max="2572" width="7" style="16" bestFit="1" customWidth="1"/>
    <col min="2573" max="2573" width="6.85546875" style="16" bestFit="1" customWidth="1"/>
    <col min="2574" max="2574" width="7" style="16" bestFit="1" customWidth="1"/>
    <col min="2575" max="2575" width="10.28515625" style="16" customWidth="1"/>
    <col min="2576" max="2580" width="9.140625" style="16"/>
    <col min="2581" max="2581" width="12.42578125" style="16" customWidth="1"/>
    <col min="2582" max="2582" width="9.140625" style="16"/>
    <col min="2583" max="2583" width="12" style="16" customWidth="1"/>
    <col min="2584" max="2816" width="9.140625" style="16"/>
    <col min="2817" max="2817" width="5" style="16" customWidth="1"/>
    <col min="2818" max="2818" width="18.140625" style="16" customWidth="1"/>
    <col min="2819" max="2819" width="11.140625" style="16" bestFit="1" customWidth="1"/>
    <col min="2820" max="2820" width="6.7109375" style="16" bestFit="1" customWidth="1"/>
    <col min="2821" max="2821" width="8.5703125" style="16" bestFit="1" customWidth="1"/>
    <col min="2822" max="2822" width="9.28515625" style="16" bestFit="1" customWidth="1"/>
    <col min="2823" max="2823" width="8.42578125" style="16" bestFit="1" customWidth="1"/>
    <col min="2824" max="2824" width="9.7109375" style="16" bestFit="1" customWidth="1"/>
    <col min="2825" max="2825" width="7.140625" style="16" bestFit="1" customWidth="1"/>
    <col min="2826" max="2826" width="7.7109375" style="16" customWidth="1"/>
    <col min="2827" max="2828" width="7" style="16" bestFit="1" customWidth="1"/>
    <col min="2829" max="2829" width="6.85546875" style="16" bestFit="1" customWidth="1"/>
    <col min="2830" max="2830" width="7" style="16" bestFit="1" customWidth="1"/>
    <col min="2831" max="2831" width="10.28515625" style="16" customWidth="1"/>
    <col min="2832" max="2836" width="9.140625" style="16"/>
    <col min="2837" max="2837" width="12.42578125" style="16" customWidth="1"/>
    <col min="2838" max="2838" width="9.140625" style="16"/>
    <col min="2839" max="2839" width="12" style="16" customWidth="1"/>
    <col min="2840" max="3072" width="9.140625" style="16"/>
    <col min="3073" max="3073" width="5" style="16" customWidth="1"/>
    <col min="3074" max="3074" width="18.140625" style="16" customWidth="1"/>
    <col min="3075" max="3075" width="11.140625" style="16" bestFit="1" customWidth="1"/>
    <col min="3076" max="3076" width="6.7109375" style="16" bestFit="1" customWidth="1"/>
    <col min="3077" max="3077" width="8.5703125" style="16" bestFit="1" customWidth="1"/>
    <col min="3078" max="3078" width="9.28515625" style="16" bestFit="1" customWidth="1"/>
    <col min="3079" max="3079" width="8.42578125" style="16" bestFit="1" customWidth="1"/>
    <col min="3080" max="3080" width="9.7109375" style="16" bestFit="1" customWidth="1"/>
    <col min="3081" max="3081" width="7.140625" style="16" bestFit="1" customWidth="1"/>
    <col min="3082" max="3082" width="7.7109375" style="16" customWidth="1"/>
    <col min="3083" max="3084" width="7" style="16" bestFit="1" customWidth="1"/>
    <col min="3085" max="3085" width="6.85546875" style="16" bestFit="1" customWidth="1"/>
    <col min="3086" max="3086" width="7" style="16" bestFit="1" customWidth="1"/>
    <col min="3087" max="3087" width="10.28515625" style="16" customWidth="1"/>
    <col min="3088" max="3092" width="9.140625" style="16"/>
    <col min="3093" max="3093" width="12.42578125" style="16" customWidth="1"/>
    <col min="3094" max="3094" width="9.140625" style="16"/>
    <col min="3095" max="3095" width="12" style="16" customWidth="1"/>
    <col min="3096" max="3328" width="9.140625" style="16"/>
    <col min="3329" max="3329" width="5" style="16" customWidth="1"/>
    <col min="3330" max="3330" width="18.140625" style="16" customWidth="1"/>
    <col min="3331" max="3331" width="11.140625" style="16" bestFit="1" customWidth="1"/>
    <col min="3332" max="3332" width="6.7109375" style="16" bestFit="1" customWidth="1"/>
    <col min="3333" max="3333" width="8.5703125" style="16" bestFit="1" customWidth="1"/>
    <col min="3334" max="3334" width="9.28515625" style="16" bestFit="1" customWidth="1"/>
    <col min="3335" max="3335" width="8.42578125" style="16" bestFit="1" customWidth="1"/>
    <col min="3336" max="3336" width="9.7109375" style="16" bestFit="1" customWidth="1"/>
    <col min="3337" max="3337" width="7.140625" style="16" bestFit="1" customWidth="1"/>
    <col min="3338" max="3338" width="7.7109375" style="16" customWidth="1"/>
    <col min="3339" max="3340" width="7" style="16" bestFit="1" customWidth="1"/>
    <col min="3341" max="3341" width="6.85546875" style="16" bestFit="1" customWidth="1"/>
    <col min="3342" max="3342" width="7" style="16" bestFit="1" customWidth="1"/>
    <col min="3343" max="3343" width="10.28515625" style="16" customWidth="1"/>
    <col min="3344" max="3348" width="9.140625" style="16"/>
    <col min="3349" max="3349" width="12.42578125" style="16" customWidth="1"/>
    <col min="3350" max="3350" width="9.140625" style="16"/>
    <col min="3351" max="3351" width="12" style="16" customWidth="1"/>
    <col min="3352" max="3584" width="9.140625" style="16"/>
    <col min="3585" max="3585" width="5" style="16" customWidth="1"/>
    <col min="3586" max="3586" width="18.140625" style="16" customWidth="1"/>
    <col min="3587" max="3587" width="11.140625" style="16" bestFit="1" customWidth="1"/>
    <col min="3588" max="3588" width="6.7109375" style="16" bestFit="1" customWidth="1"/>
    <col min="3589" max="3589" width="8.5703125" style="16" bestFit="1" customWidth="1"/>
    <col min="3590" max="3590" width="9.28515625" style="16" bestFit="1" customWidth="1"/>
    <col min="3591" max="3591" width="8.42578125" style="16" bestFit="1" customWidth="1"/>
    <col min="3592" max="3592" width="9.7109375" style="16" bestFit="1" customWidth="1"/>
    <col min="3593" max="3593" width="7.140625" style="16" bestFit="1" customWidth="1"/>
    <col min="3594" max="3594" width="7.7109375" style="16" customWidth="1"/>
    <col min="3595" max="3596" width="7" style="16" bestFit="1" customWidth="1"/>
    <col min="3597" max="3597" width="6.85546875" style="16" bestFit="1" customWidth="1"/>
    <col min="3598" max="3598" width="7" style="16" bestFit="1" customWidth="1"/>
    <col min="3599" max="3599" width="10.28515625" style="16" customWidth="1"/>
    <col min="3600" max="3604" width="9.140625" style="16"/>
    <col min="3605" max="3605" width="12.42578125" style="16" customWidth="1"/>
    <col min="3606" max="3606" width="9.140625" style="16"/>
    <col min="3607" max="3607" width="12" style="16" customWidth="1"/>
    <col min="3608" max="3840" width="9.140625" style="16"/>
    <col min="3841" max="3841" width="5" style="16" customWidth="1"/>
    <col min="3842" max="3842" width="18.140625" style="16" customWidth="1"/>
    <col min="3843" max="3843" width="11.140625" style="16" bestFit="1" customWidth="1"/>
    <col min="3844" max="3844" width="6.7109375" style="16" bestFit="1" customWidth="1"/>
    <col min="3845" max="3845" width="8.5703125" style="16" bestFit="1" customWidth="1"/>
    <col min="3846" max="3846" width="9.28515625" style="16" bestFit="1" customWidth="1"/>
    <col min="3847" max="3847" width="8.42578125" style="16" bestFit="1" customWidth="1"/>
    <col min="3848" max="3848" width="9.7109375" style="16" bestFit="1" customWidth="1"/>
    <col min="3849" max="3849" width="7.140625" style="16" bestFit="1" customWidth="1"/>
    <col min="3850" max="3850" width="7.7109375" style="16" customWidth="1"/>
    <col min="3851" max="3852" width="7" style="16" bestFit="1" customWidth="1"/>
    <col min="3853" max="3853" width="6.85546875" style="16" bestFit="1" customWidth="1"/>
    <col min="3854" max="3854" width="7" style="16" bestFit="1" customWidth="1"/>
    <col min="3855" max="3855" width="10.28515625" style="16" customWidth="1"/>
    <col min="3856" max="3860" width="9.140625" style="16"/>
    <col min="3861" max="3861" width="12.42578125" style="16" customWidth="1"/>
    <col min="3862" max="3862" width="9.140625" style="16"/>
    <col min="3863" max="3863" width="12" style="16" customWidth="1"/>
    <col min="3864" max="4096" width="9.140625" style="16"/>
    <col min="4097" max="4097" width="5" style="16" customWidth="1"/>
    <col min="4098" max="4098" width="18.140625" style="16" customWidth="1"/>
    <col min="4099" max="4099" width="11.140625" style="16" bestFit="1" customWidth="1"/>
    <col min="4100" max="4100" width="6.7109375" style="16" bestFit="1" customWidth="1"/>
    <col min="4101" max="4101" width="8.5703125" style="16" bestFit="1" customWidth="1"/>
    <col min="4102" max="4102" width="9.28515625" style="16" bestFit="1" customWidth="1"/>
    <col min="4103" max="4103" width="8.42578125" style="16" bestFit="1" customWidth="1"/>
    <col min="4104" max="4104" width="9.7109375" style="16" bestFit="1" customWidth="1"/>
    <col min="4105" max="4105" width="7.140625" style="16" bestFit="1" customWidth="1"/>
    <col min="4106" max="4106" width="7.7109375" style="16" customWidth="1"/>
    <col min="4107" max="4108" width="7" style="16" bestFit="1" customWidth="1"/>
    <col min="4109" max="4109" width="6.85546875" style="16" bestFit="1" customWidth="1"/>
    <col min="4110" max="4110" width="7" style="16" bestFit="1" customWidth="1"/>
    <col min="4111" max="4111" width="10.28515625" style="16" customWidth="1"/>
    <col min="4112" max="4116" width="9.140625" style="16"/>
    <col min="4117" max="4117" width="12.42578125" style="16" customWidth="1"/>
    <col min="4118" max="4118" width="9.140625" style="16"/>
    <col min="4119" max="4119" width="12" style="16" customWidth="1"/>
    <col min="4120" max="4352" width="9.140625" style="16"/>
    <col min="4353" max="4353" width="5" style="16" customWidth="1"/>
    <col min="4354" max="4354" width="18.140625" style="16" customWidth="1"/>
    <col min="4355" max="4355" width="11.140625" style="16" bestFit="1" customWidth="1"/>
    <col min="4356" max="4356" width="6.7109375" style="16" bestFit="1" customWidth="1"/>
    <col min="4357" max="4357" width="8.5703125" style="16" bestFit="1" customWidth="1"/>
    <col min="4358" max="4358" width="9.28515625" style="16" bestFit="1" customWidth="1"/>
    <col min="4359" max="4359" width="8.42578125" style="16" bestFit="1" customWidth="1"/>
    <col min="4360" max="4360" width="9.7109375" style="16" bestFit="1" customWidth="1"/>
    <col min="4361" max="4361" width="7.140625" style="16" bestFit="1" customWidth="1"/>
    <col min="4362" max="4362" width="7.7109375" style="16" customWidth="1"/>
    <col min="4363" max="4364" width="7" style="16" bestFit="1" customWidth="1"/>
    <col min="4365" max="4365" width="6.85546875" style="16" bestFit="1" customWidth="1"/>
    <col min="4366" max="4366" width="7" style="16" bestFit="1" customWidth="1"/>
    <col min="4367" max="4367" width="10.28515625" style="16" customWidth="1"/>
    <col min="4368" max="4372" width="9.140625" style="16"/>
    <col min="4373" max="4373" width="12.42578125" style="16" customWidth="1"/>
    <col min="4374" max="4374" width="9.140625" style="16"/>
    <col min="4375" max="4375" width="12" style="16" customWidth="1"/>
    <col min="4376" max="4608" width="9.140625" style="16"/>
    <col min="4609" max="4609" width="5" style="16" customWidth="1"/>
    <col min="4610" max="4610" width="18.140625" style="16" customWidth="1"/>
    <col min="4611" max="4611" width="11.140625" style="16" bestFit="1" customWidth="1"/>
    <col min="4612" max="4612" width="6.7109375" style="16" bestFit="1" customWidth="1"/>
    <col min="4613" max="4613" width="8.5703125" style="16" bestFit="1" customWidth="1"/>
    <col min="4614" max="4614" width="9.28515625" style="16" bestFit="1" customWidth="1"/>
    <col min="4615" max="4615" width="8.42578125" style="16" bestFit="1" customWidth="1"/>
    <col min="4616" max="4616" width="9.7109375" style="16" bestFit="1" customWidth="1"/>
    <col min="4617" max="4617" width="7.140625" style="16" bestFit="1" customWidth="1"/>
    <col min="4618" max="4618" width="7.7109375" style="16" customWidth="1"/>
    <col min="4619" max="4620" width="7" style="16" bestFit="1" customWidth="1"/>
    <col min="4621" max="4621" width="6.85546875" style="16" bestFit="1" customWidth="1"/>
    <col min="4622" max="4622" width="7" style="16" bestFit="1" customWidth="1"/>
    <col min="4623" max="4623" width="10.28515625" style="16" customWidth="1"/>
    <col min="4624" max="4628" width="9.140625" style="16"/>
    <col min="4629" max="4629" width="12.42578125" style="16" customWidth="1"/>
    <col min="4630" max="4630" width="9.140625" style="16"/>
    <col min="4631" max="4631" width="12" style="16" customWidth="1"/>
    <col min="4632" max="4864" width="9.140625" style="16"/>
    <col min="4865" max="4865" width="5" style="16" customWidth="1"/>
    <col min="4866" max="4866" width="18.140625" style="16" customWidth="1"/>
    <col min="4867" max="4867" width="11.140625" style="16" bestFit="1" customWidth="1"/>
    <col min="4868" max="4868" width="6.7109375" style="16" bestFit="1" customWidth="1"/>
    <col min="4869" max="4869" width="8.5703125" style="16" bestFit="1" customWidth="1"/>
    <col min="4870" max="4870" width="9.28515625" style="16" bestFit="1" customWidth="1"/>
    <col min="4871" max="4871" width="8.42578125" style="16" bestFit="1" customWidth="1"/>
    <col min="4872" max="4872" width="9.7109375" style="16" bestFit="1" customWidth="1"/>
    <col min="4873" max="4873" width="7.140625" style="16" bestFit="1" customWidth="1"/>
    <col min="4874" max="4874" width="7.7109375" style="16" customWidth="1"/>
    <col min="4875" max="4876" width="7" style="16" bestFit="1" customWidth="1"/>
    <col min="4877" max="4877" width="6.85546875" style="16" bestFit="1" customWidth="1"/>
    <col min="4878" max="4878" width="7" style="16" bestFit="1" customWidth="1"/>
    <col min="4879" max="4879" width="10.28515625" style="16" customWidth="1"/>
    <col min="4880" max="4884" width="9.140625" style="16"/>
    <col min="4885" max="4885" width="12.42578125" style="16" customWidth="1"/>
    <col min="4886" max="4886" width="9.140625" style="16"/>
    <col min="4887" max="4887" width="12" style="16" customWidth="1"/>
    <col min="4888" max="5120" width="9.140625" style="16"/>
    <col min="5121" max="5121" width="5" style="16" customWidth="1"/>
    <col min="5122" max="5122" width="18.140625" style="16" customWidth="1"/>
    <col min="5123" max="5123" width="11.140625" style="16" bestFit="1" customWidth="1"/>
    <col min="5124" max="5124" width="6.7109375" style="16" bestFit="1" customWidth="1"/>
    <col min="5125" max="5125" width="8.5703125" style="16" bestFit="1" customWidth="1"/>
    <col min="5126" max="5126" width="9.28515625" style="16" bestFit="1" customWidth="1"/>
    <col min="5127" max="5127" width="8.42578125" style="16" bestFit="1" customWidth="1"/>
    <col min="5128" max="5128" width="9.7109375" style="16" bestFit="1" customWidth="1"/>
    <col min="5129" max="5129" width="7.140625" style="16" bestFit="1" customWidth="1"/>
    <col min="5130" max="5130" width="7.7109375" style="16" customWidth="1"/>
    <col min="5131" max="5132" width="7" style="16" bestFit="1" customWidth="1"/>
    <col min="5133" max="5133" width="6.85546875" style="16" bestFit="1" customWidth="1"/>
    <col min="5134" max="5134" width="7" style="16" bestFit="1" customWidth="1"/>
    <col min="5135" max="5135" width="10.28515625" style="16" customWidth="1"/>
    <col min="5136" max="5140" width="9.140625" style="16"/>
    <col min="5141" max="5141" width="12.42578125" style="16" customWidth="1"/>
    <col min="5142" max="5142" width="9.140625" style="16"/>
    <col min="5143" max="5143" width="12" style="16" customWidth="1"/>
    <col min="5144" max="5376" width="9.140625" style="16"/>
    <col min="5377" max="5377" width="5" style="16" customWidth="1"/>
    <col min="5378" max="5378" width="18.140625" style="16" customWidth="1"/>
    <col min="5379" max="5379" width="11.140625" style="16" bestFit="1" customWidth="1"/>
    <col min="5380" max="5380" width="6.7109375" style="16" bestFit="1" customWidth="1"/>
    <col min="5381" max="5381" width="8.5703125" style="16" bestFit="1" customWidth="1"/>
    <col min="5382" max="5382" width="9.28515625" style="16" bestFit="1" customWidth="1"/>
    <col min="5383" max="5383" width="8.42578125" style="16" bestFit="1" customWidth="1"/>
    <col min="5384" max="5384" width="9.7109375" style="16" bestFit="1" customWidth="1"/>
    <col min="5385" max="5385" width="7.140625" style="16" bestFit="1" customWidth="1"/>
    <col min="5386" max="5386" width="7.7109375" style="16" customWidth="1"/>
    <col min="5387" max="5388" width="7" style="16" bestFit="1" customWidth="1"/>
    <col min="5389" max="5389" width="6.85546875" style="16" bestFit="1" customWidth="1"/>
    <col min="5390" max="5390" width="7" style="16" bestFit="1" customWidth="1"/>
    <col min="5391" max="5391" width="10.28515625" style="16" customWidth="1"/>
    <col min="5392" max="5396" width="9.140625" style="16"/>
    <col min="5397" max="5397" width="12.42578125" style="16" customWidth="1"/>
    <col min="5398" max="5398" width="9.140625" style="16"/>
    <col min="5399" max="5399" width="12" style="16" customWidth="1"/>
    <col min="5400" max="5632" width="9.140625" style="16"/>
    <col min="5633" max="5633" width="5" style="16" customWidth="1"/>
    <col min="5634" max="5634" width="18.140625" style="16" customWidth="1"/>
    <col min="5635" max="5635" width="11.140625" style="16" bestFit="1" customWidth="1"/>
    <col min="5636" max="5636" width="6.7109375" style="16" bestFit="1" customWidth="1"/>
    <col min="5637" max="5637" width="8.5703125" style="16" bestFit="1" customWidth="1"/>
    <col min="5638" max="5638" width="9.28515625" style="16" bestFit="1" customWidth="1"/>
    <col min="5639" max="5639" width="8.42578125" style="16" bestFit="1" customWidth="1"/>
    <col min="5640" max="5640" width="9.7109375" style="16" bestFit="1" customWidth="1"/>
    <col min="5641" max="5641" width="7.140625" style="16" bestFit="1" customWidth="1"/>
    <col min="5642" max="5642" width="7.7109375" style="16" customWidth="1"/>
    <col min="5643" max="5644" width="7" style="16" bestFit="1" customWidth="1"/>
    <col min="5645" max="5645" width="6.85546875" style="16" bestFit="1" customWidth="1"/>
    <col min="5646" max="5646" width="7" style="16" bestFit="1" customWidth="1"/>
    <col min="5647" max="5647" width="10.28515625" style="16" customWidth="1"/>
    <col min="5648" max="5652" width="9.140625" style="16"/>
    <col min="5653" max="5653" width="12.42578125" style="16" customWidth="1"/>
    <col min="5654" max="5654" width="9.140625" style="16"/>
    <col min="5655" max="5655" width="12" style="16" customWidth="1"/>
    <col min="5656" max="5888" width="9.140625" style="16"/>
    <col min="5889" max="5889" width="5" style="16" customWidth="1"/>
    <col min="5890" max="5890" width="18.140625" style="16" customWidth="1"/>
    <col min="5891" max="5891" width="11.140625" style="16" bestFit="1" customWidth="1"/>
    <col min="5892" max="5892" width="6.7109375" style="16" bestFit="1" customWidth="1"/>
    <col min="5893" max="5893" width="8.5703125" style="16" bestFit="1" customWidth="1"/>
    <col min="5894" max="5894" width="9.28515625" style="16" bestFit="1" customWidth="1"/>
    <col min="5895" max="5895" width="8.42578125" style="16" bestFit="1" customWidth="1"/>
    <col min="5896" max="5896" width="9.7109375" style="16" bestFit="1" customWidth="1"/>
    <col min="5897" max="5897" width="7.140625" style="16" bestFit="1" customWidth="1"/>
    <col min="5898" max="5898" width="7.7109375" style="16" customWidth="1"/>
    <col min="5899" max="5900" width="7" style="16" bestFit="1" customWidth="1"/>
    <col min="5901" max="5901" width="6.85546875" style="16" bestFit="1" customWidth="1"/>
    <col min="5902" max="5902" width="7" style="16" bestFit="1" customWidth="1"/>
    <col min="5903" max="5903" width="10.28515625" style="16" customWidth="1"/>
    <col min="5904" max="5908" width="9.140625" style="16"/>
    <col min="5909" max="5909" width="12.42578125" style="16" customWidth="1"/>
    <col min="5910" max="5910" width="9.140625" style="16"/>
    <col min="5911" max="5911" width="12" style="16" customWidth="1"/>
    <col min="5912" max="6144" width="9.140625" style="16"/>
    <col min="6145" max="6145" width="5" style="16" customWidth="1"/>
    <col min="6146" max="6146" width="18.140625" style="16" customWidth="1"/>
    <col min="6147" max="6147" width="11.140625" style="16" bestFit="1" customWidth="1"/>
    <col min="6148" max="6148" width="6.7109375" style="16" bestFit="1" customWidth="1"/>
    <col min="6149" max="6149" width="8.5703125" style="16" bestFit="1" customWidth="1"/>
    <col min="6150" max="6150" width="9.28515625" style="16" bestFit="1" customWidth="1"/>
    <col min="6151" max="6151" width="8.42578125" style="16" bestFit="1" customWidth="1"/>
    <col min="6152" max="6152" width="9.7109375" style="16" bestFit="1" customWidth="1"/>
    <col min="6153" max="6153" width="7.140625" style="16" bestFit="1" customWidth="1"/>
    <col min="6154" max="6154" width="7.7109375" style="16" customWidth="1"/>
    <col min="6155" max="6156" width="7" style="16" bestFit="1" customWidth="1"/>
    <col min="6157" max="6157" width="6.85546875" style="16" bestFit="1" customWidth="1"/>
    <col min="6158" max="6158" width="7" style="16" bestFit="1" customWidth="1"/>
    <col min="6159" max="6159" width="10.28515625" style="16" customWidth="1"/>
    <col min="6160" max="6164" width="9.140625" style="16"/>
    <col min="6165" max="6165" width="12.42578125" style="16" customWidth="1"/>
    <col min="6166" max="6166" width="9.140625" style="16"/>
    <col min="6167" max="6167" width="12" style="16" customWidth="1"/>
    <col min="6168" max="6400" width="9.140625" style="16"/>
    <col min="6401" max="6401" width="5" style="16" customWidth="1"/>
    <col min="6402" max="6402" width="18.140625" style="16" customWidth="1"/>
    <col min="6403" max="6403" width="11.140625" style="16" bestFit="1" customWidth="1"/>
    <col min="6404" max="6404" width="6.7109375" style="16" bestFit="1" customWidth="1"/>
    <col min="6405" max="6405" width="8.5703125" style="16" bestFit="1" customWidth="1"/>
    <col min="6406" max="6406" width="9.28515625" style="16" bestFit="1" customWidth="1"/>
    <col min="6407" max="6407" width="8.42578125" style="16" bestFit="1" customWidth="1"/>
    <col min="6408" max="6408" width="9.7109375" style="16" bestFit="1" customWidth="1"/>
    <col min="6409" max="6409" width="7.140625" style="16" bestFit="1" customWidth="1"/>
    <col min="6410" max="6410" width="7.7109375" style="16" customWidth="1"/>
    <col min="6411" max="6412" width="7" style="16" bestFit="1" customWidth="1"/>
    <col min="6413" max="6413" width="6.85546875" style="16" bestFit="1" customWidth="1"/>
    <col min="6414" max="6414" width="7" style="16" bestFit="1" customWidth="1"/>
    <col min="6415" max="6415" width="10.28515625" style="16" customWidth="1"/>
    <col min="6416" max="6420" width="9.140625" style="16"/>
    <col min="6421" max="6421" width="12.42578125" style="16" customWidth="1"/>
    <col min="6422" max="6422" width="9.140625" style="16"/>
    <col min="6423" max="6423" width="12" style="16" customWidth="1"/>
    <col min="6424" max="6656" width="9.140625" style="16"/>
    <col min="6657" max="6657" width="5" style="16" customWidth="1"/>
    <col min="6658" max="6658" width="18.140625" style="16" customWidth="1"/>
    <col min="6659" max="6659" width="11.140625" style="16" bestFit="1" customWidth="1"/>
    <col min="6660" max="6660" width="6.7109375" style="16" bestFit="1" customWidth="1"/>
    <col min="6661" max="6661" width="8.5703125" style="16" bestFit="1" customWidth="1"/>
    <col min="6662" max="6662" width="9.28515625" style="16" bestFit="1" customWidth="1"/>
    <col min="6663" max="6663" width="8.42578125" style="16" bestFit="1" customWidth="1"/>
    <col min="6664" max="6664" width="9.7109375" style="16" bestFit="1" customWidth="1"/>
    <col min="6665" max="6665" width="7.140625" style="16" bestFit="1" customWidth="1"/>
    <col min="6666" max="6666" width="7.7109375" style="16" customWidth="1"/>
    <col min="6667" max="6668" width="7" style="16" bestFit="1" customWidth="1"/>
    <col min="6669" max="6669" width="6.85546875" style="16" bestFit="1" customWidth="1"/>
    <col min="6670" max="6670" width="7" style="16" bestFit="1" customWidth="1"/>
    <col min="6671" max="6671" width="10.28515625" style="16" customWidth="1"/>
    <col min="6672" max="6676" width="9.140625" style="16"/>
    <col min="6677" max="6677" width="12.42578125" style="16" customWidth="1"/>
    <col min="6678" max="6678" width="9.140625" style="16"/>
    <col min="6679" max="6679" width="12" style="16" customWidth="1"/>
    <col min="6680" max="6912" width="9.140625" style="16"/>
    <col min="6913" max="6913" width="5" style="16" customWidth="1"/>
    <col min="6914" max="6914" width="18.140625" style="16" customWidth="1"/>
    <col min="6915" max="6915" width="11.140625" style="16" bestFit="1" customWidth="1"/>
    <col min="6916" max="6916" width="6.7109375" style="16" bestFit="1" customWidth="1"/>
    <col min="6917" max="6917" width="8.5703125" style="16" bestFit="1" customWidth="1"/>
    <col min="6918" max="6918" width="9.28515625" style="16" bestFit="1" customWidth="1"/>
    <col min="6919" max="6919" width="8.42578125" style="16" bestFit="1" customWidth="1"/>
    <col min="6920" max="6920" width="9.7109375" style="16" bestFit="1" customWidth="1"/>
    <col min="6921" max="6921" width="7.140625" style="16" bestFit="1" customWidth="1"/>
    <col min="6922" max="6922" width="7.7109375" style="16" customWidth="1"/>
    <col min="6923" max="6924" width="7" style="16" bestFit="1" customWidth="1"/>
    <col min="6925" max="6925" width="6.85546875" style="16" bestFit="1" customWidth="1"/>
    <col min="6926" max="6926" width="7" style="16" bestFit="1" customWidth="1"/>
    <col min="6927" max="6927" width="10.28515625" style="16" customWidth="1"/>
    <col min="6928" max="6932" width="9.140625" style="16"/>
    <col min="6933" max="6933" width="12.42578125" style="16" customWidth="1"/>
    <col min="6934" max="6934" width="9.140625" style="16"/>
    <col min="6935" max="6935" width="12" style="16" customWidth="1"/>
    <col min="6936" max="7168" width="9.140625" style="16"/>
    <col min="7169" max="7169" width="5" style="16" customWidth="1"/>
    <col min="7170" max="7170" width="18.140625" style="16" customWidth="1"/>
    <col min="7171" max="7171" width="11.140625" style="16" bestFit="1" customWidth="1"/>
    <col min="7172" max="7172" width="6.7109375" style="16" bestFit="1" customWidth="1"/>
    <col min="7173" max="7173" width="8.5703125" style="16" bestFit="1" customWidth="1"/>
    <col min="7174" max="7174" width="9.28515625" style="16" bestFit="1" customWidth="1"/>
    <col min="7175" max="7175" width="8.42578125" style="16" bestFit="1" customWidth="1"/>
    <col min="7176" max="7176" width="9.7109375" style="16" bestFit="1" customWidth="1"/>
    <col min="7177" max="7177" width="7.140625" style="16" bestFit="1" customWidth="1"/>
    <col min="7178" max="7178" width="7.7109375" style="16" customWidth="1"/>
    <col min="7179" max="7180" width="7" style="16" bestFit="1" customWidth="1"/>
    <col min="7181" max="7181" width="6.85546875" style="16" bestFit="1" customWidth="1"/>
    <col min="7182" max="7182" width="7" style="16" bestFit="1" customWidth="1"/>
    <col min="7183" max="7183" width="10.28515625" style="16" customWidth="1"/>
    <col min="7184" max="7188" width="9.140625" style="16"/>
    <col min="7189" max="7189" width="12.42578125" style="16" customWidth="1"/>
    <col min="7190" max="7190" width="9.140625" style="16"/>
    <col min="7191" max="7191" width="12" style="16" customWidth="1"/>
    <col min="7192" max="7424" width="9.140625" style="16"/>
    <col min="7425" max="7425" width="5" style="16" customWidth="1"/>
    <col min="7426" max="7426" width="18.140625" style="16" customWidth="1"/>
    <col min="7427" max="7427" width="11.140625" style="16" bestFit="1" customWidth="1"/>
    <col min="7428" max="7428" width="6.7109375" style="16" bestFit="1" customWidth="1"/>
    <col min="7429" max="7429" width="8.5703125" style="16" bestFit="1" customWidth="1"/>
    <col min="7430" max="7430" width="9.28515625" style="16" bestFit="1" customWidth="1"/>
    <col min="7431" max="7431" width="8.42578125" style="16" bestFit="1" customWidth="1"/>
    <col min="7432" max="7432" width="9.7109375" style="16" bestFit="1" customWidth="1"/>
    <col min="7433" max="7433" width="7.140625" style="16" bestFit="1" customWidth="1"/>
    <col min="7434" max="7434" width="7.7109375" style="16" customWidth="1"/>
    <col min="7435" max="7436" width="7" style="16" bestFit="1" customWidth="1"/>
    <col min="7437" max="7437" width="6.85546875" style="16" bestFit="1" customWidth="1"/>
    <col min="7438" max="7438" width="7" style="16" bestFit="1" customWidth="1"/>
    <col min="7439" max="7439" width="10.28515625" style="16" customWidth="1"/>
    <col min="7440" max="7444" width="9.140625" style="16"/>
    <col min="7445" max="7445" width="12.42578125" style="16" customWidth="1"/>
    <col min="7446" max="7446" width="9.140625" style="16"/>
    <col min="7447" max="7447" width="12" style="16" customWidth="1"/>
    <col min="7448" max="7680" width="9.140625" style="16"/>
    <col min="7681" max="7681" width="5" style="16" customWidth="1"/>
    <col min="7682" max="7682" width="18.140625" style="16" customWidth="1"/>
    <col min="7683" max="7683" width="11.140625" style="16" bestFit="1" customWidth="1"/>
    <col min="7684" max="7684" width="6.7109375" style="16" bestFit="1" customWidth="1"/>
    <col min="7685" max="7685" width="8.5703125" style="16" bestFit="1" customWidth="1"/>
    <col min="7686" max="7686" width="9.28515625" style="16" bestFit="1" customWidth="1"/>
    <col min="7687" max="7687" width="8.42578125" style="16" bestFit="1" customWidth="1"/>
    <col min="7688" max="7688" width="9.7109375" style="16" bestFit="1" customWidth="1"/>
    <col min="7689" max="7689" width="7.140625" style="16" bestFit="1" customWidth="1"/>
    <col min="7690" max="7690" width="7.7109375" style="16" customWidth="1"/>
    <col min="7691" max="7692" width="7" style="16" bestFit="1" customWidth="1"/>
    <col min="7693" max="7693" width="6.85546875" style="16" bestFit="1" customWidth="1"/>
    <col min="7694" max="7694" width="7" style="16" bestFit="1" customWidth="1"/>
    <col min="7695" max="7695" width="10.28515625" style="16" customWidth="1"/>
    <col min="7696" max="7700" width="9.140625" style="16"/>
    <col min="7701" max="7701" width="12.42578125" style="16" customWidth="1"/>
    <col min="7702" max="7702" width="9.140625" style="16"/>
    <col min="7703" max="7703" width="12" style="16" customWidth="1"/>
    <col min="7704" max="7936" width="9.140625" style="16"/>
    <col min="7937" max="7937" width="5" style="16" customWidth="1"/>
    <col min="7938" max="7938" width="18.140625" style="16" customWidth="1"/>
    <col min="7939" max="7939" width="11.140625" style="16" bestFit="1" customWidth="1"/>
    <col min="7940" max="7940" width="6.7109375" style="16" bestFit="1" customWidth="1"/>
    <col min="7941" max="7941" width="8.5703125" style="16" bestFit="1" customWidth="1"/>
    <col min="7942" max="7942" width="9.28515625" style="16" bestFit="1" customWidth="1"/>
    <col min="7943" max="7943" width="8.42578125" style="16" bestFit="1" customWidth="1"/>
    <col min="7944" max="7944" width="9.7109375" style="16" bestFit="1" customWidth="1"/>
    <col min="7945" max="7945" width="7.140625" style="16" bestFit="1" customWidth="1"/>
    <col min="7946" max="7946" width="7.7109375" style="16" customWidth="1"/>
    <col min="7947" max="7948" width="7" style="16" bestFit="1" customWidth="1"/>
    <col min="7949" max="7949" width="6.85546875" style="16" bestFit="1" customWidth="1"/>
    <col min="7950" max="7950" width="7" style="16" bestFit="1" customWidth="1"/>
    <col min="7951" max="7951" width="10.28515625" style="16" customWidth="1"/>
    <col min="7952" max="7956" width="9.140625" style="16"/>
    <col min="7957" max="7957" width="12.42578125" style="16" customWidth="1"/>
    <col min="7958" max="7958" width="9.140625" style="16"/>
    <col min="7959" max="7959" width="12" style="16" customWidth="1"/>
    <col min="7960" max="8192" width="9.140625" style="16"/>
    <col min="8193" max="8193" width="5" style="16" customWidth="1"/>
    <col min="8194" max="8194" width="18.140625" style="16" customWidth="1"/>
    <col min="8195" max="8195" width="11.140625" style="16" bestFit="1" customWidth="1"/>
    <col min="8196" max="8196" width="6.7109375" style="16" bestFit="1" customWidth="1"/>
    <col min="8197" max="8197" width="8.5703125" style="16" bestFit="1" customWidth="1"/>
    <col min="8198" max="8198" width="9.28515625" style="16" bestFit="1" customWidth="1"/>
    <col min="8199" max="8199" width="8.42578125" style="16" bestFit="1" customWidth="1"/>
    <col min="8200" max="8200" width="9.7109375" style="16" bestFit="1" customWidth="1"/>
    <col min="8201" max="8201" width="7.140625" style="16" bestFit="1" customWidth="1"/>
    <col min="8202" max="8202" width="7.7109375" style="16" customWidth="1"/>
    <col min="8203" max="8204" width="7" style="16" bestFit="1" customWidth="1"/>
    <col min="8205" max="8205" width="6.85546875" style="16" bestFit="1" customWidth="1"/>
    <col min="8206" max="8206" width="7" style="16" bestFit="1" customWidth="1"/>
    <col min="8207" max="8207" width="10.28515625" style="16" customWidth="1"/>
    <col min="8208" max="8212" width="9.140625" style="16"/>
    <col min="8213" max="8213" width="12.42578125" style="16" customWidth="1"/>
    <col min="8214" max="8214" width="9.140625" style="16"/>
    <col min="8215" max="8215" width="12" style="16" customWidth="1"/>
    <col min="8216" max="8448" width="9.140625" style="16"/>
    <col min="8449" max="8449" width="5" style="16" customWidth="1"/>
    <col min="8450" max="8450" width="18.140625" style="16" customWidth="1"/>
    <col min="8451" max="8451" width="11.140625" style="16" bestFit="1" customWidth="1"/>
    <col min="8452" max="8452" width="6.7109375" style="16" bestFit="1" customWidth="1"/>
    <col min="8453" max="8453" width="8.5703125" style="16" bestFit="1" customWidth="1"/>
    <col min="8454" max="8454" width="9.28515625" style="16" bestFit="1" customWidth="1"/>
    <col min="8455" max="8455" width="8.42578125" style="16" bestFit="1" customWidth="1"/>
    <col min="8456" max="8456" width="9.7109375" style="16" bestFit="1" customWidth="1"/>
    <col min="8457" max="8457" width="7.140625" style="16" bestFit="1" customWidth="1"/>
    <col min="8458" max="8458" width="7.7109375" style="16" customWidth="1"/>
    <col min="8459" max="8460" width="7" style="16" bestFit="1" customWidth="1"/>
    <col min="8461" max="8461" width="6.85546875" style="16" bestFit="1" customWidth="1"/>
    <col min="8462" max="8462" width="7" style="16" bestFit="1" customWidth="1"/>
    <col min="8463" max="8463" width="10.28515625" style="16" customWidth="1"/>
    <col min="8464" max="8468" width="9.140625" style="16"/>
    <col min="8469" max="8469" width="12.42578125" style="16" customWidth="1"/>
    <col min="8470" max="8470" width="9.140625" style="16"/>
    <col min="8471" max="8471" width="12" style="16" customWidth="1"/>
    <col min="8472" max="8704" width="9.140625" style="16"/>
    <col min="8705" max="8705" width="5" style="16" customWidth="1"/>
    <col min="8706" max="8706" width="18.140625" style="16" customWidth="1"/>
    <col min="8707" max="8707" width="11.140625" style="16" bestFit="1" customWidth="1"/>
    <col min="8708" max="8708" width="6.7109375" style="16" bestFit="1" customWidth="1"/>
    <col min="8709" max="8709" width="8.5703125" style="16" bestFit="1" customWidth="1"/>
    <col min="8710" max="8710" width="9.28515625" style="16" bestFit="1" customWidth="1"/>
    <col min="8711" max="8711" width="8.42578125" style="16" bestFit="1" customWidth="1"/>
    <col min="8712" max="8712" width="9.7109375" style="16" bestFit="1" customWidth="1"/>
    <col min="8713" max="8713" width="7.140625" style="16" bestFit="1" customWidth="1"/>
    <col min="8714" max="8714" width="7.7109375" style="16" customWidth="1"/>
    <col min="8715" max="8716" width="7" style="16" bestFit="1" customWidth="1"/>
    <col min="8717" max="8717" width="6.85546875" style="16" bestFit="1" customWidth="1"/>
    <col min="8718" max="8718" width="7" style="16" bestFit="1" customWidth="1"/>
    <col min="8719" max="8719" width="10.28515625" style="16" customWidth="1"/>
    <col min="8720" max="8724" width="9.140625" style="16"/>
    <col min="8725" max="8725" width="12.42578125" style="16" customWidth="1"/>
    <col min="8726" max="8726" width="9.140625" style="16"/>
    <col min="8727" max="8727" width="12" style="16" customWidth="1"/>
    <col min="8728" max="8960" width="9.140625" style="16"/>
    <col min="8961" max="8961" width="5" style="16" customWidth="1"/>
    <col min="8962" max="8962" width="18.140625" style="16" customWidth="1"/>
    <col min="8963" max="8963" width="11.140625" style="16" bestFit="1" customWidth="1"/>
    <col min="8964" max="8964" width="6.7109375" style="16" bestFit="1" customWidth="1"/>
    <col min="8965" max="8965" width="8.5703125" style="16" bestFit="1" customWidth="1"/>
    <col min="8966" max="8966" width="9.28515625" style="16" bestFit="1" customWidth="1"/>
    <col min="8967" max="8967" width="8.42578125" style="16" bestFit="1" customWidth="1"/>
    <col min="8968" max="8968" width="9.7109375" style="16" bestFit="1" customWidth="1"/>
    <col min="8969" max="8969" width="7.140625" style="16" bestFit="1" customWidth="1"/>
    <col min="8970" max="8970" width="7.7109375" style="16" customWidth="1"/>
    <col min="8971" max="8972" width="7" style="16" bestFit="1" customWidth="1"/>
    <col min="8973" max="8973" width="6.85546875" style="16" bestFit="1" customWidth="1"/>
    <col min="8974" max="8974" width="7" style="16" bestFit="1" customWidth="1"/>
    <col min="8975" max="8975" width="10.28515625" style="16" customWidth="1"/>
    <col min="8976" max="8980" width="9.140625" style="16"/>
    <col min="8981" max="8981" width="12.42578125" style="16" customWidth="1"/>
    <col min="8982" max="8982" width="9.140625" style="16"/>
    <col min="8983" max="8983" width="12" style="16" customWidth="1"/>
    <col min="8984" max="9216" width="9.140625" style="16"/>
    <col min="9217" max="9217" width="5" style="16" customWidth="1"/>
    <col min="9218" max="9218" width="18.140625" style="16" customWidth="1"/>
    <col min="9219" max="9219" width="11.140625" style="16" bestFit="1" customWidth="1"/>
    <col min="9220" max="9220" width="6.7109375" style="16" bestFit="1" customWidth="1"/>
    <col min="9221" max="9221" width="8.5703125" style="16" bestFit="1" customWidth="1"/>
    <col min="9222" max="9222" width="9.28515625" style="16" bestFit="1" customWidth="1"/>
    <col min="9223" max="9223" width="8.42578125" style="16" bestFit="1" customWidth="1"/>
    <col min="9224" max="9224" width="9.7109375" style="16" bestFit="1" customWidth="1"/>
    <col min="9225" max="9225" width="7.140625" style="16" bestFit="1" customWidth="1"/>
    <col min="9226" max="9226" width="7.7109375" style="16" customWidth="1"/>
    <col min="9227" max="9228" width="7" style="16" bestFit="1" customWidth="1"/>
    <col min="9229" max="9229" width="6.85546875" style="16" bestFit="1" customWidth="1"/>
    <col min="9230" max="9230" width="7" style="16" bestFit="1" customWidth="1"/>
    <col min="9231" max="9231" width="10.28515625" style="16" customWidth="1"/>
    <col min="9232" max="9236" width="9.140625" style="16"/>
    <col min="9237" max="9237" width="12.42578125" style="16" customWidth="1"/>
    <col min="9238" max="9238" width="9.140625" style="16"/>
    <col min="9239" max="9239" width="12" style="16" customWidth="1"/>
    <col min="9240" max="9472" width="9.140625" style="16"/>
    <col min="9473" max="9473" width="5" style="16" customWidth="1"/>
    <col min="9474" max="9474" width="18.140625" style="16" customWidth="1"/>
    <col min="9475" max="9475" width="11.140625" style="16" bestFit="1" customWidth="1"/>
    <col min="9476" max="9476" width="6.7109375" style="16" bestFit="1" customWidth="1"/>
    <col min="9477" max="9477" width="8.5703125" style="16" bestFit="1" customWidth="1"/>
    <col min="9478" max="9478" width="9.28515625" style="16" bestFit="1" customWidth="1"/>
    <col min="9479" max="9479" width="8.42578125" style="16" bestFit="1" customWidth="1"/>
    <col min="9480" max="9480" width="9.7109375" style="16" bestFit="1" customWidth="1"/>
    <col min="9481" max="9481" width="7.140625" style="16" bestFit="1" customWidth="1"/>
    <col min="9482" max="9482" width="7.7109375" style="16" customWidth="1"/>
    <col min="9483" max="9484" width="7" style="16" bestFit="1" customWidth="1"/>
    <col min="9485" max="9485" width="6.85546875" style="16" bestFit="1" customWidth="1"/>
    <col min="9486" max="9486" width="7" style="16" bestFit="1" customWidth="1"/>
    <col min="9487" max="9487" width="10.28515625" style="16" customWidth="1"/>
    <col min="9488" max="9492" width="9.140625" style="16"/>
    <col min="9493" max="9493" width="12.42578125" style="16" customWidth="1"/>
    <col min="9494" max="9494" width="9.140625" style="16"/>
    <col min="9495" max="9495" width="12" style="16" customWidth="1"/>
    <col min="9496" max="9728" width="9.140625" style="16"/>
    <col min="9729" max="9729" width="5" style="16" customWidth="1"/>
    <col min="9730" max="9730" width="18.140625" style="16" customWidth="1"/>
    <col min="9731" max="9731" width="11.140625" style="16" bestFit="1" customWidth="1"/>
    <col min="9732" max="9732" width="6.7109375" style="16" bestFit="1" customWidth="1"/>
    <col min="9733" max="9733" width="8.5703125" style="16" bestFit="1" customWidth="1"/>
    <col min="9734" max="9734" width="9.28515625" style="16" bestFit="1" customWidth="1"/>
    <col min="9735" max="9735" width="8.42578125" style="16" bestFit="1" customWidth="1"/>
    <col min="9736" max="9736" width="9.7109375" style="16" bestFit="1" customWidth="1"/>
    <col min="9737" max="9737" width="7.140625" style="16" bestFit="1" customWidth="1"/>
    <col min="9738" max="9738" width="7.7109375" style="16" customWidth="1"/>
    <col min="9739" max="9740" width="7" style="16" bestFit="1" customWidth="1"/>
    <col min="9741" max="9741" width="6.85546875" style="16" bestFit="1" customWidth="1"/>
    <col min="9742" max="9742" width="7" style="16" bestFit="1" customWidth="1"/>
    <col min="9743" max="9743" width="10.28515625" style="16" customWidth="1"/>
    <col min="9744" max="9748" width="9.140625" style="16"/>
    <col min="9749" max="9749" width="12.42578125" style="16" customWidth="1"/>
    <col min="9750" max="9750" width="9.140625" style="16"/>
    <col min="9751" max="9751" width="12" style="16" customWidth="1"/>
    <col min="9752" max="9984" width="9.140625" style="16"/>
    <col min="9985" max="9985" width="5" style="16" customWidth="1"/>
    <col min="9986" max="9986" width="18.140625" style="16" customWidth="1"/>
    <col min="9987" max="9987" width="11.140625" style="16" bestFit="1" customWidth="1"/>
    <col min="9988" max="9988" width="6.7109375" style="16" bestFit="1" customWidth="1"/>
    <col min="9989" max="9989" width="8.5703125" style="16" bestFit="1" customWidth="1"/>
    <col min="9990" max="9990" width="9.28515625" style="16" bestFit="1" customWidth="1"/>
    <col min="9991" max="9991" width="8.42578125" style="16" bestFit="1" customWidth="1"/>
    <col min="9992" max="9992" width="9.7109375" style="16" bestFit="1" customWidth="1"/>
    <col min="9993" max="9993" width="7.140625" style="16" bestFit="1" customWidth="1"/>
    <col min="9994" max="9994" width="7.7109375" style="16" customWidth="1"/>
    <col min="9995" max="9996" width="7" style="16" bestFit="1" customWidth="1"/>
    <col min="9997" max="9997" width="6.85546875" style="16" bestFit="1" customWidth="1"/>
    <col min="9998" max="9998" width="7" style="16" bestFit="1" customWidth="1"/>
    <col min="9999" max="9999" width="10.28515625" style="16" customWidth="1"/>
    <col min="10000" max="10004" width="9.140625" style="16"/>
    <col min="10005" max="10005" width="12.42578125" style="16" customWidth="1"/>
    <col min="10006" max="10006" width="9.140625" style="16"/>
    <col min="10007" max="10007" width="12" style="16" customWidth="1"/>
    <col min="10008" max="10240" width="9.140625" style="16"/>
    <col min="10241" max="10241" width="5" style="16" customWidth="1"/>
    <col min="10242" max="10242" width="18.140625" style="16" customWidth="1"/>
    <col min="10243" max="10243" width="11.140625" style="16" bestFit="1" customWidth="1"/>
    <col min="10244" max="10244" width="6.7109375" style="16" bestFit="1" customWidth="1"/>
    <col min="10245" max="10245" width="8.5703125" style="16" bestFit="1" customWidth="1"/>
    <col min="10246" max="10246" width="9.28515625" style="16" bestFit="1" customWidth="1"/>
    <col min="10247" max="10247" width="8.42578125" style="16" bestFit="1" customWidth="1"/>
    <col min="10248" max="10248" width="9.7109375" style="16" bestFit="1" customWidth="1"/>
    <col min="10249" max="10249" width="7.140625" style="16" bestFit="1" customWidth="1"/>
    <col min="10250" max="10250" width="7.7109375" style="16" customWidth="1"/>
    <col min="10251" max="10252" width="7" style="16" bestFit="1" customWidth="1"/>
    <col min="10253" max="10253" width="6.85546875" style="16" bestFit="1" customWidth="1"/>
    <col min="10254" max="10254" width="7" style="16" bestFit="1" customWidth="1"/>
    <col min="10255" max="10255" width="10.28515625" style="16" customWidth="1"/>
    <col min="10256" max="10260" width="9.140625" style="16"/>
    <col min="10261" max="10261" width="12.42578125" style="16" customWidth="1"/>
    <col min="10262" max="10262" width="9.140625" style="16"/>
    <col min="10263" max="10263" width="12" style="16" customWidth="1"/>
    <col min="10264" max="10496" width="9.140625" style="16"/>
    <col min="10497" max="10497" width="5" style="16" customWidth="1"/>
    <col min="10498" max="10498" width="18.140625" style="16" customWidth="1"/>
    <col min="10499" max="10499" width="11.140625" style="16" bestFit="1" customWidth="1"/>
    <col min="10500" max="10500" width="6.7109375" style="16" bestFit="1" customWidth="1"/>
    <col min="10501" max="10501" width="8.5703125" style="16" bestFit="1" customWidth="1"/>
    <col min="10502" max="10502" width="9.28515625" style="16" bestFit="1" customWidth="1"/>
    <col min="10503" max="10503" width="8.42578125" style="16" bestFit="1" customWidth="1"/>
    <col min="10504" max="10504" width="9.7109375" style="16" bestFit="1" customWidth="1"/>
    <col min="10505" max="10505" width="7.140625" style="16" bestFit="1" customWidth="1"/>
    <col min="10506" max="10506" width="7.7109375" style="16" customWidth="1"/>
    <col min="10507" max="10508" width="7" style="16" bestFit="1" customWidth="1"/>
    <col min="10509" max="10509" width="6.85546875" style="16" bestFit="1" customWidth="1"/>
    <col min="10510" max="10510" width="7" style="16" bestFit="1" customWidth="1"/>
    <col min="10511" max="10511" width="10.28515625" style="16" customWidth="1"/>
    <col min="10512" max="10516" width="9.140625" style="16"/>
    <col min="10517" max="10517" width="12.42578125" style="16" customWidth="1"/>
    <col min="10518" max="10518" width="9.140625" style="16"/>
    <col min="10519" max="10519" width="12" style="16" customWidth="1"/>
    <col min="10520" max="10752" width="9.140625" style="16"/>
    <col min="10753" max="10753" width="5" style="16" customWidth="1"/>
    <col min="10754" max="10754" width="18.140625" style="16" customWidth="1"/>
    <col min="10755" max="10755" width="11.140625" style="16" bestFit="1" customWidth="1"/>
    <col min="10756" max="10756" width="6.7109375" style="16" bestFit="1" customWidth="1"/>
    <col min="10757" max="10757" width="8.5703125" style="16" bestFit="1" customWidth="1"/>
    <col min="10758" max="10758" width="9.28515625" style="16" bestFit="1" customWidth="1"/>
    <col min="10759" max="10759" width="8.42578125" style="16" bestFit="1" customWidth="1"/>
    <col min="10760" max="10760" width="9.7109375" style="16" bestFit="1" customWidth="1"/>
    <col min="10761" max="10761" width="7.140625" style="16" bestFit="1" customWidth="1"/>
    <col min="10762" max="10762" width="7.7109375" style="16" customWidth="1"/>
    <col min="10763" max="10764" width="7" style="16" bestFit="1" customWidth="1"/>
    <col min="10765" max="10765" width="6.85546875" style="16" bestFit="1" customWidth="1"/>
    <col min="10766" max="10766" width="7" style="16" bestFit="1" customWidth="1"/>
    <col min="10767" max="10767" width="10.28515625" style="16" customWidth="1"/>
    <col min="10768" max="10772" width="9.140625" style="16"/>
    <col min="10773" max="10773" width="12.42578125" style="16" customWidth="1"/>
    <col min="10774" max="10774" width="9.140625" style="16"/>
    <col min="10775" max="10775" width="12" style="16" customWidth="1"/>
    <col min="10776" max="11008" width="9.140625" style="16"/>
    <col min="11009" max="11009" width="5" style="16" customWidth="1"/>
    <col min="11010" max="11010" width="18.140625" style="16" customWidth="1"/>
    <col min="11011" max="11011" width="11.140625" style="16" bestFit="1" customWidth="1"/>
    <col min="11012" max="11012" width="6.7109375" style="16" bestFit="1" customWidth="1"/>
    <col min="11013" max="11013" width="8.5703125" style="16" bestFit="1" customWidth="1"/>
    <col min="11014" max="11014" width="9.28515625" style="16" bestFit="1" customWidth="1"/>
    <col min="11015" max="11015" width="8.42578125" style="16" bestFit="1" customWidth="1"/>
    <col min="11016" max="11016" width="9.7109375" style="16" bestFit="1" customWidth="1"/>
    <col min="11017" max="11017" width="7.140625" style="16" bestFit="1" customWidth="1"/>
    <col min="11018" max="11018" width="7.7109375" style="16" customWidth="1"/>
    <col min="11019" max="11020" width="7" style="16" bestFit="1" customWidth="1"/>
    <col min="11021" max="11021" width="6.85546875" style="16" bestFit="1" customWidth="1"/>
    <col min="11022" max="11022" width="7" style="16" bestFit="1" customWidth="1"/>
    <col min="11023" max="11023" width="10.28515625" style="16" customWidth="1"/>
    <col min="11024" max="11028" width="9.140625" style="16"/>
    <col min="11029" max="11029" width="12.42578125" style="16" customWidth="1"/>
    <col min="11030" max="11030" width="9.140625" style="16"/>
    <col min="11031" max="11031" width="12" style="16" customWidth="1"/>
    <col min="11032" max="11264" width="9.140625" style="16"/>
    <col min="11265" max="11265" width="5" style="16" customWidth="1"/>
    <col min="11266" max="11266" width="18.140625" style="16" customWidth="1"/>
    <col min="11267" max="11267" width="11.140625" style="16" bestFit="1" customWidth="1"/>
    <col min="11268" max="11268" width="6.7109375" style="16" bestFit="1" customWidth="1"/>
    <col min="11269" max="11269" width="8.5703125" style="16" bestFit="1" customWidth="1"/>
    <col min="11270" max="11270" width="9.28515625" style="16" bestFit="1" customWidth="1"/>
    <col min="11271" max="11271" width="8.42578125" style="16" bestFit="1" customWidth="1"/>
    <col min="11272" max="11272" width="9.7109375" style="16" bestFit="1" customWidth="1"/>
    <col min="11273" max="11273" width="7.140625" style="16" bestFit="1" customWidth="1"/>
    <col min="11274" max="11274" width="7.7109375" style="16" customWidth="1"/>
    <col min="11275" max="11276" width="7" style="16" bestFit="1" customWidth="1"/>
    <col min="11277" max="11277" width="6.85546875" style="16" bestFit="1" customWidth="1"/>
    <col min="11278" max="11278" width="7" style="16" bestFit="1" customWidth="1"/>
    <col min="11279" max="11279" width="10.28515625" style="16" customWidth="1"/>
    <col min="11280" max="11284" width="9.140625" style="16"/>
    <col min="11285" max="11285" width="12.42578125" style="16" customWidth="1"/>
    <col min="11286" max="11286" width="9.140625" style="16"/>
    <col min="11287" max="11287" width="12" style="16" customWidth="1"/>
    <col min="11288" max="11520" width="9.140625" style="16"/>
    <col min="11521" max="11521" width="5" style="16" customWidth="1"/>
    <col min="11522" max="11522" width="18.140625" style="16" customWidth="1"/>
    <col min="11523" max="11523" width="11.140625" style="16" bestFit="1" customWidth="1"/>
    <col min="11524" max="11524" width="6.7109375" style="16" bestFit="1" customWidth="1"/>
    <col min="11525" max="11525" width="8.5703125" style="16" bestFit="1" customWidth="1"/>
    <col min="11526" max="11526" width="9.28515625" style="16" bestFit="1" customWidth="1"/>
    <col min="11527" max="11527" width="8.42578125" style="16" bestFit="1" customWidth="1"/>
    <col min="11528" max="11528" width="9.7109375" style="16" bestFit="1" customWidth="1"/>
    <col min="11529" max="11529" width="7.140625" style="16" bestFit="1" customWidth="1"/>
    <col min="11530" max="11530" width="7.7109375" style="16" customWidth="1"/>
    <col min="11531" max="11532" width="7" style="16" bestFit="1" customWidth="1"/>
    <col min="11533" max="11533" width="6.85546875" style="16" bestFit="1" customWidth="1"/>
    <col min="11534" max="11534" width="7" style="16" bestFit="1" customWidth="1"/>
    <col min="11535" max="11535" width="10.28515625" style="16" customWidth="1"/>
    <col min="11536" max="11540" width="9.140625" style="16"/>
    <col min="11541" max="11541" width="12.42578125" style="16" customWidth="1"/>
    <col min="11542" max="11542" width="9.140625" style="16"/>
    <col min="11543" max="11543" width="12" style="16" customWidth="1"/>
    <col min="11544" max="11776" width="9.140625" style="16"/>
    <col min="11777" max="11777" width="5" style="16" customWidth="1"/>
    <col min="11778" max="11778" width="18.140625" style="16" customWidth="1"/>
    <col min="11779" max="11779" width="11.140625" style="16" bestFit="1" customWidth="1"/>
    <col min="11780" max="11780" width="6.7109375" style="16" bestFit="1" customWidth="1"/>
    <col min="11781" max="11781" width="8.5703125" style="16" bestFit="1" customWidth="1"/>
    <col min="11782" max="11782" width="9.28515625" style="16" bestFit="1" customWidth="1"/>
    <col min="11783" max="11783" width="8.42578125" style="16" bestFit="1" customWidth="1"/>
    <col min="11784" max="11784" width="9.7109375" style="16" bestFit="1" customWidth="1"/>
    <col min="11785" max="11785" width="7.140625" style="16" bestFit="1" customWidth="1"/>
    <col min="11786" max="11786" width="7.7109375" style="16" customWidth="1"/>
    <col min="11787" max="11788" width="7" style="16" bestFit="1" customWidth="1"/>
    <col min="11789" max="11789" width="6.85546875" style="16" bestFit="1" customWidth="1"/>
    <col min="11790" max="11790" width="7" style="16" bestFit="1" customWidth="1"/>
    <col min="11791" max="11791" width="10.28515625" style="16" customWidth="1"/>
    <col min="11792" max="11796" width="9.140625" style="16"/>
    <col min="11797" max="11797" width="12.42578125" style="16" customWidth="1"/>
    <col min="11798" max="11798" width="9.140625" style="16"/>
    <col min="11799" max="11799" width="12" style="16" customWidth="1"/>
    <col min="11800" max="12032" width="9.140625" style="16"/>
    <col min="12033" max="12033" width="5" style="16" customWidth="1"/>
    <col min="12034" max="12034" width="18.140625" style="16" customWidth="1"/>
    <col min="12035" max="12035" width="11.140625" style="16" bestFit="1" customWidth="1"/>
    <col min="12036" max="12036" width="6.7109375" style="16" bestFit="1" customWidth="1"/>
    <col min="12037" max="12037" width="8.5703125" style="16" bestFit="1" customWidth="1"/>
    <col min="12038" max="12038" width="9.28515625" style="16" bestFit="1" customWidth="1"/>
    <col min="12039" max="12039" width="8.42578125" style="16" bestFit="1" customWidth="1"/>
    <col min="12040" max="12040" width="9.7109375" style="16" bestFit="1" customWidth="1"/>
    <col min="12041" max="12041" width="7.140625" style="16" bestFit="1" customWidth="1"/>
    <col min="12042" max="12042" width="7.7109375" style="16" customWidth="1"/>
    <col min="12043" max="12044" width="7" style="16" bestFit="1" customWidth="1"/>
    <col min="12045" max="12045" width="6.85546875" style="16" bestFit="1" customWidth="1"/>
    <col min="12046" max="12046" width="7" style="16" bestFit="1" customWidth="1"/>
    <col min="12047" max="12047" width="10.28515625" style="16" customWidth="1"/>
    <col min="12048" max="12052" width="9.140625" style="16"/>
    <col min="12053" max="12053" width="12.42578125" style="16" customWidth="1"/>
    <col min="12054" max="12054" width="9.140625" style="16"/>
    <col min="12055" max="12055" width="12" style="16" customWidth="1"/>
    <col min="12056" max="12288" width="9.140625" style="16"/>
    <col min="12289" max="12289" width="5" style="16" customWidth="1"/>
    <col min="12290" max="12290" width="18.140625" style="16" customWidth="1"/>
    <col min="12291" max="12291" width="11.140625" style="16" bestFit="1" customWidth="1"/>
    <col min="12292" max="12292" width="6.7109375" style="16" bestFit="1" customWidth="1"/>
    <col min="12293" max="12293" width="8.5703125" style="16" bestFit="1" customWidth="1"/>
    <col min="12294" max="12294" width="9.28515625" style="16" bestFit="1" customWidth="1"/>
    <col min="12295" max="12295" width="8.42578125" style="16" bestFit="1" customWidth="1"/>
    <col min="12296" max="12296" width="9.7109375" style="16" bestFit="1" customWidth="1"/>
    <col min="12297" max="12297" width="7.140625" style="16" bestFit="1" customWidth="1"/>
    <col min="12298" max="12298" width="7.7109375" style="16" customWidth="1"/>
    <col min="12299" max="12300" width="7" style="16" bestFit="1" customWidth="1"/>
    <col min="12301" max="12301" width="6.85546875" style="16" bestFit="1" customWidth="1"/>
    <col min="12302" max="12302" width="7" style="16" bestFit="1" customWidth="1"/>
    <col min="12303" max="12303" width="10.28515625" style="16" customWidth="1"/>
    <col min="12304" max="12308" width="9.140625" style="16"/>
    <col min="12309" max="12309" width="12.42578125" style="16" customWidth="1"/>
    <col min="12310" max="12310" width="9.140625" style="16"/>
    <col min="12311" max="12311" width="12" style="16" customWidth="1"/>
    <col min="12312" max="12544" width="9.140625" style="16"/>
    <col min="12545" max="12545" width="5" style="16" customWidth="1"/>
    <col min="12546" max="12546" width="18.140625" style="16" customWidth="1"/>
    <col min="12547" max="12547" width="11.140625" style="16" bestFit="1" customWidth="1"/>
    <col min="12548" max="12548" width="6.7109375" style="16" bestFit="1" customWidth="1"/>
    <col min="12549" max="12549" width="8.5703125" style="16" bestFit="1" customWidth="1"/>
    <col min="12550" max="12550" width="9.28515625" style="16" bestFit="1" customWidth="1"/>
    <col min="12551" max="12551" width="8.42578125" style="16" bestFit="1" customWidth="1"/>
    <col min="12552" max="12552" width="9.7109375" style="16" bestFit="1" customWidth="1"/>
    <col min="12553" max="12553" width="7.140625" style="16" bestFit="1" customWidth="1"/>
    <col min="12554" max="12554" width="7.7109375" style="16" customWidth="1"/>
    <col min="12555" max="12556" width="7" style="16" bestFit="1" customWidth="1"/>
    <col min="12557" max="12557" width="6.85546875" style="16" bestFit="1" customWidth="1"/>
    <col min="12558" max="12558" width="7" style="16" bestFit="1" customWidth="1"/>
    <col min="12559" max="12559" width="10.28515625" style="16" customWidth="1"/>
    <col min="12560" max="12564" width="9.140625" style="16"/>
    <col min="12565" max="12565" width="12.42578125" style="16" customWidth="1"/>
    <col min="12566" max="12566" width="9.140625" style="16"/>
    <col min="12567" max="12567" width="12" style="16" customWidth="1"/>
    <col min="12568" max="12800" width="9.140625" style="16"/>
    <col min="12801" max="12801" width="5" style="16" customWidth="1"/>
    <col min="12802" max="12802" width="18.140625" style="16" customWidth="1"/>
    <col min="12803" max="12803" width="11.140625" style="16" bestFit="1" customWidth="1"/>
    <col min="12804" max="12804" width="6.7109375" style="16" bestFit="1" customWidth="1"/>
    <col min="12805" max="12805" width="8.5703125" style="16" bestFit="1" customWidth="1"/>
    <col min="12806" max="12806" width="9.28515625" style="16" bestFit="1" customWidth="1"/>
    <col min="12807" max="12807" width="8.42578125" style="16" bestFit="1" customWidth="1"/>
    <col min="12808" max="12808" width="9.7109375" style="16" bestFit="1" customWidth="1"/>
    <col min="12809" max="12809" width="7.140625" style="16" bestFit="1" customWidth="1"/>
    <col min="12810" max="12810" width="7.7109375" style="16" customWidth="1"/>
    <col min="12811" max="12812" width="7" style="16" bestFit="1" customWidth="1"/>
    <col min="12813" max="12813" width="6.85546875" style="16" bestFit="1" customWidth="1"/>
    <col min="12814" max="12814" width="7" style="16" bestFit="1" customWidth="1"/>
    <col min="12815" max="12815" width="10.28515625" style="16" customWidth="1"/>
    <col min="12816" max="12820" width="9.140625" style="16"/>
    <col min="12821" max="12821" width="12.42578125" style="16" customWidth="1"/>
    <col min="12822" max="12822" width="9.140625" style="16"/>
    <col min="12823" max="12823" width="12" style="16" customWidth="1"/>
    <col min="12824" max="13056" width="9.140625" style="16"/>
    <col min="13057" max="13057" width="5" style="16" customWidth="1"/>
    <col min="13058" max="13058" width="18.140625" style="16" customWidth="1"/>
    <col min="13059" max="13059" width="11.140625" style="16" bestFit="1" customWidth="1"/>
    <col min="13060" max="13060" width="6.7109375" style="16" bestFit="1" customWidth="1"/>
    <col min="13061" max="13061" width="8.5703125" style="16" bestFit="1" customWidth="1"/>
    <col min="13062" max="13062" width="9.28515625" style="16" bestFit="1" customWidth="1"/>
    <col min="13063" max="13063" width="8.42578125" style="16" bestFit="1" customWidth="1"/>
    <col min="13064" max="13064" width="9.7109375" style="16" bestFit="1" customWidth="1"/>
    <col min="13065" max="13065" width="7.140625" style="16" bestFit="1" customWidth="1"/>
    <col min="13066" max="13066" width="7.7109375" style="16" customWidth="1"/>
    <col min="13067" max="13068" width="7" style="16" bestFit="1" customWidth="1"/>
    <col min="13069" max="13069" width="6.85546875" style="16" bestFit="1" customWidth="1"/>
    <col min="13070" max="13070" width="7" style="16" bestFit="1" customWidth="1"/>
    <col min="13071" max="13071" width="10.28515625" style="16" customWidth="1"/>
    <col min="13072" max="13076" width="9.140625" style="16"/>
    <col min="13077" max="13077" width="12.42578125" style="16" customWidth="1"/>
    <col min="13078" max="13078" width="9.140625" style="16"/>
    <col min="13079" max="13079" width="12" style="16" customWidth="1"/>
    <col min="13080" max="13312" width="9.140625" style="16"/>
    <col min="13313" max="13313" width="5" style="16" customWidth="1"/>
    <col min="13314" max="13314" width="18.140625" style="16" customWidth="1"/>
    <col min="13315" max="13315" width="11.140625" style="16" bestFit="1" customWidth="1"/>
    <col min="13316" max="13316" width="6.7109375" style="16" bestFit="1" customWidth="1"/>
    <col min="13317" max="13317" width="8.5703125" style="16" bestFit="1" customWidth="1"/>
    <col min="13318" max="13318" width="9.28515625" style="16" bestFit="1" customWidth="1"/>
    <col min="13319" max="13319" width="8.42578125" style="16" bestFit="1" customWidth="1"/>
    <col min="13320" max="13320" width="9.7109375" style="16" bestFit="1" customWidth="1"/>
    <col min="13321" max="13321" width="7.140625" style="16" bestFit="1" customWidth="1"/>
    <col min="13322" max="13322" width="7.7109375" style="16" customWidth="1"/>
    <col min="13323" max="13324" width="7" style="16" bestFit="1" customWidth="1"/>
    <col min="13325" max="13325" width="6.85546875" style="16" bestFit="1" customWidth="1"/>
    <col min="13326" max="13326" width="7" style="16" bestFit="1" customWidth="1"/>
    <col min="13327" max="13327" width="10.28515625" style="16" customWidth="1"/>
    <col min="13328" max="13332" width="9.140625" style="16"/>
    <col min="13333" max="13333" width="12.42578125" style="16" customWidth="1"/>
    <col min="13334" max="13334" width="9.140625" style="16"/>
    <col min="13335" max="13335" width="12" style="16" customWidth="1"/>
    <col min="13336" max="13568" width="9.140625" style="16"/>
    <col min="13569" max="13569" width="5" style="16" customWidth="1"/>
    <col min="13570" max="13570" width="18.140625" style="16" customWidth="1"/>
    <col min="13571" max="13571" width="11.140625" style="16" bestFit="1" customWidth="1"/>
    <col min="13572" max="13572" width="6.7109375" style="16" bestFit="1" customWidth="1"/>
    <col min="13573" max="13573" width="8.5703125" style="16" bestFit="1" customWidth="1"/>
    <col min="13574" max="13574" width="9.28515625" style="16" bestFit="1" customWidth="1"/>
    <col min="13575" max="13575" width="8.42578125" style="16" bestFit="1" customWidth="1"/>
    <col min="13576" max="13576" width="9.7109375" style="16" bestFit="1" customWidth="1"/>
    <col min="13577" max="13577" width="7.140625" style="16" bestFit="1" customWidth="1"/>
    <col min="13578" max="13578" width="7.7109375" style="16" customWidth="1"/>
    <col min="13579" max="13580" width="7" style="16" bestFit="1" customWidth="1"/>
    <col min="13581" max="13581" width="6.85546875" style="16" bestFit="1" customWidth="1"/>
    <col min="13582" max="13582" width="7" style="16" bestFit="1" customWidth="1"/>
    <col min="13583" max="13583" width="10.28515625" style="16" customWidth="1"/>
    <col min="13584" max="13588" width="9.140625" style="16"/>
    <col min="13589" max="13589" width="12.42578125" style="16" customWidth="1"/>
    <col min="13590" max="13590" width="9.140625" style="16"/>
    <col min="13591" max="13591" width="12" style="16" customWidth="1"/>
    <col min="13592" max="13824" width="9.140625" style="16"/>
    <col min="13825" max="13825" width="5" style="16" customWidth="1"/>
    <col min="13826" max="13826" width="18.140625" style="16" customWidth="1"/>
    <col min="13827" max="13827" width="11.140625" style="16" bestFit="1" customWidth="1"/>
    <col min="13828" max="13828" width="6.7109375" style="16" bestFit="1" customWidth="1"/>
    <col min="13829" max="13829" width="8.5703125" style="16" bestFit="1" customWidth="1"/>
    <col min="13830" max="13830" width="9.28515625" style="16" bestFit="1" customWidth="1"/>
    <col min="13831" max="13831" width="8.42578125" style="16" bestFit="1" customWidth="1"/>
    <col min="13832" max="13832" width="9.7109375" style="16" bestFit="1" customWidth="1"/>
    <col min="13833" max="13833" width="7.140625" style="16" bestFit="1" customWidth="1"/>
    <col min="13834" max="13834" width="7.7109375" style="16" customWidth="1"/>
    <col min="13835" max="13836" width="7" style="16" bestFit="1" customWidth="1"/>
    <col min="13837" max="13837" width="6.85546875" style="16" bestFit="1" customWidth="1"/>
    <col min="13838" max="13838" width="7" style="16" bestFit="1" customWidth="1"/>
    <col min="13839" max="13839" width="10.28515625" style="16" customWidth="1"/>
    <col min="13840" max="13844" width="9.140625" style="16"/>
    <col min="13845" max="13845" width="12.42578125" style="16" customWidth="1"/>
    <col min="13846" max="13846" width="9.140625" style="16"/>
    <col min="13847" max="13847" width="12" style="16" customWidth="1"/>
    <col min="13848" max="14080" width="9.140625" style="16"/>
    <col min="14081" max="14081" width="5" style="16" customWidth="1"/>
    <col min="14082" max="14082" width="18.140625" style="16" customWidth="1"/>
    <col min="14083" max="14083" width="11.140625" style="16" bestFit="1" customWidth="1"/>
    <col min="14084" max="14084" width="6.7109375" style="16" bestFit="1" customWidth="1"/>
    <col min="14085" max="14085" width="8.5703125" style="16" bestFit="1" customWidth="1"/>
    <col min="14086" max="14086" width="9.28515625" style="16" bestFit="1" customWidth="1"/>
    <col min="14087" max="14087" width="8.42578125" style="16" bestFit="1" customWidth="1"/>
    <col min="14088" max="14088" width="9.7109375" style="16" bestFit="1" customWidth="1"/>
    <col min="14089" max="14089" width="7.140625" style="16" bestFit="1" customWidth="1"/>
    <col min="14090" max="14090" width="7.7109375" style="16" customWidth="1"/>
    <col min="14091" max="14092" width="7" style="16" bestFit="1" customWidth="1"/>
    <col min="14093" max="14093" width="6.85546875" style="16" bestFit="1" customWidth="1"/>
    <col min="14094" max="14094" width="7" style="16" bestFit="1" customWidth="1"/>
    <col min="14095" max="14095" width="10.28515625" style="16" customWidth="1"/>
    <col min="14096" max="14100" width="9.140625" style="16"/>
    <col min="14101" max="14101" width="12.42578125" style="16" customWidth="1"/>
    <col min="14102" max="14102" width="9.140625" style="16"/>
    <col min="14103" max="14103" width="12" style="16" customWidth="1"/>
    <col min="14104" max="14336" width="9.140625" style="16"/>
    <col min="14337" max="14337" width="5" style="16" customWidth="1"/>
    <col min="14338" max="14338" width="18.140625" style="16" customWidth="1"/>
    <col min="14339" max="14339" width="11.140625" style="16" bestFit="1" customWidth="1"/>
    <col min="14340" max="14340" width="6.7109375" style="16" bestFit="1" customWidth="1"/>
    <col min="14341" max="14341" width="8.5703125" style="16" bestFit="1" customWidth="1"/>
    <col min="14342" max="14342" width="9.28515625" style="16" bestFit="1" customWidth="1"/>
    <col min="14343" max="14343" width="8.42578125" style="16" bestFit="1" customWidth="1"/>
    <col min="14344" max="14344" width="9.7109375" style="16" bestFit="1" customWidth="1"/>
    <col min="14345" max="14345" width="7.140625" style="16" bestFit="1" customWidth="1"/>
    <col min="14346" max="14346" width="7.7109375" style="16" customWidth="1"/>
    <col min="14347" max="14348" width="7" style="16" bestFit="1" customWidth="1"/>
    <col min="14349" max="14349" width="6.85546875" style="16" bestFit="1" customWidth="1"/>
    <col min="14350" max="14350" width="7" style="16" bestFit="1" customWidth="1"/>
    <col min="14351" max="14351" width="10.28515625" style="16" customWidth="1"/>
    <col min="14352" max="14356" width="9.140625" style="16"/>
    <col min="14357" max="14357" width="12.42578125" style="16" customWidth="1"/>
    <col min="14358" max="14358" width="9.140625" style="16"/>
    <col min="14359" max="14359" width="12" style="16" customWidth="1"/>
    <col min="14360" max="14592" width="9.140625" style="16"/>
    <col min="14593" max="14593" width="5" style="16" customWidth="1"/>
    <col min="14594" max="14594" width="18.140625" style="16" customWidth="1"/>
    <col min="14595" max="14595" width="11.140625" style="16" bestFit="1" customWidth="1"/>
    <col min="14596" max="14596" width="6.7109375" style="16" bestFit="1" customWidth="1"/>
    <col min="14597" max="14597" width="8.5703125" style="16" bestFit="1" customWidth="1"/>
    <col min="14598" max="14598" width="9.28515625" style="16" bestFit="1" customWidth="1"/>
    <col min="14599" max="14599" width="8.42578125" style="16" bestFit="1" customWidth="1"/>
    <col min="14600" max="14600" width="9.7109375" style="16" bestFit="1" customWidth="1"/>
    <col min="14601" max="14601" width="7.140625" style="16" bestFit="1" customWidth="1"/>
    <col min="14602" max="14602" width="7.7109375" style="16" customWidth="1"/>
    <col min="14603" max="14604" width="7" style="16" bestFit="1" customWidth="1"/>
    <col min="14605" max="14605" width="6.85546875" style="16" bestFit="1" customWidth="1"/>
    <col min="14606" max="14606" width="7" style="16" bestFit="1" customWidth="1"/>
    <col min="14607" max="14607" width="10.28515625" style="16" customWidth="1"/>
    <col min="14608" max="14612" width="9.140625" style="16"/>
    <col min="14613" max="14613" width="12.42578125" style="16" customWidth="1"/>
    <col min="14614" max="14614" width="9.140625" style="16"/>
    <col min="14615" max="14615" width="12" style="16" customWidth="1"/>
    <col min="14616" max="14848" width="9.140625" style="16"/>
    <col min="14849" max="14849" width="5" style="16" customWidth="1"/>
    <col min="14850" max="14850" width="18.140625" style="16" customWidth="1"/>
    <col min="14851" max="14851" width="11.140625" style="16" bestFit="1" customWidth="1"/>
    <col min="14852" max="14852" width="6.7109375" style="16" bestFit="1" customWidth="1"/>
    <col min="14853" max="14853" width="8.5703125" style="16" bestFit="1" customWidth="1"/>
    <col min="14854" max="14854" width="9.28515625" style="16" bestFit="1" customWidth="1"/>
    <col min="14855" max="14855" width="8.42578125" style="16" bestFit="1" customWidth="1"/>
    <col min="14856" max="14856" width="9.7109375" style="16" bestFit="1" customWidth="1"/>
    <col min="14857" max="14857" width="7.140625" style="16" bestFit="1" customWidth="1"/>
    <col min="14858" max="14858" width="7.7109375" style="16" customWidth="1"/>
    <col min="14859" max="14860" width="7" style="16" bestFit="1" customWidth="1"/>
    <col min="14861" max="14861" width="6.85546875" style="16" bestFit="1" customWidth="1"/>
    <col min="14862" max="14862" width="7" style="16" bestFit="1" customWidth="1"/>
    <col min="14863" max="14863" width="10.28515625" style="16" customWidth="1"/>
    <col min="14864" max="14868" width="9.140625" style="16"/>
    <col min="14869" max="14869" width="12.42578125" style="16" customWidth="1"/>
    <col min="14870" max="14870" width="9.140625" style="16"/>
    <col min="14871" max="14871" width="12" style="16" customWidth="1"/>
    <col min="14872" max="15104" width="9.140625" style="16"/>
    <col min="15105" max="15105" width="5" style="16" customWidth="1"/>
    <col min="15106" max="15106" width="18.140625" style="16" customWidth="1"/>
    <col min="15107" max="15107" width="11.140625" style="16" bestFit="1" customWidth="1"/>
    <col min="15108" max="15108" width="6.7109375" style="16" bestFit="1" customWidth="1"/>
    <col min="15109" max="15109" width="8.5703125" style="16" bestFit="1" customWidth="1"/>
    <col min="15110" max="15110" width="9.28515625" style="16" bestFit="1" customWidth="1"/>
    <col min="15111" max="15111" width="8.42578125" style="16" bestFit="1" customWidth="1"/>
    <col min="15112" max="15112" width="9.7109375" style="16" bestFit="1" customWidth="1"/>
    <col min="15113" max="15113" width="7.140625" style="16" bestFit="1" customWidth="1"/>
    <col min="15114" max="15114" width="7.7109375" style="16" customWidth="1"/>
    <col min="15115" max="15116" width="7" style="16" bestFit="1" customWidth="1"/>
    <col min="15117" max="15117" width="6.85546875" style="16" bestFit="1" customWidth="1"/>
    <col min="15118" max="15118" width="7" style="16" bestFit="1" customWidth="1"/>
    <col min="15119" max="15119" width="10.28515625" style="16" customWidth="1"/>
    <col min="15120" max="15124" width="9.140625" style="16"/>
    <col min="15125" max="15125" width="12.42578125" style="16" customWidth="1"/>
    <col min="15126" max="15126" width="9.140625" style="16"/>
    <col min="15127" max="15127" width="12" style="16" customWidth="1"/>
    <col min="15128" max="15360" width="9.140625" style="16"/>
    <col min="15361" max="15361" width="5" style="16" customWidth="1"/>
    <col min="15362" max="15362" width="18.140625" style="16" customWidth="1"/>
    <col min="15363" max="15363" width="11.140625" style="16" bestFit="1" customWidth="1"/>
    <col min="15364" max="15364" width="6.7109375" style="16" bestFit="1" customWidth="1"/>
    <col min="15365" max="15365" width="8.5703125" style="16" bestFit="1" customWidth="1"/>
    <col min="15366" max="15366" width="9.28515625" style="16" bestFit="1" customWidth="1"/>
    <col min="15367" max="15367" width="8.42578125" style="16" bestFit="1" customWidth="1"/>
    <col min="15368" max="15368" width="9.7109375" style="16" bestFit="1" customWidth="1"/>
    <col min="15369" max="15369" width="7.140625" style="16" bestFit="1" customWidth="1"/>
    <col min="15370" max="15370" width="7.7109375" style="16" customWidth="1"/>
    <col min="15371" max="15372" width="7" style="16" bestFit="1" customWidth="1"/>
    <col min="15373" max="15373" width="6.85546875" style="16" bestFit="1" customWidth="1"/>
    <col min="15374" max="15374" width="7" style="16" bestFit="1" customWidth="1"/>
    <col min="15375" max="15375" width="10.28515625" style="16" customWidth="1"/>
    <col min="15376" max="15380" width="9.140625" style="16"/>
    <col min="15381" max="15381" width="12.42578125" style="16" customWidth="1"/>
    <col min="15382" max="15382" width="9.140625" style="16"/>
    <col min="15383" max="15383" width="12" style="16" customWidth="1"/>
    <col min="15384" max="15616" width="9.140625" style="16"/>
    <col min="15617" max="15617" width="5" style="16" customWidth="1"/>
    <col min="15618" max="15618" width="18.140625" style="16" customWidth="1"/>
    <col min="15619" max="15619" width="11.140625" style="16" bestFit="1" customWidth="1"/>
    <col min="15620" max="15620" width="6.7109375" style="16" bestFit="1" customWidth="1"/>
    <col min="15621" max="15621" width="8.5703125" style="16" bestFit="1" customWidth="1"/>
    <col min="15622" max="15622" width="9.28515625" style="16" bestFit="1" customWidth="1"/>
    <col min="15623" max="15623" width="8.42578125" style="16" bestFit="1" customWidth="1"/>
    <col min="15624" max="15624" width="9.7109375" style="16" bestFit="1" customWidth="1"/>
    <col min="15625" max="15625" width="7.140625" style="16" bestFit="1" customWidth="1"/>
    <col min="15626" max="15626" width="7.7109375" style="16" customWidth="1"/>
    <col min="15627" max="15628" width="7" style="16" bestFit="1" customWidth="1"/>
    <col min="15629" max="15629" width="6.85546875" style="16" bestFit="1" customWidth="1"/>
    <col min="15630" max="15630" width="7" style="16" bestFit="1" customWidth="1"/>
    <col min="15631" max="15631" width="10.28515625" style="16" customWidth="1"/>
    <col min="15632" max="15636" width="9.140625" style="16"/>
    <col min="15637" max="15637" width="12.42578125" style="16" customWidth="1"/>
    <col min="15638" max="15638" width="9.140625" style="16"/>
    <col min="15639" max="15639" width="12" style="16" customWidth="1"/>
    <col min="15640" max="15872" width="9.140625" style="16"/>
    <col min="15873" max="15873" width="5" style="16" customWidth="1"/>
    <col min="15874" max="15874" width="18.140625" style="16" customWidth="1"/>
    <col min="15875" max="15875" width="11.140625" style="16" bestFit="1" customWidth="1"/>
    <col min="15876" max="15876" width="6.7109375" style="16" bestFit="1" customWidth="1"/>
    <col min="15877" max="15877" width="8.5703125" style="16" bestFit="1" customWidth="1"/>
    <col min="15878" max="15878" width="9.28515625" style="16" bestFit="1" customWidth="1"/>
    <col min="15879" max="15879" width="8.42578125" style="16" bestFit="1" customWidth="1"/>
    <col min="15880" max="15880" width="9.7109375" style="16" bestFit="1" customWidth="1"/>
    <col min="15881" max="15881" width="7.140625" style="16" bestFit="1" customWidth="1"/>
    <col min="15882" max="15882" width="7.7109375" style="16" customWidth="1"/>
    <col min="15883" max="15884" width="7" style="16" bestFit="1" customWidth="1"/>
    <col min="15885" max="15885" width="6.85546875" style="16" bestFit="1" customWidth="1"/>
    <col min="15886" max="15886" width="7" style="16" bestFit="1" customWidth="1"/>
    <col min="15887" max="15887" width="10.28515625" style="16" customWidth="1"/>
    <col min="15888" max="15892" width="9.140625" style="16"/>
    <col min="15893" max="15893" width="12.42578125" style="16" customWidth="1"/>
    <col min="15894" max="15894" width="9.140625" style="16"/>
    <col min="15895" max="15895" width="12" style="16" customWidth="1"/>
    <col min="15896" max="16128" width="9.140625" style="16"/>
    <col min="16129" max="16129" width="5" style="16" customWidth="1"/>
    <col min="16130" max="16130" width="18.140625" style="16" customWidth="1"/>
    <col min="16131" max="16131" width="11.140625" style="16" bestFit="1" customWidth="1"/>
    <col min="16132" max="16132" width="6.7109375" style="16" bestFit="1" customWidth="1"/>
    <col min="16133" max="16133" width="8.5703125" style="16" bestFit="1" customWidth="1"/>
    <col min="16134" max="16134" width="9.28515625" style="16" bestFit="1" customWidth="1"/>
    <col min="16135" max="16135" width="8.42578125" style="16" bestFit="1" customWidth="1"/>
    <col min="16136" max="16136" width="9.7109375" style="16" bestFit="1" customWidth="1"/>
    <col min="16137" max="16137" width="7.140625" style="16" bestFit="1" customWidth="1"/>
    <col min="16138" max="16138" width="7.7109375" style="16" customWidth="1"/>
    <col min="16139" max="16140" width="7" style="16" bestFit="1" customWidth="1"/>
    <col min="16141" max="16141" width="6.85546875" style="16" bestFit="1" customWidth="1"/>
    <col min="16142" max="16142" width="7" style="16" bestFit="1" customWidth="1"/>
    <col min="16143" max="16143" width="10.28515625" style="16" customWidth="1"/>
    <col min="16144" max="16148" width="9.140625" style="16"/>
    <col min="16149" max="16149" width="12.42578125" style="16" customWidth="1"/>
    <col min="16150" max="16150" width="9.140625" style="16"/>
    <col min="16151" max="16151" width="12" style="16" customWidth="1"/>
    <col min="16152" max="16384" width="9.140625" style="16"/>
  </cols>
  <sheetData>
    <row r="1" spans="1:17" s="1" customFormat="1" x14ac:dyDescent="0.2">
      <c r="A1" s="867" t="s">
        <v>449</v>
      </c>
      <c r="B1" s="868"/>
      <c r="C1" s="868"/>
      <c r="D1" s="869"/>
      <c r="E1" s="868"/>
      <c r="F1" s="868"/>
      <c r="G1" s="867" t="s">
        <v>102</v>
      </c>
      <c r="H1" s="869"/>
      <c r="I1" s="869" t="s">
        <v>743</v>
      </c>
      <c r="J1" s="868"/>
      <c r="K1" s="868"/>
      <c r="L1" s="870"/>
      <c r="M1" s="870"/>
      <c r="N1" s="870"/>
      <c r="O1" s="870"/>
    </row>
    <row r="2" spans="1:17" s="1" customFormat="1" x14ac:dyDescent="0.2">
      <c r="A2" s="867" t="s">
        <v>103</v>
      </c>
      <c r="B2" s="868"/>
      <c r="C2" s="868"/>
      <c r="D2" s="869"/>
      <c r="E2" s="868"/>
      <c r="F2" s="868"/>
      <c r="G2" s="867" t="s">
        <v>104</v>
      </c>
      <c r="H2" s="869"/>
      <c r="I2" s="869" t="s">
        <v>105</v>
      </c>
      <c r="J2" s="868"/>
      <c r="K2" s="868"/>
      <c r="L2" s="870"/>
      <c r="M2" s="870"/>
      <c r="N2" s="870"/>
      <c r="O2" s="870"/>
    </row>
    <row r="3" spans="1:17" s="1" customFormat="1" x14ac:dyDescent="0.2">
      <c r="A3" s="867" t="s">
        <v>106</v>
      </c>
      <c r="B3" s="868"/>
      <c r="C3" s="868"/>
      <c r="D3" s="883"/>
      <c r="E3" s="868"/>
      <c r="F3" s="868"/>
      <c r="G3" s="867" t="s">
        <v>107</v>
      </c>
      <c r="H3" s="869"/>
      <c r="I3" s="869" t="s">
        <v>108</v>
      </c>
      <c r="J3" s="868"/>
      <c r="K3" s="868"/>
      <c r="L3" s="870"/>
      <c r="M3" s="870"/>
      <c r="N3" s="870"/>
      <c r="O3" s="870"/>
    </row>
    <row r="4" spans="1:17" s="1" customFormat="1" x14ac:dyDescent="0.2">
      <c r="A4" s="867" t="s">
        <v>109</v>
      </c>
      <c r="B4" s="868"/>
      <c r="C4" s="868"/>
      <c r="D4" s="869"/>
      <c r="E4" s="868"/>
      <c r="F4" s="868"/>
      <c r="G4" s="867" t="s">
        <v>110</v>
      </c>
      <c r="H4" s="869"/>
      <c r="I4" s="869" t="s">
        <v>897</v>
      </c>
      <c r="J4" s="868"/>
      <c r="K4" s="868"/>
      <c r="L4" s="870"/>
      <c r="M4" s="870"/>
      <c r="N4" s="870"/>
      <c r="O4" s="870"/>
    </row>
    <row r="5" spans="1:17" s="1" customFormat="1" x14ac:dyDescent="0.2">
      <c r="A5" s="867" t="s">
        <v>443</v>
      </c>
      <c r="B5" s="868"/>
      <c r="C5" s="868"/>
      <c r="D5" s="869" t="s">
        <v>898</v>
      </c>
      <c r="E5" s="868"/>
      <c r="F5" s="868"/>
      <c r="G5" s="867"/>
      <c r="H5" s="868"/>
      <c r="I5" s="869" t="s">
        <v>113</v>
      </c>
      <c r="J5" s="868"/>
      <c r="K5" s="868"/>
      <c r="L5" s="870"/>
      <c r="M5" s="870"/>
      <c r="N5" s="870"/>
      <c r="O5" s="870"/>
    </row>
    <row r="6" spans="1:17" s="1" customFormat="1" x14ac:dyDescent="0.2">
      <c r="A6" s="871" t="s">
        <v>114</v>
      </c>
      <c r="B6" s="872"/>
      <c r="C6" s="872"/>
      <c r="D6" s="868" t="s">
        <v>744</v>
      </c>
      <c r="E6" s="868"/>
      <c r="F6" s="868"/>
      <c r="G6" s="871" t="s">
        <v>115</v>
      </c>
      <c r="H6" s="871"/>
      <c r="I6" s="2" t="s">
        <v>222</v>
      </c>
      <c r="J6" s="903"/>
      <c r="K6" s="903"/>
      <c r="L6" s="903"/>
      <c r="M6" s="903"/>
      <c r="N6" s="903"/>
      <c r="O6" s="904"/>
    </row>
    <row r="7" spans="1:17" s="1" customFormat="1" ht="13.5" thickBot="1" x14ac:dyDescent="0.25">
      <c r="A7" s="3"/>
      <c r="B7" s="4"/>
      <c r="C7" s="5"/>
      <c r="D7" s="6"/>
      <c r="E7" s="6"/>
      <c r="F7" s="6"/>
      <c r="G7" s="6"/>
      <c r="H7" s="6"/>
      <c r="I7" s="6"/>
      <c r="J7" s="7"/>
      <c r="K7" s="8"/>
      <c r="L7" s="175"/>
      <c r="M7" s="176"/>
      <c r="N7" s="176"/>
      <c r="O7" s="177"/>
    </row>
    <row r="8" spans="1:17" s="11" customFormat="1" x14ac:dyDescent="0.2">
      <c r="A8" s="876" t="str">
        <f>I1</f>
        <v>Ms.Shobhana S. Menon</v>
      </c>
      <c r="B8" s="877"/>
      <c r="C8" s="338">
        <v>43160</v>
      </c>
      <c r="D8" s="338">
        <v>43191</v>
      </c>
      <c r="E8" s="338">
        <v>43221</v>
      </c>
      <c r="F8" s="338">
        <v>43252</v>
      </c>
      <c r="G8" s="338">
        <v>43282</v>
      </c>
      <c r="H8" s="338">
        <v>43313</v>
      </c>
      <c r="I8" s="338">
        <v>43344</v>
      </c>
      <c r="J8" s="338">
        <v>43374</v>
      </c>
      <c r="K8" s="338">
        <v>43405</v>
      </c>
      <c r="L8" s="338">
        <v>43435</v>
      </c>
      <c r="M8" s="338">
        <v>43466</v>
      </c>
      <c r="N8" s="338">
        <v>43497</v>
      </c>
      <c r="O8" s="10" t="s">
        <v>117</v>
      </c>
      <c r="Q8" s="11" t="s">
        <v>116</v>
      </c>
    </row>
    <row r="9" spans="1:17" ht="15" x14ac:dyDescent="0.2">
      <c r="A9" s="12"/>
      <c r="B9" s="13" t="s">
        <v>118</v>
      </c>
      <c r="C9" s="14">
        <v>84900</v>
      </c>
      <c r="D9" s="14">
        <f t="shared" ref="D9:F10" si="0">+C9</f>
        <v>84900</v>
      </c>
      <c r="E9" s="14">
        <f t="shared" si="0"/>
        <v>84900</v>
      </c>
      <c r="F9" s="14">
        <f t="shared" si="0"/>
        <v>84900</v>
      </c>
      <c r="G9" s="14">
        <v>86674</v>
      </c>
      <c r="H9" s="14">
        <v>87400</v>
      </c>
      <c r="I9" s="14">
        <v>87400</v>
      </c>
      <c r="J9" s="14">
        <v>87400</v>
      </c>
      <c r="K9" s="14">
        <v>87400</v>
      </c>
      <c r="L9" s="14">
        <v>87400</v>
      </c>
      <c r="M9" s="14">
        <v>87400</v>
      </c>
      <c r="N9" s="14">
        <v>87400</v>
      </c>
      <c r="O9" s="15">
        <f>SUM(C9:N9)</f>
        <v>1038074</v>
      </c>
      <c r="Q9" s="16" t="s">
        <v>222</v>
      </c>
    </row>
    <row r="10" spans="1:17" ht="15" x14ac:dyDescent="0.2">
      <c r="A10" s="12"/>
      <c r="B10" s="13" t="s">
        <v>119</v>
      </c>
      <c r="C10" s="17">
        <v>0</v>
      </c>
      <c r="D10" s="17">
        <f t="shared" si="0"/>
        <v>0</v>
      </c>
      <c r="E10" s="17">
        <f t="shared" si="0"/>
        <v>0</v>
      </c>
      <c r="F10" s="17">
        <f t="shared" si="0"/>
        <v>0</v>
      </c>
      <c r="G10" s="17">
        <f>+F10</f>
        <v>0</v>
      </c>
      <c r="H10" s="17">
        <v>0</v>
      </c>
      <c r="I10" s="17">
        <v>0</v>
      </c>
      <c r="J10" s="17">
        <f>+I10</f>
        <v>0</v>
      </c>
      <c r="K10" s="17">
        <f>+J10</f>
        <v>0</v>
      </c>
      <c r="L10" s="17">
        <f>+K10</f>
        <v>0</v>
      </c>
      <c r="M10" s="17">
        <f>+L10</f>
        <v>0</v>
      </c>
      <c r="N10" s="17">
        <f>+M10</f>
        <v>0</v>
      </c>
      <c r="O10" s="339">
        <f t="shared" ref="O10:O36" si="1">SUM(C10:N10)</f>
        <v>0</v>
      </c>
    </row>
    <row r="11" spans="1:17" ht="15" x14ac:dyDescent="0.2">
      <c r="A11" s="12"/>
      <c r="B11" s="13" t="s">
        <v>120</v>
      </c>
      <c r="C11" s="147">
        <v>4245</v>
      </c>
      <c r="D11" s="147">
        <v>5943</v>
      </c>
      <c r="E11" s="147">
        <v>5943</v>
      </c>
      <c r="F11" s="147">
        <v>5943</v>
      </c>
      <c r="G11" s="147">
        <v>6067</v>
      </c>
      <c r="H11" s="147">
        <v>6118</v>
      </c>
      <c r="I11" s="147">
        <v>6118</v>
      </c>
      <c r="J11" s="147">
        <v>7866</v>
      </c>
      <c r="K11" s="147">
        <v>7866</v>
      </c>
      <c r="L11" s="147">
        <v>7866</v>
      </c>
      <c r="M11" s="147">
        <v>7866</v>
      </c>
      <c r="N11" s="147">
        <v>7866</v>
      </c>
      <c r="O11" s="339">
        <f t="shared" si="1"/>
        <v>79707</v>
      </c>
    </row>
    <row r="12" spans="1:17" ht="15" hidden="1" x14ac:dyDescent="0.2">
      <c r="A12" s="12"/>
      <c r="B12" s="13" t="s">
        <v>121</v>
      </c>
      <c r="C12" s="147">
        <v>0</v>
      </c>
      <c r="D12" s="17">
        <v>0</v>
      </c>
      <c r="E12" s="17">
        <v>0</v>
      </c>
      <c r="F12" s="17">
        <v>0</v>
      </c>
      <c r="G12" s="17">
        <v>0</v>
      </c>
      <c r="H12" s="17">
        <v>0</v>
      </c>
      <c r="I12" s="17">
        <v>0</v>
      </c>
      <c r="J12" s="17"/>
      <c r="K12" s="17"/>
      <c r="L12" s="17"/>
      <c r="M12" s="17"/>
      <c r="N12" s="17"/>
      <c r="O12" s="339">
        <f t="shared" si="1"/>
        <v>0</v>
      </c>
    </row>
    <row r="13" spans="1:17" ht="15" hidden="1" x14ac:dyDescent="0.2">
      <c r="A13" s="12"/>
      <c r="B13" s="13" t="s">
        <v>122</v>
      </c>
      <c r="C13" s="17">
        <v>0</v>
      </c>
      <c r="D13" s="17">
        <v>0</v>
      </c>
      <c r="E13" s="17">
        <v>0</v>
      </c>
      <c r="F13" s="17">
        <v>0</v>
      </c>
      <c r="G13" s="17">
        <v>0</v>
      </c>
      <c r="H13" s="17">
        <v>0</v>
      </c>
      <c r="I13" s="17">
        <v>0</v>
      </c>
      <c r="J13" s="17"/>
      <c r="K13" s="17"/>
      <c r="L13" s="17"/>
      <c r="M13" s="17"/>
      <c r="N13" s="17"/>
      <c r="O13" s="339">
        <f t="shared" si="1"/>
        <v>0</v>
      </c>
    </row>
    <row r="14" spans="1:17" ht="15" x14ac:dyDescent="0.2">
      <c r="A14" s="12"/>
      <c r="B14" s="13" t="s">
        <v>123</v>
      </c>
      <c r="C14" s="147">
        <v>7560</v>
      </c>
      <c r="D14" s="147">
        <v>7704</v>
      </c>
      <c r="E14" s="147">
        <v>7704</v>
      </c>
      <c r="F14" s="147">
        <v>7704</v>
      </c>
      <c r="G14" s="147">
        <v>7704</v>
      </c>
      <c r="H14" s="147">
        <v>7704</v>
      </c>
      <c r="I14" s="147">
        <v>7704</v>
      </c>
      <c r="J14" s="147">
        <v>7848</v>
      </c>
      <c r="K14" s="147">
        <v>7848</v>
      </c>
      <c r="L14" s="147">
        <v>7848</v>
      </c>
      <c r="M14" s="147">
        <v>7848</v>
      </c>
      <c r="N14" s="147">
        <v>7848</v>
      </c>
      <c r="O14" s="339">
        <f t="shared" si="1"/>
        <v>93024</v>
      </c>
    </row>
    <row r="15" spans="1:17" ht="14.25" x14ac:dyDescent="0.2">
      <c r="A15" s="12"/>
      <c r="B15" s="180" t="s">
        <v>321</v>
      </c>
      <c r="C15" s="17">
        <v>0</v>
      </c>
      <c r="D15" s="17">
        <v>0</v>
      </c>
      <c r="E15" s="17">
        <v>0</v>
      </c>
      <c r="F15" s="17">
        <v>0</v>
      </c>
      <c r="G15" s="17">
        <v>0</v>
      </c>
      <c r="H15" s="17">
        <v>0</v>
      </c>
      <c r="I15" s="17">
        <v>0</v>
      </c>
      <c r="J15" s="147">
        <v>0</v>
      </c>
      <c r="K15" s="147">
        <v>0</v>
      </c>
      <c r="L15" s="147">
        <v>0</v>
      </c>
      <c r="M15" s="147">
        <v>0</v>
      </c>
      <c r="N15" s="147">
        <v>0</v>
      </c>
      <c r="O15" s="339">
        <f t="shared" si="1"/>
        <v>0</v>
      </c>
    </row>
    <row r="16" spans="1:17" ht="15" hidden="1" x14ac:dyDescent="0.2">
      <c r="A16" s="12"/>
      <c r="B16" s="13" t="s">
        <v>405</v>
      </c>
      <c r="C16" s="17">
        <v>0</v>
      </c>
      <c r="D16" s="17">
        <v>0</v>
      </c>
      <c r="E16" s="17">
        <v>0</v>
      </c>
      <c r="F16" s="17">
        <v>0</v>
      </c>
      <c r="G16" s="17">
        <v>0</v>
      </c>
      <c r="H16" s="17">
        <v>0</v>
      </c>
      <c r="I16" s="17">
        <v>0</v>
      </c>
      <c r="J16" s="147"/>
      <c r="K16" s="147"/>
      <c r="L16" s="147"/>
      <c r="M16" s="147"/>
      <c r="N16" s="147"/>
      <c r="O16" s="339">
        <f t="shared" si="1"/>
        <v>0</v>
      </c>
    </row>
    <row r="17" spans="1:15" ht="15" hidden="1" x14ac:dyDescent="0.2">
      <c r="A17" s="12"/>
      <c r="B17" s="13" t="s">
        <v>126</v>
      </c>
      <c r="C17" s="17">
        <v>0</v>
      </c>
      <c r="D17" s="17">
        <v>0</v>
      </c>
      <c r="E17" s="17">
        <v>0</v>
      </c>
      <c r="F17" s="17">
        <v>0</v>
      </c>
      <c r="G17" s="17">
        <v>0</v>
      </c>
      <c r="H17" s="17">
        <v>0</v>
      </c>
      <c r="I17" s="17">
        <v>0</v>
      </c>
      <c r="J17" s="147"/>
      <c r="K17" s="147"/>
      <c r="L17" s="147"/>
      <c r="M17" s="147"/>
      <c r="N17" s="147"/>
      <c r="O17" s="339">
        <f t="shared" si="1"/>
        <v>0</v>
      </c>
    </row>
    <row r="18" spans="1:15" ht="15" hidden="1" x14ac:dyDescent="0.2">
      <c r="A18" s="12"/>
      <c r="B18" s="13" t="s">
        <v>609</v>
      </c>
      <c r="C18" s="17">
        <v>0</v>
      </c>
      <c r="D18" s="17">
        <v>0</v>
      </c>
      <c r="E18" s="17">
        <v>0</v>
      </c>
      <c r="F18" s="17">
        <v>0</v>
      </c>
      <c r="G18" s="17">
        <v>0</v>
      </c>
      <c r="H18" s="17">
        <v>0</v>
      </c>
      <c r="I18" s="17">
        <v>0</v>
      </c>
      <c r="J18" s="147"/>
      <c r="K18" s="147"/>
      <c r="L18" s="147"/>
      <c r="M18" s="147"/>
      <c r="N18" s="147"/>
      <c r="O18" s="339">
        <f t="shared" si="1"/>
        <v>0</v>
      </c>
    </row>
    <row r="19" spans="1:15" ht="15" x14ac:dyDescent="0.2">
      <c r="A19" s="12"/>
      <c r="B19" s="13" t="s">
        <v>128</v>
      </c>
      <c r="C19" s="147">
        <v>20376</v>
      </c>
      <c r="D19" s="147">
        <v>20376</v>
      </c>
      <c r="E19" s="147">
        <v>20376</v>
      </c>
      <c r="F19" s="147">
        <v>20376</v>
      </c>
      <c r="G19" s="147">
        <v>20802</v>
      </c>
      <c r="H19" s="147">
        <v>20978</v>
      </c>
      <c r="I19" s="147">
        <v>20978</v>
      </c>
      <c r="J19" s="147">
        <v>20976</v>
      </c>
      <c r="K19" s="147">
        <v>20976</v>
      </c>
      <c r="L19" s="147">
        <v>20976</v>
      </c>
      <c r="M19" s="147">
        <v>20976</v>
      </c>
      <c r="N19" s="147">
        <v>20976</v>
      </c>
      <c r="O19" s="339">
        <f t="shared" si="1"/>
        <v>249142</v>
      </c>
    </row>
    <row r="20" spans="1:15" ht="15" customHeight="1" x14ac:dyDescent="0.2">
      <c r="A20" s="12"/>
      <c r="B20" s="340" t="s">
        <v>252</v>
      </c>
      <c r="C20" s="28">
        <v>0</v>
      </c>
      <c r="D20" s="28">
        <v>0</v>
      </c>
      <c r="E20" s="28">
        <v>0</v>
      </c>
      <c r="F20" s="28">
        <v>0</v>
      </c>
      <c r="G20" s="28">
        <v>0</v>
      </c>
      <c r="H20" s="28">
        <v>0</v>
      </c>
      <c r="I20" s="28">
        <v>0</v>
      </c>
      <c r="J20" s="28">
        <v>0</v>
      </c>
      <c r="K20" s="28">
        <v>0</v>
      </c>
      <c r="L20" s="28">
        <v>31755</v>
      </c>
      <c r="M20" s="28">
        <v>0</v>
      </c>
      <c r="N20" s="28">
        <v>0</v>
      </c>
      <c r="O20" s="339">
        <f t="shared" si="1"/>
        <v>31755</v>
      </c>
    </row>
    <row r="21" spans="1:15" ht="15" hidden="1" customHeight="1" x14ac:dyDescent="0.2">
      <c r="A21" s="878" t="s">
        <v>130</v>
      </c>
      <c r="B21" s="19" t="s">
        <v>131</v>
      </c>
      <c r="C21" s="28">
        <v>0</v>
      </c>
      <c r="D21" s="28">
        <v>0</v>
      </c>
      <c r="E21" s="28">
        <v>0</v>
      </c>
      <c r="F21" s="28">
        <v>0</v>
      </c>
      <c r="G21" s="28">
        <v>0</v>
      </c>
      <c r="H21" s="28">
        <v>0</v>
      </c>
      <c r="I21" s="28">
        <v>0</v>
      </c>
      <c r="J21" s="28"/>
      <c r="K21" s="28"/>
      <c r="L21" s="28"/>
      <c r="M21" s="28"/>
      <c r="N21" s="28"/>
      <c r="O21" s="339">
        <f t="shared" si="1"/>
        <v>0</v>
      </c>
    </row>
    <row r="22" spans="1:15" ht="15" customHeight="1" x14ac:dyDescent="0.2">
      <c r="A22" s="879"/>
      <c r="B22" s="19" t="s">
        <v>132</v>
      </c>
      <c r="C22" s="28">
        <v>0</v>
      </c>
      <c r="D22" s="28">
        <v>0</v>
      </c>
      <c r="E22" s="28">
        <v>0</v>
      </c>
      <c r="F22" s="28">
        <v>0</v>
      </c>
      <c r="G22" s="28">
        <v>0</v>
      </c>
      <c r="H22" s="28">
        <v>0</v>
      </c>
      <c r="I22" s="28">
        <v>0</v>
      </c>
      <c r="J22" s="28">
        <v>0</v>
      </c>
      <c r="K22" s="28">
        <v>0</v>
      </c>
      <c r="L22" s="28">
        <v>0</v>
      </c>
      <c r="M22" s="28">
        <v>0</v>
      </c>
      <c r="N22" s="28">
        <v>0</v>
      </c>
      <c r="O22" s="339">
        <f t="shared" si="1"/>
        <v>0</v>
      </c>
    </row>
    <row r="23" spans="1:15" ht="15" hidden="1" customHeight="1" x14ac:dyDescent="0.2">
      <c r="A23" s="879"/>
      <c r="B23" s="19" t="s">
        <v>133</v>
      </c>
      <c r="C23" s="28">
        <v>0</v>
      </c>
      <c r="D23" s="28">
        <v>0</v>
      </c>
      <c r="E23" s="28">
        <v>0</v>
      </c>
      <c r="F23" s="28">
        <v>0</v>
      </c>
      <c r="G23" s="28">
        <v>0</v>
      </c>
      <c r="H23" s="28">
        <v>0</v>
      </c>
      <c r="I23" s="28">
        <v>0</v>
      </c>
      <c r="J23" s="28"/>
      <c r="K23" s="28"/>
      <c r="L23" s="28"/>
      <c r="M23" s="28"/>
      <c r="N23" s="28"/>
      <c r="O23" s="339">
        <f t="shared" si="1"/>
        <v>0</v>
      </c>
    </row>
    <row r="24" spans="1:15" ht="15" hidden="1" customHeight="1" x14ac:dyDescent="0.2">
      <c r="A24" s="879"/>
      <c r="B24" s="19" t="s">
        <v>134</v>
      </c>
      <c r="C24" s="28">
        <v>0</v>
      </c>
      <c r="D24" s="28">
        <v>0</v>
      </c>
      <c r="E24" s="28">
        <v>0</v>
      </c>
      <c r="F24" s="28">
        <v>0</v>
      </c>
      <c r="G24" s="28">
        <v>0</v>
      </c>
      <c r="H24" s="28">
        <v>0</v>
      </c>
      <c r="I24" s="28">
        <v>0</v>
      </c>
      <c r="J24" s="28"/>
      <c r="K24" s="28"/>
      <c r="L24" s="28"/>
      <c r="M24" s="28"/>
      <c r="N24" s="28"/>
      <c r="O24" s="339">
        <f t="shared" si="1"/>
        <v>0</v>
      </c>
    </row>
    <row r="25" spans="1:15" ht="15" hidden="1" customHeight="1" x14ac:dyDescent="0.2">
      <c r="A25" s="879"/>
      <c r="B25" s="19" t="s">
        <v>135</v>
      </c>
      <c r="C25" s="28">
        <v>0</v>
      </c>
      <c r="D25" s="28">
        <v>0</v>
      </c>
      <c r="E25" s="28">
        <v>0</v>
      </c>
      <c r="F25" s="28">
        <v>0</v>
      </c>
      <c r="G25" s="28">
        <v>0</v>
      </c>
      <c r="H25" s="28">
        <v>0</v>
      </c>
      <c r="I25" s="28">
        <v>0</v>
      </c>
      <c r="J25" s="28"/>
      <c r="K25" s="28"/>
      <c r="L25" s="28"/>
      <c r="M25" s="28"/>
      <c r="N25" s="28"/>
      <c r="O25" s="339">
        <f t="shared" si="1"/>
        <v>0</v>
      </c>
    </row>
    <row r="26" spans="1:15" ht="15" hidden="1" customHeight="1" x14ac:dyDescent="0.2">
      <c r="A26" s="879"/>
      <c r="B26" s="19" t="s">
        <v>136</v>
      </c>
      <c r="C26" s="28">
        <v>0</v>
      </c>
      <c r="D26" s="28">
        <v>0</v>
      </c>
      <c r="E26" s="28">
        <v>0</v>
      </c>
      <c r="F26" s="28">
        <v>0</v>
      </c>
      <c r="G26" s="28">
        <v>0</v>
      </c>
      <c r="H26" s="28">
        <v>0</v>
      </c>
      <c r="I26" s="28">
        <v>0</v>
      </c>
      <c r="J26" s="28"/>
      <c r="K26" s="28"/>
      <c r="L26" s="28"/>
      <c r="M26" s="28"/>
      <c r="N26" s="28"/>
      <c r="O26" s="339">
        <f t="shared" si="1"/>
        <v>0</v>
      </c>
    </row>
    <row r="27" spans="1:15" ht="15" hidden="1" customHeight="1" x14ac:dyDescent="0.2">
      <c r="A27" s="879"/>
      <c r="B27" s="19" t="s">
        <v>137</v>
      </c>
      <c r="C27" s="28">
        <v>0</v>
      </c>
      <c r="D27" s="28">
        <v>0</v>
      </c>
      <c r="E27" s="28">
        <v>0</v>
      </c>
      <c r="F27" s="28">
        <v>0</v>
      </c>
      <c r="G27" s="28">
        <v>0</v>
      </c>
      <c r="H27" s="28">
        <v>0</v>
      </c>
      <c r="I27" s="28">
        <v>0</v>
      </c>
      <c r="J27" s="28"/>
      <c r="K27" s="28"/>
      <c r="L27" s="28"/>
      <c r="M27" s="28"/>
      <c r="N27" s="28"/>
      <c r="O27" s="339">
        <f t="shared" si="1"/>
        <v>0</v>
      </c>
    </row>
    <row r="28" spans="1:15" ht="15" hidden="1" customHeight="1" x14ac:dyDescent="0.2">
      <c r="A28" s="879"/>
      <c r="B28" s="19" t="s">
        <v>138</v>
      </c>
      <c r="C28" s="28">
        <v>0</v>
      </c>
      <c r="D28" s="28">
        <v>0</v>
      </c>
      <c r="E28" s="28">
        <v>0</v>
      </c>
      <c r="F28" s="28">
        <v>0</v>
      </c>
      <c r="G28" s="28">
        <v>0</v>
      </c>
      <c r="H28" s="28">
        <v>0</v>
      </c>
      <c r="I28" s="28">
        <v>0</v>
      </c>
      <c r="J28" s="28"/>
      <c r="K28" s="28"/>
      <c r="L28" s="28"/>
      <c r="M28" s="28"/>
      <c r="N28" s="28"/>
      <c r="O28" s="339">
        <f t="shared" si="1"/>
        <v>0</v>
      </c>
    </row>
    <row r="29" spans="1:15" ht="15" hidden="1" customHeight="1" x14ac:dyDescent="0.2">
      <c r="A29" s="879"/>
      <c r="B29" s="19" t="s">
        <v>139</v>
      </c>
      <c r="C29" s="28">
        <v>0</v>
      </c>
      <c r="D29" s="28">
        <v>0</v>
      </c>
      <c r="E29" s="28">
        <v>0</v>
      </c>
      <c r="F29" s="28">
        <v>0</v>
      </c>
      <c r="G29" s="28">
        <v>0</v>
      </c>
      <c r="H29" s="28">
        <v>0</v>
      </c>
      <c r="I29" s="28">
        <v>0</v>
      </c>
      <c r="J29" s="28"/>
      <c r="K29" s="28"/>
      <c r="L29" s="28"/>
      <c r="M29" s="28"/>
      <c r="N29" s="28"/>
      <c r="O29" s="339">
        <f t="shared" si="1"/>
        <v>0</v>
      </c>
    </row>
    <row r="30" spans="1:15" ht="15" hidden="1" customHeight="1" x14ac:dyDescent="0.2">
      <c r="A30" s="879"/>
      <c r="B30" s="19" t="s">
        <v>140</v>
      </c>
      <c r="C30" s="28">
        <v>0</v>
      </c>
      <c r="D30" s="28">
        <v>0</v>
      </c>
      <c r="E30" s="28">
        <v>0</v>
      </c>
      <c r="F30" s="28">
        <v>0</v>
      </c>
      <c r="G30" s="28">
        <v>0</v>
      </c>
      <c r="H30" s="28">
        <v>0</v>
      </c>
      <c r="I30" s="28">
        <v>0</v>
      </c>
      <c r="J30" s="28"/>
      <c r="K30" s="28"/>
      <c r="L30" s="28"/>
      <c r="M30" s="28"/>
      <c r="N30" s="28"/>
      <c r="O30" s="339">
        <f t="shared" si="1"/>
        <v>0</v>
      </c>
    </row>
    <row r="31" spans="1:15" ht="15" hidden="1" customHeight="1" x14ac:dyDescent="0.2">
      <c r="A31" s="879"/>
      <c r="B31" s="19" t="s">
        <v>225</v>
      </c>
      <c r="C31" s="28">
        <v>0</v>
      </c>
      <c r="D31" s="28">
        <v>0</v>
      </c>
      <c r="E31" s="28">
        <v>0</v>
      </c>
      <c r="F31" s="28">
        <v>0</v>
      </c>
      <c r="G31" s="28">
        <v>0</v>
      </c>
      <c r="H31" s="28">
        <v>0</v>
      </c>
      <c r="I31" s="28">
        <v>0</v>
      </c>
      <c r="J31" s="28"/>
      <c r="K31" s="28"/>
      <c r="L31" s="28"/>
      <c r="M31" s="28"/>
      <c r="N31" s="28"/>
      <c r="O31" s="339">
        <f t="shared" si="1"/>
        <v>0</v>
      </c>
    </row>
    <row r="32" spans="1:15" ht="15" customHeight="1" x14ac:dyDescent="0.2">
      <c r="A32" s="879"/>
      <c r="B32" s="21" t="s">
        <v>142</v>
      </c>
      <c r="C32" s="28">
        <v>0</v>
      </c>
      <c r="D32" s="28">
        <v>0</v>
      </c>
      <c r="E32" s="28">
        <v>0</v>
      </c>
      <c r="F32" s="28">
        <v>0</v>
      </c>
      <c r="G32" s="28">
        <v>0</v>
      </c>
      <c r="H32" s="28">
        <v>0</v>
      </c>
      <c r="I32" s="28">
        <v>0</v>
      </c>
      <c r="J32" s="28">
        <v>0</v>
      </c>
      <c r="K32" s="28">
        <v>0</v>
      </c>
      <c r="L32" s="28">
        <v>0</v>
      </c>
      <c r="M32" s="28">
        <v>0</v>
      </c>
      <c r="N32" s="28">
        <v>0</v>
      </c>
      <c r="O32" s="339">
        <f t="shared" si="1"/>
        <v>0</v>
      </c>
    </row>
    <row r="33" spans="1:18" ht="15" hidden="1" customHeight="1" x14ac:dyDescent="0.2">
      <c r="A33" s="880"/>
      <c r="B33" s="19" t="s">
        <v>226</v>
      </c>
      <c r="C33" s="28">
        <v>0</v>
      </c>
      <c r="D33" s="28">
        <v>0</v>
      </c>
      <c r="E33" s="28">
        <v>0</v>
      </c>
      <c r="F33" s="28">
        <v>0</v>
      </c>
      <c r="G33" s="28">
        <v>0</v>
      </c>
      <c r="H33" s="28">
        <v>0</v>
      </c>
      <c r="I33" s="28">
        <v>0</v>
      </c>
      <c r="J33" s="28"/>
      <c r="K33" s="28"/>
      <c r="L33" s="28"/>
      <c r="M33" s="28"/>
      <c r="N33" s="28"/>
      <c r="O33" s="339">
        <f t="shared" si="1"/>
        <v>0</v>
      </c>
    </row>
    <row r="34" spans="1:18" ht="15" customHeight="1" x14ac:dyDescent="0.2">
      <c r="A34" s="219"/>
      <c r="B34" s="220" t="s">
        <v>321</v>
      </c>
      <c r="C34" s="28">
        <v>0</v>
      </c>
      <c r="D34" s="28">
        <v>0</v>
      </c>
      <c r="E34" s="28">
        <v>0</v>
      </c>
      <c r="F34" s="28">
        <v>0</v>
      </c>
      <c r="G34" s="28">
        <v>0</v>
      </c>
      <c r="H34" s="28">
        <v>0</v>
      </c>
      <c r="I34" s="28">
        <v>0</v>
      </c>
      <c r="J34" s="28">
        <v>4</v>
      </c>
      <c r="K34" s="28">
        <v>0</v>
      </c>
      <c r="L34" s="28">
        <v>0</v>
      </c>
      <c r="M34" s="28">
        <v>0</v>
      </c>
      <c r="N34" s="28">
        <v>0</v>
      </c>
      <c r="O34" s="339">
        <f t="shared" si="1"/>
        <v>4</v>
      </c>
    </row>
    <row r="35" spans="1:18" ht="15" customHeight="1" x14ac:dyDescent="0.2">
      <c r="A35" s="865" t="s">
        <v>145</v>
      </c>
      <c r="B35" s="866"/>
      <c r="C35" s="28">
        <v>0</v>
      </c>
      <c r="D35" s="28">
        <v>432</v>
      </c>
      <c r="E35" s="28">
        <v>0</v>
      </c>
      <c r="F35" s="28">
        <v>0</v>
      </c>
      <c r="G35" s="28">
        <v>0</v>
      </c>
      <c r="H35" s="28">
        <v>0</v>
      </c>
      <c r="I35" s="28">
        <v>0</v>
      </c>
      <c r="J35" s="28">
        <v>432</v>
      </c>
      <c r="K35" s="28">
        <v>0</v>
      </c>
      <c r="L35" s="28">
        <v>0</v>
      </c>
      <c r="M35" s="28">
        <v>0</v>
      </c>
      <c r="N35" s="28">
        <v>0</v>
      </c>
      <c r="O35" s="339">
        <f t="shared" si="1"/>
        <v>864</v>
      </c>
    </row>
    <row r="36" spans="1:18" ht="15" customHeight="1" x14ac:dyDescent="0.2">
      <c r="A36" s="865" t="s">
        <v>146</v>
      </c>
      <c r="B36" s="866"/>
      <c r="C36" s="28">
        <v>0</v>
      </c>
      <c r="D36" s="28">
        <v>5094</v>
      </c>
      <c r="E36" s="28">
        <v>0</v>
      </c>
      <c r="F36" s="28">
        <v>0</v>
      </c>
      <c r="G36" s="28">
        <v>0</v>
      </c>
      <c r="H36" s="28">
        <v>0</v>
      </c>
      <c r="I36" s="28">
        <v>0</v>
      </c>
      <c r="J36" s="28">
        <v>5230</v>
      </c>
      <c r="K36" s="28">
        <v>0</v>
      </c>
      <c r="L36" s="28">
        <v>0</v>
      </c>
      <c r="M36" s="28">
        <v>0</v>
      </c>
      <c r="N36" s="28">
        <v>0</v>
      </c>
      <c r="O36" s="339">
        <f t="shared" si="1"/>
        <v>10324</v>
      </c>
    </row>
    <row r="37" spans="1:18" ht="15" customHeight="1" x14ac:dyDescent="0.2">
      <c r="A37" s="22"/>
      <c r="B37" s="23" t="s">
        <v>147</v>
      </c>
      <c r="C37" s="24">
        <f t="shared" ref="C37:N37" si="2">SUM(C9:C36)</f>
        <v>117081</v>
      </c>
      <c r="D37" s="24">
        <f t="shared" si="2"/>
        <v>124449</v>
      </c>
      <c r="E37" s="24">
        <f t="shared" si="2"/>
        <v>118923</v>
      </c>
      <c r="F37" s="24">
        <f t="shared" si="2"/>
        <v>118923</v>
      </c>
      <c r="G37" s="24">
        <f t="shared" si="2"/>
        <v>121247</v>
      </c>
      <c r="H37" s="24">
        <f t="shared" si="2"/>
        <v>122200</v>
      </c>
      <c r="I37" s="24">
        <f t="shared" si="2"/>
        <v>122200</v>
      </c>
      <c r="J37" s="24">
        <f t="shared" si="2"/>
        <v>129756</v>
      </c>
      <c r="K37" s="24">
        <f t="shared" si="2"/>
        <v>124090</v>
      </c>
      <c r="L37" s="24">
        <f t="shared" si="2"/>
        <v>155845</v>
      </c>
      <c r="M37" s="24">
        <f t="shared" si="2"/>
        <v>124090</v>
      </c>
      <c r="N37" s="24">
        <f t="shared" si="2"/>
        <v>124090</v>
      </c>
      <c r="O37" s="25">
        <f t="shared" ref="O37:O50" si="3">SUM(C37:N37)</f>
        <v>1502894</v>
      </c>
      <c r="P37" s="170"/>
      <c r="R37" s="87"/>
    </row>
    <row r="38" spans="1:18" ht="15" customHeight="1" x14ac:dyDescent="0.25">
      <c r="A38" s="853" t="s">
        <v>148</v>
      </c>
      <c r="B38" s="27" t="s">
        <v>149</v>
      </c>
      <c r="C38" s="147">
        <v>12300</v>
      </c>
      <c r="D38" s="147">
        <v>12000</v>
      </c>
      <c r="E38" s="147">
        <v>12000</v>
      </c>
      <c r="F38" s="147">
        <v>12000</v>
      </c>
      <c r="G38" s="147">
        <v>12000</v>
      </c>
      <c r="H38" s="147">
        <v>12000</v>
      </c>
      <c r="I38" s="147">
        <v>12000</v>
      </c>
      <c r="J38" s="147">
        <v>12000</v>
      </c>
      <c r="K38" s="147">
        <v>18500</v>
      </c>
      <c r="L38" s="147">
        <v>18500</v>
      </c>
      <c r="M38" s="147">
        <v>22745</v>
      </c>
      <c r="N38">
        <v>31435</v>
      </c>
      <c r="O38" s="18">
        <f t="shared" si="3"/>
        <v>187480</v>
      </c>
      <c r="P38" s="29"/>
      <c r="Q38" s="16">
        <f>+O15</f>
        <v>0</v>
      </c>
    </row>
    <row r="39" spans="1:18" ht="15" x14ac:dyDescent="0.2">
      <c r="A39" s="854"/>
      <c r="B39" s="27" t="s">
        <v>150</v>
      </c>
      <c r="C39" s="147">
        <v>0</v>
      </c>
      <c r="D39" s="147">
        <v>0</v>
      </c>
      <c r="E39" s="147">
        <v>0</v>
      </c>
      <c r="F39" s="147">
        <v>0</v>
      </c>
      <c r="G39" s="147">
        <v>0</v>
      </c>
      <c r="H39" s="147">
        <v>0</v>
      </c>
      <c r="I39" s="147">
        <v>0</v>
      </c>
      <c r="J39" s="147">
        <f t="shared" ref="J39:N42" si="4">+I39</f>
        <v>0</v>
      </c>
      <c r="K39" s="147">
        <f t="shared" si="4"/>
        <v>0</v>
      </c>
      <c r="L39" s="147">
        <f t="shared" si="4"/>
        <v>0</v>
      </c>
      <c r="M39" s="147">
        <f t="shared" si="4"/>
        <v>0</v>
      </c>
      <c r="N39" s="147">
        <f t="shared" si="4"/>
        <v>0</v>
      </c>
      <c r="O39" s="18">
        <f t="shared" si="3"/>
        <v>0</v>
      </c>
      <c r="Q39" s="16">
        <f>+Q37+Q38</f>
        <v>0</v>
      </c>
    </row>
    <row r="40" spans="1:18" ht="15" x14ac:dyDescent="0.2">
      <c r="A40" s="854"/>
      <c r="B40" s="27" t="s">
        <v>151</v>
      </c>
      <c r="C40" s="147">
        <v>60</v>
      </c>
      <c r="D40" s="147">
        <v>60</v>
      </c>
      <c r="E40" s="147">
        <v>60</v>
      </c>
      <c r="F40" s="147">
        <v>60</v>
      </c>
      <c r="G40" s="147">
        <v>60</v>
      </c>
      <c r="H40" s="147">
        <v>60</v>
      </c>
      <c r="I40" s="147">
        <v>60</v>
      </c>
      <c r="J40" s="147">
        <v>60</v>
      </c>
      <c r="K40" s="147">
        <v>60</v>
      </c>
      <c r="L40" s="147">
        <v>60</v>
      </c>
      <c r="M40" s="147">
        <v>60</v>
      </c>
      <c r="N40" s="147">
        <v>60</v>
      </c>
      <c r="O40" s="18">
        <f t="shared" si="3"/>
        <v>720</v>
      </c>
    </row>
    <row r="41" spans="1:18" ht="15" x14ac:dyDescent="0.2">
      <c r="A41" s="854"/>
      <c r="B41" s="27" t="s">
        <v>152</v>
      </c>
      <c r="C41" s="147">
        <v>0</v>
      </c>
      <c r="D41" s="147">
        <f t="shared" ref="D41:M47" si="5">C41</f>
        <v>0</v>
      </c>
      <c r="E41" s="147">
        <f t="shared" si="5"/>
        <v>0</v>
      </c>
      <c r="F41" s="147">
        <f t="shared" si="5"/>
        <v>0</v>
      </c>
      <c r="G41" s="147">
        <f t="shared" si="5"/>
        <v>0</v>
      </c>
      <c r="H41" s="147">
        <f t="shared" si="5"/>
        <v>0</v>
      </c>
      <c r="I41" s="147">
        <f t="shared" si="5"/>
        <v>0</v>
      </c>
      <c r="J41" s="147">
        <f t="shared" si="4"/>
        <v>0</v>
      </c>
      <c r="K41" s="147">
        <f t="shared" si="4"/>
        <v>0</v>
      </c>
      <c r="L41" s="147">
        <f t="shared" si="4"/>
        <v>0</v>
      </c>
      <c r="M41" s="147">
        <f t="shared" si="4"/>
        <v>0</v>
      </c>
      <c r="N41" s="147">
        <f t="shared" si="4"/>
        <v>0</v>
      </c>
      <c r="O41" s="18">
        <f t="shared" si="3"/>
        <v>0</v>
      </c>
    </row>
    <row r="42" spans="1:18" ht="15" x14ac:dyDescent="0.2">
      <c r="A42" s="854"/>
      <c r="B42" s="27" t="s">
        <v>153</v>
      </c>
      <c r="C42" s="28">
        <v>0</v>
      </c>
      <c r="D42" s="28">
        <f t="shared" si="5"/>
        <v>0</v>
      </c>
      <c r="E42" s="28">
        <f t="shared" si="5"/>
        <v>0</v>
      </c>
      <c r="F42" s="28">
        <f t="shared" si="5"/>
        <v>0</v>
      </c>
      <c r="G42" s="28">
        <f t="shared" si="5"/>
        <v>0</v>
      </c>
      <c r="H42" s="28">
        <f t="shared" si="5"/>
        <v>0</v>
      </c>
      <c r="I42" s="28">
        <f t="shared" si="5"/>
        <v>0</v>
      </c>
      <c r="J42" s="147">
        <f t="shared" si="4"/>
        <v>0</v>
      </c>
      <c r="K42" s="147">
        <f t="shared" si="4"/>
        <v>0</v>
      </c>
      <c r="L42" s="147">
        <f t="shared" si="4"/>
        <v>0</v>
      </c>
      <c r="M42" s="147">
        <f t="shared" si="4"/>
        <v>0</v>
      </c>
      <c r="N42" s="147">
        <f t="shared" si="4"/>
        <v>0</v>
      </c>
      <c r="O42" s="18">
        <f t="shared" si="3"/>
        <v>0</v>
      </c>
    </row>
    <row r="43" spans="1:18" ht="15" x14ac:dyDescent="0.2">
      <c r="A43" s="854"/>
      <c r="B43" s="27" t="s">
        <v>154</v>
      </c>
      <c r="C43" s="28">
        <v>25000</v>
      </c>
      <c r="D43" s="28">
        <v>25000</v>
      </c>
      <c r="E43" s="28">
        <v>25000</v>
      </c>
      <c r="F43" s="28">
        <v>25000</v>
      </c>
      <c r="G43" s="28">
        <v>25000</v>
      </c>
      <c r="H43" s="28">
        <v>25000</v>
      </c>
      <c r="I43" s="28">
        <v>25000</v>
      </c>
      <c r="J43" s="28">
        <v>25000</v>
      </c>
      <c r="K43" s="28">
        <v>25000</v>
      </c>
      <c r="L43" s="28">
        <v>25000</v>
      </c>
      <c r="M43" s="28">
        <v>25000</v>
      </c>
      <c r="N43" s="28">
        <v>25000</v>
      </c>
      <c r="O43" s="18">
        <f t="shared" si="3"/>
        <v>300000</v>
      </c>
    </row>
    <row r="44" spans="1:18" ht="15" x14ac:dyDescent="0.2">
      <c r="A44" s="854"/>
      <c r="B44" s="27" t="s">
        <v>155</v>
      </c>
      <c r="C44" s="28">
        <v>200</v>
      </c>
      <c r="D44" s="28">
        <f t="shared" si="5"/>
        <v>200</v>
      </c>
      <c r="E44" s="28">
        <f t="shared" si="5"/>
        <v>200</v>
      </c>
      <c r="F44" s="28">
        <f t="shared" si="5"/>
        <v>200</v>
      </c>
      <c r="G44" s="28">
        <f t="shared" si="5"/>
        <v>200</v>
      </c>
      <c r="H44" s="28">
        <f t="shared" si="5"/>
        <v>200</v>
      </c>
      <c r="I44" s="28">
        <f t="shared" si="5"/>
        <v>200</v>
      </c>
      <c r="J44" s="28">
        <f t="shared" si="5"/>
        <v>200</v>
      </c>
      <c r="K44" s="28">
        <f t="shared" si="5"/>
        <v>200</v>
      </c>
      <c r="L44" s="28">
        <f t="shared" si="5"/>
        <v>200</v>
      </c>
      <c r="M44" s="28">
        <f t="shared" si="5"/>
        <v>200</v>
      </c>
      <c r="N44" s="28">
        <v>300</v>
      </c>
      <c r="O44" s="18">
        <f t="shared" si="3"/>
        <v>2500</v>
      </c>
    </row>
    <row r="45" spans="1:18" ht="15" x14ac:dyDescent="0.2">
      <c r="A45" s="854"/>
      <c r="B45" s="27" t="s">
        <v>156</v>
      </c>
      <c r="C45" s="28">
        <v>0</v>
      </c>
      <c r="D45" s="28">
        <f t="shared" si="5"/>
        <v>0</v>
      </c>
      <c r="E45" s="28">
        <f t="shared" si="5"/>
        <v>0</v>
      </c>
      <c r="F45" s="28">
        <f t="shared" si="5"/>
        <v>0</v>
      </c>
      <c r="G45" s="28">
        <f t="shared" si="5"/>
        <v>0</v>
      </c>
      <c r="H45" s="28">
        <f t="shared" si="5"/>
        <v>0</v>
      </c>
      <c r="I45" s="28">
        <f t="shared" si="5"/>
        <v>0</v>
      </c>
      <c r="J45" s="147">
        <f t="shared" ref="J45:M47" si="6">+I45</f>
        <v>0</v>
      </c>
      <c r="K45" s="147">
        <f t="shared" si="6"/>
        <v>0</v>
      </c>
      <c r="L45" s="147">
        <f t="shared" si="6"/>
        <v>0</v>
      </c>
      <c r="M45" s="147">
        <f t="shared" si="6"/>
        <v>0</v>
      </c>
      <c r="N45" s="147">
        <f>+M45</f>
        <v>0</v>
      </c>
      <c r="O45" s="18">
        <f t="shared" si="3"/>
        <v>0</v>
      </c>
    </row>
    <row r="46" spans="1:18" ht="15" x14ac:dyDescent="0.2">
      <c r="A46" s="854"/>
      <c r="B46" s="27" t="s">
        <v>157</v>
      </c>
      <c r="C46" s="28">
        <v>0</v>
      </c>
      <c r="D46" s="28">
        <f t="shared" si="5"/>
        <v>0</v>
      </c>
      <c r="E46" s="28">
        <f t="shared" si="5"/>
        <v>0</v>
      </c>
      <c r="F46" s="28">
        <f t="shared" si="5"/>
        <v>0</v>
      </c>
      <c r="G46" s="28">
        <f t="shared" si="5"/>
        <v>0</v>
      </c>
      <c r="H46" s="28">
        <f t="shared" si="5"/>
        <v>0</v>
      </c>
      <c r="I46" s="28">
        <f t="shared" si="5"/>
        <v>0</v>
      </c>
      <c r="J46" s="147">
        <f t="shared" si="6"/>
        <v>0</v>
      </c>
      <c r="K46" s="147">
        <f t="shared" si="6"/>
        <v>0</v>
      </c>
      <c r="L46" s="147">
        <f t="shared" si="6"/>
        <v>0</v>
      </c>
      <c r="M46" s="147">
        <f t="shared" si="6"/>
        <v>0</v>
      </c>
      <c r="N46" s="147">
        <f>+M46</f>
        <v>0</v>
      </c>
      <c r="O46" s="18">
        <f t="shared" si="3"/>
        <v>0</v>
      </c>
    </row>
    <row r="47" spans="1:18" ht="28.5" customHeight="1" x14ac:dyDescent="0.2">
      <c r="A47" s="855"/>
      <c r="B47" s="30" t="s">
        <v>158</v>
      </c>
      <c r="C47" s="256">
        <v>0</v>
      </c>
      <c r="D47" s="256">
        <f t="shared" si="5"/>
        <v>0</v>
      </c>
      <c r="E47" s="256">
        <f t="shared" si="5"/>
        <v>0</v>
      </c>
      <c r="F47" s="256">
        <f t="shared" si="5"/>
        <v>0</v>
      </c>
      <c r="G47" s="256">
        <f t="shared" si="5"/>
        <v>0</v>
      </c>
      <c r="H47" s="256">
        <f t="shared" si="5"/>
        <v>0</v>
      </c>
      <c r="I47" s="256">
        <f t="shared" si="5"/>
        <v>0</v>
      </c>
      <c r="J47" s="147">
        <f t="shared" si="6"/>
        <v>0</v>
      </c>
      <c r="K47" s="147">
        <f t="shared" si="6"/>
        <v>0</v>
      </c>
      <c r="L47" s="147">
        <f t="shared" si="6"/>
        <v>0</v>
      </c>
      <c r="M47" s="147">
        <f t="shared" si="6"/>
        <v>0</v>
      </c>
      <c r="N47" s="147">
        <f>+M47</f>
        <v>0</v>
      </c>
      <c r="O47" s="31">
        <f t="shared" si="3"/>
        <v>0</v>
      </c>
    </row>
    <row r="48" spans="1:18" ht="25.5" x14ac:dyDescent="0.2">
      <c r="A48" s="856"/>
      <c r="B48" s="169" t="s">
        <v>899</v>
      </c>
      <c r="C48" s="293">
        <v>50</v>
      </c>
      <c r="D48" s="293">
        <v>50</v>
      </c>
      <c r="E48" s="293">
        <v>50</v>
      </c>
      <c r="F48" s="293">
        <v>50</v>
      </c>
      <c r="G48" s="293">
        <v>50</v>
      </c>
      <c r="H48" s="293">
        <v>50</v>
      </c>
      <c r="I48" s="293">
        <v>50</v>
      </c>
      <c r="J48" s="293">
        <v>50</v>
      </c>
      <c r="K48" s="293">
        <v>50</v>
      </c>
      <c r="L48" s="293">
        <v>50</v>
      </c>
      <c r="M48" s="293">
        <v>50</v>
      </c>
      <c r="N48" s="293">
        <v>50</v>
      </c>
      <c r="O48" s="31">
        <f t="shared" si="3"/>
        <v>600</v>
      </c>
    </row>
    <row r="49" spans="1:19" ht="15" x14ac:dyDescent="0.2">
      <c r="A49" s="857" t="s">
        <v>160</v>
      </c>
      <c r="B49" s="858"/>
      <c r="C49" s="33">
        <f t="shared" ref="C49:N49" si="7">SUM(C38:C48)</f>
        <v>37610</v>
      </c>
      <c r="D49" s="33">
        <f t="shared" si="7"/>
        <v>37310</v>
      </c>
      <c r="E49" s="33">
        <f t="shared" si="7"/>
        <v>37310</v>
      </c>
      <c r="F49" s="33">
        <f t="shared" si="7"/>
        <v>37310</v>
      </c>
      <c r="G49" s="33">
        <f t="shared" si="7"/>
        <v>37310</v>
      </c>
      <c r="H49" s="33">
        <f t="shared" si="7"/>
        <v>37310</v>
      </c>
      <c r="I49" s="33">
        <f t="shared" si="7"/>
        <v>37310</v>
      </c>
      <c r="J49" s="33">
        <f t="shared" si="7"/>
        <v>37310</v>
      </c>
      <c r="K49" s="33">
        <f t="shared" si="7"/>
        <v>43810</v>
      </c>
      <c r="L49" s="33">
        <f t="shared" si="7"/>
        <v>43810</v>
      </c>
      <c r="M49" s="33">
        <f t="shared" si="7"/>
        <v>48055</v>
      </c>
      <c r="N49" s="33">
        <f t="shared" si="7"/>
        <v>56845</v>
      </c>
      <c r="O49" s="34">
        <f t="shared" si="3"/>
        <v>491300</v>
      </c>
    </row>
    <row r="50" spans="1:19" ht="15.75" thickBot="1" x14ac:dyDescent="0.25">
      <c r="A50" s="859" t="s">
        <v>161</v>
      </c>
      <c r="B50" s="860"/>
      <c r="C50" s="35">
        <f t="shared" ref="C50:N50" si="8">C37-C49</f>
        <v>79471</v>
      </c>
      <c r="D50" s="35">
        <f t="shared" si="8"/>
        <v>87139</v>
      </c>
      <c r="E50" s="35">
        <f t="shared" si="8"/>
        <v>81613</v>
      </c>
      <c r="F50" s="35">
        <f t="shared" si="8"/>
        <v>81613</v>
      </c>
      <c r="G50" s="35">
        <f t="shared" si="8"/>
        <v>83937</v>
      </c>
      <c r="H50" s="35">
        <f t="shared" si="8"/>
        <v>84890</v>
      </c>
      <c r="I50" s="35">
        <f t="shared" si="8"/>
        <v>84890</v>
      </c>
      <c r="J50" s="35">
        <f t="shared" si="8"/>
        <v>92446</v>
      </c>
      <c r="K50" s="35">
        <f t="shared" si="8"/>
        <v>80280</v>
      </c>
      <c r="L50" s="35">
        <f t="shared" si="8"/>
        <v>112035</v>
      </c>
      <c r="M50" s="35">
        <f t="shared" si="8"/>
        <v>76035</v>
      </c>
      <c r="N50" s="35">
        <f t="shared" si="8"/>
        <v>67245</v>
      </c>
      <c r="O50" s="36">
        <f t="shared" si="3"/>
        <v>1011594</v>
      </c>
      <c r="Q50" s="16">
        <f>29589+22089+26264+7180+26384+27707+47707+29188+6921+3454+50014</f>
        <v>276497</v>
      </c>
    </row>
    <row r="51" spans="1:19" x14ac:dyDescent="0.2">
      <c r="J51" s="300">
        <f>+J37-SUM(J22:J36)</f>
        <v>124090</v>
      </c>
      <c r="L51" s="38"/>
      <c r="Q51" s="38">
        <f>SUM(C50:M50)</f>
        <v>944349</v>
      </c>
    </row>
    <row r="52" spans="1:19" ht="13.5" thickBot="1" x14ac:dyDescent="0.25">
      <c r="J52" s="38">
        <f>+J51-J49</f>
        <v>86780</v>
      </c>
    </row>
    <row r="53" spans="1:19" ht="13.5" thickBot="1" x14ac:dyDescent="0.25">
      <c r="B53" s="789" t="s">
        <v>162</v>
      </c>
      <c r="C53" s="861"/>
      <c r="D53" s="861"/>
      <c r="E53" s="861"/>
      <c r="F53" s="862"/>
      <c r="G53" s="863">
        <f>O37</f>
        <v>1502894</v>
      </c>
      <c r="H53" s="864"/>
    </row>
    <row r="54" spans="1:19" ht="13.5" thickBot="1" x14ac:dyDescent="0.25"/>
    <row r="55" spans="1:19" x14ac:dyDescent="0.2">
      <c r="B55" s="830" t="s">
        <v>163</v>
      </c>
      <c r="C55" s="833" t="s">
        <v>164</v>
      </c>
      <c r="D55" s="836" t="s">
        <v>425</v>
      </c>
      <c r="E55" s="837"/>
      <c r="F55" s="838"/>
      <c r="G55" s="839">
        <v>40000</v>
      </c>
      <c r="H55" s="840"/>
    </row>
    <row r="56" spans="1:19" x14ac:dyDescent="0.2">
      <c r="B56" s="831"/>
      <c r="C56" s="834"/>
      <c r="D56" s="841" t="s">
        <v>166</v>
      </c>
      <c r="E56" s="842"/>
      <c r="F56" s="843"/>
      <c r="G56" s="844">
        <f>+O44</f>
        <v>2500</v>
      </c>
      <c r="H56" s="845"/>
      <c r="I56" s="39"/>
      <c r="J56" s="846"/>
      <c r="K56" s="846"/>
      <c r="L56" s="846"/>
      <c r="M56" s="847"/>
      <c r="N56" s="847"/>
      <c r="O56" s="847"/>
    </row>
    <row r="57" spans="1:19" ht="13.5" thickBot="1" x14ac:dyDescent="0.25">
      <c r="B57" s="832"/>
      <c r="C57" s="835"/>
      <c r="D57" s="848" t="s">
        <v>266</v>
      </c>
      <c r="E57" s="849"/>
      <c r="F57" s="850"/>
      <c r="G57" s="851">
        <v>0</v>
      </c>
      <c r="H57" s="852"/>
      <c r="J57" s="47"/>
      <c r="K57" s="47"/>
      <c r="L57" s="47"/>
      <c r="M57" s="47"/>
      <c r="N57" s="47"/>
      <c r="O57" s="47"/>
    </row>
    <row r="58" spans="1:19" ht="13.5" thickBot="1" x14ac:dyDescent="0.25">
      <c r="B58" s="48"/>
      <c r="J58" s="47"/>
      <c r="K58" s="47"/>
      <c r="L58" s="47"/>
      <c r="M58" s="47"/>
      <c r="N58" s="47"/>
      <c r="O58" s="47"/>
    </row>
    <row r="59" spans="1:19" ht="13.5" thickBot="1" x14ac:dyDescent="0.25">
      <c r="B59" s="789" t="s">
        <v>168</v>
      </c>
      <c r="C59" s="790"/>
      <c r="D59" s="790"/>
      <c r="E59" s="790"/>
      <c r="F59" s="791"/>
      <c r="G59" s="825">
        <f>+G53-SUM(G55:H57)</f>
        <v>1460394</v>
      </c>
      <c r="H59" s="826"/>
      <c r="J59" s="827" t="s">
        <v>169</v>
      </c>
      <c r="K59" s="828"/>
      <c r="L59" s="828"/>
      <c r="M59" s="828"/>
      <c r="N59" s="828"/>
      <c r="O59" s="829"/>
    </row>
    <row r="60" spans="1:19" ht="13.5" thickBot="1" x14ac:dyDescent="0.25">
      <c r="B60" s="49"/>
      <c r="C60" s="50"/>
      <c r="D60" s="50"/>
      <c r="E60" s="50"/>
      <c r="F60" s="50"/>
      <c r="G60" s="45"/>
      <c r="H60" s="50"/>
      <c r="J60" s="129"/>
      <c r="K60" s="130"/>
      <c r="L60" s="130"/>
      <c r="M60" s="130"/>
      <c r="N60" s="130"/>
      <c r="O60" s="131"/>
    </row>
    <row r="61" spans="1:19" ht="13.5" thickBot="1" x14ac:dyDescent="0.25">
      <c r="B61" s="789" t="s">
        <v>170</v>
      </c>
      <c r="C61" s="790"/>
      <c r="D61" s="790"/>
      <c r="E61" s="790"/>
      <c r="F61" s="791"/>
      <c r="G61" s="805"/>
      <c r="H61" s="791"/>
      <c r="J61" s="129"/>
      <c r="K61" s="130"/>
      <c r="L61" s="130"/>
      <c r="M61" s="130"/>
      <c r="N61" s="130"/>
      <c r="O61" s="131"/>
    </row>
    <row r="62" spans="1:19" ht="12.75" customHeight="1" x14ac:dyDescent="0.2">
      <c r="B62" s="57" t="s">
        <v>171</v>
      </c>
      <c r="C62" s="806" t="s">
        <v>172</v>
      </c>
      <c r="D62" s="807"/>
      <c r="E62" s="807"/>
      <c r="F62" s="808"/>
      <c r="G62" s="809">
        <v>87378</v>
      </c>
      <c r="H62" s="809"/>
      <c r="I62" s="58"/>
      <c r="J62" s="810" t="s">
        <v>173</v>
      </c>
      <c r="K62" s="811"/>
      <c r="L62" s="811"/>
      <c r="M62" s="811"/>
      <c r="N62" s="811"/>
      <c r="O62" s="812"/>
      <c r="Q62" s="59"/>
      <c r="R62" s="59"/>
      <c r="S62" s="59"/>
    </row>
    <row r="63" spans="1:19" ht="13.5" thickBot="1" x14ac:dyDescent="0.25">
      <c r="D63" s="37"/>
      <c r="I63" s="58"/>
      <c r="J63" s="60" t="s">
        <v>870</v>
      </c>
      <c r="K63" s="132"/>
      <c r="L63" s="132"/>
      <c r="M63" s="133"/>
      <c r="N63" s="133"/>
      <c r="O63" s="134"/>
      <c r="Q63" s="59"/>
      <c r="R63" s="59"/>
      <c r="S63" s="59"/>
    </row>
    <row r="64" spans="1:19" ht="13.5" thickBot="1" x14ac:dyDescent="0.25">
      <c r="B64" s="789" t="s">
        <v>175</v>
      </c>
      <c r="C64" s="790"/>
      <c r="D64" s="790"/>
      <c r="E64" s="790"/>
      <c r="F64" s="791"/>
      <c r="G64" s="805">
        <f>+G59-G62</f>
        <v>1373016</v>
      </c>
      <c r="H64" s="791"/>
      <c r="I64" s="63"/>
      <c r="J64" s="64" t="s">
        <v>900</v>
      </c>
      <c r="K64" s="39"/>
      <c r="L64" s="39"/>
      <c r="M64" s="39"/>
      <c r="N64" s="39"/>
      <c r="O64" s="65"/>
      <c r="Q64" s="59"/>
      <c r="R64" s="59"/>
      <c r="S64" s="59"/>
    </row>
    <row r="65" spans="2:19" ht="12.75" customHeight="1" x14ac:dyDescent="0.2">
      <c r="B65" s="48"/>
      <c r="C65" s="48"/>
      <c r="I65" s="63"/>
      <c r="J65" s="64"/>
      <c r="K65" s="39"/>
      <c r="L65" s="39"/>
      <c r="M65" s="39"/>
      <c r="N65" s="39"/>
      <c r="O65" s="65"/>
      <c r="Q65" s="59"/>
      <c r="R65" s="59"/>
      <c r="S65" s="59"/>
    </row>
    <row r="66" spans="2:19" x14ac:dyDescent="0.2">
      <c r="B66" s="66" t="s">
        <v>176</v>
      </c>
      <c r="C66" s="48"/>
      <c r="I66" s="63"/>
      <c r="J66" s="67"/>
      <c r="K66" s="68"/>
      <c r="L66" s="68"/>
      <c r="M66" s="68"/>
      <c r="N66" s="68"/>
      <c r="O66" s="69"/>
      <c r="Q66" s="59"/>
      <c r="R66" s="59"/>
      <c r="S66" s="59"/>
    </row>
    <row r="67" spans="2:19" ht="27.75" customHeight="1" thickBot="1" x14ac:dyDescent="0.25">
      <c r="B67" s="66"/>
      <c r="C67" s="48"/>
      <c r="G67" s="70" t="s">
        <v>177</v>
      </c>
      <c r="H67" s="70" t="s">
        <v>178</v>
      </c>
      <c r="I67" s="63"/>
      <c r="J67" s="810" t="s">
        <v>179</v>
      </c>
      <c r="K67" s="811"/>
      <c r="L67" s="71"/>
      <c r="M67" s="71"/>
      <c r="N67" s="71"/>
      <c r="O67" s="72"/>
      <c r="Q67" s="59"/>
      <c r="R67" s="59"/>
      <c r="S67" s="59"/>
    </row>
    <row r="68" spans="2:19" ht="12.75" customHeight="1" x14ac:dyDescent="0.2">
      <c r="B68" s="802" t="s">
        <v>180</v>
      </c>
      <c r="C68" s="821" t="s">
        <v>181</v>
      </c>
      <c r="D68" s="823" t="s">
        <v>182</v>
      </c>
      <c r="E68" s="824"/>
      <c r="F68" s="824"/>
      <c r="G68" s="73">
        <f>+O43</f>
        <v>300000</v>
      </c>
      <c r="H68" s="74">
        <f>+G68</f>
        <v>300000</v>
      </c>
      <c r="I68" s="63"/>
      <c r="J68" s="75" t="s">
        <v>901</v>
      </c>
      <c r="K68" s="58"/>
      <c r="L68" s="58"/>
      <c r="M68" s="58"/>
      <c r="N68" s="58"/>
      <c r="O68" s="76">
        <v>39379</v>
      </c>
      <c r="Q68" s="59"/>
      <c r="R68" s="59"/>
      <c r="S68" s="59"/>
    </row>
    <row r="69" spans="2:19" ht="12.75" customHeight="1" x14ac:dyDescent="0.2">
      <c r="B69" s="803"/>
      <c r="C69" s="822"/>
      <c r="D69" s="782" t="s">
        <v>184</v>
      </c>
      <c r="E69" s="783"/>
      <c r="F69" s="783"/>
      <c r="G69" s="77">
        <v>0</v>
      </c>
      <c r="H69" s="78">
        <f t="shared" ref="H69:H75" si="9">+G69</f>
        <v>0</v>
      </c>
      <c r="I69" s="63"/>
      <c r="J69" s="79"/>
      <c r="K69" s="68"/>
      <c r="L69" s="68"/>
      <c r="M69" s="68"/>
      <c r="N69" s="68"/>
      <c r="O69" s="69">
        <v>0</v>
      </c>
      <c r="Q69" s="59"/>
      <c r="R69" s="59"/>
      <c r="S69" s="59"/>
    </row>
    <row r="70" spans="2:19" ht="12.75" customHeight="1" x14ac:dyDescent="0.2">
      <c r="B70" s="803"/>
      <c r="C70" s="822"/>
      <c r="D70" s="819" t="s">
        <v>185</v>
      </c>
      <c r="E70" s="820"/>
      <c r="F70" s="820"/>
      <c r="G70" s="80">
        <f>O40</f>
        <v>720</v>
      </c>
      <c r="H70" s="78">
        <f t="shared" si="9"/>
        <v>720</v>
      </c>
      <c r="I70" s="63"/>
      <c r="J70" s="67"/>
      <c r="K70" s="68"/>
      <c r="L70" s="68"/>
      <c r="M70" s="68"/>
      <c r="N70" s="68"/>
      <c r="O70" s="69"/>
    </row>
    <row r="71" spans="2:19" x14ac:dyDescent="0.2">
      <c r="B71" s="803"/>
      <c r="C71" s="822"/>
      <c r="D71" s="782" t="s">
        <v>186</v>
      </c>
      <c r="E71" s="783"/>
      <c r="F71" s="783"/>
      <c r="G71" s="81">
        <v>0</v>
      </c>
      <c r="H71" s="78">
        <f t="shared" si="9"/>
        <v>0</v>
      </c>
      <c r="I71" s="63"/>
      <c r="J71" s="82" t="s">
        <v>187</v>
      </c>
      <c r="K71" s="71"/>
      <c r="L71" s="71"/>
      <c r="M71" s="71"/>
      <c r="N71" s="71"/>
      <c r="O71" s="72"/>
    </row>
    <row r="72" spans="2:19" ht="12.75" customHeight="1" x14ac:dyDescent="0.2">
      <c r="B72" s="803"/>
      <c r="C72" s="822"/>
      <c r="D72" s="784" t="s">
        <v>188</v>
      </c>
      <c r="E72" s="783"/>
      <c r="F72" s="783"/>
      <c r="G72" s="80">
        <v>0</v>
      </c>
      <c r="H72" s="78">
        <f t="shared" si="9"/>
        <v>0</v>
      </c>
      <c r="I72" s="63"/>
      <c r="J72" s="75" t="s">
        <v>189</v>
      </c>
      <c r="K72" s="50"/>
      <c r="L72" s="50"/>
      <c r="M72" s="50"/>
      <c r="N72" s="50"/>
      <c r="O72" s="83">
        <v>0</v>
      </c>
    </row>
    <row r="73" spans="2:19" ht="14.25" customHeight="1" x14ac:dyDescent="0.2">
      <c r="B73" s="803"/>
      <c r="C73" s="822"/>
      <c r="D73" s="782" t="s">
        <v>190</v>
      </c>
      <c r="E73" s="783"/>
      <c r="F73" s="783"/>
      <c r="G73" s="84">
        <v>0</v>
      </c>
      <c r="H73" s="78">
        <f t="shared" si="9"/>
        <v>0</v>
      </c>
      <c r="I73" s="63"/>
      <c r="J73" s="64"/>
      <c r="K73" s="39"/>
      <c r="L73" s="39"/>
      <c r="M73" s="39"/>
      <c r="N73" s="39"/>
      <c r="O73" s="65"/>
    </row>
    <row r="74" spans="2:19" x14ac:dyDescent="0.2">
      <c r="B74" s="803"/>
      <c r="C74" s="822"/>
      <c r="D74" s="782" t="s">
        <v>191</v>
      </c>
      <c r="E74" s="783"/>
      <c r="F74" s="783"/>
      <c r="G74" s="81">
        <v>224778</v>
      </c>
      <c r="H74" s="78">
        <f t="shared" si="9"/>
        <v>224778</v>
      </c>
      <c r="I74" s="58"/>
      <c r="J74" s="150"/>
      <c r="K74" s="50"/>
      <c r="L74" s="50"/>
      <c r="M74" s="50"/>
      <c r="N74" s="50"/>
      <c r="O74" s="83"/>
    </row>
    <row r="75" spans="2:19" x14ac:dyDescent="0.2">
      <c r="B75" s="803"/>
      <c r="C75" s="88" t="s">
        <v>192</v>
      </c>
      <c r="D75" s="813" t="s">
        <v>193</v>
      </c>
      <c r="E75" s="814"/>
      <c r="F75" s="814"/>
      <c r="G75" s="80">
        <v>0</v>
      </c>
      <c r="H75" s="78">
        <f t="shared" si="9"/>
        <v>0</v>
      </c>
      <c r="I75" s="58"/>
      <c r="J75" s="79"/>
      <c r="K75" s="39"/>
      <c r="L75" s="39"/>
      <c r="M75" s="39"/>
      <c r="N75" s="39"/>
      <c r="O75" s="65"/>
    </row>
    <row r="76" spans="2:19" ht="13.5" customHeight="1" thickBot="1" x14ac:dyDescent="0.25">
      <c r="B76" s="803"/>
      <c r="C76" s="88" t="s">
        <v>194</v>
      </c>
      <c r="D76" s="815" t="s">
        <v>195</v>
      </c>
      <c r="E76" s="815"/>
      <c r="F76" s="815"/>
      <c r="G76" s="89">
        <v>0</v>
      </c>
      <c r="H76" s="90">
        <f>+G76</f>
        <v>0</v>
      </c>
      <c r="I76" s="63"/>
      <c r="J76" s="67"/>
      <c r="K76" s="68"/>
      <c r="L76" s="68"/>
      <c r="M76" s="91"/>
      <c r="N76" s="91"/>
      <c r="O76" s="92"/>
    </row>
    <row r="77" spans="2:19" ht="13.5" thickBot="1" x14ac:dyDescent="0.25">
      <c r="B77" s="803"/>
      <c r="C77" s="93"/>
      <c r="D77" s="94"/>
      <c r="E77" s="816" t="s">
        <v>117</v>
      </c>
      <c r="F77" s="817"/>
      <c r="G77" s="95">
        <f>SUM(G68:G76)</f>
        <v>525498</v>
      </c>
      <c r="H77" s="96">
        <f>IF(SUM(G68:G74)&lt;150000,SUM(G68:G74),150000)+IF(+G75&lt;20000,+G75,20000)</f>
        <v>150000</v>
      </c>
      <c r="I77" s="63"/>
      <c r="J77" s="140"/>
      <c r="K77" s="141"/>
      <c r="L77" s="141"/>
      <c r="M77" s="142"/>
      <c r="N77" s="142"/>
      <c r="O77" s="143"/>
    </row>
    <row r="78" spans="2:19" ht="12.75" customHeight="1" x14ac:dyDescent="0.2">
      <c r="B78" s="803"/>
      <c r="C78" s="100" t="s">
        <v>196</v>
      </c>
      <c r="D78" s="782" t="s">
        <v>187</v>
      </c>
      <c r="E78" s="783"/>
      <c r="F78" s="818"/>
      <c r="G78" s="73">
        <v>39379</v>
      </c>
      <c r="H78" s="101">
        <f>+IF(+G78&lt;25000,+G78,25000)</f>
        <v>25000</v>
      </c>
      <c r="I78" s="87"/>
    </row>
    <row r="79" spans="2:19" x14ac:dyDescent="0.2">
      <c r="B79" s="803"/>
      <c r="C79" s="100" t="s">
        <v>197</v>
      </c>
      <c r="D79" s="784" t="s">
        <v>198</v>
      </c>
      <c r="E79" s="785"/>
      <c r="F79" s="786"/>
      <c r="G79" s="102"/>
      <c r="H79" s="103">
        <f>+IF(+G79&lt;40000,+G79,40000)</f>
        <v>0</v>
      </c>
      <c r="I79" s="63"/>
    </row>
    <row r="80" spans="2:19" x14ac:dyDescent="0.2">
      <c r="B80" s="803"/>
      <c r="C80" s="100" t="s">
        <v>199</v>
      </c>
      <c r="D80" s="784" t="s">
        <v>200</v>
      </c>
      <c r="E80" s="785"/>
      <c r="F80" s="786"/>
      <c r="G80" s="81"/>
      <c r="H80" s="104">
        <v>0</v>
      </c>
      <c r="I80" s="63"/>
      <c r="J80" s="106"/>
    </row>
    <row r="81" spans="2:12" x14ac:dyDescent="0.2">
      <c r="B81" s="803"/>
      <c r="C81" s="100" t="s">
        <v>201</v>
      </c>
      <c r="D81" s="784" t="s">
        <v>202</v>
      </c>
      <c r="E81" s="785"/>
      <c r="F81" s="786"/>
      <c r="G81" s="81"/>
      <c r="H81" s="104">
        <v>0</v>
      </c>
      <c r="I81" s="63"/>
    </row>
    <row r="82" spans="2:12" ht="13.5" thickBot="1" x14ac:dyDescent="0.25">
      <c r="B82" s="804"/>
      <c r="C82" s="100" t="s">
        <v>203</v>
      </c>
      <c r="D82" s="784" t="s">
        <v>204</v>
      </c>
      <c r="E82" s="785"/>
      <c r="F82" s="786"/>
      <c r="G82" s="102"/>
      <c r="H82" s="103">
        <f>+IF(+G82&lt;100000,+G82,10000)</f>
        <v>0</v>
      </c>
      <c r="I82" s="63"/>
    </row>
    <row r="83" spans="2:12" ht="13.5" thickBot="1" x14ac:dyDescent="0.25">
      <c r="B83" s="787" t="s">
        <v>205</v>
      </c>
      <c r="C83" s="788"/>
      <c r="D83" s="788"/>
      <c r="E83" s="788"/>
      <c r="F83" s="788"/>
      <c r="G83" s="107">
        <f>SUM(G78:G82)</f>
        <v>39379</v>
      </c>
      <c r="H83" s="108">
        <f>SUM(H77:H82)</f>
        <v>175000</v>
      </c>
    </row>
    <row r="84" spans="2:12" ht="13.5" thickBot="1" x14ac:dyDescent="0.25"/>
    <row r="85" spans="2:12" ht="13.5" thickBot="1" x14ac:dyDescent="0.25">
      <c r="B85" s="789" t="s">
        <v>206</v>
      </c>
      <c r="C85" s="790"/>
      <c r="D85" s="790"/>
      <c r="E85" s="790"/>
      <c r="F85" s="791"/>
      <c r="G85" s="1055">
        <f>ROUND(+G64-H83,-1)</f>
        <v>1198020</v>
      </c>
      <c r="H85" s="1056"/>
      <c r="J85" s="251">
        <f>C37+D37+E37+F37</f>
        <v>479376</v>
      </c>
      <c r="K85" s="16" t="s">
        <v>235</v>
      </c>
      <c r="L85" s="87"/>
    </row>
    <row r="86" spans="2:12" x14ac:dyDescent="0.2">
      <c r="B86" s="110"/>
      <c r="F86" s="105"/>
      <c r="J86" s="251">
        <f>G37+H37+I37</f>
        <v>365647</v>
      </c>
      <c r="K86" s="16" t="s">
        <v>236</v>
      </c>
      <c r="L86" s="87"/>
    </row>
    <row r="87" spans="2:12" x14ac:dyDescent="0.2">
      <c r="C87" s="793" t="s">
        <v>207</v>
      </c>
      <c r="D87" s="794"/>
      <c r="E87" s="111" t="s">
        <v>208</v>
      </c>
      <c r="F87" s="111" t="s">
        <v>209</v>
      </c>
      <c r="G87" s="111" t="s">
        <v>210</v>
      </c>
      <c r="H87" s="111" t="s">
        <v>211</v>
      </c>
      <c r="J87" s="251">
        <f>J37+K37+L37</f>
        <v>409691</v>
      </c>
      <c r="K87" s="47" t="s">
        <v>237</v>
      </c>
      <c r="L87" s="87"/>
    </row>
    <row r="88" spans="2:12" x14ac:dyDescent="0.2">
      <c r="C88" s="795" t="str">
        <f>IF(I6="M","0          - 250000","0          -  250000")</f>
        <v>0          -  250000</v>
      </c>
      <c r="D88" s="796"/>
      <c r="E88" s="112">
        <v>0</v>
      </c>
      <c r="F88" s="113">
        <f>IF(I6="M",(IF(G85&lt;250000,G85,250000)),(IF(G85&lt;250000,G85,250000)))</f>
        <v>250000</v>
      </c>
      <c r="G88" s="113">
        <f>G85-F88</f>
        <v>948020</v>
      </c>
      <c r="H88" s="113">
        <f>E88*F88</f>
        <v>0</v>
      </c>
      <c r="J88" s="16">
        <f>M37+N37</f>
        <v>248180</v>
      </c>
      <c r="K88" s="1" t="s">
        <v>238</v>
      </c>
      <c r="L88" s="87"/>
    </row>
    <row r="89" spans="2:12" x14ac:dyDescent="0.2">
      <c r="C89" s="795" t="str">
        <f>IF(I6="M","250001 - 500000","250001-500000")</f>
        <v>250001-500000</v>
      </c>
      <c r="D89" s="796"/>
      <c r="E89" s="112">
        <v>0.05</v>
      </c>
      <c r="F89" s="113">
        <f>IF(I6="M",(IF(G88&lt;250000,G88,250000)),(IF(G88&lt;250000,G88,250000)))</f>
        <v>250000</v>
      </c>
      <c r="G89" s="113">
        <f>G88-F89</f>
        <v>698020</v>
      </c>
      <c r="H89" s="114">
        <f>ROUND(E89*F89,0.1)</f>
        <v>12500</v>
      </c>
      <c r="J89" s="115">
        <f>SUM(J85:J88)</f>
        <v>1502894</v>
      </c>
      <c r="L89" s="87"/>
    </row>
    <row r="90" spans="2:12" x14ac:dyDescent="0.2">
      <c r="C90" s="797" t="s">
        <v>212</v>
      </c>
      <c r="D90" s="798"/>
      <c r="E90" s="112">
        <v>0.2</v>
      </c>
      <c r="F90" s="113">
        <f>IF(G89&lt;500000,G89,500000)</f>
        <v>500000</v>
      </c>
      <c r="G90" s="113">
        <f>G89-F90</f>
        <v>198020</v>
      </c>
      <c r="H90" s="114">
        <f>ROUND(E90*F90,0.1)</f>
        <v>100000</v>
      </c>
      <c r="J90" s="16">
        <f>+G85</f>
        <v>1198020</v>
      </c>
      <c r="L90" s="87"/>
    </row>
    <row r="91" spans="2:12" x14ac:dyDescent="0.2">
      <c r="C91" s="795" t="s">
        <v>213</v>
      </c>
      <c r="D91" s="796"/>
      <c r="E91" s="112">
        <v>0.3</v>
      </c>
      <c r="F91" s="113">
        <f>G90</f>
        <v>198020</v>
      </c>
      <c r="G91" s="113">
        <f>G90-F91</f>
        <v>0</v>
      </c>
      <c r="H91" s="114">
        <f>ROUND(E91*F91,0.1)</f>
        <v>59406</v>
      </c>
      <c r="J91" s="16">
        <f>+J89-J90</f>
        <v>304874</v>
      </c>
      <c r="K91" s="1"/>
      <c r="L91" s="87"/>
    </row>
    <row r="92" spans="2:12" ht="12.75" customHeight="1" thickBot="1" x14ac:dyDescent="0.25">
      <c r="B92" s="116"/>
      <c r="C92" s="117"/>
      <c r="D92" s="47"/>
      <c r="E92" s="47"/>
      <c r="F92" s="47"/>
      <c r="J92" s="87"/>
      <c r="K92" s="118"/>
      <c r="L92" s="87"/>
    </row>
    <row r="93" spans="2:12" ht="14.25" customHeight="1" thickBot="1" x14ac:dyDescent="0.25">
      <c r="B93" s="799" t="s">
        <v>239</v>
      </c>
      <c r="C93" s="800"/>
      <c r="D93" s="800"/>
      <c r="E93" s="800"/>
      <c r="F93" s="801"/>
      <c r="G93" s="771">
        <f>H88+H89+H90+H91</f>
        <v>171906</v>
      </c>
      <c r="H93" s="772"/>
      <c r="J93" s="87"/>
      <c r="K93" s="87"/>
      <c r="L93" s="87"/>
    </row>
    <row r="94" spans="2:12" ht="14.25" customHeight="1" thickBot="1" x14ac:dyDescent="0.25">
      <c r="B94" s="119" t="s">
        <v>215</v>
      </c>
      <c r="C94" s="120"/>
      <c r="D94" s="120"/>
      <c r="E94" s="120"/>
      <c r="F94" s="120"/>
      <c r="G94" s="884">
        <f>IF((G64&lt;500000),5000,0)</f>
        <v>0</v>
      </c>
      <c r="H94" s="885"/>
    </row>
    <row r="95" spans="2:12" ht="14.25" customHeight="1" thickBot="1" x14ac:dyDescent="0.25">
      <c r="B95" s="122" t="s">
        <v>216</v>
      </c>
      <c r="C95" s="123"/>
      <c r="D95" s="123"/>
      <c r="E95" s="123"/>
      <c r="F95" s="123"/>
      <c r="G95" s="771">
        <f>IF((G93-G94)&lt;0,0,(G93-G94))</f>
        <v>171906</v>
      </c>
      <c r="H95" s="772"/>
    </row>
    <row r="96" spans="2:12" ht="14.25" customHeight="1" thickBot="1" x14ac:dyDescent="0.25">
      <c r="B96" s="773" t="s">
        <v>240</v>
      </c>
      <c r="C96" s="774"/>
      <c r="D96" s="774"/>
      <c r="E96" s="774"/>
      <c r="F96" s="775"/>
      <c r="G96" s="776">
        <f>ROUND((IF(G95&gt;0,(G95*4%),0)),0)</f>
        <v>6876</v>
      </c>
      <c r="H96" s="777"/>
    </row>
    <row r="97" spans="2:9" ht="14.25" customHeight="1" thickBot="1" x14ac:dyDescent="0.25">
      <c r="B97" s="778" t="s">
        <v>218</v>
      </c>
      <c r="C97" s="779"/>
      <c r="D97" s="779"/>
      <c r="E97" s="779"/>
      <c r="F97" s="779"/>
      <c r="G97" s="780">
        <f>+G95+G96</f>
        <v>178782</v>
      </c>
      <c r="H97" s="781"/>
    </row>
    <row r="98" spans="2:9" ht="13.5" thickBot="1" x14ac:dyDescent="0.25">
      <c r="B98" s="765" t="s">
        <v>219</v>
      </c>
      <c r="C98" s="766"/>
      <c r="D98" s="766"/>
      <c r="E98" s="766"/>
      <c r="F98" s="766"/>
      <c r="G98" s="767">
        <f>O38</f>
        <v>187480</v>
      </c>
      <c r="H98" s="768"/>
    </row>
    <row r="99" spans="2:9" ht="13.5" thickBot="1" x14ac:dyDescent="0.25">
      <c r="B99" s="765" t="str">
        <f>IF(G99&gt;0,"TAX PAYABLE","TAX REFUND")</f>
        <v>TAX REFUND</v>
      </c>
      <c r="C99" s="766"/>
      <c r="D99" s="766"/>
      <c r="E99" s="766"/>
      <c r="F99" s="766"/>
      <c r="G99" s="767">
        <f>+G97-G98</f>
        <v>-8698</v>
      </c>
      <c r="H99" s="768"/>
    </row>
    <row r="100" spans="2:9" x14ac:dyDescent="0.2">
      <c r="C100" s="124"/>
      <c r="D100" s="45"/>
      <c r="E100" s="118"/>
      <c r="F100" s="118"/>
      <c r="G100" s="118"/>
      <c r="H100" s="118"/>
      <c r="I100" s="125"/>
    </row>
    <row r="101" spans="2:9" x14ac:dyDescent="0.2">
      <c r="C101" s="124"/>
      <c r="D101" s="45"/>
      <c r="E101" s="118"/>
      <c r="F101" s="118"/>
      <c r="G101" s="118"/>
      <c r="H101" s="118"/>
      <c r="I101" s="125"/>
    </row>
    <row r="102" spans="2:9" x14ac:dyDescent="0.2">
      <c r="C102" s="124"/>
      <c r="D102" s="45"/>
      <c r="E102" s="118"/>
      <c r="F102" s="118"/>
      <c r="G102" s="118"/>
      <c r="H102" s="118"/>
      <c r="I102" s="125"/>
    </row>
    <row r="103" spans="2:9" x14ac:dyDescent="0.2">
      <c r="C103" s="47"/>
      <c r="D103" s="50"/>
      <c r="E103" s="117"/>
      <c r="F103" s="47"/>
      <c r="G103" s="47"/>
      <c r="H103" s="47"/>
      <c r="I103" s="125"/>
    </row>
    <row r="104" spans="2:9" x14ac:dyDescent="0.2">
      <c r="C104" s="39"/>
      <c r="D104" s="126"/>
      <c r="E104" s="126"/>
      <c r="F104" s="126"/>
      <c r="G104" s="39"/>
      <c r="H104" s="39"/>
      <c r="I104" s="37"/>
    </row>
    <row r="105" spans="2:9" x14ac:dyDescent="0.2">
      <c r="C105" s="39"/>
      <c r="D105" s="126"/>
      <c r="E105" s="126"/>
      <c r="F105" s="39"/>
      <c r="G105" s="39"/>
      <c r="H105" s="39"/>
      <c r="I105" s="37"/>
    </row>
    <row r="106" spans="2:9" x14ac:dyDescent="0.2">
      <c r="C106" s="39"/>
      <c r="D106" s="126"/>
      <c r="E106" s="126"/>
      <c r="F106" s="39"/>
      <c r="G106" s="39"/>
      <c r="H106" s="39"/>
      <c r="I106" s="37"/>
    </row>
    <row r="107" spans="2:9" x14ac:dyDescent="0.2">
      <c r="C107" s="39"/>
      <c r="D107" s="39"/>
      <c r="E107" s="39"/>
      <c r="F107" s="39"/>
      <c r="G107" s="39"/>
      <c r="H107" s="39"/>
      <c r="I107" s="37"/>
    </row>
    <row r="108" spans="2:9" x14ac:dyDescent="0.2">
      <c r="C108" s="39"/>
      <c r="D108" s="39"/>
      <c r="E108" s="39"/>
      <c r="F108" s="39"/>
      <c r="G108" s="39"/>
      <c r="H108" s="39"/>
      <c r="I108" s="121"/>
    </row>
    <row r="109" spans="2:9" x14ac:dyDescent="0.2">
      <c r="C109" s="39"/>
      <c r="D109" s="39"/>
      <c r="E109" s="39"/>
      <c r="F109" s="39"/>
      <c r="G109" s="39"/>
      <c r="H109" s="39"/>
    </row>
  </sheetData>
  <mergeCells count="91">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49:B49"/>
    <mergeCell ref="A5:C5"/>
    <mergeCell ref="D5:F5"/>
    <mergeCell ref="G5:H5"/>
    <mergeCell ref="I5:O5"/>
    <mergeCell ref="A6:C6"/>
    <mergeCell ref="D6:F6"/>
    <mergeCell ref="G6:H6"/>
    <mergeCell ref="J6:O6"/>
    <mergeCell ref="A8:B8"/>
    <mergeCell ref="A21:A33"/>
    <mergeCell ref="A35:B35"/>
    <mergeCell ref="A36:B36"/>
    <mergeCell ref="A38:A48"/>
    <mergeCell ref="A50:B50"/>
    <mergeCell ref="B53:F53"/>
    <mergeCell ref="G53:H53"/>
    <mergeCell ref="B55:B57"/>
    <mergeCell ref="C55:C57"/>
    <mergeCell ref="D55:F55"/>
    <mergeCell ref="G55:H55"/>
    <mergeCell ref="D56:F56"/>
    <mergeCell ref="G56:H56"/>
    <mergeCell ref="B64:F64"/>
    <mergeCell ref="G64:H64"/>
    <mergeCell ref="J56:L56"/>
    <mergeCell ref="M56:O56"/>
    <mergeCell ref="D57:F57"/>
    <mergeCell ref="G57:H57"/>
    <mergeCell ref="B59:F59"/>
    <mergeCell ref="G59:H59"/>
    <mergeCell ref="J59:O59"/>
    <mergeCell ref="B61:F61"/>
    <mergeCell ref="G61:H61"/>
    <mergeCell ref="C62:F62"/>
    <mergeCell ref="G62:H62"/>
    <mergeCell ref="J62:O62"/>
    <mergeCell ref="D80:F80"/>
    <mergeCell ref="J67:K67"/>
    <mergeCell ref="B68:B82"/>
    <mergeCell ref="C68:C74"/>
    <mergeCell ref="D68:F68"/>
    <mergeCell ref="D69:F69"/>
    <mergeCell ref="D70:F70"/>
    <mergeCell ref="D71:F71"/>
    <mergeCell ref="D72:F72"/>
    <mergeCell ref="D73:F73"/>
    <mergeCell ref="D74:F74"/>
    <mergeCell ref="D75:F75"/>
    <mergeCell ref="D76:F76"/>
    <mergeCell ref="E77:F77"/>
    <mergeCell ref="D78:F78"/>
    <mergeCell ref="D79:F79"/>
    <mergeCell ref="G93:H93"/>
    <mergeCell ref="D81:F81"/>
    <mergeCell ref="D82:F82"/>
    <mergeCell ref="B83:F83"/>
    <mergeCell ref="B85:F85"/>
    <mergeCell ref="G85:H85"/>
    <mergeCell ref="C87:D87"/>
    <mergeCell ref="C88:D88"/>
    <mergeCell ref="C89:D89"/>
    <mergeCell ref="C90:D90"/>
    <mergeCell ref="C91:D91"/>
    <mergeCell ref="B93:F93"/>
    <mergeCell ref="B98:F98"/>
    <mergeCell ref="G98:H98"/>
    <mergeCell ref="B99:F99"/>
    <mergeCell ref="G99:H99"/>
    <mergeCell ref="G94:H94"/>
    <mergeCell ref="G95:H95"/>
    <mergeCell ref="B96:F96"/>
    <mergeCell ref="G96:H96"/>
    <mergeCell ref="B97:F97"/>
    <mergeCell ref="G97:H97"/>
  </mergeCells>
  <conditionalFormatting sqref="B90:F90">
    <cfRule type="cellIs" dxfId="1829" priority="51" stopIfTrue="1" operator="equal">
      <formula>"TAX PAYABLE"</formula>
    </cfRule>
    <cfRule type="cellIs" dxfId="1828" priority="52" stopIfTrue="1" operator="equal">
      <formula>"TAX REFUND"</formula>
    </cfRule>
  </conditionalFormatting>
  <conditionalFormatting sqref="G90:H90">
    <cfRule type="cellIs" dxfId="1827" priority="53" stopIfTrue="1" operator="lessThan">
      <formula>0</formula>
    </cfRule>
    <cfRule type="cellIs" dxfId="1826" priority="54" stopIfTrue="1" operator="greaterThan">
      <formula>0</formula>
    </cfRule>
  </conditionalFormatting>
  <conditionalFormatting sqref="B90:F90">
    <cfRule type="cellIs" dxfId="1825" priority="49" stopIfTrue="1" operator="equal">
      <formula>"TAX PAYABLE"</formula>
    </cfRule>
    <cfRule type="cellIs" dxfId="1824" priority="50" stopIfTrue="1" operator="equal">
      <formula>"TAX REFUND"</formula>
    </cfRule>
  </conditionalFormatting>
  <conditionalFormatting sqref="G90:H90">
    <cfRule type="cellIs" dxfId="1823" priority="47" stopIfTrue="1" operator="lessThan">
      <formula>0</formula>
    </cfRule>
    <cfRule type="cellIs" dxfId="1822" priority="48" stopIfTrue="1" operator="greaterThan">
      <formula>0</formula>
    </cfRule>
  </conditionalFormatting>
  <conditionalFormatting sqref="B90:F90">
    <cfRule type="cellIs" dxfId="1821" priority="45" stopIfTrue="1" operator="equal">
      <formula>"TAX PAYABLE"</formula>
    </cfRule>
    <cfRule type="cellIs" dxfId="1820" priority="46" stopIfTrue="1" operator="equal">
      <formula>"TAX REFUND"</formula>
    </cfRule>
  </conditionalFormatting>
  <conditionalFormatting sqref="G90:H90">
    <cfRule type="cellIs" dxfId="1819" priority="43" stopIfTrue="1" operator="lessThan">
      <formula>0</formula>
    </cfRule>
    <cfRule type="cellIs" dxfId="1818" priority="44" stopIfTrue="1" operator="greaterThan">
      <formula>0</formula>
    </cfRule>
  </conditionalFormatting>
  <conditionalFormatting sqref="C90:F90">
    <cfRule type="cellIs" dxfId="1817" priority="41" stopIfTrue="1" operator="equal">
      <formula>"TAX PAYABLE"</formula>
    </cfRule>
    <cfRule type="cellIs" dxfId="1816" priority="42" stopIfTrue="1" operator="equal">
      <formula>"TAX REFUND"</formula>
    </cfRule>
  </conditionalFormatting>
  <conditionalFormatting sqref="G90:H90">
    <cfRule type="cellIs" dxfId="1815" priority="39" stopIfTrue="1" operator="lessThan">
      <formula>0</formula>
    </cfRule>
    <cfRule type="cellIs" dxfId="1814" priority="40" stopIfTrue="1" operator="greaterThan">
      <formula>0</formula>
    </cfRule>
  </conditionalFormatting>
  <conditionalFormatting sqref="B97:F97">
    <cfRule type="cellIs" dxfId="1813" priority="37" stopIfTrue="1" operator="equal">
      <formula>"TAX PAYABLE"</formula>
    </cfRule>
    <cfRule type="cellIs" dxfId="1812" priority="38" stopIfTrue="1" operator="equal">
      <formula>"TAX REFUND"</formula>
    </cfRule>
  </conditionalFormatting>
  <conditionalFormatting sqref="B99:F99 B93:F96">
    <cfRule type="cellIs" dxfId="1811" priority="35" stopIfTrue="1" operator="equal">
      <formula>"TAX PAYABLE"</formula>
    </cfRule>
    <cfRule type="cellIs" dxfId="1810" priority="36" stopIfTrue="1" operator="equal">
      <formula>"TAX REFUND"</formula>
    </cfRule>
  </conditionalFormatting>
  <conditionalFormatting sqref="G99:H99">
    <cfRule type="cellIs" dxfId="1809" priority="33" stopIfTrue="1" operator="greaterThan">
      <formula>0</formula>
    </cfRule>
    <cfRule type="cellIs" dxfId="1808" priority="34" stopIfTrue="1" operator="lessThanOrEqual">
      <formula>0</formula>
    </cfRule>
  </conditionalFormatting>
  <conditionalFormatting sqref="B93:F94">
    <cfRule type="cellIs" dxfId="1807" priority="31" stopIfTrue="1" operator="equal">
      <formula>"TAX PAYABLE"</formula>
    </cfRule>
    <cfRule type="cellIs" dxfId="1806" priority="32" stopIfTrue="1" operator="equal">
      <formula>"TAX REFUND"</formula>
    </cfRule>
  </conditionalFormatting>
  <conditionalFormatting sqref="B93:F93">
    <cfRule type="cellIs" dxfId="1805" priority="29" stopIfTrue="1" operator="equal">
      <formula>"TAX PAYABLE"</formula>
    </cfRule>
    <cfRule type="cellIs" dxfId="1804" priority="30" stopIfTrue="1" operator="equal">
      <formula>"TAX REFUND"</formula>
    </cfRule>
  </conditionalFormatting>
  <conditionalFormatting sqref="B93:F94">
    <cfRule type="cellIs" dxfId="1803" priority="27" stopIfTrue="1" operator="equal">
      <formula>"TAX PAYABLE"</formula>
    </cfRule>
    <cfRule type="cellIs" dxfId="1802" priority="28" stopIfTrue="1" operator="equal">
      <formula>"TAX REFUND"</formula>
    </cfRule>
  </conditionalFormatting>
  <conditionalFormatting sqref="B93:F94">
    <cfRule type="cellIs" dxfId="1801" priority="25" stopIfTrue="1" operator="equal">
      <formula>"TAX PAYABLE"</formula>
    </cfRule>
    <cfRule type="cellIs" dxfId="1800" priority="26" stopIfTrue="1" operator="equal">
      <formula>"TAX REFUND"</formula>
    </cfRule>
  </conditionalFormatting>
  <conditionalFormatting sqref="B93:F94">
    <cfRule type="cellIs" dxfId="1799" priority="23" stopIfTrue="1" operator="equal">
      <formula>"TAX PAYABLE"</formula>
    </cfRule>
    <cfRule type="cellIs" dxfId="1798" priority="24" stopIfTrue="1" operator="equal">
      <formula>"TAX REFUND"</formula>
    </cfRule>
  </conditionalFormatting>
  <conditionalFormatting sqref="B97:F97">
    <cfRule type="cellIs" dxfId="1797" priority="21" stopIfTrue="1" operator="equal">
      <formula>"TAX PAYABLE"</formula>
    </cfRule>
    <cfRule type="cellIs" dxfId="1796" priority="22" stopIfTrue="1" operator="equal">
      <formula>"TAX REFUND"</formula>
    </cfRule>
  </conditionalFormatting>
  <conditionalFormatting sqref="B93:F93">
    <cfRule type="cellIs" dxfId="1795" priority="19" stopIfTrue="1" operator="equal">
      <formula>"TAX PAYABLE"</formula>
    </cfRule>
    <cfRule type="cellIs" dxfId="1794" priority="20" stopIfTrue="1" operator="equal">
      <formula>"TAX REFUND"</formula>
    </cfRule>
  </conditionalFormatting>
  <conditionalFormatting sqref="B93:F94">
    <cfRule type="cellIs" dxfId="1793" priority="17" stopIfTrue="1" operator="equal">
      <formula>"TAX PAYABLE"</formula>
    </cfRule>
    <cfRule type="cellIs" dxfId="1792" priority="18" stopIfTrue="1" operator="equal">
      <formula>"TAX REFUND"</formula>
    </cfRule>
  </conditionalFormatting>
  <conditionalFormatting sqref="B93:F94">
    <cfRule type="cellIs" dxfId="1791" priority="15" stopIfTrue="1" operator="equal">
      <formula>"TAX PAYABLE"</formula>
    </cfRule>
    <cfRule type="cellIs" dxfId="1790" priority="16" stopIfTrue="1" operator="equal">
      <formula>"TAX REFUND"</formula>
    </cfRule>
  </conditionalFormatting>
  <conditionalFormatting sqref="B93:F94">
    <cfRule type="cellIs" dxfId="1789" priority="13" stopIfTrue="1" operator="equal">
      <formula>"TAX PAYABLE"</formula>
    </cfRule>
    <cfRule type="cellIs" dxfId="1788" priority="14" stopIfTrue="1" operator="equal">
      <formula>"TAX REFUND"</formula>
    </cfRule>
  </conditionalFormatting>
  <conditionalFormatting sqref="B97:F97">
    <cfRule type="cellIs" dxfId="1787" priority="11" stopIfTrue="1" operator="equal">
      <formula>"TAX PAYABLE"</formula>
    </cfRule>
    <cfRule type="cellIs" dxfId="1786" priority="12" stopIfTrue="1" operator="equal">
      <formula>"TAX REFUND"</formula>
    </cfRule>
  </conditionalFormatting>
  <conditionalFormatting sqref="B93:F94 B99:F99">
    <cfRule type="cellIs" dxfId="1785" priority="9" stopIfTrue="1" operator="equal">
      <formula>"TAX PAYABLE"</formula>
    </cfRule>
    <cfRule type="cellIs" dxfId="1784" priority="10" stopIfTrue="1" operator="equal">
      <formula>"TAX REFUND"</formula>
    </cfRule>
  </conditionalFormatting>
  <conditionalFormatting sqref="G99:H99">
    <cfRule type="cellIs" dxfId="1783" priority="7" stopIfTrue="1" operator="greaterThan">
      <formula>0</formula>
    </cfRule>
    <cfRule type="cellIs" dxfId="1782" priority="8" stopIfTrue="1" operator="lessThanOrEqual">
      <formula>0</formula>
    </cfRule>
  </conditionalFormatting>
  <conditionalFormatting sqref="B99:F99 B93:F96">
    <cfRule type="cellIs" dxfId="1781" priority="5" stopIfTrue="1" operator="equal">
      <formula>"TAX PAYABLE"</formula>
    </cfRule>
    <cfRule type="cellIs" dxfId="1780" priority="6" stopIfTrue="1" operator="equal">
      <formula>"TAX REFUND"</formula>
    </cfRule>
  </conditionalFormatting>
  <conditionalFormatting sqref="G99:H99">
    <cfRule type="cellIs" dxfId="1779" priority="3" stopIfTrue="1" operator="greaterThan">
      <formula>0</formula>
    </cfRule>
    <cfRule type="cellIs" dxfId="1778" priority="4" stopIfTrue="1" operator="lessThanOrEqual">
      <formula>0</formula>
    </cfRule>
  </conditionalFormatting>
  <conditionalFormatting sqref="B90:F90">
    <cfRule type="cellIs" dxfId="1777" priority="1" stopIfTrue="1" operator="equal">
      <formula>"TAX PAYABLE"</formula>
    </cfRule>
    <cfRule type="cellIs" dxfId="1776" priority="2" stopIfTrue="1" operator="equal">
      <formula>"TAX REFUND"</formula>
    </cfRule>
  </conditionalFormatting>
  <pageMargins left="0.7" right="0.7" top="0.75" bottom="0.75" header="0.3" footer="0.3"/>
  <pageSetup paperSize="5" orientation="landscape" horizontalDpi="300" verticalDpi="300" r:id="rId1"/>
  <headerFooter alignWithMargins="0"/>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108"/>
  <sheetViews>
    <sheetView topLeftCell="A59" workbookViewId="0">
      <selection activeCell="I76" sqref="I76"/>
    </sheetView>
  </sheetViews>
  <sheetFormatPr defaultRowHeight="12.75" x14ac:dyDescent="0.2"/>
  <cols>
    <col min="1" max="1" width="5" style="16" customWidth="1"/>
    <col min="2" max="2" width="19.140625" style="37" customWidth="1"/>
    <col min="3" max="3" width="11.140625" style="16" bestFit="1" customWidth="1"/>
    <col min="4" max="4" width="6.7109375" style="16" bestFit="1" customWidth="1"/>
    <col min="5" max="5" width="8.5703125" style="16" bestFit="1" customWidth="1"/>
    <col min="6" max="6" width="9.28515625" style="16" bestFit="1" customWidth="1"/>
    <col min="7" max="7" width="10.42578125" style="16" bestFit="1" customWidth="1"/>
    <col min="8" max="8" width="10.28515625" style="16" bestFit="1" customWidth="1"/>
    <col min="9" max="9" width="7.140625" style="16" bestFit="1" customWidth="1"/>
    <col min="10" max="10" width="9" style="16" bestFit="1" customWidth="1"/>
    <col min="11" max="12" width="7" style="16" bestFit="1" customWidth="1"/>
    <col min="13" max="13" width="6.85546875" style="16" bestFit="1" customWidth="1"/>
    <col min="14" max="14" width="7" style="16" bestFit="1" customWidth="1"/>
    <col min="15" max="15" width="8" style="16" bestFit="1" customWidth="1"/>
    <col min="16" max="16" width="9.140625" style="16"/>
    <col min="17" max="17" width="10.140625" style="16" customWidth="1"/>
    <col min="18" max="20" width="9.140625" style="16"/>
    <col min="21" max="21" width="12.42578125" style="16" customWidth="1"/>
    <col min="22" max="22" width="9.140625" style="16"/>
    <col min="23" max="23" width="12" style="16" customWidth="1"/>
    <col min="24" max="256" width="9.140625" style="16"/>
    <col min="257" max="257" width="5" style="16" customWidth="1"/>
    <col min="258" max="258" width="19.140625" style="16" customWidth="1"/>
    <col min="259" max="259" width="11.140625" style="16" bestFit="1" customWidth="1"/>
    <col min="260" max="260" width="6.7109375" style="16" bestFit="1" customWidth="1"/>
    <col min="261" max="261" width="8.5703125" style="16" bestFit="1" customWidth="1"/>
    <col min="262" max="262" width="9.28515625" style="16" bestFit="1" customWidth="1"/>
    <col min="263" max="263" width="10.42578125" style="16" bestFit="1" customWidth="1"/>
    <col min="264" max="264" width="10.28515625" style="16" bestFit="1" customWidth="1"/>
    <col min="265" max="265" width="7.140625" style="16" bestFit="1" customWidth="1"/>
    <col min="266" max="266" width="9" style="16" bestFit="1" customWidth="1"/>
    <col min="267" max="268" width="7" style="16" bestFit="1" customWidth="1"/>
    <col min="269" max="269" width="6.85546875" style="16" bestFit="1" customWidth="1"/>
    <col min="270" max="270" width="7" style="16" bestFit="1" customWidth="1"/>
    <col min="271" max="271" width="8" style="16" bestFit="1" customWidth="1"/>
    <col min="272" max="272" width="9.140625" style="16"/>
    <col min="273" max="273" width="10.140625" style="16" customWidth="1"/>
    <col min="274" max="276" width="9.140625" style="16"/>
    <col min="277" max="277" width="12.42578125" style="16" customWidth="1"/>
    <col min="278" max="278" width="9.140625" style="16"/>
    <col min="279" max="279" width="12" style="16" customWidth="1"/>
    <col min="280" max="512" width="9.140625" style="16"/>
    <col min="513" max="513" width="5" style="16" customWidth="1"/>
    <col min="514" max="514" width="19.140625" style="16" customWidth="1"/>
    <col min="515" max="515" width="11.140625" style="16" bestFit="1" customWidth="1"/>
    <col min="516" max="516" width="6.7109375" style="16" bestFit="1" customWidth="1"/>
    <col min="517" max="517" width="8.5703125" style="16" bestFit="1" customWidth="1"/>
    <col min="518" max="518" width="9.28515625" style="16" bestFit="1" customWidth="1"/>
    <col min="519" max="519" width="10.42578125" style="16" bestFit="1" customWidth="1"/>
    <col min="520" max="520" width="10.28515625" style="16" bestFit="1" customWidth="1"/>
    <col min="521" max="521" width="7.140625" style="16" bestFit="1" customWidth="1"/>
    <col min="522" max="522" width="9" style="16" bestFit="1" customWidth="1"/>
    <col min="523" max="524" width="7" style="16" bestFit="1" customWidth="1"/>
    <col min="525" max="525" width="6.85546875" style="16" bestFit="1" customWidth="1"/>
    <col min="526" max="526" width="7" style="16" bestFit="1" customWidth="1"/>
    <col min="527" max="527" width="8" style="16" bestFit="1" customWidth="1"/>
    <col min="528" max="528" width="9.140625" style="16"/>
    <col min="529" max="529" width="10.140625" style="16" customWidth="1"/>
    <col min="530" max="532" width="9.140625" style="16"/>
    <col min="533" max="533" width="12.42578125" style="16" customWidth="1"/>
    <col min="534" max="534" width="9.140625" style="16"/>
    <col min="535" max="535" width="12" style="16" customWidth="1"/>
    <col min="536" max="768" width="9.140625" style="16"/>
    <col min="769" max="769" width="5" style="16" customWidth="1"/>
    <col min="770" max="770" width="19.140625" style="16" customWidth="1"/>
    <col min="771" max="771" width="11.140625" style="16" bestFit="1" customWidth="1"/>
    <col min="772" max="772" width="6.7109375" style="16" bestFit="1" customWidth="1"/>
    <col min="773" max="773" width="8.5703125" style="16" bestFit="1" customWidth="1"/>
    <col min="774" max="774" width="9.28515625" style="16" bestFit="1" customWidth="1"/>
    <col min="775" max="775" width="10.42578125" style="16" bestFit="1" customWidth="1"/>
    <col min="776" max="776" width="10.28515625" style="16" bestFit="1" customWidth="1"/>
    <col min="777" max="777" width="7.140625" style="16" bestFit="1" customWidth="1"/>
    <col min="778" max="778" width="9" style="16" bestFit="1" customWidth="1"/>
    <col min="779" max="780" width="7" style="16" bestFit="1" customWidth="1"/>
    <col min="781" max="781" width="6.85546875" style="16" bestFit="1" customWidth="1"/>
    <col min="782" max="782" width="7" style="16" bestFit="1" customWidth="1"/>
    <col min="783" max="783" width="8" style="16" bestFit="1" customWidth="1"/>
    <col min="784" max="784" width="9.140625" style="16"/>
    <col min="785" max="785" width="10.140625" style="16" customWidth="1"/>
    <col min="786" max="788" width="9.140625" style="16"/>
    <col min="789" max="789" width="12.42578125" style="16" customWidth="1"/>
    <col min="790" max="790" width="9.140625" style="16"/>
    <col min="791" max="791" width="12" style="16" customWidth="1"/>
    <col min="792" max="1024" width="9.140625" style="16"/>
    <col min="1025" max="1025" width="5" style="16" customWidth="1"/>
    <col min="1026" max="1026" width="19.140625" style="16" customWidth="1"/>
    <col min="1027" max="1027" width="11.140625" style="16" bestFit="1" customWidth="1"/>
    <col min="1028" max="1028" width="6.7109375" style="16" bestFit="1" customWidth="1"/>
    <col min="1029" max="1029" width="8.5703125" style="16" bestFit="1" customWidth="1"/>
    <col min="1030" max="1030" width="9.28515625" style="16" bestFit="1" customWidth="1"/>
    <col min="1031" max="1031" width="10.42578125" style="16" bestFit="1" customWidth="1"/>
    <col min="1032" max="1032" width="10.28515625" style="16" bestFit="1" customWidth="1"/>
    <col min="1033" max="1033" width="7.140625" style="16" bestFit="1" customWidth="1"/>
    <col min="1034" max="1034" width="9" style="16" bestFit="1" customWidth="1"/>
    <col min="1035" max="1036" width="7" style="16" bestFit="1" customWidth="1"/>
    <col min="1037" max="1037" width="6.85546875" style="16" bestFit="1" customWidth="1"/>
    <col min="1038" max="1038" width="7" style="16" bestFit="1" customWidth="1"/>
    <col min="1039" max="1039" width="8" style="16" bestFit="1" customWidth="1"/>
    <col min="1040" max="1040" width="9.140625" style="16"/>
    <col min="1041" max="1041" width="10.140625" style="16" customWidth="1"/>
    <col min="1042" max="1044" width="9.140625" style="16"/>
    <col min="1045" max="1045" width="12.42578125" style="16" customWidth="1"/>
    <col min="1046" max="1046" width="9.140625" style="16"/>
    <col min="1047" max="1047" width="12" style="16" customWidth="1"/>
    <col min="1048" max="1280" width="9.140625" style="16"/>
    <col min="1281" max="1281" width="5" style="16" customWidth="1"/>
    <col min="1282" max="1282" width="19.140625" style="16" customWidth="1"/>
    <col min="1283" max="1283" width="11.140625" style="16" bestFit="1" customWidth="1"/>
    <col min="1284" max="1284" width="6.7109375" style="16" bestFit="1" customWidth="1"/>
    <col min="1285" max="1285" width="8.5703125" style="16" bestFit="1" customWidth="1"/>
    <col min="1286" max="1286" width="9.28515625" style="16" bestFit="1" customWidth="1"/>
    <col min="1287" max="1287" width="10.42578125" style="16" bestFit="1" customWidth="1"/>
    <col min="1288" max="1288" width="10.28515625" style="16" bestFit="1" customWidth="1"/>
    <col min="1289" max="1289" width="7.140625" style="16" bestFit="1" customWidth="1"/>
    <col min="1290" max="1290" width="9" style="16" bestFit="1" customWidth="1"/>
    <col min="1291" max="1292" width="7" style="16" bestFit="1" customWidth="1"/>
    <col min="1293" max="1293" width="6.85546875" style="16" bestFit="1" customWidth="1"/>
    <col min="1294" max="1294" width="7" style="16" bestFit="1" customWidth="1"/>
    <col min="1295" max="1295" width="8" style="16" bestFit="1" customWidth="1"/>
    <col min="1296" max="1296" width="9.140625" style="16"/>
    <col min="1297" max="1297" width="10.140625" style="16" customWidth="1"/>
    <col min="1298" max="1300" width="9.140625" style="16"/>
    <col min="1301" max="1301" width="12.42578125" style="16" customWidth="1"/>
    <col min="1302" max="1302" width="9.140625" style="16"/>
    <col min="1303" max="1303" width="12" style="16" customWidth="1"/>
    <col min="1304" max="1536" width="9.140625" style="16"/>
    <col min="1537" max="1537" width="5" style="16" customWidth="1"/>
    <col min="1538" max="1538" width="19.140625" style="16" customWidth="1"/>
    <col min="1539" max="1539" width="11.140625" style="16" bestFit="1" customWidth="1"/>
    <col min="1540" max="1540" width="6.7109375" style="16" bestFit="1" customWidth="1"/>
    <col min="1541" max="1541" width="8.5703125" style="16" bestFit="1" customWidth="1"/>
    <col min="1542" max="1542" width="9.28515625" style="16" bestFit="1" customWidth="1"/>
    <col min="1543" max="1543" width="10.42578125" style="16" bestFit="1" customWidth="1"/>
    <col min="1544" max="1544" width="10.28515625" style="16" bestFit="1" customWidth="1"/>
    <col min="1545" max="1545" width="7.140625" style="16" bestFit="1" customWidth="1"/>
    <col min="1546" max="1546" width="9" style="16" bestFit="1" customWidth="1"/>
    <col min="1547" max="1548" width="7" style="16" bestFit="1" customWidth="1"/>
    <col min="1549" max="1549" width="6.85546875" style="16" bestFit="1" customWidth="1"/>
    <col min="1550" max="1550" width="7" style="16" bestFit="1" customWidth="1"/>
    <col min="1551" max="1551" width="8" style="16" bestFit="1" customWidth="1"/>
    <col min="1552" max="1552" width="9.140625" style="16"/>
    <col min="1553" max="1553" width="10.140625" style="16" customWidth="1"/>
    <col min="1554" max="1556" width="9.140625" style="16"/>
    <col min="1557" max="1557" width="12.42578125" style="16" customWidth="1"/>
    <col min="1558" max="1558" width="9.140625" style="16"/>
    <col min="1559" max="1559" width="12" style="16" customWidth="1"/>
    <col min="1560" max="1792" width="9.140625" style="16"/>
    <col min="1793" max="1793" width="5" style="16" customWidth="1"/>
    <col min="1794" max="1794" width="19.140625" style="16" customWidth="1"/>
    <col min="1795" max="1795" width="11.140625" style="16" bestFit="1" customWidth="1"/>
    <col min="1796" max="1796" width="6.7109375" style="16" bestFit="1" customWidth="1"/>
    <col min="1797" max="1797" width="8.5703125" style="16" bestFit="1" customWidth="1"/>
    <col min="1798" max="1798" width="9.28515625" style="16" bestFit="1" customWidth="1"/>
    <col min="1799" max="1799" width="10.42578125" style="16" bestFit="1" customWidth="1"/>
    <col min="1800" max="1800" width="10.28515625" style="16" bestFit="1" customWidth="1"/>
    <col min="1801" max="1801" width="7.140625" style="16" bestFit="1" customWidth="1"/>
    <col min="1802" max="1802" width="9" style="16" bestFit="1" customWidth="1"/>
    <col min="1803" max="1804" width="7" style="16" bestFit="1" customWidth="1"/>
    <col min="1805" max="1805" width="6.85546875" style="16" bestFit="1" customWidth="1"/>
    <col min="1806" max="1806" width="7" style="16" bestFit="1" customWidth="1"/>
    <col min="1807" max="1807" width="8" style="16" bestFit="1" customWidth="1"/>
    <col min="1808" max="1808" width="9.140625" style="16"/>
    <col min="1809" max="1809" width="10.140625" style="16" customWidth="1"/>
    <col min="1810" max="1812" width="9.140625" style="16"/>
    <col min="1813" max="1813" width="12.42578125" style="16" customWidth="1"/>
    <col min="1814" max="1814" width="9.140625" style="16"/>
    <col min="1815" max="1815" width="12" style="16" customWidth="1"/>
    <col min="1816" max="2048" width="9.140625" style="16"/>
    <col min="2049" max="2049" width="5" style="16" customWidth="1"/>
    <col min="2050" max="2050" width="19.140625" style="16" customWidth="1"/>
    <col min="2051" max="2051" width="11.140625" style="16" bestFit="1" customWidth="1"/>
    <col min="2052" max="2052" width="6.7109375" style="16" bestFit="1" customWidth="1"/>
    <col min="2053" max="2053" width="8.5703125" style="16" bestFit="1" customWidth="1"/>
    <col min="2054" max="2054" width="9.28515625" style="16" bestFit="1" customWidth="1"/>
    <col min="2055" max="2055" width="10.42578125" style="16" bestFit="1" customWidth="1"/>
    <col min="2056" max="2056" width="10.28515625" style="16" bestFit="1" customWidth="1"/>
    <col min="2057" max="2057" width="7.140625" style="16" bestFit="1" customWidth="1"/>
    <col min="2058" max="2058" width="9" style="16" bestFit="1" customWidth="1"/>
    <col min="2059" max="2060" width="7" style="16" bestFit="1" customWidth="1"/>
    <col min="2061" max="2061" width="6.85546875" style="16" bestFit="1" customWidth="1"/>
    <col min="2062" max="2062" width="7" style="16" bestFit="1" customWidth="1"/>
    <col min="2063" max="2063" width="8" style="16" bestFit="1" customWidth="1"/>
    <col min="2064" max="2064" width="9.140625" style="16"/>
    <col min="2065" max="2065" width="10.140625" style="16" customWidth="1"/>
    <col min="2066" max="2068" width="9.140625" style="16"/>
    <col min="2069" max="2069" width="12.42578125" style="16" customWidth="1"/>
    <col min="2070" max="2070" width="9.140625" style="16"/>
    <col min="2071" max="2071" width="12" style="16" customWidth="1"/>
    <col min="2072" max="2304" width="9.140625" style="16"/>
    <col min="2305" max="2305" width="5" style="16" customWidth="1"/>
    <col min="2306" max="2306" width="19.140625" style="16" customWidth="1"/>
    <col min="2307" max="2307" width="11.140625" style="16" bestFit="1" customWidth="1"/>
    <col min="2308" max="2308" width="6.7109375" style="16" bestFit="1" customWidth="1"/>
    <col min="2309" max="2309" width="8.5703125" style="16" bestFit="1" customWidth="1"/>
    <col min="2310" max="2310" width="9.28515625" style="16" bestFit="1" customWidth="1"/>
    <col min="2311" max="2311" width="10.42578125" style="16" bestFit="1" customWidth="1"/>
    <col min="2312" max="2312" width="10.28515625" style="16" bestFit="1" customWidth="1"/>
    <col min="2313" max="2313" width="7.140625" style="16" bestFit="1" customWidth="1"/>
    <col min="2314" max="2314" width="9" style="16" bestFit="1" customWidth="1"/>
    <col min="2315" max="2316" width="7" style="16" bestFit="1" customWidth="1"/>
    <col min="2317" max="2317" width="6.85546875" style="16" bestFit="1" customWidth="1"/>
    <col min="2318" max="2318" width="7" style="16" bestFit="1" customWidth="1"/>
    <col min="2319" max="2319" width="8" style="16" bestFit="1" customWidth="1"/>
    <col min="2320" max="2320" width="9.140625" style="16"/>
    <col min="2321" max="2321" width="10.140625" style="16" customWidth="1"/>
    <col min="2322" max="2324" width="9.140625" style="16"/>
    <col min="2325" max="2325" width="12.42578125" style="16" customWidth="1"/>
    <col min="2326" max="2326" width="9.140625" style="16"/>
    <col min="2327" max="2327" width="12" style="16" customWidth="1"/>
    <col min="2328" max="2560" width="9.140625" style="16"/>
    <col min="2561" max="2561" width="5" style="16" customWidth="1"/>
    <col min="2562" max="2562" width="19.140625" style="16" customWidth="1"/>
    <col min="2563" max="2563" width="11.140625" style="16" bestFit="1" customWidth="1"/>
    <col min="2564" max="2564" width="6.7109375" style="16" bestFit="1" customWidth="1"/>
    <col min="2565" max="2565" width="8.5703125" style="16" bestFit="1" customWidth="1"/>
    <col min="2566" max="2566" width="9.28515625" style="16" bestFit="1" customWidth="1"/>
    <col min="2567" max="2567" width="10.42578125" style="16" bestFit="1" customWidth="1"/>
    <col min="2568" max="2568" width="10.28515625" style="16" bestFit="1" customWidth="1"/>
    <col min="2569" max="2569" width="7.140625" style="16" bestFit="1" customWidth="1"/>
    <col min="2570" max="2570" width="9" style="16" bestFit="1" customWidth="1"/>
    <col min="2571" max="2572" width="7" style="16" bestFit="1" customWidth="1"/>
    <col min="2573" max="2573" width="6.85546875" style="16" bestFit="1" customWidth="1"/>
    <col min="2574" max="2574" width="7" style="16" bestFit="1" customWidth="1"/>
    <col min="2575" max="2575" width="8" style="16" bestFit="1" customWidth="1"/>
    <col min="2576" max="2576" width="9.140625" style="16"/>
    <col min="2577" max="2577" width="10.140625" style="16" customWidth="1"/>
    <col min="2578" max="2580" width="9.140625" style="16"/>
    <col min="2581" max="2581" width="12.42578125" style="16" customWidth="1"/>
    <col min="2582" max="2582" width="9.140625" style="16"/>
    <col min="2583" max="2583" width="12" style="16" customWidth="1"/>
    <col min="2584" max="2816" width="9.140625" style="16"/>
    <col min="2817" max="2817" width="5" style="16" customWidth="1"/>
    <col min="2818" max="2818" width="19.140625" style="16" customWidth="1"/>
    <col min="2819" max="2819" width="11.140625" style="16" bestFit="1" customWidth="1"/>
    <col min="2820" max="2820" width="6.7109375" style="16" bestFit="1" customWidth="1"/>
    <col min="2821" max="2821" width="8.5703125" style="16" bestFit="1" customWidth="1"/>
    <col min="2822" max="2822" width="9.28515625" style="16" bestFit="1" customWidth="1"/>
    <col min="2823" max="2823" width="10.42578125" style="16" bestFit="1" customWidth="1"/>
    <col min="2824" max="2824" width="10.28515625" style="16" bestFit="1" customWidth="1"/>
    <col min="2825" max="2825" width="7.140625" style="16" bestFit="1" customWidth="1"/>
    <col min="2826" max="2826" width="9" style="16" bestFit="1" customWidth="1"/>
    <col min="2827" max="2828" width="7" style="16" bestFit="1" customWidth="1"/>
    <col min="2829" max="2829" width="6.85546875" style="16" bestFit="1" customWidth="1"/>
    <col min="2830" max="2830" width="7" style="16" bestFit="1" customWidth="1"/>
    <col min="2831" max="2831" width="8" style="16" bestFit="1" customWidth="1"/>
    <col min="2832" max="2832" width="9.140625" style="16"/>
    <col min="2833" max="2833" width="10.140625" style="16" customWidth="1"/>
    <col min="2834" max="2836" width="9.140625" style="16"/>
    <col min="2837" max="2837" width="12.42578125" style="16" customWidth="1"/>
    <col min="2838" max="2838" width="9.140625" style="16"/>
    <col min="2839" max="2839" width="12" style="16" customWidth="1"/>
    <col min="2840" max="3072" width="9.140625" style="16"/>
    <col min="3073" max="3073" width="5" style="16" customWidth="1"/>
    <col min="3074" max="3074" width="19.140625" style="16" customWidth="1"/>
    <col min="3075" max="3075" width="11.140625" style="16" bestFit="1" customWidth="1"/>
    <col min="3076" max="3076" width="6.7109375" style="16" bestFit="1" customWidth="1"/>
    <col min="3077" max="3077" width="8.5703125" style="16" bestFit="1" customWidth="1"/>
    <col min="3078" max="3078" width="9.28515625" style="16" bestFit="1" customWidth="1"/>
    <col min="3079" max="3079" width="10.42578125" style="16" bestFit="1" customWidth="1"/>
    <col min="3080" max="3080" width="10.28515625" style="16" bestFit="1" customWidth="1"/>
    <col min="3081" max="3081" width="7.140625" style="16" bestFit="1" customWidth="1"/>
    <col min="3082" max="3082" width="9" style="16" bestFit="1" customWidth="1"/>
    <col min="3083" max="3084" width="7" style="16" bestFit="1" customWidth="1"/>
    <col min="3085" max="3085" width="6.85546875" style="16" bestFit="1" customWidth="1"/>
    <col min="3086" max="3086" width="7" style="16" bestFit="1" customWidth="1"/>
    <col min="3087" max="3087" width="8" style="16" bestFit="1" customWidth="1"/>
    <col min="3088" max="3088" width="9.140625" style="16"/>
    <col min="3089" max="3089" width="10.140625" style="16" customWidth="1"/>
    <col min="3090" max="3092" width="9.140625" style="16"/>
    <col min="3093" max="3093" width="12.42578125" style="16" customWidth="1"/>
    <col min="3094" max="3094" width="9.140625" style="16"/>
    <col min="3095" max="3095" width="12" style="16" customWidth="1"/>
    <col min="3096" max="3328" width="9.140625" style="16"/>
    <col min="3329" max="3329" width="5" style="16" customWidth="1"/>
    <col min="3330" max="3330" width="19.140625" style="16" customWidth="1"/>
    <col min="3331" max="3331" width="11.140625" style="16" bestFit="1" customWidth="1"/>
    <col min="3332" max="3332" width="6.7109375" style="16" bestFit="1" customWidth="1"/>
    <col min="3333" max="3333" width="8.5703125" style="16" bestFit="1" customWidth="1"/>
    <col min="3334" max="3334" width="9.28515625" style="16" bestFit="1" customWidth="1"/>
    <col min="3335" max="3335" width="10.42578125" style="16" bestFit="1" customWidth="1"/>
    <col min="3336" max="3336" width="10.28515625" style="16" bestFit="1" customWidth="1"/>
    <col min="3337" max="3337" width="7.140625" style="16" bestFit="1" customWidth="1"/>
    <col min="3338" max="3338" width="9" style="16" bestFit="1" customWidth="1"/>
    <col min="3339" max="3340" width="7" style="16" bestFit="1" customWidth="1"/>
    <col min="3341" max="3341" width="6.85546875" style="16" bestFit="1" customWidth="1"/>
    <col min="3342" max="3342" width="7" style="16" bestFit="1" customWidth="1"/>
    <col min="3343" max="3343" width="8" style="16" bestFit="1" customWidth="1"/>
    <col min="3344" max="3344" width="9.140625" style="16"/>
    <col min="3345" max="3345" width="10.140625" style="16" customWidth="1"/>
    <col min="3346" max="3348" width="9.140625" style="16"/>
    <col min="3349" max="3349" width="12.42578125" style="16" customWidth="1"/>
    <col min="3350" max="3350" width="9.140625" style="16"/>
    <col min="3351" max="3351" width="12" style="16" customWidth="1"/>
    <col min="3352" max="3584" width="9.140625" style="16"/>
    <col min="3585" max="3585" width="5" style="16" customWidth="1"/>
    <col min="3586" max="3586" width="19.140625" style="16" customWidth="1"/>
    <col min="3587" max="3587" width="11.140625" style="16" bestFit="1" customWidth="1"/>
    <col min="3588" max="3588" width="6.7109375" style="16" bestFit="1" customWidth="1"/>
    <col min="3589" max="3589" width="8.5703125" style="16" bestFit="1" customWidth="1"/>
    <col min="3590" max="3590" width="9.28515625" style="16" bestFit="1" customWidth="1"/>
    <col min="3591" max="3591" width="10.42578125" style="16" bestFit="1" customWidth="1"/>
    <col min="3592" max="3592" width="10.28515625" style="16" bestFit="1" customWidth="1"/>
    <col min="3593" max="3593" width="7.140625" style="16" bestFit="1" customWidth="1"/>
    <col min="3594" max="3594" width="9" style="16" bestFit="1" customWidth="1"/>
    <col min="3595" max="3596" width="7" style="16" bestFit="1" customWidth="1"/>
    <col min="3597" max="3597" width="6.85546875" style="16" bestFit="1" customWidth="1"/>
    <col min="3598" max="3598" width="7" style="16" bestFit="1" customWidth="1"/>
    <col min="3599" max="3599" width="8" style="16" bestFit="1" customWidth="1"/>
    <col min="3600" max="3600" width="9.140625" style="16"/>
    <col min="3601" max="3601" width="10.140625" style="16" customWidth="1"/>
    <col min="3602" max="3604" width="9.140625" style="16"/>
    <col min="3605" max="3605" width="12.42578125" style="16" customWidth="1"/>
    <col min="3606" max="3606" width="9.140625" style="16"/>
    <col min="3607" max="3607" width="12" style="16" customWidth="1"/>
    <col min="3608" max="3840" width="9.140625" style="16"/>
    <col min="3841" max="3841" width="5" style="16" customWidth="1"/>
    <col min="3842" max="3842" width="19.140625" style="16" customWidth="1"/>
    <col min="3843" max="3843" width="11.140625" style="16" bestFit="1" customWidth="1"/>
    <col min="3844" max="3844" width="6.7109375" style="16" bestFit="1" customWidth="1"/>
    <col min="3845" max="3845" width="8.5703125" style="16" bestFit="1" customWidth="1"/>
    <col min="3846" max="3846" width="9.28515625" style="16" bestFit="1" customWidth="1"/>
    <col min="3847" max="3847" width="10.42578125" style="16" bestFit="1" customWidth="1"/>
    <col min="3848" max="3848" width="10.28515625" style="16" bestFit="1" customWidth="1"/>
    <col min="3849" max="3849" width="7.140625" style="16" bestFit="1" customWidth="1"/>
    <col min="3850" max="3850" width="9" style="16" bestFit="1" customWidth="1"/>
    <col min="3851" max="3852" width="7" style="16" bestFit="1" customWidth="1"/>
    <col min="3853" max="3853" width="6.85546875" style="16" bestFit="1" customWidth="1"/>
    <col min="3854" max="3854" width="7" style="16" bestFit="1" customWidth="1"/>
    <col min="3855" max="3855" width="8" style="16" bestFit="1" customWidth="1"/>
    <col min="3856" max="3856" width="9.140625" style="16"/>
    <col min="3857" max="3857" width="10.140625" style="16" customWidth="1"/>
    <col min="3858" max="3860" width="9.140625" style="16"/>
    <col min="3861" max="3861" width="12.42578125" style="16" customWidth="1"/>
    <col min="3862" max="3862" width="9.140625" style="16"/>
    <col min="3863" max="3863" width="12" style="16" customWidth="1"/>
    <col min="3864" max="4096" width="9.140625" style="16"/>
    <col min="4097" max="4097" width="5" style="16" customWidth="1"/>
    <col min="4098" max="4098" width="19.140625" style="16" customWidth="1"/>
    <col min="4099" max="4099" width="11.140625" style="16" bestFit="1" customWidth="1"/>
    <col min="4100" max="4100" width="6.7109375" style="16" bestFit="1" customWidth="1"/>
    <col min="4101" max="4101" width="8.5703125" style="16" bestFit="1" customWidth="1"/>
    <col min="4102" max="4102" width="9.28515625" style="16" bestFit="1" customWidth="1"/>
    <col min="4103" max="4103" width="10.42578125" style="16" bestFit="1" customWidth="1"/>
    <col min="4104" max="4104" width="10.28515625" style="16" bestFit="1" customWidth="1"/>
    <col min="4105" max="4105" width="7.140625" style="16" bestFit="1" customWidth="1"/>
    <col min="4106" max="4106" width="9" style="16" bestFit="1" customWidth="1"/>
    <col min="4107" max="4108" width="7" style="16" bestFit="1" customWidth="1"/>
    <col min="4109" max="4109" width="6.85546875" style="16" bestFit="1" customWidth="1"/>
    <col min="4110" max="4110" width="7" style="16" bestFit="1" customWidth="1"/>
    <col min="4111" max="4111" width="8" style="16" bestFit="1" customWidth="1"/>
    <col min="4112" max="4112" width="9.140625" style="16"/>
    <col min="4113" max="4113" width="10.140625" style="16" customWidth="1"/>
    <col min="4114" max="4116" width="9.140625" style="16"/>
    <col min="4117" max="4117" width="12.42578125" style="16" customWidth="1"/>
    <col min="4118" max="4118" width="9.140625" style="16"/>
    <col min="4119" max="4119" width="12" style="16" customWidth="1"/>
    <col min="4120" max="4352" width="9.140625" style="16"/>
    <col min="4353" max="4353" width="5" style="16" customWidth="1"/>
    <col min="4354" max="4354" width="19.140625" style="16" customWidth="1"/>
    <col min="4355" max="4355" width="11.140625" style="16" bestFit="1" customWidth="1"/>
    <col min="4356" max="4356" width="6.7109375" style="16" bestFit="1" customWidth="1"/>
    <col min="4357" max="4357" width="8.5703125" style="16" bestFit="1" customWidth="1"/>
    <col min="4358" max="4358" width="9.28515625" style="16" bestFit="1" customWidth="1"/>
    <col min="4359" max="4359" width="10.42578125" style="16" bestFit="1" customWidth="1"/>
    <col min="4360" max="4360" width="10.28515625" style="16" bestFit="1" customWidth="1"/>
    <col min="4361" max="4361" width="7.140625" style="16" bestFit="1" customWidth="1"/>
    <col min="4362" max="4362" width="9" style="16" bestFit="1" customWidth="1"/>
    <col min="4363" max="4364" width="7" style="16" bestFit="1" customWidth="1"/>
    <col min="4365" max="4365" width="6.85546875" style="16" bestFit="1" customWidth="1"/>
    <col min="4366" max="4366" width="7" style="16" bestFit="1" customWidth="1"/>
    <col min="4367" max="4367" width="8" style="16" bestFit="1" customWidth="1"/>
    <col min="4368" max="4368" width="9.140625" style="16"/>
    <col min="4369" max="4369" width="10.140625" style="16" customWidth="1"/>
    <col min="4370" max="4372" width="9.140625" style="16"/>
    <col min="4373" max="4373" width="12.42578125" style="16" customWidth="1"/>
    <col min="4374" max="4374" width="9.140625" style="16"/>
    <col min="4375" max="4375" width="12" style="16" customWidth="1"/>
    <col min="4376" max="4608" width="9.140625" style="16"/>
    <col min="4609" max="4609" width="5" style="16" customWidth="1"/>
    <col min="4610" max="4610" width="19.140625" style="16" customWidth="1"/>
    <col min="4611" max="4611" width="11.140625" style="16" bestFit="1" customWidth="1"/>
    <col min="4612" max="4612" width="6.7109375" style="16" bestFit="1" customWidth="1"/>
    <col min="4613" max="4613" width="8.5703125" style="16" bestFit="1" customWidth="1"/>
    <col min="4614" max="4614" width="9.28515625" style="16" bestFit="1" customWidth="1"/>
    <col min="4615" max="4615" width="10.42578125" style="16" bestFit="1" customWidth="1"/>
    <col min="4616" max="4616" width="10.28515625" style="16" bestFit="1" customWidth="1"/>
    <col min="4617" max="4617" width="7.140625" style="16" bestFit="1" customWidth="1"/>
    <col min="4618" max="4618" width="9" style="16" bestFit="1" customWidth="1"/>
    <col min="4619" max="4620" width="7" style="16" bestFit="1" customWidth="1"/>
    <col min="4621" max="4621" width="6.85546875" style="16" bestFit="1" customWidth="1"/>
    <col min="4622" max="4622" width="7" style="16" bestFit="1" customWidth="1"/>
    <col min="4623" max="4623" width="8" style="16" bestFit="1" customWidth="1"/>
    <col min="4624" max="4624" width="9.140625" style="16"/>
    <col min="4625" max="4625" width="10.140625" style="16" customWidth="1"/>
    <col min="4626" max="4628" width="9.140625" style="16"/>
    <col min="4629" max="4629" width="12.42578125" style="16" customWidth="1"/>
    <col min="4630" max="4630" width="9.140625" style="16"/>
    <col min="4631" max="4631" width="12" style="16" customWidth="1"/>
    <col min="4632" max="4864" width="9.140625" style="16"/>
    <col min="4865" max="4865" width="5" style="16" customWidth="1"/>
    <col min="4866" max="4866" width="19.140625" style="16" customWidth="1"/>
    <col min="4867" max="4867" width="11.140625" style="16" bestFit="1" customWidth="1"/>
    <col min="4868" max="4868" width="6.7109375" style="16" bestFit="1" customWidth="1"/>
    <col min="4869" max="4869" width="8.5703125" style="16" bestFit="1" customWidth="1"/>
    <col min="4870" max="4870" width="9.28515625" style="16" bestFit="1" customWidth="1"/>
    <col min="4871" max="4871" width="10.42578125" style="16" bestFit="1" customWidth="1"/>
    <col min="4872" max="4872" width="10.28515625" style="16" bestFit="1" customWidth="1"/>
    <col min="4873" max="4873" width="7.140625" style="16" bestFit="1" customWidth="1"/>
    <col min="4874" max="4874" width="9" style="16" bestFit="1" customWidth="1"/>
    <col min="4875" max="4876" width="7" style="16" bestFit="1" customWidth="1"/>
    <col min="4877" max="4877" width="6.85546875" style="16" bestFit="1" customWidth="1"/>
    <col min="4878" max="4878" width="7" style="16" bestFit="1" customWidth="1"/>
    <col min="4879" max="4879" width="8" style="16" bestFit="1" customWidth="1"/>
    <col min="4880" max="4880" width="9.140625" style="16"/>
    <col min="4881" max="4881" width="10.140625" style="16" customWidth="1"/>
    <col min="4882" max="4884" width="9.140625" style="16"/>
    <col min="4885" max="4885" width="12.42578125" style="16" customWidth="1"/>
    <col min="4886" max="4886" width="9.140625" style="16"/>
    <col min="4887" max="4887" width="12" style="16" customWidth="1"/>
    <col min="4888" max="5120" width="9.140625" style="16"/>
    <col min="5121" max="5121" width="5" style="16" customWidth="1"/>
    <col min="5122" max="5122" width="19.140625" style="16" customWidth="1"/>
    <col min="5123" max="5123" width="11.140625" style="16" bestFit="1" customWidth="1"/>
    <col min="5124" max="5124" width="6.7109375" style="16" bestFit="1" customWidth="1"/>
    <col min="5125" max="5125" width="8.5703125" style="16" bestFit="1" customWidth="1"/>
    <col min="5126" max="5126" width="9.28515625" style="16" bestFit="1" customWidth="1"/>
    <col min="5127" max="5127" width="10.42578125" style="16" bestFit="1" customWidth="1"/>
    <col min="5128" max="5128" width="10.28515625" style="16" bestFit="1" customWidth="1"/>
    <col min="5129" max="5129" width="7.140625" style="16" bestFit="1" customWidth="1"/>
    <col min="5130" max="5130" width="9" style="16" bestFit="1" customWidth="1"/>
    <col min="5131" max="5132" width="7" style="16" bestFit="1" customWidth="1"/>
    <col min="5133" max="5133" width="6.85546875" style="16" bestFit="1" customWidth="1"/>
    <col min="5134" max="5134" width="7" style="16" bestFit="1" customWidth="1"/>
    <col min="5135" max="5135" width="8" style="16" bestFit="1" customWidth="1"/>
    <col min="5136" max="5136" width="9.140625" style="16"/>
    <col min="5137" max="5137" width="10.140625" style="16" customWidth="1"/>
    <col min="5138" max="5140" width="9.140625" style="16"/>
    <col min="5141" max="5141" width="12.42578125" style="16" customWidth="1"/>
    <col min="5142" max="5142" width="9.140625" style="16"/>
    <col min="5143" max="5143" width="12" style="16" customWidth="1"/>
    <col min="5144" max="5376" width="9.140625" style="16"/>
    <col min="5377" max="5377" width="5" style="16" customWidth="1"/>
    <col min="5378" max="5378" width="19.140625" style="16" customWidth="1"/>
    <col min="5379" max="5379" width="11.140625" style="16" bestFit="1" customWidth="1"/>
    <col min="5380" max="5380" width="6.7109375" style="16" bestFit="1" customWidth="1"/>
    <col min="5381" max="5381" width="8.5703125" style="16" bestFit="1" customWidth="1"/>
    <col min="5382" max="5382" width="9.28515625" style="16" bestFit="1" customWidth="1"/>
    <col min="5383" max="5383" width="10.42578125" style="16" bestFit="1" customWidth="1"/>
    <col min="5384" max="5384" width="10.28515625" style="16" bestFit="1" customWidth="1"/>
    <col min="5385" max="5385" width="7.140625" style="16" bestFit="1" customWidth="1"/>
    <col min="5386" max="5386" width="9" style="16" bestFit="1" customWidth="1"/>
    <col min="5387" max="5388" width="7" style="16" bestFit="1" customWidth="1"/>
    <col min="5389" max="5389" width="6.85546875" style="16" bestFit="1" customWidth="1"/>
    <col min="5390" max="5390" width="7" style="16" bestFit="1" customWidth="1"/>
    <col min="5391" max="5391" width="8" style="16" bestFit="1" customWidth="1"/>
    <col min="5392" max="5392" width="9.140625" style="16"/>
    <col min="5393" max="5393" width="10.140625" style="16" customWidth="1"/>
    <col min="5394" max="5396" width="9.140625" style="16"/>
    <col min="5397" max="5397" width="12.42578125" style="16" customWidth="1"/>
    <col min="5398" max="5398" width="9.140625" style="16"/>
    <col min="5399" max="5399" width="12" style="16" customWidth="1"/>
    <col min="5400" max="5632" width="9.140625" style="16"/>
    <col min="5633" max="5633" width="5" style="16" customWidth="1"/>
    <col min="5634" max="5634" width="19.140625" style="16" customWidth="1"/>
    <col min="5635" max="5635" width="11.140625" style="16" bestFit="1" customWidth="1"/>
    <col min="5636" max="5636" width="6.7109375" style="16" bestFit="1" customWidth="1"/>
    <col min="5637" max="5637" width="8.5703125" style="16" bestFit="1" customWidth="1"/>
    <col min="5638" max="5638" width="9.28515625" style="16" bestFit="1" customWidth="1"/>
    <col min="5639" max="5639" width="10.42578125" style="16" bestFit="1" customWidth="1"/>
    <col min="5640" max="5640" width="10.28515625" style="16" bestFit="1" customWidth="1"/>
    <col min="5641" max="5641" width="7.140625" style="16" bestFit="1" customWidth="1"/>
    <col min="5642" max="5642" width="9" style="16" bestFit="1" customWidth="1"/>
    <col min="5643" max="5644" width="7" style="16" bestFit="1" customWidth="1"/>
    <col min="5645" max="5645" width="6.85546875" style="16" bestFit="1" customWidth="1"/>
    <col min="5646" max="5646" width="7" style="16" bestFit="1" customWidth="1"/>
    <col min="5647" max="5647" width="8" style="16" bestFit="1" customWidth="1"/>
    <col min="5648" max="5648" width="9.140625" style="16"/>
    <col min="5649" max="5649" width="10.140625" style="16" customWidth="1"/>
    <col min="5650" max="5652" width="9.140625" style="16"/>
    <col min="5653" max="5653" width="12.42578125" style="16" customWidth="1"/>
    <col min="5654" max="5654" width="9.140625" style="16"/>
    <col min="5655" max="5655" width="12" style="16" customWidth="1"/>
    <col min="5656" max="5888" width="9.140625" style="16"/>
    <col min="5889" max="5889" width="5" style="16" customWidth="1"/>
    <col min="5890" max="5890" width="19.140625" style="16" customWidth="1"/>
    <col min="5891" max="5891" width="11.140625" style="16" bestFit="1" customWidth="1"/>
    <col min="5892" max="5892" width="6.7109375" style="16" bestFit="1" customWidth="1"/>
    <col min="5893" max="5893" width="8.5703125" style="16" bestFit="1" customWidth="1"/>
    <col min="5894" max="5894" width="9.28515625" style="16" bestFit="1" customWidth="1"/>
    <col min="5895" max="5895" width="10.42578125" style="16" bestFit="1" customWidth="1"/>
    <col min="5896" max="5896" width="10.28515625" style="16" bestFit="1" customWidth="1"/>
    <col min="5897" max="5897" width="7.140625" style="16" bestFit="1" customWidth="1"/>
    <col min="5898" max="5898" width="9" style="16" bestFit="1" customWidth="1"/>
    <col min="5899" max="5900" width="7" style="16" bestFit="1" customWidth="1"/>
    <col min="5901" max="5901" width="6.85546875" style="16" bestFit="1" customWidth="1"/>
    <col min="5902" max="5902" width="7" style="16" bestFit="1" customWidth="1"/>
    <col min="5903" max="5903" width="8" style="16" bestFit="1" customWidth="1"/>
    <col min="5904" max="5904" width="9.140625" style="16"/>
    <col min="5905" max="5905" width="10.140625" style="16" customWidth="1"/>
    <col min="5906" max="5908" width="9.140625" style="16"/>
    <col min="5909" max="5909" width="12.42578125" style="16" customWidth="1"/>
    <col min="5910" max="5910" width="9.140625" style="16"/>
    <col min="5911" max="5911" width="12" style="16" customWidth="1"/>
    <col min="5912" max="6144" width="9.140625" style="16"/>
    <col min="6145" max="6145" width="5" style="16" customWidth="1"/>
    <col min="6146" max="6146" width="19.140625" style="16" customWidth="1"/>
    <col min="6147" max="6147" width="11.140625" style="16" bestFit="1" customWidth="1"/>
    <col min="6148" max="6148" width="6.7109375" style="16" bestFit="1" customWidth="1"/>
    <col min="6149" max="6149" width="8.5703125" style="16" bestFit="1" customWidth="1"/>
    <col min="6150" max="6150" width="9.28515625" style="16" bestFit="1" customWidth="1"/>
    <col min="6151" max="6151" width="10.42578125" style="16" bestFit="1" customWidth="1"/>
    <col min="6152" max="6152" width="10.28515625" style="16" bestFit="1" customWidth="1"/>
    <col min="6153" max="6153" width="7.140625" style="16" bestFit="1" customWidth="1"/>
    <col min="6154" max="6154" width="9" style="16" bestFit="1" customWidth="1"/>
    <col min="6155" max="6156" width="7" style="16" bestFit="1" customWidth="1"/>
    <col min="6157" max="6157" width="6.85546875" style="16" bestFit="1" customWidth="1"/>
    <col min="6158" max="6158" width="7" style="16" bestFit="1" customWidth="1"/>
    <col min="6159" max="6159" width="8" style="16" bestFit="1" customWidth="1"/>
    <col min="6160" max="6160" width="9.140625" style="16"/>
    <col min="6161" max="6161" width="10.140625" style="16" customWidth="1"/>
    <col min="6162" max="6164" width="9.140625" style="16"/>
    <col min="6165" max="6165" width="12.42578125" style="16" customWidth="1"/>
    <col min="6166" max="6166" width="9.140625" style="16"/>
    <col min="6167" max="6167" width="12" style="16" customWidth="1"/>
    <col min="6168" max="6400" width="9.140625" style="16"/>
    <col min="6401" max="6401" width="5" style="16" customWidth="1"/>
    <col min="6402" max="6402" width="19.140625" style="16" customWidth="1"/>
    <col min="6403" max="6403" width="11.140625" style="16" bestFit="1" customWidth="1"/>
    <col min="6404" max="6404" width="6.7109375" style="16" bestFit="1" customWidth="1"/>
    <col min="6405" max="6405" width="8.5703125" style="16" bestFit="1" customWidth="1"/>
    <col min="6406" max="6406" width="9.28515625" style="16" bestFit="1" customWidth="1"/>
    <col min="6407" max="6407" width="10.42578125" style="16" bestFit="1" customWidth="1"/>
    <col min="6408" max="6408" width="10.28515625" style="16" bestFit="1" customWidth="1"/>
    <col min="6409" max="6409" width="7.140625" style="16" bestFit="1" customWidth="1"/>
    <col min="6410" max="6410" width="9" style="16" bestFit="1" customWidth="1"/>
    <col min="6411" max="6412" width="7" style="16" bestFit="1" customWidth="1"/>
    <col min="6413" max="6413" width="6.85546875" style="16" bestFit="1" customWidth="1"/>
    <col min="6414" max="6414" width="7" style="16" bestFit="1" customWidth="1"/>
    <col min="6415" max="6415" width="8" style="16" bestFit="1" customWidth="1"/>
    <col min="6416" max="6416" width="9.140625" style="16"/>
    <col min="6417" max="6417" width="10.140625" style="16" customWidth="1"/>
    <col min="6418" max="6420" width="9.140625" style="16"/>
    <col min="6421" max="6421" width="12.42578125" style="16" customWidth="1"/>
    <col min="6422" max="6422" width="9.140625" style="16"/>
    <col min="6423" max="6423" width="12" style="16" customWidth="1"/>
    <col min="6424" max="6656" width="9.140625" style="16"/>
    <col min="6657" max="6657" width="5" style="16" customWidth="1"/>
    <col min="6658" max="6658" width="19.140625" style="16" customWidth="1"/>
    <col min="6659" max="6659" width="11.140625" style="16" bestFit="1" customWidth="1"/>
    <col min="6660" max="6660" width="6.7109375" style="16" bestFit="1" customWidth="1"/>
    <col min="6661" max="6661" width="8.5703125" style="16" bestFit="1" customWidth="1"/>
    <col min="6662" max="6662" width="9.28515625" style="16" bestFit="1" customWidth="1"/>
    <col min="6663" max="6663" width="10.42578125" style="16" bestFit="1" customWidth="1"/>
    <col min="6664" max="6664" width="10.28515625" style="16" bestFit="1" customWidth="1"/>
    <col min="6665" max="6665" width="7.140625" style="16" bestFit="1" customWidth="1"/>
    <col min="6666" max="6666" width="9" style="16" bestFit="1" customWidth="1"/>
    <col min="6667" max="6668" width="7" style="16" bestFit="1" customWidth="1"/>
    <col min="6669" max="6669" width="6.85546875" style="16" bestFit="1" customWidth="1"/>
    <col min="6670" max="6670" width="7" style="16" bestFit="1" customWidth="1"/>
    <col min="6671" max="6671" width="8" style="16" bestFit="1" customWidth="1"/>
    <col min="6672" max="6672" width="9.140625" style="16"/>
    <col min="6673" max="6673" width="10.140625" style="16" customWidth="1"/>
    <col min="6674" max="6676" width="9.140625" style="16"/>
    <col min="6677" max="6677" width="12.42578125" style="16" customWidth="1"/>
    <col min="6678" max="6678" width="9.140625" style="16"/>
    <col min="6679" max="6679" width="12" style="16" customWidth="1"/>
    <col min="6680" max="6912" width="9.140625" style="16"/>
    <col min="6913" max="6913" width="5" style="16" customWidth="1"/>
    <col min="6914" max="6914" width="19.140625" style="16" customWidth="1"/>
    <col min="6915" max="6915" width="11.140625" style="16" bestFit="1" customWidth="1"/>
    <col min="6916" max="6916" width="6.7109375" style="16" bestFit="1" customWidth="1"/>
    <col min="6917" max="6917" width="8.5703125" style="16" bestFit="1" customWidth="1"/>
    <col min="6918" max="6918" width="9.28515625" style="16" bestFit="1" customWidth="1"/>
    <col min="6919" max="6919" width="10.42578125" style="16" bestFit="1" customWidth="1"/>
    <col min="6920" max="6920" width="10.28515625" style="16" bestFit="1" customWidth="1"/>
    <col min="6921" max="6921" width="7.140625" style="16" bestFit="1" customWidth="1"/>
    <col min="6922" max="6922" width="9" style="16" bestFit="1" customWidth="1"/>
    <col min="6923" max="6924" width="7" style="16" bestFit="1" customWidth="1"/>
    <col min="6925" max="6925" width="6.85546875" style="16" bestFit="1" customWidth="1"/>
    <col min="6926" max="6926" width="7" style="16" bestFit="1" customWidth="1"/>
    <col min="6927" max="6927" width="8" style="16" bestFit="1" customWidth="1"/>
    <col min="6928" max="6928" width="9.140625" style="16"/>
    <col min="6929" max="6929" width="10.140625" style="16" customWidth="1"/>
    <col min="6930" max="6932" width="9.140625" style="16"/>
    <col min="6933" max="6933" width="12.42578125" style="16" customWidth="1"/>
    <col min="6934" max="6934" width="9.140625" style="16"/>
    <col min="6935" max="6935" width="12" style="16" customWidth="1"/>
    <col min="6936" max="7168" width="9.140625" style="16"/>
    <col min="7169" max="7169" width="5" style="16" customWidth="1"/>
    <col min="7170" max="7170" width="19.140625" style="16" customWidth="1"/>
    <col min="7171" max="7171" width="11.140625" style="16" bestFit="1" customWidth="1"/>
    <col min="7172" max="7172" width="6.7109375" style="16" bestFit="1" customWidth="1"/>
    <col min="7173" max="7173" width="8.5703125" style="16" bestFit="1" customWidth="1"/>
    <col min="7174" max="7174" width="9.28515625" style="16" bestFit="1" customWidth="1"/>
    <col min="7175" max="7175" width="10.42578125" style="16" bestFit="1" customWidth="1"/>
    <col min="7176" max="7176" width="10.28515625" style="16" bestFit="1" customWidth="1"/>
    <col min="7177" max="7177" width="7.140625" style="16" bestFit="1" customWidth="1"/>
    <col min="7178" max="7178" width="9" style="16" bestFit="1" customWidth="1"/>
    <col min="7179" max="7180" width="7" style="16" bestFit="1" customWidth="1"/>
    <col min="7181" max="7181" width="6.85546875" style="16" bestFit="1" customWidth="1"/>
    <col min="7182" max="7182" width="7" style="16" bestFit="1" customWidth="1"/>
    <col min="7183" max="7183" width="8" style="16" bestFit="1" customWidth="1"/>
    <col min="7184" max="7184" width="9.140625" style="16"/>
    <col min="7185" max="7185" width="10.140625" style="16" customWidth="1"/>
    <col min="7186" max="7188" width="9.140625" style="16"/>
    <col min="7189" max="7189" width="12.42578125" style="16" customWidth="1"/>
    <col min="7190" max="7190" width="9.140625" style="16"/>
    <col min="7191" max="7191" width="12" style="16" customWidth="1"/>
    <col min="7192" max="7424" width="9.140625" style="16"/>
    <col min="7425" max="7425" width="5" style="16" customWidth="1"/>
    <col min="7426" max="7426" width="19.140625" style="16" customWidth="1"/>
    <col min="7427" max="7427" width="11.140625" style="16" bestFit="1" customWidth="1"/>
    <col min="7428" max="7428" width="6.7109375" style="16" bestFit="1" customWidth="1"/>
    <col min="7429" max="7429" width="8.5703125" style="16" bestFit="1" customWidth="1"/>
    <col min="7430" max="7430" width="9.28515625" style="16" bestFit="1" customWidth="1"/>
    <col min="7431" max="7431" width="10.42578125" style="16" bestFit="1" customWidth="1"/>
    <col min="7432" max="7432" width="10.28515625" style="16" bestFit="1" customWidth="1"/>
    <col min="7433" max="7433" width="7.140625" style="16" bestFit="1" customWidth="1"/>
    <col min="7434" max="7434" width="9" style="16" bestFit="1" customWidth="1"/>
    <col min="7435" max="7436" width="7" style="16" bestFit="1" customWidth="1"/>
    <col min="7437" max="7437" width="6.85546875" style="16" bestFit="1" customWidth="1"/>
    <col min="7438" max="7438" width="7" style="16" bestFit="1" customWidth="1"/>
    <col min="7439" max="7439" width="8" style="16" bestFit="1" customWidth="1"/>
    <col min="7440" max="7440" width="9.140625" style="16"/>
    <col min="7441" max="7441" width="10.140625" style="16" customWidth="1"/>
    <col min="7442" max="7444" width="9.140625" style="16"/>
    <col min="7445" max="7445" width="12.42578125" style="16" customWidth="1"/>
    <col min="7446" max="7446" width="9.140625" style="16"/>
    <col min="7447" max="7447" width="12" style="16" customWidth="1"/>
    <col min="7448" max="7680" width="9.140625" style="16"/>
    <col min="7681" max="7681" width="5" style="16" customWidth="1"/>
    <col min="7682" max="7682" width="19.140625" style="16" customWidth="1"/>
    <col min="7683" max="7683" width="11.140625" style="16" bestFit="1" customWidth="1"/>
    <col min="7684" max="7684" width="6.7109375" style="16" bestFit="1" customWidth="1"/>
    <col min="7685" max="7685" width="8.5703125" style="16" bestFit="1" customWidth="1"/>
    <col min="7686" max="7686" width="9.28515625" style="16" bestFit="1" customWidth="1"/>
    <col min="7687" max="7687" width="10.42578125" style="16" bestFit="1" customWidth="1"/>
    <col min="7688" max="7688" width="10.28515625" style="16" bestFit="1" customWidth="1"/>
    <col min="7689" max="7689" width="7.140625" style="16" bestFit="1" customWidth="1"/>
    <col min="7690" max="7690" width="9" style="16" bestFit="1" customWidth="1"/>
    <col min="7691" max="7692" width="7" style="16" bestFit="1" customWidth="1"/>
    <col min="7693" max="7693" width="6.85546875" style="16" bestFit="1" customWidth="1"/>
    <col min="7694" max="7694" width="7" style="16" bestFit="1" customWidth="1"/>
    <col min="7695" max="7695" width="8" style="16" bestFit="1" customWidth="1"/>
    <col min="7696" max="7696" width="9.140625" style="16"/>
    <col min="7697" max="7697" width="10.140625" style="16" customWidth="1"/>
    <col min="7698" max="7700" width="9.140625" style="16"/>
    <col min="7701" max="7701" width="12.42578125" style="16" customWidth="1"/>
    <col min="7702" max="7702" width="9.140625" style="16"/>
    <col min="7703" max="7703" width="12" style="16" customWidth="1"/>
    <col min="7704" max="7936" width="9.140625" style="16"/>
    <col min="7937" max="7937" width="5" style="16" customWidth="1"/>
    <col min="7938" max="7938" width="19.140625" style="16" customWidth="1"/>
    <col min="7939" max="7939" width="11.140625" style="16" bestFit="1" customWidth="1"/>
    <col min="7940" max="7940" width="6.7109375" style="16" bestFit="1" customWidth="1"/>
    <col min="7941" max="7941" width="8.5703125" style="16" bestFit="1" customWidth="1"/>
    <col min="7942" max="7942" width="9.28515625" style="16" bestFit="1" customWidth="1"/>
    <col min="7943" max="7943" width="10.42578125" style="16" bestFit="1" customWidth="1"/>
    <col min="7944" max="7944" width="10.28515625" style="16" bestFit="1" customWidth="1"/>
    <col min="7945" max="7945" width="7.140625" style="16" bestFit="1" customWidth="1"/>
    <col min="7946" max="7946" width="9" style="16" bestFit="1" customWidth="1"/>
    <col min="7947" max="7948" width="7" style="16" bestFit="1" customWidth="1"/>
    <col min="7949" max="7949" width="6.85546875" style="16" bestFit="1" customWidth="1"/>
    <col min="7950" max="7950" width="7" style="16" bestFit="1" customWidth="1"/>
    <col min="7951" max="7951" width="8" style="16" bestFit="1" customWidth="1"/>
    <col min="7952" max="7952" width="9.140625" style="16"/>
    <col min="7953" max="7953" width="10.140625" style="16" customWidth="1"/>
    <col min="7954" max="7956" width="9.140625" style="16"/>
    <col min="7957" max="7957" width="12.42578125" style="16" customWidth="1"/>
    <col min="7958" max="7958" width="9.140625" style="16"/>
    <col min="7959" max="7959" width="12" style="16" customWidth="1"/>
    <col min="7960" max="8192" width="9.140625" style="16"/>
    <col min="8193" max="8193" width="5" style="16" customWidth="1"/>
    <col min="8194" max="8194" width="19.140625" style="16" customWidth="1"/>
    <col min="8195" max="8195" width="11.140625" style="16" bestFit="1" customWidth="1"/>
    <col min="8196" max="8196" width="6.7109375" style="16" bestFit="1" customWidth="1"/>
    <col min="8197" max="8197" width="8.5703125" style="16" bestFit="1" customWidth="1"/>
    <col min="8198" max="8198" width="9.28515625" style="16" bestFit="1" customWidth="1"/>
    <col min="8199" max="8199" width="10.42578125" style="16" bestFit="1" customWidth="1"/>
    <col min="8200" max="8200" width="10.28515625" style="16" bestFit="1" customWidth="1"/>
    <col min="8201" max="8201" width="7.140625" style="16" bestFit="1" customWidth="1"/>
    <col min="8202" max="8202" width="9" style="16" bestFit="1" customWidth="1"/>
    <col min="8203" max="8204" width="7" style="16" bestFit="1" customWidth="1"/>
    <col min="8205" max="8205" width="6.85546875" style="16" bestFit="1" customWidth="1"/>
    <col min="8206" max="8206" width="7" style="16" bestFit="1" customWidth="1"/>
    <col min="8207" max="8207" width="8" style="16" bestFit="1" customWidth="1"/>
    <col min="8208" max="8208" width="9.140625" style="16"/>
    <col min="8209" max="8209" width="10.140625" style="16" customWidth="1"/>
    <col min="8210" max="8212" width="9.140625" style="16"/>
    <col min="8213" max="8213" width="12.42578125" style="16" customWidth="1"/>
    <col min="8214" max="8214" width="9.140625" style="16"/>
    <col min="8215" max="8215" width="12" style="16" customWidth="1"/>
    <col min="8216" max="8448" width="9.140625" style="16"/>
    <col min="8449" max="8449" width="5" style="16" customWidth="1"/>
    <col min="8450" max="8450" width="19.140625" style="16" customWidth="1"/>
    <col min="8451" max="8451" width="11.140625" style="16" bestFit="1" customWidth="1"/>
    <col min="8452" max="8452" width="6.7109375" style="16" bestFit="1" customWidth="1"/>
    <col min="8453" max="8453" width="8.5703125" style="16" bestFit="1" customWidth="1"/>
    <col min="8454" max="8454" width="9.28515625" style="16" bestFit="1" customWidth="1"/>
    <col min="8455" max="8455" width="10.42578125" style="16" bestFit="1" customWidth="1"/>
    <col min="8456" max="8456" width="10.28515625" style="16" bestFit="1" customWidth="1"/>
    <col min="8457" max="8457" width="7.140625" style="16" bestFit="1" customWidth="1"/>
    <col min="8458" max="8458" width="9" style="16" bestFit="1" customWidth="1"/>
    <col min="8459" max="8460" width="7" style="16" bestFit="1" customWidth="1"/>
    <col min="8461" max="8461" width="6.85546875" style="16" bestFit="1" customWidth="1"/>
    <col min="8462" max="8462" width="7" style="16" bestFit="1" customWidth="1"/>
    <col min="8463" max="8463" width="8" style="16" bestFit="1" customWidth="1"/>
    <col min="8464" max="8464" width="9.140625" style="16"/>
    <col min="8465" max="8465" width="10.140625" style="16" customWidth="1"/>
    <col min="8466" max="8468" width="9.140625" style="16"/>
    <col min="8469" max="8469" width="12.42578125" style="16" customWidth="1"/>
    <col min="8470" max="8470" width="9.140625" style="16"/>
    <col min="8471" max="8471" width="12" style="16" customWidth="1"/>
    <col min="8472" max="8704" width="9.140625" style="16"/>
    <col min="8705" max="8705" width="5" style="16" customWidth="1"/>
    <col min="8706" max="8706" width="19.140625" style="16" customWidth="1"/>
    <col min="8707" max="8707" width="11.140625" style="16" bestFit="1" customWidth="1"/>
    <col min="8708" max="8708" width="6.7109375" style="16" bestFit="1" customWidth="1"/>
    <col min="8709" max="8709" width="8.5703125" style="16" bestFit="1" customWidth="1"/>
    <col min="8710" max="8710" width="9.28515625" style="16" bestFit="1" customWidth="1"/>
    <col min="8711" max="8711" width="10.42578125" style="16" bestFit="1" customWidth="1"/>
    <col min="8712" max="8712" width="10.28515625" style="16" bestFit="1" customWidth="1"/>
    <col min="8713" max="8713" width="7.140625" style="16" bestFit="1" customWidth="1"/>
    <col min="8714" max="8714" width="9" style="16" bestFit="1" customWidth="1"/>
    <col min="8715" max="8716" width="7" style="16" bestFit="1" customWidth="1"/>
    <col min="8717" max="8717" width="6.85546875" style="16" bestFit="1" customWidth="1"/>
    <col min="8718" max="8718" width="7" style="16" bestFit="1" customWidth="1"/>
    <col min="8719" max="8719" width="8" style="16" bestFit="1" customWidth="1"/>
    <col min="8720" max="8720" width="9.140625" style="16"/>
    <col min="8721" max="8721" width="10.140625" style="16" customWidth="1"/>
    <col min="8722" max="8724" width="9.140625" style="16"/>
    <col min="8725" max="8725" width="12.42578125" style="16" customWidth="1"/>
    <col min="8726" max="8726" width="9.140625" style="16"/>
    <col min="8727" max="8727" width="12" style="16" customWidth="1"/>
    <col min="8728" max="8960" width="9.140625" style="16"/>
    <col min="8961" max="8961" width="5" style="16" customWidth="1"/>
    <col min="8962" max="8962" width="19.140625" style="16" customWidth="1"/>
    <col min="8963" max="8963" width="11.140625" style="16" bestFit="1" customWidth="1"/>
    <col min="8964" max="8964" width="6.7109375" style="16" bestFit="1" customWidth="1"/>
    <col min="8965" max="8965" width="8.5703125" style="16" bestFit="1" customWidth="1"/>
    <col min="8966" max="8966" width="9.28515625" style="16" bestFit="1" customWidth="1"/>
    <col min="8967" max="8967" width="10.42578125" style="16" bestFit="1" customWidth="1"/>
    <col min="8968" max="8968" width="10.28515625" style="16" bestFit="1" customWidth="1"/>
    <col min="8969" max="8969" width="7.140625" style="16" bestFit="1" customWidth="1"/>
    <col min="8970" max="8970" width="9" style="16" bestFit="1" customWidth="1"/>
    <col min="8971" max="8972" width="7" style="16" bestFit="1" customWidth="1"/>
    <col min="8973" max="8973" width="6.85546875" style="16" bestFit="1" customWidth="1"/>
    <col min="8974" max="8974" width="7" style="16" bestFit="1" customWidth="1"/>
    <col min="8975" max="8975" width="8" style="16" bestFit="1" customWidth="1"/>
    <col min="8976" max="8976" width="9.140625" style="16"/>
    <col min="8977" max="8977" width="10.140625" style="16" customWidth="1"/>
    <col min="8978" max="8980" width="9.140625" style="16"/>
    <col min="8981" max="8981" width="12.42578125" style="16" customWidth="1"/>
    <col min="8982" max="8982" width="9.140625" style="16"/>
    <col min="8983" max="8983" width="12" style="16" customWidth="1"/>
    <col min="8984" max="9216" width="9.140625" style="16"/>
    <col min="9217" max="9217" width="5" style="16" customWidth="1"/>
    <col min="9218" max="9218" width="19.140625" style="16" customWidth="1"/>
    <col min="9219" max="9219" width="11.140625" style="16" bestFit="1" customWidth="1"/>
    <col min="9220" max="9220" width="6.7109375" style="16" bestFit="1" customWidth="1"/>
    <col min="9221" max="9221" width="8.5703125" style="16" bestFit="1" customWidth="1"/>
    <col min="9222" max="9222" width="9.28515625" style="16" bestFit="1" customWidth="1"/>
    <col min="9223" max="9223" width="10.42578125" style="16" bestFit="1" customWidth="1"/>
    <col min="9224" max="9224" width="10.28515625" style="16" bestFit="1" customWidth="1"/>
    <col min="9225" max="9225" width="7.140625" style="16" bestFit="1" customWidth="1"/>
    <col min="9226" max="9226" width="9" style="16" bestFit="1" customWidth="1"/>
    <col min="9227" max="9228" width="7" style="16" bestFit="1" customWidth="1"/>
    <col min="9229" max="9229" width="6.85546875" style="16" bestFit="1" customWidth="1"/>
    <col min="9230" max="9230" width="7" style="16" bestFit="1" customWidth="1"/>
    <col min="9231" max="9231" width="8" style="16" bestFit="1" customWidth="1"/>
    <col min="9232" max="9232" width="9.140625" style="16"/>
    <col min="9233" max="9233" width="10.140625" style="16" customWidth="1"/>
    <col min="9234" max="9236" width="9.140625" style="16"/>
    <col min="9237" max="9237" width="12.42578125" style="16" customWidth="1"/>
    <col min="9238" max="9238" width="9.140625" style="16"/>
    <col min="9239" max="9239" width="12" style="16" customWidth="1"/>
    <col min="9240" max="9472" width="9.140625" style="16"/>
    <col min="9473" max="9473" width="5" style="16" customWidth="1"/>
    <col min="9474" max="9474" width="19.140625" style="16" customWidth="1"/>
    <col min="9475" max="9475" width="11.140625" style="16" bestFit="1" customWidth="1"/>
    <col min="9476" max="9476" width="6.7109375" style="16" bestFit="1" customWidth="1"/>
    <col min="9477" max="9477" width="8.5703125" style="16" bestFit="1" customWidth="1"/>
    <col min="9478" max="9478" width="9.28515625" style="16" bestFit="1" customWidth="1"/>
    <col min="9479" max="9479" width="10.42578125" style="16" bestFit="1" customWidth="1"/>
    <col min="9480" max="9480" width="10.28515625" style="16" bestFit="1" customWidth="1"/>
    <col min="9481" max="9481" width="7.140625" style="16" bestFit="1" customWidth="1"/>
    <col min="9482" max="9482" width="9" style="16" bestFit="1" customWidth="1"/>
    <col min="9483" max="9484" width="7" style="16" bestFit="1" customWidth="1"/>
    <col min="9485" max="9485" width="6.85546875" style="16" bestFit="1" customWidth="1"/>
    <col min="9486" max="9486" width="7" style="16" bestFit="1" customWidth="1"/>
    <col min="9487" max="9487" width="8" style="16" bestFit="1" customWidth="1"/>
    <col min="9488" max="9488" width="9.140625" style="16"/>
    <col min="9489" max="9489" width="10.140625" style="16" customWidth="1"/>
    <col min="9490" max="9492" width="9.140625" style="16"/>
    <col min="9493" max="9493" width="12.42578125" style="16" customWidth="1"/>
    <col min="9494" max="9494" width="9.140625" style="16"/>
    <col min="9495" max="9495" width="12" style="16" customWidth="1"/>
    <col min="9496" max="9728" width="9.140625" style="16"/>
    <col min="9729" max="9729" width="5" style="16" customWidth="1"/>
    <col min="9730" max="9730" width="19.140625" style="16" customWidth="1"/>
    <col min="9731" max="9731" width="11.140625" style="16" bestFit="1" customWidth="1"/>
    <col min="9732" max="9732" width="6.7109375" style="16" bestFit="1" customWidth="1"/>
    <col min="9733" max="9733" width="8.5703125" style="16" bestFit="1" customWidth="1"/>
    <col min="9734" max="9734" width="9.28515625" style="16" bestFit="1" customWidth="1"/>
    <col min="9735" max="9735" width="10.42578125" style="16" bestFit="1" customWidth="1"/>
    <col min="9736" max="9736" width="10.28515625" style="16" bestFit="1" customWidth="1"/>
    <col min="9737" max="9737" width="7.140625" style="16" bestFit="1" customWidth="1"/>
    <col min="9738" max="9738" width="9" style="16" bestFit="1" customWidth="1"/>
    <col min="9739" max="9740" width="7" style="16" bestFit="1" customWidth="1"/>
    <col min="9741" max="9741" width="6.85546875" style="16" bestFit="1" customWidth="1"/>
    <col min="9742" max="9742" width="7" style="16" bestFit="1" customWidth="1"/>
    <col min="9743" max="9743" width="8" style="16" bestFit="1" customWidth="1"/>
    <col min="9744" max="9744" width="9.140625" style="16"/>
    <col min="9745" max="9745" width="10.140625" style="16" customWidth="1"/>
    <col min="9746" max="9748" width="9.140625" style="16"/>
    <col min="9749" max="9749" width="12.42578125" style="16" customWidth="1"/>
    <col min="9750" max="9750" width="9.140625" style="16"/>
    <col min="9751" max="9751" width="12" style="16" customWidth="1"/>
    <col min="9752" max="9984" width="9.140625" style="16"/>
    <col min="9985" max="9985" width="5" style="16" customWidth="1"/>
    <col min="9986" max="9986" width="19.140625" style="16" customWidth="1"/>
    <col min="9987" max="9987" width="11.140625" style="16" bestFit="1" customWidth="1"/>
    <col min="9988" max="9988" width="6.7109375" style="16" bestFit="1" customWidth="1"/>
    <col min="9989" max="9989" width="8.5703125" style="16" bestFit="1" customWidth="1"/>
    <col min="9990" max="9990" width="9.28515625" style="16" bestFit="1" customWidth="1"/>
    <col min="9991" max="9991" width="10.42578125" style="16" bestFit="1" customWidth="1"/>
    <col min="9992" max="9992" width="10.28515625" style="16" bestFit="1" customWidth="1"/>
    <col min="9993" max="9993" width="7.140625" style="16" bestFit="1" customWidth="1"/>
    <col min="9994" max="9994" width="9" style="16" bestFit="1" customWidth="1"/>
    <col min="9995" max="9996" width="7" style="16" bestFit="1" customWidth="1"/>
    <col min="9997" max="9997" width="6.85546875" style="16" bestFit="1" customWidth="1"/>
    <col min="9998" max="9998" width="7" style="16" bestFit="1" customWidth="1"/>
    <col min="9999" max="9999" width="8" style="16" bestFit="1" customWidth="1"/>
    <col min="10000" max="10000" width="9.140625" style="16"/>
    <col min="10001" max="10001" width="10.140625" style="16" customWidth="1"/>
    <col min="10002" max="10004" width="9.140625" style="16"/>
    <col min="10005" max="10005" width="12.42578125" style="16" customWidth="1"/>
    <col min="10006" max="10006" width="9.140625" style="16"/>
    <col min="10007" max="10007" width="12" style="16" customWidth="1"/>
    <col min="10008" max="10240" width="9.140625" style="16"/>
    <col min="10241" max="10241" width="5" style="16" customWidth="1"/>
    <col min="10242" max="10242" width="19.140625" style="16" customWidth="1"/>
    <col min="10243" max="10243" width="11.140625" style="16" bestFit="1" customWidth="1"/>
    <col min="10244" max="10244" width="6.7109375" style="16" bestFit="1" customWidth="1"/>
    <col min="10245" max="10245" width="8.5703125" style="16" bestFit="1" customWidth="1"/>
    <col min="10246" max="10246" width="9.28515625" style="16" bestFit="1" customWidth="1"/>
    <col min="10247" max="10247" width="10.42578125" style="16" bestFit="1" customWidth="1"/>
    <col min="10248" max="10248" width="10.28515625" style="16" bestFit="1" customWidth="1"/>
    <col min="10249" max="10249" width="7.140625" style="16" bestFit="1" customWidth="1"/>
    <col min="10250" max="10250" width="9" style="16" bestFit="1" customWidth="1"/>
    <col min="10251" max="10252" width="7" style="16" bestFit="1" customWidth="1"/>
    <col min="10253" max="10253" width="6.85546875" style="16" bestFit="1" customWidth="1"/>
    <col min="10254" max="10254" width="7" style="16" bestFit="1" customWidth="1"/>
    <col min="10255" max="10255" width="8" style="16" bestFit="1" customWidth="1"/>
    <col min="10256" max="10256" width="9.140625" style="16"/>
    <col min="10257" max="10257" width="10.140625" style="16" customWidth="1"/>
    <col min="10258" max="10260" width="9.140625" style="16"/>
    <col min="10261" max="10261" width="12.42578125" style="16" customWidth="1"/>
    <col min="10262" max="10262" width="9.140625" style="16"/>
    <col min="10263" max="10263" width="12" style="16" customWidth="1"/>
    <col min="10264" max="10496" width="9.140625" style="16"/>
    <col min="10497" max="10497" width="5" style="16" customWidth="1"/>
    <col min="10498" max="10498" width="19.140625" style="16" customWidth="1"/>
    <col min="10499" max="10499" width="11.140625" style="16" bestFit="1" customWidth="1"/>
    <col min="10500" max="10500" width="6.7109375" style="16" bestFit="1" customWidth="1"/>
    <col min="10501" max="10501" width="8.5703125" style="16" bestFit="1" customWidth="1"/>
    <col min="10502" max="10502" width="9.28515625" style="16" bestFit="1" customWidth="1"/>
    <col min="10503" max="10503" width="10.42578125" style="16" bestFit="1" customWidth="1"/>
    <col min="10504" max="10504" width="10.28515625" style="16" bestFit="1" customWidth="1"/>
    <col min="10505" max="10505" width="7.140625" style="16" bestFit="1" customWidth="1"/>
    <col min="10506" max="10506" width="9" style="16" bestFit="1" customWidth="1"/>
    <col min="10507" max="10508" width="7" style="16" bestFit="1" customWidth="1"/>
    <col min="10509" max="10509" width="6.85546875" style="16" bestFit="1" customWidth="1"/>
    <col min="10510" max="10510" width="7" style="16" bestFit="1" customWidth="1"/>
    <col min="10511" max="10511" width="8" style="16" bestFit="1" customWidth="1"/>
    <col min="10512" max="10512" width="9.140625" style="16"/>
    <col min="10513" max="10513" width="10.140625" style="16" customWidth="1"/>
    <col min="10514" max="10516" width="9.140625" style="16"/>
    <col min="10517" max="10517" width="12.42578125" style="16" customWidth="1"/>
    <col min="10518" max="10518" width="9.140625" style="16"/>
    <col min="10519" max="10519" width="12" style="16" customWidth="1"/>
    <col min="10520" max="10752" width="9.140625" style="16"/>
    <col min="10753" max="10753" width="5" style="16" customWidth="1"/>
    <col min="10754" max="10754" width="19.140625" style="16" customWidth="1"/>
    <col min="10755" max="10755" width="11.140625" style="16" bestFit="1" customWidth="1"/>
    <col min="10756" max="10756" width="6.7109375" style="16" bestFit="1" customWidth="1"/>
    <col min="10757" max="10757" width="8.5703125" style="16" bestFit="1" customWidth="1"/>
    <col min="10758" max="10758" width="9.28515625" style="16" bestFit="1" customWidth="1"/>
    <col min="10759" max="10759" width="10.42578125" style="16" bestFit="1" customWidth="1"/>
    <col min="10760" max="10760" width="10.28515625" style="16" bestFit="1" customWidth="1"/>
    <col min="10761" max="10761" width="7.140625" style="16" bestFit="1" customWidth="1"/>
    <col min="10762" max="10762" width="9" style="16" bestFit="1" customWidth="1"/>
    <col min="10763" max="10764" width="7" style="16" bestFit="1" customWidth="1"/>
    <col min="10765" max="10765" width="6.85546875" style="16" bestFit="1" customWidth="1"/>
    <col min="10766" max="10766" width="7" style="16" bestFit="1" customWidth="1"/>
    <col min="10767" max="10767" width="8" style="16" bestFit="1" customWidth="1"/>
    <col min="10768" max="10768" width="9.140625" style="16"/>
    <col min="10769" max="10769" width="10.140625" style="16" customWidth="1"/>
    <col min="10770" max="10772" width="9.140625" style="16"/>
    <col min="10773" max="10773" width="12.42578125" style="16" customWidth="1"/>
    <col min="10774" max="10774" width="9.140625" style="16"/>
    <col min="10775" max="10775" width="12" style="16" customWidth="1"/>
    <col min="10776" max="11008" width="9.140625" style="16"/>
    <col min="11009" max="11009" width="5" style="16" customWidth="1"/>
    <col min="11010" max="11010" width="19.140625" style="16" customWidth="1"/>
    <col min="11011" max="11011" width="11.140625" style="16" bestFit="1" customWidth="1"/>
    <col min="11012" max="11012" width="6.7109375" style="16" bestFit="1" customWidth="1"/>
    <col min="11013" max="11013" width="8.5703125" style="16" bestFit="1" customWidth="1"/>
    <col min="11014" max="11014" width="9.28515625" style="16" bestFit="1" customWidth="1"/>
    <col min="11015" max="11015" width="10.42578125" style="16" bestFit="1" customWidth="1"/>
    <col min="11016" max="11016" width="10.28515625" style="16" bestFit="1" customWidth="1"/>
    <col min="11017" max="11017" width="7.140625" style="16" bestFit="1" customWidth="1"/>
    <col min="11018" max="11018" width="9" style="16" bestFit="1" customWidth="1"/>
    <col min="11019" max="11020" width="7" style="16" bestFit="1" customWidth="1"/>
    <col min="11021" max="11021" width="6.85546875" style="16" bestFit="1" customWidth="1"/>
    <col min="11022" max="11022" width="7" style="16" bestFit="1" customWidth="1"/>
    <col min="11023" max="11023" width="8" style="16" bestFit="1" customWidth="1"/>
    <col min="11024" max="11024" width="9.140625" style="16"/>
    <col min="11025" max="11025" width="10.140625" style="16" customWidth="1"/>
    <col min="11026" max="11028" width="9.140625" style="16"/>
    <col min="11029" max="11029" width="12.42578125" style="16" customWidth="1"/>
    <col min="11030" max="11030" width="9.140625" style="16"/>
    <col min="11031" max="11031" width="12" style="16" customWidth="1"/>
    <col min="11032" max="11264" width="9.140625" style="16"/>
    <col min="11265" max="11265" width="5" style="16" customWidth="1"/>
    <col min="11266" max="11266" width="19.140625" style="16" customWidth="1"/>
    <col min="11267" max="11267" width="11.140625" style="16" bestFit="1" customWidth="1"/>
    <col min="11268" max="11268" width="6.7109375" style="16" bestFit="1" customWidth="1"/>
    <col min="11269" max="11269" width="8.5703125" style="16" bestFit="1" customWidth="1"/>
    <col min="11270" max="11270" width="9.28515625" style="16" bestFit="1" customWidth="1"/>
    <col min="11271" max="11271" width="10.42578125" style="16" bestFit="1" customWidth="1"/>
    <col min="11272" max="11272" width="10.28515625" style="16" bestFit="1" customWidth="1"/>
    <col min="11273" max="11273" width="7.140625" style="16" bestFit="1" customWidth="1"/>
    <col min="11274" max="11274" width="9" style="16" bestFit="1" customWidth="1"/>
    <col min="11275" max="11276" width="7" style="16" bestFit="1" customWidth="1"/>
    <col min="11277" max="11277" width="6.85546875" style="16" bestFit="1" customWidth="1"/>
    <col min="11278" max="11278" width="7" style="16" bestFit="1" customWidth="1"/>
    <col min="11279" max="11279" width="8" style="16" bestFit="1" customWidth="1"/>
    <col min="11280" max="11280" width="9.140625" style="16"/>
    <col min="11281" max="11281" width="10.140625" style="16" customWidth="1"/>
    <col min="11282" max="11284" width="9.140625" style="16"/>
    <col min="11285" max="11285" width="12.42578125" style="16" customWidth="1"/>
    <col min="11286" max="11286" width="9.140625" style="16"/>
    <col min="11287" max="11287" width="12" style="16" customWidth="1"/>
    <col min="11288" max="11520" width="9.140625" style="16"/>
    <col min="11521" max="11521" width="5" style="16" customWidth="1"/>
    <col min="11522" max="11522" width="19.140625" style="16" customWidth="1"/>
    <col min="11523" max="11523" width="11.140625" style="16" bestFit="1" customWidth="1"/>
    <col min="11524" max="11524" width="6.7109375" style="16" bestFit="1" customWidth="1"/>
    <col min="11525" max="11525" width="8.5703125" style="16" bestFit="1" customWidth="1"/>
    <col min="11526" max="11526" width="9.28515625" style="16" bestFit="1" customWidth="1"/>
    <col min="11527" max="11527" width="10.42578125" style="16" bestFit="1" customWidth="1"/>
    <col min="11528" max="11528" width="10.28515625" style="16" bestFit="1" customWidth="1"/>
    <col min="11529" max="11529" width="7.140625" style="16" bestFit="1" customWidth="1"/>
    <col min="11530" max="11530" width="9" style="16" bestFit="1" customWidth="1"/>
    <col min="11531" max="11532" width="7" style="16" bestFit="1" customWidth="1"/>
    <col min="11533" max="11533" width="6.85546875" style="16" bestFit="1" customWidth="1"/>
    <col min="11534" max="11534" width="7" style="16" bestFit="1" customWidth="1"/>
    <col min="11535" max="11535" width="8" style="16" bestFit="1" customWidth="1"/>
    <col min="11536" max="11536" width="9.140625" style="16"/>
    <col min="11537" max="11537" width="10.140625" style="16" customWidth="1"/>
    <col min="11538" max="11540" width="9.140625" style="16"/>
    <col min="11541" max="11541" width="12.42578125" style="16" customWidth="1"/>
    <col min="11542" max="11542" width="9.140625" style="16"/>
    <col min="11543" max="11543" width="12" style="16" customWidth="1"/>
    <col min="11544" max="11776" width="9.140625" style="16"/>
    <col min="11777" max="11777" width="5" style="16" customWidth="1"/>
    <col min="11778" max="11778" width="19.140625" style="16" customWidth="1"/>
    <col min="11779" max="11779" width="11.140625" style="16" bestFit="1" customWidth="1"/>
    <col min="11780" max="11780" width="6.7109375" style="16" bestFit="1" customWidth="1"/>
    <col min="11781" max="11781" width="8.5703125" style="16" bestFit="1" customWidth="1"/>
    <col min="11782" max="11782" width="9.28515625" style="16" bestFit="1" customWidth="1"/>
    <col min="11783" max="11783" width="10.42578125" style="16" bestFit="1" customWidth="1"/>
    <col min="11784" max="11784" width="10.28515625" style="16" bestFit="1" customWidth="1"/>
    <col min="11785" max="11785" width="7.140625" style="16" bestFit="1" customWidth="1"/>
    <col min="11786" max="11786" width="9" style="16" bestFit="1" customWidth="1"/>
    <col min="11787" max="11788" width="7" style="16" bestFit="1" customWidth="1"/>
    <col min="11789" max="11789" width="6.85546875" style="16" bestFit="1" customWidth="1"/>
    <col min="11790" max="11790" width="7" style="16" bestFit="1" customWidth="1"/>
    <col min="11791" max="11791" width="8" style="16" bestFit="1" customWidth="1"/>
    <col min="11792" max="11792" width="9.140625" style="16"/>
    <col min="11793" max="11793" width="10.140625" style="16" customWidth="1"/>
    <col min="11794" max="11796" width="9.140625" style="16"/>
    <col min="11797" max="11797" width="12.42578125" style="16" customWidth="1"/>
    <col min="11798" max="11798" width="9.140625" style="16"/>
    <col min="11799" max="11799" width="12" style="16" customWidth="1"/>
    <col min="11800" max="12032" width="9.140625" style="16"/>
    <col min="12033" max="12033" width="5" style="16" customWidth="1"/>
    <col min="12034" max="12034" width="19.140625" style="16" customWidth="1"/>
    <col min="12035" max="12035" width="11.140625" style="16" bestFit="1" customWidth="1"/>
    <col min="12036" max="12036" width="6.7109375" style="16" bestFit="1" customWidth="1"/>
    <col min="12037" max="12037" width="8.5703125" style="16" bestFit="1" customWidth="1"/>
    <col min="12038" max="12038" width="9.28515625" style="16" bestFit="1" customWidth="1"/>
    <col min="12039" max="12039" width="10.42578125" style="16" bestFit="1" customWidth="1"/>
    <col min="12040" max="12040" width="10.28515625" style="16" bestFit="1" customWidth="1"/>
    <col min="12041" max="12041" width="7.140625" style="16" bestFit="1" customWidth="1"/>
    <col min="12042" max="12042" width="9" style="16" bestFit="1" customWidth="1"/>
    <col min="12043" max="12044" width="7" style="16" bestFit="1" customWidth="1"/>
    <col min="12045" max="12045" width="6.85546875" style="16" bestFit="1" customWidth="1"/>
    <col min="12046" max="12046" width="7" style="16" bestFit="1" customWidth="1"/>
    <col min="12047" max="12047" width="8" style="16" bestFit="1" customWidth="1"/>
    <col min="12048" max="12048" width="9.140625" style="16"/>
    <col min="12049" max="12049" width="10.140625" style="16" customWidth="1"/>
    <col min="12050" max="12052" width="9.140625" style="16"/>
    <col min="12053" max="12053" width="12.42578125" style="16" customWidth="1"/>
    <col min="12054" max="12054" width="9.140625" style="16"/>
    <col min="12055" max="12055" width="12" style="16" customWidth="1"/>
    <col min="12056" max="12288" width="9.140625" style="16"/>
    <col min="12289" max="12289" width="5" style="16" customWidth="1"/>
    <col min="12290" max="12290" width="19.140625" style="16" customWidth="1"/>
    <col min="12291" max="12291" width="11.140625" style="16" bestFit="1" customWidth="1"/>
    <col min="12292" max="12292" width="6.7109375" style="16" bestFit="1" customWidth="1"/>
    <col min="12293" max="12293" width="8.5703125" style="16" bestFit="1" customWidth="1"/>
    <col min="12294" max="12294" width="9.28515625" style="16" bestFit="1" customWidth="1"/>
    <col min="12295" max="12295" width="10.42578125" style="16" bestFit="1" customWidth="1"/>
    <col min="12296" max="12296" width="10.28515625" style="16" bestFit="1" customWidth="1"/>
    <col min="12297" max="12297" width="7.140625" style="16" bestFit="1" customWidth="1"/>
    <col min="12298" max="12298" width="9" style="16" bestFit="1" customWidth="1"/>
    <col min="12299" max="12300" width="7" style="16" bestFit="1" customWidth="1"/>
    <col min="12301" max="12301" width="6.85546875" style="16" bestFit="1" customWidth="1"/>
    <col min="12302" max="12302" width="7" style="16" bestFit="1" customWidth="1"/>
    <col min="12303" max="12303" width="8" style="16" bestFit="1" customWidth="1"/>
    <col min="12304" max="12304" width="9.140625" style="16"/>
    <col min="12305" max="12305" width="10.140625" style="16" customWidth="1"/>
    <col min="12306" max="12308" width="9.140625" style="16"/>
    <col min="12309" max="12309" width="12.42578125" style="16" customWidth="1"/>
    <col min="12310" max="12310" width="9.140625" style="16"/>
    <col min="12311" max="12311" width="12" style="16" customWidth="1"/>
    <col min="12312" max="12544" width="9.140625" style="16"/>
    <col min="12545" max="12545" width="5" style="16" customWidth="1"/>
    <col min="12546" max="12546" width="19.140625" style="16" customWidth="1"/>
    <col min="12547" max="12547" width="11.140625" style="16" bestFit="1" customWidth="1"/>
    <col min="12548" max="12548" width="6.7109375" style="16" bestFit="1" customWidth="1"/>
    <col min="12549" max="12549" width="8.5703125" style="16" bestFit="1" customWidth="1"/>
    <col min="12550" max="12550" width="9.28515625" style="16" bestFit="1" customWidth="1"/>
    <col min="12551" max="12551" width="10.42578125" style="16" bestFit="1" customWidth="1"/>
    <col min="12552" max="12552" width="10.28515625" style="16" bestFit="1" customWidth="1"/>
    <col min="12553" max="12553" width="7.140625" style="16" bestFit="1" customWidth="1"/>
    <col min="12554" max="12554" width="9" style="16" bestFit="1" customWidth="1"/>
    <col min="12555" max="12556" width="7" style="16" bestFit="1" customWidth="1"/>
    <col min="12557" max="12557" width="6.85546875" style="16" bestFit="1" customWidth="1"/>
    <col min="12558" max="12558" width="7" style="16" bestFit="1" customWidth="1"/>
    <col min="12559" max="12559" width="8" style="16" bestFit="1" customWidth="1"/>
    <col min="12560" max="12560" width="9.140625" style="16"/>
    <col min="12561" max="12561" width="10.140625" style="16" customWidth="1"/>
    <col min="12562" max="12564" width="9.140625" style="16"/>
    <col min="12565" max="12565" width="12.42578125" style="16" customWidth="1"/>
    <col min="12566" max="12566" width="9.140625" style="16"/>
    <col min="12567" max="12567" width="12" style="16" customWidth="1"/>
    <col min="12568" max="12800" width="9.140625" style="16"/>
    <col min="12801" max="12801" width="5" style="16" customWidth="1"/>
    <col min="12802" max="12802" width="19.140625" style="16" customWidth="1"/>
    <col min="12803" max="12803" width="11.140625" style="16" bestFit="1" customWidth="1"/>
    <col min="12804" max="12804" width="6.7109375" style="16" bestFit="1" customWidth="1"/>
    <col min="12805" max="12805" width="8.5703125" style="16" bestFit="1" customWidth="1"/>
    <col min="12806" max="12806" width="9.28515625" style="16" bestFit="1" customWidth="1"/>
    <col min="12807" max="12807" width="10.42578125" style="16" bestFit="1" customWidth="1"/>
    <col min="12808" max="12808" width="10.28515625" style="16" bestFit="1" customWidth="1"/>
    <col min="12809" max="12809" width="7.140625" style="16" bestFit="1" customWidth="1"/>
    <col min="12810" max="12810" width="9" style="16" bestFit="1" customWidth="1"/>
    <col min="12811" max="12812" width="7" style="16" bestFit="1" customWidth="1"/>
    <col min="12813" max="12813" width="6.85546875" style="16" bestFit="1" customWidth="1"/>
    <col min="12814" max="12814" width="7" style="16" bestFit="1" customWidth="1"/>
    <col min="12815" max="12815" width="8" style="16" bestFit="1" customWidth="1"/>
    <col min="12816" max="12816" width="9.140625" style="16"/>
    <col min="12817" max="12817" width="10.140625" style="16" customWidth="1"/>
    <col min="12818" max="12820" width="9.140625" style="16"/>
    <col min="12821" max="12821" width="12.42578125" style="16" customWidth="1"/>
    <col min="12822" max="12822" width="9.140625" style="16"/>
    <col min="12823" max="12823" width="12" style="16" customWidth="1"/>
    <col min="12824" max="13056" width="9.140625" style="16"/>
    <col min="13057" max="13057" width="5" style="16" customWidth="1"/>
    <col min="13058" max="13058" width="19.140625" style="16" customWidth="1"/>
    <col min="13059" max="13059" width="11.140625" style="16" bestFit="1" customWidth="1"/>
    <col min="13060" max="13060" width="6.7109375" style="16" bestFit="1" customWidth="1"/>
    <col min="13061" max="13061" width="8.5703125" style="16" bestFit="1" customWidth="1"/>
    <col min="13062" max="13062" width="9.28515625" style="16" bestFit="1" customWidth="1"/>
    <col min="13063" max="13063" width="10.42578125" style="16" bestFit="1" customWidth="1"/>
    <col min="13064" max="13064" width="10.28515625" style="16" bestFit="1" customWidth="1"/>
    <col min="13065" max="13065" width="7.140625" style="16" bestFit="1" customWidth="1"/>
    <col min="13066" max="13066" width="9" style="16" bestFit="1" customWidth="1"/>
    <col min="13067" max="13068" width="7" style="16" bestFit="1" customWidth="1"/>
    <col min="13069" max="13069" width="6.85546875" style="16" bestFit="1" customWidth="1"/>
    <col min="13070" max="13070" width="7" style="16" bestFit="1" customWidth="1"/>
    <col min="13071" max="13071" width="8" style="16" bestFit="1" customWidth="1"/>
    <col min="13072" max="13072" width="9.140625" style="16"/>
    <col min="13073" max="13073" width="10.140625" style="16" customWidth="1"/>
    <col min="13074" max="13076" width="9.140625" style="16"/>
    <col min="13077" max="13077" width="12.42578125" style="16" customWidth="1"/>
    <col min="13078" max="13078" width="9.140625" style="16"/>
    <col min="13079" max="13079" width="12" style="16" customWidth="1"/>
    <col min="13080" max="13312" width="9.140625" style="16"/>
    <col min="13313" max="13313" width="5" style="16" customWidth="1"/>
    <col min="13314" max="13314" width="19.140625" style="16" customWidth="1"/>
    <col min="13315" max="13315" width="11.140625" style="16" bestFit="1" customWidth="1"/>
    <col min="13316" max="13316" width="6.7109375" style="16" bestFit="1" customWidth="1"/>
    <col min="13317" max="13317" width="8.5703125" style="16" bestFit="1" customWidth="1"/>
    <col min="13318" max="13318" width="9.28515625" style="16" bestFit="1" customWidth="1"/>
    <col min="13319" max="13319" width="10.42578125" style="16" bestFit="1" customWidth="1"/>
    <col min="13320" max="13320" width="10.28515625" style="16" bestFit="1" customWidth="1"/>
    <col min="13321" max="13321" width="7.140625" style="16" bestFit="1" customWidth="1"/>
    <col min="13322" max="13322" width="9" style="16" bestFit="1" customWidth="1"/>
    <col min="13323" max="13324" width="7" style="16" bestFit="1" customWidth="1"/>
    <col min="13325" max="13325" width="6.85546875" style="16" bestFit="1" customWidth="1"/>
    <col min="13326" max="13326" width="7" style="16" bestFit="1" customWidth="1"/>
    <col min="13327" max="13327" width="8" style="16" bestFit="1" customWidth="1"/>
    <col min="13328" max="13328" width="9.140625" style="16"/>
    <col min="13329" max="13329" width="10.140625" style="16" customWidth="1"/>
    <col min="13330" max="13332" width="9.140625" style="16"/>
    <col min="13333" max="13333" width="12.42578125" style="16" customWidth="1"/>
    <col min="13334" max="13334" width="9.140625" style="16"/>
    <col min="13335" max="13335" width="12" style="16" customWidth="1"/>
    <col min="13336" max="13568" width="9.140625" style="16"/>
    <col min="13569" max="13569" width="5" style="16" customWidth="1"/>
    <col min="13570" max="13570" width="19.140625" style="16" customWidth="1"/>
    <col min="13571" max="13571" width="11.140625" style="16" bestFit="1" customWidth="1"/>
    <col min="13572" max="13572" width="6.7109375" style="16" bestFit="1" customWidth="1"/>
    <col min="13573" max="13573" width="8.5703125" style="16" bestFit="1" customWidth="1"/>
    <col min="13574" max="13574" width="9.28515625" style="16" bestFit="1" customWidth="1"/>
    <col min="13575" max="13575" width="10.42578125" style="16" bestFit="1" customWidth="1"/>
    <col min="13576" max="13576" width="10.28515625" style="16" bestFit="1" customWidth="1"/>
    <col min="13577" max="13577" width="7.140625" style="16" bestFit="1" customWidth="1"/>
    <col min="13578" max="13578" width="9" style="16" bestFit="1" customWidth="1"/>
    <col min="13579" max="13580" width="7" style="16" bestFit="1" customWidth="1"/>
    <col min="13581" max="13581" width="6.85546875" style="16" bestFit="1" customWidth="1"/>
    <col min="13582" max="13582" width="7" style="16" bestFit="1" customWidth="1"/>
    <col min="13583" max="13583" width="8" style="16" bestFit="1" customWidth="1"/>
    <col min="13584" max="13584" width="9.140625" style="16"/>
    <col min="13585" max="13585" width="10.140625" style="16" customWidth="1"/>
    <col min="13586" max="13588" width="9.140625" style="16"/>
    <col min="13589" max="13589" width="12.42578125" style="16" customWidth="1"/>
    <col min="13590" max="13590" width="9.140625" style="16"/>
    <col min="13591" max="13591" width="12" style="16" customWidth="1"/>
    <col min="13592" max="13824" width="9.140625" style="16"/>
    <col min="13825" max="13825" width="5" style="16" customWidth="1"/>
    <col min="13826" max="13826" width="19.140625" style="16" customWidth="1"/>
    <col min="13827" max="13827" width="11.140625" style="16" bestFit="1" customWidth="1"/>
    <col min="13828" max="13828" width="6.7109375" style="16" bestFit="1" customWidth="1"/>
    <col min="13829" max="13829" width="8.5703125" style="16" bestFit="1" customWidth="1"/>
    <col min="13830" max="13830" width="9.28515625" style="16" bestFit="1" customWidth="1"/>
    <col min="13831" max="13831" width="10.42578125" style="16" bestFit="1" customWidth="1"/>
    <col min="13832" max="13832" width="10.28515625" style="16" bestFit="1" customWidth="1"/>
    <col min="13833" max="13833" width="7.140625" style="16" bestFit="1" customWidth="1"/>
    <col min="13834" max="13834" width="9" style="16" bestFit="1" customWidth="1"/>
    <col min="13835" max="13836" width="7" style="16" bestFit="1" customWidth="1"/>
    <col min="13837" max="13837" width="6.85546875" style="16" bestFit="1" customWidth="1"/>
    <col min="13838" max="13838" width="7" style="16" bestFit="1" customWidth="1"/>
    <col min="13839" max="13839" width="8" style="16" bestFit="1" customWidth="1"/>
    <col min="13840" max="13840" width="9.140625" style="16"/>
    <col min="13841" max="13841" width="10.140625" style="16" customWidth="1"/>
    <col min="13842" max="13844" width="9.140625" style="16"/>
    <col min="13845" max="13845" width="12.42578125" style="16" customWidth="1"/>
    <col min="13846" max="13846" width="9.140625" style="16"/>
    <col min="13847" max="13847" width="12" style="16" customWidth="1"/>
    <col min="13848" max="14080" width="9.140625" style="16"/>
    <col min="14081" max="14081" width="5" style="16" customWidth="1"/>
    <col min="14082" max="14082" width="19.140625" style="16" customWidth="1"/>
    <col min="14083" max="14083" width="11.140625" style="16" bestFit="1" customWidth="1"/>
    <col min="14084" max="14084" width="6.7109375" style="16" bestFit="1" customWidth="1"/>
    <col min="14085" max="14085" width="8.5703125" style="16" bestFit="1" customWidth="1"/>
    <col min="14086" max="14086" width="9.28515625" style="16" bestFit="1" customWidth="1"/>
    <col min="14087" max="14087" width="10.42578125" style="16" bestFit="1" customWidth="1"/>
    <col min="14088" max="14088" width="10.28515625" style="16" bestFit="1" customWidth="1"/>
    <col min="14089" max="14089" width="7.140625" style="16" bestFit="1" customWidth="1"/>
    <col min="14090" max="14090" width="9" style="16" bestFit="1" customWidth="1"/>
    <col min="14091" max="14092" width="7" style="16" bestFit="1" customWidth="1"/>
    <col min="14093" max="14093" width="6.85546875" style="16" bestFit="1" customWidth="1"/>
    <col min="14094" max="14094" width="7" style="16" bestFit="1" customWidth="1"/>
    <col min="14095" max="14095" width="8" style="16" bestFit="1" customWidth="1"/>
    <col min="14096" max="14096" width="9.140625" style="16"/>
    <col min="14097" max="14097" width="10.140625" style="16" customWidth="1"/>
    <col min="14098" max="14100" width="9.140625" style="16"/>
    <col min="14101" max="14101" width="12.42578125" style="16" customWidth="1"/>
    <col min="14102" max="14102" width="9.140625" style="16"/>
    <col min="14103" max="14103" width="12" style="16" customWidth="1"/>
    <col min="14104" max="14336" width="9.140625" style="16"/>
    <col min="14337" max="14337" width="5" style="16" customWidth="1"/>
    <col min="14338" max="14338" width="19.140625" style="16" customWidth="1"/>
    <col min="14339" max="14339" width="11.140625" style="16" bestFit="1" customWidth="1"/>
    <col min="14340" max="14340" width="6.7109375" style="16" bestFit="1" customWidth="1"/>
    <col min="14341" max="14341" width="8.5703125" style="16" bestFit="1" customWidth="1"/>
    <col min="14342" max="14342" width="9.28515625" style="16" bestFit="1" customWidth="1"/>
    <col min="14343" max="14343" width="10.42578125" style="16" bestFit="1" customWidth="1"/>
    <col min="14344" max="14344" width="10.28515625" style="16" bestFit="1" customWidth="1"/>
    <col min="14345" max="14345" width="7.140625" style="16" bestFit="1" customWidth="1"/>
    <col min="14346" max="14346" width="9" style="16" bestFit="1" customWidth="1"/>
    <col min="14347" max="14348" width="7" style="16" bestFit="1" customWidth="1"/>
    <col min="14349" max="14349" width="6.85546875" style="16" bestFit="1" customWidth="1"/>
    <col min="14350" max="14350" width="7" style="16" bestFit="1" customWidth="1"/>
    <col min="14351" max="14351" width="8" style="16" bestFit="1" customWidth="1"/>
    <col min="14352" max="14352" width="9.140625" style="16"/>
    <col min="14353" max="14353" width="10.140625" style="16" customWidth="1"/>
    <col min="14354" max="14356" width="9.140625" style="16"/>
    <col min="14357" max="14357" width="12.42578125" style="16" customWidth="1"/>
    <col min="14358" max="14358" width="9.140625" style="16"/>
    <col min="14359" max="14359" width="12" style="16" customWidth="1"/>
    <col min="14360" max="14592" width="9.140625" style="16"/>
    <col min="14593" max="14593" width="5" style="16" customWidth="1"/>
    <col min="14594" max="14594" width="19.140625" style="16" customWidth="1"/>
    <col min="14595" max="14595" width="11.140625" style="16" bestFit="1" customWidth="1"/>
    <col min="14596" max="14596" width="6.7109375" style="16" bestFit="1" customWidth="1"/>
    <col min="14597" max="14597" width="8.5703125" style="16" bestFit="1" customWidth="1"/>
    <col min="14598" max="14598" width="9.28515625" style="16" bestFit="1" customWidth="1"/>
    <col min="14599" max="14599" width="10.42578125" style="16" bestFit="1" customWidth="1"/>
    <col min="14600" max="14600" width="10.28515625" style="16" bestFit="1" customWidth="1"/>
    <col min="14601" max="14601" width="7.140625" style="16" bestFit="1" customWidth="1"/>
    <col min="14602" max="14602" width="9" style="16" bestFit="1" customWidth="1"/>
    <col min="14603" max="14604" width="7" style="16" bestFit="1" customWidth="1"/>
    <col min="14605" max="14605" width="6.85546875" style="16" bestFit="1" customWidth="1"/>
    <col min="14606" max="14606" width="7" style="16" bestFit="1" customWidth="1"/>
    <col min="14607" max="14607" width="8" style="16" bestFit="1" customWidth="1"/>
    <col min="14608" max="14608" width="9.140625" style="16"/>
    <col min="14609" max="14609" width="10.140625" style="16" customWidth="1"/>
    <col min="14610" max="14612" width="9.140625" style="16"/>
    <col min="14613" max="14613" width="12.42578125" style="16" customWidth="1"/>
    <col min="14614" max="14614" width="9.140625" style="16"/>
    <col min="14615" max="14615" width="12" style="16" customWidth="1"/>
    <col min="14616" max="14848" width="9.140625" style="16"/>
    <col min="14849" max="14849" width="5" style="16" customWidth="1"/>
    <col min="14850" max="14850" width="19.140625" style="16" customWidth="1"/>
    <col min="14851" max="14851" width="11.140625" style="16" bestFit="1" customWidth="1"/>
    <col min="14852" max="14852" width="6.7109375" style="16" bestFit="1" customWidth="1"/>
    <col min="14853" max="14853" width="8.5703125" style="16" bestFit="1" customWidth="1"/>
    <col min="14854" max="14854" width="9.28515625" style="16" bestFit="1" customWidth="1"/>
    <col min="14855" max="14855" width="10.42578125" style="16" bestFit="1" customWidth="1"/>
    <col min="14856" max="14856" width="10.28515625" style="16" bestFit="1" customWidth="1"/>
    <col min="14857" max="14857" width="7.140625" style="16" bestFit="1" customWidth="1"/>
    <col min="14858" max="14858" width="9" style="16" bestFit="1" customWidth="1"/>
    <col min="14859" max="14860" width="7" style="16" bestFit="1" customWidth="1"/>
    <col min="14861" max="14861" width="6.85546875" style="16" bestFit="1" customWidth="1"/>
    <col min="14862" max="14862" width="7" style="16" bestFit="1" customWidth="1"/>
    <col min="14863" max="14863" width="8" style="16" bestFit="1" customWidth="1"/>
    <col min="14864" max="14864" width="9.140625" style="16"/>
    <col min="14865" max="14865" width="10.140625" style="16" customWidth="1"/>
    <col min="14866" max="14868" width="9.140625" style="16"/>
    <col min="14869" max="14869" width="12.42578125" style="16" customWidth="1"/>
    <col min="14870" max="14870" width="9.140625" style="16"/>
    <col min="14871" max="14871" width="12" style="16" customWidth="1"/>
    <col min="14872" max="15104" width="9.140625" style="16"/>
    <col min="15105" max="15105" width="5" style="16" customWidth="1"/>
    <col min="15106" max="15106" width="19.140625" style="16" customWidth="1"/>
    <col min="15107" max="15107" width="11.140625" style="16" bestFit="1" customWidth="1"/>
    <col min="15108" max="15108" width="6.7109375" style="16" bestFit="1" customWidth="1"/>
    <col min="15109" max="15109" width="8.5703125" style="16" bestFit="1" customWidth="1"/>
    <col min="15110" max="15110" width="9.28515625" style="16" bestFit="1" customWidth="1"/>
    <col min="15111" max="15111" width="10.42578125" style="16" bestFit="1" customWidth="1"/>
    <col min="15112" max="15112" width="10.28515625" style="16" bestFit="1" customWidth="1"/>
    <col min="15113" max="15113" width="7.140625" style="16" bestFit="1" customWidth="1"/>
    <col min="15114" max="15114" width="9" style="16" bestFit="1" customWidth="1"/>
    <col min="15115" max="15116" width="7" style="16" bestFit="1" customWidth="1"/>
    <col min="15117" max="15117" width="6.85546875" style="16" bestFit="1" customWidth="1"/>
    <col min="15118" max="15118" width="7" style="16" bestFit="1" customWidth="1"/>
    <col min="15119" max="15119" width="8" style="16" bestFit="1" customWidth="1"/>
    <col min="15120" max="15120" width="9.140625" style="16"/>
    <col min="15121" max="15121" width="10.140625" style="16" customWidth="1"/>
    <col min="15122" max="15124" width="9.140625" style="16"/>
    <col min="15125" max="15125" width="12.42578125" style="16" customWidth="1"/>
    <col min="15126" max="15126" width="9.140625" style="16"/>
    <col min="15127" max="15127" width="12" style="16" customWidth="1"/>
    <col min="15128" max="15360" width="9.140625" style="16"/>
    <col min="15361" max="15361" width="5" style="16" customWidth="1"/>
    <col min="15362" max="15362" width="19.140625" style="16" customWidth="1"/>
    <col min="15363" max="15363" width="11.140625" style="16" bestFit="1" customWidth="1"/>
    <col min="15364" max="15364" width="6.7109375" style="16" bestFit="1" customWidth="1"/>
    <col min="15365" max="15365" width="8.5703125" style="16" bestFit="1" customWidth="1"/>
    <col min="15366" max="15366" width="9.28515625" style="16" bestFit="1" customWidth="1"/>
    <col min="15367" max="15367" width="10.42578125" style="16" bestFit="1" customWidth="1"/>
    <col min="15368" max="15368" width="10.28515625" style="16" bestFit="1" customWidth="1"/>
    <col min="15369" max="15369" width="7.140625" style="16" bestFit="1" customWidth="1"/>
    <col min="15370" max="15370" width="9" style="16" bestFit="1" customWidth="1"/>
    <col min="15371" max="15372" width="7" style="16" bestFit="1" customWidth="1"/>
    <col min="15373" max="15373" width="6.85546875" style="16" bestFit="1" customWidth="1"/>
    <col min="15374" max="15374" width="7" style="16" bestFit="1" customWidth="1"/>
    <col min="15375" max="15375" width="8" style="16" bestFit="1" customWidth="1"/>
    <col min="15376" max="15376" width="9.140625" style="16"/>
    <col min="15377" max="15377" width="10.140625" style="16" customWidth="1"/>
    <col min="15378" max="15380" width="9.140625" style="16"/>
    <col min="15381" max="15381" width="12.42578125" style="16" customWidth="1"/>
    <col min="15382" max="15382" width="9.140625" style="16"/>
    <col min="15383" max="15383" width="12" style="16" customWidth="1"/>
    <col min="15384" max="15616" width="9.140625" style="16"/>
    <col min="15617" max="15617" width="5" style="16" customWidth="1"/>
    <col min="15618" max="15618" width="19.140625" style="16" customWidth="1"/>
    <col min="15619" max="15619" width="11.140625" style="16" bestFit="1" customWidth="1"/>
    <col min="15620" max="15620" width="6.7109375" style="16" bestFit="1" customWidth="1"/>
    <col min="15621" max="15621" width="8.5703125" style="16" bestFit="1" customWidth="1"/>
    <col min="15622" max="15622" width="9.28515625" style="16" bestFit="1" customWidth="1"/>
    <col min="15623" max="15623" width="10.42578125" style="16" bestFit="1" customWidth="1"/>
    <col min="15624" max="15624" width="10.28515625" style="16" bestFit="1" customWidth="1"/>
    <col min="15625" max="15625" width="7.140625" style="16" bestFit="1" customWidth="1"/>
    <col min="15626" max="15626" width="9" style="16" bestFit="1" customWidth="1"/>
    <col min="15627" max="15628" width="7" style="16" bestFit="1" customWidth="1"/>
    <col min="15629" max="15629" width="6.85546875" style="16" bestFit="1" customWidth="1"/>
    <col min="15630" max="15630" width="7" style="16" bestFit="1" customWidth="1"/>
    <col min="15631" max="15631" width="8" style="16" bestFit="1" customWidth="1"/>
    <col min="15632" max="15632" width="9.140625" style="16"/>
    <col min="15633" max="15633" width="10.140625" style="16" customWidth="1"/>
    <col min="15634" max="15636" width="9.140625" style="16"/>
    <col min="15637" max="15637" width="12.42578125" style="16" customWidth="1"/>
    <col min="15638" max="15638" width="9.140625" style="16"/>
    <col min="15639" max="15639" width="12" style="16" customWidth="1"/>
    <col min="15640" max="15872" width="9.140625" style="16"/>
    <col min="15873" max="15873" width="5" style="16" customWidth="1"/>
    <col min="15874" max="15874" width="19.140625" style="16" customWidth="1"/>
    <col min="15875" max="15875" width="11.140625" style="16" bestFit="1" customWidth="1"/>
    <col min="15876" max="15876" width="6.7109375" style="16" bestFit="1" customWidth="1"/>
    <col min="15877" max="15877" width="8.5703125" style="16" bestFit="1" customWidth="1"/>
    <col min="15878" max="15878" width="9.28515625" style="16" bestFit="1" customWidth="1"/>
    <col min="15879" max="15879" width="10.42578125" style="16" bestFit="1" customWidth="1"/>
    <col min="15880" max="15880" width="10.28515625" style="16" bestFit="1" customWidth="1"/>
    <col min="15881" max="15881" width="7.140625" style="16" bestFit="1" customWidth="1"/>
    <col min="15882" max="15882" width="9" style="16" bestFit="1" customWidth="1"/>
    <col min="15883" max="15884" width="7" style="16" bestFit="1" customWidth="1"/>
    <col min="15885" max="15885" width="6.85546875" style="16" bestFit="1" customWidth="1"/>
    <col min="15886" max="15886" width="7" style="16" bestFit="1" customWidth="1"/>
    <col min="15887" max="15887" width="8" style="16" bestFit="1" customWidth="1"/>
    <col min="15888" max="15888" width="9.140625" style="16"/>
    <col min="15889" max="15889" width="10.140625" style="16" customWidth="1"/>
    <col min="15890" max="15892" width="9.140625" style="16"/>
    <col min="15893" max="15893" width="12.42578125" style="16" customWidth="1"/>
    <col min="15894" max="15894" width="9.140625" style="16"/>
    <col min="15895" max="15895" width="12" style="16" customWidth="1"/>
    <col min="15896" max="16128" width="9.140625" style="16"/>
    <col min="16129" max="16129" width="5" style="16" customWidth="1"/>
    <col min="16130" max="16130" width="19.140625" style="16" customWidth="1"/>
    <col min="16131" max="16131" width="11.140625" style="16" bestFit="1" customWidth="1"/>
    <col min="16132" max="16132" width="6.7109375" style="16" bestFit="1" customWidth="1"/>
    <col min="16133" max="16133" width="8.5703125" style="16" bestFit="1" customWidth="1"/>
    <col min="16134" max="16134" width="9.28515625" style="16" bestFit="1" customWidth="1"/>
    <col min="16135" max="16135" width="10.42578125" style="16" bestFit="1" customWidth="1"/>
    <col min="16136" max="16136" width="10.28515625" style="16" bestFit="1" customWidth="1"/>
    <col min="16137" max="16137" width="7.140625" style="16" bestFit="1" customWidth="1"/>
    <col min="16138" max="16138" width="9" style="16" bestFit="1" customWidth="1"/>
    <col min="16139" max="16140" width="7" style="16" bestFit="1" customWidth="1"/>
    <col min="16141" max="16141" width="6.85546875" style="16" bestFit="1" customWidth="1"/>
    <col min="16142" max="16142" width="7" style="16" bestFit="1" customWidth="1"/>
    <col min="16143" max="16143" width="8" style="16" bestFit="1" customWidth="1"/>
    <col min="16144" max="16144" width="9.140625" style="16"/>
    <col min="16145" max="16145" width="10.140625" style="16" customWidth="1"/>
    <col min="16146" max="16148" width="9.140625" style="16"/>
    <col min="16149" max="16149" width="12.42578125" style="16" customWidth="1"/>
    <col min="16150" max="16150" width="9.140625" style="16"/>
    <col min="16151" max="16151" width="12" style="16" customWidth="1"/>
    <col min="16152" max="16384" width="9.140625" style="16"/>
  </cols>
  <sheetData>
    <row r="1" spans="1:17" s="1" customFormat="1" x14ac:dyDescent="0.2">
      <c r="A1" s="867" t="s">
        <v>449</v>
      </c>
      <c r="B1" s="868"/>
      <c r="C1" s="868"/>
      <c r="D1" s="869"/>
      <c r="E1" s="868"/>
      <c r="F1" s="868"/>
      <c r="G1" s="867" t="s">
        <v>102</v>
      </c>
      <c r="H1" s="869"/>
      <c r="I1" s="869" t="s">
        <v>747</v>
      </c>
      <c r="J1" s="868"/>
      <c r="K1" s="868"/>
      <c r="L1" s="870"/>
      <c r="M1" s="870"/>
      <c r="N1" s="870"/>
      <c r="O1" s="870"/>
    </row>
    <row r="2" spans="1:17" s="1" customFormat="1" x14ac:dyDescent="0.2">
      <c r="A2" s="867" t="s">
        <v>103</v>
      </c>
      <c r="B2" s="868"/>
      <c r="C2" s="868"/>
      <c r="D2" s="869" t="s">
        <v>843</v>
      </c>
      <c r="E2" s="868"/>
      <c r="F2" s="868"/>
      <c r="G2" s="867" t="s">
        <v>104</v>
      </c>
      <c r="H2" s="869"/>
      <c r="I2" s="869" t="s">
        <v>105</v>
      </c>
      <c r="J2" s="868"/>
      <c r="K2" s="868"/>
      <c r="L2" s="870"/>
      <c r="M2" s="870"/>
      <c r="N2" s="870"/>
      <c r="O2" s="870"/>
    </row>
    <row r="3" spans="1:17" s="1" customFormat="1" x14ac:dyDescent="0.2">
      <c r="A3" s="867" t="s">
        <v>106</v>
      </c>
      <c r="B3" s="868"/>
      <c r="C3" s="868"/>
      <c r="D3" s="883" t="s">
        <v>844</v>
      </c>
      <c r="E3" s="868"/>
      <c r="F3" s="868"/>
      <c r="G3" s="867" t="s">
        <v>107</v>
      </c>
      <c r="H3" s="869"/>
      <c r="I3" s="869" t="s">
        <v>108</v>
      </c>
      <c r="J3" s="868"/>
      <c r="K3" s="868"/>
      <c r="L3" s="870"/>
      <c r="M3" s="870"/>
      <c r="N3" s="870"/>
      <c r="O3" s="870"/>
    </row>
    <row r="4" spans="1:17" s="1" customFormat="1" x14ac:dyDescent="0.2">
      <c r="A4" s="867" t="s">
        <v>476</v>
      </c>
      <c r="B4" s="868"/>
      <c r="C4" s="868"/>
      <c r="D4" s="869" t="s">
        <v>845</v>
      </c>
      <c r="E4" s="868"/>
      <c r="F4" s="868"/>
      <c r="G4" s="867" t="s">
        <v>110</v>
      </c>
      <c r="H4" s="869"/>
      <c r="I4" s="869" t="s">
        <v>419</v>
      </c>
      <c r="J4" s="868"/>
      <c r="K4" s="868"/>
      <c r="L4" s="870"/>
      <c r="M4" s="870"/>
      <c r="N4" s="870"/>
      <c r="O4" s="870"/>
    </row>
    <row r="5" spans="1:17" s="1" customFormat="1" x14ac:dyDescent="0.2">
      <c r="A5" s="867" t="s">
        <v>112</v>
      </c>
      <c r="B5" s="868"/>
      <c r="C5" s="868"/>
      <c r="D5" s="869" t="s">
        <v>846</v>
      </c>
      <c r="E5" s="868"/>
      <c r="F5" s="868"/>
      <c r="G5" s="867"/>
      <c r="H5" s="868"/>
      <c r="I5" s="869" t="s">
        <v>113</v>
      </c>
      <c r="J5" s="868"/>
      <c r="K5" s="868"/>
      <c r="L5" s="870"/>
      <c r="M5" s="870"/>
      <c r="N5" s="870"/>
      <c r="O5" s="870"/>
    </row>
    <row r="6" spans="1:17" s="1" customFormat="1" x14ac:dyDescent="0.2">
      <c r="A6" s="871" t="s">
        <v>114</v>
      </c>
      <c r="B6" s="872"/>
      <c r="C6" s="1097"/>
      <c r="D6" s="1098" t="s">
        <v>748</v>
      </c>
      <c r="E6" s="1098"/>
      <c r="F6" s="1098"/>
      <c r="G6" s="1099" t="s">
        <v>115</v>
      </c>
      <c r="H6" s="1099"/>
      <c r="I6" s="316" t="s">
        <v>116</v>
      </c>
      <c r="J6" s="1100"/>
      <c r="K6" s="1100"/>
      <c r="L6" s="1100"/>
      <c r="M6" s="1100"/>
      <c r="N6" s="1100"/>
      <c r="O6" s="1101"/>
    </row>
    <row r="7" spans="1:17" s="1" customFormat="1" ht="13.5" thickBot="1" x14ac:dyDescent="0.25">
      <c r="A7" s="45"/>
      <c r="B7" s="5"/>
      <c r="C7" s="317"/>
      <c r="D7" s="318"/>
      <c r="E7" s="319"/>
      <c r="F7" s="318"/>
      <c r="G7" s="318"/>
      <c r="H7" s="320"/>
      <c r="I7" s="318"/>
      <c r="J7" s="318"/>
      <c r="K7" s="321"/>
      <c r="L7" s="319"/>
      <c r="M7" s="321"/>
      <c r="N7" s="321"/>
      <c r="O7" s="321"/>
    </row>
    <row r="8" spans="1:17" s="11" customFormat="1" x14ac:dyDescent="0.2">
      <c r="A8" s="876" t="str">
        <f>I1</f>
        <v>Mr. Sam Sebastian</v>
      </c>
      <c r="B8" s="1102"/>
      <c r="C8" s="9">
        <v>43160</v>
      </c>
      <c r="D8" s="9">
        <v>43191</v>
      </c>
      <c r="E8" s="9">
        <v>43221</v>
      </c>
      <c r="F8" s="9">
        <v>43252</v>
      </c>
      <c r="G8" s="9">
        <v>43282</v>
      </c>
      <c r="H8" s="9">
        <v>43313</v>
      </c>
      <c r="I8" s="9">
        <v>43344</v>
      </c>
      <c r="J8" s="9">
        <v>43374</v>
      </c>
      <c r="K8" s="9">
        <v>43405</v>
      </c>
      <c r="L8" s="9">
        <v>43435</v>
      </c>
      <c r="M8" s="9">
        <v>43466</v>
      </c>
      <c r="N8" s="9">
        <v>43497</v>
      </c>
      <c r="O8" s="10" t="s">
        <v>117</v>
      </c>
      <c r="Q8" s="11" t="s">
        <v>116</v>
      </c>
    </row>
    <row r="9" spans="1:17" ht="15" x14ac:dyDescent="0.2">
      <c r="A9" s="12"/>
      <c r="B9" s="322" t="s">
        <v>118</v>
      </c>
      <c r="C9" s="14">
        <v>90300</v>
      </c>
      <c r="D9" s="14">
        <f t="shared" ref="D9:F10" si="0">+C9</f>
        <v>90300</v>
      </c>
      <c r="E9" s="14">
        <f t="shared" si="0"/>
        <v>90300</v>
      </c>
      <c r="F9" s="14">
        <f t="shared" si="0"/>
        <v>90300</v>
      </c>
      <c r="G9" s="14">
        <v>93000</v>
      </c>
      <c r="H9" s="14">
        <v>93000</v>
      </c>
      <c r="I9" s="14">
        <v>93000</v>
      </c>
      <c r="J9" s="14">
        <v>93000</v>
      </c>
      <c r="K9" s="14">
        <v>93000</v>
      </c>
      <c r="L9" s="14">
        <v>93000</v>
      </c>
      <c r="M9" s="14">
        <v>93000</v>
      </c>
      <c r="N9" s="14">
        <v>93000</v>
      </c>
      <c r="O9" s="15">
        <f>SUM(C9:N9)</f>
        <v>1105200</v>
      </c>
      <c r="Q9" s="16" t="s">
        <v>222</v>
      </c>
    </row>
    <row r="10" spans="1:17" ht="15" x14ac:dyDescent="0.2">
      <c r="A10" s="12"/>
      <c r="B10" s="322" t="s">
        <v>119</v>
      </c>
      <c r="C10" s="17">
        <v>0</v>
      </c>
      <c r="D10" s="17">
        <f t="shared" si="0"/>
        <v>0</v>
      </c>
      <c r="E10" s="17">
        <f t="shared" si="0"/>
        <v>0</v>
      </c>
      <c r="F10" s="17">
        <f t="shared" si="0"/>
        <v>0</v>
      </c>
      <c r="G10" s="17">
        <f>+F10</f>
        <v>0</v>
      </c>
      <c r="H10" s="17">
        <v>0</v>
      </c>
      <c r="I10" s="17">
        <f>+H10</f>
        <v>0</v>
      </c>
      <c r="J10" s="17">
        <v>0</v>
      </c>
      <c r="K10" s="17">
        <v>0</v>
      </c>
      <c r="L10" s="17">
        <f>+K10</f>
        <v>0</v>
      </c>
      <c r="M10" s="17">
        <f>+L10</f>
        <v>0</v>
      </c>
      <c r="N10" s="17">
        <f>+M10</f>
        <v>0</v>
      </c>
      <c r="O10" s="15">
        <f>SUM(C10:N10)</f>
        <v>0</v>
      </c>
    </row>
    <row r="11" spans="1:17" ht="15" x14ac:dyDescent="0.2">
      <c r="A11" s="12"/>
      <c r="B11" s="322" t="s">
        <v>120</v>
      </c>
      <c r="C11" s="147">
        <v>4515</v>
      </c>
      <c r="D11" s="147">
        <v>6321</v>
      </c>
      <c r="E11" s="147">
        <v>6321</v>
      </c>
      <c r="F11" s="147">
        <v>6321</v>
      </c>
      <c r="G11" s="147">
        <v>6510</v>
      </c>
      <c r="H11" s="147">
        <v>6510</v>
      </c>
      <c r="I11" s="147">
        <v>6510</v>
      </c>
      <c r="J11" s="147">
        <v>8370</v>
      </c>
      <c r="K11" s="147">
        <v>8370</v>
      </c>
      <c r="L11" s="147">
        <v>8370</v>
      </c>
      <c r="M11" s="147">
        <v>8370</v>
      </c>
      <c r="N11" s="147">
        <v>8370</v>
      </c>
      <c r="O11" s="15">
        <f t="shared" ref="O11:O36" si="1">SUM(C11:N11)</f>
        <v>84858</v>
      </c>
    </row>
    <row r="12" spans="1:17" ht="15" hidden="1" x14ac:dyDescent="0.2">
      <c r="A12" s="12"/>
      <c r="B12" s="322" t="s">
        <v>121</v>
      </c>
      <c r="C12" s="147">
        <v>0</v>
      </c>
      <c r="D12" s="17">
        <f t="shared" ref="D12:J12" si="2">+C12</f>
        <v>0</v>
      </c>
      <c r="E12" s="17">
        <v>0</v>
      </c>
      <c r="F12" s="17">
        <f t="shared" si="2"/>
        <v>0</v>
      </c>
      <c r="G12" s="17">
        <f t="shared" si="2"/>
        <v>0</v>
      </c>
      <c r="H12" s="17">
        <f t="shared" si="2"/>
        <v>0</v>
      </c>
      <c r="I12" s="17">
        <f t="shared" si="2"/>
        <v>0</v>
      </c>
      <c r="J12" s="17">
        <f t="shared" si="2"/>
        <v>0</v>
      </c>
      <c r="K12" s="17">
        <f>+J12</f>
        <v>0</v>
      </c>
      <c r="L12" s="17">
        <f>+K12</f>
        <v>0</v>
      </c>
      <c r="M12" s="17">
        <f>+L12</f>
        <v>0</v>
      </c>
      <c r="N12" s="17">
        <f>+M12</f>
        <v>0</v>
      </c>
      <c r="O12" s="15">
        <f t="shared" si="1"/>
        <v>0</v>
      </c>
    </row>
    <row r="13" spans="1:17" ht="15" hidden="1" x14ac:dyDescent="0.2">
      <c r="A13" s="12"/>
      <c r="B13" s="322" t="s">
        <v>122</v>
      </c>
      <c r="C13" s="17">
        <v>0</v>
      </c>
      <c r="D13" s="17">
        <v>0</v>
      </c>
      <c r="E13" s="17">
        <v>0</v>
      </c>
      <c r="F13" s="17">
        <v>0</v>
      </c>
      <c r="G13" s="17">
        <v>0</v>
      </c>
      <c r="H13" s="17">
        <v>0</v>
      </c>
      <c r="I13" s="17">
        <v>0</v>
      </c>
      <c r="J13" s="147">
        <v>0</v>
      </c>
      <c r="K13" s="147">
        <v>0</v>
      </c>
      <c r="L13" s="147">
        <v>0</v>
      </c>
      <c r="M13" s="147">
        <v>0</v>
      </c>
      <c r="N13" s="147">
        <v>0</v>
      </c>
      <c r="O13" s="15">
        <f t="shared" si="1"/>
        <v>0</v>
      </c>
    </row>
    <row r="14" spans="1:17" ht="15" x14ac:dyDescent="0.2">
      <c r="A14" s="12"/>
      <c r="B14" s="322" t="s">
        <v>123</v>
      </c>
      <c r="C14" s="147">
        <v>7560</v>
      </c>
      <c r="D14" s="147">
        <v>7704</v>
      </c>
      <c r="E14" s="147">
        <v>7704</v>
      </c>
      <c r="F14" s="147">
        <v>7704</v>
      </c>
      <c r="G14" s="147">
        <v>7704</v>
      </c>
      <c r="H14" s="147">
        <v>7704</v>
      </c>
      <c r="I14" s="147">
        <v>7704</v>
      </c>
      <c r="J14" s="147">
        <v>7848</v>
      </c>
      <c r="K14" s="147">
        <v>7848</v>
      </c>
      <c r="L14" s="147">
        <v>7848</v>
      </c>
      <c r="M14" s="147">
        <v>7848</v>
      </c>
      <c r="N14" s="147">
        <v>7848</v>
      </c>
      <c r="O14" s="15">
        <f t="shared" si="1"/>
        <v>93024</v>
      </c>
    </row>
    <row r="15" spans="1:17" ht="15" hidden="1" x14ac:dyDescent="0.2">
      <c r="A15" s="12"/>
      <c r="B15" s="322" t="s">
        <v>124</v>
      </c>
      <c r="C15" s="17">
        <v>0</v>
      </c>
      <c r="D15" s="17">
        <v>0</v>
      </c>
      <c r="E15" s="17">
        <v>0</v>
      </c>
      <c r="F15" s="17">
        <v>0</v>
      </c>
      <c r="G15" s="17">
        <v>0</v>
      </c>
      <c r="H15" s="17">
        <v>0</v>
      </c>
      <c r="I15" s="17">
        <v>0</v>
      </c>
      <c r="J15" s="147">
        <v>0</v>
      </c>
      <c r="K15" s="147">
        <v>0</v>
      </c>
      <c r="L15" s="147">
        <v>0</v>
      </c>
      <c r="M15" s="147">
        <v>0</v>
      </c>
      <c r="N15" s="147">
        <v>0</v>
      </c>
      <c r="O15" s="15">
        <f t="shared" si="1"/>
        <v>0</v>
      </c>
    </row>
    <row r="16" spans="1:17" ht="15" hidden="1" x14ac:dyDescent="0.2">
      <c r="A16" s="12"/>
      <c r="B16" s="322" t="s">
        <v>125</v>
      </c>
      <c r="C16" s="17">
        <v>0</v>
      </c>
      <c r="D16" s="17">
        <f t="shared" ref="D16:N16" si="3">+C16</f>
        <v>0</v>
      </c>
      <c r="E16" s="17">
        <f t="shared" si="3"/>
        <v>0</v>
      </c>
      <c r="F16" s="17">
        <f t="shared" si="3"/>
        <v>0</v>
      </c>
      <c r="G16" s="17">
        <f t="shared" si="3"/>
        <v>0</v>
      </c>
      <c r="H16" s="17">
        <f t="shared" si="3"/>
        <v>0</v>
      </c>
      <c r="I16" s="17">
        <f t="shared" si="3"/>
        <v>0</v>
      </c>
      <c r="J16" s="17">
        <f t="shared" si="3"/>
        <v>0</v>
      </c>
      <c r="K16" s="17">
        <f t="shared" si="3"/>
        <v>0</v>
      </c>
      <c r="L16" s="17">
        <f t="shared" si="3"/>
        <v>0</v>
      </c>
      <c r="M16" s="17">
        <f t="shared" si="3"/>
        <v>0</v>
      </c>
      <c r="N16" s="17">
        <f t="shared" si="3"/>
        <v>0</v>
      </c>
      <c r="O16" s="15">
        <f t="shared" si="1"/>
        <v>0</v>
      </c>
    </row>
    <row r="17" spans="1:15" ht="15" hidden="1" x14ac:dyDescent="0.2">
      <c r="A17" s="12"/>
      <c r="B17" s="322" t="s">
        <v>126</v>
      </c>
      <c r="C17" s="17">
        <v>0</v>
      </c>
      <c r="D17" s="17">
        <v>0</v>
      </c>
      <c r="E17" s="17">
        <v>0</v>
      </c>
      <c r="F17" s="17">
        <v>0</v>
      </c>
      <c r="G17" s="17">
        <v>0</v>
      </c>
      <c r="H17" s="17">
        <v>0</v>
      </c>
      <c r="I17" s="17">
        <v>0</v>
      </c>
      <c r="J17" s="147">
        <v>0</v>
      </c>
      <c r="K17" s="147">
        <v>0</v>
      </c>
      <c r="L17" s="147">
        <v>0</v>
      </c>
      <c r="M17" s="147">
        <v>0</v>
      </c>
      <c r="N17" s="147">
        <v>0</v>
      </c>
      <c r="O17" s="15">
        <f t="shared" si="1"/>
        <v>0</v>
      </c>
    </row>
    <row r="18" spans="1:15" ht="15" x14ac:dyDescent="0.2">
      <c r="A18" s="12"/>
      <c r="B18" s="322" t="s">
        <v>127</v>
      </c>
      <c r="C18" s="17">
        <v>0</v>
      </c>
      <c r="D18" s="17">
        <v>0</v>
      </c>
      <c r="E18" s="17">
        <v>0</v>
      </c>
      <c r="F18" s="17">
        <v>0</v>
      </c>
      <c r="G18" s="17">
        <v>0</v>
      </c>
      <c r="H18" s="17">
        <v>0</v>
      </c>
      <c r="I18" s="17">
        <v>0</v>
      </c>
      <c r="J18" s="147">
        <v>0</v>
      </c>
      <c r="K18" s="147">
        <v>0</v>
      </c>
      <c r="L18" s="147">
        <v>0</v>
      </c>
      <c r="M18" s="147">
        <v>0</v>
      </c>
      <c r="N18" s="147">
        <v>0</v>
      </c>
      <c r="O18" s="15">
        <f t="shared" si="1"/>
        <v>0</v>
      </c>
    </row>
    <row r="19" spans="1:15" ht="15" x14ac:dyDescent="0.2">
      <c r="A19" s="12"/>
      <c r="B19" s="322" t="s">
        <v>128</v>
      </c>
      <c r="C19" s="147">
        <v>0</v>
      </c>
      <c r="D19" s="147">
        <v>0</v>
      </c>
      <c r="E19" s="147">
        <v>0</v>
      </c>
      <c r="F19" s="147">
        <v>0</v>
      </c>
      <c r="G19" s="147">
        <v>0</v>
      </c>
      <c r="H19" s="147">
        <v>0</v>
      </c>
      <c r="I19" s="147">
        <v>0</v>
      </c>
      <c r="J19" s="147">
        <v>0</v>
      </c>
      <c r="K19" s="147">
        <v>0</v>
      </c>
      <c r="L19" s="147">
        <v>0</v>
      </c>
      <c r="M19" s="147">
        <v>0</v>
      </c>
      <c r="N19" s="147">
        <v>0</v>
      </c>
      <c r="O19" s="15">
        <f t="shared" si="1"/>
        <v>0</v>
      </c>
    </row>
    <row r="20" spans="1:15" ht="15" customHeight="1" x14ac:dyDescent="0.2">
      <c r="A20" s="12"/>
      <c r="B20" s="322" t="s">
        <v>129</v>
      </c>
      <c r="C20" s="28">
        <v>0</v>
      </c>
      <c r="D20" s="28">
        <v>0</v>
      </c>
      <c r="E20" s="28">
        <v>0</v>
      </c>
      <c r="F20" s="28">
        <v>0</v>
      </c>
      <c r="G20" s="28">
        <v>0</v>
      </c>
      <c r="H20" s="28">
        <v>52500</v>
      </c>
      <c r="I20" s="28">
        <v>0</v>
      </c>
      <c r="J20" s="28">
        <v>0</v>
      </c>
      <c r="K20" s="28">
        <v>0</v>
      </c>
      <c r="L20" s="28">
        <v>0</v>
      </c>
      <c r="M20" s="28">
        <v>0</v>
      </c>
      <c r="N20" s="28">
        <v>0</v>
      </c>
      <c r="O20" s="15">
        <f t="shared" si="1"/>
        <v>52500</v>
      </c>
    </row>
    <row r="21" spans="1:15" ht="15" hidden="1" customHeight="1" x14ac:dyDescent="0.2">
      <c r="A21" s="878" t="s">
        <v>130</v>
      </c>
      <c r="B21" s="323" t="s">
        <v>131</v>
      </c>
      <c r="C21" s="28">
        <v>0</v>
      </c>
      <c r="D21" s="28">
        <v>0</v>
      </c>
      <c r="E21" s="28">
        <v>0</v>
      </c>
      <c r="F21" s="28">
        <v>0</v>
      </c>
      <c r="G21" s="28">
        <v>0</v>
      </c>
      <c r="H21" s="28">
        <v>0</v>
      </c>
      <c r="I21" s="28">
        <v>0</v>
      </c>
      <c r="J21" s="28">
        <v>0</v>
      </c>
      <c r="K21" s="28">
        <v>0</v>
      </c>
      <c r="L21" s="28">
        <v>0</v>
      </c>
      <c r="M21" s="28">
        <v>0</v>
      </c>
      <c r="N21" s="28">
        <v>0</v>
      </c>
      <c r="O21" s="15">
        <f t="shared" si="1"/>
        <v>0</v>
      </c>
    </row>
    <row r="22" spans="1:15" ht="15" customHeight="1" x14ac:dyDescent="0.2">
      <c r="A22" s="879"/>
      <c r="B22" s="323" t="s">
        <v>132</v>
      </c>
      <c r="C22" s="28">
        <v>0</v>
      </c>
      <c r="D22" s="28">
        <v>0</v>
      </c>
      <c r="E22" s="28">
        <v>0</v>
      </c>
      <c r="F22" s="28">
        <v>0</v>
      </c>
      <c r="G22" s="28">
        <v>0</v>
      </c>
      <c r="H22" s="28">
        <v>0</v>
      </c>
      <c r="I22" s="28">
        <v>0</v>
      </c>
      <c r="J22" s="28">
        <v>6908</v>
      </c>
      <c r="K22" s="28">
        <v>0</v>
      </c>
      <c r="L22" s="28">
        <v>0</v>
      </c>
      <c r="M22" s="28">
        <v>0</v>
      </c>
      <c r="N22" s="28">
        <v>0</v>
      </c>
      <c r="O22" s="15">
        <f t="shared" si="1"/>
        <v>6908</v>
      </c>
    </row>
    <row r="23" spans="1:15" ht="15" hidden="1" customHeight="1" x14ac:dyDescent="0.2">
      <c r="A23" s="879"/>
      <c r="B23" s="323" t="s">
        <v>133</v>
      </c>
      <c r="C23" s="28">
        <v>0</v>
      </c>
      <c r="D23" s="28">
        <v>0</v>
      </c>
      <c r="E23" s="28">
        <v>0</v>
      </c>
      <c r="F23" s="28">
        <v>0</v>
      </c>
      <c r="G23" s="28">
        <v>0</v>
      </c>
      <c r="H23" s="28">
        <v>0</v>
      </c>
      <c r="I23" s="28">
        <v>0</v>
      </c>
      <c r="J23" s="28">
        <v>0</v>
      </c>
      <c r="K23" s="28">
        <v>0</v>
      </c>
      <c r="L23" s="28">
        <v>0</v>
      </c>
      <c r="M23" s="28">
        <v>0</v>
      </c>
      <c r="N23" s="28">
        <v>0</v>
      </c>
      <c r="O23" s="15">
        <f t="shared" si="1"/>
        <v>0</v>
      </c>
    </row>
    <row r="24" spans="1:15" ht="15" hidden="1" customHeight="1" x14ac:dyDescent="0.2">
      <c r="A24" s="879"/>
      <c r="B24" s="323" t="s">
        <v>134</v>
      </c>
      <c r="C24" s="28">
        <v>0</v>
      </c>
      <c r="D24" s="28">
        <v>0</v>
      </c>
      <c r="E24" s="28">
        <v>0</v>
      </c>
      <c r="F24" s="28">
        <v>0</v>
      </c>
      <c r="G24" s="28">
        <v>0</v>
      </c>
      <c r="H24" s="28">
        <v>0</v>
      </c>
      <c r="I24" s="28">
        <v>0</v>
      </c>
      <c r="J24" s="28">
        <v>0</v>
      </c>
      <c r="K24" s="28">
        <v>0</v>
      </c>
      <c r="L24" s="28">
        <v>0</v>
      </c>
      <c r="M24" s="28">
        <v>0</v>
      </c>
      <c r="N24" s="28">
        <v>0</v>
      </c>
      <c r="O24" s="15">
        <f t="shared" si="1"/>
        <v>0</v>
      </c>
    </row>
    <row r="25" spans="1:15" ht="15" hidden="1" customHeight="1" x14ac:dyDescent="0.2">
      <c r="A25" s="879"/>
      <c r="B25" s="323" t="s">
        <v>135</v>
      </c>
      <c r="C25" s="28">
        <v>0</v>
      </c>
      <c r="D25" s="28">
        <v>0</v>
      </c>
      <c r="E25" s="28">
        <v>0</v>
      </c>
      <c r="F25" s="28">
        <v>0</v>
      </c>
      <c r="G25" s="28">
        <v>0</v>
      </c>
      <c r="H25" s="28">
        <v>0</v>
      </c>
      <c r="I25" s="28">
        <v>0</v>
      </c>
      <c r="J25" s="28">
        <v>0</v>
      </c>
      <c r="K25" s="28">
        <v>0</v>
      </c>
      <c r="L25" s="28">
        <v>0</v>
      </c>
      <c r="M25" s="28">
        <v>0</v>
      </c>
      <c r="N25" s="28">
        <v>0</v>
      </c>
      <c r="O25" s="15">
        <f t="shared" si="1"/>
        <v>0</v>
      </c>
    </row>
    <row r="26" spans="1:15" ht="15" hidden="1" customHeight="1" x14ac:dyDescent="0.2">
      <c r="A26" s="879"/>
      <c r="B26" s="323" t="s">
        <v>136</v>
      </c>
      <c r="C26" s="28">
        <v>0</v>
      </c>
      <c r="D26" s="28">
        <v>0</v>
      </c>
      <c r="E26" s="28">
        <v>0</v>
      </c>
      <c r="F26" s="28">
        <v>0</v>
      </c>
      <c r="G26" s="28">
        <v>0</v>
      </c>
      <c r="H26" s="28">
        <v>0</v>
      </c>
      <c r="I26" s="28">
        <v>0</v>
      </c>
      <c r="J26" s="28">
        <v>0</v>
      </c>
      <c r="K26" s="28">
        <v>0</v>
      </c>
      <c r="L26" s="28">
        <v>0</v>
      </c>
      <c r="M26" s="28">
        <v>0</v>
      </c>
      <c r="N26" s="28">
        <v>0</v>
      </c>
      <c r="O26" s="15">
        <f t="shared" si="1"/>
        <v>0</v>
      </c>
    </row>
    <row r="27" spans="1:15" ht="15" hidden="1" customHeight="1" x14ac:dyDescent="0.2">
      <c r="A27" s="879"/>
      <c r="B27" s="323" t="s">
        <v>137</v>
      </c>
      <c r="C27" s="28">
        <v>0</v>
      </c>
      <c r="D27" s="28">
        <v>0</v>
      </c>
      <c r="E27" s="28">
        <v>0</v>
      </c>
      <c r="F27" s="28">
        <v>0</v>
      </c>
      <c r="G27" s="28">
        <v>0</v>
      </c>
      <c r="H27" s="28">
        <v>0</v>
      </c>
      <c r="I27" s="28">
        <v>0</v>
      </c>
      <c r="J27" s="28">
        <v>0</v>
      </c>
      <c r="K27" s="28">
        <v>0</v>
      </c>
      <c r="L27" s="28">
        <v>0</v>
      </c>
      <c r="M27" s="28">
        <v>0</v>
      </c>
      <c r="N27" s="28">
        <v>0</v>
      </c>
      <c r="O27" s="15">
        <f t="shared" si="1"/>
        <v>0</v>
      </c>
    </row>
    <row r="28" spans="1:15" ht="15" hidden="1" customHeight="1" x14ac:dyDescent="0.2">
      <c r="A28" s="879"/>
      <c r="B28" s="323" t="s">
        <v>138</v>
      </c>
      <c r="C28" s="28">
        <v>0</v>
      </c>
      <c r="D28" s="28">
        <v>0</v>
      </c>
      <c r="E28" s="28">
        <v>0</v>
      </c>
      <c r="F28" s="28">
        <v>0</v>
      </c>
      <c r="G28" s="28">
        <v>0</v>
      </c>
      <c r="H28" s="28">
        <v>0</v>
      </c>
      <c r="I28" s="28">
        <v>0</v>
      </c>
      <c r="J28" s="28">
        <v>0</v>
      </c>
      <c r="K28" s="28">
        <v>0</v>
      </c>
      <c r="L28" s="28">
        <v>0</v>
      </c>
      <c r="M28" s="28">
        <v>0</v>
      </c>
      <c r="N28" s="28">
        <v>0</v>
      </c>
      <c r="O28" s="15">
        <f t="shared" si="1"/>
        <v>0</v>
      </c>
    </row>
    <row r="29" spans="1:15" ht="15" hidden="1" customHeight="1" x14ac:dyDescent="0.2">
      <c r="A29" s="879"/>
      <c r="B29" s="323" t="s">
        <v>139</v>
      </c>
      <c r="C29" s="28">
        <v>0</v>
      </c>
      <c r="D29" s="28">
        <v>0</v>
      </c>
      <c r="E29" s="28">
        <v>0</v>
      </c>
      <c r="F29" s="28">
        <v>0</v>
      </c>
      <c r="G29" s="28">
        <v>0</v>
      </c>
      <c r="H29" s="28">
        <v>0</v>
      </c>
      <c r="I29" s="28">
        <v>0</v>
      </c>
      <c r="J29" s="28">
        <v>0</v>
      </c>
      <c r="K29" s="28">
        <v>0</v>
      </c>
      <c r="L29" s="28">
        <v>0</v>
      </c>
      <c r="M29" s="28">
        <v>0</v>
      </c>
      <c r="N29" s="28">
        <v>0</v>
      </c>
      <c r="O29" s="15">
        <f t="shared" si="1"/>
        <v>0</v>
      </c>
    </row>
    <row r="30" spans="1:15" ht="15" hidden="1" customHeight="1" x14ac:dyDescent="0.2">
      <c r="A30" s="879"/>
      <c r="B30" s="323" t="s">
        <v>140</v>
      </c>
      <c r="C30" s="28">
        <v>0</v>
      </c>
      <c r="D30" s="28">
        <v>0</v>
      </c>
      <c r="E30" s="28">
        <v>0</v>
      </c>
      <c r="F30" s="28">
        <v>0</v>
      </c>
      <c r="G30" s="28">
        <v>0</v>
      </c>
      <c r="H30" s="28">
        <v>0</v>
      </c>
      <c r="I30" s="28">
        <v>0</v>
      </c>
      <c r="J30" s="28">
        <v>0</v>
      </c>
      <c r="K30" s="28">
        <v>0</v>
      </c>
      <c r="L30" s="28">
        <v>0</v>
      </c>
      <c r="M30" s="28">
        <v>0</v>
      </c>
      <c r="N30" s="28">
        <v>0</v>
      </c>
      <c r="O30" s="15">
        <f t="shared" si="1"/>
        <v>0</v>
      </c>
    </row>
    <row r="31" spans="1:15" ht="15" hidden="1" customHeight="1" x14ac:dyDescent="0.2">
      <c r="A31" s="879"/>
      <c r="B31" s="323" t="s">
        <v>225</v>
      </c>
      <c r="C31" s="28">
        <v>0</v>
      </c>
      <c r="D31" s="28">
        <v>0</v>
      </c>
      <c r="E31" s="28">
        <v>0</v>
      </c>
      <c r="F31" s="28">
        <v>0</v>
      </c>
      <c r="G31" s="28">
        <v>0</v>
      </c>
      <c r="H31" s="28">
        <v>0</v>
      </c>
      <c r="I31" s="28">
        <v>0</v>
      </c>
      <c r="J31" s="28">
        <v>0</v>
      </c>
      <c r="K31" s="28">
        <v>0</v>
      </c>
      <c r="L31" s="28">
        <v>0</v>
      </c>
      <c r="M31" s="28">
        <v>0</v>
      </c>
      <c r="N31" s="28">
        <v>0</v>
      </c>
      <c r="O31" s="15">
        <f t="shared" si="1"/>
        <v>0</v>
      </c>
    </row>
    <row r="32" spans="1:15" ht="15" customHeight="1" x14ac:dyDescent="0.2">
      <c r="A32" s="879"/>
      <c r="B32" s="324" t="s">
        <v>142</v>
      </c>
      <c r="C32" s="28">
        <v>0</v>
      </c>
      <c r="D32" s="28">
        <v>0</v>
      </c>
      <c r="E32" s="28">
        <v>0</v>
      </c>
      <c r="F32" s="28">
        <v>0</v>
      </c>
      <c r="G32" s="28">
        <v>0</v>
      </c>
      <c r="H32" s="28">
        <v>0</v>
      </c>
      <c r="I32" s="28">
        <v>0</v>
      </c>
      <c r="J32" s="28">
        <v>0</v>
      </c>
      <c r="K32" s="28">
        <v>0</v>
      </c>
      <c r="L32" s="28">
        <v>0</v>
      </c>
      <c r="M32" s="28">
        <v>0</v>
      </c>
      <c r="N32" s="28">
        <v>0</v>
      </c>
      <c r="O32" s="15">
        <f t="shared" si="1"/>
        <v>0</v>
      </c>
    </row>
    <row r="33" spans="1:16" ht="15" customHeight="1" x14ac:dyDescent="0.2">
      <c r="A33" s="880"/>
      <c r="B33" s="324" t="s">
        <v>246</v>
      </c>
      <c r="C33" s="28">
        <v>0</v>
      </c>
      <c r="D33" s="28">
        <v>0</v>
      </c>
      <c r="E33" s="28">
        <v>0</v>
      </c>
      <c r="F33" s="28">
        <v>0</v>
      </c>
      <c r="G33" s="28">
        <v>0</v>
      </c>
      <c r="H33" s="28">
        <v>0</v>
      </c>
      <c r="I33" s="28">
        <v>0</v>
      </c>
      <c r="J33" s="28">
        <v>0</v>
      </c>
      <c r="K33" s="28">
        <v>0</v>
      </c>
      <c r="L33" s="28">
        <v>0</v>
      </c>
      <c r="M33" s="28">
        <v>0</v>
      </c>
      <c r="N33" s="28">
        <v>0</v>
      </c>
      <c r="O33" s="15">
        <f t="shared" si="1"/>
        <v>0</v>
      </c>
    </row>
    <row r="34" spans="1:16" ht="15" customHeight="1" x14ac:dyDescent="0.2">
      <c r="A34" s="865" t="s">
        <v>144</v>
      </c>
      <c r="B34" s="1103"/>
      <c r="C34" s="28">
        <v>0</v>
      </c>
      <c r="D34" s="28">
        <v>0</v>
      </c>
      <c r="E34" s="28">
        <v>0</v>
      </c>
      <c r="F34" s="28">
        <v>0</v>
      </c>
      <c r="G34" s="28">
        <v>0</v>
      </c>
      <c r="H34" s="28">
        <v>0</v>
      </c>
      <c r="I34" s="28">
        <v>0</v>
      </c>
      <c r="J34" s="28">
        <v>0</v>
      </c>
      <c r="K34" s="28">
        <v>0</v>
      </c>
      <c r="L34" s="28">
        <v>0</v>
      </c>
      <c r="M34" s="28">
        <v>0</v>
      </c>
      <c r="N34" s="28">
        <v>0</v>
      </c>
      <c r="O34" s="15">
        <f t="shared" si="1"/>
        <v>0</v>
      </c>
    </row>
    <row r="35" spans="1:16" ht="15" customHeight="1" x14ac:dyDescent="0.2">
      <c r="A35" s="865" t="s">
        <v>145</v>
      </c>
      <c r="B35" s="1103"/>
      <c r="C35" s="28">
        <v>0</v>
      </c>
      <c r="D35" s="28">
        <v>432</v>
      </c>
      <c r="E35" s="28">
        <v>0</v>
      </c>
      <c r="F35" s="28">
        <v>0</v>
      </c>
      <c r="G35" s="28">
        <v>0</v>
      </c>
      <c r="H35" s="28">
        <v>0</v>
      </c>
      <c r="I35" s="28">
        <v>0</v>
      </c>
      <c r="J35" s="28">
        <v>432</v>
      </c>
      <c r="K35" s="28">
        <v>0</v>
      </c>
      <c r="L35" s="28">
        <v>0</v>
      </c>
      <c r="M35" s="28">
        <v>0</v>
      </c>
      <c r="N35" s="28">
        <v>0</v>
      </c>
      <c r="O35" s="15">
        <f t="shared" si="1"/>
        <v>864</v>
      </c>
    </row>
    <row r="36" spans="1:16" ht="15" customHeight="1" x14ac:dyDescent="0.2">
      <c r="A36" s="865" t="s">
        <v>146</v>
      </c>
      <c r="B36" s="866"/>
      <c r="C36" s="325">
        <v>0</v>
      </c>
      <c r="D36" s="325">
        <v>5418</v>
      </c>
      <c r="E36" s="325">
        <v>0</v>
      </c>
      <c r="F36" s="325">
        <v>0</v>
      </c>
      <c r="G36" s="325">
        <v>0</v>
      </c>
      <c r="H36" s="325">
        <v>0</v>
      </c>
      <c r="I36" s="325">
        <v>0</v>
      </c>
      <c r="J36" s="325">
        <v>5580</v>
      </c>
      <c r="K36" s="325">
        <v>0</v>
      </c>
      <c r="L36" s="325">
        <v>0</v>
      </c>
      <c r="M36" s="325">
        <v>0</v>
      </c>
      <c r="N36" s="325">
        <v>0</v>
      </c>
      <c r="O36" s="15">
        <f t="shared" si="1"/>
        <v>10998</v>
      </c>
    </row>
    <row r="37" spans="1:16" ht="15" customHeight="1" x14ac:dyDescent="0.2">
      <c r="A37" s="22"/>
      <c r="B37" s="23" t="s">
        <v>147</v>
      </c>
      <c r="C37" s="326">
        <f t="shared" ref="C37:N37" si="4">SUM(C9:C36)</f>
        <v>102375</v>
      </c>
      <c r="D37" s="326">
        <f t="shared" si="4"/>
        <v>110175</v>
      </c>
      <c r="E37" s="326">
        <f t="shared" si="4"/>
        <v>104325</v>
      </c>
      <c r="F37" s="326">
        <f t="shared" si="4"/>
        <v>104325</v>
      </c>
      <c r="G37" s="326">
        <f t="shared" si="4"/>
        <v>107214</v>
      </c>
      <c r="H37" s="326">
        <f t="shared" si="4"/>
        <v>159714</v>
      </c>
      <c r="I37" s="326">
        <f t="shared" si="4"/>
        <v>107214</v>
      </c>
      <c r="J37" s="326">
        <f t="shared" si="4"/>
        <v>122138</v>
      </c>
      <c r="K37" s="24">
        <f t="shared" si="4"/>
        <v>109218</v>
      </c>
      <c r="L37" s="24">
        <f t="shared" si="4"/>
        <v>109218</v>
      </c>
      <c r="M37" s="24">
        <f t="shared" si="4"/>
        <v>109218</v>
      </c>
      <c r="N37" s="24">
        <f t="shared" si="4"/>
        <v>109218</v>
      </c>
      <c r="O37" s="15">
        <v>1105324</v>
      </c>
    </row>
    <row r="38" spans="1:16" ht="15" customHeight="1" x14ac:dyDescent="0.2">
      <c r="A38" s="853" t="s">
        <v>148</v>
      </c>
      <c r="B38" s="27" t="s">
        <v>149</v>
      </c>
      <c r="C38" s="147">
        <v>7000</v>
      </c>
      <c r="D38" s="147">
        <v>8000</v>
      </c>
      <c r="E38" s="147">
        <v>2000</v>
      </c>
      <c r="F38" s="147">
        <v>2000</v>
      </c>
      <c r="G38" s="147">
        <v>2000</v>
      </c>
      <c r="H38" s="147">
        <v>2000</v>
      </c>
      <c r="I38" s="147">
        <v>2000</v>
      </c>
      <c r="J38" s="147">
        <v>2000</v>
      </c>
      <c r="K38" s="147">
        <v>0</v>
      </c>
      <c r="L38" s="147">
        <v>0</v>
      </c>
      <c r="M38" s="147">
        <v>0</v>
      </c>
      <c r="N38" s="147">
        <v>0</v>
      </c>
      <c r="O38" s="147">
        <f>SUM(C38:N38)</f>
        <v>27000</v>
      </c>
      <c r="P38" s="29"/>
    </row>
    <row r="39" spans="1:16" ht="15" x14ac:dyDescent="0.2">
      <c r="A39" s="854"/>
      <c r="B39" s="27" t="s">
        <v>150</v>
      </c>
      <c r="C39" s="147">
        <v>0</v>
      </c>
      <c r="D39" s="147">
        <v>0</v>
      </c>
      <c r="E39" s="147">
        <v>0</v>
      </c>
      <c r="F39" s="147">
        <v>0</v>
      </c>
      <c r="G39" s="147">
        <v>0</v>
      </c>
      <c r="H39" s="147">
        <v>0</v>
      </c>
      <c r="I39" s="147">
        <v>0</v>
      </c>
      <c r="J39" s="147">
        <v>0</v>
      </c>
      <c r="K39" s="147">
        <v>0</v>
      </c>
      <c r="L39" s="147">
        <v>0</v>
      </c>
      <c r="M39" s="147">
        <v>0</v>
      </c>
      <c r="N39" s="147">
        <v>0</v>
      </c>
      <c r="O39" s="18">
        <f>SUM(C39:N39)</f>
        <v>0</v>
      </c>
    </row>
    <row r="40" spans="1:16" ht="15" x14ac:dyDescent="0.2">
      <c r="A40" s="854"/>
      <c r="B40" s="27" t="s">
        <v>151</v>
      </c>
      <c r="C40" s="147">
        <v>60</v>
      </c>
      <c r="D40" s="147">
        <f t="shared" ref="D40:N48" si="5">C40</f>
        <v>60</v>
      </c>
      <c r="E40" s="147">
        <f t="shared" si="5"/>
        <v>60</v>
      </c>
      <c r="F40" s="147">
        <f t="shared" si="5"/>
        <v>60</v>
      </c>
      <c r="G40" s="147">
        <f t="shared" si="5"/>
        <v>60</v>
      </c>
      <c r="H40" s="147">
        <f t="shared" si="5"/>
        <v>60</v>
      </c>
      <c r="I40" s="147">
        <f t="shared" si="5"/>
        <v>60</v>
      </c>
      <c r="J40" s="147">
        <f t="shared" si="5"/>
        <v>60</v>
      </c>
      <c r="K40" s="147">
        <f t="shared" si="5"/>
        <v>60</v>
      </c>
      <c r="L40" s="147">
        <f t="shared" si="5"/>
        <v>60</v>
      </c>
      <c r="M40" s="147">
        <f t="shared" si="5"/>
        <v>60</v>
      </c>
      <c r="N40" s="147">
        <f t="shared" si="5"/>
        <v>60</v>
      </c>
      <c r="O40" s="18">
        <f t="shared" ref="O40:O49" si="6">SUM(C40:N40)</f>
        <v>720</v>
      </c>
    </row>
    <row r="41" spans="1:16" ht="15" x14ac:dyDescent="0.2">
      <c r="A41" s="854"/>
      <c r="B41" s="27" t="s">
        <v>152</v>
      </c>
      <c r="C41" s="147">
        <v>0</v>
      </c>
      <c r="D41" s="147">
        <f t="shared" si="5"/>
        <v>0</v>
      </c>
      <c r="E41" s="147">
        <f t="shared" si="5"/>
        <v>0</v>
      </c>
      <c r="F41" s="147">
        <f t="shared" si="5"/>
        <v>0</v>
      </c>
      <c r="G41" s="147">
        <f t="shared" si="5"/>
        <v>0</v>
      </c>
      <c r="H41" s="147">
        <f t="shared" si="5"/>
        <v>0</v>
      </c>
      <c r="I41" s="147">
        <f t="shared" si="5"/>
        <v>0</v>
      </c>
      <c r="J41" s="147">
        <f t="shared" ref="J41:J48" si="7">+I41</f>
        <v>0</v>
      </c>
      <c r="K41" s="147">
        <f t="shared" si="5"/>
        <v>0</v>
      </c>
      <c r="L41" s="147">
        <f t="shared" si="5"/>
        <v>0</v>
      </c>
      <c r="M41" s="147">
        <f t="shared" si="5"/>
        <v>0</v>
      </c>
      <c r="N41" s="147">
        <f t="shared" si="5"/>
        <v>0</v>
      </c>
      <c r="O41" s="18">
        <f t="shared" si="6"/>
        <v>0</v>
      </c>
    </row>
    <row r="42" spans="1:16" ht="15" x14ac:dyDescent="0.2">
      <c r="A42" s="854"/>
      <c r="B42" s="27" t="s">
        <v>153</v>
      </c>
      <c r="C42" s="28">
        <v>650</v>
      </c>
      <c r="D42" s="28">
        <f t="shared" si="5"/>
        <v>650</v>
      </c>
      <c r="E42" s="28">
        <f t="shared" si="5"/>
        <v>650</v>
      </c>
      <c r="F42" s="28">
        <f t="shared" si="5"/>
        <v>650</v>
      </c>
      <c r="G42" s="28">
        <f t="shared" si="5"/>
        <v>650</v>
      </c>
      <c r="H42" s="28">
        <f t="shared" si="5"/>
        <v>650</v>
      </c>
      <c r="I42" s="28">
        <f t="shared" si="5"/>
        <v>650</v>
      </c>
      <c r="J42" s="28">
        <f t="shared" si="5"/>
        <v>650</v>
      </c>
      <c r="K42" s="28">
        <f t="shared" si="5"/>
        <v>650</v>
      </c>
      <c r="L42" s="28">
        <f t="shared" si="5"/>
        <v>650</v>
      </c>
      <c r="M42" s="28">
        <v>650</v>
      </c>
      <c r="N42" s="28">
        <f t="shared" si="5"/>
        <v>650</v>
      </c>
      <c r="O42" s="18">
        <f t="shared" si="6"/>
        <v>7800</v>
      </c>
    </row>
    <row r="43" spans="1:16" ht="15" x14ac:dyDescent="0.2">
      <c r="A43" s="854"/>
      <c r="B43" s="27" t="s">
        <v>154</v>
      </c>
      <c r="C43" s="28">
        <v>5500</v>
      </c>
      <c r="D43" s="28">
        <f t="shared" si="5"/>
        <v>5500</v>
      </c>
      <c r="E43" s="28">
        <f t="shared" si="5"/>
        <v>5500</v>
      </c>
      <c r="F43" s="28">
        <f t="shared" si="5"/>
        <v>5500</v>
      </c>
      <c r="G43" s="28">
        <f t="shared" si="5"/>
        <v>5500</v>
      </c>
      <c r="H43" s="28">
        <v>5500</v>
      </c>
      <c r="I43" s="28">
        <f t="shared" si="5"/>
        <v>5500</v>
      </c>
      <c r="J43" s="28">
        <f t="shared" si="5"/>
        <v>5500</v>
      </c>
      <c r="K43" s="28">
        <f t="shared" si="5"/>
        <v>5500</v>
      </c>
      <c r="L43" s="28">
        <f t="shared" si="5"/>
        <v>5500</v>
      </c>
      <c r="M43" s="28">
        <f t="shared" si="5"/>
        <v>5500</v>
      </c>
      <c r="N43" s="28">
        <f t="shared" si="5"/>
        <v>5500</v>
      </c>
      <c r="O43" s="18">
        <f t="shared" si="6"/>
        <v>66000</v>
      </c>
    </row>
    <row r="44" spans="1:16" ht="15" x14ac:dyDescent="0.2">
      <c r="A44" s="854"/>
      <c r="B44" s="27" t="s">
        <v>155</v>
      </c>
      <c r="C44" s="28">
        <v>200</v>
      </c>
      <c r="D44" s="28">
        <f t="shared" si="5"/>
        <v>200</v>
      </c>
      <c r="E44" s="28">
        <f t="shared" si="5"/>
        <v>200</v>
      </c>
      <c r="F44" s="28">
        <f t="shared" si="5"/>
        <v>200</v>
      </c>
      <c r="G44" s="28">
        <f t="shared" si="5"/>
        <v>200</v>
      </c>
      <c r="H44" s="28">
        <f t="shared" si="5"/>
        <v>200</v>
      </c>
      <c r="I44" s="28">
        <f t="shared" si="5"/>
        <v>200</v>
      </c>
      <c r="J44" s="28">
        <f t="shared" si="5"/>
        <v>200</v>
      </c>
      <c r="K44" s="28">
        <f t="shared" si="5"/>
        <v>200</v>
      </c>
      <c r="L44" s="28">
        <f t="shared" si="5"/>
        <v>200</v>
      </c>
      <c r="M44" s="28">
        <f t="shared" si="5"/>
        <v>200</v>
      </c>
      <c r="N44" s="28">
        <v>300</v>
      </c>
      <c r="O44" s="18">
        <f t="shared" si="6"/>
        <v>2500</v>
      </c>
    </row>
    <row r="45" spans="1:16" ht="15" x14ac:dyDescent="0.2">
      <c r="A45" s="854"/>
      <c r="B45" s="27" t="s">
        <v>156</v>
      </c>
      <c r="C45" s="28">
        <v>588</v>
      </c>
      <c r="D45" s="28">
        <f t="shared" si="5"/>
        <v>588</v>
      </c>
      <c r="E45" s="28">
        <f t="shared" si="5"/>
        <v>588</v>
      </c>
      <c r="F45" s="28">
        <f t="shared" si="5"/>
        <v>588</v>
      </c>
      <c r="G45" s="28">
        <f t="shared" si="5"/>
        <v>588</v>
      </c>
      <c r="H45" s="28">
        <f t="shared" si="5"/>
        <v>588</v>
      </c>
      <c r="I45" s="28">
        <f t="shared" si="5"/>
        <v>588</v>
      </c>
      <c r="J45" s="28">
        <f t="shared" si="7"/>
        <v>588</v>
      </c>
      <c r="K45" s="28">
        <f t="shared" si="5"/>
        <v>588</v>
      </c>
      <c r="L45" s="28">
        <f t="shared" si="5"/>
        <v>588</v>
      </c>
      <c r="M45" s="28">
        <f t="shared" si="5"/>
        <v>588</v>
      </c>
      <c r="N45" s="28">
        <f t="shared" si="5"/>
        <v>588</v>
      </c>
      <c r="O45" s="18">
        <f t="shared" si="6"/>
        <v>7056</v>
      </c>
    </row>
    <row r="46" spans="1:16" ht="15" x14ac:dyDescent="0.2">
      <c r="A46" s="854"/>
      <c r="B46" s="27" t="s">
        <v>157</v>
      </c>
      <c r="C46" s="28">
        <v>0</v>
      </c>
      <c r="D46" s="28">
        <f t="shared" si="5"/>
        <v>0</v>
      </c>
      <c r="E46" s="28">
        <f t="shared" si="5"/>
        <v>0</v>
      </c>
      <c r="F46" s="28">
        <f t="shared" si="5"/>
        <v>0</v>
      </c>
      <c r="G46" s="28">
        <f t="shared" si="5"/>
        <v>0</v>
      </c>
      <c r="H46" s="28">
        <f t="shared" si="5"/>
        <v>0</v>
      </c>
      <c r="I46" s="28">
        <f t="shared" si="5"/>
        <v>0</v>
      </c>
      <c r="J46" s="28">
        <f t="shared" si="7"/>
        <v>0</v>
      </c>
      <c r="K46" s="28">
        <f t="shared" si="5"/>
        <v>0</v>
      </c>
      <c r="L46" s="28">
        <f t="shared" si="5"/>
        <v>0</v>
      </c>
      <c r="M46" s="28">
        <f t="shared" si="5"/>
        <v>0</v>
      </c>
      <c r="N46" s="28">
        <f t="shared" si="5"/>
        <v>0</v>
      </c>
      <c r="O46" s="18">
        <f t="shared" si="6"/>
        <v>0</v>
      </c>
    </row>
    <row r="47" spans="1:16" ht="28.5" customHeight="1" x14ac:dyDescent="0.2">
      <c r="A47" s="855"/>
      <c r="B47" s="30" t="s">
        <v>158</v>
      </c>
      <c r="C47" s="256">
        <v>0</v>
      </c>
      <c r="D47" s="256">
        <f t="shared" si="5"/>
        <v>0</v>
      </c>
      <c r="E47" s="256">
        <v>0</v>
      </c>
      <c r="F47" s="256">
        <f t="shared" si="5"/>
        <v>0</v>
      </c>
      <c r="G47" s="256">
        <f t="shared" si="5"/>
        <v>0</v>
      </c>
      <c r="H47" s="256">
        <f t="shared" si="5"/>
        <v>0</v>
      </c>
      <c r="I47" s="256">
        <f t="shared" si="5"/>
        <v>0</v>
      </c>
      <c r="J47" s="256">
        <f t="shared" si="7"/>
        <v>0</v>
      </c>
      <c r="K47" s="256">
        <f t="shared" si="5"/>
        <v>0</v>
      </c>
      <c r="L47" s="256">
        <f t="shared" si="5"/>
        <v>0</v>
      </c>
      <c r="M47" s="256">
        <f t="shared" si="5"/>
        <v>0</v>
      </c>
      <c r="N47" s="256">
        <f t="shared" si="5"/>
        <v>0</v>
      </c>
      <c r="O47" s="31">
        <f t="shared" si="6"/>
        <v>0</v>
      </c>
    </row>
    <row r="48" spans="1:16" ht="15" x14ac:dyDescent="0.2">
      <c r="A48" s="856"/>
      <c r="B48" s="127" t="s">
        <v>847</v>
      </c>
      <c r="C48" s="293">
        <v>0</v>
      </c>
      <c r="D48" s="293">
        <v>0</v>
      </c>
      <c r="E48" s="293">
        <v>0</v>
      </c>
      <c r="F48" s="293">
        <v>0</v>
      </c>
      <c r="G48" s="293">
        <f t="shared" si="5"/>
        <v>0</v>
      </c>
      <c r="H48" s="293">
        <f t="shared" si="5"/>
        <v>0</v>
      </c>
      <c r="I48" s="293">
        <f t="shared" si="5"/>
        <v>0</v>
      </c>
      <c r="J48" s="293">
        <f t="shared" si="7"/>
        <v>0</v>
      </c>
      <c r="K48" s="293">
        <f t="shared" si="5"/>
        <v>0</v>
      </c>
      <c r="L48" s="293">
        <f t="shared" si="5"/>
        <v>0</v>
      </c>
      <c r="M48" s="293">
        <f t="shared" si="5"/>
        <v>0</v>
      </c>
      <c r="N48" s="293">
        <f t="shared" si="5"/>
        <v>0</v>
      </c>
      <c r="O48" s="31">
        <f t="shared" si="6"/>
        <v>0</v>
      </c>
    </row>
    <row r="49" spans="1:19" ht="15" x14ac:dyDescent="0.2">
      <c r="A49" s="857" t="s">
        <v>160</v>
      </c>
      <c r="B49" s="858"/>
      <c r="C49" s="33">
        <f t="shared" ref="C49:N49" si="8">SUM(C38:C48)</f>
        <v>13998</v>
      </c>
      <c r="D49" s="33">
        <f t="shared" si="8"/>
        <v>14998</v>
      </c>
      <c r="E49" s="33">
        <f t="shared" si="8"/>
        <v>8998</v>
      </c>
      <c r="F49" s="33">
        <f t="shared" si="8"/>
        <v>8998</v>
      </c>
      <c r="G49" s="33">
        <f t="shared" si="8"/>
        <v>8998</v>
      </c>
      <c r="H49" s="33">
        <f t="shared" si="8"/>
        <v>8998</v>
      </c>
      <c r="I49" s="33">
        <f t="shared" si="8"/>
        <v>8998</v>
      </c>
      <c r="J49" s="33">
        <f t="shared" si="8"/>
        <v>8998</v>
      </c>
      <c r="K49" s="33">
        <f t="shared" si="8"/>
        <v>6998</v>
      </c>
      <c r="L49" s="33">
        <f t="shared" si="8"/>
        <v>6998</v>
      </c>
      <c r="M49" s="33">
        <f t="shared" si="8"/>
        <v>6998</v>
      </c>
      <c r="N49" s="33">
        <f t="shared" si="8"/>
        <v>7098</v>
      </c>
      <c r="O49" s="34">
        <f t="shared" si="6"/>
        <v>111076</v>
      </c>
    </row>
    <row r="50" spans="1:19" ht="15.75" thickBot="1" x14ac:dyDescent="0.25">
      <c r="A50" s="859" t="s">
        <v>161</v>
      </c>
      <c r="B50" s="860"/>
      <c r="C50" s="35">
        <f t="shared" ref="C50:N50" si="9">C37-C49</f>
        <v>88377</v>
      </c>
      <c r="D50" s="35">
        <f t="shared" si="9"/>
        <v>95177</v>
      </c>
      <c r="E50" s="35">
        <f t="shared" si="9"/>
        <v>95327</v>
      </c>
      <c r="F50" s="35">
        <f t="shared" si="9"/>
        <v>95327</v>
      </c>
      <c r="G50" s="35">
        <f t="shared" si="9"/>
        <v>98216</v>
      </c>
      <c r="H50" s="35">
        <f t="shared" si="9"/>
        <v>150716</v>
      </c>
      <c r="I50" s="35">
        <f t="shared" si="9"/>
        <v>98216</v>
      </c>
      <c r="J50" s="35">
        <f t="shared" si="9"/>
        <v>113140</v>
      </c>
      <c r="K50" s="327">
        <f t="shared" si="9"/>
        <v>102220</v>
      </c>
      <c r="L50" s="328">
        <f t="shared" si="9"/>
        <v>102220</v>
      </c>
      <c r="M50" s="35">
        <f t="shared" si="9"/>
        <v>102220</v>
      </c>
      <c r="N50" s="35">
        <f t="shared" si="9"/>
        <v>102120</v>
      </c>
      <c r="O50" s="36">
        <v>987128</v>
      </c>
    </row>
    <row r="51" spans="1:19" x14ac:dyDescent="0.2">
      <c r="J51" s="16">
        <f>+J37-SUM(J20:J36)</f>
        <v>109218</v>
      </c>
      <c r="Q51" s="38"/>
    </row>
    <row r="52" spans="1:19" ht="13.5" thickBot="1" x14ac:dyDescent="0.25">
      <c r="J52" s="38">
        <f>+J51-J49</f>
        <v>100220</v>
      </c>
    </row>
    <row r="53" spans="1:19" ht="13.5" thickBot="1" x14ac:dyDescent="0.25">
      <c r="B53" s="789" t="s">
        <v>162</v>
      </c>
      <c r="C53" s="861"/>
      <c r="D53" s="861"/>
      <c r="E53" s="861"/>
      <c r="F53" s="862"/>
      <c r="G53" s="863">
        <f>O37</f>
        <v>1105324</v>
      </c>
      <c r="H53" s="864"/>
    </row>
    <row r="54" spans="1:19" ht="13.5" thickBot="1" x14ac:dyDescent="0.25"/>
    <row r="55" spans="1:19" x14ac:dyDescent="0.2">
      <c r="B55" s="830" t="s">
        <v>163</v>
      </c>
      <c r="C55" s="833" t="s">
        <v>164</v>
      </c>
      <c r="D55" s="836" t="s">
        <v>165</v>
      </c>
      <c r="E55" s="837"/>
      <c r="F55" s="838"/>
      <c r="G55" s="839">
        <v>0</v>
      </c>
      <c r="H55" s="840"/>
    </row>
    <row r="56" spans="1:19" x14ac:dyDescent="0.2">
      <c r="B56" s="831"/>
      <c r="C56" s="834"/>
      <c r="D56" s="841" t="s">
        <v>166</v>
      </c>
      <c r="E56" s="842"/>
      <c r="F56" s="843"/>
      <c r="G56" s="844">
        <f>+O44</f>
        <v>2500</v>
      </c>
      <c r="H56" s="845"/>
      <c r="I56" s="39"/>
      <c r="J56" s="846"/>
      <c r="K56" s="846"/>
      <c r="L56" s="846"/>
      <c r="M56" s="847"/>
      <c r="N56" s="847"/>
      <c r="O56" s="847"/>
    </row>
    <row r="57" spans="1:19" x14ac:dyDescent="0.2">
      <c r="B57" s="886"/>
      <c r="C57" s="887"/>
      <c r="D57" s="40" t="s">
        <v>425</v>
      </c>
      <c r="E57" s="41"/>
      <c r="F57" s="42"/>
      <c r="G57" s="43"/>
      <c r="H57" s="44">
        <v>40000</v>
      </c>
      <c r="I57" s="39"/>
      <c r="J57" s="45"/>
      <c r="K57" s="45"/>
      <c r="L57" s="45"/>
      <c r="M57" s="46"/>
      <c r="N57" s="46"/>
      <c r="O57" s="46"/>
    </row>
    <row r="58" spans="1:19" ht="13.5" thickBot="1" x14ac:dyDescent="0.25">
      <c r="B58" s="832"/>
      <c r="C58" s="835"/>
      <c r="D58" s="848" t="s">
        <v>243</v>
      </c>
      <c r="E58" s="849"/>
      <c r="F58" s="850"/>
      <c r="G58" s="851">
        <f>IF(O18&gt;15000,15000,+O18)</f>
        <v>0</v>
      </c>
      <c r="H58" s="852"/>
      <c r="J58" s="47"/>
      <c r="K58" s="47"/>
      <c r="L58" s="47"/>
      <c r="M58" s="47"/>
      <c r="N58" s="47"/>
      <c r="O58" s="47"/>
    </row>
    <row r="59" spans="1:19" ht="13.5" thickBot="1" x14ac:dyDescent="0.25">
      <c r="B59" s="48"/>
      <c r="J59" s="47"/>
      <c r="K59" s="47"/>
      <c r="L59" s="47"/>
      <c r="M59" s="47"/>
      <c r="N59" s="47"/>
      <c r="O59" s="47"/>
    </row>
    <row r="60" spans="1:19" ht="13.5" thickBot="1" x14ac:dyDescent="0.25">
      <c r="B60" s="789" t="s">
        <v>168</v>
      </c>
      <c r="C60" s="790"/>
      <c r="D60" s="790"/>
      <c r="E60" s="790"/>
      <c r="F60" s="791"/>
      <c r="G60" s="825">
        <f>+G53-SUM(G55:H58)</f>
        <v>1062824</v>
      </c>
      <c r="H60" s="826"/>
      <c r="J60" s="827" t="s">
        <v>169</v>
      </c>
      <c r="K60" s="828"/>
      <c r="L60" s="828"/>
      <c r="M60" s="828"/>
      <c r="N60" s="828"/>
      <c r="O60" s="829"/>
    </row>
    <row r="61" spans="1:19" ht="13.5" thickBot="1" x14ac:dyDescent="0.25">
      <c r="B61" s="49"/>
      <c r="C61" s="50"/>
      <c r="D61" s="50"/>
      <c r="E61" s="50"/>
      <c r="F61" s="50"/>
      <c r="G61" s="45"/>
      <c r="H61" s="50"/>
      <c r="J61" s="129"/>
      <c r="K61" s="130"/>
      <c r="L61" s="130"/>
      <c r="M61" s="130"/>
      <c r="N61" s="130"/>
      <c r="O61" s="131"/>
    </row>
    <row r="62" spans="1:19" ht="13.5" thickBot="1" x14ac:dyDescent="0.25">
      <c r="B62" s="789" t="s">
        <v>170</v>
      </c>
      <c r="C62" s="790"/>
      <c r="D62" s="790"/>
      <c r="E62" s="790"/>
      <c r="F62" s="791"/>
      <c r="G62" s="805"/>
      <c r="H62" s="791"/>
      <c r="J62" s="129"/>
      <c r="K62" s="130"/>
      <c r="L62" s="130"/>
      <c r="M62" s="130"/>
      <c r="N62" s="130"/>
      <c r="O62" s="131"/>
    </row>
    <row r="63" spans="1:19" ht="12.75" customHeight="1" x14ac:dyDescent="0.2">
      <c r="B63" s="57" t="s">
        <v>171</v>
      </c>
      <c r="C63" s="806" t="s">
        <v>172</v>
      </c>
      <c r="D63" s="807"/>
      <c r="E63" s="807"/>
      <c r="F63" s="808"/>
      <c r="G63" s="809">
        <v>367371</v>
      </c>
      <c r="H63" s="809"/>
      <c r="I63" s="58"/>
      <c r="J63" s="810" t="s">
        <v>173</v>
      </c>
      <c r="K63" s="811"/>
      <c r="L63" s="811"/>
      <c r="M63" s="811"/>
      <c r="N63" s="811"/>
      <c r="O63" s="812"/>
      <c r="Q63" s="59"/>
      <c r="R63" s="59"/>
      <c r="S63" s="59"/>
    </row>
    <row r="64" spans="1:19" ht="13.5" thickBot="1" x14ac:dyDescent="0.25">
      <c r="D64" s="37"/>
      <c r="I64" s="58"/>
      <c r="J64" s="60" t="s">
        <v>848</v>
      </c>
      <c r="K64" s="132"/>
      <c r="L64" s="132"/>
      <c r="M64" s="133"/>
      <c r="N64" s="133"/>
      <c r="O64" s="134"/>
      <c r="P64" s="1"/>
      <c r="Q64" s="59"/>
      <c r="R64" s="59"/>
      <c r="S64" s="59"/>
    </row>
    <row r="65" spans="2:19" ht="13.5" thickBot="1" x14ac:dyDescent="0.25">
      <c r="B65" s="789" t="s">
        <v>175</v>
      </c>
      <c r="C65" s="790"/>
      <c r="D65" s="790"/>
      <c r="E65" s="790"/>
      <c r="F65" s="791"/>
      <c r="G65" s="805">
        <f>+G60-G63</f>
        <v>695453</v>
      </c>
      <c r="H65" s="791"/>
      <c r="I65" s="63"/>
      <c r="J65" s="75" t="s">
        <v>849</v>
      </c>
      <c r="K65" s="39"/>
      <c r="L65" s="39"/>
      <c r="M65" s="39"/>
      <c r="N65" s="39"/>
      <c r="O65" s="65">
        <v>367371</v>
      </c>
      <c r="Q65" s="59"/>
      <c r="R65" s="59"/>
      <c r="S65" s="59"/>
    </row>
    <row r="66" spans="2:19" ht="12.75" customHeight="1" x14ac:dyDescent="0.2">
      <c r="B66" s="48"/>
      <c r="C66" s="48"/>
      <c r="I66" s="63"/>
      <c r="J66" s="64"/>
      <c r="K66" s="39"/>
      <c r="L66" s="39"/>
      <c r="M66" s="39"/>
      <c r="N66" s="39"/>
      <c r="O66" s="65"/>
      <c r="Q66" s="59"/>
      <c r="R66" s="59"/>
      <c r="S66" s="59"/>
    </row>
    <row r="67" spans="2:19" x14ac:dyDescent="0.2">
      <c r="B67" s="66" t="s">
        <v>176</v>
      </c>
      <c r="C67" s="48"/>
      <c r="I67" s="63"/>
      <c r="J67" s="67"/>
      <c r="K67" s="68"/>
      <c r="L67" s="68"/>
      <c r="M67" s="68"/>
      <c r="N67" s="68"/>
      <c r="O67" s="69"/>
      <c r="Q67" s="59"/>
      <c r="R67" s="59"/>
      <c r="S67" s="59"/>
    </row>
    <row r="68" spans="2:19" ht="26.25" customHeight="1" thickBot="1" x14ac:dyDescent="0.25">
      <c r="B68" s="66"/>
      <c r="C68" s="48"/>
      <c r="G68" s="70" t="s">
        <v>177</v>
      </c>
      <c r="H68" s="70" t="s">
        <v>178</v>
      </c>
      <c r="I68" s="63"/>
      <c r="J68" s="810" t="s">
        <v>179</v>
      </c>
      <c r="K68" s="811"/>
      <c r="L68" s="71"/>
      <c r="M68" s="71"/>
      <c r="N68" s="71"/>
      <c r="O68" s="158" t="s">
        <v>267</v>
      </c>
      <c r="Q68" s="59"/>
      <c r="R68" s="59"/>
      <c r="S68" s="59"/>
    </row>
    <row r="69" spans="2:19" ht="12.75" customHeight="1" x14ac:dyDescent="0.2">
      <c r="B69" s="802" t="s">
        <v>180</v>
      </c>
      <c r="C69" s="821" t="s">
        <v>181</v>
      </c>
      <c r="D69" s="823" t="s">
        <v>182</v>
      </c>
      <c r="E69" s="824"/>
      <c r="F69" s="824"/>
      <c r="G69" s="73">
        <f>+O43</f>
        <v>66000</v>
      </c>
      <c r="H69" s="74">
        <f t="shared" ref="H69:H77" si="10">+G69</f>
        <v>66000</v>
      </c>
      <c r="I69" s="63"/>
      <c r="J69" s="181">
        <v>14804842</v>
      </c>
      <c r="K69" s="58"/>
      <c r="L69" s="58" t="s">
        <v>850</v>
      </c>
      <c r="M69" s="58"/>
      <c r="N69" s="58"/>
      <c r="O69" s="76">
        <v>22837</v>
      </c>
      <c r="Q69" s="59"/>
      <c r="R69" s="59"/>
      <c r="S69" s="59"/>
    </row>
    <row r="70" spans="2:19" ht="12.75" customHeight="1" x14ac:dyDescent="0.2">
      <c r="B70" s="803"/>
      <c r="C70" s="822"/>
      <c r="D70" s="782" t="s">
        <v>184</v>
      </c>
      <c r="E70" s="783"/>
      <c r="F70" s="783"/>
      <c r="G70" s="77">
        <v>22837</v>
      </c>
      <c r="H70" s="78">
        <f t="shared" si="10"/>
        <v>22837</v>
      </c>
      <c r="I70" s="63"/>
      <c r="J70" s="75"/>
      <c r="K70" s="68"/>
      <c r="L70" s="68"/>
      <c r="M70" s="68"/>
      <c r="N70" s="68"/>
      <c r="O70" s="69"/>
      <c r="Q70" s="59"/>
      <c r="R70" s="59"/>
      <c r="S70" s="59"/>
    </row>
    <row r="71" spans="2:19" ht="12.75" customHeight="1" x14ac:dyDescent="0.2">
      <c r="B71" s="803"/>
      <c r="C71" s="822"/>
      <c r="D71" s="819" t="s">
        <v>185</v>
      </c>
      <c r="E71" s="820"/>
      <c r="F71" s="820"/>
      <c r="G71" s="80">
        <f>O40</f>
        <v>720</v>
      </c>
      <c r="H71" s="78">
        <f t="shared" si="10"/>
        <v>720</v>
      </c>
      <c r="I71" s="63"/>
      <c r="J71" s="75"/>
      <c r="K71" s="68"/>
      <c r="L71" s="68"/>
      <c r="M71" s="68"/>
      <c r="N71" s="68"/>
      <c r="O71" s="69"/>
    </row>
    <row r="72" spans="2:19" x14ac:dyDescent="0.2">
      <c r="B72" s="803"/>
      <c r="C72" s="822"/>
      <c r="D72" s="782" t="s">
        <v>186</v>
      </c>
      <c r="E72" s="783"/>
      <c r="F72" s="783"/>
      <c r="G72" s="81">
        <v>0</v>
      </c>
      <c r="H72" s="78">
        <f t="shared" si="10"/>
        <v>0</v>
      </c>
      <c r="I72" s="63"/>
      <c r="J72" s="286"/>
      <c r="K72" s="58"/>
      <c r="L72" s="58"/>
      <c r="M72" s="183"/>
      <c r="N72" s="58"/>
      <c r="O72" s="76"/>
    </row>
    <row r="73" spans="2:19" ht="12.75" customHeight="1" x14ac:dyDescent="0.2">
      <c r="B73" s="803"/>
      <c r="C73" s="822"/>
      <c r="D73" s="784" t="s">
        <v>188</v>
      </c>
      <c r="E73" s="783"/>
      <c r="F73" s="783"/>
      <c r="G73" s="80">
        <v>0</v>
      </c>
      <c r="H73" s="78">
        <f t="shared" si="10"/>
        <v>0</v>
      </c>
      <c r="I73" s="63"/>
      <c r="J73" s="64"/>
      <c r="K73" s="50"/>
      <c r="L73" s="50"/>
      <c r="M73" s="183"/>
      <c r="N73" s="50"/>
      <c r="O73" s="83"/>
    </row>
    <row r="74" spans="2:19" ht="14.25" customHeight="1" x14ac:dyDescent="0.2">
      <c r="B74" s="803"/>
      <c r="C74" s="822"/>
      <c r="D74" s="782" t="s">
        <v>190</v>
      </c>
      <c r="E74" s="783"/>
      <c r="F74" s="783"/>
      <c r="G74" s="84">
        <v>0</v>
      </c>
      <c r="H74" s="78">
        <f t="shared" si="10"/>
        <v>0</v>
      </c>
      <c r="I74" s="63"/>
      <c r="J74" s="64"/>
      <c r="K74" s="39"/>
      <c r="L74" s="39"/>
      <c r="M74" s="39"/>
      <c r="N74" s="39"/>
      <c r="O74" s="65"/>
    </row>
    <row r="75" spans="2:19" x14ac:dyDescent="0.2">
      <c r="B75" s="803"/>
      <c r="C75" s="822"/>
      <c r="D75" s="782" t="s">
        <v>191</v>
      </c>
      <c r="E75" s="783"/>
      <c r="F75" s="783"/>
      <c r="G75" s="81">
        <v>53421</v>
      </c>
      <c r="H75" s="78">
        <f t="shared" si="10"/>
        <v>53421</v>
      </c>
      <c r="I75" s="58"/>
      <c r="J75" s="82" t="s">
        <v>187</v>
      </c>
      <c r="K75" s="234"/>
      <c r="L75" s="234"/>
      <c r="M75" s="234"/>
      <c r="N75" s="234"/>
      <c r="O75" s="329"/>
    </row>
    <row r="76" spans="2:19" x14ac:dyDescent="0.2">
      <c r="B76" s="803"/>
      <c r="C76" s="88" t="s">
        <v>192</v>
      </c>
      <c r="D76" s="813" t="s">
        <v>193</v>
      </c>
      <c r="E76" s="814"/>
      <c r="F76" s="814"/>
      <c r="G76" s="80">
        <v>0</v>
      </c>
      <c r="H76" s="78">
        <f t="shared" si="10"/>
        <v>0</v>
      </c>
      <c r="I76" s="58"/>
      <c r="J76" s="75" t="s">
        <v>189</v>
      </c>
      <c r="K76" s="50"/>
      <c r="L76" s="50"/>
      <c r="M76" s="50"/>
      <c r="N76" s="50"/>
      <c r="O76" s="83">
        <f>O42</f>
        <v>7800</v>
      </c>
    </row>
    <row r="77" spans="2:19" ht="13.5" customHeight="1" thickBot="1" x14ac:dyDescent="0.25">
      <c r="B77" s="803"/>
      <c r="C77" s="88" t="s">
        <v>194</v>
      </c>
      <c r="D77" s="815" t="s">
        <v>195</v>
      </c>
      <c r="E77" s="815"/>
      <c r="F77" s="815"/>
      <c r="G77" s="89">
        <v>0</v>
      </c>
      <c r="H77" s="90">
        <f t="shared" si="10"/>
        <v>0</v>
      </c>
      <c r="I77" s="63"/>
      <c r="J77" s="75" t="s">
        <v>851</v>
      </c>
      <c r="K77" s="68"/>
      <c r="L77" s="68"/>
      <c r="M77" s="91"/>
      <c r="N77" s="91"/>
      <c r="O77" s="92">
        <v>15000</v>
      </c>
      <c r="P77" s="16" t="s">
        <v>852</v>
      </c>
    </row>
    <row r="78" spans="2:19" ht="13.5" thickBot="1" x14ac:dyDescent="0.25">
      <c r="B78" s="803"/>
      <c r="C78" s="93"/>
      <c r="D78" s="94"/>
      <c r="E78" s="816" t="s">
        <v>117</v>
      </c>
      <c r="F78" s="817"/>
      <c r="G78" s="95">
        <f>SUM(G69:G77)</f>
        <v>142978</v>
      </c>
      <c r="H78" s="96">
        <f>IF(SUM(G69:G75)&lt;150000,SUM(G69:G75),150000)+IF(+G76&lt;20000,+G76,20000)</f>
        <v>142978</v>
      </c>
      <c r="I78" s="63"/>
      <c r="J78" s="75" t="s">
        <v>853</v>
      </c>
      <c r="K78" s="68"/>
      <c r="L78" s="68"/>
      <c r="M78" s="91"/>
      <c r="N78" s="91"/>
      <c r="O78" s="92">
        <v>31281</v>
      </c>
      <c r="P78" s="16" t="s">
        <v>854</v>
      </c>
    </row>
    <row r="79" spans="2:19" ht="12.75" customHeight="1" x14ac:dyDescent="0.2">
      <c r="B79" s="803"/>
      <c r="C79" s="100" t="s">
        <v>196</v>
      </c>
      <c r="D79" s="782" t="s">
        <v>187</v>
      </c>
      <c r="E79" s="783"/>
      <c r="F79" s="818"/>
      <c r="G79" s="73">
        <v>54081</v>
      </c>
      <c r="H79" s="101">
        <f>+IF(+G79&lt;30000,+G79,30000)</f>
        <v>30000</v>
      </c>
      <c r="I79" s="87"/>
      <c r="J79" s="75" t="s">
        <v>855</v>
      </c>
      <c r="K79" s="68"/>
      <c r="L79" s="68"/>
      <c r="M79" s="91"/>
      <c r="N79" s="91"/>
      <c r="O79" s="92"/>
      <c r="P79" s="330" t="s">
        <v>856</v>
      </c>
    </row>
    <row r="80" spans="2:19" ht="13.5" thickBot="1" x14ac:dyDescent="0.25">
      <c r="B80" s="803"/>
      <c r="C80" s="100" t="s">
        <v>197</v>
      </c>
      <c r="D80" s="784" t="s">
        <v>198</v>
      </c>
      <c r="E80" s="785"/>
      <c r="F80" s="786"/>
      <c r="G80" s="102"/>
      <c r="H80" s="103">
        <f>+IF(+G80&lt;40000,+G80,40000)</f>
        <v>0</v>
      </c>
      <c r="I80" s="63"/>
      <c r="J80" s="140"/>
      <c r="K80" s="141"/>
      <c r="L80" s="141"/>
      <c r="M80" s="142"/>
      <c r="N80" s="142"/>
      <c r="O80" s="143"/>
    </row>
    <row r="81" spans="2:12" x14ac:dyDescent="0.2">
      <c r="B81" s="803"/>
      <c r="C81" s="100" t="s">
        <v>199</v>
      </c>
      <c r="D81" s="784" t="s">
        <v>200</v>
      </c>
      <c r="E81" s="785"/>
      <c r="F81" s="786"/>
      <c r="G81" s="81"/>
      <c r="H81" s="104">
        <v>0</v>
      </c>
      <c r="I81" s="63"/>
    </row>
    <row r="82" spans="2:12" x14ac:dyDescent="0.2">
      <c r="B82" s="803"/>
      <c r="C82" s="100" t="s">
        <v>201</v>
      </c>
      <c r="D82" s="784" t="s">
        <v>202</v>
      </c>
      <c r="E82" s="785"/>
      <c r="F82" s="786"/>
      <c r="G82" s="81"/>
      <c r="H82" s="104">
        <v>0</v>
      </c>
      <c r="I82" s="63"/>
    </row>
    <row r="83" spans="2:12" ht="13.5" thickBot="1" x14ac:dyDescent="0.25">
      <c r="B83" s="804"/>
      <c r="C83" s="100" t="s">
        <v>203</v>
      </c>
      <c r="D83" s="784" t="s">
        <v>204</v>
      </c>
      <c r="E83" s="785"/>
      <c r="F83" s="786"/>
      <c r="G83" s="102"/>
      <c r="H83" s="103">
        <f>+IF(+G83&lt;100000,+G83,10000)</f>
        <v>0</v>
      </c>
      <c r="I83" s="63"/>
      <c r="J83" s="106"/>
    </row>
    <row r="84" spans="2:12" ht="13.5" thickBot="1" x14ac:dyDescent="0.25">
      <c r="B84" s="787" t="s">
        <v>205</v>
      </c>
      <c r="C84" s="788"/>
      <c r="D84" s="788"/>
      <c r="E84" s="788"/>
      <c r="F84" s="788"/>
      <c r="G84" s="107">
        <f>SUM(G79:G83)</f>
        <v>54081</v>
      </c>
      <c r="H84" s="108">
        <f>SUM(H78:H83)</f>
        <v>172978</v>
      </c>
    </row>
    <row r="85" spans="2:12" ht="13.5" thickBot="1" x14ac:dyDescent="0.25"/>
    <row r="86" spans="2:12" ht="13.5" thickBot="1" x14ac:dyDescent="0.25">
      <c r="B86" s="789" t="s">
        <v>206</v>
      </c>
      <c r="C86" s="790"/>
      <c r="D86" s="790"/>
      <c r="E86" s="790"/>
      <c r="F86" s="791"/>
      <c r="G86" s="792">
        <f>+G65-H84</f>
        <v>522475</v>
      </c>
      <c r="H86" s="791"/>
      <c r="J86" s="109">
        <f>C37+D37+E37+F37</f>
        <v>421200</v>
      </c>
      <c r="K86" s="16" t="s">
        <v>235</v>
      </c>
    </row>
    <row r="87" spans="2:12" x14ac:dyDescent="0.2">
      <c r="B87" s="110"/>
      <c r="F87" s="105"/>
      <c r="J87" s="109">
        <f>G37+H37+I37</f>
        <v>374142</v>
      </c>
      <c r="K87" s="16" t="s">
        <v>236</v>
      </c>
    </row>
    <row r="88" spans="2:12" x14ac:dyDescent="0.2">
      <c r="C88" s="793" t="s">
        <v>207</v>
      </c>
      <c r="D88" s="794"/>
      <c r="E88" s="111" t="s">
        <v>208</v>
      </c>
      <c r="F88" s="111" t="s">
        <v>209</v>
      </c>
      <c r="G88" s="111" t="s">
        <v>210</v>
      </c>
      <c r="H88" s="111" t="s">
        <v>211</v>
      </c>
      <c r="J88" s="109">
        <f>J37+K37+L37</f>
        <v>340574</v>
      </c>
      <c r="K88" s="47" t="s">
        <v>237</v>
      </c>
    </row>
    <row r="89" spans="2:12" x14ac:dyDescent="0.2">
      <c r="C89" s="795" t="str">
        <f>IF(I6="M","0          - 250000","0          -  250000")</f>
        <v>0          - 250000</v>
      </c>
      <c r="D89" s="796"/>
      <c r="E89" s="112">
        <v>0</v>
      </c>
      <c r="F89" s="113">
        <f>IF(I6="M",(IF(G86&lt;250000,G86,250000)),(IF(G86&lt;250000,G86,250000)))</f>
        <v>250000</v>
      </c>
      <c r="G89" s="113">
        <f>G86-F89</f>
        <v>272475</v>
      </c>
      <c r="H89" s="113">
        <f>E89*F89</f>
        <v>0</v>
      </c>
      <c r="J89" s="16">
        <f>M37+N37</f>
        <v>218436</v>
      </c>
      <c r="K89" s="1" t="s">
        <v>238</v>
      </c>
    </row>
    <row r="90" spans="2:12" x14ac:dyDescent="0.2">
      <c r="C90" s="795" t="str">
        <f>IF(I6="M","250001 - 500000","250001-500000")</f>
        <v>250001 - 500000</v>
      </c>
      <c r="D90" s="796"/>
      <c r="E90" s="112">
        <v>0.05</v>
      </c>
      <c r="F90" s="113">
        <f>IF(I6="M",(IF(G89&lt;250000,G89,250000)),(IF(G89&lt;250000,G89,250000)))</f>
        <v>250000</v>
      </c>
      <c r="G90" s="113">
        <f>G89-F90</f>
        <v>22475</v>
      </c>
      <c r="H90" s="114">
        <f>ROUND(E90*F90,0.1)</f>
        <v>12500</v>
      </c>
      <c r="J90" s="115">
        <f>SUM(J86:J89)</f>
        <v>1354352</v>
      </c>
    </row>
    <row r="91" spans="2:12" x14ac:dyDescent="0.2">
      <c r="C91" s="797" t="s">
        <v>212</v>
      </c>
      <c r="D91" s="798"/>
      <c r="E91" s="112">
        <v>0.2</v>
      </c>
      <c r="F91" s="113">
        <f>IF(G90&lt;500000,G90,500000)</f>
        <v>22475</v>
      </c>
      <c r="G91" s="113">
        <f>G90-F91</f>
        <v>0</v>
      </c>
      <c r="H91" s="114">
        <f>ROUND(E91*F91,0.1)</f>
        <v>4495</v>
      </c>
      <c r="J91" s="16">
        <f>+G86</f>
        <v>522475</v>
      </c>
      <c r="L91" s="16">
        <f>+J91/2</f>
        <v>261237.5</v>
      </c>
    </row>
    <row r="92" spans="2:12" x14ac:dyDescent="0.2">
      <c r="C92" s="795" t="s">
        <v>213</v>
      </c>
      <c r="D92" s="796"/>
      <c r="E92" s="112">
        <v>0.3</v>
      </c>
      <c r="F92" s="113">
        <f>G91</f>
        <v>0</v>
      </c>
      <c r="G92" s="113">
        <f>G91-F92</f>
        <v>0</v>
      </c>
      <c r="H92" s="114">
        <f>ROUND(E92*F92,0.1)</f>
        <v>0</v>
      </c>
      <c r="J92" s="16">
        <f>+J90-J91</f>
        <v>831877</v>
      </c>
    </row>
    <row r="93" spans="2:12" ht="12.75" customHeight="1" thickBot="1" x14ac:dyDescent="0.25">
      <c r="B93" s="116"/>
      <c r="C93" s="117"/>
      <c r="D93" s="47"/>
      <c r="E93" s="47"/>
      <c r="F93" s="47"/>
    </row>
    <row r="94" spans="2:12" ht="13.5" thickBot="1" x14ac:dyDescent="0.25">
      <c r="B94" s="799" t="s">
        <v>239</v>
      </c>
      <c r="C94" s="800"/>
      <c r="D94" s="800"/>
      <c r="E94" s="800"/>
      <c r="F94" s="801"/>
      <c r="G94" s="771">
        <f>H89+H90+H91+H92</f>
        <v>16995</v>
      </c>
      <c r="H94" s="772"/>
    </row>
    <row r="95" spans="2:12" ht="13.5" thickBot="1" x14ac:dyDescent="0.25">
      <c r="B95" s="119" t="s">
        <v>215</v>
      </c>
      <c r="C95" s="120"/>
      <c r="D95" s="120"/>
      <c r="E95" s="120"/>
      <c r="F95" s="120"/>
      <c r="G95" s="884">
        <f>IF((G65&lt;500000),5000,0)</f>
        <v>0</v>
      </c>
      <c r="H95" s="885">
        <f>IF(H93&lt;200000,0,IF(H93&lt;220000,((H93-200000)*10%),IF(H93&lt;=500000,2000,IF(H93&gt;=500000,0))))</f>
        <v>0</v>
      </c>
      <c r="J95" s="87"/>
      <c r="K95" s="118"/>
    </row>
    <row r="96" spans="2:12" ht="13.5" thickBot="1" x14ac:dyDescent="0.25">
      <c r="B96" s="122" t="s">
        <v>216</v>
      </c>
      <c r="C96" s="123"/>
      <c r="D96" s="123"/>
      <c r="E96" s="123"/>
      <c r="F96" s="123"/>
      <c r="G96" s="771">
        <f>IF((G94-G95)&lt;0,0,(G94-G95))</f>
        <v>16995</v>
      </c>
      <c r="H96" s="772"/>
      <c r="I96" s="37"/>
      <c r="J96" s="87"/>
      <c r="K96" s="87"/>
    </row>
    <row r="97" spans="2:12" ht="13.5" thickBot="1" x14ac:dyDescent="0.25">
      <c r="B97" s="773" t="s">
        <v>240</v>
      </c>
      <c r="C97" s="774"/>
      <c r="D97" s="774"/>
      <c r="E97" s="774"/>
      <c r="F97" s="775"/>
      <c r="G97" s="776">
        <f>ROUND((IF(G96&gt;0,(G96*4%),0)),0)</f>
        <v>680</v>
      </c>
      <c r="H97" s="777"/>
      <c r="I97" s="37"/>
      <c r="J97" s="1"/>
      <c r="K97" s="121"/>
      <c r="L97" s="121"/>
    </row>
    <row r="98" spans="2:12" ht="13.5" thickBot="1" x14ac:dyDescent="0.25">
      <c r="B98" s="778" t="s">
        <v>218</v>
      </c>
      <c r="C98" s="779"/>
      <c r="D98" s="779"/>
      <c r="E98" s="779"/>
      <c r="F98" s="779"/>
      <c r="G98" s="780">
        <f>G96+G97</f>
        <v>17675</v>
      </c>
      <c r="H98" s="781"/>
      <c r="I98" s="121"/>
    </row>
    <row r="99" spans="2:12" ht="13.5" thickBot="1" x14ac:dyDescent="0.25">
      <c r="B99" s="765" t="s">
        <v>219</v>
      </c>
      <c r="C99" s="766"/>
      <c r="D99" s="766"/>
      <c r="E99" s="766"/>
      <c r="F99" s="766"/>
      <c r="G99" s="767">
        <f>O38</f>
        <v>27000</v>
      </c>
      <c r="H99" s="768"/>
      <c r="I99" s="121"/>
    </row>
    <row r="100" spans="2:12" ht="13.5" thickBot="1" x14ac:dyDescent="0.25">
      <c r="B100" s="765" t="str">
        <f>IF(G100&gt;0,"TAX PAYABLE","TAX REFUND")</f>
        <v>TAX REFUND</v>
      </c>
      <c r="C100" s="766"/>
      <c r="D100" s="766"/>
      <c r="E100" s="766"/>
      <c r="F100" s="766"/>
      <c r="G100" s="767">
        <f>+G98-G99</f>
        <v>-9325</v>
      </c>
      <c r="H100" s="768"/>
      <c r="I100" s="37"/>
      <c r="J100" s="16">
        <v>0</v>
      </c>
    </row>
    <row r="101" spans="2:12" x14ac:dyDescent="0.2">
      <c r="C101" s="124"/>
      <c r="D101" s="45"/>
      <c r="E101" s="118"/>
      <c r="F101" s="118"/>
      <c r="G101" s="118"/>
      <c r="H101" s="118"/>
      <c r="I101" s="125"/>
    </row>
    <row r="102" spans="2:12" x14ac:dyDescent="0.2">
      <c r="C102" s="47"/>
      <c r="D102" s="50"/>
      <c r="E102" s="117"/>
      <c r="F102" s="47"/>
      <c r="G102" s="47"/>
      <c r="H102" s="47"/>
      <c r="I102" s="125"/>
    </row>
    <row r="103" spans="2:12" x14ac:dyDescent="0.2">
      <c r="C103" s="39"/>
      <c r="D103" s="126"/>
      <c r="E103" s="126"/>
      <c r="F103" s="126"/>
      <c r="G103" s="39"/>
      <c r="H103" s="39"/>
      <c r="I103" s="37"/>
    </row>
    <row r="104" spans="2:12" x14ac:dyDescent="0.2">
      <c r="C104" s="39"/>
      <c r="D104" s="126"/>
      <c r="E104" s="126"/>
      <c r="F104" s="39"/>
      <c r="G104" s="39"/>
      <c r="H104" s="39"/>
      <c r="I104" s="37"/>
    </row>
    <row r="105" spans="2:12" x14ac:dyDescent="0.2">
      <c r="C105" s="39"/>
      <c r="D105" s="126"/>
      <c r="E105" s="126"/>
      <c r="F105" s="39"/>
      <c r="G105" s="39"/>
      <c r="H105" s="39"/>
      <c r="I105" s="37"/>
    </row>
    <row r="106" spans="2:12" x14ac:dyDescent="0.2">
      <c r="C106" s="39"/>
      <c r="D106" s="39"/>
      <c r="E106" s="39"/>
      <c r="F106" s="39"/>
      <c r="G106" s="39"/>
      <c r="H106" s="39"/>
      <c r="I106" s="37"/>
    </row>
    <row r="107" spans="2:12" x14ac:dyDescent="0.2">
      <c r="C107" s="39"/>
      <c r="D107" s="39"/>
      <c r="E107" s="39"/>
      <c r="F107" s="39"/>
      <c r="G107" s="39"/>
      <c r="H107" s="39"/>
    </row>
    <row r="108" spans="2:12" x14ac:dyDescent="0.2">
      <c r="C108" s="39"/>
      <c r="D108" s="39"/>
      <c r="E108" s="39"/>
      <c r="F108" s="39"/>
      <c r="G108" s="39"/>
      <c r="H108" s="39"/>
    </row>
  </sheetData>
  <mergeCells count="92">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8:A48"/>
    <mergeCell ref="A5:C5"/>
    <mergeCell ref="D5:F5"/>
    <mergeCell ref="G5:H5"/>
    <mergeCell ref="I5:O5"/>
    <mergeCell ref="A6:C6"/>
    <mergeCell ref="D6:F6"/>
    <mergeCell ref="G6:H6"/>
    <mergeCell ref="J6:O6"/>
    <mergeCell ref="A8:B8"/>
    <mergeCell ref="A21:A33"/>
    <mergeCell ref="A34:B34"/>
    <mergeCell ref="A35:B35"/>
    <mergeCell ref="A36:B36"/>
    <mergeCell ref="A49:B49"/>
    <mergeCell ref="A50:B50"/>
    <mergeCell ref="B53:F53"/>
    <mergeCell ref="G53:H53"/>
    <mergeCell ref="B55:B58"/>
    <mergeCell ref="C55:C58"/>
    <mergeCell ref="D55:F55"/>
    <mergeCell ref="G55:H55"/>
    <mergeCell ref="D56:F56"/>
    <mergeCell ref="G56:H56"/>
    <mergeCell ref="B65:F65"/>
    <mergeCell ref="G65:H65"/>
    <mergeCell ref="J56:L56"/>
    <mergeCell ref="M56:O56"/>
    <mergeCell ref="D58:F58"/>
    <mergeCell ref="G58:H58"/>
    <mergeCell ref="B60:F60"/>
    <mergeCell ref="G60:H60"/>
    <mergeCell ref="J60:O60"/>
    <mergeCell ref="B62:F62"/>
    <mergeCell ref="G62:H62"/>
    <mergeCell ref="C63:F63"/>
    <mergeCell ref="G63:H63"/>
    <mergeCell ref="J63:O63"/>
    <mergeCell ref="D81:F81"/>
    <mergeCell ref="J68:K68"/>
    <mergeCell ref="B69:B83"/>
    <mergeCell ref="C69:C75"/>
    <mergeCell ref="D69:F69"/>
    <mergeCell ref="D70:F70"/>
    <mergeCell ref="D71:F71"/>
    <mergeCell ref="D72:F72"/>
    <mergeCell ref="D73:F73"/>
    <mergeCell ref="D74:F74"/>
    <mergeCell ref="D75:F75"/>
    <mergeCell ref="D76:F76"/>
    <mergeCell ref="D77:F77"/>
    <mergeCell ref="E78:F78"/>
    <mergeCell ref="D79:F79"/>
    <mergeCell ref="D80:F80"/>
    <mergeCell ref="G94:H94"/>
    <mergeCell ref="D82:F82"/>
    <mergeCell ref="D83:F83"/>
    <mergeCell ref="B84:F84"/>
    <mergeCell ref="B86:F86"/>
    <mergeCell ref="G86:H86"/>
    <mergeCell ref="C88:D88"/>
    <mergeCell ref="C89:D89"/>
    <mergeCell ref="C90:D90"/>
    <mergeCell ref="C91:D91"/>
    <mergeCell ref="C92:D92"/>
    <mergeCell ref="B94:F94"/>
    <mergeCell ref="B99:F99"/>
    <mergeCell ref="G99:H99"/>
    <mergeCell ref="B100:F100"/>
    <mergeCell ref="G100:H100"/>
    <mergeCell ref="G95:H95"/>
    <mergeCell ref="G96:H96"/>
    <mergeCell ref="B97:F97"/>
    <mergeCell ref="G97:H97"/>
    <mergeCell ref="B98:F98"/>
    <mergeCell ref="G98:H98"/>
  </mergeCells>
  <conditionalFormatting sqref="B100:F100 B94:F98">
    <cfRule type="cellIs" dxfId="1775" priority="3" stopIfTrue="1" operator="equal">
      <formula>"TAX PAYABLE"</formula>
    </cfRule>
    <cfRule type="cellIs" dxfId="1774" priority="4" stopIfTrue="1" operator="equal">
      <formula>"TAX REFUND"</formula>
    </cfRule>
  </conditionalFormatting>
  <conditionalFormatting sqref="G95:H95">
    <cfRule type="cellIs" dxfId="1773" priority="5" stopIfTrue="1" operator="lessThan">
      <formula>0</formula>
    </cfRule>
    <cfRule type="cellIs" dxfId="1772" priority="6" stopIfTrue="1" operator="greaterThan">
      <formula>0</formula>
    </cfRule>
  </conditionalFormatting>
  <conditionalFormatting sqref="G100:H100">
    <cfRule type="cellIs" dxfId="1771" priority="1" stopIfTrue="1" operator="greaterThan">
      <formula>0</formula>
    </cfRule>
    <cfRule type="cellIs" dxfId="1770"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$Q$8:$Q$9</formula1>
    </dataValidation>
  </dataValidations>
  <pageMargins left="0.7" right="0.7" top="0.75" bottom="0.75" header="0.3" footer="0.3"/>
  <pageSetup paperSize="5" orientation="landscape" horizontalDpi="300" verticalDpi="300" r:id="rId1"/>
  <headerFooter alignWithMargins="0"/>
  <legacyDrawing r:id="rId2"/>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7"/>
  <sheetViews>
    <sheetView showWhiteSpace="0" topLeftCell="A65" zoomScaleNormal="100" workbookViewId="0">
      <selection activeCell="O37" sqref="O37"/>
    </sheetView>
  </sheetViews>
  <sheetFormatPr defaultRowHeight="12.75" x14ac:dyDescent="0.2"/>
  <cols>
    <col min="1" max="1" width="5" style="16" customWidth="1"/>
    <col min="2" max="2" width="17.85546875" style="37" customWidth="1"/>
    <col min="3" max="14" width="7.42578125" style="16" customWidth="1"/>
    <col min="15" max="15" width="7.140625" style="16" bestFit="1" customWidth="1"/>
    <col min="16" max="18" width="9.5703125" style="16" customWidth="1"/>
    <col min="19" max="20" width="9.140625" style="16"/>
    <col min="21" max="21" width="12.42578125" style="16" customWidth="1"/>
    <col min="22" max="22" width="9.140625" style="16"/>
    <col min="23" max="23" width="12" style="16" customWidth="1"/>
    <col min="24" max="256" width="9.140625" style="16"/>
    <col min="257" max="257" width="5" style="16" customWidth="1"/>
    <col min="258" max="258" width="17.85546875" style="16" customWidth="1"/>
    <col min="259" max="270" width="7.42578125" style="16" customWidth="1"/>
    <col min="271" max="271" width="7.140625" style="16" bestFit="1" customWidth="1"/>
    <col min="272" max="274" width="9.5703125" style="16" customWidth="1"/>
    <col min="275" max="276" width="9.140625" style="16"/>
    <col min="277" max="277" width="12.42578125" style="16" customWidth="1"/>
    <col min="278" max="278" width="9.140625" style="16"/>
    <col min="279" max="279" width="12" style="16" customWidth="1"/>
    <col min="280" max="512" width="9.140625" style="16"/>
    <col min="513" max="513" width="5" style="16" customWidth="1"/>
    <col min="514" max="514" width="17.85546875" style="16" customWidth="1"/>
    <col min="515" max="526" width="7.42578125" style="16" customWidth="1"/>
    <col min="527" max="527" width="7.140625" style="16" bestFit="1" customWidth="1"/>
    <col min="528" max="530" width="9.5703125" style="16" customWidth="1"/>
    <col min="531" max="532" width="9.140625" style="16"/>
    <col min="533" max="533" width="12.42578125" style="16" customWidth="1"/>
    <col min="534" max="534" width="9.140625" style="16"/>
    <col min="535" max="535" width="12" style="16" customWidth="1"/>
    <col min="536" max="768" width="9.140625" style="16"/>
    <col min="769" max="769" width="5" style="16" customWidth="1"/>
    <col min="770" max="770" width="17.85546875" style="16" customWidth="1"/>
    <col min="771" max="782" width="7.42578125" style="16" customWidth="1"/>
    <col min="783" max="783" width="7.140625" style="16" bestFit="1" customWidth="1"/>
    <col min="784" max="786" width="9.5703125" style="16" customWidth="1"/>
    <col min="787" max="788" width="9.140625" style="16"/>
    <col min="789" max="789" width="12.42578125" style="16" customWidth="1"/>
    <col min="790" max="790" width="9.140625" style="16"/>
    <col min="791" max="791" width="12" style="16" customWidth="1"/>
    <col min="792" max="1024" width="9.140625" style="16"/>
    <col min="1025" max="1025" width="5" style="16" customWidth="1"/>
    <col min="1026" max="1026" width="17.85546875" style="16" customWidth="1"/>
    <col min="1027" max="1038" width="7.42578125" style="16" customWidth="1"/>
    <col min="1039" max="1039" width="7.140625" style="16" bestFit="1" customWidth="1"/>
    <col min="1040" max="1042" width="9.5703125" style="16" customWidth="1"/>
    <col min="1043" max="1044" width="9.140625" style="16"/>
    <col min="1045" max="1045" width="12.42578125" style="16" customWidth="1"/>
    <col min="1046" max="1046" width="9.140625" style="16"/>
    <col min="1047" max="1047" width="12" style="16" customWidth="1"/>
    <col min="1048" max="1280" width="9.140625" style="16"/>
    <col min="1281" max="1281" width="5" style="16" customWidth="1"/>
    <col min="1282" max="1282" width="17.85546875" style="16" customWidth="1"/>
    <col min="1283" max="1294" width="7.42578125" style="16" customWidth="1"/>
    <col min="1295" max="1295" width="7.140625" style="16" bestFit="1" customWidth="1"/>
    <col min="1296" max="1298" width="9.5703125" style="16" customWidth="1"/>
    <col min="1299" max="1300" width="9.140625" style="16"/>
    <col min="1301" max="1301" width="12.42578125" style="16" customWidth="1"/>
    <col min="1302" max="1302" width="9.140625" style="16"/>
    <col min="1303" max="1303" width="12" style="16" customWidth="1"/>
    <col min="1304" max="1536" width="9.140625" style="16"/>
    <col min="1537" max="1537" width="5" style="16" customWidth="1"/>
    <col min="1538" max="1538" width="17.85546875" style="16" customWidth="1"/>
    <col min="1539" max="1550" width="7.42578125" style="16" customWidth="1"/>
    <col min="1551" max="1551" width="7.140625" style="16" bestFit="1" customWidth="1"/>
    <col min="1552" max="1554" width="9.5703125" style="16" customWidth="1"/>
    <col min="1555" max="1556" width="9.140625" style="16"/>
    <col min="1557" max="1557" width="12.42578125" style="16" customWidth="1"/>
    <col min="1558" max="1558" width="9.140625" style="16"/>
    <col min="1559" max="1559" width="12" style="16" customWidth="1"/>
    <col min="1560" max="1792" width="9.140625" style="16"/>
    <col min="1793" max="1793" width="5" style="16" customWidth="1"/>
    <col min="1794" max="1794" width="17.85546875" style="16" customWidth="1"/>
    <col min="1795" max="1806" width="7.42578125" style="16" customWidth="1"/>
    <col min="1807" max="1807" width="7.140625" style="16" bestFit="1" customWidth="1"/>
    <col min="1808" max="1810" width="9.5703125" style="16" customWidth="1"/>
    <col min="1811" max="1812" width="9.140625" style="16"/>
    <col min="1813" max="1813" width="12.42578125" style="16" customWidth="1"/>
    <col min="1814" max="1814" width="9.140625" style="16"/>
    <col min="1815" max="1815" width="12" style="16" customWidth="1"/>
    <col min="1816" max="2048" width="9.140625" style="16"/>
    <col min="2049" max="2049" width="5" style="16" customWidth="1"/>
    <col min="2050" max="2050" width="17.85546875" style="16" customWidth="1"/>
    <col min="2051" max="2062" width="7.42578125" style="16" customWidth="1"/>
    <col min="2063" max="2063" width="7.140625" style="16" bestFit="1" customWidth="1"/>
    <col min="2064" max="2066" width="9.5703125" style="16" customWidth="1"/>
    <col min="2067" max="2068" width="9.140625" style="16"/>
    <col min="2069" max="2069" width="12.42578125" style="16" customWidth="1"/>
    <col min="2070" max="2070" width="9.140625" style="16"/>
    <col min="2071" max="2071" width="12" style="16" customWidth="1"/>
    <col min="2072" max="2304" width="9.140625" style="16"/>
    <col min="2305" max="2305" width="5" style="16" customWidth="1"/>
    <col min="2306" max="2306" width="17.85546875" style="16" customWidth="1"/>
    <col min="2307" max="2318" width="7.42578125" style="16" customWidth="1"/>
    <col min="2319" max="2319" width="7.140625" style="16" bestFit="1" customWidth="1"/>
    <col min="2320" max="2322" width="9.5703125" style="16" customWidth="1"/>
    <col min="2323" max="2324" width="9.140625" style="16"/>
    <col min="2325" max="2325" width="12.42578125" style="16" customWidth="1"/>
    <col min="2326" max="2326" width="9.140625" style="16"/>
    <col min="2327" max="2327" width="12" style="16" customWidth="1"/>
    <col min="2328" max="2560" width="9.140625" style="16"/>
    <col min="2561" max="2561" width="5" style="16" customWidth="1"/>
    <col min="2562" max="2562" width="17.85546875" style="16" customWidth="1"/>
    <col min="2563" max="2574" width="7.42578125" style="16" customWidth="1"/>
    <col min="2575" max="2575" width="7.140625" style="16" bestFit="1" customWidth="1"/>
    <col min="2576" max="2578" width="9.5703125" style="16" customWidth="1"/>
    <col min="2579" max="2580" width="9.140625" style="16"/>
    <col min="2581" max="2581" width="12.42578125" style="16" customWidth="1"/>
    <col min="2582" max="2582" width="9.140625" style="16"/>
    <col min="2583" max="2583" width="12" style="16" customWidth="1"/>
    <col min="2584" max="2816" width="9.140625" style="16"/>
    <col min="2817" max="2817" width="5" style="16" customWidth="1"/>
    <col min="2818" max="2818" width="17.85546875" style="16" customWidth="1"/>
    <col min="2819" max="2830" width="7.42578125" style="16" customWidth="1"/>
    <col min="2831" max="2831" width="7.140625" style="16" bestFit="1" customWidth="1"/>
    <col min="2832" max="2834" width="9.5703125" style="16" customWidth="1"/>
    <col min="2835" max="2836" width="9.140625" style="16"/>
    <col min="2837" max="2837" width="12.42578125" style="16" customWidth="1"/>
    <col min="2838" max="2838" width="9.140625" style="16"/>
    <col min="2839" max="2839" width="12" style="16" customWidth="1"/>
    <col min="2840" max="3072" width="9.140625" style="16"/>
    <col min="3073" max="3073" width="5" style="16" customWidth="1"/>
    <col min="3074" max="3074" width="17.85546875" style="16" customWidth="1"/>
    <col min="3075" max="3086" width="7.42578125" style="16" customWidth="1"/>
    <col min="3087" max="3087" width="7.140625" style="16" bestFit="1" customWidth="1"/>
    <col min="3088" max="3090" width="9.5703125" style="16" customWidth="1"/>
    <col min="3091" max="3092" width="9.140625" style="16"/>
    <col min="3093" max="3093" width="12.42578125" style="16" customWidth="1"/>
    <col min="3094" max="3094" width="9.140625" style="16"/>
    <col min="3095" max="3095" width="12" style="16" customWidth="1"/>
    <col min="3096" max="3328" width="9.140625" style="16"/>
    <col min="3329" max="3329" width="5" style="16" customWidth="1"/>
    <col min="3330" max="3330" width="17.85546875" style="16" customWidth="1"/>
    <col min="3331" max="3342" width="7.42578125" style="16" customWidth="1"/>
    <col min="3343" max="3343" width="7.140625" style="16" bestFit="1" customWidth="1"/>
    <col min="3344" max="3346" width="9.5703125" style="16" customWidth="1"/>
    <col min="3347" max="3348" width="9.140625" style="16"/>
    <col min="3349" max="3349" width="12.42578125" style="16" customWidth="1"/>
    <col min="3350" max="3350" width="9.140625" style="16"/>
    <col min="3351" max="3351" width="12" style="16" customWidth="1"/>
    <col min="3352" max="3584" width="9.140625" style="16"/>
    <col min="3585" max="3585" width="5" style="16" customWidth="1"/>
    <col min="3586" max="3586" width="17.85546875" style="16" customWidth="1"/>
    <col min="3587" max="3598" width="7.42578125" style="16" customWidth="1"/>
    <col min="3599" max="3599" width="7.140625" style="16" bestFit="1" customWidth="1"/>
    <col min="3600" max="3602" width="9.5703125" style="16" customWidth="1"/>
    <col min="3603" max="3604" width="9.140625" style="16"/>
    <col min="3605" max="3605" width="12.42578125" style="16" customWidth="1"/>
    <col min="3606" max="3606" width="9.140625" style="16"/>
    <col min="3607" max="3607" width="12" style="16" customWidth="1"/>
    <col min="3608" max="3840" width="9.140625" style="16"/>
    <col min="3841" max="3841" width="5" style="16" customWidth="1"/>
    <col min="3842" max="3842" width="17.85546875" style="16" customWidth="1"/>
    <col min="3843" max="3854" width="7.42578125" style="16" customWidth="1"/>
    <col min="3855" max="3855" width="7.140625" style="16" bestFit="1" customWidth="1"/>
    <col min="3856" max="3858" width="9.5703125" style="16" customWidth="1"/>
    <col min="3859" max="3860" width="9.140625" style="16"/>
    <col min="3861" max="3861" width="12.42578125" style="16" customWidth="1"/>
    <col min="3862" max="3862" width="9.140625" style="16"/>
    <col min="3863" max="3863" width="12" style="16" customWidth="1"/>
    <col min="3864" max="4096" width="9.140625" style="16"/>
    <col min="4097" max="4097" width="5" style="16" customWidth="1"/>
    <col min="4098" max="4098" width="17.85546875" style="16" customWidth="1"/>
    <col min="4099" max="4110" width="7.42578125" style="16" customWidth="1"/>
    <col min="4111" max="4111" width="7.140625" style="16" bestFit="1" customWidth="1"/>
    <col min="4112" max="4114" width="9.5703125" style="16" customWidth="1"/>
    <col min="4115" max="4116" width="9.140625" style="16"/>
    <col min="4117" max="4117" width="12.42578125" style="16" customWidth="1"/>
    <col min="4118" max="4118" width="9.140625" style="16"/>
    <col min="4119" max="4119" width="12" style="16" customWidth="1"/>
    <col min="4120" max="4352" width="9.140625" style="16"/>
    <col min="4353" max="4353" width="5" style="16" customWidth="1"/>
    <col min="4354" max="4354" width="17.85546875" style="16" customWidth="1"/>
    <col min="4355" max="4366" width="7.42578125" style="16" customWidth="1"/>
    <col min="4367" max="4367" width="7.140625" style="16" bestFit="1" customWidth="1"/>
    <col min="4368" max="4370" width="9.5703125" style="16" customWidth="1"/>
    <col min="4371" max="4372" width="9.140625" style="16"/>
    <col min="4373" max="4373" width="12.42578125" style="16" customWidth="1"/>
    <col min="4374" max="4374" width="9.140625" style="16"/>
    <col min="4375" max="4375" width="12" style="16" customWidth="1"/>
    <col min="4376" max="4608" width="9.140625" style="16"/>
    <col min="4609" max="4609" width="5" style="16" customWidth="1"/>
    <col min="4610" max="4610" width="17.85546875" style="16" customWidth="1"/>
    <col min="4611" max="4622" width="7.42578125" style="16" customWidth="1"/>
    <col min="4623" max="4623" width="7.140625" style="16" bestFit="1" customWidth="1"/>
    <col min="4624" max="4626" width="9.5703125" style="16" customWidth="1"/>
    <col min="4627" max="4628" width="9.140625" style="16"/>
    <col min="4629" max="4629" width="12.42578125" style="16" customWidth="1"/>
    <col min="4630" max="4630" width="9.140625" style="16"/>
    <col min="4631" max="4631" width="12" style="16" customWidth="1"/>
    <col min="4632" max="4864" width="9.140625" style="16"/>
    <col min="4865" max="4865" width="5" style="16" customWidth="1"/>
    <col min="4866" max="4866" width="17.85546875" style="16" customWidth="1"/>
    <col min="4867" max="4878" width="7.42578125" style="16" customWidth="1"/>
    <col min="4879" max="4879" width="7.140625" style="16" bestFit="1" customWidth="1"/>
    <col min="4880" max="4882" width="9.5703125" style="16" customWidth="1"/>
    <col min="4883" max="4884" width="9.140625" style="16"/>
    <col min="4885" max="4885" width="12.42578125" style="16" customWidth="1"/>
    <col min="4886" max="4886" width="9.140625" style="16"/>
    <col min="4887" max="4887" width="12" style="16" customWidth="1"/>
    <col min="4888" max="5120" width="9.140625" style="16"/>
    <col min="5121" max="5121" width="5" style="16" customWidth="1"/>
    <col min="5122" max="5122" width="17.85546875" style="16" customWidth="1"/>
    <col min="5123" max="5134" width="7.42578125" style="16" customWidth="1"/>
    <col min="5135" max="5135" width="7.140625" style="16" bestFit="1" customWidth="1"/>
    <col min="5136" max="5138" width="9.5703125" style="16" customWidth="1"/>
    <col min="5139" max="5140" width="9.140625" style="16"/>
    <col min="5141" max="5141" width="12.42578125" style="16" customWidth="1"/>
    <col min="5142" max="5142" width="9.140625" style="16"/>
    <col min="5143" max="5143" width="12" style="16" customWidth="1"/>
    <col min="5144" max="5376" width="9.140625" style="16"/>
    <col min="5377" max="5377" width="5" style="16" customWidth="1"/>
    <col min="5378" max="5378" width="17.85546875" style="16" customWidth="1"/>
    <col min="5379" max="5390" width="7.42578125" style="16" customWidth="1"/>
    <col min="5391" max="5391" width="7.140625" style="16" bestFit="1" customWidth="1"/>
    <col min="5392" max="5394" width="9.5703125" style="16" customWidth="1"/>
    <col min="5395" max="5396" width="9.140625" style="16"/>
    <col min="5397" max="5397" width="12.42578125" style="16" customWidth="1"/>
    <col min="5398" max="5398" width="9.140625" style="16"/>
    <col min="5399" max="5399" width="12" style="16" customWidth="1"/>
    <col min="5400" max="5632" width="9.140625" style="16"/>
    <col min="5633" max="5633" width="5" style="16" customWidth="1"/>
    <col min="5634" max="5634" width="17.85546875" style="16" customWidth="1"/>
    <col min="5635" max="5646" width="7.42578125" style="16" customWidth="1"/>
    <col min="5647" max="5647" width="7.140625" style="16" bestFit="1" customWidth="1"/>
    <col min="5648" max="5650" width="9.5703125" style="16" customWidth="1"/>
    <col min="5651" max="5652" width="9.140625" style="16"/>
    <col min="5653" max="5653" width="12.42578125" style="16" customWidth="1"/>
    <col min="5654" max="5654" width="9.140625" style="16"/>
    <col min="5655" max="5655" width="12" style="16" customWidth="1"/>
    <col min="5656" max="5888" width="9.140625" style="16"/>
    <col min="5889" max="5889" width="5" style="16" customWidth="1"/>
    <col min="5890" max="5890" width="17.85546875" style="16" customWidth="1"/>
    <col min="5891" max="5902" width="7.42578125" style="16" customWidth="1"/>
    <col min="5903" max="5903" width="7.140625" style="16" bestFit="1" customWidth="1"/>
    <col min="5904" max="5906" width="9.5703125" style="16" customWidth="1"/>
    <col min="5907" max="5908" width="9.140625" style="16"/>
    <col min="5909" max="5909" width="12.42578125" style="16" customWidth="1"/>
    <col min="5910" max="5910" width="9.140625" style="16"/>
    <col min="5911" max="5911" width="12" style="16" customWidth="1"/>
    <col min="5912" max="6144" width="9.140625" style="16"/>
    <col min="6145" max="6145" width="5" style="16" customWidth="1"/>
    <col min="6146" max="6146" width="17.85546875" style="16" customWidth="1"/>
    <col min="6147" max="6158" width="7.42578125" style="16" customWidth="1"/>
    <col min="6159" max="6159" width="7.140625" style="16" bestFit="1" customWidth="1"/>
    <col min="6160" max="6162" width="9.5703125" style="16" customWidth="1"/>
    <col min="6163" max="6164" width="9.140625" style="16"/>
    <col min="6165" max="6165" width="12.42578125" style="16" customWidth="1"/>
    <col min="6166" max="6166" width="9.140625" style="16"/>
    <col min="6167" max="6167" width="12" style="16" customWidth="1"/>
    <col min="6168" max="6400" width="9.140625" style="16"/>
    <col min="6401" max="6401" width="5" style="16" customWidth="1"/>
    <col min="6402" max="6402" width="17.85546875" style="16" customWidth="1"/>
    <col min="6403" max="6414" width="7.42578125" style="16" customWidth="1"/>
    <col min="6415" max="6415" width="7.140625" style="16" bestFit="1" customWidth="1"/>
    <col min="6416" max="6418" width="9.5703125" style="16" customWidth="1"/>
    <col min="6419" max="6420" width="9.140625" style="16"/>
    <col min="6421" max="6421" width="12.42578125" style="16" customWidth="1"/>
    <col min="6422" max="6422" width="9.140625" style="16"/>
    <col min="6423" max="6423" width="12" style="16" customWidth="1"/>
    <col min="6424" max="6656" width="9.140625" style="16"/>
    <col min="6657" max="6657" width="5" style="16" customWidth="1"/>
    <col min="6658" max="6658" width="17.85546875" style="16" customWidth="1"/>
    <col min="6659" max="6670" width="7.42578125" style="16" customWidth="1"/>
    <col min="6671" max="6671" width="7.140625" style="16" bestFit="1" customWidth="1"/>
    <col min="6672" max="6674" width="9.5703125" style="16" customWidth="1"/>
    <col min="6675" max="6676" width="9.140625" style="16"/>
    <col min="6677" max="6677" width="12.42578125" style="16" customWidth="1"/>
    <col min="6678" max="6678" width="9.140625" style="16"/>
    <col min="6679" max="6679" width="12" style="16" customWidth="1"/>
    <col min="6680" max="6912" width="9.140625" style="16"/>
    <col min="6913" max="6913" width="5" style="16" customWidth="1"/>
    <col min="6914" max="6914" width="17.85546875" style="16" customWidth="1"/>
    <col min="6915" max="6926" width="7.42578125" style="16" customWidth="1"/>
    <col min="6927" max="6927" width="7.140625" style="16" bestFit="1" customWidth="1"/>
    <col min="6928" max="6930" width="9.5703125" style="16" customWidth="1"/>
    <col min="6931" max="6932" width="9.140625" style="16"/>
    <col min="6933" max="6933" width="12.42578125" style="16" customWidth="1"/>
    <col min="6934" max="6934" width="9.140625" style="16"/>
    <col min="6935" max="6935" width="12" style="16" customWidth="1"/>
    <col min="6936" max="7168" width="9.140625" style="16"/>
    <col min="7169" max="7169" width="5" style="16" customWidth="1"/>
    <col min="7170" max="7170" width="17.85546875" style="16" customWidth="1"/>
    <col min="7171" max="7182" width="7.42578125" style="16" customWidth="1"/>
    <col min="7183" max="7183" width="7.140625" style="16" bestFit="1" customWidth="1"/>
    <col min="7184" max="7186" width="9.5703125" style="16" customWidth="1"/>
    <col min="7187" max="7188" width="9.140625" style="16"/>
    <col min="7189" max="7189" width="12.42578125" style="16" customWidth="1"/>
    <col min="7190" max="7190" width="9.140625" style="16"/>
    <col min="7191" max="7191" width="12" style="16" customWidth="1"/>
    <col min="7192" max="7424" width="9.140625" style="16"/>
    <col min="7425" max="7425" width="5" style="16" customWidth="1"/>
    <col min="7426" max="7426" width="17.85546875" style="16" customWidth="1"/>
    <col min="7427" max="7438" width="7.42578125" style="16" customWidth="1"/>
    <col min="7439" max="7439" width="7.140625" style="16" bestFit="1" customWidth="1"/>
    <col min="7440" max="7442" width="9.5703125" style="16" customWidth="1"/>
    <col min="7443" max="7444" width="9.140625" style="16"/>
    <col min="7445" max="7445" width="12.42578125" style="16" customWidth="1"/>
    <col min="7446" max="7446" width="9.140625" style="16"/>
    <col min="7447" max="7447" width="12" style="16" customWidth="1"/>
    <col min="7448" max="7680" width="9.140625" style="16"/>
    <col min="7681" max="7681" width="5" style="16" customWidth="1"/>
    <col min="7682" max="7682" width="17.85546875" style="16" customWidth="1"/>
    <col min="7683" max="7694" width="7.42578125" style="16" customWidth="1"/>
    <col min="7695" max="7695" width="7.140625" style="16" bestFit="1" customWidth="1"/>
    <col min="7696" max="7698" width="9.5703125" style="16" customWidth="1"/>
    <col min="7699" max="7700" width="9.140625" style="16"/>
    <col min="7701" max="7701" width="12.42578125" style="16" customWidth="1"/>
    <col min="7702" max="7702" width="9.140625" style="16"/>
    <col min="7703" max="7703" width="12" style="16" customWidth="1"/>
    <col min="7704" max="7936" width="9.140625" style="16"/>
    <col min="7937" max="7937" width="5" style="16" customWidth="1"/>
    <col min="7938" max="7938" width="17.85546875" style="16" customWidth="1"/>
    <col min="7939" max="7950" width="7.42578125" style="16" customWidth="1"/>
    <col min="7951" max="7951" width="7.140625" style="16" bestFit="1" customWidth="1"/>
    <col min="7952" max="7954" width="9.5703125" style="16" customWidth="1"/>
    <col min="7955" max="7956" width="9.140625" style="16"/>
    <col min="7957" max="7957" width="12.42578125" style="16" customWidth="1"/>
    <col min="7958" max="7958" width="9.140625" style="16"/>
    <col min="7959" max="7959" width="12" style="16" customWidth="1"/>
    <col min="7960" max="8192" width="9.140625" style="16"/>
    <col min="8193" max="8193" width="5" style="16" customWidth="1"/>
    <col min="8194" max="8194" width="17.85546875" style="16" customWidth="1"/>
    <col min="8195" max="8206" width="7.42578125" style="16" customWidth="1"/>
    <col min="8207" max="8207" width="7.140625" style="16" bestFit="1" customWidth="1"/>
    <col min="8208" max="8210" width="9.5703125" style="16" customWidth="1"/>
    <col min="8211" max="8212" width="9.140625" style="16"/>
    <col min="8213" max="8213" width="12.42578125" style="16" customWidth="1"/>
    <col min="8214" max="8214" width="9.140625" style="16"/>
    <col min="8215" max="8215" width="12" style="16" customWidth="1"/>
    <col min="8216" max="8448" width="9.140625" style="16"/>
    <col min="8449" max="8449" width="5" style="16" customWidth="1"/>
    <col min="8450" max="8450" width="17.85546875" style="16" customWidth="1"/>
    <col min="8451" max="8462" width="7.42578125" style="16" customWidth="1"/>
    <col min="8463" max="8463" width="7.140625" style="16" bestFit="1" customWidth="1"/>
    <col min="8464" max="8466" width="9.5703125" style="16" customWidth="1"/>
    <col min="8467" max="8468" width="9.140625" style="16"/>
    <col min="8469" max="8469" width="12.42578125" style="16" customWidth="1"/>
    <col min="8470" max="8470" width="9.140625" style="16"/>
    <col min="8471" max="8471" width="12" style="16" customWidth="1"/>
    <col min="8472" max="8704" width="9.140625" style="16"/>
    <col min="8705" max="8705" width="5" style="16" customWidth="1"/>
    <col min="8706" max="8706" width="17.85546875" style="16" customWidth="1"/>
    <col min="8707" max="8718" width="7.42578125" style="16" customWidth="1"/>
    <col min="8719" max="8719" width="7.140625" style="16" bestFit="1" customWidth="1"/>
    <col min="8720" max="8722" width="9.5703125" style="16" customWidth="1"/>
    <col min="8723" max="8724" width="9.140625" style="16"/>
    <col min="8725" max="8725" width="12.42578125" style="16" customWidth="1"/>
    <col min="8726" max="8726" width="9.140625" style="16"/>
    <col min="8727" max="8727" width="12" style="16" customWidth="1"/>
    <col min="8728" max="8960" width="9.140625" style="16"/>
    <col min="8961" max="8961" width="5" style="16" customWidth="1"/>
    <col min="8962" max="8962" width="17.85546875" style="16" customWidth="1"/>
    <col min="8963" max="8974" width="7.42578125" style="16" customWidth="1"/>
    <col min="8975" max="8975" width="7.140625" style="16" bestFit="1" customWidth="1"/>
    <col min="8976" max="8978" width="9.5703125" style="16" customWidth="1"/>
    <col min="8979" max="8980" width="9.140625" style="16"/>
    <col min="8981" max="8981" width="12.42578125" style="16" customWidth="1"/>
    <col min="8982" max="8982" width="9.140625" style="16"/>
    <col min="8983" max="8983" width="12" style="16" customWidth="1"/>
    <col min="8984" max="9216" width="9.140625" style="16"/>
    <col min="9217" max="9217" width="5" style="16" customWidth="1"/>
    <col min="9218" max="9218" width="17.85546875" style="16" customWidth="1"/>
    <col min="9219" max="9230" width="7.42578125" style="16" customWidth="1"/>
    <col min="9231" max="9231" width="7.140625" style="16" bestFit="1" customWidth="1"/>
    <col min="9232" max="9234" width="9.5703125" style="16" customWidth="1"/>
    <col min="9235" max="9236" width="9.140625" style="16"/>
    <col min="9237" max="9237" width="12.42578125" style="16" customWidth="1"/>
    <col min="9238" max="9238" width="9.140625" style="16"/>
    <col min="9239" max="9239" width="12" style="16" customWidth="1"/>
    <col min="9240" max="9472" width="9.140625" style="16"/>
    <col min="9473" max="9473" width="5" style="16" customWidth="1"/>
    <col min="9474" max="9474" width="17.85546875" style="16" customWidth="1"/>
    <col min="9475" max="9486" width="7.42578125" style="16" customWidth="1"/>
    <col min="9487" max="9487" width="7.140625" style="16" bestFit="1" customWidth="1"/>
    <col min="9488" max="9490" width="9.5703125" style="16" customWidth="1"/>
    <col min="9491" max="9492" width="9.140625" style="16"/>
    <col min="9493" max="9493" width="12.42578125" style="16" customWidth="1"/>
    <col min="9494" max="9494" width="9.140625" style="16"/>
    <col min="9495" max="9495" width="12" style="16" customWidth="1"/>
    <col min="9496" max="9728" width="9.140625" style="16"/>
    <col min="9729" max="9729" width="5" style="16" customWidth="1"/>
    <col min="9730" max="9730" width="17.85546875" style="16" customWidth="1"/>
    <col min="9731" max="9742" width="7.42578125" style="16" customWidth="1"/>
    <col min="9743" max="9743" width="7.140625" style="16" bestFit="1" customWidth="1"/>
    <col min="9744" max="9746" width="9.5703125" style="16" customWidth="1"/>
    <col min="9747" max="9748" width="9.140625" style="16"/>
    <col min="9749" max="9749" width="12.42578125" style="16" customWidth="1"/>
    <col min="9750" max="9750" width="9.140625" style="16"/>
    <col min="9751" max="9751" width="12" style="16" customWidth="1"/>
    <col min="9752" max="9984" width="9.140625" style="16"/>
    <col min="9985" max="9985" width="5" style="16" customWidth="1"/>
    <col min="9986" max="9986" width="17.85546875" style="16" customWidth="1"/>
    <col min="9987" max="9998" width="7.42578125" style="16" customWidth="1"/>
    <col min="9999" max="9999" width="7.140625" style="16" bestFit="1" customWidth="1"/>
    <col min="10000" max="10002" width="9.5703125" style="16" customWidth="1"/>
    <col min="10003" max="10004" width="9.140625" style="16"/>
    <col min="10005" max="10005" width="12.42578125" style="16" customWidth="1"/>
    <col min="10006" max="10006" width="9.140625" style="16"/>
    <col min="10007" max="10007" width="12" style="16" customWidth="1"/>
    <col min="10008" max="10240" width="9.140625" style="16"/>
    <col min="10241" max="10241" width="5" style="16" customWidth="1"/>
    <col min="10242" max="10242" width="17.85546875" style="16" customWidth="1"/>
    <col min="10243" max="10254" width="7.42578125" style="16" customWidth="1"/>
    <col min="10255" max="10255" width="7.140625" style="16" bestFit="1" customWidth="1"/>
    <col min="10256" max="10258" width="9.5703125" style="16" customWidth="1"/>
    <col min="10259" max="10260" width="9.140625" style="16"/>
    <col min="10261" max="10261" width="12.42578125" style="16" customWidth="1"/>
    <col min="10262" max="10262" width="9.140625" style="16"/>
    <col min="10263" max="10263" width="12" style="16" customWidth="1"/>
    <col min="10264" max="10496" width="9.140625" style="16"/>
    <col min="10497" max="10497" width="5" style="16" customWidth="1"/>
    <col min="10498" max="10498" width="17.85546875" style="16" customWidth="1"/>
    <col min="10499" max="10510" width="7.42578125" style="16" customWidth="1"/>
    <col min="10511" max="10511" width="7.140625" style="16" bestFit="1" customWidth="1"/>
    <col min="10512" max="10514" width="9.5703125" style="16" customWidth="1"/>
    <col min="10515" max="10516" width="9.140625" style="16"/>
    <col min="10517" max="10517" width="12.42578125" style="16" customWidth="1"/>
    <col min="10518" max="10518" width="9.140625" style="16"/>
    <col min="10519" max="10519" width="12" style="16" customWidth="1"/>
    <col min="10520" max="10752" width="9.140625" style="16"/>
    <col min="10753" max="10753" width="5" style="16" customWidth="1"/>
    <col min="10754" max="10754" width="17.85546875" style="16" customWidth="1"/>
    <col min="10755" max="10766" width="7.42578125" style="16" customWidth="1"/>
    <col min="10767" max="10767" width="7.140625" style="16" bestFit="1" customWidth="1"/>
    <col min="10768" max="10770" width="9.5703125" style="16" customWidth="1"/>
    <col min="10771" max="10772" width="9.140625" style="16"/>
    <col min="10773" max="10773" width="12.42578125" style="16" customWidth="1"/>
    <col min="10774" max="10774" width="9.140625" style="16"/>
    <col min="10775" max="10775" width="12" style="16" customWidth="1"/>
    <col min="10776" max="11008" width="9.140625" style="16"/>
    <col min="11009" max="11009" width="5" style="16" customWidth="1"/>
    <col min="11010" max="11010" width="17.85546875" style="16" customWidth="1"/>
    <col min="11011" max="11022" width="7.42578125" style="16" customWidth="1"/>
    <col min="11023" max="11023" width="7.140625" style="16" bestFit="1" customWidth="1"/>
    <col min="11024" max="11026" width="9.5703125" style="16" customWidth="1"/>
    <col min="11027" max="11028" width="9.140625" style="16"/>
    <col min="11029" max="11029" width="12.42578125" style="16" customWidth="1"/>
    <col min="11030" max="11030" width="9.140625" style="16"/>
    <col min="11031" max="11031" width="12" style="16" customWidth="1"/>
    <col min="11032" max="11264" width="9.140625" style="16"/>
    <col min="11265" max="11265" width="5" style="16" customWidth="1"/>
    <col min="11266" max="11266" width="17.85546875" style="16" customWidth="1"/>
    <col min="11267" max="11278" width="7.42578125" style="16" customWidth="1"/>
    <col min="11279" max="11279" width="7.140625" style="16" bestFit="1" customWidth="1"/>
    <col min="11280" max="11282" width="9.5703125" style="16" customWidth="1"/>
    <col min="11283" max="11284" width="9.140625" style="16"/>
    <col min="11285" max="11285" width="12.42578125" style="16" customWidth="1"/>
    <col min="11286" max="11286" width="9.140625" style="16"/>
    <col min="11287" max="11287" width="12" style="16" customWidth="1"/>
    <col min="11288" max="11520" width="9.140625" style="16"/>
    <col min="11521" max="11521" width="5" style="16" customWidth="1"/>
    <col min="11522" max="11522" width="17.85546875" style="16" customWidth="1"/>
    <col min="11523" max="11534" width="7.42578125" style="16" customWidth="1"/>
    <col min="11535" max="11535" width="7.140625" style="16" bestFit="1" customWidth="1"/>
    <col min="11536" max="11538" width="9.5703125" style="16" customWidth="1"/>
    <col min="11539" max="11540" width="9.140625" style="16"/>
    <col min="11541" max="11541" width="12.42578125" style="16" customWidth="1"/>
    <col min="11542" max="11542" width="9.140625" style="16"/>
    <col min="11543" max="11543" width="12" style="16" customWidth="1"/>
    <col min="11544" max="11776" width="9.140625" style="16"/>
    <col min="11777" max="11777" width="5" style="16" customWidth="1"/>
    <col min="11778" max="11778" width="17.85546875" style="16" customWidth="1"/>
    <col min="11779" max="11790" width="7.42578125" style="16" customWidth="1"/>
    <col min="11791" max="11791" width="7.140625" style="16" bestFit="1" customWidth="1"/>
    <col min="11792" max="11794" width="9.5703125" style="16" customWidth="1"/>
    <col min="11795" max="11796" width="9.140625" style="16"/>
    <col min="11797" max="11797" width="12.42578125" style="16" customWidth="1"/>
    <col min="11798" max="11798" width="9.140625" style="16"/>
    <col min="11799" max="11799" width="12" style="16" customWidth="1"/>
    <col min="11800" max="12032" width="9.140625" style="16"/>
    <col min="12033" max="12033" width="5" style="16" customWidth="1"/>
    <col min="12034" max="12034" width="17.85546875" style="16" customWidth="1"/>
    <col min="12035" max="12046" width="7.42578125" style="16" customWidth="1"/>
    <col min="12047" max="12047" width="7.140625" style="16" bestFit="1" customWidth="1"/>
    <col min="12048" max="12050" width="9.5703125" style="16" customWidth="1"/>
    <col min="12051" max="12052" width="9.140625" style="16"/>
    <col min="12053" max="12053" width="12.42578125" style="16" customWidth="1"/>
    <col min="12054" max="12054" width="9.140625" style="16"/>
    <col min="12055" max="12055" width="12" style="16" customWidth="1"/>
    <col min="12056" max="12288" width="9.140625" style="16"/>
    <col min="12289" max="12289" width="5" style="16" customWidth="1"/>
    <col min="12290" max="12290" width="17.85546875" style="16" customWidth="1"/>
    <col min="12291" max="12302" width="7.42578125" style="16" customWidth="1"/>
    <col min="12303" max="12303" width="7.140625" style="16" bestFit="1" customWidth="1"/>
    <col min="12304" max="12306" width="9.5703125" style="16" customWidth="1"/>
    <col min="12307" max="12308" width="9.140625" style="16"/>
    <col min="12309" max="12309" width="12.42578125" style="16" customWidth="1"/>
    <col min="12310" max="12310" width="9.140625" style="16"/>
    <col min="12311" max="12311" width="12" style="16" customWidth="1"/>
    <col min="12312" max="12544" width="9.140625" style="16"/>
    <col min="12545" max="12545" width="5" style="16" customWidth="1"/>
    <col min="12546" max="12546" width="17.85546875" style="16" customWidth="1"/>
    <col min="12547" max="12558" width="7.42578125" style="16" customWidth="1"/>
    <col min="12559" max="12559" width="7.140625" style="16" bestFit="1" customWidth="1"/>
    <col min="12560" max="12562" width="9.5703125" style="16" customWidth="1"/>
    <col min="12563" max="12564" width="9.140625" style="16"/>
    <col min="12565" max="12565" width="12.42578125" style="16" customWidth="1"/>
    <col min="12566" max="12566" width="9.140625" style="16"/>
    <col min="12567" max="12567" width="12" style="16" customWidth="1"/>
    <col min="12568" max="12800" width="9.140625" style="16"/>
    <col min="12801" max="12801" width="5" style="16" customWidth="1"/>
    <col min="12802" max="12802" width="17.85546875" style="16" customWidth="1"/>
    <col min="12803" max="12814" width="7.42578125" style="16" customWidth="1"/>
    <col min="12815" max="12815" width="7.140625" style="16" bestFit="1" customWidth="1"/>
    <col min="12816" max="12818" width="9.5703125" style="16" customWidth="1"/>
    <col min="12819" max="12820" width="9.140625" style="16"/>
    <col min="12821" max="12821" width="12.42578125" style="16" customWidth="1"/>
    <col min="12822" max="12822" width="9.140625" style="16"/>
    <col min="12823" max="12823" width="12" style="16" customWidth="1"/>
    <col min="12824" max="13056" width="9.140625" style="16"/>
    <col min="13057" max="13057" width="5" style="16" customWidth="1"/>
    <col min="13058" max="13058" width="17.85546875" style="16" customWidth="1"/>
    <col min="13059" max="13070" width="7.42578125" style="16" customWidth="1"/>
    <col min="13071" max="13071" width="7.140625" style="16" bestFit="1" customWidth="1"/>
    <col min="13072" max="13074" width="9.5703125" style="16" customWidth="1"/>
    <col min="13075" max="13076" width="9.140625" style="16"/>
    <col min="13077" max="13077" width="12.42578125" style="16" customWidth="1"/>
    <col min="13078" max="13078" width="9.140625" style="16"/>
    <col min="13079" max="13079" width="12" style="16" customWidth="1"/>
    <col min="13080" max="13312" width="9.140625" style="16"/>
    <col min="13313" max="13313" width="5" style="16" customWidth="1"/>
    <col min="13314" max="13314" width="17.85546875" style="16" customWidth="1"/>
    <col min="13315" max="13326" width="7.42578125" style="16" customWidth="1"/>
    <col min="13327" max="13327" width="7.140625" style="16" bestFit="1" customWidth="1"/>
    <col min="13328" max="13330" width="9.5703125" style="16" customWidth="1"/>
    <col min="13331" max="13332" width="9.140625" style="16"/>
    <col min="13333" max="13333" width="12.42578125" style="16" customWidth="1"/>
    <col min="13334" max="13334" width="9.140625" style="16"/>
    <col min="13335" max="13335" width="12" style="16" customWidth="1"/>
    <col min="13336" max="13568" width="9.140625" style="16"/>
    <col min="13569" max="13569" width="5" style="16" customWidth="1"/>
    <col min="13570" max="13570" width="17.85546875" style="16" customWidth="1"/>
    <col min="13571" max="13582" width="7.42578125" style="16" customWidth="1"/>
    <col min="13583" max="13583" width="7.140625" style="16" bestFit="1" customWidth="1"/>
    <col min="13584" max="13586" width="9.5703125" style="16" customWidth="1"/>
    <col min="13587" max="13588" width="9.140625" style="16"/>
    <col min="13589" max="13589" width="12.42578125" style="16" customWidth="1"/>
    <col min="13590" max="13590" width="9.140625" style="16"/>
    <col min="13591" max="13591" width="12" style="16" customWidth="1"/>
    <col min="13592" max="13824" width="9.140625" style="16"/>
    <col min="13825" max="13825" width="5" style="16" customWidth="1"/>
    <col min="13826" max="13826" width="17.85546875" style="16" customWidth="1"/>
    <col min="13827" max="13838" width="7.42578125" style="16" customWidth="1"/>
    <col min="13839" max="13839" width="7.140625" style="16" bestFit="1" customWidth="1"/>
    <col min="13840" max="13842" width="9.5703125" style="16" customWidth="1"/>
    <col min="13843" max="13844" width="9.140625" style="16"/>
    <col min="13845" max="13845" width="12.42578125" style="16" customWidth="1"/>
    <col min="13846" max="13846" width="9.140625" style="16"/>
    <col min="13847" max="13847" width="12" style="16" customWidth="1"/>
    <col min="13848" max="14080" width="9.140625" style="16"/>
    <col min="14081" max="14081" width="5" style="16" customWidth="1"/>
    <col min="14082" max="14082" width="17.85546875" style="16" customWidth="1"/>
    <col min="14083" max="14094" width="7.42578125" style="16" customWidth="1"/>
    <col min="14095" max="14095" width="7.140625" style="16" bestFit="1" customWidth="1"/>
    <col min="14096" max="14098" width="9.5703125" style="16" customWidth="1"/>
    <col min="14099" max="14100" width="9.140625" style="16"/>
    <col min="14101" max="14101" width="12.42578125" style="16" customWidth="1"/>
    <col min="14102" max="14102" width="9.140625" style="16"/>
    <col min="14103" max="14103" width="12" style="16" customWidth="1"/>
    <col min="14104" max="14336" width="9.140625" style="16"/>
    <col min="14337" max="14337" width="5" style="16" customWidth="1"/>
    <col min="14338" max="14338" width="17.85546875" style="16" customWidth="1"/>
    <col min="14339" max="14350" width="7.42578125" style="16" customWidth="1"/>
    <col min="14351" max="14351" width="7.140625" style="16" bestFit="1" customWidth="1"/>
    <col min="14352" max="14354" width="9.5703125" style="16" customWidth="1"/>
    <col min="14355" max="14356" width="9.140625" style="16"/>
    <col min="14357" max="14357" width="12.42578125" style="16" customWidth="1"/>
    <col min="14358" max="14358" width="9.140625" style="16"/>
    <col min="14359" max="14359" width="12" style="16" customWidth="1"/>
    <col min="14360" max="14592" width="9.140625" style="16"/>
    <col min="14593" max="14593" width="5" style="16" customWidth="1"/>
    <col min="14594" max="14594" width="17.85546875" style="16" customWidth="1"/>
    <col min="14595" max="14606" width="7.42578125" style="16" customWidth="1"/>
    <col min="14607" max="14607" width="7.140625" style="16" bestFit="1" customWidth="1"/>
    <col min="14608" max="14610" width="9.5703125" style="16" customWidth="1"/>
    <col min="14611" max="14612" width="9.140625" style="16"/>
    <col min="14613" max="14613" width="12.42578125" style="16" customWidth="1"/>
    <col min="14614" max="14614" width="9.140625" style="16"/>
    <col min="14615" max="14615" width="12" style="16" customWidth="1"/>
    <col min="14616" max="14848" width="9.140625" style="16"/>
    <col min="14849" max="14849" width="5" style="16" customWidth="1"/>
    <col min="14850" max="14850" width="17.85546875" style="16" customWidth="1"/>
    <col min="14851" max="14862" width="7.42578125" style="16" customWidth="1"/>
    <col min="14863" max="14863" width="7.140625" style="16" bestFit="1" customWidth="1"/>
    <col min="14864" max="14866" width="9.5703125" style="16" customWidth="1"/>
    <col min="14867" max="14868" width="9.140625" style="16"/>
    <col min="14869" max="14869" width="12.42578125" style="16" customWidth="1"/>
    <col min="14870" max="14870" width="9.140625" style="16"/>
    <col min="14871" max="14871" width="12" style="16" customWidth="1"/>
    <col min="14872" max="15104" width="9.140625" style="16"/>
    <col min="15105" max="15105" width="5" style="16" customWidth="1"/>
    <col min="15106" max="15106" width="17.85546875" style="16" customWidth="1"/>
    <col min="15107" max="15118" width="7.42578125" style="16" customWidth="1"/>
    <col min="15119" max="15119" width="7.140625" style="16" bestFit="1" customWidth="1"/>
    <col min="15120" max="15122" width="9.5703125" style="16" customWidth="1"/>
    <col min="15123" max="15124" width="9.140625" style="16"/>
    <col min="15125" max="15125" width="12.42578125" style="16" customWidth="1"/>
    <col min="15126" max="15126" width="9.140625" style="16"/>
    <col min="15127" max="15127" width="12" style="16" customWidth="1"/>
    <col min="15128" max="15360" width="9.140625" style="16"/>
    <col min="15361" max="15361" width="5" style="16" customWidth="1"/>
    <col min="15362" max="15362" width="17.85546875" style="16" customWidth="1"/>
    <col min="15363" max="15374" width="7.42578125" style="16" customWidth="1"/>
    <col min="15375" max="15375" width="7.140625" style="16" bestFit="1" customWidth="1"/>
    <col min="15376" max="15378" width="9.5703125" style="16" customWidth="1"/>
    <col min="15379" max="15380" width="9.140625" style="16"/>
    <col min="15381" max="15381" width="12.42578125" style="16" customWidth="1"/>
    <col min="15382" max="15382" width="9.140625" style="16"/>
    <col min="15383" max="15383" width="12" style="16" customWidth="1"/>
    <col min="15384" max="15616" width="9.140625" style="16"/>
    <col min="15617" max="15617" width="5" style="16" customWidth="1"/>
    <col min="15618" max="15618" width="17.85546875" style="16" customWidth="1"/>
    <col min="15619" max="15630" width="7.42578125" style="16" customWidth="1"/>
    <col min="15631" max="15631" width="7.140625" style="16" bestFit="1" customWidth="1"/>
    <col min="15632" max="15634" width="9.5703125" style="16" customWidth="1"/>
    <col min="15635" max="15636" width="9.140625" style="16"/>
    <col min="15637" max="15637" width="12.42578125" style="16" customWidth="1"/>
    <col min="15638" max="15638" width="9.140625" style="16"/>
    <col min="15639" max="15639" width="12" style="16" customWidth="1"/>
    <col min="15640" max="15872" width="9.140625" style="16"/>
    <col min="15873" max="15873" width="5" style="16" customWidth="1"/>
    <col min="15874" max="15874" width="17.85546875" style="16" customWidth="1"/>
    <col min="15875" max="15886" width="7.42578125" style="16" customWidth="1"/>
    <col min="15887" max="15887" width="7.140625" style="16" bestFit="1" customWidth="1"/>
    <col min="15888" max="15890" width="9.5703125" style="16" customWidth="1"/>
    <col min="15891" max="15892" width="9.140625" style="16"/>
    <col min="15893" max="15893" width="12.42578125" style="16" customWidth="1"/>
    <col min="15894" max="15894" width="9.140625" style="16"/>
    <col min="15895" max="15895" width="12" style="16" customWidth="1"/>
    <col min="15896" max="16128" width="9.140625" style="16"/>
    <col min="16129" max="16129" width="5" style="16" customWidth="1"/>
    <col min="16130" max="16130" width="17.85546875" style="16" customWidth="1"/>
    <col min="16131" max="16142" width="7.42578125" style="16" customWidth="1"/>
    <col min="16143" max="16143" width="7.140625" style="16" bestFit="1" customWidth="1"/>
    <col min="16144" max="16146" width="9.5703125" style="16" customWidth="1"/>
    <col min="16147" max="16148" width="9.140625" style="16"/>
    <col min="16149" max="16149" width="12.42578125" style="16" customWidth="1"/>
    <col min="16150" max="16150" width="9.140625" style="16"/>
    <col min="16151" max="16151" width="12" style="16" customWidth="1"/>
    <col min="16152" max="16384" width="9.140625" style="16"/>
  </cols>
  <sheetData>
    <row r="1" spans="1:17" s="1" customFormat="1" x14ac:dyDescent="0.2">
      <c r="A1" s="867" t="s">
        <v>449</v>
      </c>
      <c r="B1" s="868"/>
      <c r="C1" s="868"/>
      <c r="D1" s="869"/>
      <c r="E1" s="868"/>
      <c r="F1" s="868"/>
      <c r="G1" s="867" t="s">
        <v>102</v>
      </c>
      <c r="H1" s="869"/>
      <c r="I1" s="869" t="s">
        <v>890</v>
      </c>
      <c r="J1" s="868"/>
      <c r="K1" s="868"/>
      <c r="L1" s="870"/>
      <c r="M1" s="870"/>
      <c r="N1" s="870"/>
      <c r="O1" s="870"/>
    </row>
    <row r="2" spans="1:17" s="1" customFormat="1" x14ac:dyDescent="0.2">
      <c r="A2" s="867" t="s">
        <v>103</v>
      </c>
      <c r="B2" s="868"/>
      <c r="C2" s="868"/>
      <c r="D2" s="869" t="s">
        <v>891</v>
      </c>
      <c r="E2" s="868"/>
      <c r="F2" s="868"/>
      <c r="G2" s="867" t="s">
        <v>104</v>
      </c>
      <c r="H2" s="869"/>
      <c r="I2" s="869" t="s">
        <v>105</v>
      </c>
      <c r="J2" s="868"/>
      <c r="K2" s="868"/>
      <c r="L2" s="870"/>
      <c r="M2" s="870"/>
      <c r="N2" s="870"/>
      <c r="O2" s="870"/>
    </row>
    <row r="3" spans="1:17" s="1" customFormat="1" x14ac:dyDescent="0.2">
      <c r="A3" s="867" t="s">
        <v>106</v>
      </c>
      <c r="B3" s="868"/>
      <c r="C3" s="868"/>
      <c r="D3" s="883" t="s">
        <v>892</v>
      </c>
      <c r="E3" s="868"/>
      <c r="F3" s="868"/>
      <c r="G3" s="867" t="s">
        <v>107</v>
      </c>
      <c r="H3" s="869"/>
      <c r="I3" s="869" t="s">
        <v>108</v>
      </c>
      <c r="J3" s="868"/>
      <c r="K3" s="868"/>
      <c r="L3" s="870"/>
      <c r="M3" s="870"/>
      <c r="N3" s="870"/>
      <c r="O3" s="870"/>
    </row>
    <row r="4" spans="1:17" s="1" customFormat="1" x14ac:dyDescent="0.2">
      <c r="A4" s="867" t="s">
        <v>109</v>
      </c>
      <c r="B4" s="868"/>
      <c r="C4" s="868"/>
      <c r="D4" s="869"/>
      <c r="E4" s="868"/>
      <c r="F4" s="868"/>
      <c r="G4" s="867" t="s">
        <v>110</v>
      </c>
      <c r="H4" s="869"/>
      <c r="I4" s="869" t="s">
        <v>893</v>
      </c>
      <c r="J4" s="868"/>
      <c r="K4" s="868"/>
      <c r="L4" s="870"/>
      <c r="M4" s="870"/>
      <c r="N4" s="870"/>
      <c r="O4" s="870"/>
    </row>
    <row r="5" spans="1:17" s="1" customFormat="1" x14ac:dyDescent="0.2">
      <c r="A5" s="867" t="s">
        <v>443</v>
      </c>
      <c r="B5" s="868"/>
      <c r="C5" s="868"/>
      <c r="D5" s="869" t="s">
        <v>894</v>
      </c>
      <c r="E5" s="868"/>
      <c r="F5" s="868"/>
      <c r="G5" s="867"/>
      <c r="H5" s="868"/>
      <c r="I5" s="869" t="s">
        <v>113</v>
      </c>
      <c r="J5" s="868"/>
      <c r="K5" s="868"/>
      <c r="L5" s="870"/>
      <c r="M5" s="870"/>
      <c r="N5" s="870"/>
      <c r="O5" s="870"/>
    </row>
    <row r="6" spans="1:17" s="1" customFormat="1" x14ac:dyDescent="0.2">
      <c r="A6" s="871" t="s">
        <v>114</v>
      </c>
      <c r="B6" s="872"/>
      <c r="C6" s="872"/>
      <c r="D6" s="868" t="s">
        <v>752</v>
      </c>
      <c r="E6" s="868"/>
      <c r="F6" s="868"/>
      <c r="G6" s="871" t="s">
        <v>115</v>
      </c>
      <c r="H6" s="871"/>
      <c r="I6" s="2" t="s">
        <v>116</v>
      </c>
      <c r="J6" s="888"/>
      <c r="K6" s="888"/>
      <c r="L6" s="888"/>
      <c r="M6" s="888"/>
      <c r="N6" s="888"/>
      <c r="O6" s="889"/>
    </row>
    <row r="7" spans="1:17" s="1" customFormat="1" ht="13.5" thickBot="1" x14ac:dyDescent="0.25">
      <c r="A7" s="3"/>
      <c r="B7" s="4"/>
      <c r="C7" s="5"/>
      <c r="D7" s="6"/>
      <c r="E7" s="6"/>
      <c r="F7" s="6"/>
      <c r="G7" s="6"/>
      <c r="H7" s="6"/>
      <c r="I7" s="6"/>
      <c r="J7" s="7"/>
      <c r="K7" s="8"/>
      <c r="L7" s="875" t="s">
        <v>223</v>
      </c>
      <c r="M7" s="875"/>
      <c r="N7" s="875"/>
      <c r="O7" s="875"/>
    </row>
    <row r="8" spans="1:17" s="11" customFormat="1" x14ac:dyDescent="0.2">
      <c r="A8" s="876" t="str">
        <f>I1</f>
        <v>Mr. B. A. Dhuri,</v>
      </c>
      <c r="B8" s="877"/>
      <c r="C8" s="337">
        <v>43160</v>
      </c>
      <c r="D8" s="337">
        <v>43191</v>
      </c>
      <c r="E8" s="337">
        <v>43221</v>
      </c>
      <c r="F8" s="337">
        <v>43252</v>
      </c>
      <c r="G8" s="337">
        <v>43282</v>
      </c>
      <c r="H8" s="337">
        <v>43313</v>
      </c>
      <c r="I8" s="337">
        <v>43344</v>
      </c>
      <c r="J8" s="337">
        <v>43374</v>
      </c>
      <c r="K8" s="337">
        <v>43405</v>
      </c>
      <c r="L8" s="337">
        <v>43435</v>
      </c>
      <c r="M8" s="337">
        <v>43466</v>
      </c>
      <c r="N8" s="337">
        <v>43497</v>
      </c>
      <c r="O8" s="10" t="s">
        <v>117</v>
      </c>
      <c r="Q8" s="11" t="s">
        <v>116</v>
      </c>
    </row>
    <row r="9" spans="1:17" ht="15" x14ac:dyDescent="0.2">
      <c r="A9" s="12"/>
      <c r="B9" s="13" t="s">
        <v>118</v>
      </c>
      <c r="C9" s="14">
        <v>42800</v>
      </c>
      <c r="D9" s="14">
        <v>42800</v>
      </c>
      <c r="E9" s="14">
        <v>42800</v>
      </c>
      <c r="F9" s="14">
        <v>42800</v>
      </c>
      <c r="G9" s="14">
        <v>44100</v>
      </c>
      <c r="H9" s="14">
        <v>44100</v>
      </c>
      <c r="I9" s="14">
        <v>44100</v>
      </c>
      <c r="J9" s="14">
        <v>44100</v>
      </c>
      <c r="K9" s="14">
        <v>44100</v>
      </c>
      <c r="L9" s="14">
        <v>44100</v>
      </c>
      <c r="M9" s="14">
        <v>44100</v>
      </c>
      <c r="N9" s="14">
        <v>44100</v>
      </c>
      <c r="O9" s="15">
        <f>SUM(C9:N9)</f>
        <v>524000</v>
      </c>
      <c r="Q9" s="16" t="s">
        <v>222</v>
      </c>
    </row>
    <row r="10" spans="1:17" ht="15" x14ac:dyDescent="0.2">
      <c r="A10" s="12"/>
      <c r="B10" s="13" t="s">
        <v>119</v>
      </c>
      <c r="C10" s="17">
        <v>0</v>
      </c>
      <c r="D10" s="17">
        <f>+C10</f>
        <v>0</v>
      </c>
      <c r="E10" s="17">
        <f t="shared" ref="E10:N25" si="0">+D10</f>
        <v>0</v>
      </c>
      <c r="F10" s="17">
        <f t="shared" si="0"/>
        <v>0</v>
      </c>
      <c r="G10" s="17">
        <f t="shared" si="0"/>
        <v>0</v>
      </c>
      <c r="H10" s="17">
        <v>0</v>
      </c>
      <c r="I10" s="17">
        <f t="shared" si="0"/>
        <v>0</v>
      </c>
      <c r="J10" s="17">
        <f t="shared" si="0"/>
        <v>0</v>
      </c>
      <c r="K10" s="17">
        <f t="shared" si="0"/>
        <v>0</v>
      </c>
      <c r="L10" s="17">
        <f t="shared" si="0"/>
        <v>0</v>
      </c>
      <c r="M10" s="17">
        <f t="shared" si="0"/>
        <v>0</v>
      </c>
      <c r="N10" s="17">
        <f t="shared" si="0"/>
        <v>0</v>
      </c>
      <c r="O10" s="18">
        <f>SUM(C10:N10)</f>
        <v>0</v>
      </c>
    </row>
    <row r="11" spans="1:17" ht="15" x14ac:dyDescent="0.2">
      <c r="A11" s="12"/>
      <c r="B11" s="13" t="s">
        <v>120</v>
      </c>
      <c r="C11" s="17">
        <v>2140</v>
      </c>
      <c r="D11" s="17">
        <v>2996</v>
      </c>
      <c r="E11" s="17">
        <f t="shared" si="0"/>
        <v>2996</v>
      </c>
      <c r="F11" s="17">
        <f t="shared" si="0"/>
        <v>2996</v>
      </c>
      <c r="G11" s="17">
        <v>3087</v>
      </c>
      <c r="H11" s="17">
        <v>3087</v>
      </c>
      <c r="I11" s="17">
        <v>3087</v>
      </c>
      <c r="J11" s="17">
        <v>3969</v>
      </c>
      <c r="K11" s="17">
        <f t="shared" si="0"/>
        <v>3969</v>
      </c>
      <c r="L11" s="17">
        <f t="shared" si="0"/>
        <v>3969</v>
      </c>
      <c r="M11" s="17">
        <f t="shared" si="0"/>
        <v>3969</v>
      </c>
      <c r="N11" s="17">
        <f t="shared" si="0"/>
        <v>3969</v>
      </c>
      <c r="O11" s="18">
        <f>SUM(C11:N11)</f>
        <v>40234</v>
      </c>
    </row>
    <row r="12" spans="1:17" ht="30" x14ac:dyDescent="0.2">
      <c r="A12" s="12"/>
      <c r="B12" s="13" t="s">
        <v>895</v>
      </c>
      <c r="C12" s="17">
        <v>0</v>
      </c>
      <c r="D12" s="17">
        <f>+C12</f>
        <v>0</v>
      </c>
      <c r="E12" s="17">
        <f t="shared" si="0"/>
        <v>0</v>
      </c>
      <c r="F12" s="17">
        <f t="shared" si="0"/>
        <v>0</v>
      </c>
      <c r="G12" s="17">
        <f t="shared" si="0"/>
        <v>0</v>
      </c>
      <c r="H12" s="17">
        <v>0</v>
      </c>
      <c r="I12" s="17">
        <v>15729</v>
      </c>
      <c r="J12" s="17">
        <v>0</v>
      </c>
      <c r="K12" s="17">
        <f t="shared" si="0"/>
        <v>0</v>
      </c>
      <c r="L12" s="17">
        <f t="shared" si="0"/>
        <v>0</v>
      </c>
      <c r="M12" s="17">
        <f t="shared" si="0"/>
        <v>0</v>
      </c>
      <c r="N12" s="17">
        <f t="shared" si="0"/>
        <v>0</v>
      </c>
      <c r="O12" s="18">
        <f>SUM(C12:N12)</f>
        <v>15729</v>
      </c>
    </row>
    <row r="13" spans="1:17" ht="15" hidden="1" x14ac:dyDescent="0.2">
      <c r="A13" s="12"/>
      <c r="B13" s="13" t="s">
        <v>122</v>
      </c>
      <c r="C13" s="17">
        <v>0</v>
      </c>
      <c r="D13" s="17">
        <f>+C13</f>
        <v>0</v>
      </c>
      <c r="E13" s="17">
        <f t="shared" si="0"/>
        <v>0</v>
      </c>
      <c r="F13" s="17">
        <f t="shared" si="0"/>
        <v>0</v>
      </c>
      <c r="G13" s="17">
        <f t="shared" si="0"/>
        <v>0</v>
      </c>
      <c r="H13" s="17">
        <v>0</v>
      </c>
      <c r="I13" s="17">
        <f t="shared" ref="I13:N13" si="1">+H13</f>
        <v>0</v>
      </c>
      <c r="J13" s="17">
        <f t="shared" si="1"/>
        <v>0</v>
      </c>
      <c r="K13" s="17">
        <f t="shared" si="1"/>
        <v>0</v>
      </c>
      <c r="L13" s="17">
        <f t="shared" si="1"/>
        <v>0</v>
      </c>
      <c r="M13" s="17">
        <f t="shared" si="1"/>
        <v>0</v>
      </c>
      <c r="N13" s="17">
        <f t="shared" si="1"/>
        <v>0</v>
      </c>
      <c r="O13" s="18">
        <f t="shared" ref="O13:O36" si="2">SUM(C13:N13)</f>
        <v>0</v>
      </c>
    </row>
    <row r="14" spans="1:17" ht="15" x14ac:dyDescent="0.2">
      <c r="A14" s="12"/>
      <c r="B14" s="13" t="s">
        <v>123</v>
      </c>
      <c r="C14" s="17">
        <v>3780</v>
      </c>
      <c r="D14" s="17">
        <v>3852</v>
      </c>
      <c r="E14" s="17">
        <f t="shared" si="0"/>
        <v>3852</v>
      </c>
      <c r="F14" s="17">
        <f t="shared" si="0"/>
        <v>3852</v>
      </c>
      <c r="G14" s="17">
        <f t="shared" si="0"/>
        <v>3852</v>
      </c>
      <c r="H14" s="17">
        <f>+G14</f>
        <v>3852</v>
      </c>
      <c r="I14" s="17">
        <f>+H14</f>
        <v>3852</v>
      </c>
      <c r="J14" s="17">
        <v>3924</v>
      </c>
      <c r="K14" s="17">
        <f>+J14</f>
        <v>3924</v>
      </c>
      <c r="L14" s="17">
        <f>+K14</f>
        <v>3924</v>
      </c>
      <c r="M14" s="17">
        <f>+L14</f>
        <v>3924</v>
      </c>
      <c r="N14" s="17">
        <f>+M14</f>
        <v>3924</v>
      </c>
      <c r="O14" s="18">
        <f t="shared" si="2"/>
        <v>46512</v>
      </c>
    </row>
    <row r="15" spans="1:17" ht="15" hidden="1" x14ac:dyDescent="0.2">
      <c r="A15" s="12"/>
      <c r="B15" s="13" t="s">
        <v>124</v>
      </c>
      <c r="C15" s="17">
        <v>0</v>
      </c>
      <c r="D15" s="17">
        <f t="shared" ref="D15:G34" si="3">+C15</f>
        <v>0</v>
      </c>
      <c r="E15" s="17">
        <f t="shared" si="0"/>
        <v>0</v>
      </c>
      <c r="F15" s="17">
        <f t="shared" si="0"/>
        <v>0</v>
      </c>
      <c r="G15" s="17">
        <f t="shared" si="0"/>
        <v>0</v>
      </c>
      <c r="H15" s="17">
        <v>0</v>
      </c>
      <c r="I15" s="17">
        <f t="shared" ref="I15:N18" si="4">+H15</f>
        <v>0</v>
      </c>
      <c r="J15" s="17">
        <f t="shared" si="4"/>
        <v>0</v>
      </c>
      <c r="K15" s="17">
        <f t="shared" si="4"/>
        <v>0</v>
      </c>
      <c r="L15" s="17">
        <f t="shared" si="4"/>
        <v>0</v>
      </c>
      <c r="M15" s="17">
        <f t="shared" si="4"/>
        <v>0</v>
      </c>
      <c r="N15" s="17">
        <f t="shared" si="4"/>
        <v>0</v>
      </c>
      <c r="O15" s="18">
        <f t="shared" si="2"/>
        <v>0</v>
      </c>
    </row>
    <row r="16" spans="1:17" ht="15" hidden="1" x14ac:dyDescent="0.2">
      <c r="A16" s="12"/>
      <c r="B16" s="13" t="s">
        <v>405</v>
      </c>
      <c r="C16" s="17">
        <v>0</v>
      </c>
      <c r="D16" s="17">
        <f t="shared" si="3"/>
        <v>0</v>
      </c>
      <c r="E16" s="17">
        <f t="shared" si="0"/>
        <v>0</v>
      </c>
      <c r="F16" s="17">
        <f t="shared" si="0"/>
        <v>0</v>
      </c>
      <c r="G16" s="17">
        <f t="shared" si="0"/>
        <v>0</v>
      </c>
      <c r="H16" s="17">
        <v>0</v>
      </c>
      <c r="I16" s="17">
        <f t="shared" si="4"/>
        <v>0</v>
      </c>
      <c r="J16" s="17">
        <f t="shared" si="4"/>
        <v>0</v>
      </c>
      <c r="K16" s="17">
        <f t="shared" si="4"/>
        <v>0</v>
      </c>
      <c r="L16" s="17">
        <f t="shared" si="4"/>
        <v>0</v>
      </c>
      <c r="M16" s="17">
        <f t="shared" si="4"/>
        <v>0</v>
      </c>
      <c r="N16" s="17">
        <f t="shared" si="4"/>
        <v>0</v>
      </c>
      <c r="O16" s="18">
        <f t="shared" si="2"/>
        <v>0</v>
      </c>
    </row>
    <row r="17" spans="1:15" ht="15" hidden="1" x14ac:dyDescent="0.2">
      <c r="A17" s="12"/>
      <c r="B17" s="13" t="s">
        <v>126</v>
      </c>
      <c r="C17" s="17">
        <v>0</v>
      </c>
      <c r="D17" s="17">
        <f t="shared" si="3"/>
        <v>0</v>
      </c>
      <c r="E17" s="17">
        <f t="shared" si="0"/>
        <v>0</v>
      </c>
      <c r="F17" s="17">
        <f t="shared" si="0"/>
        <v>0</v>
      </c>
      <c r="G17" s="17">
        <f t="shared" si="0"/>
        <v>0</v>
      </c>
      <c r="H17" s="17">
        <v>0</v>
      </c>
      <c r="I17" s="17">
        <f t="shared" si="4"/>
        <v>0</v>
      </c>
      <c r="J17" s="17">
        <f t="shared" si="4"/>
        <v>0</v>
      </c>
      <c r="K17" s="17">
        <f t="shared" si="4"/>
        <v>0</v>
      </c>
      <c r="L17" s="17">
        <f t="shared" si="4"/>
        <v>0</v>
      </c>
      <c r="M17" s="17">
        <f t="shared" si="4"/>
        <v>0</v>
      </c>
      <c r="N17" s="17">
        <f t="shared" si="4"/>
        <v>0</v>
      </c>
      <c r="O17" s="18">
        <f t="shared" si="2"/>
        <v>0</v>
      </c>
    </row>
    <row r="18" spans="1:15" ht="15" hidden="1" x14ac:dyDescent="0.2">
      <c r="A18" s="12"/>
      <c r="B18" s="13" t="s">
        <v>609</v>
      </c>
      <c r="C18" s="17">
        <v>0</v>
      </c>
      <c r="D18" s="17">
        <f t="shared" si="3"/>
        <v>0</v>
      </c>
      <c r="E18" s="17">
        <f t="shared" si="0"/>
        <v>0</v>
      </c>
      <c r="F18" s="17">
        <f t="shared" si="0"/>
        <v>0</v>
      </c>
      <c r="G18" s="17">
        <f t="shared" si="0"/>
        <v>0</v>
      </c>
      <c r="H18" s="17">
        <v>0</v>
      </c>
      <c r="I18" s="17">
        <f t="shared" si="4"/>
        <v>0</v>
      </c>
      <c r="J18" s="17">
        <f t="shared" si="4"/>
        <v>0</v>
      </c>
      <c r="K18" s="17">
        <f t="shared" si="4"/>
        <v>0</v>
      </c>
      <c r="L18" s="17">
        <f t="shared" si="4"/>
        <v>0</v>
      </c>
      <c r="M18" s="17">
        <f t="shared" si="4"/>
        <v>0</v>
      </c>
      <c r="N18" s="17">
        <f t="shared" si="4"/>
        <v>0</v>
      </c>
      <c r="O18" s="18">
        <f t="shared" si="2"/>
        <v>0</v>
      </c>
    </row>
    <row r="19" spans="1:15" ht="15" x14ac:dyDescent="0.2">
      <c r="A19" s="12"/>
      <c r="B19" s="13" t="s">
        <v>128</v>
      </c>
      <c r="C19" s="17">
        <v>10272</v>
      </c>
      <c r="D19" s="17">
        <f t="shared" si="3"/>
        <v>10272</v>
      </c>
      <c r="E19" s="17">
        <f t="shared" si="0"/>
        <v>10272</v>
      </c>
      <c r="F19" s="17">
        <f t="shared" si="0"/>
        <v>10272</v>
      </c>
      <c r="G19" s="17">
        <v>10584</v>
      </c>
      <c r="H19" s="17">
        <v>10584</v>
      </c>
      <c r="I19" s="17">
        <v>10584</v>
      </c>
      <c r="J19" s="17">
        <v>10584</v>
      </c>
      <c r="K19" s="17">
        <v>10584</v>
      </c>
      <c r="L19" s="17">
        <v>10584</v>
      </c>
      <c r="M19" s="17">
        <v>10584</v>
      </c>
      <c r="N19" s="17">
        <v>10584</v>
      </c>
      <c r="O19" s="18">
        <f t="shared" si="2"/>
        <v>125760</v>
      </c>
    </row>
    <row r="20" spans="1:15" ht="15" customHeight="1" x14ac:dyDescent="0.2">
      <c r="A20" s="12"/>
      <c r="B20" s="13" t="s">
        <v>129</v>
      </c>
      <c r="C20" s="17">
        <v>0</v>
      </c>
      <c r="D20" s="17">
        <f t="shared" si="3"/>
        <v>0</v>
      </c>
      <c r="E20" s="17">
        <f t="shared" si="0"/>
        <v>0</v>
      </c>
      <c r="F20" s="17">
        <f t="shared" si="0"/>
        <v>0</v>
      </c>
      <c r="G20" s="17">
        <f t="shared" si="0"/>
        <v>0</v>
      </c>
      <c r="H20" s="17">
        <v>0</v>
      </c>
      <c r="I20" s="17">
        <f t="shared" ref="I20:N35" si="5">+H20</f>
        <v>0</v>
      </c>
      <c r="J20" s="17">
        <f t="shared" si="5"/>
        <v>0</v>
      </c>
      <c r="K20" s="17">
        <f t="shared" si="5"/>
        <v>0</v>
      </c>
      <c r="L20" s="17">
        <f t="shared" si="5"/>
        <v>0</v>
      </c>
      <c r="M20" s="17">
        <f t="shared" si="5"/>
        <v>0</v>
      </c>
      <c r="N20" s="17">
        <f t="shared" si="5"/>
        <v>0</v>
      </c>
      <c r="O20" s="18">
        <f t="shared" si="2"/>
        <v>0</v>
      </c>
    </row>
    <row r="21" spans="1:15" ht="15" hidden="1" customHeight="1" x14ac:dyDescent="0.2">
      <c r="A21" s="878" t="s">
        <v>130</v>
      </c>
      <c r="B21" s="19" t="s">
        <v>131</v>
      </c>
      <c r="C21" s="17">
        <v>0</v>
      </c>
      <c r="D21" s="17">
        <f t="shared" si="3"/>
        <v>0</v>
      </c>
      <c r="E21" s="17">
        <f t="shared" si="0"/>
        <v>0</v>
      </c>
      <c r="F21" s="17">
        <f t="shared" si="0"/>
        <v>0</v>
      </c>
      <c r="G21" s="17">
        <f t="shared" si="0"/>
        <v>0</v>
      </c>
      <c r="H21" s="17">
        <v>0</v>
      </c>
      <c r="I21" s="17">
        <f t="shared" si="5"/>
        <v>0</v>
      </c>
      <c r="J21" s="17">
        <f t="shared" si="5"/>
        <v>0</v>
      </c>
      <c r="K21" s="17">
        <f t="shared" si="5"/>
        <v>0</v>
      </c>
      <c r="L21" s="17">
        <f t="shared" si="5"/>
        <v>0</v>
      </c>
      <c r="M21" s="17">
        <f t="shared" si="5"/>
        <v>0</v>
      </c>
      <c r="N21" s="17">
        <f t="shared" si="5"/>
        <v>0</v>
      </c>
      <c r="O21" s="18">
        <f t="shared" si="2"/>
        <v>0</v>
      </c>
    </row>
    <row r="22" spans="1:15" ht="15" customHeight="1" x14ac:dyDescent="0.2">
      <c r="A22" s="879"/>
      <c r="B22" s="19" t="s">
        <v>132</v>
      </c>
      <c r="C22" s="17">
        <v>0</v>
      </c>
      <c r="D22" s="17">
        <f t="shared" si="3"/>
        <v>0</v>
      </c>
      <c r="E22" s="17">
        <f t="shared" si="0"/>
        <v>0</v>
      </c>
      <c r="F22" s="17">
        <f t="shared" si="0"/>
        <v>0</v>
      </c>
      <c r="G22" s="17">
        <f t="shared" si="0"/>
        <v>0</v>
      </c>
      <c r="H22" s="17">
        <v>0</v>
      </c>
      <c r="I22" s="17">
        <f t="shared" si="5"/>
        <v>0</v>
      </c>
      <c r="J22" s="17">
        <v>6908</v>
      </c>
      <c r="K22" s="17">
        <v>0</v>
      </c>
      <c r="L22" s="17">
        <f t="shared" si="5"/>
        <v>0</v>
      </c>
      <c r="M22" s="17">
        <f t="shared" si="5"/>
        <v>0</v>
      </c>
      <c r="N22" s="17">
        <f t="shared" si="5"/>
        <v>0</v>
      </c>
      <c r="O22" s="18">
        <f t="shared" si="2"/>
        <v>6908</v>
      </c>
    </row>
    <row r="23" spans="1:15" ht="15" hidden="1" customHeight="1" x14ac:dyDescent="0.2">
      <c r="A23" s="879"/>
      <c r="B23" s="19" t="s">
        <v>133</v>
      </c>
      <c r="C23" s="17">
        <v>0</v>
      </c>
      <c r="D23" s="17">
        <f t="shared" si="3"/>
        <v>0</v>
      </c>
      <c r="E23" s="17">
        <f t="shared" si="0"/>
        <v>0</v>
      </c>
      <c r="F23" s="17">
        <f t="shared" si="0"/>
        <v>0</v>
      </c>
      <c r="G23" s="17">
        <f t="shared" si="0"/>
        <v>0</v>
      </c>
      <c r="H23" s="17">
        <v>0</v>
      </c>
      <c r="I23" s="17">
        <f t="shared" si="5"/>
        <v>0</v>
      </c>
      <c r="J23" s="17">
        <f t="shared" si="5"/>
        <v>0</v>
      </c>
      <c r="K23" s="17">
        <f t="shared" si="5"/>
        <v>0</v>
      </c>
      <c r="L23" s="17">
        <f t="shared" si="5"/>
        <v>0</v>
      </c>
      <c r="M23" s="17">
        <f t="shared" si="5"/>
        <v>0</v>
      </c>
      <c r="N23" s="17">
        <f t="shared" si="5"/>
        <v>0</v>
      </c>
      <c r="O23" s="18">
        <f t="shared" si="2"/>
        <v>0</v>
      </c>
    </row>
    <row r="24" spans="1:15" ht="15" hidden="1" customHeight="1" x14ac:dyDescent="0.2">
      <c r="A24" s="879"/>
      <c r="B24" s="19" t="s">
        <v>134</v>
      </c>
      <c r="C24" s="17">
        <v>0</v>
      </c>
      <c r="D24" s="17">
        <f t="shared" si="3"/>
        <v>0</v>
      </c>
      <c r="E24" s="17">
        <f t="shared" si="0"/>
        <v>0</v>
      </c>
      <c r="F24" s="17">
        <f t="shared" si="0"/>
        <v>0</v>
      </c>
      <c r="G24" s="17">
        <f t="shared" si="0"/>
        <v>0</v>
      </c>
      <c r="H24" s="17">
        <v>0</v>
      </c>
      <c r="I24" s="17">
        <f t="shared" si="5"/>
        <v>0</v>
      </c>
      <c r="J24" s="17">
        <f t="shared" si="5"/>
        <v>0</v>
      </c>
      <c r="K24" s="17">
        <f t="shared" si="5"/>
        <v>0</v>
      </c>
      <c r="L24" s="17">
        <f t="shared" si="5"/>
        <v>0</v>
      </c>
      <c r="M24" s="17">
        <f t="shared" si="5"/>
        <v>0</v>
      </c>
      <c r="N24" s="17">
        <f t="shared" si="5"/>
        <v>0</v>
      </c>
      <c r="O24" s="18">
        <f t="shared" si="2"/>
        <v>0</v>
      </c>
    </row>
    <row r="25" spans="1:15" ht="15" hidden="1" customHeight="1" x14ac:dyDescent="0.2">
      <c r="A25" s="879"/>
      <c r="B25" s="19" t="s">
        <v>135</v>
      </c>
      <c r="C25" s="17">
        <v>0</v>
      </c>
      <c r="D25" s="17">
        <f t="shared" si="3"/>
        <v>0</v>
      </c>
      <c r="E25" s="17">
        <f t="shared" si="0"/>
        <v>0</v>
      </c>
      <c r="F25" s="17">
        <f t="shared" si="0"/>
        <v>0</v>
      </c>
      <c r="G25" s="17">
        <f t="shared" si="0"/>
        <v>0</v>
      </c>
      <c r="H25" s="17">
        <v>0</v>
      </c>
      <c r="I25" s="17">
        <f t="shared" si="5"/>
        <v>0</v>
      </c>
      <c r="J25" s="17">
        <f t="shared" si="5"/>
        <v>0</v>
      </c>
      <c r="K25" s="17">
        <f t="shared" si="5"/>
        <v>0</v>
      </c>
      <c r="L25" s="17">
        <f t="shared" si="5"/>
        <v>0</v>
      </c>
      <c r="M25" s="17">
        <f t="shared" si="5"/>
        <v>0</v>
      </c>
      <c r="N25" s="17">
        <f t="shared" si="5"/>
        <v>0</v>
      </c>
      <c r="O25" s="18">
        <f t="shared" si="2"/>
        <v>0</v>
      </c>
    </row>
    <row r="26" spans="1:15" ht="15" hidden="1" customHeight="1" x14ac:dyDescent="0.2">
      <c r="A26" s="879"/>
      <c r="B26" s="19" t="s">
        <v>136</v>
      </c>
      <c r="C26" s="17">
        <v>0</v>
      </c>
      <c r="D26" s="17">
        <f t="shared" si="3"/>
        <v>0</v>
      </c>
      <c r="E26" s="17">
        <f t="shared" si="3"/>
        <v>0</v>
      </c>
      <c r="F26" s="17">
        <f t="shared" si="3"/>
        <v>0</v>
      </c>
      <c r="G26" s="17">
        <f t="shared" si="3"/>
        <v>0</v>
      </c>
      <c r="H26" s="17">
        <v>0</v>
      </c>
      <c r="I26" s="17">
        <f t="shared" si="5"/>
        <v>0</v>
      </c>
      <c r="J26" s="17">
        <f t="shared" si="5"/>
        <v>0</v>
      </c>
      <c r="K26" s="17">
        <f t="shared" si="5"/>
        <v>0</v>
      </c>
      <c r="L26" s="17">
        <f t="shared" si="5"/>
        <v>0</v>
      </c>
      <c r="M26" s="17">
        <f t="shared" si="5"/>
        <v>0</v>
      </c>
      <c r="N26" s="17">
        <f t="shared" si="5"/>
        <v>0</v>
      </c>
      <c r="O26" s="18">
        <f t="shared" si="2"/>
        <v>0</v>
      </c>
    </row>
    <row r="27" spans="1:15" ht="15" hidden="1" customHeight="1" x14ac:dyDescent="0.2">
      <c r="A27" s="879"/>
      <c r="B27" s="19" t="s">
        <v>137</v>
      </c>
      <c r="C27" s="17">
        <v>0</v>
      </c>
      <c r="D27" s="17">
        <f t="shared" si="3"/>
        <v>0</v>
      </c>
      <c r="E27" s="17">
        <f t="shared" si="3"/>
        <v>0</v>
      </c>
      <c r="F27" s="17">
        <f t="shared" si="3"/>
        <v>0</v>
      </c>
      <c r="G27" s="17">
        <f t="shared" si="3"/>
        <v>0</v>
      </c>
      <c r="H27" s="17">
        <v>0</v>
      </c>
      <c r="I27" s="17">
        <f t="shared" si="5"/>
        <v>0</v>
      </c>
      <c r="J27" s="17">
        <f t="shared" si="5"/>
        <v>0</v>
      </c>
      <c r="K27" s="17">
        <f t="shared" si="5"/>
        <v>0</v>
      </c>
      <c r="L27" s="17">
        <f t="shared" si="5"/>
        <v>0</v>
      </c>
      <c r="M27" s="17">
        <f t="shared" si="5"/>
        <v>0</v>
      </c>
      <c r="N27" s="17">
        <f t="shared" si="5"/>
        <v>0</v>
      </c>
      <c r="O27" s="18">
        <f t="shared" si="2"/>
        <v>0</v>
      </c>
    </row>
    <row r="28" spans="1:15" ht="15" hidden="1" customHeight="1" x14ac:dyDescent="0.2">
      <c r="A28" s="879"/>
      <c r="B28" s="19" t="s">
        <v>138</v>
      </c>
      <c r="C28" s="17">
        <v>0</v>
      </c>
      <c r="D28" s="17">
        <f t="shared" si="3"/>
        <v>0</v>
      </c>
      <c r="E28" s="17">
        <f t="shared" si="3"/>
        <v>0</v>
      </c>
      <c r="F28" s="17">
        <f t="shared" si="3"/>
        <v>0</v>
      </c>
      <c r="G28" s="17">
        <f t="shared" si="3"/>
        <v>0</v>
      </c>
      <c r="H28" s="17">
        <v>0</v>
      </c>
      <c r="I28" s="17">
        <f t="shared" si="5"/>
        <v>0</v>
      </c>
      <c r="J28" s="17">
        <f t="shared" si="5"/>
        <v>0</v>
      </c>
      <c r="K28" s="17">
        <f t="shared" si="5"/>
        <v>0</v>
      </c>
      <c r="L28" s="17">
        <f t="shared" si="5"/>
        <v>0</v>
      </c>
      <c r="M28" s="17">
        <f t="shared" si="5"/>
        <v>0</v>
      </c>
      <c r="N28" s="17">
        <f t="shared" si="5"/>
        <v>0</v>
      </c>
      <c r="O28" s="18">
        <f t="shared" si="2"/>
        <v>0</v>
      </c>
    </row>
    <row r="29" spans="1:15" ht="15" hidden="1" customHeight="1" x14ac:dyDescent="0.2">
      <c r="A29" s="879"/>
      <c r="B29" s="19" t="s">
        <v>139</v>
      </c>
      <c r="C29" s="17">
        <v>0</v>
      </c>
      <c r="D29" s="17">
        <f t="shared" si="3"/>
        <v>0</v>
      </c>
      <c r="E29" s="17">
        <f t="shared" si="3"/>
        <v>0</v>
      </c>
      <c r="F29" s="17">
        <f t="shared" si="3"/>
        <v>0</v>
      </c>
      <c r="G29" s="17">
        <f t="shared" si="3"/>
        <v>0</v>
      </c>
      <c r="H29" s="17">
        <v>0</v>
      </c>
      <c r="I29" s="17">
        <f t="shared" si="5"/>
        <v>0</v>
      </c>
      <c r="J29" s="17">
        <f t="shared" si="5"/>
        <v>0</v>
      </c>
      <c r="K29" s="17">
        <f t="shared" si="5"/>
        <v>0</v>
      </c>
      <c r="L29" s="17">
        <f t="shared" si="5"/>
        <v>0</v>
      </c>
      <c r="M29" s="17">
        <f t="shared" si="5"/>
        <v>0</v>
      </c>
      <c r="N29" s="17">
        <f t="shared" si="5"/>
        <v>0</v>
      </c>
      <c r="O29" s="18">
        <f t="shared" si="2"/>
        <v>0</v>
      </c>
    </row>
    <row r="30" spans="1:15" ht="15" hidden="1" customHeight="1" x14ac:dyDescent="0.2">
      <c r="A30" s="879"/>
      <c r="B30" s="19" t="s">
        <v>140</v>
      </c>
      <c r="C30" s="17">
        <v>0</v>
      </c>
      <c r="D30" s="17">
        <f t="shared" si="3"/>
        <v>0</v>
      </c>
      <c r="E30" s="17">
        <f t="shared" si="3"/>
        <v>0</v>
      </c>
      <c r="F30" s="17">
        <f t="shared" si="3"/>
        <v>0</v>
      </c>
      <c r="G30" s="17">
        <f t="shared" si="3"/>
        <v>0</v>
      </c>
      <c r="H30" s="17">
        <v>0</v>
      </c>
      <c r="I30" s="17">
        <f t="shared" si="5"/>
        <v>0</v>
      </c>
      <c r="J30" s="17">
        <f t="shared" si="5"/>
        <v>0</v>
      </c>
      <c r="K30" s="17">
        <f t="shared" si="5"/>
        <v>0</v>
      </c>
      <c r="L30" s="17">
        <f t="shared" si="5"/>
        <v>0</v>
      </c>
      <c r="M30" s="17">
        <f t="shared" si="5"/>
        <v>0</v>
      </c>
      <c r="N30" s="17">
        <f t="shared" si="5"/>
        <v>0</v>
      </c>
      <c r="O30" s="18">
        <f t="shared" si="2"/>
        <v>0</v>
      </c>
    </row>
    <row r="31" spans="1:15" ht="15" hidden="1" customHeight="1" x14ac:dyDescent="0.2">
      <c r="A31" s="879"/>
      <c r="B31" s="19" t="s">
        <v>225</v>
      </c>
      <c r="C31" s="17">
        <v>0</v>
      </c>
      <c r="D31" s="17">
        <f t="shared" si="3"/>
        <v>0</v>
      </c>
      <c r="E31" s="17">
        <f t="shared" si="3"/>
        <v>0</v>
      </c>
      <c r="F31" s="17">
        <f t="shared" si="3"/>
        <v>0</v>
      </c>
      <c r="G31" s="17">
        <f t="shared" si="3"/>
        <v>0</v>
      </c>
      <c r="H31" s="17">
        <v>0</v>
      </c>
      <c r="I31" s="17">
        <f t="shared" si="5"/>
        <v>0</v>
      </c>
      <c r="J31" s="17">
        <f t="shared" si="5"/>
        <v>0</v>
      </c>
      <c r="K31" s="17">
        <f t="shared" si="5"/>
        <v>0</v>
      </c>
      <c r="L31" s="17">
        <f t="shared" si="5"/>
        <v>0</v>
      </c>
      <c r="M31" s="17">
        <f t="shared" si="5"/>
        <v>0</v>
      </c>
      <c r="N31" s="17">
        <f t="shared" si="5"/>
        <v>0</v>
      </c>
      <c r="O31" s="18">
        <f t="shared" si="2"/>
        <v>0</v>
      </c>
    </row>
    <row r="32" spans="1:15" ht="15" customHeight="1" x14ac:dyDescent="0.2">
      <c r="A32" s="879"/>
      <c r="B32" s="21" t="s">
        <v>142</v>
      </c>
      <c r="C32" s="17">
        <v>0</v>
      </c>
      <c r="D32" s="17">
        <f t="shared" si="3"/>
        <v>0</v>
      </c>
      <c r="E32" s="17">
        <f t="shared" si="3"/>
        <v>0</v>
      </c>
      <c r="F32" s="17">
        <f t="shared" si="3"/>
        <v>0</v>
      </c>
      <c r="G32" s="17">
        <f t="shared" si="3"/>
        <v>0</v>
      </c>
      <c r="H32" s="17">
        <v>0</v>
      </c>
      <c r="I32" s="17">
        <f t="shared" si="5"/>
        <v>0</v>
      </c>
      <c r="J32" s="17">
        <f t="shared" si="5"/>
        <v>0</v>
      </c>
      <c r="K32" s="17">
        <f t="shared" si="5"/>
        <v>0</v>
      </c>
      <c r="L32" s="17">
        <f t="shared" si="5"/>
        <v>0</v>
      </c>
      <c r="M32" s="17">
        <f t="shared" si="5"/>
        <v>0</v>
      </c>
      <c r="N32" s="17">
        <f t="shared" si="5"/>
        <v>0</v>
      </c>
      <c r="O32" s="18">
        <f t="shared" si="2"/>
        <v>0</v>
      </c>
    </row>
    <row r="33" spans="1:16" ht="15" hidden="1" customHeight="1" x14ac:dyDescent="0.2">
      <c r="A33" s="880"/>
      <c r="B33" s="19" t="s">
        <v>226</v>
      </c>
      <c r="C33" s="17">
        <v>0</v>
      </c>
      <c r="D33" s="17">
        <f t="shared" si="3"/>
        <v>0</v>
      </c>
      <c r="E33" s="17">
        <f t="shared" si="3"/>
        <v>0</v>
      </c>
      <c r="F33" s="17">
        <f t="shared" si="3"/>
        <v>0</v>
      </c>
      <c r="G33" s="17">
        <f t="shared" si="3"/>
        <v>0</v>
      </c>
      <c r="H33" s="17">
        <v>0</v>
      </c>
      <c r="I33" s="17">
        <f t="shared" si="5"/>
        <v>0</v>
      </c>
      <c r="J33" s="17">
        <f t="shared" si="5"/>
        <v>0</v>
      </c>
      <c r="K33" s="17">
        <f t="shared" si="5"/>
        <v>0</v>
      </c>
      <c r="L33" s="17">
        <f t="shared" si="5"/>
        <v>0</v>
      </c>
      <c r="M33" s="17">
        <f t="shared" si="5"/>
        <v>0</v>
      </c>
      <c r="N33" s="17">
        <f t="shared" si="5"/>
        <v>0</v>
      </c>
      <c r="O33" s="18">
        <f t="shared" si="2"/>
        <v>0</v>
      </c>
    </row>
    <row r="34" spans="1:16" ht="15" customHeight="1" x14ac:dyDescent="0.2">
      <c r="A34" s="219"/>
      <c r="B34" s="220" t="s">
        <v>143</v>
      </c>
      <c r="C34" s="17">
        <v>0</v>
      </c>
      <c r="D34" s="17">
        <f t="shared" si="3"/>
        <v>0</v>
      </c>
      <c r="E34" s="17">
        <f t="shared" si="3"/>
        <v>0</v>
      </c>
      <c r="F34" s="17">
        <f t="shared" si="3"/>
        <v>0</v>
      </c>
      <c r="G34" s="17">
        <f t="shared" si="3"/>
        <v>0</v>
      </c>
      <c r="H34" s="17">
        <v>0</v>
      </c>
      <c r="I34" s="17">
        <f t="shared" si="5"/>
        <v>0</v>
      </c>
      <c r="J34" s="17">
        <f t="shared" si="5"/>
        <v>0</v>
      </c>
      <c r="K34" s="17">
        <f t="shared" si="5"/>
        <v>0</v>
      </c>
      <c r="L34" s="17">
        <f t="shared" si="5"/>
        <v>0</v>
      </c>
      <c r="M34" s="17">
        <f t="shared" si="5"/>
        <v>0</v>
      </c>
      <c r="N34" s="17">
        <f t="shared" si="5"/>
        <v>0</v>
      </c>
      <c r="O34" s="18">
        <f t="shared" si="2"/>
        <v>0</v>
      </c>
    </row>
    <row r="35" spans="1:16" ht="15" customHeight="1" x14ac:dyDescent="0.2">
      <c r="A35" s="865" t="s">
        <v>145</v>
      </c>
      <c r="B35" s="866"/>
      <c r="C35" s="17">
        <v>0</v>
      </c>
      <c r="D35" s="17">
        <v>216</v>
      </c>
      <c r="E35" s="17">
        <v>0</v>
      </c>
      <c r="F35" s="17">
        <f>+E35</f>
        <v>0</v>
      </c>
      <c r="G35" s="17">
        <f t="shared" ref="G35:G36" si="6">+F35</f>
        <v>0</v>
      </c>
      <c r="H35" s="17">
        <v>0</v>
      </c>
      <c r="I35" s="17">
        <f t="shared" si="5"/>
        <v>0</v>
      </c>
      <c r="J35" s="17">
        <v>216</v>
      </c>
      <c r="K35" s="17">
        <v>0</v>
      </c>
      <c r="L35" s="17">
        <f t="shared" si="5"/>
        <v>0</v>
      </c>
      <c r="M35" s="17">
        <f t="shared" si="5"/>
        <v>0</v>
      </c>
      <c r="N35" s="17">
        <f t="shared" si="5"/>
        <v>0</v>
      </c>
      <c r="O35" s="18">
        <f t="shared" si="2"/>
        <v>432</v>
      </c>
    </row>
    <row r="36" spans="1:16" ht="15" customHeight="1" x14ac:dyDescent="0.2">
      <c r="A36" s="865" t="s">
        <v>146</v>
      </c>
      <c r="B36" s="866"/>
      <c r="C36" s="17">
        <v>0</v>
      </c>
      <c r="D36" s="17">
        <v>2568</v>
      </c>
      <c r="E36" s="17">
        <v>0</v>
      </c>
      <c r="F36" s="17">
        <f>+E36</f>
        <v>0</v>
      </c>
      <c r="G36" s="17">
        <f t="shared" si="6"/>
        <v>0</v>
      </c>
      <c r="H36" s="17">
        <v>0</v>
      </c>
      <c r="I36" s="17">
        <f t="shared" ref="I36:N36" si="7">+H36</f>
        <v>0</v>
      </c>
      <c r="J36" s="17">
        <v>2646</v>
      </c>
      <c r="K36" s="17">
        <v>0</v>
      </c>
      <c r="L36" s="17">
        <f t="shared" si="7"/>
        <v>0</v>
      </c>
      <c r="M36" s="17">
        <f t="shared" si="7"/>
        <v>0</v>
      </c>
      <c r="N36" s="17">
        <f t="shared" si="7"/>
        <v>0</v>
      </c>
      <c r="O36" s="18">
        <f t="shared" si="2"/>
        <v>5214</v>
      </c>
    </row>
    <row r="37" spans="1:16" ht="15" customHeight="1" x14ac:dyDescent="0.2">
      <c r="A37" s="22"/>
      <c r="B37" s="23" t="s">
        <v>147</v>
      </c>
      <c r="C37" s="24">
        <f t="shared" ref="C37:N37" si="8">SUM(C9:C36)</f>
        <v>58992</v>
      </c>
      <c r="D37" s="24">
        <f t="shared" si="8"/>
        <v>62704</v>
      </c>
      <c r="E37" s="24">
        <f t="shared" si="8"/>
        <v>59920</v>
      </c>
      <c r="F37" s="24">
        <f t="shared" si="8"/>
        <v>59920</v>
      </c>
      <c r="G37" s="24">
        <f t="shared" si="8"/>
        <v>61623</v>
      </c>
      <c r="H37" s="24">
        <f t="shared" si="8"/>
        <v>61623</v>
      </c>
      <c r="I37" s="24">
        <f t="shared" si="8"/>
        <v>77352</v>
      </c>
      <c r="J37" s="24">
        <f t="shared" si="8"/>
        <v>72347</v>
      </c>
      <c r="K37" s="24">
        <f t="shared" si="8"/>
        <v>62577</v>
      </c>
      <c r="L37" s="24">
        <f t="shared" si="8"/>
        <v>62577</v>
      </c>
      <c r="M37" s="24">
        <f t="shared" si="8"/>
        <v>62577</v>
      </c>
      <c r="N37" s="24">
        <f t="shared" si="8"/>
        <v>62577</v>
      </c>
      <c r="O37" s="25">
        <f t="shared" ref="O37:O50" si="9">SUM(C37:N37)</f>
        <v>764789</v>
      </c>
    </row>
    <row r="38" spans="1:16" ht="15" customHeight="1" x14ac:dyDescent="0.25">
      <c r="A38" s="853" t="s">
        <v>148</v>
      </c>
      <c r="B38" s="27" t="s">
        <v>149</v>
      </c>
      <c r="C38" s="28">
        <v>1694</v>
      </c>
      <c r="D38" s="28">
        <v>1500</v>
      </c>
      <c r="E38" s="28">
        <v>1500</v>
      </c>
      <c r="F38" s="28">
        <v>1500</v>
      </c>
      <c r="G38" s="28">
        <v>1500</v>
      </c>
      <c r="H38" s="28">
        <v>1500</v>
      </c>
      <c r="I38" s="28">
        <v>1500</v>
      </c>
      <c r="J38" s="28">
        <v>1500</v>
      </c>
      <c r="K38" s="28">
        <v>4000</v>
      </c>
      <c r="L38" s="28">
        <v>3860</v>
      </c>
      <c r="M38" s="28">
        <v>3860</v>
      </c>
      <c r="N38">
        <v>4130</v>
      </c>
      <c r="O38" s="18">
        <f t="shared" si="9"/>
        <v>28044</v>
      </c>
      <c r="P38" s="29"/>
    </row>
    <row r="39" spans="1:16" ht="15" x14ac:dyDescent="0.2">
      <c r="A39" s="854"/>
      <c r="B39" s="27" t="s">
        <v>150</v>
      </c>
      <c r="C39" s="147">
        <v>0</v>
      </c>
      <c r="D39" s="147">
        <v>0</v>
      </c>
      <c r="E39" s="147">
        <v>0</v>
      </c>
      <c r="F39" s="28">
        <v>0</v>
      </c>
      <c r="G39" s="28">
        <v>0</v>
      </c>
      <c r="H39" s="28">
        <v>0</v>
      </c>
      <c r="I39" s="28">
        <v>0</v>
      </c>
      <c r="J39" s="28">
        <v>0</v>
      </c>
      <c r="K39" s="28">
        <v>0</v>
      </c>
      <c r="L39" s="28">
        <v>0</v>
      </c>
      <c r="M39" s="28">
        <v>0</v>
      </c>
      <c r="N39" s="28">
        <v>0</v>
      </c>
      <c r="O39" s="18">
        <f t="shared" si="9"/>
        <v>0</v>
      </c>
    </row>
    <row r="40" spans="1:16" ht="15" x14ac:dyDescent="0.2">
      <c r="A40" s="854"/>
      <c r="B40" s="27" t="s">
        <v>151</v>
      </c>
      <c r="C40" s="147">
        <v>30</v>
      </c>
      <c r="D40" s="147">
        <v>30</v>
      </c>
      <c r="E40" s="147">
        <v>30</v>
      </c>
      <c r="F40" s="147">
        <v>30</v>
      </c>
      <c r="G40" s="147">
        <v>30</v>
      </c>
      <c r="H40" s="147">
        <v>30</v>
      </c>
      <c r="I40" s="147">
        <v>30</v>
      </c>
      <c r="J40" s="147">
        <v>30</v>
      </c>
      <c r="K40" s="147">
        <v>30</v>
      </c>
      <c r="L40" s="147">
        <v>30</v>
      </c>
      <c r="M40" s="147">
        <v>30</v>
      </c>
      <c r="N40" s="147">
        <v>30</v>
      </c>
      <c r="O40" s="18">
        <f t="shared" si="9"/>
        <v>360</v>
      </c>
    </row>
    <row r="41" spans="1:16" ht="15" x14ac:dyDescent="0.2">
      <c r="A41" s="854"/>
      <c r="B41" s="27" t="s">
        <v>152</v>
      </c>
      <c r="C41" s="147">
        <v>0</v>
      </c>
      <c r="D41" s="147">
        <v>0</v>
      </c>
      <c r="E41" s="147">
        <v>0</v>
      </c>
      <c r="F41" s="28">
        <v>0</v>
      </c>
      <c r="G41" s="28">
        <v>0</v>
      </c>
      <c r="H41" s="28">
        <v>0</v>
      </c>
      <c r="I41" s="28">
        <v>0</v>
      </c>
      <c r="J41" s="28">
        <v>0</v>
      </c>
      <c r="K41" s="28">
        <v>0</v>
      </c>
      <c r="L41" s="28">
        <v>0</v>
      </c>
      <c r="M41" s="28">
        <v>0</v>
      </c>
      <c r="N41" s="28">
        <v>0</v>
      </c>
      <c r="O41" s="18">
        <f t="shared" si="9"/>
        <v>0</v>
      </c>
    </row>
    <row r="42" spans="1:16" ht="15" x14ac:dyDescent="0.2">
      <c r="A42" s="854"/>
      <c r="B42" s="27" t="s">
        <v>153</v>
      </c>
      <c r="C42" s="147">
        <v>0</v>
      </c>
      <c r="D42" s="147">
        <v>0</v>
      </c>
      <c r="E42" s="147">
        <v>0</v>
      </c>
      <c r="F42" s="28">
        <v>0</v>
      </c>
      <c r="G42" s="28">
        <v>0</v>
      </c>
      <c r="H42" s="28">
        <v>0</v>
      </c>
      <c r="I42" s="28">
        <v>0</v>
      </c>
      <c r="J42" s="28">
        <v>0</v>
      </c>
      <c r="K42" s="28">
        <v>0</v>
      </c>
      <c r="L42" s="28">
        <v>0</v>
      </c>
      <c r="M42" s="28">
        <v>0</v>
      </c>
      <c r="N42" s="28">
        <v>0</v>
      </c>
      <c r="O42" s="18">
        <f t="shared" si="9"/>
        <v>0</v>
      </c>
    </row>
    <row r="43" spans="1:16" ht="15" x14ac:dyDescent="0.2">
      <c r="A43" s="854"/>
      <c r="B43" s="27" t="s">
        <v>154</v>
      </c>
      <c r="C43" s="147">
        <v>18000</v>
      </c>
      <c r="D43" s="147">
        <v>18000</v>
      </c>
      <c r="E43" s="147">
        <v>20000</v>
      </c>
      <c r="F43" s="147">
        <v>20000</v>
      </c>
      <c r="G43" s="147">
        <v>20000</v>
      </c>
      <c r="H43" s="147">
        <v>20000</v>
      </c>
      <c r="I43" s="147">
        <v>20000</v>
      </c>
      <c r="J43" s="147">
        <v>20000</v>
      </c>
      <c r="K43" s="147">
        <v>20000</v>
      </c>
      <c r="L43" s="147">
        <v>20000</v>
      </c>
      <c r="M43" s="147">
        <v>20000</v>
      </c>
      <c r="N43" s="147">
        <v>20000</v>
      </c>
      <c r="O43" s="18">
        <f t="shared" si="9"/>
        <v>236000</v>
      </c>
    </row>
    <row r="44" spans="1:16" ht="15" x14ac:dyDescent="0.2">
      <c r="A44" s="854"/>
      <c r="B44" s="27" t="s">
        <v>155</v>
      </c>
      <c r="C44" s="147">
        <v>200</v>
      </c>
      <c r="D44" s="147">
        <v>200</v>
      </c>
      <c r="E44" s="147">
        <v>200</v>
      </c>
      <c r="F44" s="147">
        <v>200</v>
      </c>
      <c r="G44" s="147">
        <v>200</v>
      </c>
      <c r="H44" s="147">
        <v>200</v>
      </c>
      <c r="I44" s="147">
        <v>200</v>
      </c>
      <c r="J44" s="147">
        <v>200</v>
      </c>
      <c r="K44" s="147">
        <v>200</v>
      </c>
      <c r="L44" s="147">
        <v>200</v>
      </c>
      <c r="M44" s="147">
        <v>200</v>
      </c>
      <c r="N44" s="28">
        <v>300</v>
      </c>
      <c r="O44" s="18">
        <f t="shared" si="9"/>
        <v>2500</v>
      </c>
    </row>
    <row r="45" spans="1:16" ht="15" x14ac:dyDescent="0.2">
      <c r="A45" s="854"/>
      <c r="B45" s="27" t="s">
        <v>156</v>
      </c>
      <c r="C45" s="147">
        <v>0</v>
      </c>
      <c r="D45" s="147">
        <v>0</v>
      </c>
      <c r="E45" s="147">
        <v>0</v>
      </c>
      <c r="F45" s="28">
        <v>0</v>
      </c>
      <c r="G45" s="28">
        <v>0</v>
      </c>
      <c r="H45" s="28">
        <v>0</v>
      </c>
      <c r="I45" s="28">
        <v>0</v>
      </c>
      <c r="J45" s="28">
        <v>0</v>
      </c>
      <c r="K45" s="28">
        <v>0</v>
      </c>
      <c r="L45" s="28">
        <v>0</v>
      </c>
      <c r="M45" s="28">
        <v>0</v>
      </c>
      <c r="N45" s="28">
        <v>0</v>
      </c>
      <c r="O45" s="18">
        <f t="shared" si="9"/>
        <v>0</v>
      </c>
    </row>
    <row r="46" spans="1:16" ht="15" x14ac:dyDescent="0.2">
      <c r="A46" s="854"/>
      <c r="B46" s="27" t="s">
        <v>157</v>
      </c>
      <c r="C46" s="147">
        <v>0</v>
      </c>
      <c r="D46" s="147">
        <v>0</v>
      </c>
      <c r="E46" s="147">
        <v>0</v>
      </c>
      <c r="F46" s="28">
        <v>0</v>
      </c>
      <c r="G46" s="28">
        <v>0</v>
      </c>
      <c r="H46" s="28">
        <v>0</v>
      </c>
      <c r="I46" s="28">
        <v>0</v>
      </c>
      <c r="J46" s="28">
        <v>0</v>
      </c>
      <c r="K46" s="28">
        <v>0</v>
      </c>
      <c r="L46" s="28">
        <v>0</v>
      </c>
      <c r="M46" s="28">
        <v>0</v>
      </c>
      <c r="N46" s="28">
        <v>0</v>
      </c>
      <c r="O46" s="18">
        <f t="shared" si="9"/>
        <v>0</v>
      </c>
    </row>
    <row r="47" spans="1:16" ht="28.5" customHeight="1" x14ac:dyDescent="0.2">
      <c r="A47" s="855"/>
      <c r="B47" s="30" t="s">
        <v>158</v>
      </c>
      <c r="C47" s="147">
        <v>0</v>
      </c>
      <c r="D47" s="147">
        <v>0</v>
      </c>
      <c r="E47" s="147">
        <v>0</v>
      </c>
      <c r="F47" s="28">
        <v>0</v>
      </c>
      <c r="G47" s="28">
        <v>0</v>
      </c>
      <c r="H47" s="28">
        <v>0</v>
      </c>
      <c r="I47" s="28">
        <v>0</v>
      </c>
      <c r="J47" s="28">
        <v>0</v>
      </c>
      <c r="K47" s="28">
        <v>0</v>
      </c>
      <c r="L47" s="28">
        <v>0</v>
      </c>
      <c r="M47" s="28">
        <v>0</v>
      </c>
      <c r="N47" s="28">
        <v>0</v>
      </c>
      <c r="O47" s="31">
        <f t="shared" si="9"/>
        <v>0</v>
      </c>
    </row>
    <row r="48" spans="1:16" ht="21.75" x14ac:dyDescent="0.2">
      <c r="A48" s="856"/>
      <c r="B48" s="306" t="s">
        <v>896</v>
      </c>
      <c r="C48" s="147">
        <v>0</v>
      </c>
      <c r="D48" s="147">
        <v>0</v>
      </c>
      <c r="E48" s="147">
        <v>0</v>
      </c>
      <c r="F48" s="28">
        <v>0</v>
      </c>
      <c r="G48" s="28">
        <v>0</v>
      </c>
      <c r="H48" s="28">
        <v>0</v>
      </c>
      <c r="I48" s="28">
        <v>0</v>
      </c>
      <c r="J48" s="28">
        <v>0</v>
      </c>
      <c r="K48" s="28">
        <v>0</v>
      </c>
      <c r="L48" s="28">
        <v>0</v>
      </c>
      <c r="M48" s="28">
        <v>0</v>
      </c>
      <c r="N48" s="28">
        <v>0</v>
      </c>
      <c r="O48" s="31">
        <f t="shared" si="9"/>
        <v>0</v>
      </c>
    </row>
    <row r="49" spans="1:19" ht="15" x14ac:dyDescent="0.2">
      <c r="A49" s="857" t="s">
        <v>160</v>
      </c>
      <c r="B49" s="858"/>
      <c r="C49" s="33">
        <f t="shared" ref="C49:N49" si="10">SUM(C38:C48)</f>
        <v>19924</v>
      </c>
      <c r="D49" s="33">
        <f t="shared" si="10"/>
        <v>19730</v>
      </c>
      <c r="E49" s="33">
        <f t="shared" si="10"/>
        <v>21730</v>
      </c>
      <c r="F49" s="33">
        <f t="shared" si="10"/>
        <v>21730</v>
      </c>
      <c r="G49" s="33">
        <f t="shared" si="10"/>
        <v>21730</v>
      </c>
      <c r="H49" s="33">
        <f t="shared" si="10"/>
        <v>21730</v>
      </c>
      <c r="I49" s="33">
        <f t="shared" si="10"/>
        <v>21730</v>
      </c>
      <c r="J49" s="33">
        <f t="shared" si="10"/>
        <v>21730</v>
      </c>
      <c r="K49" s="33">
        <f t="shared" si="10"/>
        <v>24230</v>
      </c>
      <c r="L49" s="33">
        <f t="shared" si="10"/>
        <v>24090</v>
      </c>
      <c r="M49" s="33">
        <f t="shared" si="10"/>
        <v>24090</v>
      </c>
      <c r="N49" s="33">
        <f t="shared" si="10"/>
        <v>24460</v>
      </c>
      <c r="O49" s="34">
        <f t="shared" si="9"/>
        <v>266904</v>
      </c>
    </row>
    <row r="50" spans="1:19" ht="15.75" thickBot="1" x14ac:dyDescent="0.25">
      <c r="A50" s="859" t="s">
        <v>161</v>
      </c>
      <c r="B50" s="860"/>
      <c r="C50" s="35">
        <f t="shared" ref="C50:N50" si="11">C37-C49</f>
        <v>39068</v>
      </c>
      <c r="D50" s="35">
        <f t="shared" si="11"/>
        <v>42974</v>
      </c>
      <c r="E50" s="35">
        <f t="shared" si="11"/>
        <v>38190</v>
      </c>
      <c r="F50" s="35">
        <f t="shared" si="11"/>
        <v>38190</v>
      </c>
      <c r="G50" s="35">
        <f t="shared" si="11"/>
        <v>39893</v>
      </c>
      <c r="H50" s="35">
        <f t="shared" si="11"/>
        <v>39893</v>
      </c>
      <c r="I50" s="35">
        <f t="shared" si="11"/>
        <v>55622</v>
      </c>
      <c r="J50" s="35">
        <f t="shared" si="11"/>
        <v>50617</v>
      </c>
      <c r="K50" s="35">
        <f t="shared" si="11"/>
        <v>38347</v>
      </c>
      <c r="L50" s="35">
        <f t="shared" si="11"/>
        <v>38487</v>
      </c>
      <c r="M50" s="35">
        <f t="shared" si="11"/>
        <v>38487</v>
      </c>
      <c r="N50" s="35">
        <f t="shared" si="11"/>
        <v>38117</v>
      </c>
      <c r="O50" s="36">
        <f t="shared" si="9"/>
        <v>497885</v>
      </c>
    </row>
    <row r="51" spans="1:19" x14ac:dyDescent="0.2">
      <c r="G51" s="38"/>
      <c r="J51" s="300">
        <f>+J37-SUM(J22:J36)</f>
        <v>62577</v>
      </c>
      <c r="Q51" s="38"/>
    </row>
    <row r="52" spans="1:19" ht="13.5" thickBot="1" x14ac:dyDescent="0.25">
      <c r="G52" s="38"/>
      <c r="J52" s="38">
        <f>+J51-J49</f>
        <v>40847</v>
      </c>
    </row>
    <row r="53" spans="1:19" ht="13.5" thickBot="1" x14ac:dyDescent="0.25">
      <c r="B53" s="789" t="s">
        <v>162</v>
      </c>
      <c r="C53" s="861"/>
      <c r="D53" s="861"/>
      <c r="E53" s="861"/>
      <c r="F53" s="862"/>
      <c r="G53" s="863">
        <f>O37</f>
        <v>764789</v>
      </c>
      <c r="H53" s="864"/>
    </row>
    <row r="54" spans="1:19" ht="13.5" thickBot="1" x14ac:dyDescent="0.25"/>
    <row r="55" spans="1:19" x14ac:dyDescent="0.2">
      <c r="B55" s="830" t="s">
        <v>163</v>
      </c>
      <c r="C55" s="833" t="s">
        <v>164</v>
      </c>
      <c r="D55" s="836" t="s">
        <v>811</v>
      </c>
      <c r="E55" s="837"/>
      <c r="F55" s="838"/>
      <c r="G55" s="839">
        <v>40000</v>
      </c>
      <c r="H55" s="840"/>
    </row>
    <row r="56" spans="1:19" x14ac:dyDescent="0.2">
      <c r="B56" s="831"/>
      <c r="C56" s="834"/>
      <c r="D56" s="841" t="s">
        <v>166</v>
      </c>
      <c r="E56" s="842"/>
      <c r="F56" s="843"/>
      <c r="G56" s="844">
        <f>+O44</f>
        <v>2500</v>
      </c>
      <c r="H56" s="845"/>
      <c r="I56" s="39"/>
      <c r="J56" s="846"/>
      <c r="K56" s="846"/>
      <c r="L56" s="846"/>
      <c r="M56" s="847"/>
      <c r="N56" s="847"/>
      <c r="O56" s="847"/>
    </row>
    <row r="57" spans="1:19" ht="13.5" thickBot="1" x14ac:dyDescent="0.25">
      <c r="B57" s="832"/>
      <c r="C57" s="835"/>
      <c r="D57" s="848" t="s">
        <v>129</v>
      </c>
      <c r="E57" s="849"/>
      <c r="F57" s="850"/>
      <c r="G57" s="851">
        <v>0</v>
      </c>
      <c r="H57" s="852"/>
      <c r="J57" s="47"/>
      <c r="K57" s="47"/>
      <c r="L57" s="47"/>
      <c r="M57" s="47"/>
      <c r="N57" s="47"/>
      <c r="O57" s="47"/>
    </row>
    <row r="58" spans="1:19" ht="13.5" thickBot="1" x14ac:dyDescent="0.25">
      <c r="B58" s="48"/>
      <c r="J58" s="47"/>
      <c r="K58" s="47"/>
      <c r="L58" s="47"/>
      <c r="M58" s="47"/>
      <c r="N58" s="47"/>
      <c r="O58" s="47"/>
    </row>
    <row r="59" spans="1:19" ht="13.5" thickBot="1" x14ac:dyDescent="0.25">
      <c r="B59" s="789" t="s">
        <v>168</v>
      </c>
      <c r="C59" s="790"/>
      <c r="D59" s="790"/>
      <c r="E59" s="790"/>
      <c r="F59" s="791"/>
      <c r="G59" s="825">
        <f>+G53-SUM(G55:H57)</f>
        <v>722289</v>
      </c>
      <c r="H59" s="826"/>
      <c r="J59" s="827" t="s">
        <v>169</v>
      </c>
      <c r="K59" s="828"/>
      <c r="L59" s="828"/>
      <c r="M59" s="828"/>
      <c r="N59" s="828"/>
      <c r="O59" s="829"/>
    </row>
    <row r="60" spans="1:19" ht="13.5" thickBot="1" x14ac:dyDescent="0.25">
      <c r="B60" s="49"/>
      <c r="C60" s="50"/>
      <c r="D60" s="50"/>
      <c r="E60" s="50"/>
      <c r="F60" s="50"/>
      <c r="G60" s="45"/>
      <c r="H60" s="50"/>
      <c r="J60" s="129"/>
      <c r="K60" s="130"/>
      <c r="L60" s="130"/>
      <c r="M60" s="130"/>
      <c r="N60" s="130"/>
      <c r="O60" s="131"/>
    </row>
    <row r="61" spans="1:19" ht="13.5" thickBot="1" x14ac:dyDescent="0.25">
      <c r="B61" s="789" t="s">
        <v>170</v>
      </c>
      <c r="C61" s="790"/>
      <c r="D61" s="790"/>
      <c r="E61" s="790"/>
      <c r="F61" s="791"/>
      <c r="G61" s="805"/>
      <c r="H61" s="791"/>
      <c r="J61" s="129"/>
      <c r="K61" s="130"/>
      <c r="L61" s="130"/>
      <c r="M61" s="130"/>
      <c r="N61" s="130"/>
      <c r="O61" s="131"/>
    </row>
    <row r="62" spans="1:19" ht="12.75" customHeight="1" x14ac:dyDescent="0.2">
      <c r="B62" s="57" t="s">
        <v>171</v>
      </c>
      <c r="C62" s="806" t="s">
        <v>172</v>
      </c>
      <c r="D62" s="807"/>
      <c r="E62" s="807"/>
      <c r="F62" s="808"/>
      <c r="G62" s="809">
        <v>0</v>
      </c>
      <c r="H62" s="809"/>
      <c r="I62" s="58"/>
      <c r="J62" s="810" t="s">
        <v>173</v>
      </c>
      <c r="K62" s="811"/>
      <c r="L62" s="811"/>
      <c r="M62" s="811"/>
      <c r="N62" s="811"/>
      <c r="O62" s="812"/>
      <c r="Q62" s="59"/>
      <c r="R62" s="59"/>
      <c r="S62" s="59"/>
    </row>
    <row r="63" spans="1:19" ht="13.5" thickBot="1" x14ac:dyDescent="0.25">
      <c r="D63" s="37"/>
      <c r="I63" s="58"/>
      <c r="J63" s="60" t="s">
        <v>360</v>
      </c>
      <c r="K63" s="132"/>
      <c r="L63" s="132"/>
      <c r="M63" s="133"/>
      <c r="N63" s="133"/>
      <c r="O63" s="134"/>
      <c r="Q63" s="59"/>
      <c r="R63" s="59"/>
      <c r="S63" s="59"/>
    </row>
    <row r="64" spans="1:19" ht="13.5" thickBot="1" x14ac:dyDescent="0.25">
      <c r="B64" s="789" t="s">
        <v>175</v>
      </c>
      <c r="C64" s="790"/>
      <c r="D64" s="790"/>
      <c r="E64" s="790"/>
      <c r="F64" s="791"/>
      <c r="G64" s="805">
        <f>+G59-G62</f>
        <v>722289</v>
      </c>
      <c r="H64" s="791"/>
      <c r="I64" s="63"/>
      <c r="J64" s="64"/>
      <c r="K64" s="39"/>
      <c r="L64" s="39"/>
      <c r="M64" s="39"/>
      <c r="N64" s="39"/>
      <c r="O64" s="65"/>
      <c r="Q64" s="59"/>
      <c r="R64" s="59"/>
      <c r="S64" s="59"/>
    </row>
    <row r="65" spans="2:19" ht="12.75" customHeight="1" x14ac:dyDescent="0.2">
      <c r="B65" s="48"/>
      <c r="C65" s="48"/>
      <c r="I65" s="63"/>
      <c r="J65" s="64"/>
      <c r="K65" s="39"/>
      <c r="L65" s="39"/>
      <c r="M65" s="39"/>
      <c r="N65" s="39"/>
      <c r="O65" s="65"/>
      <c r="Q65" s="59"/>
      <c r="R65" s="59"/>
      <c r="S65" s="59"/>
    </row>
    <row r="66" spans="2:19" x14ac:dyDescent="0.2">
      <c r="B66" s="66" t="s">
        <v>176</v>
      </c>
      <c r="C66" s="48"/>
      <c r="I66" s="63"/>
      <c r="J66" s="67"/>
      <c r="K66" s="68"/>
      <c r="L66" s="68"/>
      <c r="M66" s="68"/>
      <c r="N66" s="68"/>
      <c r="O66" s="69"/>
      <c r="Q66" s="59"/>
      <c r="R66" s="59"/>
      <c r="S66" s="59"/>
    </row>
    <row r="67" spans="2:19" ht="34.5" thickBot="1" x14ac:dyDescent="0.25">
      <c r="B67" s="66"/>
      <c r="C67" s="48"/>
      <c r="G67" s="70" t="s">
        <v>177</v>
      </c>
      <c r="H67" s="70" t="s">
        <v>178</v>
      </c>
      <c r="I67" s="63"/>
      <c r="J67" s="810" t="s">
        <v>179</v>
      </c>
      <c r="K67" s="811"/>
      <c r="L67" s="71"/>
      <c r="M67" s="71"/>
      <c r="N67" s="71"/>
      <c r="O67" s="72"/>
      <c r="Q67" s="59"/>
      <c r="R67" s="59"/>
      <c r="S67" s="59"/>
    </row>
    <row r="68" spans="2:19" ht="12.75" customHeight="1" x14ac:dyDescent="0.2">
      <c r="B68" s="802" t="s">
        <v>180</v>
      </c>
      <c r="C68" s="821" t="s">
        <v>181</v>
      </c>
      <c r="D68" s="823" t="s">
        <v>182</v>
      </c>
      <c r="E68" s="824"/>
      <c r="F68" s="824"/>
      <c r="G68" s="73">
        <f>+O43</f>
        <v>236000</v>
      </c>
      <c r="H68" s="74">
        <f>+G68</f>
        <v>236000</v>
      </c>
      <c r="I68" s="63"/>
      <c r="J68" s="75">
        <v>923992403</v>
      </c>
      <c r="K68" s="58"/>
      <c r="L68" s="58"/>
      <c r="M68" s="135" t="s">
        <v>670</v>
      </c>
      <c r="N68" s="58"/>
      <c r="O68" s="76"/>
      <c r="Q68" s="59"/>
      <c r="R68" s="59"/>
      <c r="S68" s="59"/>
    </row>
    <row r="69" spans="2:19" ht="12.75" customHeight="1" x14ac:dyDescent="0.2">
      <c r="B69" s="803"/>
      <c r="C69" s="822"/>
      <c r="D69" s="782" t="s">
        <v>184</v>
      </c>
      <c r="E69" s="783"/>
      <c r="F69" s="783"/>
      <c r="G69" s="77">
        <f>+O47+O69+O70+O74</f>
        <v>0</v>
      </c>
      <c r="H69" s="78">
        <f t="shared" ref="H69:H75" si="12">+G69</f>
        <v>0</v>
      </c>
      <c r="I69" s="63"/>
      <c r="J69" s="79">
        <v>926480005</v>
      </c>
      <c r="K69" s="68"/>
      <c r="L69" s="68" t="s">
        <v>276</v>
      </c>
      <c r="M69" s="68"/>
      <c r="N69" s="68"/>
      <c r="O69" s="69"/>
      <c r="Q69" s="59"/>
      <c r="R69" s="59"/>
      <c r="S69" s="59"/>
    </row>
    <row r="70" spans="2:19" ht="12.75" customHeight="1" x14ac:dyDescent="0.2">
      <c r="B70" s="803"/>
      <c r="C70" s="822"/>
      <c r="D70" s="819" t="s">
        <v>185</v>
      </c>
      <c r="E70" s="820"/>
      <c r="F70" s="820"/>
      <c r="G70" s="80">
        <f>O40</f>
        <v>360</v>
      </c>
      <c r="H70" s="78">
        <f t="shared" si="12"/>
        <v>360</v>
      </c>
      <c r="I70" s="63"/>
      <c r="J70" s="67">
        <v>927608439</v>
      </c>
      <c r="K70" s="68"/>
      <c r="L70" s="68" t="s">
        <v>276</v>
      </c>
      <c r="M70" s="68"/>
      <c r="N70" s="68"/>
      <c r="O70" s="69"/>
    </row>
    <row r="71" spans="2:19" x14ac:dyDescent="0.2">
      <c r="B71" s="803"/>
      <c r="C71" s="822"/>
      <c r="D71" s="782" t="s">
        <v>186</v>
      </c>
      <c r="E71" s="783"/>
      <c r="F71" s="783"/>
      <c r="G71" s="81">
        <v>0</v>
      </c>
      <c r="H71" s="78">
        <f t="shared" si="12"/>
        <v>0</v>
      </c>
      <c r="I71" s="63"/>
      <c r="J71" s="82" t="s">
        <v>187</v>
      </c>
      <c r="K71" s="71"/>
      <c r="L71" s="71"/>
      <c r="M71" s="71"/>
      <c r="N71" s="71"/>
      <c r="O71" s="72"/>
    </row>
    <row r="72" spans="2:19" ht="12.75" customHeight="1" x14ac:dyDescent="0.2">
      <c r="B72" s="803"/>
      <c r="C72" s="822"/>
      <c r="D72" s="784" t="s">
        <v>188</v>
      </c>
      <c r="E72" s="783"/>
      <c r="F72" s="783"/>
      <c r="G72" s="80">
        <v>0</v>
      </c>
      <c r="H72" s="78">
        <f t="shared" si="12"/>
        <v>0</v>
      </c>
      <c r="I72" s="63"/>
      <c r="J72" s="75" t="s">
        <v>189</v>
      </c>
      <c r="K72" s="50"/>
      <c r="L72" s="50"/>
      <c r="M72" s="50"/>
      <c r="N72" s="50"/>
      <c r="O72" s="83">
        <v>0</v>
      </c>
    </row>
    <row r="73" spans="2:19" ht="14.25" customHeight="1" x14ac:dyDescent="0.2">
      <c r="B73" s="803"/>
      <c r="C73" s="822"/>
      <c r="D73" s="782" t="s">
        <v>190</v>
      </c>
      <c r="E73" s="783"/>
      <c r="F73" s="783"/>
      <c r="G73" s="84">
        <v>0</v>
      </c>
      <c r="H73" s="78">
        <f t="shared" si="12"/>
        <v>0</v>
      </c>
      <c r="I73" s="63"/>
      <c r="J73" s="64"/>
      <c r="K73" s="39"/>
      <c r="L73" s="39"/>
      <c r="M73" s="39"/>
      <c r="N73" s="39"/>
      <c r="O73" s="65"/>
    </row>
    <row r="74" spans="2:19" x14ac:dyDescent="0.2">
      <c r="B74" s="803"/>
      <c r="C74" s="822"/>
      <c r="D74" s="782" t="s">
        <v>191</v>
      </c>
      <c r="E74" s="783"/>
      <c r="F74" s="783"/>
      <c r="G74" s="81">
        <v>0</v>
      </c>
      <c r="H74" s="78">
        <f t="shared" si="12"/>
        <v>0</v>
      </c>
      <c r="I74" s="58"/>
      <c r="J74" s="150">
        <v>923992403</v>
      </c>
      <c r="K74" s="50"/>
      <c r="L74" s="50" t="s">
        <v>670</v>
      </c>
      <c r="M74" s="50" t="s">
        <v>232</v>
      </c>
      <c r="N74" s="50"/>
      <c r="O74" s="83"/>
    </row>
    <row r="75" spans="2:19" x14ac:dyDescent="0.2">
      <c r="B75" s="803"/>
      <c r="C75" s="88" t="s">
        <v>192</v>
      </c>
      <c r="D75" s="813" t="s">
        <v>193</v>
      </c>
      <c r="E75" s="814"/>
      <c r="F75" s="814"/>
      <c r="G75" s="80">
        <v>0</v>
      </c>
      <c r="H75" s="78">
        <f t="shared" si="12"/>
        <v>0</v>
      </c>
      <c r="I75" s="58"/>
      <c r="J75" s="79"/>
      <c r="K75" s="39"/>
      <c r="L75" s="39"/>
      <c r="M75" s="39"/>
      <c r="N75" s="39"/>
      <c r="O75" s="65"/>
    </row>
    <row r="76" spans="2:19" ht="13.5" customHeight="1" thickBot="1" x14ac:dyDescent="0.25">
      <c r="B76" s="803"/>
      <c r="C76" s="88" t="s">
        <v>194</v>
      </c>
      <c r="D76" s="815" t="s">
        <v>195</v>
      </c>
      <c r="E76" s="815"/>
      <c r="F76" s="815"/>
      <c r="G76" s="89">
        <v>0</v>
      </c>
      <c r="H76" s="90">
        <f>+G76</f>
        <v>0</v>
      </c>
      <c r="I76" s="63"/>
      <c r="J76" s="67"/>
      <c r="K76" s="68"/>
      <c r="L76" s="68"/>
      <c r="M76" s="91"/>
      <c r="N76" s="91"/>
      <c r="O76" s="92"/>
    </row>
    <row r="77" spans="2:19" ht="13.5" thickBot="1" x14ac:dyDescent="0.25">
      <c r="B77" s="803"/>
      <c r="C77" s="93"/>
      <c r="D77" s="94"/>
      <c r="E77" s="816" t="s">
        <v>117</v>
      </c>
      <c r="F77" s="817"/>
      <c r="G77" s="95">
        <f>SUM(G68:G76)</f>
        <v>236360</v>
      </c>
      <c r="H77" s="96">
        <f>IF(SUM(G68:G74)&lt;150000,SUM(G68:G74),150000)+IF(+G75&lt;20000,+G75,20000)</f>
        <v>150000</v>
      </c>
      <c r="I77" s="63"/>
      <c r="J77" s="140"/>
      <c r="K77" s="141"/>
      <c r="L77" s="141"/>
      <c r="M77" s="142"/>
      <c r="N77" s="142"/>
      <c r="O77" s="143"/>
    </row>
    <row r="78" spans="2:19" ht="12.75" customHeight="1" x14ac:dyDescent="0.2">
      <c r="B78" s="803"/>
      <c r="C78" s="100" t="s">
        <v>196</v>
      </c>
      <c r="D78" s="782" t="s">
        <v>187</v>
      </c>
      <c r="E78" s="783"/>
      <c r="F78" s="818"/>
      <c r="G78" s="73">
        <f>+O42</f>
        <v>0</v>
      </c>
      <c r="H78" s="221">
        <f>+IF(+G78&lt;25000,+G78,25000)</f>
        <v>0</v>
      </c>
      <c r="I78" s="87"/>
    </row>
    <row r="79" spans="2:19" x14ac:dyDescent="0.2">
      <c r="B79" s="803"/>
      <c r="C79" s="100" t="s">
        <v>197</v>
      </c>
      <c r="D79" s="784" t="s">
        <v>198</v>
      </c>
      <c r="E79" s="785"/>
      <c r="F79" s="786"/>
      <c r="G79" s="102"/>
      <c r="H79" s="222">
        <f>+IF(+G79&lt;40000,+G79,40000)</f>
        <v>0</v>
      </c>
      <c r="I79" s="63"/>
    </row>
    <row r="80" spans="2:19" x14ac:dyDescent="0.2">
      <c r="B80" s="803"/>
      <c r="C80" s="100" t="s">
        <v>199</v>
      </c>
      <c r="D80" s="784" t="s">
        <v>200</v>
      </c>
      <c r="E80" s="785"/>
      <c r="F80" s="786"/>
      <c r="G80" s="81"/>
      <c r="H80" s="104">
        <v>0</v>
      </c>
      <c r="I80" s="63"/>
      <c r="J80" s="106"/>
    </row>
    <row r="81" spans="2:12" x14ac:dyDescent="0.2">
      <c r="B81" s="803"/>
      <c r="C81" s="100" t="s">
        <v>201</v>
      </c>
      <c r="D81" s="784" t="s">
        <v>202</v>
      </c>
      <c r="E81" s="785"/>
      <c r="F81" s="786"/>
      <c r="G81" s="81"/>
      <c r="H81" s="104">
        <v>0</v>
      </c>
      <c r="I81" s="63"/>
    </row>
    <row r="82" spans="2:12" ht="13.5" thickBot="1" x14ac:dyDescent="0.25">
      <c r="B82" s="804"/>
      <c r="C82" s="100" t="s">
        <v>203</v>
      </c>
      <c r="D82" s="784" t="s">
        <v>204</v>
      </c>
      <c r="E82" s="785"/>
      <c r="F82" s="786"/>
      <c r="G82" s="102"/>
      <c r="H82" s="222">
        <f>+IF(+G82&lt;100000,+G82,10000)</f>
        <v>0</v>
      </c>
      <c r="I82" s="63"/>
    </row>
    <row r="83" spans="2:12" ht="13.5" thickBot="1" x14ac:dyDescent="0.25">
      <c r="B83" s="787" t="s">
        <v>205</v>
      </c>
      <c r="C83" s="788"/>
      <c r="D83" s="788"/>
      <c r="E83" s="788"/>
      <c r="F83" s="788"/>
      <c r="G83" s="107">
        <f>SUM(G78:G82)</f>
        <v>0</v>
      </c>
      <c r="H83" s="108">
        <f>SUM(H77:H82)</f>
        <v>150000</v>
      </c>
    </row>
    <row r="84" spans="2:12" ht="13.5" thickBot="1" x14ac:dyDescent="0.25"/>
    <row r="85" spans="2:12" ht="13.5" thickBot="1" x14ac:dyDescent="0.25">
      <c r="B85" s="789" t="s">
        <v>206</v>
      </c>
      <c r="C85" s="790"/>
      <c r="D85" s="790"/>
      <c r="E85" s="790"/>
      <c r="F85" s="791"/>
      <c r="G85" s="1055">
        <f>ROUND(+G64-H83,-1)</f>
        <v>572290</v>
      </c>
      <c r="H85" s="1056"/>
      <c r="J85" s="251">
        <f>C37+D37+E37+F37</f>
        <v>241536</v>
      </c>
      <c r="K85" s="16" t="s">
        <v>235</v>
      </c>
    </row>
    <row r="86" spans="2:12" x14ac:dyDescent="0.2">
      <c r="B86" s="110"/>
      <c r="F86" s="105"/>
      <c r="J86" s="251">
        <f>G37+H37+I37</f>
        <v>200598</v>
      </c>
      <c r="K86" s="16" t="s">
        <v>236</v>
      </c>
    </row>
    <row r="87" spans="2:12" x14ac:dyDescent="0.2">
      <c r="C87" s="793" t="s">
        <v>207</v>
      </c>
      <c r="D87" s="794"/>
      <c r="E87" s="111" t="s">
        <v>208</v>
      </c>
      <c r="F87" s="111" t="s">
        <v>209</v>
      </c>
      <c r="G87" s="111" t="s">
        <v>210</v>
      </c>
      <c r="H87" s="111" t="s">
        <v>211</v>
      </c>
      <c r="J87" s="251">
        <f>J37+K37+L37</f>
        <v>197501</v>
      </c>
      <c r="K87" s="47" t="s">
        <v>237</v>
      </c>
      <c r="L87" s="16">
        <f>+J87/3</f>
        <v>65833.666666666672</v>
      </c>
    </row>
    <row r="88" spans="2:12" x14ac:dyDescent="0.2">
      <c r="C88" s="795" t="str">
        <f>IF(I6="M","0          - 250000","0          -  250000")</f>
        <v>0          - 250000</v>
      </c>
      <c r="D88" s="796"/>
      <c r="E88" s="112">
        <v>0</v>
      </c>
      <c r="F88" s="113">
        <f>IF(I6="M",(IF(G85&lt;250000,G85,250000)),(IF(G85&lt;250000,G85,250000)))</f>
        <v>250000</v>
      </c>
      <c r="G88" s="113">
        <f>G85-F88</f>
        <v>322290</v>
      </c>
      <c r="H88" s="113">
        <f>E88*F88</f>
        <v>0</v>
      </c>
      <c r="J88" s="16">
        <f>M37+N37</f>
        <v>125154</v>
      </c>
      <c r="K88" s="1" t="s">
        <v>238</v>
      </c>
      <c r="L88" s="16">
        <f>+J88/2</f>
        <v>62577</v>
      </c>
    </row>
    <row r="89" spans="2:12" x14ac:dyDescent="0.2">
      <c r="C89" s="795" t="str">
        <f>IF(I6="M","250001 - 500000","250001-500000")</f>
        <v>250001 - 500000</v>
      </c>
      <c r="D89" s="796"/>
      <c r="E89" s="112">
        <v>0.05</v>
      </c>
      <c r="F89" s="113">
        <f>IF(I6="M",(IF(G88&lt;250000,G88,250000)),(IF(G88&lt;250000,G88,250000)))</f>
        <v>250000</v>
      </c>
      <c r="G89" s="113">
        <f>G88-F89</f>
        <v>72290</v>
      </c>
      <c r="H89" s="114">
        <f>ROUND(E89*F89,0.1)</f>
        <v>12500</v>
      </c>
      <c r="J89" s="115">
        <f>SUM(J85:J88)</f>
        <v>764789</v>
      </c>
    </row>
    <row r="90" spans="2:12" x14ac:dyDescent="0.2">
      <c r="C90" s="797" t="s">
        <v>212</v>
      </c>
      <c r="D90" s="798"/>
      <c r="E90" s="112">
        <v>0.2</v>
      </c>
      <c r="F90" s="113">
        <f>IF(G89&lt;500000,G89,500000)</f>
        <v>72290</v>
      </c>
      <c r="G90" s="113">
        <f>G89-F90</f>
        <v>0</v>
      </c>
      <c r="H90" s="114">
        <f>ROUND(E90*F90,0.1)</f>
        <v>14458</v>
      </c>
      <c r="J90" s="16">
        <f>+G85</f>
        <v>572290</v>
      </c>
    </row>
    <row r="91" spans="2:12" x14ac:dyDescent="0.2">
      <c r="C91" s="795" t="s">
        <v>213</v>
      </c>
      <c r="D91" s="796"/>
      <c r="E91" s="112">
        <v>0.3</v>
      </c>
      <c r="F91" s="113">
        <f>G90</f>
        <v>0</v>
      </c>
      <c r="G91" s="113">
        <f>G90-F91</f>
        <v>0</v>
      </c>
      <c r="H91" s="114">
        <f>ROUND(E91*F91,0.1)</f>
        <v>0</v>
      </c>
      <c r="J91" s="16">
        <f>+J89-J90</f>
        <v>192499</v>
      </c>
      <c r="K91" s="1"/>
    </row>
    <row r="92" spans="2:12" ht="12.75" customHeight="1" thickBot="1" x14ac:dyDescent="0.25">
      <c r="B92" s="116"/>
      <c r="C92" s="117"/>
      <c r="D92" s="47"/>
      <c r="E92" s="47"/>
      <c r="F92" s="47"/>
      <c r="K92" s="223"/>
    </row>
    <row r="93" spans="2:12" ht="14.25" customHeight="1" thickBot="1" x14ac:dyDescent="0.25">
      <c r="B93" s="799" t="s">
        <v>239</v>
      </c>
      <c r="C93" s="800"/>
      <c r="D93" s="800"/>
      <c r="E93" s="800"/>
      <c r="F93" s="801"/>
      <c r="G93" s="771">
        <f>H88+H89+H90+H91</f>
        <v>26958</v>
      </c>
      <c r="H93" s="772"/>
    </row>
    <row r="94" spans="2:12" ht="14.25" customHeight="1" thickBot="1" x14ac:dyDescent="0.25">
      <c r="B94" s="119" t="s">
        <v>215</v>
      </c>
      <c r="C94" s="120"/>
      <c r="D94" s="120"/>
      <c r="E94" s="120"/>
      <c r="F94" s="120"/>
      <c r="G94" s="884">
        <f>IF((G64&lt;500000),5000,0)</f>
        <v>0</v>
      </c>
      <c r="H94" s="885">
        <f>IF(H92&lt;200000,0,IF(H92&lt;220000,((H92-200000)*10%),IF(H92&lt;=500000,2000,IF(H92&gt;=500000,0))))</f>
        <v>0</v>
      </c>
    </row>
    <row r="95" spans="2:12" ht="14.25" customHeight="1" thickBot="1" x14ac:dyDescent="0.25">
      <c r="B95" s="122" t="s">
        <v>216</v>
      </c>
      <c r="C95" s="123"/>
      <c r="D95" s="123"/>
      <c r="E95" s="123"/>
      <c r="F95" s="123"/>
      <c r="G95" s="771">
        <f>IF((G93-G94)&lt;0,0,(G93-G94))</f>
        <v>26958</v>
      </c>
      <c r="H95" s="772"/>
    </row>
    <row r="96" spans="2:12" ht="14.25" customHeight="1" thickBot="1" x14ac:dyDescent="0.25">
      <c r="B96" s="773" t="s">
        <v>240</v>
      </c>
      <c r="C96" s="774"/>
      <c r="D96" s="774"/>
      <c r="E96" s="774"/>
      <c r="F96" s="775"/>
      <c r="G96" s="776">
        <f>ROUND((IF(G95&gt;0,(G95*4%),0)),0)</f>
        <v>1078</v>
      </c>
      <c r="H96" s="777"/>
    </row>
    <row r="97" spans="2:9" ht="14.25" customHeight="1" thickBot="1" x14ac:dyDescent="0.25">
      <c r="B97" s="778" t="s">
        <v>218</v>
      </c>
      <c r="C97" s="779"/>
      <c r="D97" s="779"/>
      <c r="E97" s="779"/>
      <c r="F97" s="779"/>
      <c r="G97" s="780">
        <f>+G95+G96</f>
        <v>28036</v>
      </c>
      <c r="H97" s="781"/>
    </row>
    <row r="98" spans="2:9" ht="13.5" thickBot="1" x14ac:dyDescent="0.25">
      <c r="B98" s="765" t="s">
        <v>219</v>
      </c>
      <c r="C98" s="766"/>
      <c r="D98" s="766"/>
      <c r="E98" s="766"/>
      <c r="F98" s="766"/>
      <c r="G98" s="767">
        <f>O38</f>
        <v>28044</v>
      </c>
      <c r="H98" s="768"/>
    </row>
    <row r="99" spans="2:9" ht="13.5" thickBot="1" x14ac:dyDescent="0.25">
      <c r="B99" s="765" t="str">
        <f>IF(G99&gt;0,"TAX PAYABLE","TAX REFUND")</f>
        <v>TAX REFUND</v>
      </c>
      <c r="C99" s="766"/>
      <c r="D99" s="766"/>
      <c r="E99" s="766"/>
      <c r="F99" s="766"/>
      <c r="G99" s="767">
        <f>+G97-G98</f>
        <v>-8</v>
      </c>
      <c r="H99" s="768"/>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c r="I106" s="121"/>
    </row>
    <row r="107" spans="2:9" x14ac:dyDescent="0.2">
      <c r="C107" s="39"/>
      <c r="D107" s="39"/>
      <c r="E107" s="39"/>
      <c r="F107" s="39"/>
      <c r="G107" s="39"/>
      <c r="H107" s="39"/>
    </row>
  </sheetData>
  <mergeCells count="92">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8:A48"/>
    <mergeCell ref="A5:C5"/>
    <mergeCell ref="D5:F5"/>
    <mergeCell ref="G5:H5"/>
    <mergeCell ref="I5:O5"/>
    <mergeCell ref="A6:C6"/>
    <mergeCell ref="D6:F6"/>
    <mergeCell ref="G6:H6"/>
    <mergeCell ref="J6:O6"/>
    <mergeCell ref="L7:O7"/>
    <mergeCell ref="A8:B8"/>
    <mergeCell ref="A21:A33"/>
    <mergeCell ref="A35:B35"/>
    <mergeCell ref="A36:B36"/>
    <mergeCell ref="A49:B49"/>
    <mergeCell ref="A50:B50"/>
    <mergeCell ref="B53:F53"/>
    <mergeCell ref="G53:H53"/>
    <mergeCell ref="B55:B57"/>
    <mergeCell ref="C55:C57"/>
    <mergeCell ref="D55:F55"/>
    <mergeCell ref="G55:H55"/>
    <mergeCell ref="D56:F56"/>
    <mergeCell ref="G56:H56"/>
    <mergeCell ref="B64:F64"/>
    <mergeCell ref="G64:H64"/>
    <mergeCell ref="J56:L56"/>
    <mergeCell ref="M56:O56"/>
    <mergeCell ref="D57:F57"/>
    <mergeCell ref="G57:H57"/>
    <mergeCell ref="B59:F59"/>
    <mergeCell ref="G59:H59"/>
    <mergeCell ref="J59:O59"/>
    <mergeCell ref="B61:F61"/>
    <mergeCell ref="G61:H61"/>
    <mergeCell ref="C62:F62"/>
    <mergeCell ref="G62:H62"/>
    <mergeCell ref="J62:O62"/>
    <mergeCell ref="D80:F80"/>
    <mergeCell ref="J67:K67"/>
    <mergeCell ref="B68:B82"/>
    <mergeCell ref="C68:C74"/>
    <mergeCell ref="D68:F68"/>
    <mergeCell ref="D69:F69"/>
    <mergeCell ref="D70:F70"/>
    <mergeCell ref="D71:F71"/>
    <mergeCell ref="D72:F72"/>
    <mergeCell ref="D73:F73"/>
    <mergeCell ref="D74:F74"/>
    <mergeCell ref="D75:F75"/>
    <mergeCell ref="D76:F76"/>
    <mergeCell ref="E77:F77"/>
    <mergeCell ref="D78:F78"/>
    <mergeCell ref="D79:F79"/>
    <mergeCell ref="G93:H93"/>
    <mergeCell ref="D81:F81"/>
    <mergeCell ref="D82:F82"/>
    <mergeCell ref="B83:F83"/>
    <mergeCell ref="B85:F85"/>
    <mergeCell ref="G85:H85"/>
    <mergeCell ref="C87:D87"/>
    <mergeCell ref="C88:D88"/>
    <mergeCell ref="C89:D89"/>
    <mergeCell ref="C90:D90"/>
    <mergeCell ref="C91:D91"/>
    <mergeCell ref="B93:F93"/>
    <mergeCell ref="B98:F98"/>
    <mergeCell ref="G98:H98"/>
    <mergeCell ref="B99:F99"/>
    <mergeCell ref="G99:H99"/>
    <mergeCell ref="G94:H94"/>
    <mergeCell ref="G95:H95"/>
    <mergeCell ref="B96:F96"/>
    <mergeCell ref="G96:H96"/>
    <mergeCell ref="B97:F97"/>
    <mergeCell ref="G97:H97"/>
  </mergeCells>
  <conditionalFormatting sqref="B97:F97">
    <cfRule type="cellIs" dxfId="1769" priority="91" stopIfTrue="1" operator="equal">
      <formula>"TAX PAYABLE"</formula>
    </cfRule>
    <cfRule type="cellIs" dxfId="1768" priority="92" stopIfTrue="1" operator="equal">
      <formula>"TAX REFUND"</formula>
    </cfRule>
  </conditionalFormatting>
  <conditionalFormatting sqref="B99:F99 B93:F96">
    <cfRule type="cellIs" dxfId="1767" priority="89" stopIfTrue="1" operator="equal">
      <formula>"TAX PAYABLE"</formula>
    </cfRule>
    <cfRule type="cellIs" dxfId="1766" priority="90" stopIfTrue="1" operator="equal">
      <formula>"TAX REFUND"</formula>
    </cfRule>
  </conditionalFormatting>
  <conditionalFormatting sqref="G99:H99">
    <cfRule type="cellIs" dxfId="1765" priority="87" stopIfTrue="1" operator="greaterThan">
      <formula>0</formula>
    </cfRule>
    <cfRule type="cellIs" dxfId="1764" priority="88" stopIfTrue="1" operator="lessThanOrEqual">
      <formula>0</formula>
    </cfRule>
  </conditionalFormatting>
  <conditionalFormatting sqref="B93:F94">
    <cfRule type="cellIs" dxfId="1763" priority="85" stopIfTrue="1" operator="equal">
      <formula>"TAX PAYABLE"</formula>
    </cfRule>
    <cfRule type="cellIs" dxfId="1762" priority="86" stopIfTrue="1" operator="equal">
      <formula>"TAX REFUND"</formula>
    </cfRule>
  </conditionalFormatting>
  <conditionalFormatting sqref="B93:F93">
    <cfRule type="cellIs" dxfId="1761" priority="83" stopIfTrue="1" operator="equal">
      <formula>"TAX PAYABLE"</formula>
    </cfRule>
    <cfRule type="cellIs" dxfId="1760" priority="84" stopIfTrue="1" operator="equal">
      <formula>"TAX REFUND"</formula>
    </cfRule>
  </conditionalFormatting>
  <conditionalFormatting sqref="B93:F94">
    <cfRule type="cellIs" dxfId="1759" priority="81" stopIfTrue="1" operator="equal">
      <formula>"TAX PAYABLE"</formula>
    </cfRule>
    <cfRule type="cellIs" dxfId="1758" priority="82" stopIfTrue="1" operator="equal">
      <formula>"TAX REFUND"</formula>
    </cfRule>
  </conditionalFormatting>
  <conditionalFormatting sqref="B93:F94">
    <cfRule type="cellIs" dxfId="1757" priority="79" stopIfTrue="1" operator="equal">
      <formula>"TAX PAYABLE"</formula>
    </cfRule>
    <cfRule type="cellIs" dxfId="1756" priority="80" stopIfTrue="1" operator="equal">
      <formula>"TAX REFUND"</formula>
    </cfRule>
  </conditionalFormatting>
  <conditionalFormatting sqref="B93:F94">
    <cfRule type="cellIs" dxfId="1755" priority="77" stopIfTrue="1" operator="equal">
      <formula>"TAX PAYABLE"</formula>
    </cfRule>
    <cfRule type="cellIs" dxfId="1754" priority="78" stopIfTrue="1" operator="equal">
      <formula>"TAX REFUND"</formula>
    </cfRule>
  </conditionalFormatting>
  <conditionalFormatting sqref="B97:F97">
    <cfRule type="cellIs" dxfId="1753" priority="75" stopIfTrue="1" operator="equal">
      <formula>"TAX PAYABLE"</formula>
    </cfRule>
    <cfRule type="cellIs" dxfId="1752" priority="76" stopIfTrue="1" operator="equal">
      <formula>"TAX REFUND"</formula>
    </cfRule>
  </conditionalFormatting>
  <conditionalFormatting sqref="B93:F93">
    <cfRule type="cellIs" dxfId="1751" priority="73" stopIfTrue="1" operator="equal">
      <formula>"TAX PAYABLE"</formula>
    </cfRule>
    <cfRule type="cellIs" dxfId="1750" priority="74" stopIfTrue="1" operator="equal">
      <formula>"TAX REFUND"</formula>
    </cfRule>
  </conditionalFormatting>
  <conditionalFormatting sqref="B93:F94">
    <cfRule type="cellIs" dxfId="1749" priority="71" stopIfTrue="1" operator="equal">
      <formula>"TAX PAYABLE"</formula>
    </cfRule>
    <cfRule type="cellIs" dxfId="1748" priority="72" stopIfTrue="1" operator="equal">
      <formula>"TAX REFUND"</formula>
    </cfRule>
  </conditionalFormatting>
  <conditionalFormatting sqref="B93:F94">
    <cfRule type="cellIs" dxfId="1747" priority="69" stopIfTrue="1" operator="equal">
      <formula>"TAX PAYABLE"</formula>
    </cfRule>
    <cfRule type="cellIs" dxfId="1746" priority="70" stopIfTrue="1" operator="equal">
      <formula>"TAX REFUND"</formula>
    </cfRule>
  </conditionalFormatting>
  <conditionalFormatting sqref="B93:F94">
    <cfRule type="cellIs" dxfId="1745" priority="67" stopIfTrue="1" operator="equal">
      <formula>"TAX PAYABLE"</formula>
    </cfRule>
    <cfRule type="cellIs" dxfId="1744" priority="68" stopIfTrue="1" operator="equal">
      <formula>"TAX REFUND"</formula>
    </cfRule>
  </conditionalFormatting>
  <conditionalFormatting sqref="B97:F97">
    <cfRule type="cellIs" dxfId="1743" priority="65" stopIfTrue="1" operator="equal">
      <formula>"TAX PAYABLE"</formula>
    </cfRule>
    <cfRule type="cellIs" dxfId="1742" priority="66" stopIfTrue="1" operator="equal">
      <formula>"TAX REFUND"</formula>
    </cfRule>
  </conditionalFormatting>
  <conditionalFormatting sqref="B93:F94 B99:F99">
    <cfRule type="cellIs" dxfId="1741" priority="63" stopIfTrue="1" operator="equal">
      <formula>"TAX PAYABLE"</formula>
    </cfRule>
    <cfRule type="cellIs" dxfId="1740" priority="64" stopIfTrue="1" operator="equal">
      <formula>"TAX REFUND"</formula>
    </cfRule>
  </conditionalFormatting>
  <conditionalFormatting sqref="G99:H99">
    <cfRule type="cellIs" dxfId="1739" priority="61" stopIfTrue="1" operator="greaterThan">
      <formula>0</formula>
    </cfRule>
    <cfRule type="cellIs" dxfId="1738" priority="62" stopIfTrue="1" operator="lessThanOrEqual">
      <formula>0</formula>
    </cfRule>
  </conditionalFormatting>
  <conditionalFormatting sqref="B99:F99 B93:F96">
    <cfRule type="cellIs" dxfId="1737" priority="59" stopIfTrue="1" operator="equal">
      <formula>"TAX PAYABLE"</formula>
    </cfRule>
    <cfRule type="cellIs" dxfId="1736" priority="60" stopIfTrue="1" operator="equal">
      <formula>"TAX REFUND"</formula>
    </cfRule>
  </conditionalFormatting>
  <conditionalFormatting sqref="G99:H99">
    <cfRule type="cellIs" dxfId="1735" priority="57" stopIfTrue="1" operator="greaterThan">
      <formula>0</formula>
    </cfRule>
    <cfRule type="cellIs" dxfId="1734" priority="58" stopIfTrue="1" operator="lessThanOrEqual">
      <formula>0</formula>
    </cfRule>
  </conditionalFormatting>
  <conditionalFormatting sqref="B97:F97">
    <cfRule type="cellIs" dxfId="1733" priority="55" stopIfTrue="1" operator="equal">
      <formula>"TAX PAYABLE"</formula>
    </cfRule>
    <cfRule type="cellIs" dxfId="1732" priority="56" stopIfTrue="1" operator="equal">
      <formula>"TAX REFUND"</formula>
    </cfRule>
  </conditionalFormatting>
  <conditionalFormatting sqref="B99:F99 B93:F96">
    <cfRule type="cellIs" dxfId="1731" priority="53" stopIfTrue="1" operator="equal">
      <formula>"TAX PAYABLE"</formula>
    </cfRule>
    <cfRule type="cellIs" dxfId="1730" priority="54" stopIfTrue="1" operator="equal">
      <formula>"TAX REFUND"</formula>
    </cfRule>
  </conditionalFormatting>
  <conditionalFormatting sqref="G99:H99">
    <cfRule type="cellIs" dxfId="1729" priority="51" stopIfTrue="1" operator="greaterThan">
      <formula>0</formula>
    </cfRule>
    <cfRule type="cellIs" dxfId="1728" priority="52" stopIfTrue="1" operator="lessThanOrEqual">
      <formula>0</formula>
    </cfRule>
  </conditionalFormatting>
  <conditionalFormatting sqref="B93:F94">
    <cfRule type="cellIs" dxfId="1727" priority="49" stopIfTrue="1" operator="equal">
      <formula>"TAX PAYABLE"</formula>
    </cfRule>
    <cfRule type="cellIs" dxfId="1726" priority="50" stopIfTrue="1" operator="equal">
      <formula>"TAX REFUND"</formula>
    </cfRule>
  </conditionalFormatting>
  <conditionalFormatting sqref="B93:F93">
    <cfRule type="cellIs" dxfId="1725" priority="47" stopIfTrue="1" operator="equal">
      <formula>"TAX PAYABLE"</formula>
    </cfRule>
    <cfRule type="cellIs" dxfId="1724" priority="48" stopIfTrue="1" operator="equal">
      <formula>"TAX REFUND"</formula>
    </cfRule>
  </conditionalFormatting>
  <conditionalFormatting sqref="B93:F94">
    <cfRule type="cellIs" dxfId="1723" priority="45" stopIfTrue="1" operator="equal">
      <formula>"TAX PAYABLE"</formula>
    </cfRule>
    <cfRule type="cellIs" dxfId="1722" priority="46" stopIfTrue="1" operator="equal">
      <formula>"TAX REFUND"</formula>
    </cfRule>
  </conditionalFormatting>
  <conditionalFormatting sqref="B93:F94">
    <cfRule type="cellIs" dxfId="1721" priority="43" stopIfTrue="1" operator="equal">
      <formula>"TAX PAYABLE"</formula>
    </cfRule>
    <cfRule type="cellIs" dxfId="1720" priority="44" stopIfTrue="1" operator="equal">
      <formula>"TAX REFUND"</formula>
    </cfRule>
  </conditionalFormatting>
  <conditionalFormatting sqref="B93:F94">
    <cfRule type="cellIs" dxfId="1719" priority="41" stopIfTrue="1" operator="equal">
      <formula>"TAX PAYABLE"</formula>
    </cfRule>
    <cfRule type="cellIs" dxfId="1718" priority="42" stopIfTrue="1" operator="equal">
      <formula>"TAX REFUND"</formula>
    </cfRule>
  </conditionalFormatting>
  <conditionalFormatting sqref="B97:F97">
    <cfRule type="cellIs" dxfId="1717" priority="39" stopIfTrue="1" operator="equal">
      <formula>"TAX PAYABLE"</formula>
    </cfRule>
    <cfRule type="cellIs" dxfId="1716" priority="40" stopIfTrue="1" operator="equal">
      <formula>"TAX REFUND"</formula>
    </cfRule>
  </conditionalFormatting>
  <conditionalFormatting sqref="B93:F93">
    <cfRule type="cellIs" dxfId="1715" priority="37" stopIfTrue="1" operator="equal">
      <formula>"TAX PAYABLE"</formula>
    </cfRule>
    <cfRule type="cellIs" dxfId="1714" priority="38" stopIfTrue="1" operator="equal">
      <formula>"TAX REFUND"</formula>
    </cfRule>
  </conditionalFormatting>
  <conditionalFormatting sqref="B93:F94">
    <cfRule type="cellIs" dxfId="1713" priority="35" stopIfTrue="1" operator="equal">
      <formula>"TAX PAYABLE"</formula>
    </cfRule>
    <cfRule type="cellIs" dxfId="1712" priority="36" stopIfTrue="1" operator="equal">
      <formula>"TAX REFUND"</formula>
    </cfRule>
  </conditionalFormatting>
  <conditionalFormatting sqref="B93:F94">
    <cfRule type="cellIs" dxfId="1711" priority="33" stopIfTrue="1" operator="equal">
      <formula>"TAX PAYABLE"</formula>
    </cfRule>
    <cfRule type="cellIs" dxfId="1710" priority="34" stopIfTrue="1" operator="equal">
      <formula>"TAX REFUND"</formula>
    </cfRule>
  </conditionalFormatting>
  <conditionalFormatting sqref="B93:F94">
    <cfRule type="cellIs" dxfId="1709" priority="31" stopIfTrue="1" operator="equal">
      <formula>"TAX PAYABLE"</formula>
    </cfRule>
    <cfRule type="cellIs" dxfId="1708" priority="32" stopIfTrue="1" operator="equal">
      <formula>"TAX REFUND"</formula>
    </cfRule>
  </conditionalFormatting>
  <conditionalFormatting sqref="B97:F97">
    <cfRule type="cellIs" dxfId="1707" priority="29" stopIfTrue="1" operator="equal">
      <formula>"TAX PAYABLE"</formula>
    </cfRule>
    <cfRule type="cellIs" dxfId="1706" priority="30" stopIfTrue="1" operator="equal">
      <formula>"TAX REFUND"</formula>
    </cfRule>
  </conditionalFormatting>
  <conditionalFormatting sqref="B93:F94 B99:F99">
    <cfRule type="cellIs" dxfId="1705" priority="27" stopIfTrue="1" operator="equal">
      <formula>"TAX PAYABLE"</formula>
    </cfRule>
    <cfRule type="cellIs" dxfId="1704" priority="28" stopIfTrue="1" operator="equal">
      <formula>"TAX REFUND"</formula>
    </cfRule>
  </conditionalFormatting>
  <conditionalFormatting sqref="G99:H99">
    <cfRule type="cellIs" dxfId="1703" priority="25" stopIfTrue="1" operator="greaterThan">
      <formula>0</formula>
    </cfRule>
    <cfRule type="cellIs" dxfId="1702" priority="26" stopIfTrue="1" operator="lessThanOrEqual">
      <formula>0</formula>
    </cfRule>
  </conditionalFormatting>
  <conditionalFormatting sqref="B99:F99 B93:F96">
    <cfRule type="cellIs" dxfId="1701" priority="23" stopIfTrue="1" operator="equal">
      <formula>"TAX PAYABLE"</formula>
    </cfRule>
    <cfRule type="cellIs" dxfId="1700" priority="24" stopIfTrue="1" operator="equal">
      <formula>"TAX REFUND"</formula>
    </cfRule>
  </conditionalFormatting>
  <conditionalFormatting sqref="G99:H99">
    <cfRule type="cellIs" dxfId="1699" priority="21" stopIfTrue="1" operator="greaterThan">
      <formula>0</formula>
    </cfRule>
    <cfRule type="cellIs" dxfId="1698" priority="22" stopIfTrue="1" operator="lessThanOrEqual">
      <formula>0</formula>
    </cfRule>
  </conditionalFormatting>
  <conditionalFormatting sqref="B94:F94">
    <cfRule type="cellIs" dxfId="1697" priority="19" stopIfTrue="1" operator="equal">
      <formula>"TAX PAYABLE"</formula>
    </cfRule>
    <cfRule type="cellIs" dxfId="1696" priority="20" stopIfTrue="1" operator="equal">
      <formula>"TAX REFUND"</formula>
    </cfRule>
  </conditionalFormatting>
  <conditionalFormatting sqref="B94:F94">
    <cfRule type="cellIs" dxfId="1695" priority="17" stopIfTrue="1" operator="equal">
      <formula>"TAX PAYABLE"</formula>
    </cfRule>
    <cfRule type="cellIs" dxfId="1694" priority="18" stopIfTrue="1" operator="equal">
      <formula>"TAX REFUND"</formula>
    </cfRule>
  </conditionalFormatting>
  <conditionalFormatting sqref="B94:F94">
    <cfRule type="cellIs" dxfId="1693" priority="15" stopIfTrue="1" operator="equal">
      <formula>"TAX PAYABLE"</formula>
    </cfRule>
    <cfRule type="cellIs" dxfId="1692" priority="16" stopIfTrue="1" operator="equal">
      <formula>"TAX REFUND"</formula>
    </cfRule>
  </conditionalFormatting>
  <conditionalFormatting sqref="B94:F94">
    <cfRule type="cellIs" dxfId="1691" priority="13" stopIfTrue="1" operator="equal">
      <formula>"TAX PAYABLE"</formula>
    </cfRule>
    <cfRule type="cellIs" dxfId="1690" priority="14" stopIfTrue="1" operator="equal">
      <formula>"TAX REFUND"</formula>
    </cfRule>
  </conditionalFormatting>
  <conditionalFormatting sqref="B94:F94">
    <cfRule type="cellIs" dxfId="1689" priority="11" stopIfTrue="1" operator="equal">
      <formula>"TAX PAYABLE"</formula>
    </cfRule>
    <cfRule type="cellIs" dxfId="1688" priority="12" stopIfTrue="1" operator="equal">
      <formula>"TAX REFUND"</formula>
    </cfRule>
  </conditionalFormatting>
  <conditionalFormatting sqref="B94:F94">
    <cfRule type="cellIs" dxfId="1687" priority="9" stopIfTrue="1" operator="equal">
      <formula>"TAX PAYABLE"</formula>
    </cfRule>
    <cfRule type="cellIs" dxfId="1686" priority="10" stopIfTrue="1" operator="equal">
      <formula>"TAX REFUND"</formula>
    </cfRule>
  </conditionalFormatting>
  <conditionalFormatting sqref="B94:F94">
    <cfRule type="cellIs" dxfId="1685" priority="7" stopIfTrue="1" operator="equal">
      <formula>"TAX PAYABLE"</formula>
    </cfRule>
    <cfRule type="cellIs" dxfId="1684" priority="8" stopIfTrue="1" operator="equal">
      <formula>"TAX REFUND"</formula>
    </cfRule>
  </conditionalFormatting>
  <conditionalFormatting sqref="B94:F94">
    <cfRule type="cellIs" dxfId="1683" priority="5" stopIfTrue="1" operator="equal">
      <formula>"TAX PAYABLE"</formula>
    </cfRule>
    <cfRule type="cellIs" dxfId="1682" priority="6" stopIfTrue="1" operator="equal">
      <formula>"TAX REFUND"</formula>
    </cfRule>
  </conditionalFormatting>
  <conditionalFormatting sqref="B94:F94">
    <cfRule type="cellIs" dxfId="1681" priority="3" stopIfTrue="1" operator="equal">
      <formula>"TAX PAYABLE"</formula>
    </cfRule>
    <cfRule type="cellIs" dxfId="1680" priority="4" stopIfTrue="1" operator="equal">
      <formula>"TAX REFUND"</formula>
    </cfRule>
  </conditionalFormatting>
  <conditionalFormatting sqref="B94:F94">
    <cfRule type="cellIs" dxfId="1679" priority="1" stopIfTrue="1" operator="equal">
      <formula>"TAX PAYABLE"</formula>
    </cfRule>
    <cfRule type="cellIs" dxfId="1678" priority="2" stopIfTrue="1" operator="equal">
      <formula>"TAX REFUND"</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$Q$8:$Q$9</formula1>
    </dataValidation>
  </dataValidations>
  <pageMargins left="0.7" right="0.7" top="0.75" bottom="0.75" header="0.3" footer="0.3"/>
  <pageSetup paperSize="5" orientation="landscape" horizontalDpi="300" verticalDpi="300" r:id="rId1"/>
  <headerFooter alignWithMargins="0"/>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7"/>
  <sheetViews>
    <sheetView topLeftCell="A62" workbookViewId="0">
      <selection activeCell="G98" sqref="G98:H98"/>
    </sheetView>
  </sheetViews>
  <sheetFormatPr defaultRowHeight="12.75" x14ac:dyDescent="0.2"/>
  <cols>
    <col min="1" max="1" width="5" style="16" customWidth="1"/>
    <col min="2" max="2" width="19.140625" style="37" customWidth="1"/>
    <col min="3" max="3" width="11.140625" style="16" bestFit="1" customWidth="1"/>
    <col min="4" max="4" width="6.7109375" style="16" bestFit="1" customWidth="1"/>
    <col min="5" max="5" width="8.5703125" style="16" bestFit="1" customWidth="1"/>
    <col min="6" max="6" width="9.28515625" style="16" bestFit="1" customWidth="1"/>
    <col min="7" max="7" width="8.42578125" style="16" bestFit="1" customWidth="1"/>
    <col min="8" max="8" width="9.7109375" style="16" bestFit="1" customWidth="1"/>
    <col min="9" max="9" width="7.140625" style="16" bestFit="1" customWidth="1"/>
    <col min="10" max="10" width="7.7109375" style="16" customWidth="1"/>
    <col min="11" max="12" width="7" style="16" bestFit="1" customWidth="1"/>
    <col min="13" max="13" width="6.85546875" style="16" bestFit="1" customWidth="1"/>
    <col min="14" max="14" width="7" style="16" bestFit="1" customWidth="1"/>
    <col min="15" max="15" width="7.140625" style="16" bestFit="1" customWidth="1"/>
    <col min="16" max="20" width="9.140625" style="16"/>
    <col min="21" max="21" width="12.42578125" style="16" customWidth="1"/>
    <col min="22" max="22" width="9.140625" style="16"/>
    <col min="23" max="23" width="12" style="16" customWidth="1"/>
    <col min="24" max="256" width="9.140625" style="16"/>
    <col min="257" max="257" width="5" style="16" customWidth="1"/>
    <col min="258" max="258" width="19.140625" style="16" customWidth="1"/>
    <col min="259" max="259" width="11.140625" style="16" bestFit="1" customWidth="1"/>
    <col min="260" max="260" width="6.7109375" style="16" bestFit="1" customWidth="1"/>
    <col min="261" max="261" width="8.5703125" style="16" bestFit="1" customWidth="1"/>
    <col min="262" max="262" width="9.28515625" style="16" bestFit="1" customWidth="1"/>
    <col min="263" max="263" width="8.42578125" style="16" bestFit="1" customWidth="1"/>
    <col min="264" max="264" width="9.7109375" style="16" bestFit="1" customWidth="1"/>
    <col min="265" max="265" width="7.140625" style="16" bestFit="1" customWidth="1"/>
    <col min="266" max="266" width="7.7109375" style="16" customWidth="1"/>
    <col min="267" max="268" width="7" style="16" bestFit="1" customWidth="1"/>
    <col min="269" max="269" width="6.85546875" style="16" bestFit="1" customWidth="1"/>
    <col min="270" max="270" width="7" style="16" bestFit="1" customWidth="1"/>
    <col min="271" max="271" width="7.140625" style="16" bestFit="1" customWidth="1"/>
    <col min="272" max="276" width="9.140625" style="16"/>
    <col min="277" max="277" width="12.42578125" style="16" customWidth="1"/>
    <col min="278" max="278" width="9.140625" style="16"/>
    <col min="279" max="279" width="12" style="16" customWidth="1"/>
    <col min="280" max="512" width="9.140625" style="16"/>
    <col min="513" max="513" width="5" style="16" customWidth="1"/>
    <col min="514" max="514" width="19.140625" style="16" customWidth="1"/>
    <col min="515" max="515" width="11.140625" style="16" bestFit="1" customWidth="1"/>
    <col min="516" max="516" width="6.7109375" style="16" bestFit="1" customWidth="1"/>
    <col min="517" max="517" width="8.5703125" style="16" bestFit="1" customWidth="1"/>
    <col min="518" max="518" width="9.28515625" style="16" bestFit="1" customWidth="1"/>
    <col min="519" max="519" width="8.42578125" style="16" bestFit="1" customWidth="1"/>
    <col min="520" max="520" width="9.7109375" style="16" bestFit="1" customWidth="1"/>
    <col min="521" max="521" width="7.140625" style="16" bestFit="1" customWidth="1"/>
    <col min="522" max="522" width="7.7109375" style="16" customWidth="1"/>
    <col min="523" max="524" width="7" style="16" bestFit="1" customWidth="1"/>
    <col min="525" max="525" width="6.85546875" style="16" bestFit="1" customWidth="1"/>
    <col min="526" max="526" width="7" style="16" bestFit="1" customWidth="1"/>
    <col min="527" max="527" width="7.140625" style="16" bestFit="1" customWidth="1"/>
    <col min="528" max="532" width="9.140625" style="16"/>
    <col min="533" max="533" width="12.42578125" style="16" customWidth="1"/>
    <col min="534" max="534" width="9.140625" style="16"/>
    <col min="535" max="535" width="12" style="16" customWidth="1"/>
    <col min="536" max="768" width="9.140625" style="16"/>
    <col min="769" max="769" width="5" style="16" customWidth="1"/>
    <col min="770" max="770" width="19.140625" style="16" customWidth="1"/>
    <col min="771" max="771" width="11.140625" style="16" bestFit="1" customWidth="1"/>
    <col min="772" max="772" width="6.7109375" style="16" bestFit="1" customWidth="1"/>
    <col min="773" max="773" width="8.5703125" style="16" bestFit="1" customWidth="1"/>
    <col min="774" max="774" width="9.28515625" style="16" bestFit="1" customWidth="1"/>
    <col min="775" max="775" width="8.42578125" style="16" bestFit="1" customWidth="1"/>
    <col min="776" max="776" width="9.7109375" style="16" bestFit="1" customWidth="1"/>
    <col min="777" max="777" width="7.140625" style="16" bestFit="1" customWidth="1"/>
    <col min="778" max="778" width="7.7109375" style="16" customWidth="1"/>
    <col min="779" max="780" width="7" style="16" bestFit="1" customWidth="1"/>
    <col min="781" max="781" width="6.85546875" style="16" bestFit="1" customWidth="1"/>
    <col min="782" max="782" width="7" style="16" bestFit="1" customWidth="1"/>
    <col min="783" max="783" width="7.140625" style="16" bestFit="1" customWidth="1"/>
    <col min="784" max="788" width="9.140625" style="16"/>
    <col min="789" max="789" width="12.42578125" style="16" customWidth="1"/>
    <col min="790" max="790" width="9.140625" style="16"/>
    <col min="791" max="791" width="12" style="16" customWidth="1"/>
    <col min="792" max="1024" width="9.140625" style="16"/>
    <col min="1025" max="1025" width="5" style="16" customWidth="1"/>
    <col min="1026" max="1026" width="19.140625" style="16" customWidth="1"/>
    <col min="1027" max="1027" width="11.140625" style="16" bestFit="1" customWidth="1"/>
    <col min="1028" max="1028" width="6.7109375" style="16" bestFit="1" customWidth="1"/>
    <col min="1029" max="1029" width="8.5703125" style="16" bestFit="1" customWidth="1"/>
    <col min="1030" max="1030" width="9.28515625" style="16" bestFit="1" customWidth="1"/>
    <col min="1031" max="1031" width="8.42578125" style="16" bestFit="1" customWidth="1"/>
    <col min="1032" max="1032" width="9.7109375" style="16" bestFit="1" customWidth="1"/>
    <col min="1033" max="1033" width="7.140625" style="16" bestFit="1" customWidth="1"/>
    <col min="1034" max="1034" width="7.7109375" style="16" customWidth="1"/>
    <col min="1035" max="1036" width="7" style="16" bestFit="1" customWidth="1"/>
    <col min="1037" max="1037" width="6.85546875" style="16" bestFit="1" customWidth="1"/>
    <col min="1038" max="1038" width="7" style="16" bestFit="1" customWidth="1"/>
    <col min="1039" max="1039" width="7.140625" style="16" bestFit="1" customWidth="1"/>
    <col min="1040" max="1044" width="9.140625" style="16"/>
    <col min="1045" max="1045" width="12.42578125" style="16" customWidth="1"/>
    <col min="1046" max="1046" width="9.140625" style="16"/>
    <col min="1047" max="1047" width="12" style="16" customWidth="1"/>
    <col min="1048" max="1280" width="9.140625" style="16"/>
    <col min="1281" max="1281" width="5" style="16" customWidth="1"/>
    <col min="1282" max="1282" width="19.140625" style="16" customWidth="1"/>
    <col min="1283" max="1283" width="11.140625" style="16" bestFit="1" customWidth="1"/>
    <col min="1284" max="1284" width="6.7109375" style="16" bestFit="1" customWidth="1"/>
    <col min="1285" max="1285" width="8.5703125" style="16" bestFit="1" customWidth="1"/>
    <col min="1286" max="1286" width="9.28515625" style="16" bestFit="1" customWidth="1"/>
    <col min="1287" max="1287" width="8.42578125" style="16" bestFit="1" customWidth="1"/>
    <col min="1288" max="1288" width="9.7109375" style="16" bestFit="1" customWidth="1"/>
    <col min="1289" max="1289" width="7.140625" style="16" bestFit="1" customWidth="1"/>
    <col min="1290" max="1290" width="7.7109375" style="16" customWidth="1"/>
    <col min="1291" max="1292" width="7" style="16" bestFit="1" customWidth="1"/>
    <col min="1293" max="1293" width="6.85546875" style="16" bestFit="1" customWidth="1"/>
    <col min="1294" max="1294" width="7" style="16" bestFit="1" customWidth="1"/>
    <col min="1295" max="1295" width="7.140625" style="16" bestFit="1" customWidth="1"/>
    <col min="1296" max="1300" width="9.140625" style="16"/>
    <col min="1301" max="1301" width="12.42578125" style="16" customWidth="1"/>
    <col min="1302" max="1302" width="9.140625" style="16"/>
    <col min="1303" max="1303" width="12" style="16" customWidth="1"/>
    <col min="1304" max="1536" width="9.140625" style="16"/>
    <col min="1537" max="1537" width="5" style="16" customWidth="1"/>
    <col min="1538" max="1538" width="19.140625" style="16" customWidth="1"/>
    <col min="1539" max="1539" width="11.140625" style="16" bestFit="1" customWidth="1"/>
    <col min="1540" max="1540" width="6.7109375" style="16" bestFit="1" customWidth="1"/>
    <col min="1541" max="1541" width="8.5703125" style="16" bestFit="1" customWidth="1"/>
    <col min="1542" max="1542" width="9.28515625" style="16" bestFit="1" customWidth="1"/>
    <col min="1543" max="1543" width="8.42578125" style="16" bestFit="1" customWidth="1"/>
    <col min="1544" max="1544" width="9.7109375" style="16" bestFit="1" customWidth="1"/>
    <col min="1545" max="1545" width="7.140625" style="16" bestFit="1" customWidth="1"/>
    <col min="1546" max="1546" width="7.7109375" style="16" customWidth="1"/>
    <col min="1547" max="1548" width="7" style="16" bestFit="1" customWidth="1"/>
    <col min="1549" max="1549" width="6.85546875" style="16" bestFit="1" customWidth="1"/>
    <col min="1550" max="1550" width="7" style="16" bestFit="1" customWidth="1"/>
    <col min="1551" max="1551" width="7.140625" style="16" bestFit="1" customWidth="1"/>
    <col min="1552" max="1556" width="9.140625" style="16"/>
    <col min="1557" max="1557" width="12.42578125" style="16" customWidth="1"/>
    <col min="1558" max="1558" width="9.140625" style="16"/>
    <col min="1559" max="1559" width="12" style="16" customWidth="1"/>
    <col min="1560" max="1792" width="9.140625" style="16"/>
    <col min="1793" max="1793" width="5" style="16" customWidth="1"/>
    <col min="1794" max="1794" width="19.140625" style="16" customWidth="1"/>
    <col min="1795" max="1795" width="11.140625" style="16" bestFit="1" customWidth="1"/>
    <col min="1796" max="1796" width="6.7109375" style="16" bestFit="1" customWidth="1"/>
    <col min="1797" max="1797" width="8.5703125" style="16" bestFit="1" customWidth="1"/>
    <col min="1798" max="1798" width="9.28515625" style="16" bestFit="1" customWidth="1"/>
    <col min="1799" max="1799" width="8.42578125" style="16" bestFit="1" customWidth="1"/>
    <col min="1800" max="1800" width="9.7109375" style="16" bestFit="1" customWidth="1"/>
    <col min="1801" max="1801" width="7.140625" style="16" bestFit="1" customWidth="1"/>
    <col min="1802" max="1802" width="7.7109375" style="16" customWidth="1"/>
    <col min="1803" max="1804" width="7" style="16" bestFit="1" customWidth="1"/>
    <col min="1805" max="1805" width="6.85546875" style="16" bestFit="1" customWidth="1"/>
    <col min="1806" max="1806" width="7" style="16" bestFit="1" customWidth="1"/>
    <col min="1807" max="1807" width="7.140625" style="16" bestFit="1" customWidth="1"/>
    <col min="1808" max="1812" width="9.140625" style="16"/>
    <col min="1813" max="1813" width="12.42578125" style="16" customWidth="1"/>
    <col min="1814" max="1814" width="9.140625" style="16"/>
    <col min="1815" max="1815" width="12" style="16" customWidth="1"/>
    <col min="1816" max="2048" width="9.140625" style="16"/>
    <col min="2049" max="2049" width="5" style="16" customWidth="1"/>
    <col min="2050" max="2050" width="19.140625" style="16" customWidth="1"/>
    <col min="2051" max="2051" width="11.140625" style="16" bestFit="1" customWidth="1"/>
    <col min="2052" max="2052" width="6.7109375" style="16" bestFit="1" customWidth="1"/>
    <col min="2053" max="2053" width="8.5703125" style="16" bestFit="1" customWidth="1"/>
    <col min="2054" max="2054" width="9.28515625" style="16" bestFit="1" customWidth="1"/>
    <col min="2055" max="2055" width="8.42578125" style="16" bestFit="1" customWidth="1"/>
    <col min="2056" max="2056" width="9.7109375" style="16" bestFit="1" customWidth="1"/>
    <col min="2057" max="2057" width="7.140625" style="16" bestFit="1" customWidth="1"/>
    <col min="2058" max="2058" width="7.7109375" style="16" customWidth="1"/>
    <col min="2059" max="2060" width="7" style="16" bestFit="1" customWidth="1"/>
    <col min="2061" max="2061" width="6.85546875" style="16" bestFit="1" customWidth="1"/>
    <col min="2062" max="2062" width="7" style="16" bestFit="1" customWidth="1"/>
    <col min="2063" max="2063" width="7.140625" style="16" bestFit="1" customWidth="1"/>
    <col min="2064" max="2068" width="9.140625" style="16"/>
    <col min="2069" max="2069" width="12.42578125" style="16" customWidth="1"/>
    <col min="2070" max="2070" width="9.140625" style="16"/>
    <col min="2071" max="2071" width="12" style="16" customWidth="1"/>
    <col min="2072" max="2304" width="9.140625" style="16"/>
    <col min="2305" max="2305" width="5" style="16" customWidth="1"/>
    <col min="2306" max="2306" width="19.140625" style="16" customWidth="1"/>
    <col min="2307" max="2307" width="11.140625" style="16" bestFit="1" customWidth="1"/>
    <col min="2308" max="2308" width="6.7109375" style="16" bestFit="1" customWidth="1"/>
    <col min="2309" max="2309" width="8.5703125" style="16" bestFit="1" customWidth="1"/>
    <col min="2310" max="2310" width="9.28515625" style="16" bestFit="1" customWidth="1"/>
    <col min="2311" max="2311" width="8.42578125" style="16" bestFit="1" customWidth="1"/>
    <col min="2312" max="2312" width="9.7109375" style="16" bestFit="1" customWidth="1"/>
    <col min="2313" max="2313" width="7.140625" style="16" bestFit="1" customWidth="1"/>
    <col min="2314" max="2314" width="7.7109375" style="16" customWidth="1"/>
    <col min="2315" max="2316" width="7" style="16" bestFit="1" customWidth="1"/>
    <col min="2317" max="2317" width="6.85546875" style="16" bestFit="1" customWidth="1"/>
    <col min="2318" max="2318" width="7" style="16" bestFit="1" customWidth="1"/>
    <col min="2319" max="2319" width="7.140625" style="16" bestFit="1" customWidth="1"/>
    <col min="2320" max="2324" width="9.140625" style="16"/>
    <col min="2325" max="2325" width="12.42578125" style="16" customWidth="1"/>
    <col min="2326" max="2326" width="9.140625" style="16"/>
    <col min="2327" max="2327" width="12" style="16" customWidth="1"/>
    <col min="2328" max="2560" width="9.140625" style="16"/>
    <col min="2561" max="2561" width="5" style="16" customWidth="1"/>
    <col min="2562" max="2562" width="19.140625" style="16" customWidth="1"/>
    <col min="2563" max="2563" width="11.140625" style="16" bestFit="1" customWidth="1"/>
    <col min="2564" max="2564" width="6.7109375" style="16" bestFit="1" customWidth="1"/>
    <col min="2565" max="2565" width="8.5703125" style="16" bestFit="1" customWidth="1"/>
    <col min="2566" max="2566" width="9.28515625" style="16" bestFit="1" customWidth="1"/>
    <col min="2567" max="2567" width="8.42578125" style="16" bestFit="1" customWidth="1"/>
    <col min="2568" max="2568" width="9.7109375" style="16" bestFit="1" customWidth="1"/>
    <col min="2569" max="2569" width="7.140625" style="16" bestFit="1" customWidth="1"/>
    <col min="2570" max="2570" width="7.7109375" style="16" customWidth="1"/>
    <col min="2571" max="2572" width="7" style="16" bestFit="1" customWidth="1"/>
    <col min="2573" max="2573" width="6.85546875" style="16" bestFit="1" customWidth="1"/>
    <col min="2574" max="2574" width="7" style="16" bestFit="1" customWidth="1"/>
    <col min="2575" max="2575" width="7.140625" style="16" bestFit="1" customWidth="1"/>
    <col min="2576" max="2580" width="9.140625" style="16"/>
    <col min="2581" max="2581" width="12.42578125" style="16" customWidth="1"/>
    <col min="2582" max="2582" width="9.140625" style="16"/>
    <col min="2583" max="2583" width="12" style="16" customWidth="1"/>
    <col min="2584" max="2816" width="9.140625" style="16"/>
    <col min="2817" max="2817" width="5" style="16" customWidth="1"/>
    <col min="2818" max="2818" width="19.140625" style="16" customWidth="1"/>
    <col min="2819" max="2819" width="11.140625" style="16" bestFit="1" customWidth="1"/>
    <col min="2820" max="2820" width="6.7109375" style="16" bestFit="1" customWidth="1"/>
    <col min="2821" max="2821" width="8.5703125" style="16" bestFit="1" customWidth="1"/>
    <col min="2822" max="2822" width="9.28515625" style="16" bestFit="1" customWidth="1"/>
    <col min="2823" max="2823" width="8.42578125" style="16" bestFit="1" customWidth="1"/>
    <col min="2824" max="2824" width="9.7109375" style="16" bestFit="1" customWidth="1"/>
    <col min="2825" max="2825" width="7.140625" style="16" bestFit="1" customWidth="1"/>
    <col min="2826" max="2826" width="7.7109375" style="16" customWidth="1"/>
    <col min="2827" max="2828" width="7" style="16" bestFit="1" customWidth="1"/>
    <col min="2829" max="2829" width="6.85546875" style="16" bestFit="1" customWidth="1"/>
    <col min="2830" max="2830" width="7" style="16" bestFit="1" customWidth="1"/>
    <col min="2831" max="2831" width="7.140625" style="16" bestFit="1" customWidth="1"/>
    <col min="2832" max="2836" width="9.140625" style="16"/>
    <col min="2837" max="2837" width="12.42578125" style="16" customWidth="1"/>
    <col min="2838" max="2838" width="9.140625" style="16"/>
    <col min="2839" max="2839" width="12" style="16" customWidth="1"/>
    <col min="2840" max="3072" width="9.140625" style="16"/>
    <col min="3073" max="3073" width="5" style="16" customWidth="1"/>
    <col min="3074" max="3074" width="19.140625" style="16" customWidth="1"/>
    <col min="3075" max="3075" width="11.140625" style="16" bestFit="1" customWidth="1"/>
    <col min="3076" max="3076" width="6.7109375" style="16" bestFit="1" customWidth="1"/>
    <col min="3077" max="3077" width="8.5703125" style="16" bestFit="1" customWidth="1"/>
    <col min="3078" max="3078" width="9.28515625" style="16" bestFit="1" customWidth="1"/>
    <col min="3079" max="3079" width="8.42578125" style="16" bestFit="1" customWidth="1"/>
    <col min="3080" max="3080" width="9.7109375" style="16" bestFit="1" customWidth="1"/>
    <col min="3081" max="3081" width="7.140625" style="16" bestFit="1" customWidth="1"/>
    <col min="3082" max="3082" width="7.7109375" style="16" customWidth="1"/>
    <col min="3083" max="3084" width="7" style="16" bestFit="1" customWidth="1"/>
    <col min="3085" max="3085" width="6.85546875" style="16" bestFit="1" customWidth="1"/>
    <col min="3086" max="3086" width="7" style="16" bestFit="1" customWidth="1"/>
    <col min="3087" max="3087" width="7.140625" style="16" bestFit="1" customWidth="1"/>
    <col min="3088" max="3092" width="9.140625" style="16"/>
    <col min="3093" max="3093" width="12.42578125" style="16" customWidth="1"/>
    <col min="3094" max="3094" width="9.140625" style="16"/>
    <col min="3095" max="3095" width="12" style="16" customWidth="1"/>
    <col min="3096" max="3328" width="9.140625" style="16"/>
    <col min="3329" max="3329" width="5" style="16" customWidth="1"/>
    <col min="3330" max="3330" width="19.140625" style="16" customWidth="1"/>
    <col min="3331" max="3331" width="11.140625" style="16" bestFit="1" customWidth="1"/>
    <col min="3332" max="3332" width="6.7109375" style="16" bestFit="1" customWidth="1"/>
    <col min="3333" max="3333" width="8.5703125" style="16" bestFit="1" customWidth="1"/>
    <col min="3334" max="3334" width="9.28515625" style="16" bestFit="1" customWidth="1"/>
    <col min="3335" max="3335" width="8.42578125" style="16" bestFit="1" customWidth="1"/>
    <col min="3336" max="3336" width="9.7109375" style="16" bestFit="1" customWidth="1"/>
    <col min="3337" max="3337" width="7.140625" style="16" bestFit="1" customWidth="1"/>
    <col min="3338" max="3338" width="7.7109375" style="16" customWidth="1"/>
    <col min="3339" max="3340" width="7" style="16" bestFit="1" customWidth="1"/>
    <col min="3341" max="3341" width="6.85546875" style="16" bestFit="1" customWidth="1"/>
    <col min="3342" max="3342" width="7" style="16" bestFit="1" customWidth="1"/>
    <col min="3343" max="3343" width="7.140625" style="16" bestFit="1" customWidth="1"/>
    <col min="3344" max="3348" width="9.140625" style="16"/>
    <col min="3349" max="3349" width="12.42578125" style="16" customWidth="1"/>
    <col min="3350" max="3350" width="9.140625" style="16"/>
    <col min="3351" max="3351" width="12" style="16" customWidth="1"/>
    <col min="3352" max="3584" width="9.140625" style="16"/>
    <col min="3585" max="3585" width="5" style="16" customWidth="1"/>
    <col min="3586" max="3586" width="19.140625" style="16" customWidth="1"/>
    <col min="3587" max="3587" width="11.140625" style="16" bestFit="1" customWidth="1"/>
    <col min="3588" max="3588" width="6.7109375" style="16" bestFit="1" customWidth="1"/>
    <col min="3589" max="3589" width="8.5703125" style="16" bestFit="1" customWidth="1"/>
    <col min="3590" max="3590" width="9.28515625" style="16" bestFit="1" customWidth="1"/>
    <col min="3591" max="3591" width="8.42578125" style="16" bestFit="1" customWidth="1"/>
    <col min="3592" max="3592" width="9.7109375" style="16" bestFit="1" customWidth="1"/>
    <col min="3593" max="3593" width="7.140625" style="16" bestFit="1" customWidth="1"/>
    <col min="3594" max="3594" width="7.7109375" style="16" customWidth="1"/>
    <col min="3595" max="3596" width="7" style="16" bestFit="1" customWidth="1"/>
    <col min="3597" max="3597" width="6.85546875" style="16" bestFit="1" customWidth="1"/>
    <col min="3598" max="3598" width="7" style="16" bestFit="1" customWidth="1"/>
    <col min="3599" max="3599" width="7.140625" style="16" bestFit="1" customWidth="1"/>
    <col min="3600" max="3604" width="9.140625" style="16"/>
    <col min="3605" max="3605" width="12.42578125" style="16" customWidth="1"/>
    <col min="3606" max="3606" width="9.140625" style="16"/>
    <col min="3607" max="3607" width="12" style="16" customWidth="1"/>
    <col min="3608" max="3840" width="9.140625" style="16"/>
    <col min="3841" max="3841" width="5" style="16" customWidth="1"/>
    <col min="3842" max="3842" width="19.140625" style="16" customWidth="1"/>
    <col min="3843" max="3843" width="11.140625" style="16" bestFit="1" customWidth="1"/>
    <col min="3844" max="3844" width="6.7109375" style="16" bestFit="1" customWidth="1"/>
    <col min="3845" max="3845" width="8.5703125" style="16" bestFit="1" customWidth="1"/>
    <col min="3846" max="3846" width="9.28515625" style="16" bestFit="1" customWidth="1"/>
    <col min="3847" max="3847" width="8.42578125" style="16" bestFit="1" customWidth="1"/>
    <col min="3848" max="3848" width="9.7109375" style="16" bestFit="1" customWidth="1"/>
    <col min="3849" max="3849" width="7.140625" style="16" bestFit="1" customWidth="1"/>
    <col min="3850" max="3850" width="7.7109375" style="16" customWidth="1"/>
    <col min="3851" max="3852" width="7" style="16" bestFit="1" customWidth="1"/>
    <col min="3853" max="3853" width="6.85546875" style="16" bestFit="1" customWidth="1"/>
    <col min="3854" max="3854" width="7" style="16" bestFit="1" customWidth="1"/>
    <col min="3855" max="3855" width="7.140625" style="16" bestFit="1" customWidth="1"/>
    <col min="3856" max="3860" width="9.140625" style="16"/>
    <col min="3861" max="3861" width="12.42578125" style="16" customWidth="1"/>
    <col min="3862" max="3862" width="9.140625" style="16"/>
    <col min="3863" max="3863" width="12" style="16" customWidth="1"/>
    <col min="3864" max="4096" width="9.140625" style="16"/>
    <col min="4097" max="4097" width="5" style="16" customWidth="1"/>
    <col min="4098" max="4098" width="19.140625" style="16" customWidth="1"/>
    <col min="4099" max="4099" width="11.140625" style="16" bestFit="1" customWidth="1"/>
    <col min="4100" max="4100" width="6.7109375" style="16" bestFit="1" customWidth="1"/>
    <col min="4101" max="4101" width="8.5703125" style="16" bestFit="1" customWidth="1"/>
    <col min="4102" max="4102" width="9.28515625" style="16" bestFit="1" customWidth="1"/>
    <col min="4103" max="4103" width="8.42578125" style="16" bestFit="1" customWidth="1"/>
    <col min="4104" max="4104" width="9.7109375" style="16" bestFit="1" customWidth="1"/>
    <col min="4105" max="4105" width="7.140625" style="16" bestFit="1" customWidth="1"/>
    <col min="4106" max="4106" width="7.7109375" style="16" customWidth="1"/>
    <col min="4107" max="4108" width="7" style="16" bestFit="1" customWidth="1"/>
    <col min="4109" max="4109" width="6.85546875" style="16" bestFit="1" customWidth="1"/>
    <col min="4110" max="4110" width="7" style="16" bestFit="1" customWidth="1"/>
    <col min="4111" max="4111" width="7.140625" style="16" bestFit="1" customWidth="1"/>
    <col min="4112" max="4116" width="9.140625" style="16"/>
    <col min="4117" max="4117" width="12.42578125" style="16" customWidth="1"/>
    <col min="4118" max="4118" width="9.140625" style="16"/>
    <col min="4119" max="4119" width="12" style="16" customWidth="1"/>
    <col min="4120" max="4352" width="9.140625" style="16"/>
    <col min="4353" max="4353" width="5" style="16" customWidth="1"/>
    <col min="4354" max="4354" width="19.140625" style="16" customWidth="1"/>
    <col min="4355" max="4355" width="11.140625" style="16" bestFit="1" customWidth="1"/>
    <col min="4356" max="4356" width="6.7109375" style="16" bestFit="1" customWidth="1"/>
    <col min="4357" max="4357" width="8.5703125" style="16" bestFit="1" customWidth="1"/>
    <col min="4358" max="4358" width="9.28515625" style="16" bestFit="1" customWidth="1"/>
    <col min="4359" max="4359" width="8.42578125" style="16" bestFit="1" customWidth="1"/>
    <col min="4360" max="4360" width="9.7109375" style="16" bestFit="1" customWidth="1"/>
    <col min="4361" max="4361" width="7.140625" style="16" bestFit="1" customWidth="1"/>
    <col min="4362" max="4362" width="7.7109375" style="16" customWidth="1"/>
    <col min="4363" max="4364" width="7" style="16" bestFit="1" customWidth="1"/>
    <col min="4365" max="4365" width="6.85546875" style="16" bestFit="1" customWidth="1"/>
    <col min="4366" max="4366" width="7" style="16" bestFit="1" customWidth="1"/>
    <col min="4367" max="4367" width="7.140625" style="16" bestFit="1" customWidth="1"/>
    <col min="4368" max="4372" width="9.140625" style="16"/>
    <col min="4373" max="4373" width="12.42578125" style="16" customWidth="1"/>
    <col min="4374" max="4374" width="9.140625" style="16"/>
    <col min="4375" max="4375" width="12" style="16" customWidth="1"/>
    <col min="4376" max="4608" width="9.140625" style="16"/>
    <col min="4609" max="4609" width="5" style="16" customWidth="1"/>
    <col min="4610" max="4610" width="19.140625" style="16" customWidth="1"/>
    <col min="4611" max="4611" width="11.140625" style="16" bestFit="1" customWidth="1"/>
    <col min="4612" max="4612" width="6.7109375" style="16" bestFit="1" customWidth="1"/>
    <col min="4613" max="4613" width="8.5703125" style="16" bestFit="1" customWidth="1"/>
    <col min="4614" max="4614" width="9.28515625" style="16" bestFit="1" customWidth="1"/>
    <col min="4615" max="4615" width="8.42578125" style="16" bestFit="1" customWidth="1"/>
    <col min="4616" max="4616" width="9.7109375" style="16" bestFit="1" customWidth="1"/>
    <col min="4617" max="4617" width="7.140625" style="16" bestFit="1" customWidth="1"/>
    <col min="4618" max="4618" width="7.7109375" style="16" customWidth="1"/>
    <col min="4619" max="4620" width="7" style="16" bestFit="1" customWidth="1"/>
    <col min="4621" max="4621" width="6.85546875" style="16" bestFit="1" customWidth="1"/>
    <col min="4622" max="4622" width="7" style="16" bestFit="1" customWidth="1"/>
    <col min="4623" max="4623" width="7.140625" style="16" bestFit="1" customWidth="1"/>
    <col min="4624" max="4628" width="9.140625" style="16"/>
    <col min="4629" max="4629" width="12.42578125" style="16" customWidth="1"/>
    <col min="4630" max="4630" width="9.140625" style="16"/>
    <col min="4631" max="4631" width="12" style="16" customWidth="1"/>
    <col min="4632" max="4864" width="9.140625" style="16"/>
    <col min="4865" max="4865" width="5" style="16" customWidth="1"/>
    <col min="4866" max="4866" width="19.140625" style="16" customWidth="1"/>
    <col min="4867" max="4867" width="11.140625" style="16" bestFit="1" customWidth="1"/>
    <col min="4868" max="4868" width="6.7109375" style="16" bestFit="1" customWidth="1"/>
    <col min="4869" max="4869" width="8.5703125" style="16" bestFit="1" customWidth="1"/>
    <col min="4870" max="4870" width="9.28515625" style="16" bestFit="1" customWidth="1"/>
    <col min="4871" max="4871" width="8.42578125" style="16" bestFit="1" customWidth="1"/>
    <col min="4872" max="4872" width="9.7109375" style="16" bestFit="1" customWidth="1"/>
    <col min="4873" max="4873" width="7.140625" style="16" bestFit="1" customWidth="1"/>
    <col min="4874" max="4874" width="7.7109375" style="16" customWidth="1"/>
    <col min="4875" max="4876" width="7" style="16" bestFit="1" customWidth="1"/>
    <col min="4877" max="4877" width="6.85546875" style="16" bestFit="1" customWidth="1"/>
    <col min="4878" max="4878" width="7" style="16" bestFit="1" customWidth="1"/>
    <col min="4879" max="4879" width="7.140625" style="16" bestFit="1" customWidth="1"/>
    <col min="4880" max="4884" width="9.140625" style="16"/>
    <col min="4885" max="4885" width="12.42578125" style="16" customWidth="1"/>
    <col min="4886" max="4886" width="9.140625" style="16"/>
    <col min="4887" max="4887" width="12" style="16" customWidth="1"/>
    <col min="4888" max="5120" width="9.140625" style="16"/>
    <col min="5121" max="5121" width="5" style="16" customWidth="1"/>
    <col min="5122" max="5122" width="19.140625" style="16" customWidth="1"/>
    <col min="5123" max="5123" width="11.140625" style="16" bestFit="1" customWidth="1"/>
    <col min="5124" max="5124" width="6.7109375" style="16" bestFit="1" customWidth="1"/>
    <col min="5125" max="5125" width="8.5703125" style="16" bestFit="1" customWidth="1"/>
    <col min="5126" max="5126" width="9.28515625" style="16" bestFit="1" customWidth="1"/>
    <col min="5127" max="5127" width="8.42578125" style="16" bestFit="1" customWidth="1"/>
    <col min="5128" max="5128" width="9.7109375" style="16" bestFit="1" customWidth="1"/>
    <col min="5129" max="5129" width="7.140625" style="16" bestFit="1" customWidth="1"/>
    <col min="5130" max="5130" width="7.7109375" style="16" customWidth="1"/>
    <col min="5131" max="5132" width="7" style="16" bestFit="1" customWidth="1"/>
    <col min="5133" max="5133" width="6.85546875" style="16" bestFit="1" customWidth="1"/>
    <col min="5134" max="5134" width="7" style="16" bestFit="1" customWidth="1"/>
    <col min="5135" max="5135" width="7.140625" style="16" bestFit="1" customWidth="1"/>
    <col min="5136" max="5140" width="9.140625" style="16"/>
    <col min="5141" max="5141" width="12.42578125" style="16" customWidth="1"/>
    <col min="5142" max="5142" width="9.140625" style="16"/>
    <col min="5143" max="5143" width="12" style="16" customWidth="1"/>
    <col min="5144" max="5376" width="9.140625" style="16"/>
    <col min="5377" max="5377" width="5" style="16" customWidth="1"/>
    <col min="5378" max="5378" width="19.140625" style="16" customWidth="1"/>
    <col min="5379" max="5379" width="11.140625" style="16" bestFit="1" customWidth="1"/>
    <col min="5380" max="5380" width="6.7109375" style="16" bestFit="1" customWidth="1"/>
    <col min="5381" max="5381" width="8.5703125" style="16" bestFit="1" customWidth="1"/>
    <col min="5382" max="5382" width="9.28515625" style="16" bestFit="1" customWidth="1"/>
    <col min="5383" max="5383" width="8.42578125" style="16" bestFit="1" customWidth="1"/>
    <col min="5384" max="5384" width="9.7109375" style="16" bestFit="1" customWidth="1"/>
    <col min="5385" max="5385" width="7.140625" style="16" bestFit="1" customWidth="1"/>
    <col min="5386" max="5386" width="7.7109375" style="16" customWidth="1"/>
    <col min="5387" max="5388" width="7" style="16" bestFit="1" customWidth="1"/>
    <col min="5389" max="5389" width="6.85546875" style="16" bestFit="1" customWidth="1"/>
    <col min="5390" max="5390" width="7" style="16" bestFit="1" customWidth="1"/>
    <col min="5391" max="5391" width="7.140625" style="16" bestFit="1" customWidth="1"/>
    <col min="5392" max="5396" width="9.140625" style="16"/>
    <col min="5397" max="5397" width="12.42578125" style="16" customWidth="1"/>
    <col min="5398" max="5398" width="9.140625" style="16"/>
    <col min="5399" max="5399" width="12" style="16" customWidth="1"/>
    <col min="5400" max="5632" width="9.140625" style="16"/>
    <col min="5633" max="5633" width="5" style="16" customWidth="1"/>
    <col min="5634" max="5634" width="19.140625" style="16" customWidth="1"/>
    <col min="5635" max="5635" width="11.140625" style="16" bestFit="1" customWidth="1"/>
    <col min="5636" max="5636" width="6.7109375" style="16" bestFit="1" customWidth="1"/>
    <col min="5637" max="5637" width="8.5703125" style="16" bestFit="1" customWidth="1"/>
    <col min="5638" max="5638" width="9.28515625" style="16" bestFit="1" customWidth="1"/>
    <col min="5639" max="5639" width="8.42578125" style="16" bestFit="1" customWidth="1"/>
    <col min="5640" max="5640" width="9.7109375" style="16" bestFit="1" customWidth="1"/>
    <col min="5641" max="5641" width="7.140625" style="16" bestFit="1" customWidth="1"/>
    <col min="5642" max="5642" width="7.7109375" style="16" customWidth="1"/>
    <col min="5643" max="5644" width="7" style="16" bestFit="1" customWidth="1"/>
    <col min="5645" max="5645" width="6.85546875" style="16" bestFit="1" customWidth="1"/>
    <col min="5646" max="5646" width="7" style="16" bestFit="1" customWidth="1"/>
    <col min="5647" max="5647" width="7.140625" style="16" bestFit="1" customWidth="1"/>
    <col min="5648" max="5652" width="9.140625" style="16"/>
    <col min="5653" max="5653" width="12.42578125" style="16" customWidth="1"/>
    <col min="5654" max="5654" width="9.140625" style="16"/>
    <col min="5655" max="5655" width="12" style="16" customWidth="1"/>
    <col min="5656" max="5888" width="9.140625" style="16"/>
    <col min="5889" max="5889" width="5" style="16" customWidth="1"/>
    <col min="5890" max="5890" width="19.140625" style="16" customWidth="1"/>
    <col min="5891" max="5891" width="11.140625" style="16" bestFit="1" customWidth="1"/>
    <col min="5892" max="5892" width="6.7109375" style="16" bestFit="1" customWidth="1"/>
    <col min="5893" max="5893" width="8.5703125" style="16" bestFit="1" customWidth="1"/>
    <col min="5894" max="5894" width="9.28515625" style="16" bestFit="1" customWidth="1"/>
    <col min="5895" max="5895" width="8.42578125" style="16" bestFit="1" customWidth="1"/>
    <col min="5896" max="5896" width="9.7109375" style="16" bestFit="1" customWidth="1"/>
    <col min="5897" max="5897" width="7.140625" style="16" bestFit="1" customWidth="1"/>
    <col min="5898" max="5898" width="7.7109375" style="16" customWidth="1"/>
    <col min="5899" max="5900" width="7" style="16" bestFit="1" customWidth="1"/>
    <col min="5901" max="5901" width="6.85546875" style="16" bestFit="1" customWidth="1"/>
    <col min="5902" max="5902" width="7" style="16" bestFit="1" customWidth="1"/>
    <col min="5903" max="5903" width="7.140625" style="16" bestFit="1" customWidth="1"/>
    <col min="5904" max="5908" width="9.140625" style="16"/>
    <col min="5909" max="5909" width="12.42578125" style="16" customWidth="1"/>
    <col min="5910" max="5910" width="9.140625" style="16"/>
    <col min="5911" max="5911" width="12" style="16" customWidth="1"/>
    <col min="5912" max="6144" width="9.140625" style="16"/>
    <col min="6145" max="6145" width="5" style="16" customWidth="1"/>
    <col min="6146" max="6146" width="19.140625" style="16" customWidth="1"/>
    <col min="6147" max="6147" width="11.140625" style="16" bestFit="1" customWidth="1"/>
    <col min="6148" max="6148" width="6.7109375" style="16" bestFit="1" customWidth="1"/>
    <col min="6149" max="6149" width="8.5703125" style="16" bestFit="1" customWidth="1"/>
    <col min="6150" max="6150" width="9.28515625" style="16" bestFit="1" customWidth="1"/>
    <col min="6151" max="6151" width="8.42578125" style="16" bestFit="1" customWidth="1"/>
    <col min="6152" max="6152" width="9.7109375" style="16" bestFit="1" customWidth="1"/>
    <col min="6153" max="6153" width="7.140625" style="16" bestFit="1" customWidth="1"/>
    <col min="6154" max="6154" width="7.7109375" style="16" customWidth="1"/>
    <col min="6155" max="6156" width="7" style="16" bestFit="1" customWidth="1"/>
    <col min="6157" max="6157" width="6.85546875" style="16" bestFit="1" customWidth="1"/>
    <col min="6158" max="6158" width="7" style="16" bestFit="1" customWidth="1"/>
    <col min="6159" max="6159" width="7.140625" style="16" bestFit="1" customWidth="1"/>
    <col min="6160" max="6164" width="9.140625" style="16"/>
    <col min="6165" max="6165" width="12.42578125" style="16" customWidth="1"/>
    <col min="6166" max="6166" width="9.140625" style="16"/>
    <col min="6167" max="6167" width="12" style="16" customWidth="1"/>
    <col min="6168" max="6400" width="9.140625" style="16"/>
    <col min="6401" max="6401" width="5" style="16" customWidth="1"/>
    <col min="6402" max="6402" width="19.140625" style="16" customWidth="1"/>
    <col min="6403" max="6403" width="11.140625" style="16" bestFit="1" customWidth="1"/>
    <col min="6404" max="6404" width="6.7109375" style="16" bestFit="1" customWidth="1"/>
    <col min="6405" max="6405" width="8.5703125" style="16" bestFit="1" customWidth="1"/>
    <col min="6406" max="6406" width="9.28515625" style="16" bestFit="1" customWidth="1"/>
    <col min="6407" max="6407" width="8.42578125" style="16" bestFit="1" customWidth="1"/>
    <col min="6408" max="6408" width="9.7109375" style="16" bestFit="1" customWidth="1"/>
    <col min="6409" max="6409" width="7.140625" style="16" bestFit="1" customWidth="1"/>
    <col min="6410" max="6410" width="7.7109375" style="16" customWidth="1"/>
    <col min="6411" max="6412" width="7" style="16" bestFit="1" customWidth="1"/>
    <col min="6413" max="6413" width="6.85546875" style="16" bestFit="1" customWidth="1"/>
    <col min="6414" max="6414" width="7" style="16" bestFit="1" customWidth="1"/>
    <col min="6415" max="6415" width="7.140625" style="16" bestFit="1" customWidth="1"/>
    <col min="6416" max="6420" width="9.140625" style="16"/>
    <col min="6421" max="6421" width="12.42578125" style="16" customWidth="1"/>
    <col min="6422" max="6422" width="9.140625" style="16"/>
    <col min="6423" max="6423" width="12" style="16" customWidth="1"/>
    <col min="6424" max="6656" width="9.140625" style="16"/>
    <col min="6657" max="6657" width="5" style="16" customWidth="1"/>
    <col min="6658" max="6658" width="19.140625" style="16" customWidth="1"/>
    <col min="6659" max="6659" width="11.140625" style="16" bestFit="1" customWidth="1"/>
    <col min="6660" max="6660" width="6.7109375" style="16" bestFit="1" customWidth="1"/>
    <col min="6661" max="6661" width="8.5703125" style="16" bestFit="1" customWidth="1"/>
    <col min="6662" max="6662" width="9.28515625" style="16" bestFit="1" customWidth="1"/>
    <col min="6663" max="6663" width="8.42578125" style="16" bestFit="1" customWidth="1"/>
    <col min="6664" max="6664" width="9.7109375" style="16" bestFit="1" customWidth="1"/>
    <col min="6665" max="6665" width="7.140625" style="16" bestFit="1" customWidth="1"/>
    <col min="6666" max="6666" width="7.7109375" style="16" customWidth="1"/>
    <col min="6667" max="6668" width="7" style="16" bestFit="1" customWidth="1"/>
    <col min="6669" max="6669" width="6.85546875" style="16" bestFit="1" customWidth="1"/>
    <col min="6670" max="6670" width="7" style="16" bestFit="1" customWidth="1"/>
    <col min="6671" max="6671" width="7.140625" style="16" bestFit="1" customWidth="1"/>
    <col min="6672" max="6676" width="9.140625" style="16"/>
    <col min="6677" max="6677" width="12.42578125" style="16" customWidth="1"/>
    <col min="6678" max="6678" width="9.140625" style="16"/>
    <col min="6679" max="6679" width="12" style="16" customWidth="1"/>
    <col min="6680" max="6912" width="9.140625" style="16"/>
    <col min="6913" max="6913" width="5" style="16" customWidth="1"/>
    <col min="6914" max="6914" width="19.140625" style="16" customWidth="1"/>
    <col min="6915" max="6915" width="11.140625" style="16" bestFit="1" customWidth="1"/>
    <col min="6916" max="6916" width="6.7109375" style="16" bestFit="1" customWidth="1"/>
    <col min="6917" max="6917" width="8.5703125" style="16" bestFit="1" customWidth="1"/>
    <col min="6918" max="6918" width="9.28515625" style="16" bestFit="1" customWidth="1"/>
    <col min="6919" max="6919" width="8.42578125" style="16" bestFit="1" customWidth="1"/>
    <col min="6920" max="6920" width="9.7109375" style="16" bestFit="1" customWidth="1"/>
    <col min="6921" max="6921" width="7.140625" style="16" bestFit="1" customWidth="1"/>
    <col min="6922" max="6922" width="7.7109375" style="16" customWidth="1"/>
    <col min="6923" max="6924" width="7" style="16" bestFit="1" customWidth="1"/>
    <col min="6925" max="6925" width="6.85546875" style="16" bestFit="1" customWidth="1"/>
    <col min="6926" max="6926" width="7" style="16" bestFit="1" customWidth="1"/>
    <col min="6927" max="6927" width="7.140625" style="16" bestFit="1" customWidth="1"/>
    <col min="6928" max="6932" width="9.140625" style="16"/>
    <col min="6933" max="6933" width="12.42578125" style="16" customWidth="1"/>
    <col min="6934" max="6934" width="9.140625" style="16"/>
    <col min="6935" max="6935" width="12" style="16" customWidth="1"/>
    <col min="6936" max="7168" width="9.140625" style="16"/>
    <col min="7169" max="7169" width="5" style="16" customWidth="1"/>
    <col min="7170" max="7170" width="19.140625" style="16" customWidth="1"/>
    <col min="7171" max="7171" width="11.140625" style="16" bestFit="1" customWidth="1"/>
    <col min="7172" max="7172" width="6.7109375" style="16" bestFit="1" customWidth="1"/>
    <col min="7173" max="7173" width="8.5703125" style="16" bestFit="1" customWidth="1"/>
    <col min="7174" max="7174" width="9.28515625" style="16" bestFit="1" customWidth="1"/>
    <col min="7175" max="7175" width="8.42578125" style="16" bestFit="1" customWidth="1"/>
    <col min="7176" max="7176" width="9.7109375" style="16" bestFit="1" customWidth="1"/>
    <col min="7177" max="7177" width="7.140625" style="16" bestFit="1" customWidth="1"/>
    <col min="7178" max="7178" width="7.7109375" style="16" customWidth="1"/>
    <col min="7179" max="7180" width="7" style="16" bestFit="1" customWidth="1"/>
    <col min="7181" max="7181" width="6.85546875" style="16" bestFit="1" customWidth="1"/>
    <col min="7182" max="7182" width="7" style="16" bestFit="1" customWidth="1"/>
    <col min="7183" max="7183" width="7.140625" style="16" bestFit="1" customWidth="1"/>
    <col min="7184" max="7188" width="9.140625" style="16"/>
    <col min="7189" max="7189" width="12.42578125" style="16" customWidth="1"/>
    <col min="7190" max="7190" width="9.140625" style="16"/>
    <col min="7191" max="7191" width="12" style="16" customWidth="1"/>
    <col min="7192" max="7424" width="9.140625" style="16"/>
    <col min="7425" max="7425" width="5" style="16" customWidth="1"/>
    <col min="7426" max="7426" width="19.140625" style="16" customWidth="1"/>
    <col min="7427" max="7427" width="11.140625" style="16" bestFit="1" customWidth="1"/>
    <col min="7428" max="7428" width="6.7109375" style="16" bestFit="1" customWidth="1"/>
    <col min="7429" max="7429" width="8.5703125" style="16" bestFit="1" customWidth="1"/>
    <col min="7430" max="7430" width="9.28515625" style="16" bestFit="1" customWidth="1"/>
    <col min="7431" max="7431" width="8.42578125" style="16" bestFit="1" customWidth="1"/>
    <col min="7432" max="7432" width="9.7109375" style="16" bestFit="1" customWidth="1"/>
    <col min="7433" max="7433" width="7.140625" style="16" bestFit="1" customWidth="1"/>
    <col min="7434" max="7434" width="7.7109375" style="16" customWidth="1"/>
    <col min="7435" max="7436" width="7" style="16" bestFit="1" customWidth="1"/>
    <col min="7437" max="7437" width="6.85546875" style="16" bestFit="1" customWidth="1"/>
    <col min="7438" max="7438" width="7" style="16" bestFit="1" customWidth="1"/>
    <col min="7439" max="7439" width="7.140625" style="16" bestFit="1" customWidth="1"/>
    <col min="7440" max="7444" width="9.140625" style="16"/>
    <col min="7445" max="7445" width="12.42578125" style="16" customWidth="1"/>
    <col min="7446" max="7446" width="9.140625" style="16"/>
    <col min="7447" max="7447" width="12" style="16" customWidth="1"/>
    <col min="7448" max="7680" width="9.140625" style="16"/>
    <col min="7681" max="7681" width="5" style="16" customWidth="1"/>
    <col min="7682" max="7682" width="19.140625" style="16" customWidth="1"/>
    <col min="7683" max="7683" width="11.140625" style="16" bestFit="1" customWidth="1"/>
    <col min="7684" max="7684" width="6.7109375" style="16" bestFit="1" customWidth="1"/>
    <col min="7685" max="7685" width="8.5703125" style="16" bestFit="1" customWidth="1"/>
    <col min="7686" max="7686" width="9.28515625" style="16" bestFit="1" customWidth="1"/>
    <col min="7687" max="7687" width="8.42578125" style="16" bestFit="1" customWidth="1"/>
    <col min="7688" max="7688" width="9.7109375" style="16" bestFit="1" customWidth="1"/>
    <col min="7689" max="7689" width="7.140625" style="16" bestFit="1" customWidth="1"/>
    <col min="7690" max="7690" width="7.7109375" style="16" customWidth="1"/>
    <col min="7691" max="7692" width="7" style="16" bestFit="1" customWidth="1"/>
    <col min="7693" max="7693" width="6.85546875" style="16" bestFit="1" customWidth="1"/>
    <col min="7694" max="7694" width="7" style="16" bestFit="1" customWidth="1"/>
    <col min="7695" max="7695" width="7.140625" style="16" bestFit="1" customWidth="1"/>
    <col min="7696" max="7700" width="9.140625" style="16"/>
    <col min="7701" max="7701" width="12.42578125" style="16" customWidth="1"/>
    <col min="7702" max="7702" width="9.140625" style="16"/>
    <col min="7703" max="7703" width="12" style="16" customWidth="1"/>
    <col min="7704" max="7936" width="9.140625" style="16"/>
    <col min="7937" max="7937" width="5" style="16" customWidth="1"/>
    <col min="7938" max="7938" width="19.140625" style="16" customWidth="1"/>
    <col min="7939" max="7939" width="11.140625" style="16" bestFit="1" customWidth="1"/>
    <col min="7940" max="7940" width="6.7109375" style="16" bestFit="1" customWidth="1"/>
    <col min="7941" max="7941" width="8.5703125" style="16" bestFit="1" customWidth="1"/>
    <col min="7942" max="7942" width="9.28515625" style="16" bestFit="1" customWidth="1"/>
    <col min="7943" max="7943" width="8.42578125" style="16" bestFit="1" customWidth="1"/>
    <col min="7944" max="7944" width="9.7109375" style="16" bestFit="1" customWidth="1"/>
    <col min="7945" max="7945" width="7.140625" style="16" bestFit="1" customWidth="1"/>
    <col min="7946" max="7946" width="7.7109375" style="16" customWidth="1"/>
    <col min="7947" max="7948" width="7" style="16" bestFit="1" customWidth="1"/>
    <col min="7949" max="7949" width="6.85546875" style="16" bestFit="1" customWidth="1"/>
    <col min="7950" max="7950" width="7" style="16" bestFit="1" customWidth="1"/>
    <col min="7951" max="7951" width="7.140625" style="16" bestFit="1" customWidth="1"/>
    <col min="7952" max="7956" width="9.140625" style="16"/>
    <col min="7957" max="7957" width="12.42578125" style="16" customWidth="1"/>
    <col min="7958" max="7958" width="9.140625" style="16"/>
    <col min="7959" max="7959" width="12" style="16" customWidth="1"/>
    <col min="7960" max="8192" width="9.140625" style="16"/>
    <col min="8193" max="8193" width="5" style="16" customWidth="1"/>
    <col min="8194" max="8194" width="19.140625" style="16" customWidth="1"/>
    <col min="8195" max="8195" width="11.140625" style="16" bestFit="1" customWidth="1"/>
    <col min="8196" max="8196" width="6.7109375" style="16" bestFit="1" customWidth="1"/>
    <col min="8197" max="8197" width="8.5703125" style="16" bestFit="1" customWidth="1"/>
    <col min="8198" max="8198" width="9.28515625" style="16" bestFit="1" customWidth="1"/>
    <col min="8199" max="8199" width="8.42578125" style="16" bestFit="1" customWidth="1"/>
    <col min="8200" max="8200" width="9.7109375" style="16" bestFit="1" customWidth="1"/>
    <col min="8201" max="8201" width="7.140625" style="16" bestFit="1" customWidth="1"/>
    <col min="8202" max="8202" width="7.7109375" style="16" customWidth="1"/>
    <col min="8203" max="8204" width="7" style="16" bestFit="1" customWidth="1"/>
    <col min="8205" max="8205" width="6.85546875" style="16" bestFit="1" customWidth="1"/>
    <col min="8206" max="8206" width="7" style="16" bestFit="1" customWidth="1"/>
    <col min="8207" max="8207" width="7.140625" style="16" bestFit="1" customWidth="1"/>
    <col min="8208" max="8212" width="9.140625" style="16"/>
    <col min="8213" max="8213" width="12.42578125" style="16" customWidth="1"/>
    <col min="8214" max="8214" width="9.140625" style="16"/>
    <col min="8215" max="8215" width="12" style="16" customWidth="1"/>
    <col min="8216" max="8448" width="9.140625" style="16"/>
    <col min="8449" max="8449" width="5" style="16" customWidth="1"/>
    <col min="8450" max="8450" width="19.140625" style="16" customWidth="1"/>
    <col min="8451" max="8451" width="11.140625" style="16" bestFit="1" customWidth="1"/>
    <col min="8452" max="8452" width="6.7109375" style="16" bestFit="1" customWidth="1"/>
    <col min="8453" max="8453" width="8.5703125" style="16" bestFit="1" customWidth="1"/>
    <col min="8454" max="8454" width="9.28515625" style="16" bestFit="1" customWidth="1"/>
    <col min="8455" max="8455" width="8.42578125" style="16" bestFit="1" customWidth="1"/>
    <col min="8456" max="8456" width="9.7109375" style="16" bestFit="1" customWidth="1"/>
    <col min="8457" max="8457" width="7.140625" style="16" bestFit="1" customWidth="1"/>
    <col min="8458" max="8458" width="7.7109375" style="16" customWidth="1"/>
    <col min="8459" max="8460" width="7" style="16" bestFit="1" customWidth="1"/>
    <col min="8461" max="8461" width="6.85546875" style="16" bestFit="1" customWidth="1"/>
    <col min="8462" max="8462" width="7" style="16" bestFit="1" customWidth="1"/>
    <col min="8463" max="8463" width="7.140625" style="16" bestFit="1" customWidth="1"/>
    <col min="8464" max="8468" width="9.140625" style="16"/>
    <col min="8469" max="8469" width="12.42578125" style="16" customWidth="1"/>
    <col min="8470" max="8470" width="9.140625" style="16"/>
    <col min="8471" max="8471" width="12" style="16" customWidth="1"/>
    <col min="8472" max="8704" width="9.140625" style="16"/>
    <col min="8705" max="8705" width="5" style="16" customWidth="1"/>
    <col min="8706" max="8706" width="19.140625" style="16" customWidth="1"/>
    <col min="8707" max="8707" width="11.140625" style="16" bestFit="1" customWidth="1"/>
    <col min="8708" max="8708" width="6.7109375" style="16" bestFit="1" customWidth="1"/>
    <col min="8709" max="8709" width="8.5703125" style="16" bestFit="1" customWidth="1"/>
    <col min="8710" max="8710" width="9.28515625" style="16" bestFit="1" customWidth="1"/>
    <col min="8711" max="8711" width="8.42578125" style="16" bestFit="1" customWidth="1"/>
    <col min="8712" max="8712" width="9.7109375" style="16" bestFit="1" customWidth="1"/>
    <col min="8713" max="8713" width="7.140625" style="16" bestFit="1" customWidth="1"/>
    <col min="8714" max="8714" width="7.7109375" style="16" customWidth="1"/>
    <col min="8715" max="8716" width="7" style="16" bestFit="1" customWidth="1"/>
    <col min="8717" max="8717" width="6.85546875" style="16" bestFit="1" customWidth="1"/>
    <col min="8718" max="8718" width="7" style="16" bestFit="1" customWidth="1"/>
    <col min="8719" max="8719" width="7.140625" style="16" bestFit="1" customWidth="1"/>
    <col min="8720" max="8724" width="9.140625" style="16"/>
    <col min="8725" max="8725" width="12.42578125" style="16" customWidth="1"/>
    <col min="8726" max="8726" width="9.140625" style="16"/>
    <col min="8727" max="8727" width="12" style="16" customWidth="1"/>
    <col min="8728" max="8960" width="9.140625" style="16"/>
    <col min="8961" max="8961" width="5" style="16" customWidth="1"/>
    <col min="8962" max="8962" width="19.140625" style="16" customWidth="1"/>
    <col min="8963" max="8963" width="11.140625" style="16" bestFit="1" customWidth="1"/>
    <col min="8964" max="8964" width="6.7109375" style="16" bestFit="1" customWidth="1"/>
    <col min="8965" max="8965" width="8.5703125" style="16" bestFit="1" customWidth="1"/>
    <col min="8966" max="8966" width="9.28515625" style="16" bestFit="1" customWidth="1"/>
    <col min="8967" max="8967" width="8.42578125" style="16" bestFit="1" customWidth="1"/>
    <col min="8968" max="8968" width="9.7109375" style="16" bestFit="1" customWidth="1"/>
    <col min="8969" max="8969" width="7.140625" style="16" bestFit="1" customWidth="1"/>
    <col min="8970" max="8970" width="7.7109375" style="16" customWidth="1"/>
    <col min="8971" max="8972" width="7" style="16" bestFit="1" customWidth="1"/>
    <col min="8973" max="8973" width="6.85546875" style="16" bestFit="1" customWidth="1"/>
    <col min="8974" max="8974" width="7" style="16" bestFit="1" customWidth="1"/>
    <col min="8975" max="8975" width="7.140625" style="16" bestFit="1" customWidth="1"/>
    <col min="8976" max="8980" width="9.140625" style="16"/>
    <col min="8981" max="8981" width="12.42578125" style="16" customWidth="1"/>
    <col min="8982" max="8982" width="9.140625" style="16"/>
    <col min="8983" max="8983" width="12" style="16" customWidth="1"/>
    <col min="8984" max="9216" width="9.140625" style="16"/>
    <col min="9217" max="9217" width="5" style="16" customWidth="1"/>
    <col min="9218" max="9218" width="19.140625" style="16" customWidth="1"/>
    <col min="9219" max="9219" width="11.140625" style="16" bestFit="1" customWidth="1"/>
    <col min="9220" max="9220" width="6.7109375" style="16" bestFit="1" customWidth="1"/>
    <col min="9221" max="9221" width="8.5703125" style="16" bestFit="1" customWidth="1"/>
    <col min="9222" max="9222" width="9.28515625" style="16" bestFit="1" customWidth="1"/>
    <col min="9223" max="9223" width="8.42578125" style="16" bestFit="1" customWidth="1"/>
    <col min="9224" max="9224" width="9.7109375" style="16" bestFit="1" customWidth="1"/>
    <col min="9225" max="9225" width="7.140625" style="16" bestFit="1" customWidth="1"/>
    <col min="9226" max="9226" width="7.7109375" style="16" customWidth="1"/>
    <col min="9227" max="9228" width="7" style="16" bestFit="1" customWidth="1"/>
    <col min="9229" max="9229" width="6.85546875" style="16" bestFit="1" customWidth="1"/>
    <col min="9230" max="9230" width="7" style="16" bestFit="1" customWidth="1"/>
    <col min="9231" max="9231" width="7.140625" style="16" bestFit="1" customWidth="1"/>
    <col min="9232" max="9236" width="9.140625" style="16"/>
    <col min="9237" max="9237" width="12.42578125" style="16" customWidth="1"/>
    <col min="9238" max="9238" width="9.140625" style="16"/>
    <col min="9239" max="9239" width="12" style="16" customWidth="1"/>
    <col min="9240" max="9472" width="9.140625" style="16"/>
    <col min="9473" max="9473" width="5" style="16" customWidth="1"/>
    <col min="9474" max="9474" width="19.140625" style="16" customWidth="1"/>
    <col min="9475" max="9475" width="11.140625" style="16" bestFit="1" customWidth="1"/>
    <col min="9476" max="9476" width="6.7109375" style="16" bestFit="1" customWidth="1"/>
    <col min="9477" max="9477" width="8.5703125" style="16" bestFit="1" customWidth="1"/>
    <col min="9478" max="9478" width="9.28515625" style="16" bestFit="1" customWidth="1"/>
    <col min="9479" max="9479" width="8.42578125" style="16" bestFit="1" customWidth="1"/>
    <col min="9480" max="9480" width="9.7109375" style="16" bestFit="1" customWidth="1"/>
    <col min="9481" max="9481" width="7.140625" style="16" bestFit="1" customWidth="1"/>
    <col min="9482" max="9482" width="7.7109375" style="16" customWidth="1"/>
    <col min="9483" max="9484" width="7" style="16" bestFit="1" customWidth="1"/>
    <col min="9485" max="9485" width="6.85546875" style="16" bestFit="1" customWidth="1"/>
    <col min="9486" max="9486" width="7" style="16" bestFit="1" customWidth="1"/>
    <col min="9487" max="9487" width="7.140625" style="16" bestFit="1" customWidth="1"/>
    <col min="9488" max="9492" width="9.140625" style="16"/>
    <col min="9493" max="9493" width="12.42578125" style="16" customWidth="1"/>
    <col min="9494" max="9494" width="9.140625" style="16"/>
    <col min="9495" max="9495" width="12" style="16" customWidth="1"/>
    <col min="9496" max="9728" width="9.140625" style="16"/>
    <col min="9729" max="9729" width="5" style="16" customWidth="1"/>
    <col min="9730" max="9730" width="19.140625" style="16" customWidth="1"/>
    <col min="9731" max="9731" width="11.140625" style="16" bestFit="1" customWidth="1"/>
    <col min="9732" max="9732" width="6.7109375" style="16" bestFit="1" customWidth="1"/>
    <col min="9733" max="9733" width="8.5703125" style="16" bestFit="1" customWidth="1"/>
    <col min="9734" max="9734" width="9.28515625" style="16" bestFit="1" customWidth="1"/>
    <col min="9735" max="9735" width="8.42578125" style="16" bestFit="1" customWidth="1"/>
    <col min="9736" max="9736" width="9.7109375" style="16" bestFit="1" customWidth="1"/>
    <col min="9737" max="9737" width="7.140625" style="16" bestFit="1" customWidth="1"/>
    <col min="9738" max="9738" width="7.7109375" style="16" customWidth="1"/>
    <col min="9739" max="9740" width="7" style="16" bestFit="1" customWidth="1"/>
    <col min="9741" max="9741" width="6.85546875" style="16" bestFit="1" customWidth="1"/>
    <col min="9742" max="9742" width="7" style="16" bestFit="1" customWidth="1"/>
    <col min="9743" max="9743" width="7.140625" style="16" bestFit="1" customWidth="1"/>
    <col min="9744" max="9748" width="9.140625" style="16"/>
    <col min="9749" max="9749" width="12.42578125" style="16" customWidth="1"/>
    <col min="9750" max="9750" width="9.140625" style="16"/>
    <col min="9751" max="9751" width="12" style="16" customWidth="1"/>
    <col min="9752" max="9984" width="9.140625" style="16"/>
    <col min="9985" max="9985" width="5" style="16" customWidth="1"/>
    <col min="9986" max="9986" width="19.140625" style="16" customWidth="1"/>
    <col min="9987" max="9987" width="11.140625" style="16" bestFit="1" customWidth="1"/>
    <col min="9988" max="9988" width="6.7109375" style="16" bestFit="1" customWidth="1"/>
    <col min="9989" max="9989" width="8.5703125" style="16" bestFit="1" customWidth="1"/>
    <col min="9990" max="9990" width="9.28515625" style="16" bestFit="1" customWidth="1"/>
    <col min="9991" max="9991" width="8.42578125" style="16" bestFit="1" customWidth="1"/>
    <col min="9992" max="9992" width="9.7109375" style="16" bestFit="1" customWidth="1"/>
    <col min="9993" max="9993" width="7.140625" style="16" bestFit="1" customWidth="1"/>
    <col min="9994" max="9994" width="7.7109375" style="16" customWidth="1"/>
    <col min="9995" max="9996" width="7" style="16" bestFit="1" customWidth="1"/>
    <col min="9997" max="9997" width="6.85546875" style="16" bestFit="1" customWidth="1"/>
    <col min="9998" max="9998" width="7" style="16" bestFit="1" customWidth="1"/>
    <col min="9999" max="9999" width="7.140625" style="16" bestFit="1" customWidth="1"/>
    <col min="10000" max="10004" width="9.140625" style="16"/>
    <col min="10005" max="10005" width="12.42578125" style="16" customWidth="1"/>
    <col min="10006" max="10006" width="9.140625" style="16"/>
    <col min="10007" max="10007" width="12" style="16" customWidth="1"/>
    <col min="10008" max="10240" width="9.140625" style="16"/>
    <col min="10241" max="10241" width="5" style="16" customWidth="1"/>
    <col min="10242" max="10242" width="19.140625" style="16" customWidth="1"/>
    <col min="10243" max="10243" width="11.140625" style="16" bestFit="1" customWidth="1"/>
    <col min="10244" max="10244" width="6.7109375" style="16" bestFit="1" customWidth="1"/>
    <col min="10245" max="10245" width="8.5703125" style="16" bestFit="1" customWidth="1"/>
    <col min="10246" max="10246" width="9.28515625" style="16" bestFit="1" customWidth="1"/>
    <col min="10247" max="10247" width="8.42578125" style="16" bestFit="1" customWidth="1"/>
    <col min="10248" max="10248" width="9.7109375" style="16" bestFit="1" customWidth="1"/>
    <col min="10249" max="10249" width="7.140625" style="16" bestFit="1" customWidth="1"/>
    <col min="10250" max="10250" width="7.7109375" style="16" customWidth="1"/>
    <col min="10251" max="10252" width="7" style="16" bestFit="1" customWidth="1"/>
    <col min="10253" max="10253" width="6.85546875" style="16" bestFit="1" customWidth="1"/>
    <col min="10254" max="10254" width="7" style="16" bestFit="1" customWidth="1"/>
    <col min="10255" max="10255" width="7.140625" style="16" bestFit="1" customWidth="1"/>
    <col min="10256" max="10260" width="9.140625" style="16"/>
    <col min="10261" max="10261" width="12.42578125" style="16" customWidth="1"/>
    <col min="10262" max="10262" width="9.140625" style="16"/>
    <col min="10263" max="10263" width="12" style="16" customWidth="1"/>
    <col min="10264" max="10496" width="9.140625" style="16"/>
    <col min="10497" max="10497" width="5" style="16" customWidth="1"/>
    <col min="10498" max="10498" width="19.140625" style="16" customWidth="1"/>
    <col min="10499" max="10499" width="11.140625" style="16" bestFit="1" customWidth="1"/>
    <col min="10500" max="10500" width="6.7109375" style="16" bestFit="1" customWidth="1"/>
    <col min="10501" max="10501" width="8.5703125" style="16" bestFit="1" customWidth="1"/>
    <col min="10502" max="10502" width="9.28515625" style="16" bestFit="1" customWidth="1"/>
    <col min="10503" max="10503" width="8.42578125" style="16" bestFit="1" customWidth="1"/>
    <col min="10504" max="10504" width="9.7109375" style="16" bestFit="1" customWidth="1"/>
    <col min="10505" max="10505" width="7.140625" style="16" bestFit="1" customWidth="1"/>
    <col min="10506" max="10506" width="7.7109375" style="16" customWidth="1"/>
    <col min="10507" max="10508" width="7" style="16" bestFit="1" customWidth="1"/>
    <col min="10509" max="10509" width="6.85546875" style="16" bestFit="1" customWidth="1"/>
    <col min="10510" max="10510" width="7" style="16" bestFit="1" customWidth="1"/>
    <col min="10511" max="10511" width="7.140625" style="16" bestFit="1" customWidth="1"/>
    <col min="10512" max="10516" width="9.140625" style="16"/>
    <col min="10517" max="10517" width="12.42578125" style="16" customWidth="1"/>
    <col min="10518" max="10518" width="9.140625" style="16"/>
    <col min="10519" max="10519" width="12" style="16" customWidth="1"/>
    <col min="10520" max="10752" width="9.140625" style="16"/>
    <col min="10753" max="10753" width="5" style="16" customWidth="1"/>
    <col min="10754" max="10754" width="19.140625" style="16" customWidth="1"/>
    <col min="10755" max="10755" width="11.140625" style="16" bestFit="1" customWidth="1"/>
    <col min="10756" max="10756" width="6.7109375" style="16" bestFit="1" customWidth="1"/>
    <col min="10757" max="10757" width="8.5703125" style="16" bestFit="1" customWidth="1"/>
    <col min="10758" max="10758" width="9.28515625" style="16" bestFit="1" customWidth="1"/>
    <col min="10759" max="10759" width="8.42578125" style="16" bestFit="1" customWidth="1"/>
    <col min="10760" max="10760" width="9.7109375" style="16" bestFit="1" customWidth="1"/>
    <col min="10761" max="10761" width="7.140625" style="16" bestFit="1" customWidth="1"/>
    <col min="10762" max="10762" width="7.7109375" style="16" customWidth="1"/>
    <col min="10763" max="10764" width="7" style="16" bestFit="1" customWidth="1"/>
    <col min="10765" max="10765" width="6.85546875" style="16" bestFit="1" customWidth="1"/>
    <col min="10766" max="10766" width="7" style="16" bestFit="1" customWidth="1"/>
    <col min="10767" max="10767" width="7.140625" style="16" bestFit="1" customWidth="1"/>
    <col min="10768" max="10772" width="9.140625" style="16"/>
    <col min="10773" max="10773" width="12.42578125" style="16" customWidth="1"/>
    <col min="10774" max="10774" width="9.140625" style="16"/>
    <col min="10775" max="10775" width="12" style="16" customWidth="1"/>
    <col min="10776" max="11008" width="9.140625" style="16"/>
    <col min="11009" max="11009" width="5" style="16" customWidth="1"/>
    <col min="11010" max="11010" width="19.140625" style="16" customWidth="1"/>
    <col min="11011" max="11011" width="11.140625" style="16" bestFit="1" customWidth="1"/>
    <col min="11012" max="11012" width="6.7109375" style="16" bestFit="1" customWidth="1"/>
    <col min="11013" max="11013" width="8.5703125" style="16" bestFit="1" customWidth="1"/>
    <col min="11014" max="11014" width="9.28515625" style="16" bestFit="1" customWidth="1"/>
    <col min="11015" max="11015" width="8.42578125" style="16" bestFit="1" customWidth="1"/>
    <col min="11016" max="11016" width="9.7109375" style="16" bestFit="1" customWidth="1"/>
    <col min="11017" max="11017" width="7.140625" style="16" bestFit="1" customWidth="1"/>
    <col min="11018" max="11018" width="7.7109375" style="16" customWidth="1"/>
    <col min="11019" max="11020" width="7" style="16" bestFit="1" customWidth="1"/>
    <col min="11021" max="11021" width="6.85546875" style="16" bestFit="1" customWidth="1"/>
    <col min="11022" max="11022" width="7" style="16" bestFit="1" customWidth="1"/>
    <col min="11023" max="11023" width="7.140625" style="16" bestFit="1" customWidth="1"/>
    <col min="11024" max="11028" width="9.140625" style="16"/>
    <col min="11029" max="11029" width="12.42578125" style="16" customWidth="1"/>
    <col min="11030" max="11030" width="9.140625" style="16"/>
    <col min="11031" max="11031" width="12" style="16" customWidth="1"/>
    <col min="11032" max="11264" width="9.140625" style="16"/>
    <col min="11265" max="11265" width="5" style="16" customWidth="1"/>
    <col min="11266" max="11266" width="19.140625" style="16" customWidth="1"/>
    <col min="11267" max="11267" width="11.140625" style="16" bestFit="1" customWidth="1"/>
    <col min="11268" max="11268" width="6.7109375" style="16" bestFit="1" customWidth="1"/>
    <col min="11269" max="11269" width="8.5703125" style="16" bestFit="1" customWidth="1"/>
    <col min="11270" max="11270" width="9.28515625" style="16" bestFit="1" customWidth="1"/>
    <col min="11271" max="11271" width="8.42578125" style="16" bestFit="1" customWidth="1"/>
    <col min="11272" max="11272" width="9.7109375" style="16" bestFit="1" customWidth="1"/>
    <col min="11273" max="11273" width="7.140625" style="16" bestFit="1" customWidth="1"/>
    <col min="11274" max="11274" width="7.7109375" style="16" customWidth="1"/>
    <col min="11275" max="11276" width="7" style="16" bestFit="1" customWidth="1"/>
    <col min="11277" max="11277" width="6.85546875" style="16" bestFit="1" customWidth="1"/>
    <col min="11278" max="11278" width="7" style="16" bestFit="1" customWidth="1"/>
    <col min="11279" max="11279" width="7.140625" style="16" bestFit="1" customWidth="1"/>
    <col min="11280" max="11284" width="9.140625" style="16"/>
    <col min="11285" max="11285" width="12.42578125" style="16" customWidth="1"/>
    <col min="11286" max="11286" width="9.140625" style="16"/>
    <col min="11287" max="11287" width="12" style="16" customWidth="1"/>
    <col min="11288" max="11520" width="9.140625" style="16"/>
    <col min="11521" max="11521" width="5" style="16" customWidth="1"/>
    <col min="11522" max="11522" width="19.140625" style="16" customWidth="1"/>
    <col min="11523" max="11523" width="11.140625" style="16" bestFit="1" customWidth="1"/>
    <col min="11524" max="11524" width="6.7109375" style="16" bestFit="1" customWidth="1"/>
    <col min="11525" max="11525" width="8.5703125" style="16" bestFit="1" customWidth="1"/>
    <col min="11526" max="11526" width="9.28515625" style="16" bestFit="1" customWidth="1"/>
    <col min="11527" max="11527" width="8.42578125" style="16" bestFit="1" customWidth="1"/>
    <col min="11528" max="11528" width="9.7109375" style="16" bestFit="1" customWidth="1"/>
    <col min="11529" max="11529" width="7.140625" style="16" bestFit="1" customWidth="1"/>
    <col min="11530" max="11530" width="7.7109375" style="16" customWidth="1"/>
    <col min="11531" max="11532" width="7" style="16" bestFit="1" customWidth="1"/>
    <col min="11533" max="11533" width="6.85546875" style="16" bestFit="1" customWidth="1"/>
    <col min="11534" max="11534" width="7" style="16" bestFit="1" customWidth="1"/>
    <col min="11535" max="11535" width="7.140625" style="16" bestFit="1" customWidth="1"/>
    <col min="11536" max="11540" width="9.140625" style="16"/>
    <col min="11541" max="11541" width="12.42578125" style="16" customWidth="1"/>
    <col min="11542" max="11542" width="9.140625" style="16"/>
    <col min="11543" max="11543" width="12" style="16" customWidth="1"/>
    <col min="11544" max="11776" width="9.140625" style="16"/>
    <col min="11777" max="11777" width="5" style="16" customWidth="1"/>
    <col min="11778" max="11778" width="19.140625" style="16" customWidth="1"/>
    <col min="11779" max="11779" width="11.140625" style="16" bestFit="1" customWidth="1"/>
    <col min="11780" max="11780" width="6.7109375" style="16" bestFit="1" customWidth="1"/>
    <col min="11781" max="11781" width="8.5703125" style="16" bestFit="1" customWidth="1"/>
    <col min="11782" max="11782" width="9.28515625" style="16" bestFit="1" customWidth="1"/>
    <col min="11783" max="11783" width="8.42578125" style="16" bestFit="1" customWidth="1"/>
    <col min="11784" max="11784" width="9.7109375" style="16" bestFit="1" customWidth="1"/>
    <col min="11785" max="11785" width="7.140625" style="16" bestFit="1" customWidth="1"/>
    <col min="11786" max="11786" width="7.7109375" style="16" customWidth="1"/>
    <col min="11787" max="11788" width="7" style="16" bestFit="1" customWidth="1"/>
    <col min="11789" max="11789" width="6.85546875" style="16" bestFit="1" customWidth="1"/>
    <col min="11790" max="11790" width="7" style="16" bestFit="1" customWidth="1"/>
    <col min="11791" max="11791" width="7.140625" style="16" bestFit="1" customWidth="1"/>
    <col min="11792" max="11796" width="9.140625" style="16"/>
    <col min="11797" max="11797" width="12.42578125" style="16" customWidth="1"/>
    <col min="11798" max="11798" width="9.140625" style="16"/>
    <col min="11799" max="11799" width="12" style="16" customWidth="1"/>
    <col min="11800" max="12032" width="9.140625" style="16"/>
    <col min="12033" max="12033" width="5" style="16" customWidth="1"/>
    <col min="12034" max="12034" width="19.140625" style="16" customWidth="1"/>
    <col min="12035" max="12035" width="11.140625" style="16" bestFit="1" customWidth="1"/>
    <col min="12036" max="12036" width="6.7109375" style="16" bestFit="1" customWidth="1"/>
    <col min="12037" max="12037" width="8.5703125" style="16" bestFit="1" customWidth="1"/>
    <col min="12038" max="12038" width="9.28515625" style="16" bestFit="1" customWidth="1"/>
    <col min="12039" max="12039" width="8.42578125" style="16" bestFit="1" customWidth="1"/>
    <col min="12040" max="12040" width="9.7109375" style="16" bestFit="1" customWidth="1"/>
    <col min="12041" max="12041" width="7.140625" style="16" bestFit="1" customWidth="1"/>
    <col min="12042" max="12042" width="7.7109375" style="16" customWidth="1"/>
    <col min="12043" max="12044" width="7" style="16" bestFit="1" customWidth="1"/>
    <col min="12045" max="12045" width="6.85546875" style="16" bestFit="1" customWidth="1"/>
    <col min="12046" max="12046" width="7" style="16" bestFit="1" customWidth="1"/>
    <col min="12047" max="12047" width="7.140625" style="16" bestFit="1" customWidth="1"/>
    <col min="12048" max="12052" width="9.140625" style="16"/>
    <col min="12053" max="12053" width="12.42578125" style="16" customWidth="1"/>
    <col min="12054" max="12054" width="9.140625" style="16"/>
    <col min="12055" max="12055" width="12" style="16" customWidth="1"/>
    <col min="12056" max="12288" width="9.140625" style="16"/>
    <col min="12289" max="12289" width="5" style="16" customWidth="1"/>
    <col min="12290" max="12290" width="19.140625" style="16" customWidth="1"/>
    <col min="12291" max="12291" width="11.140625" style="16" bestFit="1" customWidth="1"/>
    <col min="12292" max="12292" width="6.7109375" style="16" bestFit="1" customWidth="1"/>
    <col min="12293" max="12293" width="8.5703125" style="16" bestFit="1" customWidth="1"/>
    <col min="12294" max="12294" width="9.28515625" style="16" bestFit="1" customWidth="1"/>
    <col min="12295" max="12295" width="8.42578125" style="16" bestFit="1" customWidth="1"/>
    <col min="12296" max="12296" width="9.7109375" style="16" bestFit="1" customWidth="1"/>
    <col min="12297" max="12297" width="7.140625" style="16" bestFit="1" customWidth="1"/>
    <col min="12298" max="12298" width="7.7109375" style="16" customWidth="1"/>
    <col min="12299" max="12300" width="7" style="16" bestFit="1" customWidth="1"/>
    <col min="12301" max="12301" width="6.85546875" style="16" bestFit="1" customWidth="1"/>
    <col min="12302" max="12302" width="7" style="16" bestFit="1" customWidth="1"/>
    <col min="12303" max="12303" width="7.140625" style="16" bestFit="1" customWidth="1"/>
    <col min="12304" max="12308" width="9.140625" style="16"/>
    <col min="12309" max="12309" width="12.42578125" style="16" customWidth="1"/>
    <col min="12310" max="12310" width="9.140625" style="16"/>
    <col min="12311" max="12311" width="12" style="16" customWidth="1"/>
    <col min="12312" max="12544" width="9.140625" style="16"/>
    <col min="12545" max="12545" width="5" style="16" customWidth="1"/>
    <col min="12546" max="12546" width="19.140625" style="16" customWidth="1"/>
    <col min="12547" max="12547" width="11.140625" style="16" bestFit="1" customWidth="1"/>
    <col min="12548" max="12548" width="6.7109375" style="16" bestFit="1" customWidth="1"/>
    <col min="12549" max="12549" width="8.5703125" style="16" bestFit="1" customWidth="1"/>
    <col min="12550" max="12550" width="9.28515625" style="16" bestFit="1" customWidth="1"/>
    <col min="12551" max="12551" width="8.42578125" style="16" bestFit="1" customWidth="1"/>
    <col min="12552" max="12552" width="9.7109375" style="16" bestFit="1" customWidth="1"/>
    <col min="12553" max="12553" width="7.140625" style="16" bestFit="1" customWidth="1"/>
    <col min="12554" max="12554" width="7.7109375" style="16" customWidth="1"/>
    <col min="12555" max="12556" width="7" style="16" bestFit="1" customWidth="1"/>
    <col min="12557" max="12557" width="6.85546875" style="16" bestFit="1" customWidth="1"/>
    <col min="12558" max="12558" width="7" style="16" bestFit="1" customWidth="1"/>
    <col min="12559" max="12559" width="7.140625" style="16" bestFit="1" customWidth="1"/>
    <col min="12560" max="12564" width="9.140625" style="16"/>
    <col min="12565" max="12565" width="12.42578125" style="16" customWidth="1"/>
    <col min="12566" max="12566" width="9.140625" style="16"/>
    <col min="12567" max="12567" width="12" style="16" customWidth="1"/>
    <col min="12568" max="12800" width="9.140625" style="16"/>
    <col min="12801" max="12801" width="5" style="16" customWidth="1"/>
    <col min="12802" max="12802" width="19.140625" style="16" customWidth="1"/>
    <col min="12803" max="12803" width="11.140625" style="16" bestFit="1" customWidth="1"/>
    <col min="12804" max="12804" width="6.7109375" style="16" bestFit="1" customWidth="1"/>
    <col min="12805" max="12805" width="8.5703125" style="16" bestFit="1" customWidth="1"/>
    <col min="12806" max="12806" width="9.28515625" style="16" bestFit="1" customWidth="1"/>
    <col min="12807" max="12807" width="8.42578125" style="16" bestFit="1" customWidth="1"/>
    <col min="12808" max="12808" width="9.7109375" style="16" bestFit="1" customWidth="1"/>
    <col min="12809" max="12809" width="7.140625" style="16" bestFit="1" customWidth="1"/>
    <col min="12810" max="12810" width="7.7109375" style="16" customWidth="1"/>
    <col min="12811" max="12812" width="7" style="16" bestFit="1" customWidth="1"/>
    <col min="12813" max="12813" width="6.85546875" style="16" bestFit="1" customWidth="1"/>
    <col min="12814" max="12814" width="7" style="16" bestFit="1" customWidth="1"/>
    <col min="12815" max="12815" width="7.140625" style="16" bestFit="1" customWidth="1"/>
    <col min="12816" max="12820" width="9.140625" style="16"/>
    <col min="12821" max="12821" width="12.42578125" style="16" customWidth="1"/>
    <col min="12822" max="12822" width="9.140625" style="16"/>
    <col min="12823" max="12823" width="12" style="16" customWidth="1"/>
    <col min="12824" max="13056" width="9.140625" style="16"/>
    <col min="13057" max="13057" width="5" style="16" customWidth="1"/>
    <col min="13058" max="13058" width="19.140625" style="16" customWidth="1"/>
    <col min="13059" max="13059" width="11.140625" style="16" bestFit="1" customWidth="1"/>
    <col min="13060" max="13060" width="6.7109375" style="16" bestFit="1" customWidth="1"/>
    <col min="13061" max="13061" width="8.5703125" style="16" bestFit="1" customWidth="1"/>
    <col min="13062" max="13062" width="9.28515625" style="16" bestFit="1" customWidth="1"/>
    <col min="13063" max="13063" width="8.42578125" style="16" bestFit="1" customWidth="1"/>
    <col min="13064" max="13064" width="9.7109375" style="16" bestFit="1" customWidth="1"/>
    <col min="13065" max="13065" width="7.140625" style="16" bestFit="1" customWidth="1"/>
    <col min="13066" max="13066" width="7.7109375" style="16" customWidth="1"/>
    <col min="13067" max="13068" width="7" style="16" bestFit="1" customWidth="1"/>
    <col min="13069" max="13069" width="6.85546875" style="16" bestFit="1" customWidth="1"/>
    <col min="13070" max="13070" width="7" style="16" bestFit="1" customWidth="1"/>
    <col min="13071" max="13071" width="7.140625" style="16" bestFit="1" customWidth="1"/>
    <col min="13072" max="13076" width="9.140625" style="16"/>
    <col min="13077" max="13077" width="12.42578125" style="16" customWidth="1"/>
    <col min="13078" max="13078" width="9.140625" style="16"/>
    <col min="13079" max="13079" width="12" style="16" customWidth="1"/>
    <col min="13080" max="13312" width="9.140625" style="16"/>
    <col min="13313" max="13313" width="5" style="16" customWidth="1"/>
    <col min="13314" max="13314" width="19.140625" style="16" customWidth="1"/>
    <col min="13315" max="13315" width="11.140625" style="16" bestFit="1" customWidth="1"/>
    <col min="13316" max="13316" width="6.7109375" style="16" bestFit="1" customWidth="1"/>
    <col min="13317" max="13317" width="8.5703125" style="16" bestFit="1" customWidth="1"/>
    <col min="13318" max="13318" width="9.28515625" style="16" bestFit="1" customWidth="1"/>
    <col min="13319" max="13319" width="8.42578125" style="16" bestFit="1" customWidth="1"/>
    <col min="13320" max="13320" width="9.7109375" style="16" bestFit="1" customWidth="1"/>
    <col min="13321" max="13321" width="7.140625" style="16" bestFit="1" customWidth="1"/>
    <col min="13322" max="13322" width="7.7109375" style="16" customWidth="1"/>
    <col min="13323" max="13324" width="7" style="16" bestFit="1" customWidth="1"/>
    <col min="13325" max="13325" width="6.85546875" style="16" bestFit="1" customWidth="1"/>
    <col min="13326" max="13326" width="7" style="16" bestFit="1" customWidth="1"/>
    <col min="13327" max="13327" width="7.140625" style="16" bestFit="1" customWidth="1"/>
    <col min="13328" max="13332" width="9.140625" style="16"/>
    <col min="13333" max="13333" width="12.42578125" style="16" customWidth="1"/>
    <col min="13334" max="13334" width="9.140625" style="16"/>
    <col min="13335" max="13335" width="12" style="16" customWidth="1"/>
    <col min="13336" max="13568" width="9.140625" style="16"/>
    <col min="13569" max="13569" width="5" style="16" customWidth="1"/>
    <col min="13570" max="13570" width="19.140625" style="16" customWidth="1"/>
    <col min="13571" max="13571" width="11.140625" style="16" bestFit="1" customWidth="1"/>
    <col min="13572" max="13572" width="6.7109375" style="16" bestFit="1" customWidth="1"/>
    <col min="13573" max="13573" width="8.5703125" style="16" bestFit="1" customWidth="1"/>
    <col min="13574" max="13574" width="9.28515625" style="16" bestFit="1" customWidth="1"/>
    <col min="13575" max="13575" width="8.42578125" style="16" bestFit="1" customWidth="1"/>
    <col min="13576" max="13576" width="9.7109375" style="16" bestFit="1" customWidth="1"/>
    <col min="13577" max="13577" width="7.140625" style="16" bestFit="1" customWidth="1"/>
    <col min="13578" max="13578" width="7.7109375" style="16" customWidth="1"/>
    <col min="13579" max="13580" width="7" style="16" bestFit="1" customWidth="1"/>
    <col min="13581" max="13581" width="6.85546875" style="16" bestFit="1" customWidth="1"/>
    <col min="13582" max="13582" width="7" style="16" bestFit="1" customWidth="1"/>
    <col min="13583" max="13583" width="7.140625" style="16" bestFit="1" customWidth="1"/>
    <col min="13584" max="13588" width="9.140625" style="16"/>
    <col min="13589" max="13589" width="12.42578125" style="16" customWidth="1"/>
    <col min="13590" max="13590" width="9.140625" style="16"/>
    <col min="13591" max="13591" width="12" style="16" customWidth="1"/>
    <col min="13592" max="13824" width="9.140625" style="16"/>
    <col min="13825" max="13825" width="5" style="16" customWidth="1"/>
    <col min="13826" max="13826" width="19.140625" style="16" customWidth="1"/>
    <col min="13827" max="13827" width="11.140625" style="16" bestFit="1" customWidth="1"/>
    <col min="13828" max="13828" width="6.7109375" style="16" bestFit="1" customWidth="1"/>
    <col min="13829" max="13829" width="8.5703125" style="16" bestFit="1" customWidth="1"/>
    <col min="13830" max="13830" width="9.28515625" style="16" bestFit="1" customWidth="1"/>
    <col min="13831" max="13831" width="8.42578125" style="16" bestFit="1" customWidth="1"/>
    <col min="13832" max="13832" width="9.7109375" style="16" bestFit="1" customWidth="1"/>
    <col min="13833" max="13833" width="7.140625" style="16" bestFit="1" customWidth="1"/>
    <col min="13834" max="13834" width="7.7109375" style="16" customWidth="1"/>
    <col min="13835" max="13836" width="7" style="16" bestFit="1" customWidth="1"/>
    <col min="13837" max="13837" width="6.85546875" style="16" bestFit="1" customWidth="1"/>
    <col min="13838" max="13838" width="7" style="16" bestFit="1" customWidth="1"/>
    <col min="13839" max="13839" width="7.140625" style="16" bestFit="1" customWidth="1"/>
    <col min="13840" max="13844" width="9.140625" style="16"/>
    <col min="13845" max="13845" width="12.42578125" style="16" customWidth="1"/>
    <col min="13846" max="13846" width="9.140625" style="16"/>
    <col min="13847" max="13847" width="12" style="16" customWidth="1"/>
    <col min="13848" max="14080" width="9.140625" style="16"/>
    <col min="14081" max="14081" width="5" style="16" customWidth="1"/>
    <col min="14082" max="14082" width="19.140625" style="16" customWidth="1"/>
    <col min="14083" max="14083" width="11.140625" style="16" bestFit="1" customWidth="1"/>
    <col min="14084" max="14084" width="6.7109375" style="16" bestFit="1" customWidth="1"/>
    <col min="14085" max="14085" width="8.5703125" style="16" bestFit="1" customWidth="1"/>
    <col min="14086" max="14086" width="9.28515625" style="16" bestFit="1" customWidth="1"/>
    <col min="14087" max="14087" width="8.42578125" style="16" bestFit="1" customWidth="1"/>
    <col min="14088" max="14088" width="9.7109375" style="16" bestFit="1" customWidth="1"/>
    <col min="14089" max="14089" width="7.140625" style="16" bestFit="1" customWidth="1"/>
    <col min="14090" max="14090" width="7.7109375" style="16" customWidth="1"/>
    <col min="14091" max="14092" width="7" style="16" bestFit="1" customWidth="1"/>
    <col min="14093" max="14093" width="6.85546875" style="16" bestFit="1" customWidth="1"/>
    <col min="14094" max="14094" width="7" style="16" bestFit="1" customWidth="1"/>
    <col min="14095" max="14095" width="7.140625" style="16" bestFit="1" customWidth="1"/>
    <col min="14096" max="14100" width="9.140625" style="16"/>
    <col min="14101" max="14101" width="12.42578125" style="16" customWidth="1"/>
    <col min="14102" max="14102" width="9.140625" style="16"/>
    <col min="14103" max="14103" width="12" style="16" customWidth="1"/>
    <col min="14104" max="14336" width="9.140625" style="16"/>
    <col min="14337" max="14337" width="5" style="16" customWidth="1"/>
    <col min="14338" max="14338" width="19.140625" style="16" customWidth="1"/>
    <col min="14339" max="14339" width="11.140625" style="16" bestFit="1" customWidth="1"/>
    <col min="14340" max="14340" width="6.7109375" style="16" bestFit="1" customWidth="1"/>
    <col min="14341" max="14341" width="8.5703125" style="16" bestFit="1" customWidth="1"/>
    <col min="14342" max="14342" width="9.28515625" style="16" bestFit="1" customWidth="1"/>
    <col min="14343" max="14343" width="8.42578125" style="16" bestFit="1" customWidth="1"/>
    <col min="14344" max="14344" width="9.7109375" style="16" bestFit="1" customWidth="1"/>
    <col min="14345" max="14345" width="7.140625" style="16" bestFit="1" customWidth="1"/>
    <col min="14346" max="14346" width="7.7109375" style="16" customWidth="1"/>
    <col min="14347" max="14348" width="7" style="16" bestFit="1" customWidth="1"/>
    <col min="14349" max="14349" width="6.85546875" style="16" bestFit="1" customWidth="1"/>
    <col min="14350" max="14350" width="7" style="16" bestFit="1" customWidth="1"/>
    <col min="14351" max="14351" width="7.140625" style="16" bestFit="1" customWidth="1"/>
    <col min="14352" max="14356" width="9.140625" style="16"/>
    <col min="14357" max="14357" width="12.42578125" style="16" customWidth="1"/>
    <col min="14358" max="14358" width="9.140625" style="16"/>
    <col min="14359" max="14359" width="12" style="16" customWidth="1"/>
    <col min="14360" max="14592" width="9.140625" style="16"/>
    <col min="14593" max="14593" width="5" style="16" customWidth="1"/>
    <col min="14594" max="14594" width="19.140625" style="16" customWidth="1"/>
    <col min="14595" max="14595" width="11.140625" style="16" bestFit="1" customWidth="1"/>
    <col min="14596" max="14596" width="6.7109375" style="16" bestFit="1" customWidth="1"/>
    <col min="14597" max="14597" width="8.5703125" style="16" bestFit="1" customWidth="1"/>
    <col min="14598" max="14598" width="9.28515625" style="16" bestFit="1" customWidth="1"/>
    <col min="14599" max="14599" width="8.42578125" style="16" bestFit="1" customWidth="1"/>
    <col min="14600" max="14600" width="9.7109375" style="16" bestFit="1" customWidth="1"/>
    <col min="14601" max="14601" width="7.140625" style="16" bestFit="1" customWidth="1"/>
    <col min="14602" max="14602" width="7.7109375" style="16" customWidth="1"/>
    <col min="14603" max="14604" width="7" style="16" bestFit="1" customWidth="1"/>
    <col min="14605" max="14605" width="6.85546875" style="16" bestFit="1" customWidth="1"/>
    <col min="14606" max="14606" width="7" style="16" bestFit="1" customWidth="1"/>
    <col min="14607" max="14607" width="7.140625" style="16" bestFit="1" customWidth="1"/>
    <col min="14608" max="14612" width="9.140625" style="16"/>
    <col min="14613" max="14613" width="12.42578125" style="16" customWidth="1"/>
    <col min="14614" max="14614" width="9.140625" style="16"/>
    <col min="14615" max="14615" width="12" style="16" customWidth="1"/>
    <col min="14616" max="14848" width="9.140625" style="16"/>
    <col min="14849" max="14849" width="5" style="16" customWidth="1"/>
    <col min="14850" max="14850" width="19.140625" style="16" customWidth="1"/>
    <col min="14851" max="14851" width="11.140625" style="16" bestFit="1" customWidth="1"/>
    <col min="14852" max="14852" width="6.7109375" style="16" bestFit="1" customWidth="1"/>
    <col min="14853" max="14853" width="8.5703125" style="16" bestFit="1" customWidth="1"/>
    <col min="14854" max="14854" width="9.28515625" style="16" bestFit="1" customWidth="1"/>
    <col min="14855" max="14855" width="8.42578125" style="16" bestFit="1" customWidth="1"/>
    <col min="14856" max="14856" width="9.7109375" style="16" bestFit="1" customWidth="1"/>
    <col min="14857" max="14857" width="7.140625" style="16" bestFit="1" customWidth="1"/>
    <col min="14858" max="14858" width="7.7109375" style="16" customWidth="1"/>
    <col min="14859" max="14860" width="7" style="16" bestFit="1" customWidth="1"/>
    <col min="14861" max="14861" width="6.85546875" style="16" bestFit="1" customWidth="1"/>
    <col min="14862" max="14862" width="7" style="16" bestFit="1" customWidth="1"/>
    <col min="14863" max="14863" width="7.140625" style="16" bestFit="1" customWidth="1"/>
    <col min="14864" max="14868" width="9.140625" style="16"/>
    <col min="14869" max="14869" width="12.42578125" style="16" customWidth="1"/>
    <col min="14870" max="14870" width="9.140625" style="16"/>
    <col min="14871" max="14871" width="12" style="16" customWidth="1"/>
    <col min="14872" max="15104" width="9.140625" style="16"/>
    <col min="15105" max="15105" width="5" style="16" customWidth="1"/>
    <col min="15106" max="15106" width="19.140625" style="16" customWidth="1"/>
    <col min="15107" max="15107" width="11.140625" style="16" bestFit="1" customWidth="1"/>
    <col min="15108" max="15108" width="6.7109375" style="16" bestFit="1" customWidth="1"/>
    <col min="15109" max="15109" width="8.5703125" style="16" bestFit="1" customWidth="1"/>
    <col min="15110" max="15110" width="9.28515625" style="16" bestFit="1" customWidth="1"/>
    <col min="15111" max="15111" width="8.42578125" style="16" bestFit="1" customWidth="1"/>
    <col min="15112" max="15112" width="9.7109375" style="16" bestFit="1" customWidth="1"/>
    <col min="15113" max="15113" width="7.140625" style="16" bestFit="1" customWidth="1"/>
    <col min="15114" max="15114" width="7.7109375" style="16" customWidth="1"/>
    <col min="15115" max="15116" width="7" style="16" bestFit="1" customWidth="1"/>
    <col min="15117" max="15117" width="6.85546875" style="16" bestFit="1" customWidth="1"/>
    <col min="15118" max="15118" width="7" style="16" bestFit="1" customWidth="1"/>
    <col min="15119" max="15119" width="7.140625" style="16" bestFit="1" customWidth="1"/>
    <col min="15120" max="15124" width="9.140625" style="16"/>
    <col min="15125" max="15125" width="12.42578125" style="16" customWidth="1"/>
    <col min="15126" max="15126" width="9.140625" style="16"/>
    <col min="15127" max="15127" width="12" style="16" customWidth="1"/>
    <col min="15128" max="15360" width="9.140625" style="16"/>
    <col min="15361" max="15361" width="5" style="16" customWidth="1"/>
    <col min="15362" max="15362" width="19.140625" style="16" customWidth="1"/>
    <col min="15363" max="15363" width="11.140625" style="16" bestFit="1" customWidth="1"/>
    <col min="15364" max="15364" width="6.7109375" style="16" bestFit="1" customWidth="1"/>
    <col min="15365" max="15365" width="8.5703125" style="16" bestFit="1" customWidth="1"/>
    <col min="15366" max="15366" width="9.28515625" style="16" bestFit="1" customWidth="1"/>
    <col min="15367" max="15367" width="8.42578125" style="16" bestFit="1" customWidth="1"/>
    <col min="15368" max="15368" width="9.7109375" style="16" bestFit="1" customWidth="1"/>
    <col min="15369" max="15369" width="7.140625" style="16" bestFit="1" customWidth="1"/>
    <col min="15370" max="15370" width="7.7109375" style="16" customWidth="1"/>
    <col min="15371" max="15372" width="7" style="16" bestFit="1" customWidth="1"/>
    <col min="15373" max="15373" width="6.85546875" style="16" bestFit="1" customWidth="1"/>
    <col min="15374" max="15374" width="7" style="16" bestFit="1" customWidth="1"/>
    <col min="15375" max="15375" width="7.140625" style="16" bestFit="1" customWidth="1"/>
    <col min="15376" max="15380" width="9.140625" style="16"/>
    <col min="15381" max="15381" width="12.42578125" style="16" customWidth="1"/>
    <col min="15382" max="15382" width="9.140625" style="16"/>
    <col min="15383" max="15383" width="12" style="16" customWidth="1"/>
    <col min="15384" max="15616" width="9.140625" style="16"/>
    <col min="15617" max="15617" width="5" style="16" customWidth="1"/>
    <col min="15618" max="15618" width="19.140625" style="16" customWidth="1"/>
    <col min="15619" max="15619" width="11.140625" style="16" bestFit="1" customWidth="1"/>
    <col min="15620" max="15620" width="6.7109375" style="16" bestFit="1" customWidth="1"/>
    <col min="15621" max="15621" width="8.5703125" style="16" bestFit="1" customWidth="1"/>
    <col min="15622" max="15622" width="9.28515625" style="16" bestFit="1" customWidth="1"/>
    <col min="15623" max="15623" width="8.42578125" style="16" bestFit="1" customWidth="1"/>
    <col min="15624" max="15624" width="9.7109375" style="16" bestFit="1" customWidth="1"/>
    <col min="15625" max="15625" width="7.140625" style="16" bestFit="1" customWidth="1"/>
    <col min="15626" max="15626" width="7.7109375" style="16" customWidth="1"/>
    <col min="15627" max="15628" width="7" style="16" bestFit="1" customWidth="1"/>
    <col min="15629" max="15629" width="6.85546875" style="16" bestFit="1" customWidth="1"/>
    <col min="15630" max="15630" width="7" style="16" bestFit="1" customWidth="1"/>
    <col min="15631" max="15631" width="7.140625" style="16" bestFit="1" customWidth="1"/>
    <col min="15632" max="15636" width="9.140625" style="16"/>
    <col min="15637" max="15637" width="12.42578125" style="16" customWidth="1"/>
    <col min="15638" max="15638" width="9.140625" style="16"/>
    <col min="15639" max="15639" width="12" style="16" customWidth="1"/>
    <col min="15640" max="15872" width="9.140625" style="16"/>
    <col min="15873" max="15873" width="5" style="16" customWidth="1"/>
    <col min="15874" max="15874" width="19.140625" style="16" customWidth="1"/>
    <col min="15875" max="15875" width="11.140625" style="16" bestFit="1" customWidth="1"/>
    <col min="15876" max="15876" width="6.7109375" style="16" bestFit="1" customWidth="1"/>
    <col min="15877" max="15877" width="8.5703125" style="16" bestFit="1" customWidth="1"/>
    <col min="15878" max="15878" width="9.28515625" style="16" bestFit="1" customWidth="1"/>
    <col min="15879" max="15879" width="8.42578125" style="16" bestFit="1" customWidth="1"/>
    <col min="15880" max="15880" width="9.7109375" style="16" bestFit="1" customWidth="1"/>
    <col min="15881" max="15881" width="7.140625" style="16" bestFit="1" customWidth="1"/>
    <col min="15882" max="15882" width="7.7109375" style="16" customWidth="1"/>
    <col min="15883" max="15884" width="7" style="16" bestFit="1" customWidth="1"/>
    <col min="15885" max="15885" width="6.85546875" style="16" bestFit="1" customWidth="1"/>
    <col min="15886" max="15886" width="7" style="16" bestFit="1" customWidth="1"/>
    <col min="15887" max="15887" width="7.140625" style="16" bestFit="1" customWidth="1"/>
    <col min="15888" max="15892" width="9.140625" style="16"/>
    <col min="15893" max="15893" width="12.42578125" style="16" customWidth="1"/>
    <col min="15894" max="15894" width="9.140625" style="16"/>
    <col min="15895" max="15895" width="12" style="16" customWidth="1"/>
    <col min="15896" max="16128" width="9.140625" style="16"/>
    <col min="16129" max="16129" width="5" style="16" customWidth="1"/>
    <col min="16130" max="16130" width="19.140625" style="16" customWidth="1"/>
    <col min="16131" max="16131" width="11.140625" style="16" bestFit="1" customWidth="1"/>
    <col min="16132" max="16132" width="6.7109375" style="16" bestFit="1" customWidth="1"/>
    <col min="16133" max="16133" width="8.5703125" style="16" bestFit="1" customWidth="1"/>
    <col min="16134" max="16134" width="9.28515625" style="16" bestFit="1" customWidth="1"/>
    <col min="16135" max="16135" width="8.42578125" style="16" bestFit="1" customWidth="1"/>
    <col min="16136" max="16136" width="9.7109375" style="16" bestFit="1" customWidth="1"/>
    <col min="16137" max="16137" width="7.140625" style="16" bestFit="1" customWidth="1"/>
    <col min="16138" max="16138" width="7.7109375" style="16" customWidth="1"/>
    <col min="16139" max="16140" width="7" style="16" bestFit="1" customWidth="1"/>
    <col min="16141" max="16141" width="6.85546875" style="16" bestFit="1" customWidth="1"/>
    <col min="16142" max="16142" width="7" style="16" bestFit="1" customWidth="1"/>
    <col min="16143" max="16143" width="7.140625" style="16" bestFit="1" customWidth="1"/>
    <col min="16144" max="16148" width="9.140625" style="16"/>
    <col min="16149" max="16149" width="12.42578125" style="16" customWidth="1"/>
    <col min="16150" max="16150" width="9.140625" style="16"/>
    <col min="16151" max="16151" width="12" style="16" customWidth="1"/>
    <col min="16152" max="16384" width="9.140625" style="16"/>
  </cols>
  <sheetData>
    <row r="1" spans="1:17" s="1" customFormat="1" x14ac:dyDescent="0.2">
      <c r="A1" s="867" t="s">
        <v>449</v>
      </c>
      <c r="B1" s="868"/>
      <c r="C1" s="868"/>
      <c r="D1" s="869"/>
      <c r="E1" s="868"/>
      <c r="F1" s="868"/>
      <c r="G1" s="867" t="s">
        <v>102</v>
      </c>
      <c r="H1" s="869"/>
      <c r="I1" s="869" t="s">
        <v>753</v>
      </c>
      <c r="J1" s="868"/>
      <c r="K1" s="868"/>
      <c r="L1" s="870"/>
      <c r="M1" s="870"/>
      <c r="N1" s="870"/>
      <c r="O1" s="870"/>
    </row>
    <row r="2" spans="1:17" s="1" customFormat="1" x14ac:dyDescent="0.2">
      <c r="A2" s="867" t="s">
        <v>103</v>
      </c>
      <c r="B2" s="868"/>
      <c r="C2" s="868"/>
      <c r="D2" s="869" t="s">
        <v>884</v>
      </c>
      <c r="E2" s="868"/>
      <c r="F2" s="868"/>
      <c r="G2" s="867" t="s">
        <v>104</v>
      </c>
      <c r="H2" s="869"/>
      <c r="I2" s="869" t="s">
        <v>105</v>
      </c>
      <c r="J2" s="868"/>
      <c r="K2" s="868"/>
      <c r="L2" s="870"/>
      <c r="M2" s="870"/>
      <c r="N2" s="870"/>
      <c r="O2" s="870"/>
    </row>
    <row r="3" spans="1:17" s="1" customFormat="1" x14ac:dyDescent="0.2">
      <c r="A3" s="867" t="s">
        <v>106</v>
      </c>
      <c r="B3" s="868"/>
      <c r="C3" s="868"/>
      <c r="D3" s="883" t="s">
        <v>885</v>
      </c>
      <c r="E3" s="868"/>
      <c r="F3" s="868"/>
      <c r="G3" s="867" t="s">
        <v>107</v>
      </c>
      <c r="H3" s="869"/>
      <c r="I3" s="869" t="s">
        <v>108</v>
      </c>
      <c r="J3" s="868"/>
      <c r="K3" s="868"/>
      <c r="L3" s="870"/>
      <c r="M3" s="870"/>
      <c r="N3" s="870"/>
      <c r="O3" s="870"/>
    </row>
    <row r="4" spans="1:17" s="1" customFormat="1" x14ac:dyDescent="0.2">
      <c r="A4" s="867" t="s">
        <v>109</v>
      </c>
      <c r="B4" s="868"/>
      <c r="C4" s="868"/>
      <c r="D4" s="869"/>
      <c r="E4" s="868"/>
      <c r="F4" s="868"/>
      <c r="G4" s="867" t="s">
        <v>110</v>
      </c>
      <c r="H4" s="869"/>
      <c r="I4" s="869" t="s">
        <v>795</v>
      </c>
      <c r="J4" s="868"/>
      <c r="K4" s="868"/>
      <c r="L4" s="870"/>
      <c r="M4" s="870"/>
      <c r="N4" s="870"/>
      <c r="O4" s="870"/>
    </row>
    <row r="5" spans="1:17" s="1" customFormat="1" x14ac:dyDescent="0.2">
      <c r="A5" s="867" t="s">
        <v>443</v>
      </c>
      <c r="B5" s="868"/>
      <c r="C5" s="868"/>
      <c r="D5" s="869" t="s">
        <v>886</v>
      </c>
      <c r="E5" s="868"/>
      <c r="F5" s="868"/>
      <c r="G5" s="867"/>
      <c r="H5" s="868"/>
      <c r="I5" s="869" t="s">
        <v>113</v>
      </c>
      <c r="J5" s="868"/>
      <c r="K5" s="868"/>
      <c r="L5" s="870"/>
      <c r="M5" s="870"/>
      <c r="N5" s="870"/>
      <c r="O5" s="870"/>
    </row>
    <row r="6" spans="1:17" s="1" customFormat="1" x14ac:dyDescent="0.2">
      <c r="A6" s="871" t="s">
        <v>114</v>
      </c>
      <c r="B6" s="872"/>
      <c r="C6" s="872"/>
      <c r="D6" s="868" t="s">
        <v>754</v>
      </c>
      <c r="E6" s="868"/>
      <c r="F6" s="868"/>
      <c r="G6" s="871" t="s">
        <v>115</v>
      </c>
      <c r="H6" s="871"/>
      <c r="I6" s="2" t="s">
        <v>222</v>
      </c>
      <c r="J6" s="888"/>
      <c r="K6" s="888"/>
      <c r="L6" s="888"/>
      <c r="M6" s="888"/>
      <c r="N6" s="888"/>
      <c r="O6" s="889"/>
    </row>
    <row r="7" spans="1:17" s="1" customFormat="1" ht="13.5" thickBot="1" x14ac:dyDescent="0.25">
      <c r="A7" s="3"/>
      <c r="B7" s="4"/>
      <c r="C7" s="5"/>
      <c r="D7" s="6"/>
      <c r="E7" s="6"/>
      <c r="F7" s="6"/>
      <c r="G7" s="6"/>
      <c r="H7" s="6"/>
      <c r="I7" s="6"/>
      <c r="J7" s="7"/>
      <c r="K7" s="8"/>
      <c r="L7" s="875" t="s">
        <v>223</v>
      </c>
      <c r="M7" s="875"/>
      <c r="N7" s="875"/>
      <c r="O7" s="875"/>
    </row>
    <row r="8" spans="1:17" s="11" customFormat="1" x14ac:dyDescent="0.2">
      <c r="A8" s="876" t="str">
        <f>I1</f>
        <v>Ms Chitra Natarajan</v>
      </c>
      <c r="B8" s="877"/>
      <c r="C8" s="336">
        <v>43160</v>
      </c>
      <c r="D8" s="336">
        <v>43191</v>
      </c>
      <c r="E8" s="336">
        <v>43221</v>
      </c>
      <c r="F8" s="336">
        <v>43252</v>
      </c>
      <c r="G8" s="336">
        <v>43282</v>
      </c>
      <c r="H8" s="336">
        <v>43313</v>
      </c>
      <c r="I8" s="336">
        <v>43344</v>
      </c>
      <c r="J8" s="336">
        <v>43374</v>
      </c>
      <c r="K8" s="336">
        <v>43405</v>
      </c>
      <c r="L8" s="336">
        <v>43435</v>
      </c>
      <c r="M8" s="336">
        <v>43466</v>
      </c>
      <c r="N8" s="336">
        <v>43497</v>
      </c>
      <c r="O8" s="10" t="s">
        <v>117</v>
      </c>
      <c r="Q8" s="11" t="s">
        <v>116</v>
      </c>
    </row>
    <row r="9" spans="1:17" ht="15" x14ac:dyDescent="0.2">
      <c r="A9" s="12"/>
      <c r="B9" s="13" t="s">
        <v>118</v>
      </c>
      <c r="C9" s="14">
        <v>58600</v>
      </c>
      <c r="D9" s="14">
        <v>58600</v>
      </c>
      <c r="E9" s="14">
        <v>58600</v>
      </c>
      <c r="F9" s="14">
        <v>58600</v>
      </c>
      <c r="G9" s="14">
        <v>60400</v>
      </c>
      <c r="H9" s="14">
        <v>60400</v>
      </c>
      <c r="I9" s="14">
        <v>60400</v>
      </c>
      <c r="J9" s="14">
        <v>60400</v>
      </c>
      <c r="K9" s="14">
        <v>60400</v>
      </c>
      <c r="L9" s="14">
        <v>60400</v>
      </c>
      <c r="M9" s="14">
        <v>60400</v>
      </c>
      <c r="N9" s="14">
        <v>60400</v>
      </c>
      <c r="O9" s="15">
        <f>SUM(C9:N9)</f>
        <v>717600</v>
      </c>
      <c r="Q9" s="16" t="s">
        <v>222</v>
      </c>
    </row>
    <row r="10" spans="1:17"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7" ht="15" x14ac:dyDescent="0.2">
      <c r="A11" s="12"/>
      <c r="B11" s="13" t="s">
        <v>120</v>
      </c>
      <c r="C11" s="147">
        <v>2930</v>
      </c>
      <c r="D11" s="147">
        <v>4102</v>
      </c>
      <c r="E11" s="147">
        <v>4102</v>
      </c>
      <c r="F11" s="147">
        <v>4102</v>
      </c>
      <c r="G11" s="147">
        <v>4228</v>
      </c>
      <c r="H11" s="147">
        <v>4228</v>
      </c>
      <c r="I11" s="147">
        <v>4228</v>
      </c>
      <c r="J11" s="147">
        <v>5436</v>
      </c>
      <c r="K11" s="147">
        <v>5436</v>
      </c>
      <c r="L11" s="147">
        <v>5436</v>
      </c>
      <c r="M11" s="147">
        <v>5436</v>
      </c>
      <c r="N11" s="147">
        <v>5436</v>
      </c>
      <c r="O11" s="18">
        <f>SUM(C11:N11)</f>
        <v>55100</v>
      </c>
    </row>
    <row r="12" spans="1:17" ht="15" hidden="1" x14ac:dyDescent="0.2">
      <c r="A12" s="12"/>
      <c r="B12" s="13" t="s">
        <v>121</v>
      </c>
      <c r="C12" s="147">
        <v>0</v>
      </c>
      <c r="D12" s="17">
        <v>0</v>
      </c>
      <c r="E12" s="17">
        <v>0</v>
      </c>
      <c r="F12" s="17">
        <v>0</v>
      </c>
      <c r="G12" s="17">
        <v>0</v>
      </c>
      <c r="H12" s="17">
        <v>0</v>
      </c>
      <c r="I12" s="17">
        <v>0</v>
      </c>
      <c r="J12" s="17">
        <v>0</v>
      </c>
      <c r="K12" s="17">
        <v>0</v>
      </c>
      <c r="L12" s="17">
        <v>0</v>
      </c>
      <c r="M12" s="17">
        <v>0</v>
      </c>
      <c r="N12" s="17">
        <v>0</v>
      </c>
      <c r="O12" s="18">
        <f>SUM(C12:N12)</f>
        <v>0</v>
      </c>
    </row>
    <row r="13" spans="1:17"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7" ht="15" x14ac:dyDescent="0.2">
      <c r="A14" s="12"/>
      <c r="B14" s="13" t="s">
        <v>123</v>
      </c>
      <c r="C14" s="147">
        <v>3780</v>
      </c>
      <c r="D14" s="147">
        <v>3852</v>
      </c>
      <c r="E14" s="147">
        <v>3852</v>
      </c>
      <c r="F14" s="147">
        <v>3852</v>
      </c>
      <c r="G14" s="147">
        <v>3852</v>
      </c>
      <c r="H14" s="147">
        <v>3852</v>
      </c>
      <c r="I14" s="147">
        <v>3852</v>
      </c>
      <c r="J14" s="147">
        <v>3924</v>
      </c>
      <c r="K14" s="147">
        <v>3924</v>
      </c>
      <c r="L14" s="147">
        <v>3924</v>
      </c>
      <c r="M14" s="147">
        <v>3924</v>
      </c>
      <c r="N14" s="147">
        <v>3924</v>
      </c>
      <c r="O14" s="18">
        <f t="shared" si="0"/>
        <v>46512</v>
      </c>
    </row>
    <row r="15" spans="1:17" ht="15" x14ac:dyDescent="0.2">
      <c r="A15" s="12"/>
      <c r="B15" s="13" t="s">
        <v>124</v>
      </c>
      <c r="C15" s="17">
        <v>0</v>
      </c>
      <c r="D15" s="17">
        <v>0</v>
      </c>
      <c r="E15" s="17">
        <v>0</v>
      </c>
      <c r="F15" s="17">
        <v>0</v>
      </c>
      <c r="G15" s="17">
        <v>0</v>
      </c>
      <c r="H15" s="17">
        <v>0</v>
      </c>
      <c r="I15" s="17">
        <v>0</v>
      </c>
      <c r="J15" s="147">
        <v>0</v>
      </c>
      <c r="K15" s="147">
        <v>0</v>
      </c>
      <c r="L15" s="147">
        <v>0</v>
      </c>
      <c r="M15" s="147">
        <v>0</v>
      </c>
      <c r="N15" s="147">
        <v>0</v>
      </c>
      <c r="O15" s="18">
        <f t="shared" si="0"/>
        <v>0</v>
      </c>
    </row>
    <row r="16" spans="1:17" ht="25.5" x14ac:dyDescent="0.2">
      <c r="A16" s="12"/>
      <c r="B16" s="166" t="s">
        <v>887</v>
      </c>
      <c r="C16" s="17">
        <v>0</v>
      </c>
      <c r="D16" s="17">
        <v>0</v>
      </c>
      <c r="E16" s="17">
        <v>0</v>
      </c>
      <c r="F16" s="17">
        <v>0</v>
      </c>
      <c r="G16" s="17">
        <v>0</v>
      </c>
      <c r="H16" s="17">
        <v>0</v>
      </c>
      <c r="I16" s="17">
        <v>0</v>
      </c>
      <c r="J16" s="147">
        <v>0</v>
      </c>
      <c r="K16" s="147">
        <v>0</v>
      </c>
      <c r="L16" s="147">
        <v>0</v>
      </c>
      <c r="M16" s="147">
        <v>0</v>
      </c>
      <c r="N16" s="147">
        <v>0</v>
      </c>
      <c r="O16" s="18">
        <f t="shared" si="0"/>
        <v>0</v>
      </c>
    </row>
    <row r="17" spans="1:15" ht="15" customHeight="1" x14ac:dyDescent="0.2">
      <c r="A17" s="12"/>
      <c r="B17" s="217" t="s">
        <v>280</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609</v>
      </c>
      <c r="C18" s="17">
        <v>0</v>
      </c>
      <c r="D18" s="17">
        <v>0</v>
      </c>
      <c r="E18" s="17">
        <v>0</v>
      </c>
      <c r="F18" s="17">
        <v>0</v>
      </c>
      <c r="G18" s="17">
        <v>0</v>
      </c>
      <c r="H18" s="17">
        <v>0</v>
      </c>
      <c r="I18" s="17">
        <v>0</v>
      </c>
      <c r="J18" s="147">
        <v>0</v>
      </c>
      <c r="K18" s="147">
        <v>0</v>
      </c>
      <c r="L18" s="147">
        <v>0</v>
      </c>
      <c r="M18" s="147">
        <v>0</v>
      </c>
      <c r="N18" s="147">
        <v>0</v>
      </c>
      <c r="O18" s="18">
        <f t="shared" si="0"/>
        <v>0</v>
      </c>
    </row>
    <row r="19" spans="1:15" ht="15" x14ac:dyDescent="0.2">
      <c r="A19" s="12"/>
      <c r="B19" s="13" t="s">
        <v>128</v>
      </c>
      <c r="C19" s="147">
        <v>14064</v>
      </c>
      <c r="D19" s="147">
        <v>14064</v>
      </c>
      <c r="E19" s="147">
        <v>14064</v>
      </c>
      <c r="F19" s="147">
        <v>14064</v>
      </c>
      <c r="G19" s="147">
        <v>14496</v>
      </c>
      <c r="H19" s="147">
        <v>14496</v>
      </c>
      <c r="I19" s="147">
        <v>14496</v>
      </c>
      <c r="J19" s="147">
        <v>14496</v>
      </c>
      <c r="K19" s="147">
        <v>14496</v>
      </c>
      <c r="L19" s="147">
        <v>14496</v>
      </c>
      <c r="M19" s="147">
        <v>14496</v>
      </c>
      <c r="N19" s="147">
        <v>14496</v>
      </c>
      <c r="O19" s="18">
        <f t="shared" si="0"/>
        <v>172224</v>
      </c>
    </row>
    <row r="20" spans="1:15" ht="15" customHeight="1" x14ac:dyDescent="0.2">
      <c r="A20" s="12"/>
      <c r="B20" s="13" t="s">
        <v>129</v>
      </c>
      <c r="C20" s="28">
        <v>0</v>
      </c>
      <c r="D20" s="28">
        <v>0</v>
      </c>
      <c r="E20" s="28">
        <v>0</v>
      </c>
      <c r="F20" s="28">
        <v>0</v>
      </c>
      <c r="G20" s="28">
        <v>0</v>
      </c>
      <c r="H20" s="28">
        <v>0</v>
      </c>
      <c r="I20" s="28">
        <v>0</v>
      </c>
      <c r="J20" s="28">
        <v>0</v>
      </c>
      <c r="K20" s="28">
        <v>0</v>
      </c>
      <c r="L20" s="28">
        <v>0</v>
      </c>
      <c r="M20" s="28">
        <v>0</v>
      </c>
      <c r="N20" s="28">
        <v>0</v>
      </c>
      <c r="O20" s="18">
        <f t="shared" si="0"/>
        <v>0</v>
      </c>
    </row>
    <row r="21" spans="1:15" ht="15" hidden="1" customHeight="1" x14ac:dyDescent="0.2">
      <c r="A21" s="878" t="s">
        <v>130</v>
      </c>
      <c r="B21" s="19" t="s">
        <v>131</v>
      </c>
      <c r="C21" s="28">
        <v>0</v>
      </c>
      <c r="D21" s="28">
        <v>0</v>
      </c>
      <c r="E21" s="28">
        <v>0</v>
      </c>
      <c r="F21" s="28">
        <v>0</v>
      </c>
      <c r="G21" s="28">
        <v>0</v>
      </c>
      <c r="H21" s="28">
        <v>0</v>
      </c>
      <c r="I21" s="28">
        <v>0</v>
      </c>
      <c r="J21" s="28">
        <v>0</v>
      </c>
      <c r="K21" s="28">
        <v>0</v>
      </c>
      <c r="L21" s="28">
        <v>0</v>
      </c>
      <c r="M21" s="28">
        <v>0</v>
      </c>
      <c r="N21" s="28">
        <v>0</v>
      </c>
      <c r="O21" s="18">
        <f t="shared" si="0"/>
        <v>0</v>
      </c>
    </row>
    <row r="22" spans="1:15" ht="15" customHeight="1" x14ac:dyDescent="0.2">
      <c r="A22" s="879"/>
      <c r="B22" s="19" t="s">
        <v>132</v>
      </c>
      <c r="C22" s="28">
        <v>0</v>
      </c>
      <c r="D22" s="28">
        <v>0</v>
      </c>
      <c r="E22" s="28">
        <v>0</v>
      </c>
      <c r="F22" s="28">
        <v>0</v>
      </c>
      <c r="G22" s="28">
        <v>0</v>
      </c>
      <c r="H22" s="28">
        <v>0</v>
      </c>
      <c r="I22" s="28">
        <v>0</v>
      </c>
      <c r="J22" s="28">
        <v>6908</v>
      </c>
      <c r="K22" s="28">
        <v>0</v>
      </c>
      <c r="L22" s="28">
        <v>0</v>
      </c>
      <c r="M22" s="28">
        <v>0</v>
      </c>
      <c r="N22" s="28">
        <v>0</v>
      </c>
      <c r="O22" s="18">
        <f t="shared" si="0"/>
        <v>6908</v>
      </c>
    </row>
    <row r="23" spans="1:15" ht="15" hidden="1" customHeight="1" x14ac:dyDescent="0.2">
      <c r="A23" s="879"/>
      <c r="B23" s="19" t="s">
        <v>133</v>
      </c>
      <c r="C23" s="28">
        <v>0</v>
      </c>
      <c r="D23" s="28">
        <v>0</v>
      </c>
      <c r="E23" s="28">
        <v>0</v>
      </c>
      <c r="F23" s="28">
        <v>0</v>
      </c>
      <c r="G23" s="28">
        <v>0</v>
      </c>
      <c r="H23" s="28">
        <v>0</v>
      </c>
      <c r="I23" s="28">
        <v>0</v>
      </c>
      <c r="J23" s="28">
        <v>0</v>
      </c>
      <c r="K23" s="28">
        <v>0</v>
      </c>
      <c r="L23" s="28">
        <v>0</v>
      </c>
      <c r="M23" s="28">
        <v>0</v>
      </c>
      <c r="N23" s="28">
        <v>0</v>
      </c>
      <c r="O23" s="18">
        <f t="shared" si="0"/>
        <v>0</v>
      </c>
    </row>
    <row r="24" spans="1:15" ht="15" hidden="1" customHeight="1" x14ac:dyDescent="0.2">
      <c r="A24" s="879"/>
      <c r="B24" s="19" t="s">
        <v>134</v>
      </c>
      <c r="C24" s="28">
        <v>0</v>
      </c>
      <c r="D24" s="28">
        <v>0</v>
      </c>
      <c r="E24" s="28">
        <v>0</v>
      </c>
      <c r="F24" s="28">
        <v>0</v>
      </c>
      <c r="G24" s="28">
        <v>0</v>
      </c>
      <c r="H24" s="28">
        <v>0</v>
      </c>
      <c r="I24" s="28">
        <v>0</v>
      </c>
      <c r="J24" s="28">
        <v>0</v>
      </c>
      <c r="K24" s="28">
        <v>0</v>
      </c>
      <c r="L24" s="28">
        <v>0</v>
      </c>
      <c r="M24" s="28">
        <v>0</v>
      </c>
      <c r="N24" s="28">
        <v>0</v>
      </c>
      <c r="O24" s="18">
        <f t="shared" si="0"/>
        <v>0</v>
      </c>
    </row>
    <row r="25" spans="1:15" ht="15" hidden="1" customHeight="1" x14ac:dyDescent="0.2">
      <c r="A25" s="879"/>
      <c r="B25" s="19" t="s">
        <v>135</v>
      </c>
      <c r="C25" s="28">
        <v>0</v>
      </c>
      <c r="D25" s="28">
        <v>0</v>
      </c>
      <c r="E25" s="28">
        <v>0</v>
      </c>
      <c r="F25" s="28">
        <v>0</v>
      </c>
      <c r="G25" s="28">
        <v>0</v>
      </c>
      <c r="H25" s="28">
        <v>0</v>
      </c>
      <c r="I25" s="28">
        <v>0</v>
      </c>
      <c r="J25" s="28">
        <v>0</v>
      </c>
      <c r="K25" s="28">
        <v>0</v>
      </c>
      <c r="L25" s="28">
        <v>0</v>
      </c>
      <c r="M25" s="28">
        <v>0</v>
      </c>
      <c r="N25" s="28">
        <v>0</v>
      </c>
      <c r="O25" s="18">
        <f t="shared" si="0"/>
        <v>0</v>
      </c>
    </row>
    <row r="26" spans="1:15" ht="15" hidden="1" customHeight="1" x14ac:dyDescent="0.2">
      <c r="A26" s="879"/>
      <c r="B26" s="19" t="s">
        <v>136</v>
      </c>
      <c r="C26" s="28">
        <v>0</v>
      </c>
      <c r="D26" s="28">
        <v>0</v>
      </c>
      <c r="E26" s="28">
        <v>0</v>
      </c>
      <c r="F26" s="28">
        <v>0</v>
      </c>
      <c r="G26" s="28">
        <v>0</v>
      </c>
      <c r="H26" s="28">
        <v>0</v>
      </c>
      <c r="I26" s="28">
        <v>0</v>
      </c>
      <c r="J26" s="28">
        <v>0</v>
      </c>
      <c r="K26" s="28">
        <v>0</v>
      </c>
      <c r="L26" s="28">
        <v>0</v>
      </c>
      <c r="M26" s="28">
        <v>0</v>
      </c>
      <c r="N26" s="28">
        <v>0</v>
      </c>
      <c r="O26" s="18">
        <f t="shared" si="0"/>
        <v>0</v>
      </c>
    </row>
    <row r="27" spans="1:15" ht="15" hidden="1" customHeight="1" x14ac:dyDescent="0.2">
      <c r="A27" s="879"/>
      <c r="B27" s="19" t="s">
        <v>137</v>
      </c>
      <c r="C27" s="28">
        <v>0</v>
      </c>
      <c r="D27" s="28">
        <v>0</v>
      </c>
      <c r="E27" s="28">
        <v>0</v>
      </c>
      <c r="F27" s="28">
        <v>0</v>
      </c>
      <c r="G27" s="28">
        <v>0</v>
      </c>
      <c r="H27" s="28">
        <v>0</v>
      </c>
      <c r="I27" s="28">
        <v>0</v>
      </c>
      <c r="J27" s="28">
        <v>0</v>
      </c>
      <c r="K27" s="28">
        <v>0</v>
      </c>
      <c r="L27" s="28">
        <v>0</v>
      </c>
      <c r="M27" s="28">
        <v>0</v>
      </c>
      <c r="N27" s="28">
        <v>0</v>
      </c>
      <c r="O27" s="18">
        <f t="shared" si="0"/>
        <v>0</v>
      </c>
    </row>
    <row r="28" spans="1:15" ht="15" hidden="1" customHeight="1" x14ac:dyDescent="0.2">
      <c r="A28" s="879"/>
      <c r="B28" s="19" t="s">
        <v>138</v>
      </c>
      <c r="C28" s="28">
        <v>0</v>
      </c>
      <c r="D28" s="28">
        <v>0</v>
      </c>
      <c r="E28" s="28">
        <v>0</v>
      </c>
      <c r="F28" s="28">
        <v>0</v>
      </c>
      <c r="G28" s="28">
        <v>0</v>
      </c>
      <c r="H28" s="28">
        <v>0</v>
      </c>
      <c r="I28" s="28">
        <v>0</v>
      </c>
      <c r="J28" s="28">
        <v>0</v>
      </c>
      <c r="K28" s="28">
        <v>0</v>
      </c>
      <c r="L28" s="28">
        <v>0</v>
      </c>
      <c r="M28" s="28">
        <v>0</v>
      </c>
      <c r="N28" s="28">
        <v>0</v>
      </c>
      <c r="O28" s="18">
        <f t="shared" si="0"/>
        <v>0</v>
      </c>
    </row>
    <row r="29" spans="1:15" ht="15" hidden="1" customHeight="1" x14ac:dyDescent="0.2">
      <c r="A29" s="879"/>
      <c r="B29" s="19" t="s">
        <v>139</v>
      </c>
      <c r="C29" s="28">
        <v>0</v>
      </c>
      <c r="D29" s="28">
        <v>0</v>
      </c>
      <c r="E29" s="28">
        <v>0</v>
      </c>
      <c r="F29" s="28">
        <v>0</v>
      </c>
      <c r="G29" s="28">
        <v>0</v>
      </c>
      <c r="H29" s="28">
        <v>0</v>
      </c>
      <c r="I29" s="28">
        <v>0</v>
      </c>
      <c r="J29" s="28">
        <v>0</v>
      </c>
      <c r="K29" s="28">
        <v>0</v>
      </c>
      <c r="L29" s="28">
        <v>0</v>
      </c>
      <c r="M29" s="28">
        <v>0</v>
      </c>
      <c r="N29" s="28">
        <v>0</v>
      </c>
      <c r="O29" s="18">
        <f t="shared" si="0"/>
        <v>0</v>
      </c>
    </row>
    <row r="30" spans="1:15" ht="15" hidden="1" customHeight="1" x14ac:dyDescent="0.2">
      <c r="A30" s="879"/>
      <c r="B30" s="19" t="s">
        <v>140</v>
      </c>
      <c r="C30" s="28">
        <v>0</v>
      </c>
      <c r="D30" s="28">
        <v>0</v>
      </c>
      <c r="E30" s="28">
        <v>0</v>
      </c>
      <c r="F30" s="28">
        <v>0</v>
      </c>
      <c r="G30" s="28">
        <v>0</v>
      </c>
      <c r="H30" s="28">
        <v>0</v>
      </c>
      <c r="I30" s="28">
        <v>0</v>
      </c>
      <c r="J30" s="28">
        <v>0</v>
      </c>
      <c r="K30" s="28">
        <v>0</v>
      </c>
      <c r="L30" s="28">
        <v>0</v>
      </c>
      <c r="M30" s="28">
        <v>0</v>
      </c>
      <c r="N30" s="28">
        <v>0</v>
      </c>
      <c r="O30" s="18">
        <f t="shared" si="0"/>
        <v>0</v>
      </c>
    </row>
    <row r="31" spans="1:15" ht="15" hidden="1" customHeight="1" x14ac:dyDescent="0.2">
      <c r="A31" s="879"/>
      <c r="B31" s="19" t="s">
        <v>225</v>
      </c>
      <c r="C31" s="28">
        <v>0</v>
      </c>
      <c r="D31" s="28">
        <v>0</v>
      </c>
      <c r="E31" s="28">
        <v>0</v>
      </c>
      <c r="F31" s="28">
        <v>0</v>
      </c>
      <c r="G31" s="28">
        <v>0</v>
      </c>
      <c r="H31" s="28">
        <v>0</v>
      </c>
      <c r="I31" s="28">
        <v>0</v>
      </c>
      <c r="J31" s="28">
        <v>0</v>
      </c>
      <c r="K31" s="28">
        <v>0</v>
      </c>
      <c r="L31" s="28">
        <v>0</v>
      </c>
      <c r="M31" s="28">
        <v>0</v>
      </c>
      <c r="N31" s="28">
        <v>0</v>
      </c>
      <c r="O31" s="18">
        <f t="shared" si="0"/>
        <v>0</v>
      </c>
    </row>
    <row r="32" spans="1:15" ht="15" customHeight="1" x14ac:dyDescent="0.2">
      <c r="A32" s="879"/>
      <c r="B32" s="21" t="s">
        <v>142</v>
      </c>
      <c r="C32" s="28">
        <v>0</v>
      </c>
      <c r="D32" s="28">
        <v>0</v>
      </c>
      <c r="E32" s="28">
        <v>0</v>
      </c>
      <c r="F32" s="28">
        <v>0</v>
      </c>
      <c r="G32" s="28">
        <v>0</v>
      </c>
      <c r="H32" s="28">
        <v>0</v>
      </c>
      <c r="I32" s="28">
        <v>0</v>
      </c>
      <c r="J32" s="28">
        <v>0</v>
      </c>
      <c r="K32" s="28">
        <v>0</v>
      </c>
      <c r="L32" s="28">
        <v>0</v>
      </c>
      <c r="M32" s="28">
        <v>0</v>
      </c>
      <c r="N32" s="28">
        <v>0</v>
      </c>
      <c r="O32" s="18">
        <f t="shared" si="0"/>
        <v>0</v>
      </c>
    </row>
    <row r="33" spans="1:17" ht="15" hidden="1" customHeight="1" x14ac:dyDescent="0.2">
      <c r="A33" s="880"/>
      <c r="B33" s="19" t="s">
        <v>226</v>
      </c>
      <c r="C33" s="28">
        <v>0</v>
      </c>
      <c r="D33" s="28">
        <v>0</v>
      </c>
      <c r="E33" s="28">
        <v>0</v>
      </c>
      <c r="F33" s="28">
        <v>0</v>
      </c>
      <c r="G33" s="28">
        <v>0</v>
      </c>
      <c r="H33" s="28">
        <v>0</v>
      </c>
      <c r="I33" s="28">
        <v>0</v>
      </c>
      <c r="J33" s="28">
        <v>0</v>
      </c>
      <c r="K33" s="28">
        <v>0</v>
      </c>
      <c r="L33" s="28">
        <v>0</v>
      </c>
      <c r="M33" s="28">
        <v>0</v>
      </c>
      <c r="N33" s="28">
        <v>0</v>
      </c>
      <c r="O33" s="18">
        <f t="shared" si="0"/>
        <v>0</v>
      </c>
    </row>
    <row r="34" spans="1:17" ht="15" customHeight="1" x14ac:dyDescent="0.2">
      <c r="A34" s="1104" t="s">
        <v>224</v>
      </c>
      <c r="B34" s="1105"/>
      <c r="C34" s="28">
        <v>0</v>
      </c>
      <c r="D34" s="28">
        <v>0</v>
      </c>
      <c r="E34" s="28">
        <v>0</v>
      </c>
      <c r="F34" s="28">
        <v>0</v>
      </c>
      <c r="G34" s="28">
        <v>0</v>
      </c>
      <c r="H34" s="28">
        <v>0</v>
      </c>
      <c r="I34" s="28">
        <v>0</v>
      </c>
      <c r="J34" s="28">
        <v>0</v>
      </c>
      <c r="K34" s="28">
        <v>0</v>
      </c>
      <c r="L34" s="28">
        <v>0</v>
      </c>
      <c r="M34" s="28">
        <v>0</v>
      </c>
      <c r="N34" s="28">
        <v>0</v>
      </c>
      <c r="O34" s="18">
        <f t="shared" si="0"/>
        <v>0</v>
      </c>
    </row>
    <row r="35" spans="1:17" ht="15" customHeight="1" x14ac:dyDescent="0.2">
      <c r="A35" s="865" t="s">
        <v>145</v>
      </c>
      <c r="B35" s="866"/>
      <c r="C35" s="28">
        <v>0</v>
      </c>
      <c r="D35" s="28">
        <v>216</v>
      </c>
      <c r="E35" s="28">
        <v>0</v>
      </c>
      <c r="F35" s="28">
        <v>0</v>
      </c>
      <c r="G35" s="28">
        <v>0</v>
      </c>
      <c r="H35" s="28">
        <v>0</v>
      </c>
      <c r="I35" s="28">
        <v>0</v>
      </c>
      <c r="J35" s="28">
        <v>216</v>
      </c>
      <c r="K35" s="28">
        <v>0</v>
      </c>
      <c r="L35" s="28">
        <v>0</v>
      </c>
      <c r="M35" s="28">
        <v>0</v>
      </c>
      <c r="N35" s="28">
        <v>0</v>
      </c>
      <c r="O35" s="18">
        <f t="shared" si="0"/>
        <v>432</v>
      </c>
    </row>
    <row r="36" spans="1:17" ht="15" customHeight="1" x14ac:dyDescent="0.2">
      <c r="A36" s="865" t="s">
        <v>146</v>
      </c>
      <c r="B36" s="866"/>
      <c r="C36" s="28">
        <v>0</v>
      </c>
      <c r="D36" s="28">
        <v>3516</v>
      </c>
      <c r="E36" s="28">
        <v>0</v>
      </c>
      <c r="F36" s="28">
        <v>0</v>
      </c>
      <c r="G36" s="28">
        <v>0</v>
      </c>
      <c r="H36" s="28">
        <v>0</v>
      </c>
      <c r="I36" s="28">
        <v>0</v>
      </c>
      <c r="J36" s="28">
        <v>3624</v>
      </c>
      <c r="K36" s="28">
        <v>0</v>
      </c>
      <c r="L36" s="28">
        <v>0</v>
      </c>
      <c r="M36" s="28">
        <v>0</v>
      </c>
      <c r="N36" s="28">
        <v>0</v>
      </c>
      <c r="O36" s="18">
        <f t="shared" si="0"/>
        <v>7140</v>
      </c>
    </row>
    <row r="37" spans="1:17" ht="15" customHeight="1" x14ac:dyDescent="0.2">
      <c r="A37" s="22"/>
      <c r="B37" s="23" t="s">
        <v>147</v>
      </c>
      <c r="C37" s="24">
        <f t="shared" ref="C37:N37" si="1">SUM(C9:C36)</f>
        <v>79374</v>
      </c>
      <c r="D37" s="24">
        <f t="shared" si="1"/>
        <v>84350</v>
      </c>
      <c r="E37" s="24">
        <f t="shared" si="1"/>
        <v>80618</v>
      </c>
      <c r="F37" s="24">
        <f t="shared" si="1"/>
        <v>80618</v>
      </c>
      <c r="G37" s="24">
        <f t="shared" si="1"/>
        <v>82976</v>
      </c>
      <c r="H37" s="24">
        <f t="shared" si="1"/>
        <v>82976</v>
      </c>
      <c r="I37" s="24">
        <f t="shared" si="1"/>
        <v>82976</v>
      </c>
      <c r="J37" s="24">
        <f t="shared" si="1"/>
        <v>95004</v>
      </c>
      <c r="K37" s="24">
        <f t="shared" si="1"/>
        <v>84256</v>
      </c>
      <c r="L37" s="24">
        <f t="shared" si="1"/>
        <v>84256</v>
      </c>
      <c r="M37" s="24">
        <f t="shared" si="1"/>
        <v>84256</v>
      </c>
      <c r="N37" s="24">
        <f t="shared" si="1"/>
        <v>84256</v>
      </c>
      <c r="O37" s="25">
        <f t="shared" ref="O37:O50" si="2">SUM(C37:N37)</f>
        <v>1005916</v>
      </c>
      <c r="Q37" s="16">
        <f>41819*2+15000+43494+6700+43494+44712*3+6456+3454+46864*5</f>
        <v>570692</v>
      </c>
    </row>
    <row r="38" spans="1:17" ht="15" customHeight="1" x14ac:dyDescent="0.2">
      <c r="A38" s="853" t="s">
        <v>148</v>
      </c>
      <c r="B38" s="27" t="s">
        <v>149</v>
      </c>
      <c r="C38" s="147">
        <v>6230</v>
      </c>
      <c r="D38" s="147">
        <v>6000</v>
      </c>
      <c r="E38" s="147">
        <v>6000</v>
      </c>
      <c r="F38" s="147">
        <v>6000</v>
      </c>
      <c r="G38" s="147">
        <v>6000</v>
      </c>
      <c r="H38" s="147">
        <v>6000</v>
      </c>
      <c r="I38" s="147">
        <v>6000</v>
      </c>
      <c r="J38" s="147">
        <v>6000</v>
      </c>
      <c r="K38" s="147">
        <v>8600</v>
      </c>
      <c r="L38" s="147">
        <v>5835</v>
      </c>
      <c r="M38" s="147">
        <v>5830</v>
      </c>
      <c r="N38" s="147">
        <v>5830</v>
      </c>
      <c r="O38" s="18">
        <f t="shared" si="2"/>
        <v>74325</v>
      </c>
      <c r="P38" s="29"/>
    </row>
    <row r="39" spans="1:17" ht="15" x14ac:dyDescent="0.2">
      <c r="A39" s="854"/>
      <c r="B39" s="27" t="s">
        <v>150</v>
      </c>
      <c r="C39" s="147">
        <v>0</v>
      </c>
      <c r="D39" s="147">
        <v>0</v>
      </c>
      <c r="E39" s="147">
        <v>0</v>
      </c>
      <c r="F39" s="147">
        <v>0</v>
      </c>
      <c r="G39" s="147">
        <v>0</v>
      </c>
      <c r="H39" s="147">
        <v>0</v>
      </c>
      <c r="I39" s="147">
        <v>0</v>
      </c>
      <c r="J39" s="147">
        <v>0</v>
      </c>
      <c r="K39" s="147">
        <v>0</v>
      </c>
      <c r="L39" s="147">
        <v>0</v>
      </c>
      <c r="M39" s="147">
        <v>0</v>
      </c>
      <c r="N39" s="147">
        <v>0</v>
      </c>
      <c r="O39" s="18">
        <f t="shared" si="2"/>
        <v>0</v>
      </c>
    </row>
    <row r="40" spans="1:17" ht="15" x14ac:dyDescent="0.2">
      <c r="A40" s="854"/>
      <c r="B40" s="27" t="s">
        <v>151</v>
      </c>
      <c r="C40" s="147">
        <v>60</v>
      </c>
      <c r="D40" s="147">
        <f>C40</f>
        <v>60</v>
      </c>
      <c r="E40" s="147">
        <f t="shared" ref="E40:N47" si="3">D40</f>
        <v>60</v>
      </c>
      <c r="F40" s="147">
        <f t="shared" si="3"/>
        <v>60</v>
      </c>
      <c r="G40" s="147">
        <f t="shared" si="3"/>
        <v>60</v>
      </c>
      <c r="H40" s="147">
        <f t="shared" si="3"/>
        <v>60</v>
      </c>
      <c r="I40" s="147">
        <f t="shared" si="3"/>
        <v>60</v>
      </c>
      <c r="J40" s="147">
        <f>+I40</f>
        <v>60</v>
      </c>
      <c r="K40" s="147">
        <f t="shared" si="3"/>
        <v>60</v>
      </c>
      <c r="L40" s="147">
        <f t="shared" si="3"/>
        <v>60</v>
      </c>
      <c r="M40" s="147">
        <f t="shared" si="3"/>
        <v>60</v>
      </c>
      <c r="N40" s="147">
        <f t="shared" si="3"/>
        <v>60</v>
      </c>
      <c r="O40" s="18">
        <f t="shared" si="2"/>
        <v>720</v>
      </c>
    </row>
    <row r="41" spans="1:17" ht="15" x14ac:dyDescent="0.2">
      <c r="A41" s="854"/>
      <c r="B41" s="27" t="s">
        <v>152</v>
      </c>
      <c r="C41" s="147">
        <v>0</v>
      </c>
      <c r="D41" s="147">
        <f t="shared" ref="D41:D46" si="4">C41</f>
        <v>0</v>
      </c>
      <c r="E41" s="147">
        <f t="shared" si="3"/>
        <v>0</v>
      </c>
      <c r="F41" s="147">
        <f t="shared" si="3"/>
        <v>0</v>
      </c>
      <c r="G41" s="147">
        <f t="shared" si="3"/>
        <v>0</v>
      </c>
      <c r="H41" s="147">
        <f t="shared" si="3"/>
        <v>0</v>
      </c>
      <c r="I41" s="147">
        <f t="shared" si="3"/>
        <v>0</v>
      </c>
      <c r="J41" s="147">
        <f t="shared" ref="J41:J47" si="5">+I41</f>
        <v>0</v>
      </c>
      <c r="K41" s="147">
        <f t="shared" si="3"/>
        <v>0</v>
      </c>
      <c r="L41" s="147">
        <f t="shared" si="3"/>
        <v>0</v>
      </c>
      <c r="M41" s="147">
        <f t="shared" si="3"/>
        <v>0</v>
      </c>
      <c r="N41" s="147">
        <f t="shared" si="3"/>
        <v>0</v>
      </c>
      <c r="O41" s="18">
        <f t="shared" si="2"/>
        <v>0</v>
      </c>
    </row>
    <row r="42" spans="1:17" ht="15" x14ac:dyDescent="0.2">
      <c r="A42" s="854"/>
      <c r="B42" s="27" t="s">
        <v>153</v>
      </c>
      <c r="C42" s="28">
        <v>0</v>
      </c>
      <c r="D42" s="28">
        <f t="shared" si="4"/>
        <v>0</v>
      </c>
      <c r="E42" s="28">
        <f t="shared" si="3"/>
        <v>0</v>
      </c>
      <c r="F42" s="28">
        <f t="shared" si="3"/>
        <v>0</v>
      </c>
      <c r="G42" s="28">
        <f t="shared" si="3"/>
        <v>0</v>
      </c>
      <c r="H42" s="28">
        <f t="shared" si="3"/>
        <v>0</v>
      </c>
      <c r="I42" s="28">
        <f t="shared" si="3"/>
        <v>0</v>
      </c>
      <c r="J42" s="28">
        <f t="shared" si="5"/>
        <v>0</v>
      </c>
      <c r="K42" s="28">
        <f t="shared" si="3"/>
        <v>0</v>
      </c>
      <c r="L42" s="28">
        <f t="shared" si="3"/>
        <v>0</v>
      </c>
      <c r="M42" s="28">
        <f t="shared" si="3"/>
        <v>0</v>
      </c>
      <c r="N42" s="28">
        <f t="shared" si="3"/>
        <v>0</v>
      </c>
      <c r="O42" s="18">
        <f t="shared" si="2"/>
        <v>0</v>
      </c>
    </row>
    <row r="43" spans="1:17" ht="15" x14ac:dyDescent="0.2">
      <c r="A43" s="854"/>
      <c r="B43" s="27" t="s">
        <v>154</v>
      </c>
      <c r="C43" s="28">
        <v>30000</v>
      </c>
      <c r="D43" s="28">
        <f t="shared" si="4"/>
        <v>30000</v>
      </c>
      <c r="E43" s="28">
        <f t="shared" si="3"/>
        <v>30000</v>
      </c>
      <c r="F43" s="28">
        <f t="shared" si="3"/>
        <v>30000</v>
      </c>
      <c r="G43" s="28">
        <v>30000</v>
      </c>
      <c r="H43" s="28">
        <f t="shared" si="3"/>
        <v>30000</v>
      </c>
      <c r="I43" s="28">
        <f t="shared" si="3"/>
        <v>30000</v>
      </c>
      <c r="J43" s="28">
        <f t="shared" si="5"/>
        <v>30000</v>
      </c>
      <c r="K43" s="28">
        <f t="shared" si="3"/>
        <v>30000</v>
      </c>
      <c r="L43" s="28">
        <f t="shared" si="3"/>
        <v>30000</v>
      </c>
      <c r="M43" s="28">
        <f t="shared" si="3"/>
        <v>30000</v>
      </c>
      <c r="N43" s="28">
        <f t="shared" si="3"/>
        <v>30000</v>
      </c>
      <c r="O43" s="18">
        <f t="shared" si="2"/>
        <v>360000</v>
      </c>
    </row>
    <row r="44" spans="1:17" ht="15" x14ac:dyDescent="0.2">
      <c r="A44" s="854"/>
      <c r="B44" s="27" t="s">
        <v>155</v>
      </c>
      <c r="C44" s="28">
        <v>200</v>
      </c>
      <c r="D44" s="28">
        <f t="shared" si="4"/>
        <v>200</v>
      </c>
      <c r="E44" s="28">
        <f t="shared" si="3"/>
        <v>200</v>
      </c>
      <c r="F44" s="28">
        <f t="shared" si="3"/>
        <v>200</v>
      </c>
      <c r="G44" s="28">
        <f t="shared" si="3"/>
        <v>200</v>
      </c>
      <c r="H44" s="28">
        <f t="shared" si="3"/>
        <v>200</v>
      </c>
      <c r="I44" s="28">
        <f t="shared" si="3"/>
        <v>200</v>
      </c>
      <c r="J44" s="28">
        <f t="shared" si="5"/>
        <v>200</v>
      </c>
      <c r="K44" s="28">
        <f t="shared" si="3"/>
        <v>200</v>
      </c>
      <c r="L44" s="28">
        <f t="shared" si="3"/>
        <v>200</v>
      </c>
      <c r="M44" s="28">
        <f t="shared" si="3"/>
        <v>200</v>
      </c>
      <c r="N44" s="28">
        <v>300</v>
      </c>
      <c r="O44" s="18">
        <f t="shared" si="2"/>
        <v>2500</v>
      </c>
    </row>
    <row r="45" spans="1:17" ht="15" x14ac:dyDescent="0.2">
      <c r="A45" s="854"/>
      <c r="B45" s="27" t="s">
        <v>156</v>
      </c>
      <c r="C45" s="28">
        <v>0</v>
      </c>
      <c r="D45" s="28">
        <f t="shared" si="4"/>
        <v>0</v>
      </c>
      <c r="E45" s="28">
        <f t="shared" si="3"/>
        <v>0</v>
      </c>
      <c r="F45" s="28">
        <f t="shared" si="3"/>
        <v>0</v>
      </c>
      <c r="G45" s="28">
        <f t="shared" si="3"/>
        <v>0</v>
      </c>
      <c r="H45" s="28">
        <f t="shared" si="3"/>
        <v>0</v>
      </c>
      <c r="I45" s="28">
        <f t="shared" si="3"/>
        <v>0</v>
      </c>
      <c r="J45" s="28">
        <f t="shared" si="5"/>
        <v>0</v>
      </c>
      <c r="K45" s="28">
        <f t="shared" si="3"/>
        <v>0</v>
      </c>
      <c r="L45" s="28">
        <f t="shared" si="3"/>
        <v>0</v>
      </c>
      <c r="M45" s="28">
        <f t="shared" si="3"/>
        <v>0</v>
      </c>
      <c r="N45" s="28">
        <f t="shared" si="3"/>
        <v>0</v>
      </c>
      <c r="O45" s="18">
        <f t="shared" si="2"/>
        <v>0</v>
      </c>
    </row>
    <row r="46" spans="1:17" ht="15" x14ac:dyDescent="0.2">
      <c r="A46" s="854"/>
      <c r="B46" s="27" t="s">
        <v>157</v>
      </c>
      <c r="C46" s="28">
        <v>0</v>
      </c>
      <c r="D46" s="28">
        <f t="shared" si="4"/>
        <v>0</v>
      </c>
      <c r="E46" s="28">
        <f t="shared" si="3"/>
        <v>0</v>
      </c>
      <c r="F46" s="28">
        <f t="shared" si="3"/>
        <v>0</v>
      </c>
      <c r="G46" s="28">
        <f t="shared" si="3"/>
        <v>0</v>
      </c>
      <c r="H46" s="28">
        <f t="shared" si="3"/>
        <v>0</v>
      </c>
      <c r="I46" s="28">
        <f t="shared" si="3"/>
        <v>0</v>
      </c>
      <c r="J46" s="28">
        <f t="shared" si="5"/>
        <v>0</v>
      </c>
      <c r="K46" s="28">
        <f t="shared" si="3"/>
        <v>0</v>
      </c>
      <c r="L46" s="28">
        <f t="shared" si="3"/>
        <v>0</v>
      </c>
      <c r="M46" s="28">
        <f t="shared" si="3"/>
        <v>0</v>
      </c>
      <c r="N46" s="28">
        <f t="shared" si="3"/>
        <v>0</v>
      </c>
      <c r="O46" s="18">
        <f t="shared" si="2"/>
        <v>0</v>
      </c>
    </row>
    <row r="47" spans="1:17" ht="27.75" customHeight="1" x14ac:dyDescent="0.2">
      <c r="A47" s="855"/>
      <c r="B47" s="30" t="s">
        <v>888</v>
      </c>
      <c r="C47" s="256">
        <v>0</v>
      </c>
      <c r="D47" s="256">
        <v>0</v>
      </c>
      <c r="E47" s="256">
        <v>0</v>
      </c>
      <c r="F47" s="256">
        <v>0</v>
      </c>
      <c r="G47" s="256">
        <v>0</v>
      </c>
      <c r="H47" s="256">
        <v>0</v>
      </c>
      <c r="I47" s="256">
        <v>0</v>
      </c>
      <c r="J47" s="256">
        <f t="shared" si="5"/>
        <v>0</v>
      </c>
      <c r="K47" s="256">
        <f t="shared" si="3"/>
        <v>0</v>
      </c>
      <c r="L47" s="256">
        <f t="shared" si="3"/>
        <v>0</v>
      </c>
      <c r="M47" s="256">
        <f t="shared" si="3"/>
        <v>0</v>
      </c>
      <c r="N47" s="256">
        <f t="shared" si="3"/>
        <v>0</v>
      </c>
      <c r="O47" s="31">
        <f t="shared" si="2"/>
        <v>0</v>
      </c>
    </row>
    <row r="48" spans="1:17" ht="30" x14ac:dyDescent="0.2">
      <c r="A48" s="856"/>
      <c r="B48" s="127" t="s">
        <v>889</v>
      </c>
      <c r="C48" s="293">
        <v>0</v>
      </c>
      <c r="D48" s="293">
        <v>0</v>
      </c>
      <c r="E48" s="293">
        <v>0</v>
      </c>
      <c r="F48" s="293">
        <v>0</v>
      </c>
      <c r="G48" s="293">
        <v>0</v>
      </c>
      <c r="H48" s="293">
        <v>0</v>
      </c>
      <c r="I48" s="293">
        <v>0</v>
      </c>
      <c r="J48" s="293">
        <v>0</v>
      </c>
      <c r="K48" s="293">
        <v>0</v>
      </c>
      <c r="L48" s="293">
        <v>0</v>
      </c>
      <c r="M48" s="293">
        <v>0</v>
      </c>
      <c r="N48" s="293">
        <v>0</v>
      </c>
      <c r="O48" s="31">
        <f t="shared" si="2"/>
        <v>0</v>
      </c>
    </row>
    <row r="49" spans="1:19" ht="15" x14ac:dyDescent="0.2">
      <c r="A49" s="857" t="s">
        <v>160</v>
      </c>
      <c r="B49" s="858"/>
      <c r="C49" s="33">
        <f t="shared" ref="C49:N49" si="6">SUM(C38:C48)</f>
        <v>36490</v>
      </c>
      <c r="D49" s="33">
        <f t="shared" si="6"/>
        <v>36260</v>
      </c>
      <c r="E49" s="33">
        <f t="shared" si="6"/>
        <v>36260</v>
      </c>
      <c r="F49" s="33">
        <f t="shared" si="6"/>
        <v>36260</v>
      </c>
      <c r="G49" s="33">
        <f t="shared" si="6"/>
        <v>36260</v>
      </c>
      <c r="H49" s="33">
        <f t="shared" si="6"/>
        <v>36260</v>
      </c>
      <c r="I49" s="33">
        <f t="shared" si="6"/>
        <v>36260</v>
      </c>
      <c r="J49" s="33">
        <f t="shared" si="6"/>
        <v>36260</v>
      </c>
      <c r="K49" s="33">
        <f t="shared" si="6"/>
        <v>38860</v>
      </c>
      <c r="L49" s="33">
        <f t="shared" si="6"/>
        <v>36095</v>
      </c>
      <c r="M49" s="33">
        <f t="shared" si="6"/>
        <v>36090</v>
      </c>
      <c r="N49" s="33">
        <f t="shared" si="6"/>
        <v>36190</v>
      </c>
      <c r="O49" s="34">
        <f t="shared" si="2"/>
        <v>437545</v>
      </c>
    </row>
    <row r="50" spans="1:19" ht="15.75" thickBot="1" x14ac:dyDescent="0.25">
      <c r="A50" s="859" t="s">
        <v>161</v>
      </c>
      <c r="B50" s="860"/>
      <c r="C50" s="35">
        <f t="shared" ref="C50:N50" si="7">C37-C49</f>
        <v>42884</v>
      </c>
      <c r="D50" s="35">
        <f t="shared" si="7"/>
        <v>48090</v>
      </c>
      <c r="E50" s="35">
        <f t="shared" si="7"/>
        <v>44358</v>
      </c>
      <c r="F50" s="35">
        <f t="shared" si="7"/>
        <v>44358</v>
      </c>
      <c r="G50" s="35">
        <f t="shared" si="7"/>
        <v>46716</v>
      </c>
      <c r="H50" s="35">
        <f t="shared" si="7"/>
        <v>46716</v>
      </c>
      <c r="I50" s="35">
        <f t="shared" si="7"/>
        <v>46716</v>
      </c>
      <c r="J50" s="35">
        <f t="shared" si="7"/>
        <v>58744</v>
      </c>
      <c r="K50" s="35">
        <f t="shared" si="7"/>
        <v>45396</v>
      </c>
      <c r="L50" s="35">
        <f t="shared" si="7"/>
        <v>48161</v>
      </c>
      <c r="M50" s="35">
        <f t="shared" si="7"/>
        <v>48166</v>
      </c>
      <c r="N50" s="35">
        <f t="shared" si="7"/>
        <v>48066</v>
      </c>
      <c r="O50" s="36">
        <f t="shared" si="2"/>
        <v>568371</v>
      </c>
      <c r="Q50" s="16">
        <f>24549+21949+15000+23514+6700+23634+22852+23952*2+6456+3454+25404*4+25129</f>
        <v>322757</v>
      </c>
      <c r="R50" s="38"/>
    </row>
    <row r="51" spans="1:19" x14ac:dyDescent="0.2">
      <c r="J51" s="300">
        <f>+J37-SUM(J22:J36)</f>
        <v>84256</v>
      </c>
      <c r="Q51" s="38"/>
    </row>
    <row r="52" spans="1:19" ht="13.5" thickBot="1" x14ac:dyDescent="0.25">
      <c r="J52" s="38">
        <f>+J51-J49</f>
        <v>47996</v>
      </c>
    </row>
    <row r="53" spans="1:19" ht="13.5" thickBot="1" x14ac:dyDescent="0.25">
      <c r="B53" s="789" t="s">
        <v>162</v>
      </c>
      <c r="C53" s="861"/>
      <c r="D53" s="861"/>
      <c r="E53" s="861"/>
      <c r="F53" s="862"/>
      <c r="G53" s="863">
        <f>O37</f>
        <v>1005916</v>
      </c>
      <c r="H53" s="864"/>
    </row>
    <row r="54" spans="1:19" ht="13.5" thickBot="1" x14ac:dyDescent="0.25"/>
    <row r="55" spans="1:19" x14ac:dyDescent="0.2">
      <c r="B55" s="830" t="s">
        <v>163</v>
      </c>
      <c r="C55" s="833" t="s">
        <v>164</v>
      </c>
      <c r="D55" s="836" t="s">
        <v>229</v>
      </c>
      <c r="E55" s="837"/>
      <c r="F55" s="838"/>
      <c r="G55" s="839">
        <v>40000</v>
      </c>
      <c r="H55" s="840"/>
    </row>
    <row r="56" spans="1:19" x14ac:dyDescent="0.2">
      <c r="B56" s="831"/>
      <c r="C56" s="834"/>
      <c r="D56" s="841" t="s">
        <v>166</v>
      </c>
      <c r="E56" s="842"/>
      <c r="F56" s="843"/>
      <c r="G56" s="844">
        <f>+O44</f>
        <v>2500</v>
      </c>
      <c r="H56" s="845"/>
      <c r="I56" s="39"/>
      <c r="J56" s="846"/>
      <c r="K56" s="846"/>
      <c r="L56" s="846"/>
      <c r="M56" s="847"/>
      <c r="N56" s="847"/>
      <c r="O56" s="847"/>
    </row>
    <row r="57" spans="1:19" ht="13.5" thickBot="1" x14ac:dyDescent="0.25">
      <c r="B57" s="832"/>
      <c r="C57" s="835"/>
      <c r="D57" s="848" t="s">
        <v>129</v>
      </c>
      <c r="E57" s="849"/>
      <c r="F57" s="850"/>
      <c r="G57" s="851">
        <v>0</v>
      </c>
      <c r="H57" s="852"/>
      <c r="J57" s="47"/>
      <c r="K57" s="47"/>
      <c r="L57" s="47"/>
      <c r="M57" s="47"/>
      <c r="N57" s="47"/>
      <c r="O57" s="47"/>
    </row>
    <row r="58" spans="1:19" ht="13.5" thickBot="1" x14ac:dyDescent="0.25">
      <c r="B58" s="48"/>
      <c r="J58" s="47"/>
      <c r="K58" s="47"/>
      <c r="L58" s="47"/>
      <c r="M58" s="47"/>
      <c r="N58" s="47"/>
      <c r="O58" s="47"/>
    </row>
    <row r="59" spans="1:19" ht="13.5" thickBot="1" x14ac:dyDescent="0.25">
      <c r="B59" s="789" t="s">
        <v>168</v>
      </c>
      <c r="C59" s="790"/>
      <c r="D59" s="790"/>
      <c r="E59" s="790"/>
      <c r="F59" s="791"/>
      <c r="G59" s="825">
        <f>+G53-SUM(G55:H57)</f>
        <v>963416</v>
      </c>
      <c r="H59" s="826"/>
      <c r="J59" s="827" t="s">
        <v>169</v>
      </c>
      <c r="K59" s="828"/>
      <c r="L59" s="828"/>
      <c r="M59" s="828"/>
      <c r="N59" s="828"/>
      <c r="O59" s="829"/>
    </row>
    <row r="60" spans="1:19" ht="13.5" thickBot="1" x14ac:dyDescent="0.25">
      <c r="B60" s="49"/>
      <c r="C60" s="50"/>
      <c r="D60" s="50"/>
      <c r="E60" s="50"/>
      <c r="F60" s="50"/>
      <c r="G60" s="45"/>
      <c r="H60" s="50"/>
      <c r="J60" s="129"/>
      <c r="K60" s="130"/>
      <c r="L60" s="130"/>
      <c r="M60" s="130"/>
      <c r="N60" s="130"/>
      <c r="O60" s="131"/>
    </row>
    <row r="61" spans="1:19" ht="13.5" thickBot="1" x14ac:dyDescent="0.25">
      <c r="B61" s="789" t="s">
        <v>170</v>
      </c>
      <c r="C61" s="790"/>
      <c r="D61" s="790"/>
      <c r="E61" s="790"/>
      <c r="F61" s="791"/>
      <c r="G61" s="805"/>
      <c r="H61" s="791"/>
      <c r="J61" s="129"/>
      <c r="K61" s="130"/>
      <c r="L61" s="130"/>
      <c r="M61" s="130"/>
      <c r="N61" s="130"/>
      <c r="O61" s="131"/>
    </row>
    <row r="62" spans="1:19" ht="12.75" customHeight="1" x14ac:dyDescent="0.2">
      <c r="B62" s="57" t="s">
        <v>171</v>
      </c>
      <c r="C62" s="806" t="s">
        <v>172</v>
      </c>
      <c r="D62" s="807"/>
      <c r="E62" s="807"/>
      <c r="F62" s="808"/>
      <c r="G62" s="809">
        <v>0</v>
      </c>
      <c r="H62" s="809"/>
      <c r="I62" s="58"/>
      <c r="J62" s="810" t="s">
        <v>173</v>
      </c>
      <c r="K62" s="811"/>
      <c r="L62" s="811"/>
      <c r="M62" s="811"/>
      <c r="N62" s="811"/>
      <c r="O62" s="812"/>
      <c r="Q62" s="59"/>
      <c r="R62" s="59"/>
      <c r="S62" s="59"/>
    </row>
    <row r="63" spans="1:19" ht="13.5" thickBot="1" x14ac:dyDescent="0.25">
      <c r="D63" s="37"/>
      <c r="I63" s="58"/>
      <c r="J63" s="60" t="s">
        <v>360</v>
      </c>
      <c r="K63" s="132"/>
      <c r="L63" s="132"/>
      <c r="M63" s="133"/>
      <c r="N63" s="133"/>
      <c r="O63" s="134"/>
      <c r="Q63" s="59"/>
      <c r="R63" s="59"/>
      <c r="S63" s="59"/>
    </row>
    <row r="64" spans="1:19" ht="13.5" thickBot="1" x14ac:dyDescent="0.25">
      <c r="B64" s="789" t="s">
        <v>175</v>
      </c>
      <c r="C64" s="790"/>
      <c r="D64" s="790"/>
      <c r="E64" s="790"/>
      <c r="F64" s="791"/>
      <c r="G64" s="805">
        <f>+G59-G62</f>
        <v>963416</v>
      </c>
      <c r="H64" s="791"/>
      <c r="I64" s="63"/>
      <c r="J64" s="64"/>
      <c r="K64" s="39"/>
      <c r="L64" s="39"/>
      <c r="M64" s="39"/>
      <c r="N64" s="39"/>
      <c r="O64" s="65"/>
      <c r="Q64" s="59"/>
      <c r="R64" s="59"/>
      <c r="S64" s="59"/>
    </row>
    <row r="65" spans="2:19" ht="12.75" customHeight="1" x14ac:dyDescent="0.2">
      <c r="B65" s="48"/>
      <c r="C65" s="48"/>
      <c r="I65" s="63"/>
      <c r="J65" s="64"/>
      <c r="K65" s="39"/>
      <c r="L65" s="39"/>
      <c r="M65" s="39"/>
      <c r="N65" s="39"/>
      <c r="O65" s="65"/>
      <c r="Q65" s="59"/>
      <c r="R65" s="59"/>
      <c r="S65" s="59"/>
    </row>
    <row r="66" spans="2:19" x14ac:dyDescent="0.2">
      <c r="B66" s="66" t="s">
        <v>176</v>
      </c>
      <c r="C66" s="48"/>
      <c r="I66" s="63"/>
      <c r="J66" s="67"/>
      <c r="K66" s="68"/>
      <c r="L66" s="68"/>
      <c r="M66" s="68"/>
      <c r="N66" s="68"/>
      <c r="O66" s="69"/>
      <c r="Q66" s="59"/>
      <c r="R66" s="59"/>
      <c r="S66" s="59"/>
    </row>
    <row r="67" spans="2:19" ht="26.25" customHeight="1" thickBot="1" x14ac:dyDescent="0.25">
      <c r="B67" s="66"/>
      <c r="C67" s="48"/>
      <c r="G67" s="70" t="s">
        <v>177</v>
      </c>
      <c r="H67" s="70" t="s">
        <v>178</v>
      </c>
      <c r="I67" s="63"/>
      <c r="J67" s="810" t="s">
        <v>179</v>
      </c>
      <c r="K67" s="811"/>
      <c r="L67" s="71"/>
      <c r="M67" s="71"/>
      <c r="N67" s="71"/>
      <c r="O67" s="72"/>
      <c r="Q67" s="59"/>
      <c r="R67" s="59"/>
      <c r="S67" s="59"/>
    </row>
    <row r="68" spans="2:19" ht="12.75" customHeight="1" x14ac:dyDescent="0.2">
      <c r="B68" s="802" t="s">
        <v>180</v>
      </c>
      <c r="C68" s="821" t="s">
        <v>181</v>
      </c>
      <c r="D68" s="823" t="s">
        <v>182</v>
      </c>
      <c r="E68" s="824"/>
      <c r="F68" s="824"/>
      <c r="G68" s="73">
        <f>+O43</f>
        <v>360000</v>
      </c>
      <c r="H68" s="74">
        <f>+G68</f>
        <v>360000</v>
      </c>
      <c r="I68" s="63"/>
      <c r="J68" s="75" t="s">
        <v>183</v>
      </c>
      <c r="K68" s="58"/>
      <c r="L68" s="58"/>
      <c r="M68" s="58"/>
      <c r="N68" s="58"/>
      <c r="O68" s="76"/>
      <c r="Q68" s="59"/>
      <c r="R68" s="59"/>
      <c r="S68" s="59"/>
    </row>
    <row r="69" spans="2:19" ht="12.75" customHeight="1" x14ac:dyDescent="0.2">
      <c r="B69" s="803"/>
      <c r="C69" s="822"/>
      <c r="D69" s="782" t="s">
        <v>184</v>
      </c>
      <c r="E69" s="783"/>
      <c r="F69" s="783"/>
      <c r="G69" s="77">
        <f>+O47</f>
        <v>0</v>
      </c>
      <c r="H69" s="78">
        <f t="shared" ref="H69:H75" si="8">+G69</f>
        <v>0</v>
      </c>
      <c r="I69" s="63"/>
      <c r="J69" s="79"/>
      <c r="K69" s="68"/>
      <c r="L69" s="68"/>
      <c r="M69" s="68"/>
      <c r="N69" s="68"/>
      <c r="O69" s="69"/>
      <c r="Q69" s="59"/>
      <c r="R69" s="59"/>
      <c r="S69" s="59"/>
    </row>
    <row r="70" spans="2:19" ht="12.75" customHeight="1" x14ac:dyDescent="0.2">
      <c r="B70" s="803"/>
      <c r="C70" s="822"/>
      <c r="D70" s="819" t="s">
        <v>185</v>
      </c>
      <c r="E70" s="820"/>
      <c r="F70" s="820"/>
      <c r="G70" s="80">
        <f>O40</f>
        <v>720</v>
      </c>
      <c r="H70" s="78">
        <f t="shared" si="8"/>
        <v>720</v>
      </c>
      <c r="I70" s="63"/>
      <c r="J70" s="67"/>
      <c r="K70" s="68"/>
      <c r="L70" s="68"/>
      <c r="M70" s="68"/>
      <c r="N70" s="68"/>
      <c r="O70" s="69"/>
    </row>
    <row r="71" spans="2:19" x14ac:dyDescent="0.2">
      <c r="B71" s="803"/>
      <c r="C71" s="822"/>
      <c r="D71" s="782" t="s">
        <v>186</v>
      </c>
      <c r="E71" s="783"/>
      <c r="F71" s="783"/>
      <c r="G71" s="81">
        <v>0</v>
      </c>
      <c r="H71" s="78">
        <f t="shared" si="8"/>
        <v>0</v>
      </c>
      <c r="I71" s="63"/>
      <c r="J71" s="82" t="s">
        <v>187</v>
      </c>
      <c r="K71" s="71"/>
      <c r="L71" s="71"/>
      <c r="M71" s="71"/>
      <c r="N71" s="71"/>
      <c r="O71" s="72"/>
    </row>
    <row r="72" spans="2:19" ht="12.75" customHeight="1" x14ac:dyDescent="0.2">
      <c r="B72" s="803"/>
      <c r="C72" s="822"/>
      <c r="D72" s="784" t="s">
        <v>188</v>
      </c>
      <c r="E72" s="783"/>
      <c r="F72" s="783"/>
      <c r="G72" s="80">
        <v>0</v>
      </c>
      <c r="H72" s="78">
        <f t="shared" si="8"/>
        <v>0</v>
      </c>
      <c r="I72" s="63"/>
      <c r="J72" s="75" t="s">
        <v>189</v>
      </c>
      <c r="K72" s="50"/>
      <c r="L72" s="50"/>
      <c r="M72" s="50"/>
      <c r="N72" s="50"/>
      <c r="O72" s="83">
        <v>0</v>
      </c>
    </row>
    <row r="73" spans="2:19" ht="14.25" customHeight="1" x14ac:dyDescent="0.2">
      <c r="B73" s="803"/>
      <c r="C73" s="822"/>
      <c r="D73" s="782" t="s">
        <v>190</v>
      </c>
      <c r="E73" s="783"/>
      <c r="F73" s="783"/>
      <c r="G73" s="84">
        <v>0</v>
      </c>
      <c r="H73" s="78">
        <f t="shared" si="8"/>
        <v>0</v>
      </c>
      <c r="I73" s="63"/>
      <c r="J73" s="64"/>
      <c r="K73" s="39"/>
      <c r="L73" s="39"/>
      <c r="M73" s="39"/>
      <c r="N73" s="39"/>
      <c r="O73" s="65"/>
    </row>
    <row r="74" spans="2:19" x14ac:dyDescent="0.2">
      <c r="B74" s="803"/>
      <c r="C74" s="822"/>
      <c r="D74" s="782" t="s">
        <v>191</v>
      </c>
      <c r="E74" s="783"/>
      <c r="F74" s="783"/>
      <c r="G74" s="81">
        <v>0</v>
      </c>
      <c r="H74" s="78">
        <f t="shared" si="8"/>
        <v>0</v>
      </c>
      <c r="I74" s="58"/>
      <c r="J74" s="150"/>
      <c r="K74" s="50"/>
      <c r="L74" s="50"/>
      <c r="M74" s="50"/>
      <c r="N74" s="50"/>
      <c r="O74" s="83"/>
    </row>
    <row r="75" spans="2:19" x14ac:dyDescent="0.2">
      <c r="B75" s="803"/>
      <c r="C75" s="88" t="s">
        <v>192</v>
      </c>
      <c r="D75" s="813" t="s">
        <v>193</v>
      </c>
      <c r="E75" s="814"/>
      <c r="F75" s="814"/>
      <c r="G75" s="80">
        <v>0</v>
      </c>
      <c r="H75" s="78">
        <f t="shared" si="8"/>
        <v>0</v>
      </c>
      <c r="I75" s="58"/>
      <c r="J75" s="79"/>
      <c r="K75" s="39"/>
      <c r="L75" s="39"/>
      <c r="M75" s="39"/>
      <c r="N75" s="39"/>
      <c r="O75" s="65"/>
    </row>
    <row r="76" spans="2:19" ht="13.5" customHeight="1" thickBot="1" x14ac:dyDescent="0.25">
      <c r="B76" s="803"/>
      <c r="C76" s="88" t="s">
        <v>194</v>
      </c>
      <c r="D76" s="815" t="s">
        <v>195</v>
      </c>
      <c r="E76" s="815"/>
      <c r="F76" s="815"/>
      <c r="G76" s="89">
        <v>0</v>
      </c>
      <c r="H76" s="90">
        <f>+G76</f>
        <v>0</v>
      </c>
      <c r="I76" s="63"/>
      <c r="J76" s="67"/>
      <c r="K76" s="68"/>
      <c r="L76" s="68"/>
      <c r="M76" s="91"/>
      <c r="N76" s="91"/>
      <c r="O76" s="92"/>
    </row>
    <row r="77" spans="2:19" ht="13.5" thickBot="1" x14ac:dyDescent="0.25">
      <c r="B77" s="803"/>
      <c r="C77" s="93"/>
      <c r="D77" s="94"/>
      <c r="E77" s="816" t="s">
        <v>117</v>
      </c>
      <c r="F77" s="817"/>
      <c r="G77" s="95">
        <f>SUM(G68:G76)</f>
        <v>360720</v>
      </c>
      <c r="H77" s="96">
        <f>IF(SUM(G68:G74)&lt;150000,SUM(G68:G74),150000)+IF(+G75&lt;20000,+G75,20000)</f>
        <v>150000</v>
      </c>
      <c r="I77" s="63"/>
      <c r="J77" s="140"/>
      <c r="K77" s="141"/>
      <c r="L77" s="141"/>
      <c r="M77" s="142"/>
      <c r="N77" s="142"/>
      <c r="O77" s="143"/>
    </row>
    <row r="78" spans="2:19" ht="12.75" customHeight="1" x14ac:dyDescent="0.2">
      <c r="B78" s="803"/>
      <c r="C78" s="100" t="s">
        <v>196</v>
      </c>
      <c r="D78" s="782" t="s">
        <v>187</v>
      </c>
      <c r="E78" s="783"/>
      <c r="F78" s="818"/>
      <c r="G78" s="73">
        <v>18603</v>
      </c>
      <c r="H78" s="221">
        <f>+IF(+G78&lt;25000,+G78,25000)</f>
        <v>18603</v>
      </c>
      <c r="I78" s="87"/>
    </row>
    <row r="79" spans="2:19" x14ac:dyDescent="0.2">
      <c r="B79" s="803"/>
      <c r="C79" s="100" t="s">
        <v>197</v>
      </c>
      <c r="D79" s="784" t="s">
        <v>198</v>
      </c>
      <c r="E79" s="785"/>
      <c r="F79" s="786"/>
      <c r="G79" s="102"/>
      <c r="H79" s="222">
        <f>+IF(+G79&lt;40000,+G79,40000)</f>
        <v>0</v>
      </c>
      <c r="I79" s="63"/>
    </row>
    <row r="80" spans="2:19" x14ac:dyDescent="0.2">
      <c r="B80" s="803"/>
      <c r="C80" s="100" t="s">
        <v>199</v>
      </c>
      <c r="D80" s="784" t="s">
        <v>200</v>
      </c>
      <c r="E80" s="785"/>
      <c r="F80" s="786"/>
      <c r="G80" s="81"/>
      <c r="H80" s="104">
        <v>0</v>
      </c>
      <c r="I80" s="63"/>
      <c r="J80" s="106"/>
    </row>
    <row r="81" spans="2:11" x14ac:dyDescent="0.2">
      <c r="B81" s="803"/>
      <c r="C81" s="100" t="s">
        <v>201</v>
      </c>
      <c r="D81" s="784" t="s">
        <v>202</v>
      </c>
      <c r="E81" s="785"/>
      <c r="F81" s="786"/>
      <c r="G81" s="81"/>
      <c r="H81" s="104">
        <v>0</v>
      </c>
      <c r="I81" s="63"/>
    </row>
    <row r="82" spans="2:11" ht="13.5" thickBot="1" x14ac:dyDescent="0.25">
      <c r="B82" s="804"/>
      <c r="C82" s="100" t="s">
        <v>203</v>
      </c>
      <c r="D82" s="784" t="s">
        <v>204</v>
      </c>
      <c r="E82" s="785"/>
      <c r="F82" s="786"/>
      <c r="G82" s="102"/>
      <c r="H82" s="222">
        <f>+IF(+G82&lt;100000,+G82,10000)</f>
        <v>0</v>
      </c>
      <c r="I82" s="63"/>
    </row>
    <row r="83" spans="2:11" ht="13.5" thickBot="1" x14ac:dyDescent="0.25">
      <c r="B83" s="787" t="s">
        <v>205</v>
      </c>
      <c r="C83" s="788"/>
      <c r="D83" s="788"/>
      <c r="E83" s="788"/>
      <c r="F83" s="788"/>
      <c r="G83" s="107">
        <f>SUM(G78:G82)</f>
        <v>18603</v>
      </c>
      <c r="H83" s="108">
        <f>SUM(H77:H82)</f>
        <v>168603</v>
      </c>
    </row>
    <row r="84" spans="2:11" ht="13.5" thickBot="1" x14ac:dyDescent="0.25"/>
    <row r="85" spans="2:11" ht="13.5" thickBot="1" x14ac:dyDescent="0.25">
      <c r="B85" s="789" t="s">
        <v>206</v>
      </c>
      <c r="C85" s="790"/>
      <c r="D85" s="790"/>
      <c r="E85" s="790"/>
      <c r="F85" s="791"/>
      <c r="G85" s="1055">
        <f>ROUND(+G64-H83,-1)</f>
        <v>794810</v>
      </c>
      <c r="H85" s="1056"/>
      <c r="J85" s="251">
        <f>C37+D37+E37+F37</f>
        <v>324960</v>
      </c>
      <c r="K85" s="16" t="s">
        <v>235</v>
      </c>
    </row>
    <row r="86" spans="2:11" x14ac:dyDescent="0.2">
      <c r="B86" s="110"/>
      <c r="F86" s="105"/>
      <c r="J86" s="251">
        <f>G37+H37+I37</f>
        <v>248928</v>
      </c>
      <c r="K86" s="16" t="s">
        <v>236</v>
      </c>
    </row>
    <row r="87" spans="2:11" x14ac:dyDescent="0.2">
      <c r="C87" s="793" t="s">
        <v>207</v>
      </c>
      <c r="D87" s="794"/>
      <c r="E87" s="111" t="s">
        <v>208</v>
      </c>
      <c r="F87" s="111" t="s">
        <v>209</v>
      </c>
      <c r="G87" s="111" t="s">
        <v>210</v>
      </c>
      <c r="H87" s="111" t="s">
        <v>211</v>
      </c>
      <c r="J87" s="251">
        <f>J37+K37+L37</f>
        <v>263516</v>
      </c>
      <c r="K87" s="47" t="s">
        <v>237</v>
      </c>
    </row>
    <row r="88" spans="2:11" x14ac:dyDescent="0.2">
      <c r="C88" s="795" t="str">
        <f>IF(I6="M","0          - 250000","0          -  250000")</f>
        <v>0          -  250000</v>
      </c>
      <c r="D88" s="796"/>
      <c r="E88" s="112">
        <v>0</v>
      </c>
      <c r="F88" s="113">
        <f>IF(I6="M",(IF(G85&lt;250000,G85,250000)),(IF(G85&lt;250000,G85,250000)))</f>
        <v>250000</v>
      </c>
      <c r="G88" s="113">
        <f>G85-F88</f>
        <v>544810</v>
      </c>
      <c r="H88" s="113">
        <f>E88*F88</f>
        <v>0</v>
      </c>
      <c r="J88" s="16">
        <f>M37+N37</f>
        <v>168512</v>
      </c>
      <c r="K88" s="1" t="s">
        <v>238</v>
      </c>
    </row>
    <row r="89" spans="2:11" x14ac:dyDescent="0.2">
      <c r="C89" s="795" t="str">
        <f>IF(I6="M","250001 - 500000","250001-500000")</f>
        <v>250001-500000</v>
      </c>
      <c r="D89" s="796"/>
      <c r="E89" s="112">
        <v>0.05</v>
      </c>
      <c r="F89" s="113">
        <f>IF(I6="M",(IF(G88&lt;250000,G88,250000)),(IF(G88&lt;250000,G88,250000)))</f>
        <v>250000</v>
      </c>
      <c r="G89" s="113">
        <f>G88-F89</f>
        <v>294810</v>
      </c>
      <c r="H89" s="114">
        <f>ROUND(E89*F89,0.1)</f>
        <v>12500</v>
      </c>
      <c r="J89" s="115">
        <f>SUM(J85:J88)</f>
        <v>1005916</v>
      </c>
    </row>
    <row r="90" spans="2:11" x14ac:dyDescent="0.2">
      <c r="C90" s="797" t="s">
        <v>212</v>
      </c>
      <c r="D90" s="798"/>
      <c r="E90" s="112">
        <v>0.2</v>
      </c>
      <c r="F90" s="113">
        <f>IF(G89&lt;500000,G89,500000)</f>
        <v>294810</v>
      </c>
      <c r="G90" s="113">
        <f>G89-F90</f>
        <v>0</v>
      </c>
      <c r="H90" s="114">
        <f>ROUND(E90*F90,0.1)</f>
        <v>58962</v>
      </c>
      <c r="J90" s="16">
        <f>+G85</f>
        <v>794810</v>
      </c>
    </row>
    <row r="91" spans="2:11" x14ac:dyDescent="0.2">
      <c r="C91" s="795" t="s">
        <v>213</v>
      </c>
      <c r="D91" s="796"/>
      <c r="E91" s="112">
        <v>0.3</v>
      </c>
      <c r="F91" s="113">
        <f>G90</f>
        <v>0</v>
      </c>
      <c r="G91" s="113">
        <f>G90-F91</f>
        <v>0</v>
      </c>
      <c r="H91" s="114">
        <f>ROUND(E91*F91,0.1)</f>
        <v>0</v>
      </c>
      <c r="J91" s="16">
        <f>+J89-J90</f>
        <v>211106</v>
      </c>
      <c r="K91" s="1"/>
    </row>
    <row r="92" spans="2:11" ht="12.75" customHeight="1" thickBot="1" x14ac:dyDescent="0.25">
      <c r="B92" s="116"/>
      <c r="C92" s="117"/>
      <c r="D92" s="47"/>
      <c r="E92" s="47"/>
      <c r="F92" s="47"/>
      <c r="J92" s="87"/>
      <c r="K92" s="118"/>
    </row>
    <row r="93" spans="2:11" ht="14.25" customHeight="1" thickBot="1" x14ac:dyDescent="0.25">
      <c r="B93" s="799" t="s">
        <v>239</v>
      </c>
      <c r="C93" s="800"/>
      <c r="D93" s="800"/>
      <c r="E93" s="800"/>
      <c r="F93" s="801"/>
      <c r="G93" s="771">
        <f>H88+H89+H90+H91</f>
        <v>71462</v>
      </c>
      <c r="H93" s="772"/>
    </row>
    <row r="94" spans="2:11" ht="14.25" customHeight="1" thickBot="1" x14ac:dyDescent="0.25">
      <c r="B94" s="119" t="s">
        <v>215</v>
      </c>
      <c r="C94" s="120"/>
      <c r="D94" s="120"/>
      <c r="E94" s="120"/>
      <c r="F94" s="120"/>
      <c r="G94" s="884">
        <f>IF((G64&lt;500000),5000,0)</f>
        <v>0</v>
      </c>
      <c r="H94" s="885">
        <f>IF(H92&lt;200000,0,IF(H92&lt;220000,((H92-200000)*10%),IF(H92&lt;=500000,2000,IF(H92&gt;=500000,0))))</f>
        <v>0</v>
      </c>
    </row>
    <row r="95" spans="2:11" ht="14.25" customHeight="1" thickBot="1" x14ac:dyDescent="0.25">
      <c r="B95" s="122" t="s">
        <v>216</v>
      </c>
      <c r="C95" s="123"/>
      <c r="D95" s="123"/>
      <c r="E95" s="123"/>
      <c r="F95" s="123"/>
      <c r="G95" s="771">
        <f>IF((G93-G94)&lt;0,0,(G93-G94))</f>
        <v>71462</v>
      </c>
      <c r="H95" s="772"/>
    </row>
    <row r="96" spans="2:11" ht="14.25" customHeight="1" thickBot="1" x14ac:dyDescent="0.25">
      <c r="B96" s="773" t="s">
        <v>240</v>
      </c>
      <c r="C96" s="774"/>
      <c r="D96" s="774"/>
      <c r="E96" s="774"/>
      <c r="F96" s="775"/>
      <c r="G96" s="776">
        <f>ROUND((IF(G95&gt;0,(G95*4%),0)),0)</f>
        <v>2858</v>
      </c>
      <c r="H96" s="777"/>
    </row>
    <row r="97" spans="2:9" ht="14.25" customHeight="1" thickBot="1" x14ac:dyDescent="0.25">
      <c r="B97" s="778" t="s">
        <v>218</v>
      </c>
      <c r="C97" s="779"/>
      <c r="D97" s="779"/>
      <c r="E97" s="779"/>
      <c r="F97" s="779"/>
      <c r="G97" s="780">
        <f>+G95+G96</f>
        <v>74320</v>
      </c>
      <c r="H97" s="781"/>
    </row>
    <row r="98" spans="2:9" ht="13.5" thickBot="1" x14ac:dyDescent="0.25">
      <c r="B98" s="765" t="s">
        <v>219</v>
      </c>
      <c r="C98" s="766"/>
      <c r="D98" s="766"/>
      <c r="E98" s="766"/>
      <c r="F98" s="766"/>
      <c r="G98" s="767">
        <f>O38</f>
        <v>74325</v>
      </c>
      <c r="H98" s="768"/>
    </row>
    <row r="99" spans="2:9" ht="13.5" thickBot="1" x14ac:dyDescent="0.25">
      <c r="B99" s="765" t="str">
        <f>IF(G99&gt;0,"TAX PAYABLE","TAX REFUND")</f>
        <v>TAX REFUND</v>
      </c>
      <c r="C99" s="766"/>
      <c r="D99" s="766"/>
      <c r="E99" s="766"/>
      <c r="F99" s="766"/>
      <c r="G99" s="767">
        <f>+G97-G98</f>
        <v>-5</v>
      </c>
      <c r="H99" s="768"/>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c r="I106" s="121"/>
    </row>
    <row r="107" spans="2:9"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0:F90">
    <cfRule type="cellIs" dxfId="1677" priority="155" stopIfTrue="1" operator="equal">
      <formula>"TAX PAYABLE"</formula>
    </cfRule>
    <cfRule type="cellIs" dxfId="1676" priority="156" stopIfTrue="1" operator="equal">
      <formula>"TAX REFUND"</formula>
    </cfRule>
  </conditionalFormatting>
  <conditionalFormatting sqref="G90:H90">
    <cfRule type="cellIs" dxfId="1675" priority="157" stopIfTrue="1" operator="lessThan">
      <formula>0</formula>
    </cfRule>
    <cfRule type="cellIs" dxfId="1674" priority="158" stopIfTrue="1" operator="greaterThan">
      <formula>0</formula>
    </cfRule>
  </conditionalFormatting>
  <conditionalFormatting sqref="C90:F90">
    <cfRule type="cellIs" dxfId="1673" priority="153" stopIfTrue="1" operator="equal">
      <formula>"TAX PAYABLE"</formula>
    </cfRule>
    <cfRule type="cellIs" dxfId="1672" priority="154" stopIfTrue="1" operator="equal">
      <formula>"TAX REFUND"</formula>
    </cfRule>
  </conditionalFormatting>
  <conditionalFormatting sqref="G90:H90">
    <cfRule type="cellIs" dxfId="1671" priority="151" stopIfTrue="1" operator="lessThan">
      <formula>0</formula>
    </cfRule>
    <cfRule type="cellIs" dxfId="1670" priority="152" stopIfTrue="1" operator="greaterThan">
      <formula>0</formula>
    </cfRule>
  </conditionalFormatting>
  <conditionalFormatting sqref="B97:F97">
    <cfRule type="cellIs" dxfId="1669" priority="149" stopIfTrue="1" operator="equal">
      <formula>"TAX PAYABLE"</formula>
    </cfRule>
    <cfRule type="cellIs" dxfId="1668" priority="150" stopIfTrue="1" operator="equal">
      <formula>"TAX REFUND"</formula>
    </cfRule>
  </conditionalFormatting>
  <conditionalFormatting sqref="B99:F99 B93:F96">
    <cfRule type="cellIs" dxfId="1667" priority="147" stopIfTrue="1" operator="equal">
      <formula>"TAX PAYABLE"</formula>
    </cfRule>
    <cfRule type="cellIs" dxfId="1666" priority="148" stopIfTrue="1" operator="equal">
      <formula>"TAX REFUND"</formula>
    </cfRule>
  </conditionalFormatting>
  <conditionalFormatting sqref="G99:H99">
    <cfRule type="cellIs" dxfId="1665" priority="145" stopIfTrue="1" operator="greaterThan">
      <formula>0</formula>
    </cfRule>
    <cfRule type="cellIs" dxfId="1664" priority="146" stopIfTrue="1" operator="lessThanOrEqual">
      <formula>0</formula>
    </cfRule>
  </conditionalFormatting>
  <conditionalFormatting sqref="B93:F94">
    <cfRule type="cellIs" dxfId="1663" priority="143" stopIfTrue="1" operator="equal">
      <formula>"TAX PAYABLE"</formula>
    </cfRule>
    <cfRule type="cellIs" dxfId="1662" priority="144" stopIfTrue="1" operator="equal">
      <formula>"TAX REFUND"</formula>
    </cfRule>
  </conditionalFormatting>
  <conditionalFormatting sqref="B93:F93">
    <cfRule type="cellIs" dxfId="1661" priority="141" stopIfTrue="1" operator="equal">
      <formula>"TAX PAYABLE"</formula>
    </cfRule>
    <cfRule type="cellIs" dxfId="1660" priority="142" stopIfTrue="1" operator="equal">
      <formula>"TAX REFUND"</formula>
    </cfRule>
  </conditionalFormatting>
  <conditionalFormatting sqref="B93:F94">
    <cfRule type="cellIs" dxfId="1659" priority="139" stopIfTrue="1" operator="equal">
      <formula>"TAX PAYABLE"</formula>
    </cfRule>
    <cfRule type="cellIs" dxfId="1658" priority="140" stopIfTrue="1" operator="equal">
      <formula>"TAX REFUND"</formula>
    </cfRule>
  </conditionalFormatting>
  <conditionalFormatting sqref="B93:F94">
    <cfRule type="cellIs" dxfId="1657" priority="137" stopIfTrue="1" operator="equal">
      <formula>"TAX PAYABLE"</formula>
    </cfRule>
    <cfRule type="cellIs" dxfId="1656" priority="138" stopIfTrue="1" operator="equal">
      <formula>"TAX REFUND"</formula>
    </cfRule>
  </conditionalFormatting>
  <conditionalFormatting sqref="B93:F94">
    <cfRule type="cellIs" dxfId="1655" priority="135" stopIfTrue="1" operator="equal">
      <formula>"TAX PAYABLE"</formula>
    </cfRule>
    <cfRule type="cellIs" dxfId="1654" priority="136" stopIfTrue="1" operator="equal">
      <formula>"TAX REFUND"</formula>
    </cfRule>
  </conditionalFormatting>
  <conditionalFormatting sqref="B97:F97">
    <cfRule type="cellIs" dxfId="1653" priority="133" stopIfTrue="1" operator="equal">
      <formula>"TAX PAYABLE"</formula>
    </cfRule>
    <cfRule type="cellIs" dxfId="1652" priority="134" stopIfTrue="1" operator="equal">
      <formula>"TAX REFUND"</formula>
    </cfRule>
  </conditionalFormatting>
  <conditionalFormatting sqref="B93:F93">
    <cfRule type="cellIs" dxfId="1651" priority="131" stopIfTrue="1" operator="equal">
      <formula>"TAX PAYABLE"</formula>
    </cfRule>
    <cfRule type="cellIs" dxfId="1650" priority="132" stopIfTrue="1" operator="equal">
      <formula>"TAX REFUND"</formula>
    </cfRule>
  </conditionalFormatting>
  <conditionalFormatting sqref="B93:F94">
    <cfRule type="cellIs" dxfId="1649" priority="129" stopIfTrue="1" operator="equal">
      <formula>"TAX PAYABLE"</formula>
    </cfRule>
    <cfRule type="cellIs" dxfId="1648" priority="130" stopIfTrue="1" operator="equal">
      <formula>"TAX REFUND"</formula>
    </cfRule>
  </conditionalFormatting>
  <conditionalFormatting sqref="B93:F94">
    <cfRule type="cellIs" dxfId="1647" priority="127" stopIfTrue="1" operator="equal">
      <formula>"TAX PAYABLE"</formula>
    </cfRule>
    <cfRule type="cellIs" dxfId="1646" priority="128" stopIfTrue="1" operator="equal">
      <formula>"TAX REFUND"</formula>
    </cfRule>
  </conditionalFormatting>
  <conditionalFormatting sqref="B93:F94">
    <cfRule type="cellIs" dxfId="1645" priority="125" stopIfTrue="1" operator="equal">
      <formula>"TAX PAYABLE"</formula>
    </cfRule>
    <cfRule type="cellIs" dxfId="1644" priority="126" stopIfTrue="1" operator="equal">
      <formula>"TAX REFUND"</formula>
    </cfRule>
  </conditionalFormatting>
  <conditionalFormatting sqref="B97:F97">
    <cfRule type="cellIs" dxfId="1643" priority="123" stopIfTrue="1" operator="equal">
      <formula>"TAX PAYABLE"</formula>
    </cfRule>
    <cfRule type="cellIs" dxfId="1642" priority="124" stopIfTrue="1" operator="equal">
      <formula>"TAX REFUND"</formula>
    </cfRule>
  </conditionalFormatting>
  <conditionalFormatting sqref="B93:F94 B99:F99">
    <cfRule type="cellIs" dxfId="1641" priority="121" stopIfTrue="1" operator="equal">
      <formula>"TAX PAYABLE"</formula>
    </cfRule>
    <cfRule type="cellIs" dxfId="1640" priority="122" stopIfTrue="1" operator="equal">
      <formula>"TAX REFUND"</formula>
    </cfRule>
  </conditionalFormatting>
  <conditionalFormatting sqref="G99:H99">
    <cfRule type="cellIs" dxfId="1639" priority="119" stopIfTrue="1" operator="greaterThan">
      <formula>0</formula>
    </cfRule>
    <cfRule type="cellIs" dxfId="1638" priority="120" stopIfTrue="1" operator="lessThanOrEqual">
      <formula>0</formula>
    </cfRule>
  </conditionalFormatting>
  <conditionalFormatting sqref="B99:F99 B93:F96">
    <cfRule type="cellIs" dxfId="1637" priority="117" stopIfTrue="1" operator="equal">
      <formula>"TAX PAYABLE"</formula>
    </cfRule>
    <cfRule type="cellIs" dxfId="1636" priority="118" stopIfTrue="1" operator="equal">
      <formula>"TAX REFUND"</formula>
    </cfRule>
  </conditionalFormatting>
  <conditionalFormatting sqref="G99:H99">
    <cfRule type="cellIs" dxfId="1635" priority="115" stopIfTrue="1" operator="greaterThan">
      <formula>0</formula>
    </cfRule>
    <cfRule type="cellIs" dxfId="1634" priority="116" stopIfTrue="1" operator="lessThanOrEqual">
      <formula>0</formula>
    </cfRule>
  </conditionalFormatting>
  <conditionalFormatting sqref="B90:F90">
    <cfRule type="cellIs" dxfId="1633" priority="113" stopIfTrue="1" operator="equal">
      <formula>"TAX PAYABLE"</formula>
    </cfRule>
    <cfRule type="cellIs" dxfId="1632" priority="114" stopIfTrue="1" operator="equal">
      <formula>"TAX REFUND"</formula>
    </cfRule>
  </conditionalFormatting>
  <conditionalFormatting sqref="G90:H90">
    <cfRule type="cellIs" dxfId="1631" priority="111" stopIfTrue="1" operator="lessThan">
      <formula>0</formula>
    </cfRule>
    <cfRule type="cellIs" dxfId="1630" priority="112" stopIfTrue="1" operator="greaterThan">
      <formula>0</formula>
    </cfRule>
  </conditionalFormatting>
  <conditionalFormatting sqref="B90:F90">
    <cfRule type="cellIs" dxfId="1629" priority="109" stopIfTrue="1" operator="equal">
      <formula>"TAX PAYABLE"</formula>
    </cfRule>
    <cfRule type="cellIs" dxfId="1628" priority="110" stopIfTrue="1" operator="equal">
      <formula>"TAX REFUND"</formula>
    </cfRule>
  </conditionalFormatting>
  <conditionalFormatting sqref="G90:H90">
    <cfRule type="cellIs" dxfId="1627" priority="107" stopIfTrue="1" operator="lessThan">
      <formula>0</formula>
    </cfRule>
    <cfRule type="cellIs" dxfId="1626" priority="108" stopIfTrue="1" operator="greaterThan">
      <formula>0</formula>
    </cfRule>
  </conditionalFormatting>
  <conditionalFormatting sqref="B90:F90">
    <cfRule type="cellIs" dxfId="1625" priority="105" stopIfTrue="1" operator="equal">
      <formula>"TAX PAYABLE"</formula>
    </cfRule>
    <cfRule type="cellIs" dxfId="1624" priority="106" stopIfTrue="1" operator="equal">
      <formula>"TAX REFUND"</formula>
    </cfRule>
  </conditionalFormatting>
  <conditionalFormatting sqref="G90:H90">
    <cfRule type="cellIs" dxfId="1623" priority="103" stopIfTrue="1" operator="lessThan">
      <formula>0</formula>
    </cfRule>
    <cfRule type="cellIs" dxfId="1622" priority="104" stopIfTrue="1" operator="greaterThan">
      <formula>0</formula>
    </cfRule>
  </conditionalFormatting>
  <conditionalFormatting sqref="C90:F90">
    <cfRule type="cellIs" dxfId="1621" priority="101" stopIfTrue="1" operator="equal">
      <formula>"TAX PAYABLE"</formula>
    </cfRule>
    <cfRule type="cellIs" dxfId="1620" priority="102" stopIfTrue="1" operator="equal">
      <formula>"TAX REFUND"</formula>
    </cfRule>
  </conditionalFormatting>
  <conditionalFormatting sqref="G90:H90">
    <cfRule type="cellIs" dxfId="1619" priority="99" stopIfTrue="1" operator="lessThan">
      <formula>0</formula>
    </cfRule>
    <cfRule type="cellIs" dxfId="1618" priority="100" stopIfTrue="1" operator="greaterThan">
      <formula>0</formula>
    </cfRule>
  </conditionalFormatting>
  <conditionalFormatting sqref="B97:F97">
    <cfRule type="cellIs" dxfId="1617" priority="97" stopIfTrue="1" operator="equal">
      <formula>"TAX PAYABLE"</formula>
    </cfRule>
    <cfRule type="cellIs" dxfId="1616" priority="98" stopIfTrue="1" operator="equal">
      <formula>"TAX REFUND"</formula>
    </cfRule>
  </conditionalFormatting>
  <conditionalFormatting sqref="B99:F99 B93:F96">
    <cfRule type="cellIs" dxfId="1615" priority="95" stopIfTrue="1" operator="equal">
      <formula>"TAX PAYABLE"</formula>
    </cfRule>
    <cfRule type="cellIs" dxfId="1614" priority="96" stopIfTrue="1" operator="equal">
      <formula>"TAX REFUND"</formula>
    </cfRule>
  </conditionalFormatting>
  <conditionalFormatting sqref="G99:H99">
    <cfRule type="cellIs" dxfId="1613" priority="93" stopIfTrue="1" operator="greaterThan">
      <formula>0</formula>
    </cfRule>
    <cfRule type="cellIs" dxfId="1612" priority="94" stopIfTrue="1" operator="lessThanOrEqual">
      <formula>0</formula>
    </cfRule>
  </conditionalFormatting>
  <conditionalFormatting sqref="B93:F94">
    <cfRule type="cellIs" dxfId="1611" priority="91" stopIfTrue="1" operator="equal">
      <formula>"TAX PAYABLE"</formula>
    </cfRule>
    <cfRule type="cellIs" dxfId="1610" priority="92" stopIfTrue="1" operator="equal">
      <formula>"TAX REFUND"</formula>
    </cfRule>
  </conditionalFormatting>
  <conditionalFormatting sqref="B93:F93">
    <cfRule type="cellIs" dxfId="1609" priority="89" stopIfTrue="1" operator="equal">
      <formula>"TAX PAYABLE"</formula>
    </cfRule>
    <cfRule type="cellIs" dxfId="1608" priority="90" stopIfTrue="1" operator="equal">
      <formula>"TAX REFUND"</formula>
    </cfRule>
  </conditionalFormatting>
  <conditionalFormatting sqref="B93:F94">
    <cfRule type="cellIs" dxfId="1607" priority="87" stopIfTrue="1" operator="equal">
      <formula>"TAX PAYABLE"</formula>
    </cfRule>
    <cfRule type="cellIs" dxfId="1606" priority="88" stopIfTrue="1" operator="equal">
      <formula>"TAX REFUND"</formula>
    </cfRule>
  </conditionalFormatting>
  <conditionalFormatting sqref="B93:F94">
    <cfRule type="cellIs" dxfId="1605" priority="85" stopIfTrue="1" operator="equal">
      <formula>"TAX PAYABLE"</formula>
    </cfRule>
    <cfRule type="cellIs" dxfId="1604" priority="86" stopIfTrue="1" operator="equal">
      <formula>"TAX REFUND"</formula>
    </cfRule>
  </conditionalFormatting>
  <conditionalFormatting sqref="B93:F94">
    <cfRule type="cellIs" dxfId="1603" priority="83" stopIfTrue="1" operator="equal">
      <formula>"TAX PAYABLE"</formula>
    </cfRule>
    <cfRule type="cellIs" dxfId="1602" priority="84" stopIfTrue="1" operator="equal">
      <formula>"TAX REFUND"</formula>
    </cfRule>
  </conditionalFormatting>
  <conditionalFormatting sqref="B97:F97">
    <cfRule type="cellIs" dxfId="1601" priority="81" stopIfTrue="1" operator="equal">
      <formula>"TAX PAYABLE"</formula>
    </cfRule>
    <cfRule type="cellIs" dxfId="1600" priority="82" stopIfTrue="1" operator="equal">
      <formula>"TAX REFUND"</formula>
    </cfRule>
  </conditionalFormatting>
  <conditionalFormatting sqref="B93:F93">
    <cfRule type="cellIs" dxfId="1599" priority="79" stopIfTrue="1" operator="equal">
      <formula>"TAX PAYABLE"</formula>
    </cfRule>
    <cfRule type="cellIs" dxfId="1598" priority="80" stopIfTrue="1" operator="equal">
      <formula>"TAX REFUND"</formula>
    </cfRule>
  </conditionalFormatting>
  <conditionalFormatting sqref="B93:F94">
    <cfRule type="cellIs" dxfId="1597" priority="77" stopIfTrue="1" operator="equal">
      <formula>"TAX PAYABLE"</formula>
    </cfRule>
    <cfRule type="cellIs" dxfId="1596" priority="78" stopIfTrue="1" operator="equal">
      <formula>"TAX REFUND"</formula>
    </cfRule>
  </conditionalFormatting>
  <conditionalFormatting sqref="B93:F94">
    <cfRule type="cellIs" dxfId="1595" priority="75" stopIfTrue="1" operator="equal">
      <formula>"TAX PAYABLE"</formula>
    </cfRule>
    <cfRule type="cellIs" dxfId="1594" priority="76" stopIfTrue="1" operator="equal">
      <formula>"TAX REFUND"</formula>
    </cfRule>
  </conditionalFormatting>
  <conditionalFormatting sqref="B93:F94">
    <cfRule type="cellIs" dxfId="1593" priority="73" stopIfTrue="1" operator="equal">
      <formula>"TAX PAYABLE"</formula>
    </cfRule>
    <cfRule type="cellIs" dxfId="1592" priority="74" stopIfTrue="1" operator="equal">
      <formula>"TAX REFUND"</formula>
    </cfRule>
  </conditionalFormatting>
  <conditionalFormatting sqref="B97:F97">
    <cfRule type="cellIs" dxfId="1591" priority="71" stopIfTrue="1" operator="equal">
      <formula>"TAX PAYABLE"</formula>
    </cfRule>
    <cfRule type="cellIs" dxfId="1590" priority="72" stopIfTrue="1" operator="equal">
      <formula>"TAX REFUND"</formula>
    </cfRule>
  </conditionalFormatting>
  <conditionalFormatting sqref="B93:F94 B99:F99">
    <cfRule type="cellIs" dxfId="1589" priority="69" stopIfTrue="1" operator="equal">
      <formula>"TAX PAYABLE"</formula>
    </cfRule>
    <cfRule type="cellIs" dxfId="1588" priority="70" stopIfTrue="1" operator="equal">
      <formula>"TAX REFUND"</formula>
    </cfRule>
  </conditionalFormatting>
  <conditionalFormatting sqref="G99:H99">
    <cfRule type="cellIs" dxfId="1587" priority="67" stopIfTrue="1" operator="greaterThan">
      <formula>0</formula>
    </cfRule>
    <cfRule type="cellIs" dxfId="1586" priority="68" stopIfTrue="1" operator="lessThanOrEqual">
      <formula>0</formula>
    </cfRule>
  </conditionalFormatting>
  <conditionalFormatting sqref="B99:F99 B93:F96">
    <cfRule type="cellIs" dxfId="1585" priority="65" stopIfTrue="1" operator="equal">
      <formula>"TAX PAYABLE"</formula>
    </cfRule>
    <cfRule type="cellIs" dxfId="1584" priority="66" stopIfTrue="1" operator="equal">
      <formula>"TAX REFUND"</formula>
    </cfRule>
  </conditionalFormatting>
  <conditionalFormatting sqref="G99:H99">
    <cfRule type="cellIs" dxfId="1583" priority="63" stopIfTrue="1" operator="greaterThan">
      <formula>0</formula>
    </cfRule>
    <cfRule type="cellIs" dxfId="1582" priority="64" stopIfTrue="1" operator="lessThanOrEqual">
      <formula>0</formula>
    </cfRule>
  </conditionalFormatting>
  <conditionalFormatting sqref="B90:F90">
    <cfRule type="cellIs" dxfId="1581" priority="61" stopIfTrue="1" operator="equal">
      <formula>"TAX PAYABLE"</formula>
    </cfRule>
    <cfRule type="cellIs" dxfId="1580" priority="62" stopIfTrue="1" operator="equal">
      <formula>"TAX REFUND"</formula>
    </cfRule>
  </conditionalFormatting>
  <conditionalFormatting sqref="B94:F94">
    <cfRule type="cellIs" dxfId="1579" priority="59" stopIfTrue="1" operator="equal">
      <formula>"TAX PAYABLE"</formula>
    </cfRule>
    <cfRule type="cellIs" dxfId="1578" priority="60" stopIfTrue="1" operator="equal">
      <formula>"TAX REFUND"</formula>
    </cfRule>
  </conditionalFormatting>
  <conditionalFormatting sqref="B94:F94">
    <cfRule type="cellIs" dxfId="1577" priority="57" stopIfTrue="1" operator="equal">
      <formula>"TAX PAYABLE"</formula>
    </cfRule>
    <cfRule type="cellIs" dxfId="1576" priority="58" stopIfTrue="1" operator="equal">
      <formula>"TAX REFUND"</formula>
    </cfRule>
  </conditionalFormatting>
  <conditionalFormatting sqref="B94:F94">
    <cfRule type="cellIs" dxfId="1575" priority="55" stopIfTrue="1" operator="equal">
      <formula>"TAX PAYABLE"</formula>
    </cfRule>
    <cfRule type="cellIs" dxfId="1574" priority="56" stopIfTrue="1" operator="equal">
      <formula>"TAX REFUND"</formula>
    </cfRule>
  </conditionalFormatting>
  <conditionalFormatting sqref="B94:F94">
    <cfRule type="cellIs" dxfId="1573" priority="53" stopIfTrue="1" operator="equal">
      <formula>"TAX PAYABLE"</formula>
    </cfRule>
    <cfRule type="cellIs" dxfId="1572" priority="54" stopIfTrue="1" operator="equal">
      <formula>"TAX REFUND"</formula>
    </cfRule>
  </conditionalFormatting>
  <conditionalFormatting sqref="B94:F94">
    <cfRule type="cellIs" dxfId="1571" priority="51" stopIfTrue="1" operator="equal">
      <formula>"TAX PAYABLE"</formula>
    </cfRule>
    <cfRule type="cellIs" dxfId="1570" priority="52" stopIfTrue="1" operator="equal">
      <formula>"TAX REFUND"</formula>
    </cfRule>
  </conditionalFormatting>
  <conditionalFormatting sqref="B94:F94">
    <cfRule type="cellIs" dxfId="1569" priority="49" stopIfTrue="1" operator="equal">
      <formula>"TAX PAYABLE"</formula>
    </cfRule>
    <cfRule type="cellIs" dxfId="1568" priority="50" stopIfTrue="1" operator="equal">
      <formula>"TAX REFUND"</formula>
    </cfRule>
  </conditionalFormatting>
  <conditionalFormatting sqref="B94:F94">
    <cfRule type="cellIs" dxfId="1567" priority="47" stopIfTrue="1" operator="equal">
      <formula>"TAX PAYABLE"</formula>
    </cfRule>
    <cfRule type="cellIs" dxfId="1566" priority="48" stopIfTrue="1" operator="equal">
      <formula>"TAX REFUND"</formula>
    </cfRule>
  </conditionalFormatting>
  <conditionalFormatting sqref="B94:F94">
    <cfRule type="cellIs" dxfId="1565" priority="45" stopIfTrue="1" operator="equal">
      <formula>"TAX PAYABLE"</formula>
    </cfRule>
    <cfRule type="cellIs" dxfId="1564" priority="46" stopIfTrue="1" operator="equal">
      <formula>"TAX REFUND"</formula>
    </cfRule>
  </conditionalFormatting>
  <conditionalFormatting sqref="B94:F94">
    <cfRule type="cellIs" dxfId="1563" priority="43" stopIfTrue="1" operator="equal">
      <formula>"TAX PAYABLE"</formula>
    </cfRule>
    <cfRule type="cellIs" dxfId="1562" priority="44" stopIfTrue="1" operator="equal">
      <formula>"TAX REFUND"</formula>
    </cfRule>
  </conditionalFormatting>
  <conditionalFormatting sqref="B94:F94">
    <cfRule type="cellIs" dxfId="1561" priority="41" stopIfTrue="1" operator="equal">
      <formula>"TAX PAYABLE"</formula>
    </cfRule>
    <cfRule type="cellIs" dxfId="1560" priority="42" stopIfTrue="1" operator="equal">
      <formula>"TAX REFUND"</formula>
    </cfRule>
  </conditionalFormatting>
  <conditionalFormatting sqref="B94:F94">
    <cfRule type="cellIs" dxfId="1559" priority="39" stopIfTrue="1" operator="equal">
      <formula>"TAX PAYABLE"</formula>
    </cfRule>
    <cfRule type="cellIs" dxfId="1558" priority="40" stopIfTrue="1" operator="equal">
      <formula>"TAX REFUND"</formula>
    </cfRule>
  </conditionalFormatting>
  <conditionalFormatting sqref="B94:F94">
    <cfRule type="cellIs" dxfId="1557" priority="37" stopIfTrue="1" operator="equal">
      <formula>"TAX PAYABLE"</formula>
    </cfRule>
    <cfRule type="cellIs" dxfId="1556" priority="38" stopIfTrue="1" operator="equal">
      <formula>"TAX REFUND"</formula>
    </cfRule>
  </conditionalFormatting>
  <conditionalFormatting sqref="B94:F94">
    <cfRule type="cellIs" dxfId="1555" priority="35" stopIfTrue="1" operator="equal">
      <formula>"TAX PAYABLE"</formula>
    </cfRule>
    <cfRule type="cellIs" dxfId="1554" priority="36" stopIfTrue="1" operator="equal">
      <formula>"TAX REFUND"</formula>
    </cfRule>
  </conditionalFormatting>
  <conditionalFormatting sqref="B94:F94">
    <cfRule type="cellIs" dxfId="1553" priority="33" stopIfTrue="1" operator="equal">
      <formula>"TAX PAYABLE"</formula>
    </cfRule>
    <cfRule type="cellIs" dxfId="1552" priority="34" stopIfTrue="1" operator="equal">
      <formula>"TAX REFUND"</formula>
    </cfRule>
  </conditionalFormatting>
  <conditionalFormatting sqref="B94:F94">
    <cfRule type="cellIs" dxfId="1551" priority="31" stopIfTrue="1" operator="equal">
      <formula>"TAX PAYABLE"</formula>
    </cfRule>
    <cfRule type="cellIs" dxfId="1550" priority="32" stopIfTrue="1" operator="equal">
      <formula>"TAX REFUND"</formula>
    </cfRule>
  </conditionalFormatting>
  <conditionalFormatting sqref="B94:F94">
    <cfRule type="cellIs" dxfId="1549" priority="29" stopIfTrue="1" operator="equal">
      <formula>"TAX PAYABLE"</formula>
    </cfRule>
    <cfRule type="cellIs" dxfId="1548" priority="30" stopIfTrue="1" operator="equal">
      <formula>"TAX REFUND"</formula>
    </cfRule>
  </conditionalFormatting>
  <conditionalFormatting sqref="B94:F94">
    <cfRule type="cellIs" dxfId="1547" priority="27" stopIfTrue="1" operator="equal">
      <formula>"TAX PAYABLE"</formula>
    </cfRule>
    <cfRule type="cellIs" dxfId="1546" priority="28" stopIfTrue="1" operator="equal">
      <formula>"TAX REFUND"</formula>
    </cfRule>
  </conditionalFormatting>
  <conditionalFormatting sqref="B94:F94">
    <cfRule type="cellIs" dxfId="1545" priority="25" stopIfTrue="1" operator="equal">
      <formula>"TAX PAYABLE"</formula>
    </cfRule>
    <cfRule type="cellIs" dxfId="1544" priority="26" stopIfTrue="1" operator="equal">
      <formula>"TAX REFUND"</formula>
    </cfRule>
  </conditionalFormatting>
  <conditionalFormatting sqref="B94:F94">
    <cfRule type="cellIs" dxfId="1543" priority="23" stopIfTrue="1" operator="equal">
      <formula>"TAX PAYABLE"</formula>
    </cfRule>
    <cfRule type="cellIs" dxfId="1542" priority="24" stopIfTrue="1" operator="equal">
      <formula>"TAX REFUND"</formula>
    </cfRule>
  </conditionalFormatting>
  <conditionalFormatting sqref="B94:F94">
    <cfRule type="cellIs" dxfId="1541" priority="21" stopIfTrue="1" operator="equal">
      <formula>"TAX PAYABLE"</formula>
    </cfRule>
    <cfRule type="cellIs" dxfId="1540" priority="22" stopIfTrue="1" operator="equal">
      <formula>"TAX REFUND"</formula>
    </cfRule>
  </conditionalFormatting>
  <conditionalFormatting sqref="B94:F94">
    <cfRule type="cellIs" dxfId="1539" priority="19" stopIfTrue="1" operator="equal">
      <formula>"TAX PAYABLE"</formula>
    </cfRule>
    <cfRule type="cellIs" dxfId="1538" priority="20" stopIfTrue="1" operator="equal">
      <formula>"TAX REFUND"</formula>
    </cfRule>
  </conditionalFormatting>
  <conditionalFormatting sqref="B94:F94">
    <cfRule type="cellIs" dxfId="1537" priority="17" stopIfTrue="1" operator="equal">
      <formula>"TAX PAYABLE"</formula>
    </cfRule>
    <cfRule type="cellIs" dxfId="1536" priority="18" stopIfTrue="1" operator="equal">
      <formula>"TAX REFUND"</formula>
    </cfRule>
  </conditionalFormatting>
  <conditionalFormatting sqref="B94:F94">
    <cfRule type="cellIs" dxfId="1535" priority="15" stopIfTrue="1" operator="equal">
      <formula>"TAX PAYABLE"</formula>
    </cfRule>
    <cfRule type="cellIs" dxfId="1534" priority="16" stopIfTrue="1" operator="equal">
      <formula>"TAX REFUND"</formula>
    </cfRule>
  </conditionalFormatting>
  <conditionalFormatting sqref="B94:F94">
    <cfRule type="cellIs" dxfId="1533" priority="13" stopIfTrue="1" operator="equal">
      <formula>"TAX PAYABLE"</formula>
    </cfRule>
    <cfRule type="cellIs" dxfId="1532" priority="14" stopIfTrue="1" operator="equal">
      <formula>"TAX REFUND"</formula>
    </cfRule>
  </conditionalFormatting>
  <conditionalFormatting sqref="B94:F94">
    <cfRule type="cellIs" dxfId="1531" priority="11" stopIfTrue="1" operator="equal">
      <formula>"TAX PAYABLE"</formula>
    </cfRule>
    <cfRule type="cellIs" dxfId="1530" priority="12" stopIfTrue="1" operator="equal">
      <formula>"TAX REFUND"</formula>
    </cfRule>
  </conditionalFormatting>
  <conditionalFormatting sqref="B94:F94">
    <cfRule type="cellIs" dxfId="1529" priority="9" stopIfTrue="1" operator="equal">
      <formula>"TAX PAYABLE"</formula>
    </cfRule>
    <cfRule type="cellIs" dxfId="1528" priority="10" stopIfTrue="1" operator="equal">
      <formula>"TAX REFUND"</formula>
    </cfRule>
  </conditionalFormatting>
  <conditionalFormatting sqref="B94:F94">
    <cfRule type="cellIs" dxfId="1527" priority="7" stopIfTrue="1" operator="equal">
      <formula>"TAX PAYABLE"</formula>
    </cfRule>
    <cfRule type="cellIs" dxfId="1526" priority="8" stopIfTrue="1" operator="equal">
      <formula>"TAX REFUND"</formula>
    </cfRule>
  </conditionalFormatting>
  <conditionalFormatting sqref="B94:F94">
    <cfRule type="cellIs" dxfId="1525" priority="5" stopIfTrue="1" operator="equal">
      <formula>"TAX PAYABLE"</formula>
    </cfRule>
    <cfRule type="cellIs" dxfId="1524" priority="6" stopIfTrue="1" operator="equal">
      <formula>"TAX REFUND"</formula>
    </cfRule>
  </conditionalFormatting>
  <conditionalFormatting sqref="B94:F94">
    <cfRule type="cellIs" dxfId="1523" priority="3" stopIfTrue="1" operator="equal">
      <formula>"TAX PAYABLE"</formula>
    </cfRule>
    <cfRule type="cellIs" dxfId="1522" priority="4" stopIfTrue="1" operator="equal">
      <formula>"TAX REFUND"</formula>
    </cfRule>
  </conditionalFormatting>
  <conditionalFormatting sqref="B94:F94">
    <cfRule type="cellIs" dxfId="1521" priority="1" stopIfTrue="1" operator="equal">
      <formula>"TAX PAYABLE"</formula>
    </cfRule>
    <cfRule type="cellIs" dxfId="1520" priority="2" stopIfTrue="1" operator="equal">
      <formula>"TAX REFUND"</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$Q$8:$Q$9</formula1>
    </dataValidation>
  </dataValidations>
  <pageMargins left="0.7" right="0.7" top="0.75" bottom="0.75" header="0.3" footer="0.3"/>
  <pageSetup paperSize="5" orientation="landscape" horizontalDpi="300" verticalDpi="300" r:id="rId1"/>
  <headerFooter alignWithMargins="0"/>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107"/>
  <sheetViews>
    <sheetView topLeftCell="A58" workbookViewId="0">
      <selection activeCell="O37" sqref="O37"/>
    </sheetView>
  </sheetViews>
  <sheetFormatPr defaultRowHeight="12.75" x14ac:dyDescent="0.2"/>
  <cols>
    <col min="1" max="1" width="5" style="16" customWidth="1"/>
    <col min="2" max="2" width="19.7109375" style="37" customWidth="1"/>
    <col min="3" max="3" width="9.28515625" style="16" customWidth="1"/>
    <col min="4" max="4" width="7.85546875" style="16" customWidth="1"/>
    <col min="5" max="5" width="8.5703125" style="16" bestFit="1" customWidth="1"/>
    <col min="6" max="6" width="9.28515625" style="16" bestFit="1" customWidth="1"/>
    <col min="7" max="7" width="8.42578125" style="16" bestFit="1" customWidth="1"/>
    <col min="8" max="8" width="9.7109375" style="16" bestFit="1" customWidth="1"/>
    <col min="9" max="9" width="7.140625" style="16" bestFit="1" customWidth="1"/>
    <col min="10" max="10" width="7.28515625" style="16" customWidth="1"/>
    <col min="11" max="12" width="7" style="16" bestFit="1" customWidth="1"/>
    <col min="13" max="13" width="6.85546875" style="16" bestFit="1" customWidth="1"/>
    <col min="14" max="14" width="7" style="16" bestFit="1" customWidth="1"/>
    <col min="15" max="15" width="7.140625" style="16" bestFit="1" customWidth="1"/>
    <col min="16" max="20" width="9.140625" style="16"/>
    <col min="21" max="21" width="12.42578125" style="16" customWidth="1"/>
    <col min="22" max="22" width="9.140625" style="16"/>
    <col min="23" max="23" width="12" style="16" customWidth="1"/>
    <col min="24" max="256" width="9.140625" style="16"/>
    <col min="257" max="257" width="5" style="16" customWidth="1"/>
    <col min="258" max="258" width="19.7109375" style="16" customWidth="1"/>
    <col min="259" max="259" width="9.28515625" style="16" customWidth="1"/>
    <col min="260" max="260" width="7.85546875" style="16" customWidth="1"/>
    <col min="261" max="261" width="8.5703125" style="16" bestFit="1" customWidth="1"/>
    <col min="262" max="262" width="9.28515625" style="16" bestFit="1" customWidth="1"/>
    <col min="263" max="263" width="8.42578125" style="16" bestFit="1" customWidth="1"/>
    <col min="264" max="264" width="9.7109375" style="16" bestFit="1" customWidth="1"/>
    <col min="265" max="265" width="7.140625" style="16" bestFit="1" customWidth="1"/>
    <col min="266" max="266" width="7.28515625" style="16" customWidth="1"/>
    <col min="267" max="268" width="7" style="16" bestFit="1" customWidth="1"/>
    <col min="269" max="269" width="6.85546875" style="16" bestFit="1" customWidth="1"/>
    <col min="270" max="270" width="7" style="16" bestFit="1" customWidth="1"/>
    <col min="271" max="271" width="7.140625" style="16" bestFit="1" customWidth="1"/>
    <col min="272" max="276" width="9.140625" style="16"/>
    <col min="277" max="277" width="12.42578125" style="16" customWidth="1"/>
    <col min="278" max="278" width="9.140625" style="16"/>
    <col min="279" max="279" width="12" style="16" customWidth="1"/>
    <col min="280" max="512" width="9.140625" style="16"/>
    <col min="513" max="513" width="5" style="16" customWidth="1"/>
    <col min="514" max="514" width="19.7109375" style="16" customWidth="1"/>
    <col min="515" max="515" width="9.28515625" style="16" customWidth="1"/>
    <col min="516" max="516" width="7.85546875" style="16" customWidth="1"/>
    <col min="517" max="517" width="8.5703125" style="16" bestFit="1" customWidth="1"/>
    <col min="518" max="518" width="9.28515625" style="16" bestFit="1" customWidth="1"/>
    <col min="519" max="519" width="8.42578125" style="16" bestFit="1" customWidth="1"/>
    <col min="520" max="520" width="9.7109375" style="16" bestFit="1" customWidth="1"/>
    <col min="521" max="521" width="7.140625" style="16" bestFit="1" customWidth="1"/>
    <col min="522" max="522" width="7.28515625" style="16" customWidth="1"/>
    <col min="523" max="524" width="7" style="16" bestFit="1" customWidth="1"/>
    <col min="525" max="525" width="6.85546875" style="16" bestFit="1" customWidth="1"/>
    <col min="526" max="526" width="7" style="16" bestFit="1" customWidth="1"/>
    <col min="527" max="527" width="7.140625" style="16" bestFit="1" customWidth="1"/>
    <col min="528" max="532" width="9.140625" style="16"/>
    <col min="533" max="533" width="12.42578125" style="16" customWidth="1"/>
    <col min="534" max="534" width="9.140625" style="16"/>
    <col min="535" max="535" width="12" style="16" customWidth="1"/>
    <col min="536" max="768" width="9.140625" style="16"/>
    <col min="769" max="769" width="5" style="16" customWidth="1"/>
    <col min="770" max="770" width="19.7109375" style="16" customWidth="1"/>
    <col min="771" max="771" width="9.28515625" style="16" customWidth="1"/>
    <col min="772" max="772" width="7.85546875" style="16" customWidth="1"/>
    <col min="773" max="773" width="8.5703125" style="16" bestFit="1" customWidth="1"/>
    <col min="774" max="774" width="9.28515625" style="16" bestFit="1" customWidth="1"/>
    <col min="775" max="775" width="8.42578125" style="16" bestFit="1" customWidth="1"/>
    <col min="776" max="776" width="9.7109375" style="16" bestFit="1" customWidth="1"/>
    <col min="777" max="777" width="7.140625" style="16" bestFit="1" customWidth="1"/>
    <col min="778" max="778" width="7.28515625" style="16" customWidth="1"/>
    <col min="779" max="780" width="7" style="16" bestFit="1" customWidth="1"/>
    <col min="781" max="781" width="6.85546875" style="16" bestFit="1" customWidth="1"/>
    <col min="782" max="782" width="7" style="16" bestFit="1" customWidth="1"/>
    <col min="783" max="783" width="7.140625" style="16" bestFit="1" customWidth="1"/>
    <col min="784" max="788" width="9.140625" style="16"/>
    <col min="789" max="789" width="12.42578125" style="16" customWidth="1"/>
    <col min="790" max="790" width="9.140625" style="16"/>
    <col min="791" max="791" width="12" style="16" customWidth="1"/>
    <col min="792" max="1024" width="9.140625" style="16"/>
    <col min="1025" max="1025" width="5" style="16" customWidth="1"/>
    <col min="1026" max="1026" width="19.7109375" style="16" customWidth="1"/>
    <col min="1027" max="1027" width="9.28515625" style="16" customWidth="1"/>
    <col min="1028" max="1028" width="7.85546875" style="16" customWidth="1"/>
    <col min="1029" max="1029" width="8.5703125" style="16" bestFit="1" customWidth="1"/>
    <col min="1030" max="1030" width="9.28515625" style="16" bestFit="1" customWidth="1"/>
    <col min="1031" max="1031" width="8.42578125" style="16" bestFit="1" customWidth="1"/>
    <col min="1032" max="1032" width="9.7109375" style="16" bestFit="1" customWidth="1"/>
    <col min="1033" max="1033" width="7.140625" style="16" bestFit="1" customWidth="1"/>
    <col min="1034" max="1034" width="7.28515625" style="16" customWidth="1"/>
    <col min="1035" max="1036" width="7" style="16" bestFit="1" customWidth="1"/>
    <col min="1037" max="1037" width="6.85546875" style="16" bestFit="1" customWidth="1"/>
    <col min="1038" max="1038" width="7" style="16" bestFit="1" customWidth="1"/>
    <col min="1039" max="1039" width="7.140625" style="16" bestFit="1" customWidth="1"/>
    <col min="1040" max="1044" width="9.140625" style="16"/>
    <col min="1045" max="1045" width="12.42578125" style="16" customWidth="1"/>
    <col min="1046" max="1046" width="9.140625" style="16"/>
    <col min="1047" max="1047" width="12" style="16" customWidth="1"/>
    <col min="1048" max="1280" width="9.140625" style="16"/>
    <col min="1281" max="1281" width="5" style="16" customWidth="1"/>
    <col min="1282" max="1282" width="19.7109375" style="16" customWidth="1"/>
    <col min="1283" max="1283" width="9.28515625" style="16" customWidth="1"/>
    <col min="1284" max="1284" width="7.85546875" style="16" customWidth="1"/>
    <col min="1285" max="1285" width="8.5703125" style="16" bestFit="1" customWidth="1"/>
    <col min="1286" max="1286" width="9.28515625" style="16" bestFit="1" customWidth="1"/>
    <col min="1287" max="1287" width="8.42578125" style="16" bestFit="1" customWidth="1"/>
    <col min="1288" max="1288" width="9.7109375" style="16" bestFit="1" customWidth="1"/>
    <col min="1289" max="1289" width="7.140625" style="16" bestFit="1" customWidth="1"/>
    <col min="1290" max="1290" width="7.28515625" style="16" customWidth="1"/>
    <col min="1291" max="1292" width="7" style="16" bestFit="1" customWidth="1"/>
    <col min="1293" max="1293" width="6.85546875" style="16" bestFit="1" customWidth="1"/>
    <col min="1294" max="1294" width="7" style="16" bestFit="1" customWidth="1"/>
    <col min="1295" max="1295" width="7.140625" style="16" bestFit="1" customWidth="1"/>
    <col min="1296" max="1300" width="9.140625" style="16"/>
    <col min="1301" max="1301" width="12.42578125" style="16" customWidth="1"/>
    <col min="1302" max="1302" width="9.140625" style="16"/>
    <col min="1303" max="1303" width="12" style="16" customWidth="1"/>
    <col min="1304" max="1536" width="9.140625" style="16"/>
    <col min="1537" max="1537" width="5" style="16" customWidth="1"/>
    <col min="1538" max="1538" width="19.7109375" style="16" customWidth="1"/>
    <col min="1539" max="1539" width="9.28515625" style="16" customWidth="1"/>
    <col min="1540" max="1540" width="7.85546875" style="16" customWidth="1"/>
    <col min="1541" max="1541" width="8.5703125" style="16" bestFit="1" customWidth="1"/>
    <col min="1542" max="1542" width="9.28515625" style="16" bestFit="1" customWidth="1"/>
    <col min="1543" max="1543" width="8.42578125" style="16" bestFit="1" customWidth="1"/>
    <col min="1544" max="1544" width="9.7109375" style="16" bestFit="1" customWidth="1"/>
    <col min="1545" max="1545" width="7.140625" style="16" bestFit="1" customWidth="1"/>
    <col min="1546" max="1546" width="7.28515625" style="16" customWidth="1"/>
    <col min="1547" max="1548" width="7" style="16" bestFit="1" customWidth="1"/>
    <col min="1549" max="1549" width="6.85546875" style="16" bestFit="1" customWidth="1"/>
    <col min="1550" max="1550" width="7" style="16" bestFit="1" customWidth="1"/>
    <col min="1551" max="1551" width="7.140625" style="16" bestFit="1" customWidth="1"/>
    <col min="1552" max="1556" width="9.140625" style="16"/>
    <col min="1557" max="1557" width="12.42578125" style="16" customWidth="1"/>
    <col min="1558" max="1558" width="9.140625" style="16"/>
    <col min="1559" max="1559" width="12" style="16" customWidth="1"/>
    <col min="1560" max="1792" width="9.140625" style="16"/>
    <col min="1793" max="1793" width="5" style="16" customWidth="1"/>
    <col min="1794" max="1794" width="19.7109375" style="16" customWidth="1"/>
    <col min="1795" max="1795" width="9.28515625" style="16" customWidth="1"/>
    <col min="1796" max="1796" width="7.85546875" style="16" customWidth="1"/>
    <col min="1797" max="1797" width="8.5703125" style="16" bestFit="1" customWidth="1"/>
    <col min="1798" max="1798" width="9.28515625" style="16" bestFit="1" customWidth="1"/>
    <col min="1799" max="1799" width="8.42578125" style="16" bestFit="1" customWidth="1"/>
    <col min="1800" max="1800" width="9.7109375" style="16" bestFit="1" customWidth="1"/>
    <col min="1801" max="1801" width="7.140625" style="16" bestFit="1" customWidth="1"/>
    <col min="1802" max="1802" width="7.28515625" style="16" customWidth="1"/>
    <col min="1803" max="1804" width="7" style="16" bestFit="1" customWidth="1"/>
    <col min="1805" max="1805" width="6.85546875" style="16" bestFit="1" customWidth="1"/>
    <col min="1806" max="1806" width="7" style="16" bestFit="1" customWidth="1"/>
    <col min="1807" max="1807" width="7.140625" style="16" bestFit="1" customWidth="1"/>
    <col min="1808" max="1812" width="9.140625" style="16"/>
    <col min="1813" max="1813" width="12.42578125" style="16" customWidth="1"/>
    <col min="1814" max="1814" width="9.140625" style="16"/>
    <col min="1815" max="1815" width="12" style="16" customWidth="1"/>
    <col min="1816" max="2048" width="9.140625" style="16"/>
    <col min="2049" max="2049" width="5" style="16" customWidth="1"/>
    <col min="2050" max="2050" width="19.7109375" style="16" customWidth="1"/>
    <col min="2051" max="2051" width="9.28515625" style="16" customWidth="1"/>
    <col min="2052" max="2052" width="7.85546875" style="16" customWidth="1"/>
    <col min="2053" max="2053" width="8.5703125" style="16" bestFit="1" customWidth="1"/>
    <col min="2054" max="2054" width="9.28515625" style="16" bestFit="1" customWidth="1"/>
    <col min="2055" max="2055" width="8.42578125" style="16" bestFit="1" customWidth="1"/>
    <col min="2056" max="2056" width="9.7109375" style="16" bestFit="1" customWidth="1"/>
    <col min="2057" max="2057" width="7.140625" style="16" bestFit="1" customWidth="1"/>
    <col min="2058" max="2058" width="7.28515625" style="16" customWidth="1"/>
    <col min="2059" max="2060" width="7" style="16" bestFit="1" customWidth="1"/>
    <col min="2061" max="2061" width="6.85546875" style="16" bestFit="1" customWidth="1"/>
    <col min="2062" max="2062" width="7" style="16" bestFit="1" customWidth="1"/>
    <col min="2063" max="2063" width="7.140625" style="16" bestFit="1" customWidth="1"/>
    <col min="2064" max="2068" width="9.140625" style="16"/>
    <col min="2069" max="2069" width="12.42578125" style="16" customWidth="1"/>
    <col min="2070" max="2070" width="9.140625" style="16"/>
    <col min="2071" max="2071" width="12" style="16" customWidth="1"/>
    <col min="2072" max="2304" width="9.140625" style="16"/>
    <col min="2305" max="2305" width="5" style="16" customWidth="1"/>
    <col min="2306" max="2306" width="19.7109375" style="16" customWidth="1"/>
    <col min="2307" max="2307" width="9.28515625" style="16" customWidth="1"/>
    <col min="2308" max="2308" width="7.85546875" style="16" customWidth="1"/>
    <col min="2309" max="2309" width="8.5703125" style="16" bestFit="1" customWidth="1"/>
    <col min="2310" max="2310" width="9.28515625" style="16" bestFit="1" customWidth="1"/>
    <col min="2311" max="2311" width="8.42578125" style="16" bestFit="1" customWidth="1"/>
    <col min="2312" max="2312" width="9.7109375" style="16" bestFit="1" customWidth="1"/>
    <col min="2313" max="2313" width="7.140625" style="16" bestFit="1" customWidth="1"/>
    <col min="2314" max="2314" width="7.28515625" style="16" customWidth="1"/>
    <col min="2315" max="2316" width="7" style="16" bestFit="1" customWidth="1"/>
    <col min="2317" max="2317" width="6.85546875" style="16" bestFit="1" customWidth="1"/>
    <col min="2318" max="2318" width="7" style="16" bestFit="1" customWidth="1"/>
    <col min="2319" max="2319" width="7.140625" style="16" bestFit="1" customWidth="1"/>
    <col min="2320" max="2324" width="9.140625" style="16"/>
    <col min="2325" max="2325" width="12.42578125" style="16" customWidth="1"/>
    <col min="2326" max="2326" width="9.140625" style="16"/>
    <col min="2327" max="2327" width="12" style="16" customWidth="1"/>
    <col min="2328" max="2560" width="9.140625" style="16"/>
    <col min="2561" max="2561" width="5" style="16" customWidth="1"/>
    <col min="2562" max="2562" width="19.7109375" style="16" customWidth="1"/>
    <col min="2563" max="2563" width="9.28515625" style="16" customWidth="1"/>
    <col min="2564" max="2564" width="7.85546875" style="16" customWidth="1"/>
    <col min="2565" max="2565" width="8.5703125" style="16" bestFit="1" customWidth="1"/>
    <col min="2566" max="2566" width="9.28515625" style="16" bestFit="1" customWidth="1"/>
    <col min="2567" max="2567" width="8.42578125" style="16" bestFit="1" customWidth="1"/>
    <col min="2568" max="2568" width="9.7109375" style="16" bestFit="1" customWidth="1"/>
    <col min="2569" max="2569" width="7.140625" style="16" bestFit="1" customWidth="1"/>
    <col min="2570" max="2570" width="7.28515625" style="16" customWidth="1"/>
    <col min="2571" max="2572" width="7" style="16" bestFit="1" customWidth="1"/>
    <col min="2573" max="2573" width="6.85546875" style="16" bestFit="1" customWidth="1"/>
    <col min="2574" max="2574" width="7" style="16" bestFit="1" customWidth="1"/>
    <col min="2575" max="2575" width="7.140625" style="16" bestFit="1" customWidth="1"/>
    <col min="2576" max="2580" width="9.140625" style="16"/>
    <col min="2581" max="2581" width="12.42578125" style="16" customWidth="1"/>
    <col min="2582" max="2582" width="9.140625" style="16"/>
    <col min="2583" max="2583" width="12" style="16" customWidth="1"/>
    <col min="2584" max="2816" width="9.140625" style="16"/>
    <col min="2817" max="2817" width="5" style="16" customWidth="1"/>
    <col min="2818" max="2818" width="19.7109375" style="16" customWidth="1"/>
    <col min="2819" max="2819" width="9.28515625" style="16" customWidth="1"/>
    <col min="2820" max="2820" width="7.85546875" style="16" customWidth="1"/>
    <col min="2821" max="2821" width="8.5703125" style="16" bestFit="1" customWidth="1"/>
    <col min="2822" max="2822" width="9.28515625" style="16" bestFit="1" customWidth="1"/>
    <col min="2823" max="2823" width="8.42578125" style="16" bestFit="1" customWidth="1"/>
    <col min="2824" max="2824" width="9.7109375" style="16" bestFit="1" customWidth="1"/>
    <col min="2825" max="2825" width="7.140625" style="16" bestFit="1" customWidth="1"/>
    <col min="2826" max="2826" width="7.28515625" style="16" customWidth="1"/>
    <col min="2827" max="2828" width="7" style="16" bestFit="1" customWidth="1"/>
    <col min="2829" max="2829" width="6.85546875" style="16" bestFit="1" customWidth="1"/>
    <col min="2830" max="2830" width="7" style="16" bestFit="1" customWidth="1"/>
    <col min="2831" max="2831" width="7.140625" style="16" bestFit="1" customWidth="1"/>
    <col min="2832" max="2836" width="9.140625" style="16"/>
    <col min="2837" max="2837" width="12.42578125" style="16" customWidth="1"/>
    <col min="2838" max="2838" width="9.140625" style="16"/>
    <col min="2839" max="2839" width="12" style="16" customWidth="1"/>
    <col min="2840" max="3072" width="9.140625" style="16"/>
    <col min="3073" max="3073" width="5" style="16" customWidth="1"/>
    <col min="3074" max="3074" width="19.7109375" style="16" customWidth="1"/>
    <col min="3075" max="3075" width="9.28515625" style="16" customWidth="1"/>
    <col min="3076" max="3076" width="7.85546875" style="16" customWidth="1"/>
    <col min="3077" max="3077" width="8.5703125" style="16" bestFit="1" customWidth="1"/>
    <col min="3078" max="3078" width="9.28515625" style="16" bestFit="1" customWidth="1"/>
    <col min="3079" max="3079" width="8.42578125" style="16" bestFit="1" customWidth="1"/>
    <col min="3080" max="3080" width="9.7109375" style="16" bestFit="1" customWidth="1"/>
    <col min="3081" max="3081" width="7.140625" style="16" bestFit="1" customWidth="1"/>
    <col min="3082" max="3082" width="7.28515625" style="16" customWidth="1"/>
    <col min="3083" max="3084" width="7" style="16" bestFit="1" customWidth="1"/>
    <col min="3085" max="3085" width="6.85546875" style="16" bestFit="1" customWidth="1"/>
    <col min="3086" max="3086" width="7" style="16" bestFit="1" customWidth="1"/>
    <col min="3087" max="3087" width="7.140625" style="16" bestFit="1" customWidth="1"/>
    <col min="3088" max="3092" width="9.140625" style="16"/>
    <col min="3093" max="3093" width="12.42578125" style="16" customWidth="1"/>
    <col min="3094" max="3094" width="9.140625" style="16"/>
    <col min="3095" max="3095" width="12" style="16" customWidth="1"/>
    <col min="3096" max="3328" width="9.140625" style="16"/>
    <col min="3329" max="3329" width="5" style="16" customWidth="1"/>
    <col min="3330" max="3330" width="19.7109375" style="16" customWidth="1"/>
    <col min="3331" max="3331" width="9.28515625" style="16" customWidth="1"/>
    <col min="3332" max="3332" width="7.85546875" style="16" customWidth="1"/>
    <col min="3333" max="3333" width="8.5703125" style="16" bestFit="1" customWidth="1"/>
    <col min="3334" max="3334" width="9.28515625" style="16" bestFit="1" customWidth="1"/>
    <col min="3335" max="3335" width="8.42578125" style="16" bestFit="1" customWidth="1"/>
    <col min="3336" max="3336" width="9.7109375" style="16" bestFit="1" customWidth="1"/>
    <col min="3337" max="3337" width="7.140625" style="16" bestFit="1" customWidth="1"/>
    <col min="3338" max="3338" width="7.28515625" style="16" customWidth="1"/>
    <col min="3339" max="3340" width="7" style="16" bestFit="1" customWidth="1"/>
    <col min="3341" max="3341" width="6.85546875" style="16" bestFit="1" customWidth="1"/>
    <col min="3342" max="3342" width="7" style="16" bestFit="1" customWidth="1"/>
    <col min="3343" max="3343" width="7.140625" style="16" bestFit="1" customWidth="1"/>
    <col min="3344" max="3348" width="9.140625" style="16"/>
    <col min="3349" max="3349" width="12.42578125" style="16" customWidth="1"/>
    <col min="3350" max="3350" width="9.140625" style="16"/>
    <col min="3351" max="3351" width="12" style="16" customWidth="1"/>
    <col min="3352" max="3584" width="9.140625" style="16"/>
    <col min="3585" max="3585" width="5" style="16" customWidth="1"/>
    <col min="3586" max="3586" width="19.7109375" style="16" customWidth="1"/>
    <col min="3587" max="3587" width="9.28515625" style="16" customWidth="1"/>
    <col min="3588" max="3588" width="7.85546875" style="16" customWidth="1"/>
    <col min="3589" max="3589" width="8.5703125" style="16" bestFit="1" customWidth="1"/>
    <col min="3590" max="3590" width="9.28515625" style="16" bestFit="1" customWidth="1"/>
    <col min="3591" max="3591" width="8.42578125" style="16" bestFit="1" customWidth="1"/>
    <col min="3592" max="3592" width="9.7109375" style="16" bestFit="1" customWidth="1"/>
    <col min="3593" max="3593" width="7.140625" style="16" bestFit="1" customWidth="1"/>
    <col min="3594" max="3594" width="7.28515625" style="16" customWidth="1"/>
    <col min="3595" max="3596" width="7" style="16" bestFit="1" customWidth="1"/>
    <col min="3597" max="3597" width="6.85546875" style="16" bestFit="1" customWidth="1"/>
    <col min="3598" max="3598" width="7" style="16" bestFit="1" customWidth="1"/>
    <col min="3599" max="3599" width="7.140625" style="16" bestFit="1" customWidth="1"/>
    <col min="3600" max="3604" width="9.140625" style="16"/>
    <col min="3605" max="3605" width="12.42578125" style="16" customWidth="1"/>
    <col min="3606" max="3606" width="9.140625" style="16"/>
    <col min="3607" max="3607" width="12" style="16" customWidth="1"/>
    <col min="3608" max="3840" width="9.140625" style="16"/>
    <col min="3841" max="3841" width="5" style="16" customWidth="1"/>
    <col min="3842" max="3842" width="19.7109375" style="16" customWidth="1"/>
    <col min="3843" max="3843" width="9.28515625" style="16" customWidth="1"/>
    <col min="3844" max="3844" width="7.85546875" style="16" customWidth="1"/>
    <col min="3845" max="3845" width="8.5703125" style="16" bestFit="1" customWidth="1"/>
    <col min="3846" max="3846" width="9.28515625" style="16" bestFit="1" customWidth="1"/>
    <col min="3847" max="3847" width="8.42578125" style="16" bestFit="1" customWidth="1"/>
    <col min="3848" max="3848" width="9.7109375" style="16" bestFit="1" customWidth="1"/>
    <col min="3849" max="3849" width="7.140625" style="16" bestFit="1" customWidth="1"/>
    <col min="3850" max="3850" width="7.28515625" style="16" customWidth="1"/>
    <col min="3851" max="3852" width="7" style="16" bestFit="1" customWidth="1"/>
    <col min="3853" max="3853" width="6.85546875" style="16" bestFit="1" customWidth="1"/>
    <col min="3854" max="3854" width="7" style="16" bestFit="1" customWidth="1"/>
    <col min="3855" max="3855" width="7.140625" style="16" bestFit="1" customWidth="1"/>
    <col min="3856" max="3860" width="9.140625" style="16"/>
    <col min="3861" max="3861" width="12.42578125" style="16" customWidth="1"/>
    <col min="3862" max="3862" width="9.140625" style="16"/>
    <col min="3863" max="3863" width="12" style="16" customWidth="1"/>
    <col min="3864" max="4096" width="9.140625" style="16"/>
    <col min="4097" max="4097" width="5" style="16" customWidth="1"/>
    <col min="4098" max="4098" width="19.7109375" style="16" customWidth="1"/>
    <col min="4099" max="4099" width="9.28515625" style="16" customWidth="1"/>
    <col min="4100" max="4100" width="7.85546875" style="16" customWidth="1"/>
    <col min="4101" max="4101" width="8.5703125" style="16" bestFit="1" customWidth="1"/>
    <col min="4102" max="4102" width="9.28515625" style="16" bestFit="1" customWidth="1"/>
    <col min="4103" max="4103" width="8.42578125" style="16" bestFit="1" customWidth="1"/>
    <col min="4104" max="4104" width="9.7109375" style="16" bestFit="1" customWidth="1"/>
    <col min="4105" max="4105" width="7.140625" style="16" bestFit="1" customWidth="1"/>
    <col min="4106" max="4106" width="7.28515625" style="16" customWidth="1"/>
    <col min="4107" max="4108" width="7" style="16" bestFit="1" customWidth="1"/>
    <col min="4109" max="4109" width="6.85546875" style="16" bestFit="1" customWidth="1"/>
    <col min="4110" max="4110" width="7" style="16" bestFit="1" customWidth="1"/>
    <col min="4111" max="4111" width="7.140625" style="16" bestFit="1" customWidth="1"/>
    <col min="4112" max="4116" width="9.140625" style="16"/>
    <col min="4117" max="4117" width="12.42578125" style="16" customWidth="1"/>
    <col min="4118" max="4118" width="9.140625" style="16"/>
    <col min="4119" max="4119" width="12" style="16" customWidth="1"/>
    <col min="4120" max="4352" width="9.140625" style="16"/>
    <col min="4353" max="4353" width="5" style="16" customWidth="1"/>
    <col min="4354" max="4354" width="19.7109375" style="16" customWidth="1"/>
    <col min="4355" max="4355" width="9.28515625" style="16" customWidth="1"/>
    <col min="4356" max="4356" width="7.85546875" style="16" customWidth="1"/>
    <col min="4357" max="4357" width="8.5703125" style="16" bestFit="1" customWidth="1"/>
    <col min="4358" max="4358" width="9.28515625" style="16" bestFit="1" customWidth="1"/>
    <col min="4359" max="4359" width="8.42578125" style="16" bestFit="1" customWidth="1"/>
    <col min="4360" max="4360" width="9.7109375" style="16" bestFit="1" customWidth="1"/>
    <col min="4361" max="4361" width="7.140625" style="16" bestFit="1" customWidth="1"/>
    <col min="4362" max="4362" width="7.28515625" style="16" customWidth="1"/>
    <col min="4363" max="4364" width="7" style="16" bestFit="1" customWidth="1"/>
    <col min="4365" max="4365" width="6.85546875" style="16" bestFit="1" customWidth="1"/>
    <col min="4366" max="4366" width="7" style="16" bestFit="1" customWidth="1"/>
    <col min="4367" max="4367" width="7.140625" style="16" bestFit="1" customWidth="1"/>
    <col min="4368" max="4372" width="9.140625" style="16"/>
    <col min="4373" max="4373" width="12.42578125" style="16" customWidth="1"/>
    <col min="4374" max="4374" width="9.140625" style="16"/>
    <col min="4375" max="4375" width="12" style="16" customWidth="1"/>
    <col min="4376" max="4608" width="9.140625" style="16"/>
    <col min="4609" max="4609" width="5" style="16" customWidth="1"/>
    <col min="4610" max="4610" width="19.7109375" style="16" customWidth="1"/>
    <col min="4611" max="4611" width="9.28515625" style="16" customWidth="1"/>
    <col min="4612" max="4612" width="7.85546875" style="16" customWidth="1"/>
    <col min="4613" max="4613" width="8.5703125" style="16" bestFit="1" customWidth="1"/>
    <col min="4614" max="4614" width="9.28515625" style="16" bestFit="1" customWidth="1"/>
    <col min="4615" max="4615" width="8.42578125" style="16" bestFit="1" customWidth="1"/>
    <col min="4616" max="4616" width="9.7109375" style="16" bestFit="1" customWidth="1"/>
    <col min="4617" max="4617" width="7.140625" style="16" bestFit="1" customWidth="1"/>
    <col min="4618" max="4618" width="7.28515625" style="16" customWidth="1"/>
    <col min="4619" max="4620" width="7" style="16" bestFit="1" customWidth="1"/>
    <col min="4621" max="4621" width="6.85546875" style="16" bestFit="1" customWidth="1"/>
    <col min="4622" max="4622" width="7" style="16" bestFit="1" customWidth="1"/>
    <col min="4623" max="4623" width="7.140625" style="16" bestFit="1" customWidth="1"/>
    <col min="4624" max="4628" width="9.140625" style="16"/>
    <col min="4629" max="4629" width="12.42578125" style="16" customWidth="1"/>
    <col min="4630" max="4630" width="9.140625" style="16"/>
    <col min="4631" max="4631" width="12" style="16" customWidth="1"/>
    <col min="4632" max="4864" width="9.140625" style="16"/>
    <col min="4865" max="4865" width="5" style="16" customWidth="1"/>
    <col min="4866" max="4866" width="19.7109375" style="16" customWidth="1"/>
    <col min="4867" max="4867" width="9.28515625" style="16" customWidth="1"/>
    <col min="4868" max="4868" width="7.85546875" style="16" customWidth="1"/>
    <col min="4869" max="4869" width="8.5703125" style="16" bestFit="1" customWidth="1"/>
    <col min="4870" max="4870" width="9.28515625" style="16" bestFit="1" customWidth="1"/>
    <col min="4871" max="4871" width="8.42578125" style="16" bestFit="1" customWidth="1"/>
    <col min="4872" max="4872" width="9.7109375" style="16" bestFit="1" customWidth="1"/>
    <col min="4873" max="4873" width="7.140625" style="16" bestFit="1" customWidth="1"/>
    <col min="4874" max="4874" width="7.28515625" style="16" customWidth="1"/>
    <col min="4875" max="4876" width="7" style="16" bestFit="1" customWidth="1"/>
    <col min="4877" max="4877" width="6.85546875" style="16" bestFit="1" customWidth="1"/>
    <col min="4878" max="4878" width="7" style="16" bestFit="1" customWidth="1"/>
    <col min="4879" max="4879" width="7.140625" style="16" bestFit="1" customWidth="1"/>
    <col min="4880" max="4884" width="9.140625" style="16"/>
    <col min="4885" max="4885" width="12.42578125" style="16" customWidth="1"/>
    <col min="4886" max="4886" width="9.140625" style="16"/>
    <col min="4887" max="4887" width="12" style="16" customWidth="1"/>
    <col min="4888" max="5120" width="9.140625" style="16"/>
    <col min="5121" max="5121" width="5" style="16" customWidth="1"/>
    <col min="5122" max="5122" width="19.7109375" style="16" customWidth="1"/>
    <col min="5123" max="5123" width="9.28515625" style="16" customWidth="1"/>
    <col min="5124" max="5124" width="7.85546875" style="16" customWidth="1"/>
    <col min="5125" max="5125" width="8.5703125" style="16" bestFit="1" customWidth="1"/>
    <col min="5126" max="5126" width="9.28515625" style="16" bestFit="1" customWidth="1"/>
    <col min="5127" max="5127" width="8.42578125" style="16" bestFit="1" customWidth="1"/>
    <col min="5128" max="5128" width="9.7109375" style="16" bestFit="1" customWidth="1"/>
    <col min="5129" max="5129" width="7.140625" style="16" bestFit="1" customWidth="1"/>
    <col min="5130" max="5130" width="7.28515625" style="16" customWidth="1"/>
    <col min="5131" max="5132" width="7" style="16" bestFit="1" customWidth="1"/>
    <col min="5133" max="5133" width="6.85546875" style="16" bestFit="1" customWidth="1"/>
    <col min="5134" max="5134" width="7" style="16" bestFit="1" customWidth="1"/>
    <col min="5135" max="5135" width="7.140625" style="16" bestFit="1" customWidth="1"/>
    <col min="5136" max="5140" width="9.140625" style="16"/>
    <col min="5141" max="5141" width="12.42578125" style="16" customWidth="1"/>
    <col min="5142" max="5142" width="9.140625" style="16"/>
    <col min="5143" max="5143" width="12" style="16" customWidth="1"/>
    <col min="5144" max="5376" width="9.140625" style="16"/>
    <col min="5377" max="5377" width="5" style="16" customWidth="1"/>
    <col min="5378" max="5378" width="19.7109375" style="16" customWidth="1"/>
    <col min="5379" max="5379" width="9.28515625" style="16" customWidth="1"/>
    <col min="5380" max="5380" width="7.85546875" style="16" customWidth="1"/>
    <col min="5381" max="5381" width="8.5703125" style="16" bestFit="1" customWidth="1"/>
    <col min="5382" max="5382" width="9.28515625" style="16" bestFit="1" customWidth="1"/>
    <col min="5383" max="5383" width="8.42578125" style="16" bestFit="1" customWidth="1"/>
    <col min="5384" max="5384" width="9.7109375" style="16" bestFit="1" customWidth="1"/>
    <col min="5385" max="5385" width="7.140625" style="16" bestFit="1" customWidth="1"/>
    <col min="5386" max="5386" width="7.28515625" style="16" customWidth="1"/>
    <col min="5387" max="5388" width="7" style="16" bestFit="1" customWidth="1"/>
    <col min="5389" max="5389" width="6.85546875" style="16" bestFit="1" customWidth="1"/>
    <col min="5390" max="5390" width="7" style="16" bestFit="1" customWidth="1"/>
    <col min="5391" max="5391" width="7.140625" style="16" bestFit="1" customWidth="1"/>
    <col min="5392" max="5396" width="9.140625" style="16"/>
    <col min="5397" max="5397" width="12.42578125" style="16" customWidth="1"/>
    <col min="5398" max="5398" width="9.140625" style="16"/>
    <col min="5399" max="5399" width="12" style="16" customWidth="1"/>
    <col min="5400" max="5632" width="9.140625" style="16"/>
    <col min="5633" max="5633" width="5" style="16" customWidth="1"/>
    <col min="5634" max="5634" width="19.7109375" style="16" customWidth="1"/>
    <col min="5635" max="5635" width="9.28515625" style="16" customWidth="1"/>
    <col min="5636" max="5636" width="7.85546875" style="16" customWidth="1"/>
    <col min="5637" max="5637" width="8.5703125" style="16" bestFit="1" customWidth="1"/>
    <col min="5638" max="5638" width="9.28515625" style="16" bestFit="1" customWidth="1"/>
    <col min="5639" max="5639" width="8.42578125" style="16" bestFit="1" customWidth="1"/>
    <col min="5640" max="5640" width="9.7109375" style="16" bestFit="1" customWidth="1"/>
    <col min="5641" max="5641" width="7.140625" style="16" bestFit="1" customWidth="1"/>
    <col min="5642" max="5642" width="7.28515625" style="16" customWidth="1"/>
    <col min="5643" max="5644" width="7" style="16" bestFit="1" customWidth="1"/>
    <col min="5645" max="5645" width="6.85546875" style="16" bestFit="1" customWidth="1"/>
    <col min="5646" max="5646" width="7" style="16" bestFit="1" customWidth="1"/>
    <col min="5647" max="5647" width="7.140625" style="16" bestFit="1" customWidth="1"/>
    <col min="5648" max="5652" width="9.140625" style="16"/>
    <col min="5653" max="5653" width="12.42578125" style="16" customWidth="1"/>
    <col min="5654" max="5654" width="9.140625" style="16"/>
    <col min="5655" max="5655" width="12" style="16" customWidth="1"/>
    <col min="5656" max="5888" width="9.140625" style="16"/>
    <col min="5889" max="5889" width="5" style="16" customWidth="1"/>
    <col min="5890" max="5890" width="19.7109375" style="16" customWidth="1"/>
    <col min="5891" max="5891" width="9.28515625" style="16" customWidth="1"/>
    <col min="5892" max="5892" width="7.85546875" style="16" customWidth="1"/>
    <col min="5893" max="5893" width="8.5703125" style="16" bestFit="1" customWidth="1"/>
    <col min="5894" max="5894" width="9.28515625" style="16" bestFit="1" customWidth="1"/>
    <col min="5895" max="5895" width="8.42578125" style="16" bestFit="1" customWidth="1"/>
    <col min="5896" max="5896" width="9.7109375" style="16" bestFit="1" customWidth="1"/>
    <col min="5897" max="5897" width="7.140625" style="16" bestFit="1" customWidth="1"/>
    <col min="5898" max="5898" width="7.28515625" style="16" customWidth="1"/>
    <col min="5899" max="5900" width="7" style="16" bestFit="1" customWidth="1"/>
    <col min="5901" max="5901" width="6.85546875" style="16" bestFit="1" customWidth="1"/>
    <col min="5902" max="5902" width="7" style="16" bestFit="1" customWidth="1"/>
    <col min="5903" max="5903" width="7.140625" style="16" bestFit="1" customWidth="1"/>
    <col min="5904" max="5908" width="9.140625" style="16"/>
    <col min="5909" max="5909" width="12.42578125" style="16" customWidth="1"/>
    <col min="5910" max="5910" width="9.140625" style="16"/>
    <col min="5911" max="5911" width="12" style="16" customWidth="1"/>
    <col min="5912" max="6144" width="9.140625" style="16"/>
    <col min="6145" max="6145" width="5" style="16" customWidth="1"/>
    <col min="6146" max="6146" width="19.7109375" style="16" customWidth="1"/>
    <col min="6147" max="6147" width="9.28515625" style="16" customWidth="1"/>
    <col min="6148" max="6148" width="7.85546875" style="16" customWidth="1"/>
    <col min="6149" max="6149" width="8.5703125" style="16" bestFit="1" customWidth="1"/>
    <col min="6150" max="6150" width="9.28515625" style="16" bestFit="1" customWidth="1"/>
    <col min="6151" max="6151" width="8.42578125" style="16" bestFit="1" customWidth="1"/>
    <col min="6152" max="6152" width="9.7109375" style="16" bestFit="1" customWidth="1"/>
    <col min="6153" max="6153" width="7.140625" style="16" bestFit="1" customWidth="1"/>
    <col min="6154" max="6154" width="7.28515625" style="16" customWidth="1"/>
    <col min="6155" max="6156" width="7" style="16" bestFit="1" customWidth="1"/>
    <col min="6157" max="6157" width="6.85546875" style="16" bestFit="1" customWidth="1"/>
    <col min="6158" max="6158" width="7" style="16" bestFit="1" customWidth="1"/>
    <col min="6159" max="6159" width="7.140625" style="16" bestFit="1" customWidth="1"/>
    <col min="6160" max="6164" width="9.140625" style="16"/>
    <col min="6165" max="6165" width="12.42578125" style="16" customWidth="1"/>
    <col min="6166" max="6166" width="9.140625" style="16"/>
    <col min="6167" max="6167" width="12" style="16" customWidth="1"/>
    <col min="6168" max="6400" width="9.140625" style="16"/>
    <col min="6401" max="6401" width="5" style="16" customWidth="1"/>
    <col min="6402" max="6402" width="19.7109375" style="16" customWidth="1"/>
    <col min="6403" max="6403" width="9.28515625" style="16" customWidth="1"/>
    <col min="6404" max="6404" width="7.85546875" style="16" customWidth="1"/>
    <col min="6405" max="6405" width="8.5703125" style="16" bestFit="1" customWidth="1"/>
    <col min="6406" max="6406" width="9.28515625" style="16" bestFit="1" customWidth="1"/>
    <col min="6407" max="6407" width="8.42578125" style="16" bestFit="1" customWidth="1"/>
    <col min="6408" max="6408" width="9.7109375" style="16" bestFit="1" customWidth="1"/>
    <col min="6409" max="6409" width="7.140625" style="16" bestFit="1" customWidth="1"/>
    <col min="6410" max="6410" width="7.28515625" style="16" customWidth="1"/>
    <col min="6411" max="6412" width="7" style="16" bestFit="1" customWidth="1"/>
    <col min="6413" max="6413" width="6.85546875" style="16" bestFit="1" customWidth="1"/>
    <col min="6414" max="6414" width="7" style="16" bestFit="1" customWidth="1"/>
    <col min="6415" max="6415" width="7.140625" style="16" bestFit="1" customWidth="1"/>
    <col min="6416" max="6420" width="9.140625" style="16"/>
    <col min="6421" max="6421" width="12.42578125" style="16" customWidth="1"/>
    <col min="6422" max="6422" width="9.140625" style="16"/>
    <col min="6423" max="6423" width="12" style="16" customWidth="1"/>
    <col min="6424" max="6656" width="9.140625" style="16"/>
    <col min="6657" max="6657" width="5" style="16" customWidth="1"/>
    <col min="6658" max="6658" width="19.7109375" style="16" customWidth="1"/>
    <col min="6659" max="6659" width="9.28515625" style="16" customWidth="1"/>
    <col min="6660" max="6660" width="7.85546875" style="16" customWidth="1"/>
    <col min="6661" max="6661" width="8.5703125" style="16" bestFit="1" customWidth="1"/>
    <col min="6662" max="6662" width="9.28515625" style="16" bestFit="1" customWidth="1"/>
    <col min="6663" max="6663" width="8.42578125" style="16" bestFit="1" customWidth="1"/>
    <col min="6664" max="6664" width="9.7109375" style="16" bestFit="1" customWidth="1"/>
    <col min="6665" max="6665" width="7.140625" style="16" bestFit="1" customWidth="1"/>
    <col min="6666" max="6666" width="7.28515625" style="16" customWidth="1"/>
    <col min="6667" max="6668" width="7" style="16" bestFit="1" customWidth="1"/>
    <col min="6669" max="6669" width="6.85546875" style="16" bestFit="1" customWidth="1"/>
    <col min="6670" max="6670" width="7" style="16" bestFit="1" customWidth="1"/>
    <col min="6671" max="6671" width="7.140625" style="16" bestFit="1" customWidth="1"/>
    <col min="6672" max="6676" width="9.140625" style="16"/>
    <col min="6677" max="6677" width="12.42578125" style="16" customWidth="1"/>
    <col min="6678" max="6678" width="9.140625" style="16"/>
    <col min="6679" max="6679" width="12" style="16" customWidth="1"/>
    <col min="6680" max="6912" width="9.140625" style="16"/>
    <col min="6913" max="6913" width="5" style="16" customWidth="1"/>
    <col min="6914" max="6914" width="19.7109375" style="16" customWidth="1"/>
    <col min="6915" max="6915" width="9.28515625" style="16" customWidth="1"/>
    <col min="6916" max="6916" width="7.85546875" style="16" customWidth="1"/>
    <col min="6917" max="6917" width="8.5703125" style="16" bestFit="1" customWidth="1"/>
    <col min="6918" max="6918" width="9.28515625" style="16" bestFit="1" customWidth="1"/>
    <col min="6919" max="6919" width="8.42578125" style="16" bestFit="1" customWidth="1"/>
    <col min="6920" max="6920" width="9.7109375" style="16" bestFit="1" customWidth="1"/>
    <col min="6921" max="6921" width="7.140625" style="16" bestFit="1" customWidth="1"/>
    <col min="6922" max="6922" width="7.28515625" style="16" customWidth="1"/>
    <col min="6923" max="6924" width="7" style="16" bestFit="1" customWidth="1"/>
    <col min="6925" max="6925" width="6.85546875" style="16" bestFit="1" customWidth="1"/>
    <col min="6926" max="6926" width="7" style="16" bestFit="1" customWidth="1"/>
    <col min="6927" max="6927" width="7.140625" style="16" bestFit="1" customWidth="1"/>
    <col min="6928" max="6932" width="9.140625" style="16"/>
    <col min="6933" max="6933" width="12.42578125" style="16" customWidth="1"/>
    <col min="6934" max="6934" width="9.140625" style="16"/>
    <col min="6935" max="6935" width="12" style="16" customWidth="1"/>
    <col min="6936" max="7168" width="9.140625" style="16"/>
    <col min="7169" max="7169" width="5" style="16" customWidth="1"/>
    <col min="7170" max="7170" width="19.7109375" style="16" customWidth="1"/>
    <col min="7171" max="7171" width="9.28515625" style="16" customWidth="1"/>
    <col min="7172" max="7172" width="7.85546875" style="16" customWidth="1"/>
    <col min="7173" max="7173" width="8.5703125" style="16" bestFit="1" customWidth="1"/>
    <col min="7174" max="7174" width="9.28515625" style="16" bestFit="1" customWidth="1"/>
    <col min="7175" max="7175" width="8.42578125" style="16" bestFit="1" customWidth="1"/>
    <col min="7176" max="7176" width="9.7109375" style="16" bestFit="1" customWidth="1"/>
    <col min="7177" max="7177" width="7.140625" style="16" bestFit="1" customWidth="1"/>
    <col min="7178" max="7178" width="7.28515625" style="16" customWidth="1"/>
    <col min="7179" max="7180" width="7" style="16" bestFit="1" customWidth="1"/>
    <col min="7181" max="7181" width="6.85546875" style="16" bestFit="1" customWidth="1"/>
    <col min="7182" max="7182" width="7" style="16" bestFit="1" customWidth="1"/>
    <col min="7183" max="7183" width="7.140625" style="16" bestFit="1" customWidth="1"/>
    <col min="7184" max="7188" width="9.140625" style="16"/>
    <col min="7189" max="7189" width="12.42578125" style="16" customWidth="1"/>
    <col min="7190" max="7190" width="9.140625" style="16"/>
    <col min="7191" max="7191" width="12" style="16" customWidth="1"/>
    <col min="7192" max="7424" width="9.140625" style="16"/>
    <col min="7425" max="7425" width="5" style="16" customWidth="1"/>
    <col min="7426" max="7426" width="19.7109375" style="16" customWidth="1"/>
    <col min="7427" max="7427" width="9.28515625" style="16" customWidth="1"/>
    <col min="7428" max="7428" width="7.85546875" style="16" customWidth="1"/>
    <col min="7429" max="7429" width="8.5703125" style="16" bestFit="1" customWidth="1"/>
    <col min="7430" max="7430" width="9.28515625" style="16" bestFit="1" customWidth="1"/>
    <col min="7431" max="7431" width="8.42578125" style="16" bestFit="1" customWidth="1"/>
    <col min="7432" max="7432" width="9.7109375" style="16" bestFit="1" customWidth="1"/>
    <col min="7433" max="7433" width="7.140625" style="16" bestFit="1" customWidth="1"/>
    <col min="7434" max="7434" width="7.28515625" style="16" customWidth="1"/>
    <col min="7435" max="7436" width="7" style="16" bestFit="1" customWidth="1"/>
    <col min="7437" max="7437" width="6.85546875" style="16" bestFit="1" customWidth="1"/>
    <col min="7438" max="7438" width="7" style="16" bestFit="1" customWidth="1"/>
    <col min="7439" max="7439" width="7.140625" style="16" bestFit="1" customWidth="1"/>
    <col min="7440" max="7444" width="9.140625" style="16"/>
    <col min="7445" max="7445" width="12.42578125" style="16" customWidth="1"/>
    <col min="7446" max="7446" width="9.140625" style="16"/>
    <col min="7447" max="7447" width="12" style="16" customWidth="1"/>
    <col min="7448" max="7680" width="9.140625" style="16"/>
    <col min="7681" max="7681" width="5" style="16" customWidth="1"/>
    <col min="7682" max="7682" width="19.7109375" style="16" customWidth="1"/>
    <col min="7683" max="7683" width="9.28515625" style="16" customWidth="1"/>
    <col min="7684" max="7684" width="7.85546875" style="16" customWidth="1"/>
    <col min="7685" max="7685" width="8.5703125" style="16" bestFit="1" customWidth="1"/>
    <col min="7686" max="7686" width="9.28515625" style="16" bestFit="1" customWidth="1"/>
    <col min="7687" max="7687" width="8.42578125" style="16" bestFit="1" customWidth="1"/>
    <col min="7688" max="7688" width="9.7109375" style="16" bestFit="1" customWidth="1"/>
    <col min="7689" max="7689" width="7.140625" style="16" bestFit="1" customWidth="1"/>
    <col min="7690" max="7690" width="7.28515625" style="16" customWidth="1"/>
    <col min="7691" max="7692" width="7" style="16" bestFit="1" customWidth="1"/>
    <col min="7693" max="7693" width="6.85546875" style="16" bestFit="1" customWidth="1"/>
    <col min="7694" max="7694" width="7" style="16" bestFit="1" customWidth="1"/>
    <col min="7695" max="7695" width="7.140625" style="16" bestFit="1" customWidth="1"/>
    <col min="7696" max="7700" width="9.140625" style="16"/>
    <col min="7701" max="7701" width="12.42578125" style="16" customWidth="1"/>
    <col min="7702" max="7702" width="9.140625" style="16"/>
    <col min="7703" max="7703" width="12" style="16" customWidth="1"/>
    <col min="7704" max="7936" width="9.140625" style="16"/>
    <col min="7937" max="7937" width="5" style="16" customWidth="1"/>
    <col min="7938" max="7938" width="19.7109375" style="16" customWidth="1"/>
    <col min="7939" max="7939" width="9.28515625" style="16" customWidth="1"/>
    <col min="7940" max="7940" width="7.85546875" style="16" customWidth="1"/>
    <col min="7941" max="7941" width="8.5703125" style="16" bestFit="1" customWidth="1"/>
    <col min="7942" max="7942" width="9.28515625" style="16" bestFit="1" customWidth="1"/>
    <col min="7943" max="7943" width="8.42578125" style="16" bestFit="1" customWidth="1"/>
    <col min="7944" max="7944" width="9.7109375" style="16" bestFit="1" customWidth="1"/>
    <col min="7945" max="7945" width="7.140625" style="16" bestFit="1" customWidth="1"/>
    <col min="7946" max="7946" width="7.28515625" style="16" customWidth="1"/>
    <col min="7947" max="7948" width="7" style="16" bestFit="1" customWidth="1"/>
    <col min="7949" max="7949" width="6.85546875" style="16" bestFit="1" customWidth="1"/>
    <col min="7950" max="7950" width="7" style="16" bestFit="1" customWidth="1"/>
    <col min="7951" max="7951" width="7.140625" style="16" bestFit="1" customWidth="1"/>
    <col min="7952" max="7956" width="9.140625" style="16"/>
    <col min="7957" max="7957" width="12.42578125" style="16" customWidth="1"/>
    <col min="7958" max="7958" width="9.140625" style="16"/>
    <col min="7959" max="7959" width="12" style="16" customWidth="1"/>
    <col min="7960" max="8192" width="9.140625" style="16"/>
    <col min="8193" max="8193" width="5" style="16" customWidth="1"/>
    <col min="8194" max="8194" width="19.7109375" style="16" customWidth="1"/>
    <col min="8195" max="8195" width="9.28515625" style="16" customWidth="1"/>
    <col min="8196" max="8196" width="7.85546875" style="16" customWidth="1"/>
    <col min="8197" max="8197" width="8.5703125" style="16" bestFit="1" customWidth="1"/>
    <col min="8198" max="8198" width="9.28515625" style="16" bestFit="1" customWidth="1"/>
    <col min="8199" max="8199" width="8.42578125" style="16" bestFit="1" customWidth="1"/>
    <col min="8200" max="8200" width="9.7109375" style="16" bestFit="1" customWidth="1"/>
    <col min="8201" max="8201" width="7.140625" style="16" bestFit="1" customWidth="1"/>
    <col min="8202" max="8202" width="7.28515625" style="16" customWidth="1"/>
    <col min="8203" max="8204" width="7" style="16" bestFit="1" customWidth="1"/>
    <col min="8205" max="8205" width="6.85546875" style="16" bestFit="1" customWidth="1"/>
    <col min="8206" max="8206" width="7" style="16" bestFit="1" customWidth="1"/>
    <col min="8207" max="8207" width="7.140625" style="16" bestFit="1" customWidth="1"/>
    <col min="8208" max="8212" width="9.140625" style="16"/>
    <col min="8213" max="8213" width="12.42578125" style="16" customWidth="1"/>
    <col min="8214" max="8214" width="9.140625" style="16"/>
    <col min="8215" max="8215" width="12" style="16" customWidth="1"/>
    <col min="8216" max="8448" width="9.140625" style="16"/>
    <col min="8449" max="8449" width="5" style="16" customWidth="1"/>
    <col min="8450" max="8450" width="19.7109375" style="16" customWidth="1"/>
    <col min="8451" max="8451" width="9.28515625" style="16" customWidth="1"/>
    <col min="8452" max="8452" width="7.85546875" style="16" customWidth="1"/>
    <col min="8453" max="8453" width="8.5703125" style="16" bestFit="1" customWidth="1"/>
    <col min="8454" max="8454" width="9.28515625" style="16" bestFit="1" customWidth="1"/>
    <col min="8455" max="8455" width="8.42578125" style="16" bestFit="1" customWidth="1"/>
    <col min="8456" max="8456" width="9.7109375" style="16" bestFit="1" customWidth="1"/>
    <col min="8457" max="8457" width="7.140625" style="16" bestFit="1" customWidth="1"/>
    <col min="8458" max="8458" width="7.28515625" style="16" customWidth="1"/>
    <col min="8459" max="8460" width="7" style="16" bestFit="1" customWidth="1"/>
    <col min="8461" max="8461" width="6.85546875" style="16" bestFit="1" customWidth="1"/>
    <col min="8462" max="8462" width="7" style="16" bestFit="1" customWidth="1"/>
    <col min="8463" max="8463" width="7.140625" style="16" bestFit="1" customWidth="1"/>
    <col min="8464" max="8468" width="9.140625" style="16"/>
    <col min="8469" max="8469" width="12.42578125" style="16" customWidth="1"/>
    <col min="8470" max="8470" width="9.140625" style="16"/>
    <col min="8471" max="8471" width="12" style="16" customWidth="1"/>
    <col min="8472" max="8704" width="9.140625" style="16"/>
    <col min="8705" max="8705" width="5" style="16" customWidth="1"/>
    <col min="8706" max="8706" width="19.7109375" style="16" customWidth="1"/>
    <col min="8707" max="8707" width="9.28515625" style="16" customWidth="1"/>
    <col min="8708" max="8708" width="7.85546875" style="16" customWidth="1"/>
    <col min="8709" max="8709" width="8.5703125" style="16" bestFit="1" customWidth="1"/>
    <col min="8710" max="8710" width="9.28515625" style="16" bestFit="1" customWidth="1"/>
    <col min="8711" max="8711" width="8.42578125" style="16" bestFit="1" customWidth="1"/>
    <col min="8712" max="8712" width="9.7109375" style="16" bestFit="1" customWidth="1"/>
    <col min="8713" max="8713" width="7.140625" style="16" bestFit="1" customWidth="1"/>
    <col min="8714" max="8714" width="7.28515625" style="16" customWidth="1"/>
    <col min="8715" max="8716" width="7" style="16" bestFit="1" customWidth="1"/>
    <col min="8717" max="8717" width="6.85546875" style="16" bestFit="1" customWidth="1"/>
    <col min="8718" max="8718" width="7" style="16" bestFit="1" customWidth="1"/>
    <col min="8719" max="8719" width="7.140625" style="16" bestFit="1" customWidth="1"/>
    <col min="8720" max="8724" width="9.140625" style="16"/>
    <col min="8725" max="8725" width="12.42578125" style="16" customWidth="1"/>
    <col min="8726" max="8726" width="9.140625" style="16"/>
    <col min="8727" max="8727" width="12" style="16" customWidth="1"/>
    <col min="8728" max="8960" width="9.140625" style="16"/>
    <col min="8961" max="8961" width="5" style="16" customWidth="1"/>
    <col min="8962" max="8962" width="19.7109375" style="16" customWidth="1"/>
    <col min="8963" max="8963" width="9.28515625" style="16" customWidth="1"/>
    <col min="8964" max="8964" width="7.85546875" style="16" customWidth="1"/>
    <col min="8965" max="8965" width="8.5703125" style="16" bestFit="1" customWidth="1"/>
    <col min="8966" max="8966" width="9.28515625" style="16" bestFit="1" customWidth="1"/>
    <col min="8967" max="8967" width="8.42578125" style="16" bestFit="1" customWidth="1"/>
    <col min="8968" max="8968" width="9.7109375" style="16" bestFit="1" customWidth="1"/>
    <col min="8969" max="8969" width="7.140625" style="16" bestFit="1" customWidth="1"/>
    <col min="8970" max="8970" width="7.28515625" style="16" customWidth="1"/>
    <col min="8971" max="8972" width="7" style="16" bestFit="1" customWidth="1"/>
    <col min="8973" max="8973" width="6.85546875" style="16" bestFit="1" customWidth="1"/>
    <col min="8974" max="8974" width="7" style="16" bestFit="1" customWidth="1"/>
    <col min="8975" max="8975" width="7.140625" style="16" bestFit="1" customWidth="1"/>
    <col min="8976" max="8980" width="9.140625" style="16"/>
    <col min="8981" max="8981" width="12.42578125" style="16" customWidth="1"/>
    <col min="8982" max="8982" width="9.140625" style="16"/>
    <col min="8983" max="8983" width="12" style="16" customWidth="1"/>
    <col min="8984" max="9216" width="9.140625" style="16"/>
    <col min="9217" max="9217" width="5" style="16" customWidth="1"/>
    <col min="9218" max="9218" width="19.7109375" style="16" customWidth="1"/>
    <col min="9219" max="9219" width="9.28515625" style="16" customWidth="1"/>
    <col min="9220" max="9220" width="7.85546875" style="16" customWidth="1"/>
    <col min="9221" max="9221" width="8.5703125" style="16" bestFit="1" customWidth="1"/>
    <col min="9222" max="9222" width="9.28515625" style="16" bestFit="1" customWidth="1"/>
    <col min="9223" max="9223" width="8.42578125" style="16" bestFit="1" customWidth="1"/>
    <col min="9224" max="9224" width="9.7109375" style="16" bestFit="1" customWidth="1"/>
    <col min="9225" max="9225" width="7.140625" style="16" bestFit="1" customWidth="1"/>
    <col min="9226" max="9226" width="7.28515625" style="16" customWidth="1"/>
    <col min="9227" max="9228" width="7" style="16" bestFit="1" customWidth="1"/>
    <col min="9229" max="9229" width="6.85546875" style="16" bestFit="1" customWidth="1"/>
    <col min="9230" max="9230" width="7" style="16" bestFit="1" customWidth="1"/>
    <col min="9231" max="9231" width="7.140625" style="16" bestFit="1" customWidth="1"/>
    <col min="9232" max="9236" width="9.140625" style="16"/>
    <col min="9237" max="9237" width="12.42578125" style="16" customWidth="1"/>
    <col min="9238" max="9238" width="9.140625" style="16"/>
    <col min="9239" max="9239" width="12" style="16" customWidth="1"/>
    <col min="9240" max="9472" width="9.140625" style="16"/>
    <col min="9473" max="9473" width="5" style="16" customWidth="1"/>
    <col min="9474" max="9474" width="19.7109375" style="16" customWidth="1"/>
    <col min="9475" max="9475" width="9.28515625" style="16" customWidth="1"/>
    <col min="9476" max="9476" width="7.85546875" style="16" customWidth="1"/>
    <col min="9477" max="9477" width="8.5703125" style="16" bestFit="1" customWidth="1"/>
    <col min="9478" max="9478" width="9.28515625" style="16" bestFit="1" customWidth="1"/>
    <col min="9479" max="9479" width="8.42578125" style="16" bestFit="1" customWidth="1"/>
    <col min="9480" max="9480" width="9.7109375" style="16" bestFit="1" customWidth="1"/>
    <col min="9481" max="9481" width="7.140625" style="16" bestFit="1" customWidth="1"/>
    <col min="9482" max="9482" width="7.28515625" style="16" customWidth="1"/>
    <col min="9483" max="9484" width="7" style="16" bestFit="1" customWidth="1"/>
    <col min="9485" max="9485" width="6.85546875" style="16" bestFit="1" customWidth="1"/>
    <col min="9486" max="9486" width="7" style="16" bestFit="1" customWidth="1"/>
    <col min="9487" max="9487" width="7.140625" style="16" bestFit="1" customWidth="1"/>
    <col min="9488" max="9492" width="9.140625" style="16"/>
    <col min="9493" max="9493" width="12.42578125" style="16" customWidth="1"/>
    <col min="9494" max="9494" width="9.140625" style="16"/>
    <col min="9495" max="9495" width="12" style="16" customWidth="1"/>
    <col min="9496" max="9728" width="9.140625" style="16"/>
    <col min="9729" max="9729" width="5" style="16" customWidth="1"/>
    <col min="9730" max="9730" width="19.7109375" style="16" customWidth="1"/>
    <col min="9731" max="9731" width="9.28515625" style="16" customWidth="1"/>
    <col min="9732" max="9732" width="7.85546875" style="16" customWidth="1"/>
    <col min="9733" max="9733" width="8.5703125" style="16" bestFit="1" customWidth="1"/>
    <col min="9734" max="9734" width="9.28515625" style="16" bestFit="1" customWidth="1"/>
    <col min="9735" max="9735" width="8.42578125" style="16" bestFit="1" customWidth="1"/>
    <col min="9736" max="9736" width="9.7109375" style="16" bestFit="1" customWidth="1"/>
    <col min="9737" max="9737" width="7.140625" style="16" bestFit="1" customWidth="1"/>
    <col min="9738" max="9738" width="7.28515625" style="16" customWidth="1"/>
    <col min="9739" max="9740" width="7" style="16" bestFit="1" customWidth="1"/>
    <col min="9741" max="9741" width="6.85546875" style="16" bestFit="1" customWidth="1"/>
    <col min="9742" max="9742" width="7" style="16" bestFit="1" customWidth="1"/>
    <col min="9743" max="9743" width="7.140625" style="16" bestFit="1" customWidth="1"/>
    <col min="9744" max="9748" width="9.140625" style="16"/>
    <col min="9749" max="9749" width="12.42578125" style="16" customWidth="1"/>
    <col min="9750" max="9750" width="9.140625" style="16"/>
    <col min="9751" max="9751" width="12" style="16" customWidth="1"/>
    <col min="9752" max="9984" width="9.140625" style="16"/>
    <col min="9985" max="9985" width="5" style="16" customWidth="1"/>
    <col min="9986" max="9986" width="19.7109375" style="16" customWidth="1"/>
    <col min="9987" max="9987" width="9.28515625" style="16" customWidth="1"/>
    <col min="9988" max="9988" width="7.85546875" style="16" customWidth="1"/>
    <col min="9989" max="9989" width="8.5703125" style="16" bestFit="1" customWidth="1"/>
    <col min="9990" max="9990" width="9.28515625" style="16" bestFit="1" customWidth="1"/>
    <col min="9991" max="9991" width="8.42578125" style="16" bestFit="1" customWidth="1"/>
    <col min="9992" max="9992" width="9.7109375" style="16" bestFit="1" customWidth="1"/>
    <col min="9993" max="9993" width="7.140625" style="16" bestFit="1" customWidth="1"/>
    <col min="9994" max="9994" width="7.28515625" style="16" customWidth="1"/>
    <col min="9995" max="9996" width="7" style="16" bestFit="1" customWidth="1"/>
    <col min="9997" max="9997" width="6.85546875" style="16" bestFit="1" customWidth="1"/>
    <col min="9998" max="9998" width="7" style="16" bestFit="1" customWidth="1"/>
    <col min="9999" max="9999" width="7.140625" style="16" bestFit="1" customWidth="1"/>
    <col min="10000" max="10004" width="9.140625" style="16"/>
    <col min="10005" max="10005" width="12.42578125" style="16" customWidth="1"/>
    <col min="10006" max="10006" width="9.140625" style="16"/>
    <col min="10007" max="10007" width="12" style="16" customWidth="1"/>
    <col min="10008" max="10240" width="9.140625" style="16"/>
    <col min="10241" max="10241" width="5" style="16" customWidth="1"/>
    <col min="10242" max="10242" width="19.7109375" style="16" customWidth="1"/>
    <col min="10243" max="10243" width="9.28515625" style="16" customWidth="1"/>
    <col min="10244" max="10244" width="7.85546875" style="16" customWidth="1"/>
    <col min="10245" max="10245" width="8.5703125" style="16" bestFit="1" customWidth="1"/>
    <col min="10246" max="10246" width="9.28515625" style="16" bestFit="1" customWidth="1"/>
    <col min="10247" max="10247" width="8.42578125" style="16" bestFit="1" customWidth="1"/>
    <col min="10248" max="10248" width="9.7109375" style="16" bestFit="1" customWidth="1"/>
    <col min="10249" max="10249" width="7.140625" style="16" bestFit="1" customWidth="1"/>
    <col min="10250" max="10250" width="7.28515625" style="16" customWidth="1"/>
    <col min="10251" max="10252" width="7" style="16" bestFit="1" customWidth="1"/>
    <col min="10253" max="10253" width="6.85546875" style="16" bestFit="1" customWidth="1"/>
    <col min="10254" max="10254" width="7" style="16" bestFit="1" customWidth="1"/>
    <col min="10255" max="10255" width="7.140625" style="16" bestFit="1" customWidth="1"/>
    <col min="10256" max="10260" width="9.140625" style="16"/>
    <col min="10261" max="10261" width="12.42578125" style="16" customWidth="1"/>
    <col min="10262" max="10262" width="9.140625" style="16"/>
    <col min="10263" max="10263" width="12" style="16" customWidth="1"/>
    <col min="10264" max="10496" width="9.140625" style="16"/>
    <col min="10497" max="10497" width="5" style="16" customWidth="1"/>
    <col min="10498" max="10498" width="19.7109375" style="16" customWidth="1"/>
    <col min="10499" max="10499" width="9.28515625" style="16" customWidth="1"/>
    <col min="10500" max="10500" width="7.85546875" style="16" customWidth="1"/>
    <col min="10501" max="10501" width="8.5703125" style="16" bestFit="1" customWidth="1"/>
    <col min="10502" max="10502" width="9.28515625" style="16" bestFit="1" customWidth="1"/>
    <col min="10503" max="10503" width="8.42578125" style="16" bestFit="1" customWidth="1"/>
    <col min="10504" max="10504" width="9.7109375" style="16" bestFit="1" customWidth="1"/>
    <col min="10505" max="10505" width="7.140625" style="16" bestFit="1" customWidth="1"/>
    <col min="10506" max="10506" width="7.28515625" style="16" customWidth="1"/>
    <col min="10507" max="10508" width="7" style="16" bestFit="1" customWidth="1"/>
    <col min="10509" max="10509" width="6.85546875" style="16" bestFit="1" customWidth="1"/>
    <col min="10510" max="10510" width="7" style="16" bestFit="1" customWidth="1"/>
    <col min="10511" max="10511" width="7.140625" style="16" bestFit="1" customWidth="1"/>
    <col min="10512" max="10516" width="9.140625" style="16"/>
    <col min="10517" max="10517" width="12.42578125" style="16" customWidth="1"/>
    <col min="10518" max="10518" width="9.140625" style="16"/>
    <col min="10519" max="10519" width="12" style="16" customWidth="1"/>
    <col min="10520" max="10752" width="9.140625" style="16"/>
    <col min="10753" max="10753" width="5" style="16" customWidth="1"/>
    <col min="10754" max="10754" width="19.7109375" style="16" customWidth="1"/>
    <col min="10755" max="10755" width="9.28515625" style="16" customWidth="1"/>
    <col min="10756" max="10756" width="7.85546875" style="16" customWidth="1"/>
    <col min="10757" max="10757" width="8.5703125" style="16" bestFit="1" customWidth="1"/>
    <col min="10758" max="10758" width="9.28515625" style="16" bestFit="1" customWidth="1"/>
    <col min="10759" max="10759" width="8.42578125" style="16" bestFit="1" customWidth="1"/>
    <col min="10760" max="10760" width="9.7109375" style="16" bestFit="1" customWidth="1"/>
    <col min="10761" max="10761" width="7.140625" style="16" bestFit="1" customWidth="1"/>
    <col min="10762" max="10762" width="7.28515625" style="16" customWidth="1"/>
    <col min="10763" max="10764" width="7" style="16" bestFit="1" customWidth="1"/>
    <col min="10765" max="10765" width="6.85546875" style="16" bestFit="1" customWidth="1"/>
    <col min="10766" max="10766" width="7" style="16" bestFit="1" customWidth="1"/>
    <col min="10767" max="10767" width="7.140625" style="16" bestFit="1" customWidth="1"/>
    <col min="10768" max="10772" width="9.140625" style="16"/>
    <col min="10773" max="10773" width="12.42578125" style="16" customWidth="1"/>
    <col min="10774" max="10774" width="9.140625" style="16"/>
    <col min="10775" max="10775" width="12" style="16" customWidth="1"/>
    <col min="10776" max="11008" width="9.140625" style="16"/>
    <col min="11009" max="11009" width="5" style="16" customWidth="1"/>
    <col min="11010" max="11010" width="19.7109375" style="16" customWidth="1"/>
    <col min="11011" max="11011" width="9.28515625" style="16" customWidth="1"/>
    <col min="11012" max="11012" width="7.85546875" style="16" customWidth="1"/>
    <col min="11013" max="11013" width="8.5703125" style="16" bestFit="1" customWidth="1"/>
    <col min="11014" max="11014" width="9.28515625" style="16" bestFit="1" customWidth="1"/>
    <col min="11015" max="11015" width="8.42578125" style="16" bestFit="1" customWidth="1"/>
    <col min="11016" max="11016" width="9.7109375" style="16" bestFit="1" customWidth="1"/>
    <col min="11017" max="11017" width="7.140625" style="16" bestFit="1" customWidth="1"/>
    <col min="11018" max="11018" width="7.28515625" style="16" customWidth="1"/>
    <col min="11019" max="11020" width="7" style="16" bestFit="1" customWidth="1"/>
    <col min="11021" max="11021" width="6.85546875" style="16" bestFit="1" customWidth="1"/>
    <col min="11022" max="11022" width="7" style="16" bestFit="1" customWidth="1"/>
    <col min="11023" max="11023" width="7.140625" style="16" bestFit="1" customWidth="1"/>
    <col min="11024" max="11028" width="9.140625" style="16"/>
    <col min="11029" max="11029" width="12.42578125" style="16" customWidth="1"/>
    <col min="11030" max="11030" width="9.140625" style="16"/>
    <col min="11031" max="11031" width="12" style="16" customWidth="1"/>
    <col min="11032" max="11264" width="9.140625" style="16"/>
    <col min="11265" max="11265" width="5" style="16" customWidth="1"/>
    <col min="11266" max="11266" width="19.7109375" style="16" customWidth="1"/>
    <col min="11267" max="11267" width="9.28515625" style="16" customWidth="1"/>
    <col min="11268" max="11268" width="7.85546875" style="16" customWidth="1"/>
    <col min="11269" max="11269" width="8.5703125" style="16" bestFit="1" customWidth="1"/>
    <col min="11270" max="11270" width="9.28515625" style="16" bestFit="1" customWidth="1"/>
    <col min="11271" max="11271" width="8.42578125" style="16" bestFit="1" customWidth="1"/>
    <col min="11272" max="11272" width="9.7109375" style="16" bestFit="1" customWidth="1"/>
    <col min="11273" max="11273" width="7.140625" style="16" bestFit="1" customWidth="1"/>
    <col min="11274" max="11274" width="7.28515625" style="16" customWidth="1"/>
    <col min="11275" max="11276" width="7" style="16" bestFit="1" customWidth="1"/>
    <col min="11277" max="11277" width="6.85546875" style="16" bestFit="1" customWidth="1"/>
    <col min="11278" max="11278" width="7" style="16" bestFit="1" customWidth="1"/>
    <col min="11279" max="11279" width="7.140625" style="16" bestFit="1" customWidth="1"/>
    <col min="11280" max="11284" width="9.140625" style="16"/>
    <col min="11285" max="11285" width="12.42578125" style="16" customWidth="1"/>
    <col min="11286" max="11286" width="9.140625" style="16"/>
    <col min="11287" max="11287" width="12" style="16" customWidth="1"/>
    <col min="11288" max="11520" width="9.140625" style="16"/>
    <col min="11521" max="11521" width="5" style="16" customWidth="1"/>
    <col min="11522" max="11522" width="19.7109375" style="16" customWidth="1"/>
    <col min="11523" max="11523" width="9.28515625" style="16" customWidth="1"/>
    <col min="11524" max="11524" width="7.85546875" style="16" customWidth="1"/>
    <col min="11525" max="11525" width="8.5703125" style="16" bestFit="1" customWidth="1"/>
    <col min="11526" max="11526" width="9.28515625" style="16" bestFit="1" customWidth="1"/>
    <col min="11527" max="11527" width="8.42578125" style="16" bestFit="1" customWidth="1"/>
    <col min="11528" max="11528" width="9.7109375" style="16" bestFit="1" customWidth="1"/>
    <col min="11529" max="11529" width="7.140625" style="16" bestFit="1" customWidth="1"/>
    <col min="11530" max="11530" width="7.28515625" style="16" customWidth="1"/>
    <col min="11531" max="11532" width="7" style="16" bestFit="1" customWidth="1"/>
    <col min="11533" max="11533" width="6.85546875" style="16" bestFit="1" customWidth="1"/>
    <col min="11534" max="11534" width="7" style="16" bestFit="1" customWidth="1"/>
    <col min="11535" max="11535" width="7.140625" style="16" bestFit="1" customWidth="1"/>
    <col min="11536" max="11540" width="9.140625" style="16"/>
    <col min="11541" max="11541" width="12.42578125" style="16" customWidth="1"/>
    <col min="11542" max="11542" width="9.140625" style="16"/>
    <col min="11543" max="11543" width="12" style="16" customWidth="1"/>
    <col min="11544" max="11776" width="9.140625" style="16"/>
    <col min="11777" max="11777" width="5" style="16" customWidth="1"/>
    <col min="11778" max="11778" width="19.7109375" style="16" customWidth="1"/>
    <col min="11779" max="11779" width="9.28515625" style="16" customWidth="1"/>
    <col min="11780" max="11780" width="7.85546875" style="16" customWidth="1"/>
    <col min="11781" max="11781" width="8.5703125" style="16" bestFit="1" customWidth="1"/>
    <col min="11782" max="11782" width="9.28515625" style="16" bestFit="1" customWidth="1"/>
    <col min="11783" max="11783" width="8.42578125" style="16" bestFit="1" customWidth="1"/>
    <col min="11784" max="11784" width="9.7109375" style="16" bestFit="1" customWidth="1"/>
    <col min="11785" max="11785" width="7.140625" style="16" bestFit="1" customWidth="1"/>
    <col min="11786" max="11786" width="7.28515625" style="16" customWidth="1"/>
    <col min="11787" max="11788" width="7" style="16" bestFit="1" customWidth="1"/>
    <col min="11789" max="11789" width="6.85546875" style="16" bestFit="1" customWidth="1"/>
    <col min="11790" max="11790" width="7" style="16" bestFit="1" customWidth="1"/>
    <col min="11791" max="11791" width="7.140625" style="16" bestFit="1" customWidth="1"/>
    <col min="11792" max="11796" width="9.140625" style="16"/>
    <col min="11797" max="11797" width="12.42578125" style="16" customWidth="1"/>
    <col min="11798" max="11798" width="9.140625" style="16"/>
    <col min="11799" max="11799" width="12" style="16" customWidth="1"/>
    <col min="11800" max="12032" width="9.140625" style="16"/>
    <col min="12033" max="12033" width="5" style="16" customWidth="1"/>
    <col min="12034" max="12034" width="19.7109375" style="16" customWidth="1"/>
    <col min="12035" max="12035" width="9.28515625" style="16" customWidth="1"/>
    <col min="12036" max="12036" width="7.85546875" style="16" customWidth="1"/>
    <col min="12037" max="12037" width="8.5703125" style="16" bestFit="1" customWidth="1"/>
    <col min="12038" max="12038" width="9.28515625" style="16" bestFit="1" customWidth="1"/>
    <col min="12039" max="12039" width="8.42578125" style="16" bestFit="1" customWidth="1"/>
    <col min="12040" max="12040" width="9.7109375" style="16" bestFit="1" customWidth="1"/>
    <col min="12041" max="12041" width="7.140625" style="16" bestFit="1" customWidth="1"/>
    <col min="12042" max="12042" width="7.28515625" style="16" customWidth="1"/>
    <col min="12043" max="12044" width="7" style="16" bestFit="1" customWidth="1"/>
    <col min="12045" max="12045" width="6.85546875" style="16" bestFit="1" customWidth="1"/>
    <col min="12046" max="12046" width="7" style="16" bestFit="1" customWidth="1"/>
    <col min="12047" max="12047" width="7.140625" style="16" bestFit="1" customWidth="1"/>
    <col min="12048" max="12052" width="9.140625" style="16"/>
    <col min="12053" max="12053" width="12.42578125" style="16" customWidth="1"/>
    <col min="12054" max="12054" width="9.140625" style="16"/>
    <col min="12055" max="12055" width="12" style="16" customWidth="1"/>
    <col min="12056" max="12288" width="9.140625" style="16"/>
    <col min="12289" max="12289" width="5" style="16" customWidth="1"/>
    <col min="12290" max="12290" width="19.7109375" style="16" customWidth="1"/>
    <col min="12291" max="12291" width="9.28515625" style="16" customWidth="1"/>
    <col min="12292" max="12292" width="7.85546875" style="16" customWidth="1"/>
    <col min="12293" max="12293" width="8.5703125" style="16" bestFit="1" customWidth="1"/>
    <col min="12294" max="12294" width="9.28515625" style="16" bestFit="1" customWidth="1"/>
    <col min="12295" max="12295" width="8.42578125" style="16" bestFit="1" customWidth="1"/>
    <col min="12296" max="12296" width="9.7109375" style="16" bestFit="1" customWidth="1"/>
    <col min="12297" max="12297" width="7.140625" style="16" bestFit="1" customWidth="1"/>
    <col min="12298" max="12298" width="7.28515625" style="16" customWidth="1"/>
    <col min="12299" max="12300" width="7" style="16" bestFit="1" customWidth="1"/>
    <col min="12301" max="12301" width="6.85546875" style="16" bestFit="1" customWidth="1"/>
    <col min="12302" max="12302" width="7" style="16" bestFit="1" customWidth="1"/>
    <col min="12303" max="12303" width="7.140625" style="16" bestFit="1" customWidth="1"/>
    <col min="12304" max="12308" width="9.140625" style="16"/>
    <col min="12309" max="12309" width="12.42578125" style="16" customWidth="1"/>
    <col min="12310" max="12310" width="9.140625" style="16"/>
    <col min="12311" max="12311" width="12" style="16" customWidth="1"/>
    <col min="12312" max="12544" width="9.140625" style="16"/>
    <col min="12545" max="12545" width="5" style="16" customWidth="1"/>
    <col min="12546" max="12546" width="19.7109375" style="16" customWidth="1"/>
    <col min="12547" max="12547" width="9.28515625" style="16" customWidth="1"/>
    <col min="12548" max="12548" width="7.85546875" style="16" customWidth="1"/>
    <col min="12549" max="12549" width="8.5703125" style="16" bestFit="1" customWidth="1"/>
    <col min="12550" max="12550" width="9.28515625" style="16" bestFit="1" customWidth="1"/>
    <col min="12551" max="12551" width="8.42578125" style="16" bestFit="1" customWidth="1"/>
    <col min="12552" max="12552" width="9.7109375" style="16" bestFit="1" customWidth="1"/>
    <col min="12553" max="12553" width="7.140625" style="16" bestFit="1" customWidth="1"/>
    <col min="12554" max="12554" width="7.28515625" style="16" customWidth="1"/>
    <col min="12555" max="12556" width="7" style="16" bestFit="1" customWidth="1"/>
    <col min="12557" max="12557" width="6.85546875" style="16" bestFit="1" customWidth="1"/>
    <col min="12558" max="12558" width="7" style="16" bestFit="1" customWidth="1"/>
    <col min="12559" max="12559" width="7.140625" style="16" bestFit="1" customWidth="1"/>
    <col min="12560" max="12564" width="9.140625" style="16"/>
    <col min="12565" max="12565" width="12.42578125" style="16" customWidth="1"/>
    <col min="12566" max="12566" width="9.140625" style="16"/>
    <col min="12567" max="12567" width="12" style="16" customWidth="1"/>
    <col min="12568" max="12800" width="9.140625" style="16"/>
    <col min="12801" max="12801" width="5" style="16" customWidth="1"/>
    <col min="12802" max="12802" width="19.7109375" style="16" customWidth="1"/>
    <col min="12803" max="12803" width="9.28515625" style="16" customWidth="1"/>
    <col min="12804" max="12804" width="7.85546875" style="16" customWidth="1"/>
    <col min="12805" max="12805" width="8.5703125" style="16" bestFit="1" customWidth="1"/>
    <col min="12806" max="12806" width="9.28515625" style="16" bestFit="1" customWidth="1"/>
    <col min="12807" max="12807" width="8.42578125" style="16" bestFit="1" customWidth="1"/>
    <col min="12808" max="12808" width="9.7109375" style="16" bestFit="1" customWidth="1"/>
    <col min="12809" max="12809" width="7.140625" style="16" bestFit="1" customWidth="1"/>
    <col min="12810" max="12810" width="7.28515625" style="16" customWidth="1"/>
    <col min="12811" max="12812" width="7" style="16" bestFit="1" customWidth="1"/>
    <col min="12813" max="12813" width="6.85546875" style="16" bestFit="1" customWidth="1"/>
    <col min="12814" max="12814" width="7" style="16" bestFit="1" customWidth="1"/>
    <col min="12815" max="12815" width="7.140625" style="16" bestFit="1" customWidth="1"/>
    <col min="12816" max="12820" width="9.140625" style="16"/>
    <col min="12821" max="12821" width="12.42578125" style="16" customWidth="1"/>
    <col min="12822" max="12822" width="9.140625" style="16"/>
    <col min="12823" max="12823" width="12" style="16" customWidth="1"/>
    <col min="12824" max="13056" width="9.140625" style="16"/>
    <col min="13057" max="13057" width="5" style="16" customWidth="1"/>
    <col min="13058" max="13058" width="19.7109375" style="16" customWidth="1"/>
    <col min="13059" max="13059" width="9.28515625" style="16" customWidth="1"/>
    <col min="13060" max="13060" width="7.85546875" style="16" customWidth="1"/>
    <col min="13061" max="13061" width="8.5703125" style="16" bestFit="1" customWidth="1"/>
    <col min="13062" max="13062" width="9.28515625" style="16" bestFit="1" customWidth="1"/>
    <col min="13063" max="13063" width="8.42578125" style="16" bestFit="1" customWidth="1"/>
    <col min="13064" max="13064" width="9.7109375" style="16" bestFit="1" customWidth="1"/>
    <col min="13065" max="13065" width="7.140625" style="16" bestFit="1" customWidth="1"/>
    <col min="13066" max="13066" width="7.28515625" style="16" customWidth="1"/>
    <col min="13067" max="13068" width="7" style="16" bestFit="1" customWidth="1"/>
    <col min="13069" max="13069" width="6.85546875" style="16" bestFit="1" customWidth="1"/>
    <col min="13070" max="13070" width="7" style="16" bestFit="1" customWidth="1"/>
    <col min="13071" max="13071" width="7.140625" style="16" bestFit="1" customWidth="1"/>
    <col min="13072" max="13076" width="9.140625" style="16"/>
    <col min="13077" max="13077" width="12.42578125" style="16" customWidth="1"/>
    <col min="13078" max="13078" width="9.140625" style="16"/>
    <col min="13079" max="13079" width="12" style="16" customWidth="1"/>
    <col min="13080" max="13312" width="9.140625" style="16"/>
    <col min="13313" max="13313" width="5" style="16" customWidth="1"/>
    <col min="13314" max="13314" width="19.7109375" style="16" customWidth="1"/>
    <col min="13315" max="13315" width="9.28515625" style="16" customWidth="1"/>
    <col min="13316" max="13316" width="7.85546875" style="16" customWidth="1"/>
    <col min="13317" max="13317" width="8.5703125" style="16" bestFit="1" customWidth="1"/>
    <col min="13318" max="13318" width="9.28515625" style="16" bestFit="1" customWidth="1"/>
    <col min="13319" max="13319" width="8.42578125" style="16" bestFit="1" customWidth="1"/>
    <col min="13320" max="13320" width="9.7109375" style="16" bestFit="1" customWidth="1"/>
    <col min="13321" max="13321" width="7.140625" style="16" bestFit="1" customWidth="1"/>
    <col min="13322" max="13322" width="7.28515625" style="16" customWidth="1"/>
    <col min="13323" max="13324" width="7" style="16" bestFit="1" customWidth="1"/>
    <col min="13325" max="13325" width="6.85546875" style="16" bestFit="1" customWidth="1"/>
    <col min="13326" max="13326" width="7" style="16" bestFit="1" customWidth="1"/>
    <col min="13327" max="13327" width="7.140625" style="16" bestFit="1" customWidth="1"/>
    <col min="13328" max="13332" width="9.140625" style="16"/>
    <col min="13333" max="13333" width="12.42578125" style="16" customWidth="1"/>
    <col min="13334" max="13334" width="9.140625" style="16"/>
    <col min="13335" max="13335" width="12" style="16" customWidth="1"/>
    <col min="13336" max="13568" width="9.140625" style="16"/>
    <col min="13569" max="13569" width="5" style="16" customWidth="1"/>
    <col min="13570" max="13570" width="19.7109375" style="16" customWidth="1"/>
    <col min="13571" max="13571" width="9.28515625" style="16" customWidth="1"/>
    <col min="13572" max="13572" width="7.85546875" style="16" customWidth="1"/>
    <col min="13573" max="13573" width="8.5703125" style="16" bestFit="1" customWidth="1"/>
    <col min="13574" max="13574" width="9.28515625" style="16" bestFit="1" customWidth="1"/>
    <col min="13575" max="13575" width="8.42578125" style="16" bestFit="1" customWidth="1"/>
    <col min="13576" max="13576" width="9.7109375" style="16" bestFit="1" customWidth="1"/>
    <col min="13577" max="13577" width="7.140625" style="16" bestFit="1" customWidth="1"/>
    <col min="13578" max="13578" width="7.28515625" style="16" customWidth="1"/>
    <col min="13579" max="13580" width="7" style="16" bestFit="1" customWidth="1"/>
    <col min="13581" max="13581" width="6.85546875" style="16" bestFit="1" customWidth="1"/>
    <col min="13582" max="13582" width="7" style="16" bestFit="1" customWidth="1"/>
    <col min="13583" max="13583" width="7.140625" style="16" bestFit="1" customWidth="1"/>
    <col min="13584" max="13588" width="9.140625" style="16"/>
    <col min="13589" max="13589" width="12.42578125" style="16" customWidth="1"/>
    <col min="13590" max="13590" width="9.140625" style="16"/>
    <col min="13591" max="13591" width="12" style="16" customWidth="1"/>
    <col min="13592" max="13824" width="9.140625" style="16"/>
    <col min="13825" max="13825" width="5" style="16" customWidth="1"/>
    <col min="13826" max="13826" width="19.7109375" style="16" customWidth="1"/>
    <col min="13827" max="13827" width="9.28515625" style="16" customWidth="1"/>
    <col min="13828" max="13828" width="7.85546875" style="16" customWidth="1"/>
    <col min="13829" max="13829" width="8.5703125" style="16" bestFit="1" customWidth="1"/>
    <col min="13830" max="13830" width="9.28515625" style="16" bestFit="1" customWidth="1"/>
    <col min="13831" max="13831" width="8.42578125" style="16" bestFit="1" customWidth="1"/>
    <col min="13832" max="13832" width="9.7109375" style="16" bestFit="1" customWidth="1"/>
    <col min="13833" max="13833" width="7.140625" style="16" bestFit="1" customWidth="1"/>
    <col min="13834" max="13834" width="7.28515625" style="16" customWidth="1"/>
    <col min="13835" max="13836" width="7" style="16" bestFit="1" customWidth="1"/>
    <col min="13837" max="13837" width="6.85546875" style="16" bestFit="1" customWidth="1"/>
    <col min="13838" max="13838" width="7" style="16" bestFit="1" customWidth="1"/>
    <col min="13839" max="13839" width="7.140625" style="16" bestFit="1" customWidth="1"/>
    <col min="13840" max="13844" width="9.140625" style="16"/>
    <col min="13845" max="13845" width="12.42578125" style="16" customWidth="1"/>
    <col min="13846" max="13846" width="9.140625" style="16"/>
    <col min="13847" max="13847" width="12" style="16" customWidth="1"/>
    <col min="13848" max="14080" width="9.140625" style="16"/>
    <col min="14081" max="14081" width="5" style="16" customWidth="1"/>
    <col min="14082" max="14082" width="19.7109375" style="16" customWidth="1"/>
    <col min="14083" max="14083" width="9.28515625" style="16" customWidth="1"/>
    <col min="14084" max="14084" width="7.85546875" style="16" customWidth="1"/>
    <col min="14085" max="14085" width="8.5703125" style="16" bestFit="1" customWidth="1"/>
    <col min="14086" max="14086" width="9.28515625" style="16" bestFit="1" customWidth="1"/>
    <col min="14087" max="14087" width="8.42578125" style="16" bestFit="1" customWidth="1"/>
    <col min="14088" max="14088" width="9.7109375" style="16" bestFit="1" customWidth="1"/>
    <col min="14089" max="14089" width="7.140625" style="16" bestFit="1" customWidth="1"/>
    <col min="14090" max="14090" width="7.28515625" style="16" customWidth="1"/>
    <col min="14091" max="14092" width="7" style="16" bestFit="1" customWidth="1"/>
    <col min="14093" max="14093" width="6.85546875" style="16" bestFit="1" customWidth="1"/>
    <col min="14094" max="14094" width="7" style="16" bestFit="1" customWidth="1"/>
    <col min="14095" max="14095" width="7.140625" style="16" bestFit="1" customWidth="1"/>
    <col min="14096" max="14100" width="9.140625" style="16"/>
    <col min="14101" max="14101" width="12.42578125" style="16" customWidth="1"/>
    <col min="14102" max="14102" width="9.140625" style="16"/>
    <col min="14103" max="14103" width="12" style="16" customWidth="1"/>
    <col min="14104" max="14336" width="9.140625" style="16"/>
    <col min="14337" max="14337" width="5" style="16" customWidth="1"/>
    <col min="14338" max="14338" width="19.7109375" style="16" customWidth="1"/>
    <col min="14339" max="14339" width="9.28515625" style="16" customWidth="1"/>
    <col min="14340" max="14340" width="7.85546875" style="16" customWidth="1"/>
    <col min="14341" max="14341" width="8.5703125" style="16" bestFit="1" customWidth="1"/>
    <col min="14342" max="14342" width="9.28515625" style="16" bestFit="1" customWidth="1"/>
    <col min="14343" max="14343" width="8.42578125" style="16" bestFit="1" customWidth="1"/>
    <col min="14344" max="14344" width="9.7109375" style="16" bestFit="1" customWidth="1"/>
    <col min="14345" max="14345" width="7.140625" style="16" bestFit="1" customWidth="1"/>
    <col min="14346" max="14346" width="7.28515625" style="16" customWidth="1"/>
    <col min="14347" max="14348" width="7" style="16" bestFit="1" customWidth="1"/>
    <col min="14349" max="14349" width="6.85546875" style="16" bestFit="1" customWidth="1"/>
    <col min="14350" max="14350" width="7" style="16" bestFit="1" customWidth="1"/>
    <col min="14351" max="14351" width="7.140625" style="16" bestFit="1" customWidth="1"/>
    <col min="14352" max="14356" width="9.140625" style="16"/>
    <col min="14357" max="14357" width="12.42578125" style="16" customWidth="1"/>
    <col min="14358" max="14358" width="9.140625" style="16"/>
    <col min="14359" max="14359" width="12" style="16" customWidth="1"/>
    <col min="14360" max="14592" width="9.140625" style="16"/>
    <col min="14593" max="14593" width="5" style="16" customWidth="1"/>
    <col min="14594" max="14594" width="19.7109375" style="16" customWidth="1"/>
    <col min="14595" max="14595" width="9.28515625" style="16" customWidth="1"/>
    <col min="14596" max="14596" width="7.85546875" style="16" customWidth="1"/>
    <col min="14597" max="14597" width="8.5703125" style="16" bestFit="1" customWidth="1"/>
    <col min="14598" max="14598" width="9.28515625" style="16" bestFit="1" customWidth="1"/>
    <col min="14599" max="14599" width="8.42578125" style="16" bestFit="1" customWidth="1"/>
    <col min="14600" max="14600" width="9.7109375" style="16" bestFit="1" customWidth="1"/>
    <col min="14601" max="14601" width="7.140625" style="16" bestFit="1" customWidth="1"/>
    <col min="14602" max="14602" width="7.28515625" style="16" customWidth="1"/>
    <col min="14603" max="14604" width="7" style="16" bestFit="1" customWidth="1"/>
    <col min="14605" max="14605" width="6.85546875" style="16" bestFit="1" customWidth="1"/>
    <col min="14606" max="14606" width="7" style="16" bestFit="1" customWidth="1"/>
    <col min="14607" max="14607" width="7.140625" style="16" bestFit="1" customWidth="1"/>
    <col min="14608" max="14612" width="9.140625" style="16"/>
    <col min="14613" max="14613" width="12.42578125" style="16" customWidth="1"/>
    <col min="14614" max="14614" width="9.140625" style="16"/>
    <col min="14615" max="14615" width="12" style="16" customWidth="1"/>
    <col min="14616" max="14848" width="9.140625" style="16"/>
    <col min="14849" max="14849" width="5" style="16" customWidth="1"/>
    <col min="14850" max="14850" width="19.7109375" style="16" customWidth="1"/>
    <col min="14851" max="14851" width="9.28515625" style="16" customWidth="1"/>
    <col min="14852" max="14852" width="7.85546875" style="16" customWidth="1"/>
    <col min="14853" max="14853" width="8.5703125" style="16" bestFit="1" customWidth="1"/>
    <col min="14854" max="14854" width="9.28515625" style="16" bestFit="1" customWidth="1"/>
    <col min="14855" max="14855" width="8.42578125" style="16" bestFit="1" customWidth="1"/>
    <col min="14856" max="14856" width="9.7109375" style="16" bestFit="1" customWidth="1"/>
    <col min="14857" max="14857" width="7.140625" style="16" bestFit="1" customWidth="1"/>
    <col min="14858" max="14858" width="7.28515625" style="16" customWidth="1"/>
    <col min="14859" max="14860" width="7" style="16" bestFit="1" customWidth="1"/>
    <col min="14861" max="14861" width="6.85546875" style="16" bestFit="1" customWidth="1"/>
    <col min="14862" max="14862" width="7" style="16" bestFit="1" customWidth="1"/>
    <col min="14863" max="14863" width="7.140625" style="16" bestFit="1" customWidth="1"/>
    <col min="14864" max="14868" width="9.140625" style="16"/>
    <col min="14869" max="14869" width="12.42578125" style="16" customWidth="1"/>
    <col min="14870" max="14870" width="9.140625" style="16"/>
    <col min="14871" max="14871" width="12" style="16" customWidth="1"/>
    <col min="14872" max="15104" width="9.140625" style="16"/>
    <col min="15105" max="15105" width="5" style="16" customWidth="1"/>
    <col min="15106" max="15106" width="19.7109375" style="16" customWidth="1"/>
    <col min="15107" max="15107" width="9.28515625" style="16" customWidth="1"/>
    <col min="15108" max="15108" width="7.85546875" style="16" customWidth="1"/>
    <col min="15109" max="15109" width="8.5703125" style="16" bestFit="1" customWidth="1"/>
    <col min="15110" max="15110" width="9.28515625" style="16" bestFit="1" customWidth="1"/>
    <col min="15111" max="15111" width="8.42578125" style="16" bestFit="1" customWidth="1"/>
    <col min="15112" max="15112" width="9.7109375" style="16" bestFit="1" customWidth="1"/>
    <col min="15113" max="15113" width="7.140625" style="16" bestFit="1" customWidth="1"/>
    <col min="15114" max="15114" width="7.28515625" style="16" customWidth="1"/>
    <col min="15115" max="15116" width="7" style="16" bestFit="1" customWidth="1"/>
    <col min="15117" max="15117" width="6.85546875" style="16" bestFit="1" customWidth="1"/>
    <col min="15118" max="15118" width="7" style="16" bestFit="1" customWidth="1"/>
    <col min="15119" max="15119" width="7.140625" style="16" bestFit="1" customWidth="1"/>
    <col min="15120" max="15124" width="9.140625" style="16"/>
    <col min="15125" max="15125" width="12.42578125" style="16" customWidth="1"/>
    <col min="15126" max="15126" width="9.140625" style="16"/>
    <col min="15127" max="15127" width="12" style="16" customWidth="1"/>
    <col min="15128" max="15360" width="9.140625" style="16"/>
    <col min="15361" max="15361" width="5" style="16" customWidth="1"/>
    <col min="15362" max="15362" width="19.7109375" style="16" customWidth="1"/>
    <col min="15363" max="15363" width="9.28515625" style="16" customWidth="1"/>
    <col min="15364" max="15364" width="7.85546875" style="16" customWidth="1"/>
    <col min="15365" max="15365" width="8.5703125" style="16" bestFit="1" customWidth="1"/>
    <col min="15366" max="15366" width="9.28515625" style="16" bestFit="1" customWidth="1"/>
    <col min="15367" max="15367" width="8.42578125" style="16" bestFit="1" customWidth="1"/>
    <col min="15368" max="15368" width="9.7109375" style="16" bestFit="1" customWidth="1"/>
    <col min="15369" max="15369" width="7.140625" style="16" bestFit="1" customWidth="1"/>
    <col min="15370" max="15370" width="7.28515625" style="16" customWidth="1"/>
    <col min="15371" max="15372" width="7" style="16" bestFit="1" customWidth="1"/>
    <col min="15373" max="15373" width="6.85546875" style="16" bestFit="1" customWidth="1"/>
    <col min="15374" max="15374" width="7" style="16" bestFit="1" customWidth="1"/>
    <col min="15375" max="15375" width="7.140625" style="16" bestFit="1" customWidth="1"/>
    <col min="15376" max="15380" width="9.140625" style="16"/>
    <col min="15381" max="15381" width="12.42578125" style="16" customWidth="1"/>
    <col min="15382" max="15382" width="9.140625" style="16"/>
    <col min="15383" max="15383" width="12" style="16" customWidth="1"/>
    <col min="15384" max="15616" width="9.140625" style="16"/>
    <col min="15617" max="15617" width="5" style="16" customWidth="1"/>
    <col min="15618" max="15618" width="19.7109375" style="16" customWidth="1"/>
    <col min="15619" max="15619" width="9.28515625" style="16" customWidth="1"/>
    <col min="15620" max="15620" width="7.85546875" style="16" customWidth="1"/>
    <col min="15621" max="15621" width="8.5703125" style="16" bestFit="1" customWidth="1"/>
    <col min="15622" max="15622" width="9.28515625" style="16" bestFit="1" customWidth="1"/>
    <col min="15623" max="15623" width="8.42578125" style="16" bestFit="1" customWidth="1"/>
    <col min="15624" max="15624" width="9.7109375" style="16" bestFit="1" customWidth="1"/>
    <col min="15625" max="15625" width="7.140625" style="16" bestFit="1" customWidth="1"/>
    <col min="15626" max="15626" width="7.28515625" style="16" customWidth="1"/>
    <col min="15627" max="15628" width="7" style="16" bestFit="1" customWidth="1"/>
    <col min="15629" max="15629" width="6.85546875" style="16" bestFit="1" customWidth="1"/>
    <col min="15630" max="15630" width="7" style="16" bestFit="1" customWidth="1"/>
    <col min="15631" max="15631" width="7.140625" style="16" bestFit="1" customWidth="1"/>
    <col min="15632" max="15636" width="9.140625" style="16"/>
    <col min="15637" max="15637" width="12.42578125" style="16" customWidth="1"/>
    <col min="15638" max="15638" width="9.140625" style="16"/>
    <col min="15639" max="15639" width="12" style="16" customWidth="1"/>
    <col min="15640" max="15872" width="9.140625" style="16"/>
    <col min="15873" max="15873" width="5" style="16" customWidth="1"/>
    <col min="15874" max="15874" width="19.7109375" style="16" customWidth="1"/>
    <col min="15875" max="15875" width="9.28515625" style="16" customWidth="1"/>
    <col min="15876" max="15876" width="7.85546875" style="16" customWidth="1"/>
    <col min="15877" max="15877" width="8.5703125" style="16" bestFit="1" customWidth="1"/>
    <col min="15878" max="15878" width="9.28515625" style="16" bestFit="1" customWidth="1"/>
    <col min="15879" max="15879" width="8.42578125" style="16" bestFit="1" customWidth="1"/>
    <col min="15880" max="15880" width="9.7109375" style="16" bestFit="1" customWidth="1"/>
    <col min="15881" max="15881" width="7.140625" style="16" bestFit="1" customWidth="1"/>
    <col min="15882" max="15882" width="7.28515625" style="16" customWidth="1"/>
    <col min="15883" max="15884" width="7" style="16" bestFit="1" customWidth="1"/>
    <col min="15885" max="15885" width="6.85546875" style="16" bestFit="1" customWidth="1"/>
    <col min="15886" max="15886" width="7" style="16" bestFit="1" customWidth="1"/>
    <col min="15887" max="15887" width="7.140625" style="16" bestFit="1" customWidth="1"/>
    <col min="15888" max="15892" width="9.140625" style="16"/>
    <col min="15893" max="15893" width="12.42578125" style="16" customWidth="1"/>
    <col min="15894" max="15894" width="9.140625" style="16"/>
    <col min="15895" max="15895" width="12" style="16" customWidth="1"/>
    <col min="15896" max="16128" width="9.140625" style="16"/>
    <col min="16129" max="16129" width="5" style="16" customWidth="1"/>
    <col min="16130" max="16130" width="19.7109375" style="16" customWidth="1"/>
    <col min="16131" max="16131" width="9.28515625" style="16" customWidth="1"/>
    <col min="16132" max="16132" width="7.85546875" style="16" customWidth="1"/>
    <col min="16133" max="16133" width="8.5703125" style="16" bestFit="1" customWidth="1"/>
    <col min="16134" max="16134" width="9.28515625" style="16" bestFit="1" customWidth="1"/>
    <col min="16135" max="16135" width="8.42578125" style="16" bestFit="1" customWidth="1"/>
    <col min="16136" max="16136" width="9.7109375" style="16" bestFit="1" customWidth="1"/>
    <col min="16137" max="16137" width="7.140625" style="16" bestFit="1" customWidth="1"/>
    <col min="16138" max="16138" width="7.28515625" style="16" customWidth="1"/>
    <col min="16139" max="16140" width="7" style="16" bestFit="1" customWidth="1"/>
    <col min="16141" max="16141" width="6.85546875" style="16" bestFit="1" customWidth="1"/>
    <col min="16142" max="16142" width="7" style="16" bestFit="1" customWidth="1"/>
    <col min="16143" max="16143" width="7.140625" style="16" bestFit="1" customWidth="1"/>
    <col min="16144" max="16148" width="9.140625" style="16"/>
    <col min="16149" max="16149" width="12.42578125" style="16" customWidth="1"/>
    <col min="16150" max="16150" width="9.140625" style="16"/>
    <col min="16151" max="16151" width="12" style="16" customWidth="1"/>
    <col min="16152" max="16384" width="9.140625" style="16"/>
  </cols>
  <sheetData>
    <row r="1" spans="1:17" s="1" customFormat="1" x14ac:dyDescent="0.2">
      <c r="A1" s="867" t="s">
        <v>449</v>
      </c>
      <c r="B1" s="868"/>
      <c r="C1" s="868"/>
      <c r="D1" s="869"/>
      <c r="E1" s="868"/>
      <c r="F1" s="868"/>
      <c r="G1" s="867" t="s">
        <v>102</v>
      </c>
      <c r="H1" s="869"/>
      <c r="I1" s="869" t="s">
        <v>757</v>
      </c>
      <c r="J1" s="868"/>
      <c r="K1" s="868"/>
      <c r="L1" s="870"/>
      <c r="M1" s="870"/>
      <c r="N1" s="870"/>
      <c r="O1" s="870"/>
    </row>
    <row r="2" spans="1:17" s="1" customFormat="1" x14ac:dyDescent="0.2">
      <c r="A2" s="867" t="s">
        <v>103</v>
      </c>
      <c r="B2" s="868"/>
      <c r="C2" s="868"/>
      <c r="D2" s="869" t="s">
        <v>874</v>
      </c>
      <c r="E2" s="868"/>
      <c r="F2" s="868"/>
      <c r="G2" s="867" t="s">
        <v>104</v>
      </c>
      <c r="H2" s="869"/>
      <c r="I2" s="869" t="s">
        <v>105</v>
      </c>
      <c r="J2" s="868"/>
      <c r="K2" s="868"/>
      <c r="L2" s="870"/>
      <c r="M2" s="870"/>
      <c r="N2" s="870"/>
      <c r="O2" s="870"/>
    </row>
    <row r="3" spans="1:17" s="1" customFormat="1" x14ac:dyDescent="0.2">
      <c r="A3" s="867" t="s">
        <v>106</v>
      </c>
      <c r="B3" s="868"/>
      <c r="C3" s="868"/>
      <c r="D3" s="883" t="s">
        <v>875</v>
      </c>
      <c r="E3" s="868"/>
      <c r="F3" s="868"/>
      <c r="G3" s="867" t="s">
        <v>107</v>
      </c>
      <c r="H3" s="869"/>
      <c r="I3" s="869" t="s">
        <v>108</v>
      </c>
      <c r="J3" s="868"/>
      <c r="K3" s="868"/>
      <c r="L3" s="870"/>
      <c r="M3" s="870"/>
      <c r="N3" s="870"/>
      <c r="O3" s="870"/>
    </row>
    <row r="4" spans="1:17" s="1" customFormat="1" x14ac:dyDescent="0.2">
      <c r="A4" s="867" t="s">
        <v>109</v>
      </c>
      <c r="B4" s="868"/>
      <c r="C4" s="868"/>
      <c r="D4" s="869"/>
      <c r="E4" s="868"/>
      <c r="F4" s="868"/>
      <c r="G4" s="867" t="s">
        <v>110</v>
      </c>
      <c r="H4" s="869"/>
      <c r="I4" s="869" t="s">
        <v>111</v>
      </c>
      <c r="J4" s="868"/>
      <c r="K4" s="868"/>
      <c r="L4" s="870"/>
      <c r="M4" s="870"/>
      <c r="N4" s="870"/>
      <c r="O4" s="870"/>
    </row>
    <row r="5" spans="1:17" s="1" customFormat="1" x14ac:dyDescent="0.2">
      <c r="A5" s="867" t="s">
        <v>278</v>
      </c>
      <c r="B5" s="868"/>
      <c r="C5" s="868"/>
      <c r="D5" s="869" t="s">
        <v>876</v>
      </c>
      <c r="E5" s="868"/>
      <c r="F5" s="868"/>
      <c r="G5" s="867"/>
      <c r="H5" s="868"/>
      <c r="I5" s="869" t="s">
        <v>113</v>
      </c>
      <c r="J5" s="868"/>
      <c r="K5" s="868"/>
      <c r="L5" s="870"/>
      <c r="M5" s="870"/>
      <c r="N5" s="870"/>
      <c r="O5" s="870"/>
    </row>
    <row r="6" spans="1:17" s="1" customFormat="1" x14ac:dyDescent="0.2">
      <c r="A6" s="871" t="s">
        <v>114</v>
      </c>
      <c r="B6" s="872"/>
      <c r="C6" s="872"/>
      <c r="D6" s="868" t="s">
        <v>758</v>
      </c>
      <c r="E6" s="868"/>
      <c r="F6" s="868"/>
      <c r="G6" s="871" t="s">
        <v>115</v>
      </c>
      <c r="H6" s="871"/>
      <c r="I6" s="2" t="s">
        <v>222</v>
      </c>
      <c r="J6" s="888"/>
      <c r="K6" s="888"/>
      <c r="L6" s="888"/>
      <c r="M6" s="888"/>
      <c r="N6" s="888"/>
      <c r="O6" s="889"/>
    </row>
    <row r="7" spans="1:17" s="1" customFormat="1" ht="13.5" thickBot="1" x14ac:dyDescent="0.25">
      <c r="A7" s="3"/>
      <c r="B7" s="4"/>
      <c r="C7" s="5"/>
      <c r="D7" s="6"/>
      <c r="E7" s="6"/>
      <c r="F7" s="6"/>
      <c r="G7" s="6"/>
      <c r="H7" s="6"/>
      <c r="I7" s="6"/>
      <c r="J7" s="7"/>
      <c r="K7" s="8"/>
      <c r="L7" s="875" t="s">
        <v>223</v>
      </c>
      <c r="M7" s="875"/>
      <c r="N7" s="875"/>
      <c r="O7" s="875"/>
    </row>
    <row r="8" spans="1:17" s="11" customFormat="1" x14ac:dyDescent="0.2">
      <c r="A8" s="876" t="str">
        <f>I1</f>
        <v>Ms. Indira Hari</v>
      </c>
      <c r="B8" s="877"/>
      <c r="C8" s="334">
        <v>43160</v>
      </c>
      <c r="D8" s="334">
        <v>43191</v>
      </c>
      <c r="E8" s="334">
        <v>43221</v>
      </c>
      <c r="F8" s="334">
        <v>43252</v>
      </c>
      <c r="G8" s="334">
        <v>43282</v>
      </c>
      <c r="H8" s="334">
        <v>43313</v>
      </c>
      <c r="I8" s="334">
        <v>43344</v>
      </c>
      <c r="J8" s="334">
        <v>43374</v>
      </c>
      <c r="K8" s="334">
        <v>43405</v>
      </c>
      <c r="L8" s="334">
        <v>43435</v>
      </c>
      <c r="M8" s="334">
        <v>43466</v>
      </c>
      <c r="N8" s="334">
        <v>43497</v>
      </c>
      <c r="O8" s="10" t="s">
        <v>117</v>
      </c>
      <c r="Q8" s="11" t="s">
        <v>116</v>
      </c>
    </row>
    <row r="9" spans="1:17" ht="15" x14ac:dyDescent="0.2">
      <c r="A9" s="12"/>
      <c r="B9" s="13" t="s">
        <v>118</v>
      </c>
      <c r="C9" s="14">
        <v>42800</v>
      </c>
      <c r="D9" s="14">
        <v>42800</v>
      </c>
      <c r="E9" s="14">
        <v>42800</v>
      </c>
      <c r="F9" s="14">
        <v>42800</v>
      </c>
      <c r="G9" s="14">
        <v>44100</v>
      </c>
      <c r="H9" s="14">
        <v>44100</v>
      </c>
      <c r="I9" s="14">
        <v>44100</v>
      </c>
      <c r="J9" s="14">
        <v>44100</v>
      </c>
      <c r="K9" s="14">
        <v>44100</v>
      </c>
      <c r="L9" s="14">
        <v>44100</v>
      </c>
      <c r="M9" s="14">
        <v>44100</v>
      </c>
      <c r="N9" s="14">
        <v>44100</v>
      </c>
      <c r="O9" s="15">
        <f>SUM(C9:N9)</f>
        <v>524000</v>
      </c>
      <c r="Q9" s="16" t="s">
        <v>222</v>
      </c>
    </row>
    <row r="10" spans="1:17"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7" ht="15" x14ac:dyDescent="0.2">
      <c r="A11" s="12"/>
      <c r="B11" s="13" t="s">
        <v>120</v>
      </c>
      <c r="C11" s="17">
        <v>2140</v>
      </c>
      <c r="D11" s="17">
        <v>2996</v>
      </c>
      <c r="E11" s="17">
        <v>2996</v>
      </c>
      <c r="F11" s="17">
        <v>2996</v>
      </c>
      <c r="G11" s="17">
        <v>3087</v>
      </c>
      <c r="H11" s="17">
        <v>3087</v>
      </c>
      <c r="I11" s="17">
        <v>3087</v>
      </c>
      <c r="J11" s="17">
        <v>3969</v>
      </c>
      <c r="K11" s="17">
        <v>3969</v>
      </c>
      <c r="L11" s="17">
        <v>3969</v>
      </c>
      <c r="M11" s="17">
        <v>3969</v>
      </c>
      <c r="N11" s="17">
        <v>3969</v>
      </c>
      <c r="O11" s="18">
        <f>SUM(C11:N11)</f>
        <v>40234</v>
      </c>
    </row>
    <row r="12" spans="1:17"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7"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7" ht="15" x14ac:dyDescent="0.2">
      <c r="A14" s="12"/>
      <c r="B14" s="13" t="s">
        <v>123</v>
      </c>
      <c r="C14" s="17">
        <v>3780</v>
      </c>
      <c r="D14" s="17">
        <v>3852</v>
      </c>
      <c r="E14" s="17">
        <v>3852</v>
      </c>
      <c r="F14" s="17">
        <v>3852</v>
      </c>
      <c r="G14" s="17">
        <v>3852</v>
      </c>
      <c r="H14" s="17">
        <v>3852</v>
      </c>
      <c r="I14" s="17">
        <v>3852</v>
      </c>
      <c r="J14" s="17">
        <v>3924</v>
      </c>
      <c r="K14" s="17">
        <v>3924</v>
      </c>
      <c r="L14" s="17">
        <v>3924</v>
      </c>
      <c r="M14" s="17">
        <v>3924</v>
      </c>
      <c r="N14" s="17">
        <v>3924</v>
      </c>
      <c r="O14" s="18">
        <f t="shared" si="0"/>
        <v>46512</v>
      </c>
    </row>
    <row r="15" spans="1:17"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7" ht="15" hidden="1" x14ac:dyDescent="0.2">
      <c r="A16" s="12"/>
      <c r="B16" s="13" t="s">
        <v>405</v>
      </c>
      <c r="C16" s="17">
        <v>0</v>
      </c>
      <c r="D16" s="17">
        <v>0</v>
      </c>
      <c r="E16" s="17">
        <v>0</v>
      </c>
      <c r="F16" s="17">
        <v>0</v>
      </c>
      <c r="G16" s="17">
        <v>0</v>
      </c>
      <c r="H16" s="17">
        <v>0</v>
      </c>
      <c r="I16" s="17">
        <v>0</v>
      </c>
      <c r="J16" s="17">
        <v>0</v>
      </c>
      <c r="K16" s="17">
        <v>0</v>
      </c>
      <c r="L16" s="17">
        <v>0</v>
      </c>
      <c r="M16" s="17">
        <v>0</v>
      </c>
      <c r="N16" s="17">
        <v>0</v>
      </c>
      <c r="O16" s="18">
        <f t="shared" si="0"/>
        <v>0</v>
      </c>
    </row>
    <row r="17" spans="1:16"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6" ht="15" hidden="1" x14ac:dyDescent="0.2">
      <c r="A18" s="12"/>
      <c r="B18" s="13" t="s">
        <v>609</v>
      </c>
      <c r="C18" s="17">
        <v>0</v>
      </c>
      <c r="D18" s="17">
        <v>0</v>
      </c>
      <c r="E18" s="17">
        <v>0</v>
      </c>
      <c r="F18" s="17">
        <v>0</v>
      </c>
      <c r="G18" s="17">
        <v>0</v>
      </c>
      <c r="H18" s="17">
        <v>0</v>
      </c>
      <c r="I18" s="17">
        <v>0</v>
      </c>
      <c r="J18" s="17">
        <v>0</v>
      </c>
      <c r="K18" s="17">
        <v>0</v>
      </c>
      <c r="L18" s="17">
        <v>0</v>
      </c>
      <c r="M18" s="17">
        <v>0</v>
      </c>
      <c r="N18" s="17">
        <v>0</v>
      </c>
      <c r="O18" s="18">
        <f t="shared" si="0"/>
        <v>0</v>
      </c>
    </row>
    <row r="19" spans="1:16" ht="15" x14ac:dyDescent="0.2">
      <c r="A19" s="12"/>
      <c r="B19" s="13" t="s">
        <v>128</v>
      </c>
      <c r="C19" s="17">
        <v>10272</v>
      </c>
      <c r="D19" s="17">
        <v>10272</v>
      </c>
      <c r="E19" s="17">
        <v>10272</v>
      </c>
      <c r="F19" s="17">
        <v>10272</v>
      </c>
      <c r="G19" s="17">
        <v>10584</v>
      </c>
      <c r="H19" s="17">
        <v>10584</v>
      </c>
      <c r="I19" s="17">
        <v>10584</v>
      </c>
      <c r="J19" s="17">
        <v>10584</v>
      </c>
      <c r="K19" s="17">
        <v>10584</v>
      </c>
      <c r="L19" s="17">
        <v>10584</v>
      </c>
      <c r="M19" s="17">
        <v>10584</v>
      </c>
      <c r="N19" s="17">
        <v>10584</v>
      </c>
      <c r="O19" s="18">
        <f t="shared" si="0"/>
        <v>125760</v>
      </c>
    </row>
    <row r="20" spans="1:16"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6" ht="15" hidden="1" customHeight="1" x14ac:dyDescent="0.2">
      <c r="A21" s="878"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6" ht="15" customHeight="1" x14ac:dyDescent="0.2">
      <c r="A22" s="879"/>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6" ht="15" hidden="1" customHeight="1" x14ac:dyDescent="0.2">
      <c r="A23" s="879"/>
      <c r="B23" s="19" t="s">
        <v>133</v>
      </c>
      <c r="C23" s="17">
        <v>0</v>
      </c>
      <c r="D23" s="17">
        <v>0</v>
      </c>
      <c r="E23" s="17">
        <v>0</v>
      </c>
      <c r="F23" s="17">
        <v>0</v>
      </c>
      <c r="G23" s="17">
        <v>0</v>
      </c>
      <c r="H23" s="17">
        <v>0</v>
      </c>
      <c r="I23" s="17">
        <v>0</v>
      </c>
      <c r="J23" s="17">
        <v>0</v>
      </c>
      <c r="K23" s="17">
        <v>0</v>
      </c>
      <c r="L23" s="17">
        <v>0</v>
      </c>
      <c r="M23" s="17">
        <v>0</v>
      </c>
      <c r="N23" s="17">
        <v>0</v>
      </c>
      <c r="O23" s="18">
        <f t="shared" si="0"/>
        <v>0</v>
      </c>
    </row>
    <row r="24" spans="1:16" ht="15" hidden="1" customHeight="1" x14ac:dyDescent="0.2">
      <c r="A24" s="879"/>
      <c r="B24" s="19" t="s">
        <v>134</v>
      </c>
      <c r="C24" s="17">
        <v>0</v>
      </c>
      <c r="D24" s="17">
        <v>0</v>
      </c>
      <c r="E24" s="17">
        <v>0</v>
      </c>
      <c r="F24" s="17">
        <v>0</v>
      </c>
      <c r="G24" s="17">
        <v>0</v>
      </c>
      <c r="H24" s="17">
        <v>0</v>
      </c>
      <c r="I24" s="17">
        <v>0</v>
      </c>
      <c r="J24" s="17">
        <v>0</v>
      </c>
      <c r="K24" s="17">
        <v>0</v>
      </c>
      <c r="L24" s="17">
        <v>0</v>
      </c>
      <c r="M24" s="17">
        <v>0</v>
      </c>
      <c r="N24" s="17">
        <v>0</v>
      </c>
      <c r="O24" s="18">
        <f t="shared" si="0"/>
        <v>0</v>
      </c>
    </row>
    <row r="25" spans="1:16" ht="15" hidden="1" customHeight="1" x14ac:dyDescent="0.2">
      <c r="A25" s="879"/>
      <c r="B25" s="19" t="s">
        <v>135</v>
      </c>
      <c r="C25" s="17">
        <v>0</v>
      </c>
      <c r="D25" s="17">
        <v>0</v>
      </c>
      <c r="E25" s="17">
        <v>0</v>
      </c>
      <c r="F25" s="17">
        <v>0</v>
      </c>
      <c r="G25" s="17">
        <v>0</v>
      </c>
      <c r="H25" s="17">
        <v>0</v>
      </c>
      <c r="I25" s="17">
        <v>0</v>
      </c>
      <c r="J25" s="17">
        <v>0</v>
      </c>
      <c r="K25" s="17">
        <v>0</v>
      </c>
      <c r="L25" s="17">
        <v>0</v>
      </c>
      <c r="M25" s="17">
        <v>0</v>
      </c>
      <c r="N25" s="17">
        <v>0</v>
      </c>
      <c r="O25" s="18">
        <f t="shared" si="0"/>
        <v>0</v>
      </c>
    </row>
    <row r="26" spans="1:16" ht="15" hidden="1" customHeight="1" x14ac:dyDescent="0.2">
      <c r="A26" s="879"/>
      <c r="B26" s="19" t="s">
        <v>136</v>
      </c>
      <c r="C26" s="17">
        <v>0</v>
      </c>
      <c r="D26" s="17">
        <v>0</v>
      </c>
      <c r="E26" s="17">
        <v>0</v>
      </c>
      <c r="F26" s="17">
        <v>0</v>
      </c>
      <c r="G26" s="17">
        <v>0</v>
      </c>
      <c r="H26" s="17">
        <v>0</v>
      </c>
      <c r="I26" s="17">
        <v>0</v>
      </c>
      <c r="J26" s="17">
        <v>0</v>
      </c>
      <c r="K26" s="17">
        <v>0</v>
      </c>
      <c r="L26" s="17">
        <v>0</v>
      </c>
      <c r="M26" s="17">
        <v>0</v>
      </c>
      <c r="N26" s="17">
        <v>0</v>
      </c>
      <c r="O26" s="18">
        <f t="shared" si="0"/>
        <v>0</v>
      </c>
    </row>
    <row r="27" spans="1:16" ht="15" hidden="1" customHeight="1" x14ac:dyDescent="0.2">
      <c r="A27" s="879"/>
      <c r="B27" s="19" t="s">
        <v>137</v>
      </c>
      <c r="C27" s="17">
        <v>0</v>
      </c>
      <c r="D27" s="17">
        <v>0</v>
      </c>
      <c r="E27" s="17">
        <v>0</v>
      </c>
      <c r="F27" s="17">
        <v>0</v>
      </c>
      <c r="G27" s="17">
        <v>0</v>
      </c>
      <c r="H27" s="17">
        <v>0</v>
      </c>
      <c r="I27" s="17">
        <v>0</v>
      </c>
      <c r="J27" s="17">
        <v>0</v>
      </c>
      <c r="K27" s="17">
        <v>0</v>
      </c>
      <c r="L27" s="17">
        <v>0</v>
      </c>
      <c r="M27" s="17">
        <v>0</v>
      </c>
      <c r="N27" s="17">
        <v>0</v>
      </c>
      <c r="O27" s="18">
        <f t="shared" si="0"/>
        <v>0</v>
      </c>
    </row>
    <row r="28" spans="1:16" ht="15" hidden="1" customHeight="1" x14ac:dyDescent="0.2">
      <c r="A28" s="879"/>
      <c r="B28" s="19" t="s">
        <v>138</v>
      </c>
      <c r="C28" s="17">
        <v>0</v>
      </c>
      <c r="D28" s="17">
        <v>0</v>
      </c>
      <c r="E28" s="17">
        <v>0</v>
      </c>
      <c r="F28" s="17">
        <v>0</v>
      </c>
      <c r="G28" s="17">
        <v>0</v>
      </c>
      <c r="H28" s="17">
        <v>0</v>
      </c>
      <c r="I28" s="17">
        <v>0</v>
      </c>
      <c r="J28" s="17">
        <v>0</v>
      </c>
      <c r="K28" s="17">
        <v>0</v>
      </c>
      <c r="L28" s="17">
        <v>0</v>
      </c>
      <c r="M28" s="17">
        <v>0</v>
      </c>
      <c r="N28" s="17">
        <v>0</v>
      </c>
      <c r="O28" s="18">
        <f t="shared" si="0"/>
        <v>0</v>
      </c>
    </row>
    <row r="29" spans="1:16" ht="15" hidden="1" customHeight="1" x14ac:dyDescent="0.2">
      <c r="A29" s="879"/>
      <c r="B29" s="19" t="s">
        <v>139</v>
      </c>
      <c r="C29" s="17">
        <v>0</v>
      </c>
      <c r="D29" s="17">
        <v>0</v>
      </c>
      <c r="E29" s="17">
        <v>0</v>
      </c>
      <c r="F29" s="17">
        <v>0</v>
      </c>
      <c r="G29" s="17">
        <v>0</v>
      </c>
      <c r="H29" s="17">
        <v>0</v>
      </c>
      <c r="I29" s="17">
        <v>0</v>
      </c>
      <c r="J29" s="17">
        <v>0</v>
      </c>
      <c r="K29" s="17">
        <v>0</v>
      </c>
      <c r="L29" s="17">
        <v>0</v>
      </c>
      <c r="M29" s="17">
        <v>0</v>
      </c>
      <c r="N29" s="17">
        <v>0</v>
      </c>
      <c r="O29" s="18">
        <f t="shared" si="0"/>
        <v>0</v>
      </c>
    </row>
    <row r="30" spans="1:16" ht="15" hidden="1" customHeight="1" x14ac:dyDescent="0.2">
      <c r="A30" s="879"/>
      <c r="B30" s="19" t="s">
        <v>140</v>
      </c>
      <c r="C30" s="17">
        <v>0</v>
      </c>
      <c r="D30" s="17">
        <v>0</v>
      </c>
      <c r="E30" s="17">
        <v>0</v>
      </c>
      <c r="F30" s="17">
        <v>0</v>
      </c>
      <c r="G30" s="17">
        <v>0</v>
      </c>
      <c r="H30" s="17">
        <v>0</v>
      </c>
      <c r="I30" s="17">
        <v>0</v>
      </c>
      <c r="J30" s="17">
        <v>0</v>
      </c>
      <c r="K30" s="17">
        <v>0</v>
      </c>
      <c r="L30" s="17">
        <v>0</v>
      </c>
      <c r="M30" s="17">
        <v>0</v>
      </c>
      <c r="N30" s="17">
        <v>0</v>
      </c>
      <c r="O30" s="18">
        <f t="shared" si="0"/>
        <v>0</v>
      </c>
    </row>
    <row r="31" spans="1:16" ht="15" customHeight="1" x14ac:dyDescent="0.2">
      <c r="A31" s="879"/>
      <c r="B31" s="19" t="s">
        <v>877</v>
      </c>
      <c r="C31" s="17">
        <v>0</v>
      </c>
      <c r="D31" s="17">
        <v>0</v>
      </c>
      <c r="E31" s="17">
        <v>0</v>
      </c>
      <c r="F31" s="17">
        <v>0</v>
      </c>
      <c r="G31" s="17">
        <v>0</v>
      </c>
      <c r="H31" s="17">
        <v>0</v>
      </c>
      <c r="I31" s="17">
        <v>0</v>
      </c>
      <c r="J31" s="17">
        <v>0</v>
      </c>
      <c r="K31" s="17">
        <v>0</v>
      </c>
      <c r="L31" s="17">
        <v>0</v>
      </c>
      <c r="M31" s="17">
        <v>0</v>
      </c>
      <c r="N31" s="17">
        <v>0</v>
      </c>
      <c r="O31" s="18">
        <f t="shared" si="0"/>
        <v>0</v>
      </c>
    </row>
    <row r="32" spans="1:16" ht="15" customHeight="1" x14ac:dyDescent="0.2">
      <c r="A32" s="879"/>
      <c r="B32" s="21" t="s">
        <v>142</v>
      </c>
      <c r="C32" s="17">
        <v>0</v>
      </c>
      <c r="D32" s="17">
        <v>0</v>
      </c>
      <c r="E32" s="17">
        <v>0</v>
      </c>
      <c r="F32" s="17">
        <v>0</v>
      </c>
      <c r="G32" s="17">
        <v>0</v>
      </c>
      <c r="H32" s="17">
        <v>0</v>
      </c>
      <c r="I32" s="17">
        <v>0</v>
      </c>
      <c r="J32" s="17">
        <v>0</v>
      </c>
      <c r="K32" s="17">
        <v>0</v>
      </c>
      <c r="L32" s="17">
        <v>0</v>
      </c>
      <c r="M32" s="17">
        <v>0</v>
      </c>
      <c r="N32" s="17">
        <v>0</v>
      </c>
      <c r="O32" s="18">
        <f t="shared" si="0"/>
        <v>0</v>
      </c>
      <c r="P32" s="1"/>
    </row>
    <row r="33" spans="1:16" ht="15" hidden="1" customHeight="1" x14ac:dyDescent="0.2">
      <c r="A33" s="880"/>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219"/>
      <c r="B34" s="220" t="s">
        <v>143</v>
      </c>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865" t="s">
        <v>145</v>
      </c>
      <c r="B35" s="866"/>
      <c r="C35" s="17">
        <v>0</v>
      </c>
      <c r="D35" s="17">
        <v>216</v>
      </c>
      <c r="E35" s="17">
        <v>0</v>
      </c>
      <c r="F35" s="17">
        <v>0</v>
      </c>
      <c r="G35" s="17">
        <v>0</v>
      </c>
      <c r="H35" s="17">
        <v>0</v>
      </c>
      <c r="I35" s="17">
        <v>0</v>
      </c>
      <c r="J35" s="17">
        <v>216</v>
      </c>
      <c r="K35" s="17">
        <v>0</v>
      </c>
      <c r="L35" s="17">
        <v>0</v>
      </c>
      <c r="M35" s="17">
        <v>0</v>
      </c>
      <c r="N35" s="17">
        <v>0</v>
      </c>
      <c r="O35" s="18">
        <f t="shared" si="0"/>
        <v>432</v>
      </c>
    </row>
    <row r="36" spans="1:16" ht="15" customHeight="1" x14ac:dyDescent="0.2">
      <c r="A36" s="865" t="s">
        <v>146</v>
      </c>
      <c r="B36" s="866"/>
      <c r="C36" s="17">
        <v>0</v>
      </c>
      <c r="D36" s="17">
        <v>2568</v>
      </c>
      <c r="E36" s="17">
        <v>0</v>
      </c>
      <c r="F36" s="17">
        <v>0</v>
      </c>
      <c r="G36" s="17">
        <v>0</v>
      </c>
      <c r="H36" s="17">
        <v>0</v>
      </c>
      <c r="I36" s="17">
        <v>0</v>
      </c>
      <c r="J36" s="17">
        <v>2646</v>
      </c>
      <c r="K36" s="17">
        <v>0</v>
      </c>
      <c r="L36" s="17">
        <v>0</v>
      </c>
      <c r="M36" s="17">
        <v>0</v>
      </c>
      <c r="N36" s="17">
        <v>0</v>
      </c>
      <c r="O36" s="18">
        <f t="shared" si="0"/>
        <v>5214</v>
      </c>
    </row>
    <row r="37" spans="1:16" ht="15" customHeight="1" x14ac:dyDescent="0.2">
      <c r="A37" s="22"/>
      <c r="B37" s="23" t="s">
        <v>147</v>
      </c>
      <c r="C37" s="24">
        <f t="shared" ref="C37:N37" si="1">SUM(C9:C36)</f>
        <v>58992</v>
      </c>
      <c r="D37" s="24">
        <f t="shared" si="1"/>
        <v>62704</v>
      </c>
      <c r="E37" s="24">
        <f t="shared" si="1"/>
        <v>59920</v>
      </c>
      <c r="F37" s="24">
        <f t="shared" si="1"/>
        <v>59920</v>
      </c>
      <c r="G37" s="24">
        <f t="shared" si="1"/>
        <v>61623</v>
      </c>
      <c r="H37" s="24">
        <f t="shared" si="1"/>
        <v>61623</v>
      </c>
      <c r="I37" s="24">
        <f t="shared" si="1"/>
        <v>61623</v>
      </c>
      <c r="J37" s="24">
        <f t="shared" si="1"/>
        <v>72347</v>
      </c>
      <c r="K37" s="24">
        <f t="shared" si="1"/>
        <v>62577</v>
      </c>
      <c r="L37" s="24">
        <f t="shared" si="1"/>
        <v>62577</v>
      </c>
      <c r="M37" s="24">
        <f t="shared" si="1"/>
        <v>62577</v>
      </c>
      <c r="N37" s="24">
        <f t="shared" si="1"/>
        <v>62577</v>
      </c>
      <c r="O37" s="25">
        <f t="shared" ref="O37:O50" si="2">SUM(C37:N37)</f>
        <v>749060</v>
      </c>
    </row>
    <row r="38" spans="1:16" ht="15" customHeight="1" x14ac:dyDescent="0.25">
      <c r="A38" s="853" t="s">
        <v>148</v>
      </c>
      <c r="B38" s="27" t="s">
        <v>149</v>
      </c>
      <c r="C38" s="147">
        <v>600</v>
      </c>
      <c r="D38" s="147">
        <v>1000</v>
      </c>
      <c r="E38" s="147">
        <v>1000</v>
      </c>
      <c r="F38" s="147">
        <v>1000</v>
      </c>
      <c r="G38" s="147">
        <v>1000</v>
      </c>
      <c r="H38" s="147">
        <v>0</v>
      </c>
      <c r="I38" s="147">
        <v>0</v>
      </c>
      <c r="J38" s="147">
        <v>0</v>
      </c>
      <c r="K38" s="147">
        <v>1600</v>
      </c>
      <c r="L38" s="147">
        <v>1600</v>
      </c>
      <c r="M38" s="147">
        <v>1600</v>
      </c>
      <c r="N38">
        <v>1710</v>
      </c>
      <c r="O38" s="18">
        <f t="shared" si="2"/>
        <v>11110</v>
      </c>
      <c r="P38" s="29"/>
    </row>
    <row r="39" spans="1:16" ht="15" customHeight="1" x14ac:dyDescent="0.2">
      <c r="A39" s="854"/>
      <c r="B39" s="27" t="s">
        <v>150</v>
      </c>
      <c r="C39" s="147">
        <v>0</v>
      </c>
      <c r="D39" s="147">
        <v>0</v>
      </c>
      <c r="E39" s="147">
        <v>0</v>
      </c>
      <c r="F39" s="147">
        <v>0</v>
      </c>
      <c r="G39" s="147">
        <v>0</v>
      </c>
      <c r="H39" s="147">
        <v>0</v>
      </c>
      <c r="I39" s="147">
        <v>0</v>
      </c>
      <c r="J39" s="147">
        <v>0</v>
      </c>
      <c r="K39" s="147">
        <v>0</v>
      </c>
      <c r="L39" s="147">
        <v>0</v>
      </c>
      <c r="M39" s="147">
        <v>0</v>
      </c>
      <c r="N39" s="147">
        <v>0</v>
      </c>
      <c r="O39" s="18">
        <f t="shared" si="2"/>
        <v>0</v>
      </c>
    </row>
    <row r="40" spans="1:16" ht="15" customHeight="1" x14ac:dyDescent="0.2">
      <c r="A40" s="854"/>
      <c r="B40" s="27" t="s">
        <v>151</v>
      </c>
      <c r="C40" s="147">
        <v>30</v>
      </c>
      <c r="D40" s="147">
        <v>30</v>
      </c>
      <c r="E40" s="147">
        <v>30</v>
      </c>
      <c r="F40" s="147">
        <v>30</v>
      </c>
      <c r="G40" s="147">
        <v>30</v>
      </c>
      <c r="H40" s="147">
        <v>30</v>
      </c>
      <c r="I40" s="147">
        <v>30</v>
      </c>
      <c r="J40" s="147">
        <v>30</v>
      </c>
      <c r="K40" s="147">
        <v>30</v>
      </c>
      <c r="L40" s="147">
        <v>30</v>
      </c>
      <c r="M40" s="147">
        <v>30</v>
      </c>
      <c r="N40" s="147">
        <v>30</v>
      </c>
      <c r="O40" s="18">
        <f t="shared" si="2"/>
        <v>360</v>
      </c>
    </row>
    <row r="41" spans="1:16" ht="15" customHeight="1" x14ac:dyDescent="0.2">
      <c r="A41" s="854"/>
      <c r="B41" s="27" t="s">
        <v>152</v>
      </c>
      <c r="C41" s="147">
        <v>0</v>
      </c>
      <c r="D41" s="147">
        <v>0</v>
      </c>
      <c r="E41" s="147">
        <v>0</v>
      </c>
      <c r="F41" s="147">
        <v>0</v>
      </c>
      <c r="G41" s="147">
        <v>0</v>
      </c>
      <c r="H41" s="147">
        <v>0</v>
      </c>
      <c r="I41" s="147">
        <v>0</v>
      </c>
      <c r="J41" s="147">
        <v>0</v>
      </c>
      <c r="K41" s="147">
        <v>0</v>
      </c>
      <c r="L41" s="147">
        <v>0</v>
      </c>
      <c r="M41" s="147">
        <v>0</v>
      </c>
      <c r="N41" s="147">
        <v>0</v>
      </c>
      <c r="O41" s="18">
        <f t="shared" si="2"/>
        <v>0</v>
      </c>
    </row>
    <row r="42" spans="1:16" ht="15" customHeight="1" x14ac:dyDescent="0.2">
      <c r="A42" s="854"/>
      <c r="B42" s="27" t="s">
        <v>153</v>
      </c>
      <c r="C42" s="147">
        <v>0</v>
      </c>
      <c r="D42" s="147">
        <v>0</v>
      </c>
      <c r="E42" s="147">
        <v>0</v>
      </c>
      <c r="F42" s="147">
        <v>0</v>
      </c>
      <c r="G42" s="147">
        <v>0</v>
      </c>
      <c r="H42" s="147">
        <v>0</v>
      </c>
      <c r="I42" s="147">
        <v>0</v>
      </c>
      <c r="J42" s="147">
        <v>0</v>
      </c>
      <c r="K42" s="147">
        <v>0</v>
      </c>
      <c r="L42" s="147">
        <v>0</v>
      </c>
      <c r="M42" s="147">
        <v>0</v>
      </c>
      <c r="N42" s="147">
        <v>0</v>
      </c>
      <c r="O42" s="18">
        <f t="shared" si="2"/>
        <v>0</v>
      </c>
    </row>
    <row r="43" spans="1:16" ht="15" customHeight="1" x14ac:dyDescent="0.2">
      <c r="A43" s="854"/>
      <c r="B43" s="27" t="s">
        <v>154</v>
      </c>
      <c r="C43" s="147">
        <v>10000</v>
      </c>
      <c r="D43" s="147">
        <v>10000</v>
      </c>
      <c r="E43" s="147">
        <v>10000</v>
      </c>
      <c r="F43" s="147">
        <v>10000</v>
      </c>
      <c r="G43" s="147">
        <v>10000</v>
      </c>
      <c r="H43" s="147">
        <v>10000</v>
      </c>
      <c r="I43" s="147">
        <v>10000</v>
      </c>
      <c r="J43" s="147">
        <v>10000</v>
      </c>
      <c r="K43" s="147">
        <v>10000</v>
      </c>
      <c r="L43" s="147">
        <v>10000</v>
      </c>
      <c r="M43" s="147">
        <v>10000</v>
      </c>
      <c r="N43" s="147">
        <v>10000</v>
      </c>
      <c r="O43" s="18">
        <f>SUM(C43:N43)</f>
        <v>120000</v>
      </c>
      <c r="P43" s="170"/>
    </row>
    <row r="44" spans="1:16" ht="15" customHeight="1" x14ac:dyDescent="0.2">
      <c r="A44" s="854"/>
      <c r="B44" s="27" t="s">
        <v>155</v>
      </c>
      <c r="C44" s="147">
        <v>200</v>
      </c>
      <c r="D44" s="147">
        <v>200</v>
      </c>
      <c r="E44" s="147">
        <v>200</v>
      </c>
      <c r="F44" s="147">
        <v>200</v>
      </c>
      <c r="G44" s="147">
        <v>200</v>
      </c>
      <c r="H44" s="147">
        <v>200</v>
      </c>
      <c r="I44" s="147">
        <v>200</v>
      </c>
      <c r="J44" s="147">
        <v>200</v>
      </c>
      <c r="K44" s="147">
        <v>200</v>
      </c>
      <c r="L44" s="147">
        <v>200</v>
      </c>
      <c r="M44" s="147">
        <v>200</v>
      </c>
      <c r="N44" s="147">
        <v>300</v>
      </c>
      <c r="O44" s="18">
        <f t="shared" si="2"/>
        <v>2500</v>
      </c>
    </row>
    <row r="45" spans="1:16" ht="15" x14ac:dyDescent="0.2">
      <c r="A45" s="854"/>
      <c r="B45" s="27" t="s">
        <v>156</v>
      </c>
      <c r="C45" s="147">
        <v>0</v>
      </c>
      <c r="D45" s="147">
        <v>0</v>
      </c>
      <c r="E45" s="147">
        <v>0</v>
      </c>
      <c r="F45" s="147">
        <v>0</v>
      </c>
      <c r="G45" s="147">
        <v>0</v>
      </c>
      <c r="H45" s="147">
        <v>0</v>
      </c>
      <c r="I45" s="147">
        <v>0</v>
      </c>
      <c r="J45" s="147">
        <v>0</v>
      </c>
      <c r="K45" s="147">
        <v>0</v>
      </c>
      <c r="L45" s="147">
        <v>0</v>
      </c>
      <c r="M45" s="147">
        <v>0</v>
      </c>
      <c r="N45" s="147">
        <v>0</v>
      </c>
      <c r="O45" s="18">
        <f t="shared" si="2"/>
        <v>0</v>
      </c>
    </row>
    <row r="46" spans="1:16" ht="15" x14ac:dyDescent="0.2">
      <c r="A46" s="854"/>
      <c r="B46" s="27" t="s">
        <v>157</v>
      </c>
      <c r="C46" s="147">
        <v>0</v>
      </c>
      <c r="D46" s="147">
        <v>0</v>
      </c>
      <c r="E46" s="147">
        <v>0</v>
      </c>
      <c r="F46" s="147">
        <v>0</v>
      </c>
      <c r="G46" s="147">
        <v>0</v>
      </c>
      <c r="H46" s="147">
        <v>0</v>
      </c>
      <c r="I46" s="147">
        <v>0</v>
      </c>
      <c r="J46" s="147">
        <v>0</v>
      </c>
      <c r="K46" s="147">
        <v>0</v>
      </c>
      <c r="L46" s="147">
        <v>0</v>
      </c>
      <c r="M46" s="147">
        <v>0</v>
      </c>
      <c r="N46" s="147">
        <v>0</v>
      </c>
      <c r="O46" s="18">
        <f t="shared" si="2"/>
        <v>0</v>
      </c>
    </row>
    <row r="47" spans="1:16" ht="28.5" customHeight="1" x14ac:dyDescent="0.2">
      <c r="A47" s="855"/>
      <c r="B47" s="30" t="s">
        <v>158</v>
      </c>
      <c r="C47" s="147">
        <v>4985</v>
      </c>
      <c r="D47" s="147">
        <v>4985</v>
      </c>
      <c r="E47" s="147">
        <v>4985</v>
      </c>
      <c r="F47" s="147">
        <v>4985</v>
      </c>
      <c r="G47" s="147">
        <v>4985</v>
      </c>
      <c r="H47" s="147">
        <v>4985</v>
      </c>
      <c r="I47" s="147">
        <v>4985</v>
      </c>
      <c r="J47" s="147">
        <v>4985</v>
      </c>
      <c r="K47" s="147">
        <v>4985</v>
      </c>
      <c r="L47" s="147">
        <v>4985</v>
      </c>
      <c r="M47" s="147">
        <v>4985</v>
      </c>
      <c r="N47" s="147">
        <v>4985</v>
      </c>
      <c r="O47" s="31">
        <f t="shared" si="2"/>
        <v>59820</v>
      </c>
    </row>
    <row r="48" spans="1:16" ht="30" x14ac:dyDescent="0.2">
      <c r="A48" s="856"/>
      <c r="B48" s="127" t="s">
        <v>878</v>
      </c>
      <c r="C48" s="147">
        <v>0</v>
      </c>
      <c r="D48" s="147">
        <v>0</v>
      </c>
      <c r="E48" s="147">
        <v>0</v>
      </c>
      <c r="F48" s="147">
        <v>0</v>
      </c>
      <c r="G48" s="147">
        <v>0</v>
      </c>
      <c r="H48" s="147">
        <v>0</v>
      </c>
      <c r="I48" s="147">
        <v>0</v>
      </c>
      <c r="J48" s="147">
        <v>0</v>
      </c>
      <c r="K48" s="147">
        <v>0</v>
      </c>
      <c r="L48" s="147">
        <v>0</v>
      </c>
      <c r="M48" s="147">
        <v>0</v>
      </c>
      <c r="N48" s="147">
        <v>0</v>
      </c>
      <c r="O48" s="31">
        <f t="shared" si="2"/>
        <v>0</v>
      </c>
    </row>
    <row r="49" spans="1:19" ht="15" x14ac:dyDescent="0.2">
      <c r="A49" s="857" t="s">
        <v>160</v>
      </c>
      <c r="B49" s="858"/>
      <c r="C49" s="33">
        <f t="shared" ref="C49:N49" si="3">SUM(C38:C48)</f>
        <v>15815</v>
      </c>
      <c r="D49" s="33">
        <f t="shared" si="3"/>
        <v>16215</v>
      </c>
      <c r="E49" s="33">
        <f t="shared" si="3"/>
        <v>16215</v>
      </c>
      <c r="F49" s="33">
        <f t="shared" si="3"/>
        <v>16215</v>
      </c>
      <c r="G49" s="33">
        <f t="shared" si="3"/>
        <v>16215</v>
      </c>
      <c r="H49" s="33">
        <f t="shared" si="3"/>
        <v>15215</v>
      </c>
      <c r="I49" s="33">
        <f t="shared" si="3"/>
        <v>15215</v>
      </c>
      <c r="J49" s="33">
        <f t="shared" si="3"/>
        <v>15215</v>
      </c>
      <c r="K49" s="33">
        <f t="shared" si="3"/>
        <v>16815</v>
      </c>
      <c r="L49" s="33">
        <f t="shared" si="3"/>
        <v>16815</v>
      </c>
      <c r="M49" s="33">
        <f t="shared" si="3"/>
        <v>16815</v>
      </c>
      <c r="N49" s="33">
        <f t="shared" si="3"/>
        <v>17025</v>
      </c>
      <c r="O49" s="34">
        <f t="shared" si="2"/>
        <v>193790</v>
      </c>
    </row>
    <row r="50" spans="1:19" ht="15.75" thickBot="1" x14ac:dyDescent="0.25">
      <c r="A50" s="859" t="s">
        <v>161</v>
      </c>
      <c r="B50" s="860"/>
      <c r="C50" s="35">
        <f t="shared" ref="C50:N50" si="4">C37-C49</f>
        <v>43177</v>
      </c>
      <c r="D50" s="35">
        <f t="shared" si="4"/>
        <v>46489</v>
      </c>
      <c r="E50" s="35">
        <f t="shared" si="4"/>
        <v>43705</v>
      </c>
      <c r="F50" s="35">
        <f t="shared" si="4"/>
        <v>43705</v>
      </c>
      <c r="G50" s="35">
        <f t="shared" si="4"/>
        <v>45408</v>
      </c>
      <c r="H50" s="35">
        <f t="shared" si="4"/>
        <v>46408</v>
      </c>
      <c r="I50" s="35">
        <f t="shared" si="4"/>
        <v>46408</v>
      </c>
      <c r="J50" s="35">
        <f t="shared" si="4"/>
        <v>57132</v>
      </c>
      <c r="K50" s="35">
        <f t="shared" si="4"/>
        <v>45762</v>
      </c>
      <c r="L50" s="35">
        <f t="shared" si="4"/>
        <v>45762</v>
      </c>
      <c r="M50" s="35">
        <f t="shared" si="4"/>
        <v>45762</v>
      </c>
      <c r="N50" s="35">
        <f t="shared" si="4"/>
        <v>45552</v>
      </c>
      <c r="O50" s="36">
        <f t="shared" si="2"/>
        <v>555270</v>
      </c>
    </row>
    <row r="51" spans="1:19" x14ac:dyDescent="0.2">
      <c r="G51" s="38"/>
      <c r="J51" s="300">
        <f>+J37-SUM(J22:J36)</f>
        <v>62577</v>
      </c>
      <c r="Q51" s="38"/>
    </row>
    <row r="52" spans="1:19" ht="13.5" thickBot="1" x14ac:dyDescent="0.25">
      <c r="J52" s="38">
        <f>+J51-J49</f>
        <v>47362</v>
      </c>
      <c r="Q52" s="38"/>
    </row>
    <row r="53" spans="1:19" ht="13.5" thickBot="1" x14ac:dyDescent="0.25">
      <c r="B53" s="789" t="s">
        <v>162</v>
      </c>
      <c r="C53" s="861"/>
      <c r="D53" s="861"/>
      <c r="E53" s="861"/>
      <c r="F53" s="862"/>
      <c r="G53" s="863">
        <f>O37</f>
        <v>749060</v>
      </c>
      <c r="H53" s="864"/>
    </row>
    <row r="54" spans="1:19" ht="13.5" thickBot="1" x14ac:dyDescent="0.25"/>
    <row r="55" spans="1:19" x14ac:dyDescent="0.2">
      <c r="B55" s="830" t="s">
        <v>163</v>
      </c>
      <c r="C55" s="833" t="s">
        <v>164</v>
      </c>
      <c r="D55" s="836" t="s">
        <v>811</v>
      </c>
      <c r="E55" s="837"/>
      <c r="F55" s="838"/>
      <c r="G55" s="839">
        <v>40000</v>
      </c>
      <c r="H55" s="840"/>
    </row>
    <row r="56" spans="1:19" x14ac:dyDescent="0.2">
      <c r="B56" s="831"/>
      <c r="C56" s="834"/>
      <c r="D56" s="841" t="s">
        <v>166</v>
      </c>
      <c r="E56" s="842"/>
      <c r="F56" s="843"/>
      <c r="G56" s="844">
        <f>+O44</f>
        <v>2500</v>
      </c>
      <c r="H56" s="845"/>
      <c r="I56" s="39"/>
      <c r="J56" s="846"/>
      <c r="K56" s="846"/>
      <c r="L56" s="846"/>
      <c r="M56" s="847"/>
      <c r="N56" s="847"/>
      <c r="O56" s="847"/>
    </row>
    <row r="57" spans="1:19" ht="13.5" thickBot="1" x14ac:dyDescent="0.25">
      <c r="B57" s="832"/>
      <c r="C57" s="835"/>
      <c r="D57" s="848" t="s">
        <v>266</v>
      </c>
      <c r="E57" s="849"/>
      <c r="F57" s="850"/>
      <c r="G57" s="851">
        <v>0</v>
      </c>
      <c r="H57" s="852"/>
      <c r="J57" s="47"/>
      <c r="K57" s="47"/>
      <c r="L57" s="47"/>
      <c r="M57" s="47"/>
      <c r="N57" s="47"/>
      <c r="O57" s="47"/>
    </row>
    <row r="58" spans="1:19" ht="13.5" thickBot="1" x14ac:dyDescent="0.25">
      <c r="B58" s="48"/>
      <c r="J58" s="47"/>
      <c r="K58" s="47"/>
      <c r="L58" s="47"/>
      <c r="M58" s="47"/>
      <c r="N58" s="47"/>
      <c r="O58" s="47"/>
    </row>
    <row r="59" spans="1:19" ht="13.5" thickBot="1" x14ac:dyDescent="0.25">
      <c r="B59" s="789" t="s">
        <v>168</v>
      </c>
      <c r="C59" s="790"/>
      <c r="D59" s="790"/>
      <c r="E59" s="790"/>
      <c r="F59" s="791"/>
      <c r="G59" s="825">
        <f>+G53-SUM(G55:H57)</f>
        <v>706560</v>
      </c>
      <c r="H59" s="826"/>
      <c r="J59" s="827" t="s">
        <v>169</v>
      </c>
      <c r="K59" s="828"/>
      <c r="L59" s="828"/>
      <c r="M59" s="828"/>
      <c r="N59" s="828"/>
      <c r="O59" s="829"/>
    </row>
    <row r="60" spans="1:19" ht="13.5" thickBot="1" x14ac:dyDescent="0.25">
      <c r="B60" s="49"/>
      <c r="C60" s="50"/>
      <c r="D60" s="50"/>
      <c r="E60" s="50"/>
      <c r="F60" s="50"/>
      <c r="G60" s="45"/>
      <c r="H60" s="50"/>
      <c r="J60" s="129"/>
      <c r="K60" s="130"/>
      <c r="L60" s="130"/>
      <c r="M60" s="130"/>
      <c r="N60" s="130"/>
      <c r="O60" s="131"/>
    </row>
    <row r="61" spans="1:19" ht="13.5" thickBot="1" x14ac:dyDescent="0.25">
      <c r="B61" s="789" t="s">
        <v>170</v>
      </c>
      <c r="C61" s="790"/>
      <c r="D61" s="790"/>
      <c r="E61" s="790"/>
      <c r="F61" s="791"/>
      <c r="G61" s="805"/>
      <c r="H61" s="791"/>
      <c r="J61" s="129"/>
      <c r="K61" s="130"/>
      <c r="L61" s="130"/>
      <c r="M61" s="130"/>
      <c r="N61" s="130"/>
      <c r="O61" s="131"/>
    </row>
    <row r="62" spans="1:19" ht="12.75" customHeight="1" x14ac:dyDescent="0.2">
      <c r="B62" s="57" t="s">
        <v>171</v>
      </c>
      <c r="C62" s="806" t="s">
        <v>172</v>
      </c>
      <c r="D62" s="807"/>
      <c r="E62" s="807"/>
      <c r="F62" s="808"/>
      <c r="G62" s="1106">
        <v>88020</v>
      </c>
      <c r="H62" s="1107"/>
      <c r="I62" s="58"/>
      <c r="J62" s="810" t="s">
        <v>173</v>
      </c>
      <c r="K62" s="811"/>
      <c r="L62" s="811"/>
      <c r="M62" s="811"/>
      <c r="N62" s="811"/>
      <c r="O62" s="812"/>
      <c r="Q62" s="59"/>
      <c r="R62" s="59"/>
      <c r="S62" s="59"/>
    </row>
    <row r="63" spans="1:19" ht="13.5" thickBot="1" x14ac:dyDescent="0.25">
      <c r="D63" s="37"/>
      <c r="I63" s="58"/>
      <c r="J63" s="60" t="s">
        <v>879</v>
      </c>
      <c r="K63" s="132"/>
      <c r="L63" s="132"/>
      <c r="M63" s="133"/>
      <c r="N63" s="133"/>
      <c r="O63" s="134"/>
      <c r="Q63" s="59"/>
      <c r="R63" s="59"/>
      <c r="S63" s="59"/>
    </row>
    <row r="64" spans="1:19" ht="13.5" thickBot="1" x14ac:dyDescent="0.25">
      <c r="B64" s="789" t="s">
        <v>175</v>
      </c>
      <c r="C64" s="790"/>
      <c r="D64" s="790"/>
      <c r="E64" s="790"/>
      <c r="F64" s="791"/>
      <c r="G64" s="805">
        <f>+G59-G62</f>
        <v>618540</v>
      </c>
      <c r="H64" s="791"/>
      <c r="I64" s="63"/>
      <c r="J64" s="75" t="s">
        <v>880</v>
      </c>
      <c r="K64" s="39"/>
      <c r="L64" s="39"/>
      <c r="M64" s="39"/>
      <c r="N64" s="39"/>
      <c r="O64" s="65"/>
      <c r="Q64" s="59"/>
      <c r="R64" s="59"/>
      <c r="S64" s="59"/>
    </row>
    <row r="65" spans="2:19" ht="12.75" customHeight="1" x14ac:dyDescent="0.2">
      <c r="B65" s="48"/>
      <c r="C65" s="48"/>
      <c r="I65" s="63"/>
      <c r="J65" s="75" t="s">
        <v>881</v>
      </c>
      <c r="K65" s="39"/>
      <c r="L65" s="39"/>
      <c r="M65" s="39"/>
      <c r="N65" s="39"/>
      <c r="O65" s="65"/>
      <c r="Q65" s="59"/>
      <c r="R65" s="59"/>
      <c r="S65" s="59"/>
    </row>
    <row r="66" spans="2:19" x14ac:dyDescent="0.2">
      <c r="B66" s="66" t="s">
        <v>176</v>
      </c>
      <c r="C66" s="48"/>
      <c r="I66" s="63"/>
      <c r="J66" s="67"/>
      <c r="K66" s="68"/>
      <c r="L66" s="68"/>
      <c r="M66" s="68"/>
      <c r="N66" s="68"/>
      <c r="O66" s="69"/>
      <c r="Q66" s="59"/>
      <c r="R66" s="59"/>
      <c r="S66" s="59"/>
    </row>
    <row r="67" spans="2:19" ht="26.25" customHeight="1" thickBot="1" x14ac:dyDescent="0.25">
      <c r="B67" s="66"/>
      <c r="C67" s="48"/>
      <c r="G67" s="70" t="s">
        <v>177</v>
      </c>
      <c r="H67" s="70" t="s">
        <v>178</v>
      </c>
      <c r="I67" s="63"/>
      <c r="J67" s="810" t="s">
        <v>179</v>
      </c>
      <c r="K67" s="811"/>
      <c r="L67" s="71"/>
      <c r="M67" s="71"/>
      <c r="N67" s="71"/>
      <c r="O67" s="72"/>
      <c r="Q67" s="59"/>
      <c r="R67" s="59"/>
      <c r="S67" s="59"/>
    </row>
    <row r="68" spans="2:19" ht="12.75" customHeight="1" x14ac:dyDescent="0.2">
      <c r="B68" s="802" t="s">
        <v>180</v>
      </c>
      <c r="C68" s="821" t="s">
        <v>181</v>
      </c>
      <c r="D68" s="823" t="s">
        <v>182</v>
      </c>
      <c r="E68" s="824"/>
      <c r="F68" s="824"/>
      <c r="G68" s="73">
        <f>+O43</f>
        <v>120000</v>
      </c>
      <c r="H68" s="74">
        <f>+G68</f>
        <v>120000</v>
      </c>
      <c r="I68" s="63"/>
      <c r="J68" s="75" t="s">
        <v>231</v>
      </c>
      <c r="K68" s="58"/>
      <c r="L68" s="58"/>
      <c r="M68" s="135" t="s">
        <v>232</v>
      </c>
      <c r="N68" s="58"/>
      <c r="O68" s="76"/>
      <c r="Q68" s="59"/>
      <c r="R68" s="59"/>
      <c r="S68" s="59"/>
    </row>
    <row r="69" spans="2:19" ht="12.75" customHeight="1" x14ac:dyDescent="0.2">
      <c r="B69" s="803"/>
      <c r="C69" s="822"/>
      <c r="D69" s="782" t="s">
        <v>184</v>
      </c>
      <c r="E69" s="783"/>
      <c r="F69" s="783"/>
      <c r="G69" s="77">
        <f>+O47+O69</f>
        <v>59820</v>
      </c>
      <c r="H69" s="78">
        <f t="shared" ref="H69:H75" si="5">+G69</f>
        <v>59820</v>
      </c>
      <c r="I69" s="63"/>
      <c r="J69" s="165" t="s">
        <v>882</v>
      </c>
      <c r="K69" s="68"/>
      <c r="L69" s="68"/>
      <c r="M69" s="135" t="s">
        <v>232</v>
      </c>
      <c r="N69" s="135" t="s">
        <v>670</v>
      </c>
      <c r="O69" s="136"/>
      <c r="Q69" s="59"/>
      <c r="R69" s="59"/>
      <c r="S69" s="59"/>
    </row>
    <row r="70" spans="2:19" ht="12.75" customHeight="1" x14ac:dyDescent="0.2">
      <c r="B70" s="803"/>
      <c r="C70" s="822"/>
      <c r="D70" s="819" t="s">
        <v>185</v>
      </c>
      <c r="E70" s="820"/>
      <c r="F70" s="820"/>
      <c r="G70" s="80">
        <f>O40</f>
        <v>360</v>
      </c>
      <c r="H70" s="78">
        <f t="shared" si="5"/>
        <v>360</v>
      </c>
      <c r="I70" s="63"/>
      <c r="J70" s="67"/>
      <c r="K70" s="68"/>
      <c r="L70" s="68"/>
      <c r="M70" s="68"/>
      <c r="N70" s="68"/>
      <c r="O70" s="69"/>
    </row>
    <row r="71" spans="2:19" x14ac:dyDescent="0.2">
      <c r="B71" s="803"/>
      <c r="C71" s="822"/>
      <c r="D71" s="782" t="s">
        <v>186</v>
      </c>
      <c r="E71" s="783"/>
      <c r="F71" s="783"/>
      <c r="G71" s="81">
        <v>0</v>
      </c>
      <c r="H71" s="78">
        <f t="shared" si="5"/>
        <v>0</v>
      </c>
      <c r="I71" s="63"/>
      <c r="J71" s="82" t="s">
        <v>187</v>
      </c>
      <c r="K71" s="71"/>
      <c r="L71" s="71"/>
      <c r="M71" s="71"/>
      <c r="N71" s="71"/>
      <c r="O71" s="72"/>
    </row>
    <row r="72" spans="2:19" ht="12.75" customHeight="1" x14ac:dyDescent="0.2">
      <c r="B72" s="803"/>
      <c r="C72" s="822"/>
      <c r="D72" s="784" t="s">
        <v>188</v>
      </c>
      <c r="E72" s="783"/>
      <c r="F72" s="783"/>
      <c r="G72" s="80">
        <v>0</v>
      </c>
      <c r="H72" s="78">
        <f t="shared" si="5"/>
        <v>0</v>
      </c>
      <c r="I72" s="63"/>
      <c r="J72" s="75" t="s">
        <v>189</v>
      </c>
      <c r="K72" s="50"/>
      <c r="L72" s="50"/>
      <c r="M72" s="50"/>
      <c r="N72" s="50"/>
      <c r="O72" s="83">
        <v>0</v>
      </c>
    </row>
    <row r="73" spans="2:19" ht="14.25" customHeight="1" x14ac:dyDescent="0.2">
      <c r="B73" s="803"/>
      <c r="C73" s="822"/>
      <c r="D73" s="782" t="s">
        <v>190</v>
      </c>
      <c r="E73" s="783"/>
      <c r="F73" s="783"/>
      <c r="G73" s="81">
        <v>0</v>
      </c>
      <c r="H73" s="78">
        <f t="shared" si="5"/>
        <v>0</v>
      </c>
      <c r="I73" s="63"/>
      <c r="J73" s="64" t="s">
        <v>883</v>
      </c>
      <c r="K73" s="39"/>
      <c r="L73" s="39"/>
      <c r="M73" s="39"/>
      <c r="N73" s="39"/>
      <c r="O73" s="65"/>
    </row>
    <row r="74" spans="2:19" x14ac:dyDescent="0.2">
      <c r="B74" s="803"/>
      <c r="C74" s="822"/>
      <c r="D74" s="782" t="s">
        <v>191</v>
      </c>
      <c r="E74" s="783"/>
      <c r="F74" s="783"/>
      <c r="G74" s="335"/>
      <c r="H74" s="78">
        <f t="shared" si="5"/>
        <v>0</v>
      </c>
      <c r="I74" s="58"/>
      <c r="J74" s="150"/>
      <c r="K74" s="50"/>
      <c r="L74" s="50"/>
      <c r="M74" s="50"/>
      <c r="N74" s="50"/>
      <c r="O74" s="83"/>
    </row>
    <row r="75" spans="2:19" x14ac:dyDescent="0.2">
      <c r="B75" s="803"/>
      <c r="C75" s="88" t="s">
        <v>192</v>
      </c>
      <c r="D75" s="813" t="s">
        <v>193</v>
      </c>
      <c r="E75" s="814"/>
      <c r="F75" s="814"/>
      <c r="G75" s="80">
        <v>0</v>
      </c>
      <c r="H75" s="78">
        <f t="shared" si="5"/>
        <v>0</v>
      </c>
      <c r="I75" s="58"/>
      <c r="J75" s="79"/>
      <c r="K75" s="39"/>
      <c r="L75" s="39"/>
      <c r="M75" s="39"/>
      <c r="N75" s="39"/>
      <c r="O75" s="65"/>
    </row>
    <row r="76" spans="2:19" ht="13.5" customHeight="1" thickBot="1" x14ac:dyDescent="0.25">
      <c r="B76" s="803"/>
      <c r="C76" s="88" t="s">
        <v>194</v>
      </c>
      <c r="D76" s="815" t="s">
        <v>195</v>
      </c>
      <c r="E76" s="815"/>
      <c r="F76" s="815"/>
      <c r="G76" s="89">
        <v>0</v>
      </c>
      <c r="H76" s="90">
        <f>+G76</f>
        <v>0</v>
      </c>
      <c r="I76" s="63"/>
      <c r="J76" s="67"/>
      <c r="K76" s="68"/>
      <c r="L76" s="68"/>
      <c r="M76" s="91"/>
      <c r="N76" s="91"/>
      <c r="O76" s="92"/>
    </row>
    <row r="77" spans="2:19" ht="13.5" thickBot="1" x14ac:dyDescent="0.25">
      <c r="B77" s="803"/>
      <c r="C77" s="93"/>
      <c r="D77" s="94"/>
      <c r="E77" s="816" t="s">
        <v>117</v>
      </c>
      <c r="F77" s="817"/>
      <c r="G77" s="95">
        <f>SUM(G68:G76)</f>
        <v>180180</v>
      </c>
      <c r="H77" s="96">
        <f>IF(SUM(G68:G74)&lt;150000,SUM(G68:G74),150000)+IF(+G75&lt;20000,+G75,20000)</f>
        <v>150000</v>
      </c>
      <c r="I77" s="63"/>
      <c r="J77" s="140"/>
      <c r="K77" s="141"/>
      <c r="L77" s="141"/>
      <c r="M77" s="142"/>
      <c r="N77" s="142"/>
      <c r="O77" s="143"/>
    </row>
    <row r="78" spans="2:19" ht="12.75" customHeight="1" x14ac:dyDescent="0.2">
      <c r="B78" s="803"/>
      <c r="C78" s="100" t="s">
        <v>196</v>
      </c>
      <c r="D78" s="782" t="s">
        <v>187</v>
      </c>
      <c r="E78" s="783"/>
      <c r="F78" s="818"/>
      <c r="G78" s="73">
        <v>5000</v>
      </c>
      <c r="H78" s="221">
        <f>+IF(+G78&lt;25000,+G78,25000)</f>
        <v>5000</v>
      </c>
      <c r="I78" s="87"/>
    </row>
    <row r="79" spans="2:19" x14ac:dyDescent="0.2">
      <c r="B79" s="803"/>
      <c r="C79" s="100" t="s">
        <v>197</v>
      </c>
      <c r="D79" s="784" t="s">
        <v>198</v>
      </c>
      <c r="E79" s="785"/>
      <c r="F79" s="786"/>
      <c r="G79" s="102"/>
      <c r="H79" s="222">
        <f>+IF(+G79&lt;40000,+G79,40000)</f>
        <v>0</v>
      </c>
      <c r="I79" s="63"/>
    </row>
    <row r="80" spans="2:19" x14ac:dyDescent="0.2">
      <c r="B80" s="803"/>
      <c r="C80" s="100" t="s">
        <v>199</v>
      </c>
      <c r="D80" s="784" t="s">
        <v>200</v>
      </c>
      <c r="E80" s="785"/>
      <c r="F80" s="786"/>
      <c r="G80" s="81"/>
      <c r="H80" s="104">
        <v>0</v>
      </c>
      <c r="I80" s="63"/>
      <c r="J80" s="172"/>
      <c r="K80" s="172"/>
      <c r="L80" s="172"/>
    </row>
    <row r="81" spans="2:12" x14ac:dyDescent="0.2">
      <c r="B81" s="803"/>
      <c r="C81" s="100" t="s">
        <v>201</v>
      </c>
      <c r="D81" s="784" t="s">
        <v>202</v>
      </c>
      <c r="E81" s="785"/>
      <c r="F81" s="786"/>
      <c r="G81" s="81"/>
      <c r="H81" s="104">
        <v>0</v>
      </c>
      <c r="I81" s="63"/>
    </row>
    <row r="82" spans="2:12" ht="13.5" thickBot="1" x14ac:dyDescent="0.25">
      <c r="B82" s="804"/>
      <c r="C82" s="100" t="s">
        <v>203</v>
      </c>
      <c r="D82" s="784" t="s">
        <v>204</v>
      </c>
      <c r="E82" s="785"/>
      <c r="F82" s="786"/>
      <c r="G82" s="102"/>
      <c r="H82" s="222">
        <f>+IF(+G82&lt;100000,+G82,10000)</f>
        <v>0</v>
      </c>
      <c r="I82" s="63"/>
      <c r="J82" s="106"/>
    </row>
    <row r="83" spans="2:12" ht="13.5" thickBot="1" x14ac:dyDescent="0.25">
      <c r="B83" s="787" t="s">
        <v>205</v>
      </c>
      <c r="C83" s="788"/>
      <c r="D83" s="788"/>
      <c r="E83" s="788"/>
      <c r="F83" s="788"/>
      <c r="G83" s="107">
        <f>SUM(G78:G82)</f>
        <v>5000</v>
      </c>
      <c r="H83" s="108">
        <f>SUM(H77:H82)</f>
        <v>155000</v>
      </c>
    </row>
    <row r="84" spans="2:12" ht="13.5" thickBot="1" x14ac:dyDescent="0.25"/>
    <row r="85" spans="2:12" ht="13.5" thickBot="1" x14ac:dyDescent="0.25">
      <c r="B85" s="789" t="s">
        <v>206</v>
      </c>
      <c r="C85" s="790"/>
      <c r="D85" s="790"/>
      <c r="E85" s="790"/>
      <c r="F85" s="791"/>
      <c r="G85" s="1055">
        <f>ROUND(+G64-H83,-1)</f>
        <v>463540</v>
      </c>
      <c r="H85" s="1056"/>
      <c r="J85" s="251">
        <f>C37+D37+E37+F37</f>
        <v>241536</v>
      </c>
      <c r="K85" s="16" t="s">
        <v>235</v>
      </c>
      <c r="L85" s="87"/>
    </row>
    <row r="86" spans="2:12" x14ac:dyDescent="0.2">
      <c r="B86" s="110"/>
      <c r="F86" s="105"/>
      <c r="J86" s="251">
        <f>G37+H37+I37</f>
        <v>184869</v>
      </c>
      <c r="K86" s="16" t="s">
        <v>236</v>
      </c>
      <c r="L86" s="87"/>
    </row>
    <row r="87" spans="2:12" x14ac:dyDescent="0.2">
      <c r="C87" s="793" t="s">
        <v>207</v>
      </c>
      <c r="D87" s="794"/>
      <c r="E87" s="111" t="s">
        <v>208</v>
      </c>
      <c r="F87" s="111" t="s">
        <v>209</v>
      </c>
      <c r="G87" s="111" t="s">
        <v>210</v>
      </c>
      <c r="H87" s="111" t="s">
        <v>211</v>
      </c>
      <c r="J87" s="251">
        <f>J37+K37+L37</f>
        <v>197501</v>
      </c>
      <c r="K87" s="47" t="s">
        <v>237</v>
      </c>
      <c r="L87" s="87"/>
    </row>
    <row r="88" spans="2:12" x14ac:dyDescent="0.2">
      <c r="C88" s="795" t="str">
        <f>IF(I6="M","0          - 250000","0          -  250000")</f>
        <v>0          -  250000</v>
      </c>
      <c r="D88" s="796"/>
      <c r="E88" s="112">
        <v>0</v>
      </c>
      <c r="F88" s="113">
        <f>IF(I6="M",(IF(G85&lt;250000,G85,250000)),(IF(G85&lt;250000,G85,250000)))</f>
        <v>250000</v>
      </c>
      <c r="G88" s="113">
        <f>G85-F88</f>
        <v>213540</v>
      </c>
      <c r="H88" s="113">
        <f>E88*F88</f>
        <v>0</v>
      </c>
      <c r="J88" s="16">
        <f>M37+N37</f>
        <v>125154</v>
      </c>
      <c r="K88" s="1" t="s">
        <v>238</v>
      </c>
      <c r="L88" s="87"/>
    </row>
    <row r="89" spans="2:12" x14ac:dyDescent="0.2">
      <c r="C89" s="795" t="str">
        <f>IF(I6="M","250001 - 500000","250001-500000")</f>
        <v>250001-500000</v>
      </c>
      <c r="D89" s="796"/>
      <c r="E89" s="112">
        <v>0.05</v>
      </c>
      <c r="F89" s="113">
        <f>IF(I6="M",(IF(G88&lt;250000,G88,250000)),(IF(G88&lt;250000,G88,250000)))</f>
        <v>213540</v>
      </c>
      <c r="G89" s="113">
        <f>G88-F89</f>
        <v>0</v>
      </c>
      <c r="H89" s="114">
        <f>ROUND(E89*F89,0.1)</f>
        <v>10677</v>
      </c>
      <c r="J89" s="115">
        <f>SUM(J85:J88)</f>
        <v>749060</v>
      </c>
      <c r="L89" s="87"/>
    </row>
    <row r="90" spans="2:12" x14ac:dyDescent="0.2">
      <c r="C90" s="797" t="s">
        <v>212</v>
      </c>
      <c r="D90" s="798"/>
      <c r="E90" s="112">
        <v>0.2</v>
      </c>
      <c r="F90" s="113">
        <f>IF(G89&lt;500000,G89,500000)</f>
        <v>0</v>
      </c>
      <c r="G90" s="113">
        <f>G89-F90</f>
        <v>0</v>
      </c>
      <c r="H90" s="114">
        <f>ROUND(E90*F90,0.1)</f>
        <v>0</v>
      </c>
      <c r="J90" s="16">
        <f>+G85</f>
        <v>463540</v>
      </c>
      <c r="L90" s="87"/>
    </row>
    <row r="91" spans="2:12" x14ac:dyDescent="0.2">
      <c r="C91" s="795" t="s">
        <v>213</v>
      </c>
      <c r="D91" s="796"/>
      <c r="E91" s="112">
        <v>0.3</v>
      </c>
      <c r="F91" s="113">
        <f>G90</f>
        <v>0</v>
      </c>
      <c r="G91" s="113">
        <f>G90-F91</f>
        <v>0</v>
      </c>
      <c r="H91" s="114">
        <f>ROUND(E91*F91,0.1)</f>
        <v>0</v>
      </c>
      <c r="J91" s="16">
        <f>+J89-J90</f>
        <v>285520</v>
      </c>
      <c r="K91" s="1"/>
      <c r="L91" s="87"/>
    </row>
    <row r="92" spans="2:12" ht="12.75" customHeight="1" thickBot="1" x14ac:dyDescent="0.25">
      <c r="B92" s="116"/>
      <c r="C92" s="117"/>
      <c r="D92" s="47"/>
      <c r="E92" s="47"/>
      <c r="F92" s="47"/>
      <c r="J92" s="87"/>
      <c r="K92" s="118"/>
      <c r="L92" s="87"/>
    </row>
    <row r="93" spans="2:12" ht="14.25" customHeight="1" thickBot="1" x14ac:dyDescent="0.25">
      <c r="B93" s="799" t="s">
        <v>239</v>
      </c>
      <c r="C93" s="800"/>
      <c r="D93" s="800"/>
      <c r="E93" s="800"/>
      <c r="F93" s="801"/>
      <c r="G93" s="771">
        <f>H88+H89+H90+H91</f>
        <v>10677</v>
      </c>
      <c r="H93" s="772"/>
      <c r="J93" s="87"/>
      <c r="K93" s="87"/>
      <c r="L93" s="87"/>
    </row>
    <row r="94" spans="2:12" ht="14.25" customHeight="1" thickBot="1" x14ac:dyDescent="0.25">
      <c r="B94" s="119" t="s">
        <v>215</v>
      </c>
      <c r="C94" s="120"/>
      <c r="D94" s="120"/>
      <c r="E94" s="120"/>
      <c r="F94" s="120"/>
      <c r="G94" s="884">
        <f>IF((G64&lt;500000),5000,0)</f>
        <v>0</v>
      </c>
      <c r="H94" s="885">
        <f>IF(H92&lt;200000,0,IF(H92&lt;220000,((H92-200000)*10%),IF(H92&lt;=500000,2000,IF(H92&gt;=500000,0))))</f>
        <v>0</v>
      </c>
    </row>
    <row r="95" spans="2:12" ht="14.25" customHeight="1" thickBot="1" x14ac:dyDescent="0.25">
      <c r="B95" s="122" t="s">
        <v>216</v>
      </c>
      <c r="C95" s="123"/>
      <c r="D95" s="123"/>
      <c r="E95" s="123"/>
      <c r="F95" s="123"/>
      <c r="G95" s="771">
        <f>IF((G93-G94)&lt;0,0,(G93-G94))</f>
        <v>10677</v>
      </c>
      <c r="H95" s="772"/>
    </row>
    <row r="96" spans="2:12" ht="14.25" customHeight="1" thickBot="1" x14ac:dyDescent="0.25">
      <c r="B96" s="773" t="s">
        <v>240</v>
      </c>
      <c r="C96" s="774"/>
      <c r="D96" s="774"/>
      <c r="E96" s="774"/>
      <c r="F96" s="775"/>
      <c r="G96" s="776">
        <f>ROUND((IF(G95&gt;0,(G95*4%),0)),0)</f>
        <v>427</v>
      </c>
      <c r="H96" s="777"/>
    </row>
    <row r="97" spans="2:9" ht="14.25" customHeight="1" thickBot="1" x14ac:dyDescent="0.25">
      <c r="B97" s="778" t="s">
        <v>218</v>
      </c>
      <c r="C97" s="779"/>
      <c r="D97" s="779"/>
      <c r="E97" s="779"/>
      <c r="F97" s="779"/>
      <c r="G97" s="780">
        <f>+G95+G96</f>
        <v>11104</v>
      </c>
      <c r="H97" s="781"/>
    </row>
    <row r="98" spans="2:9" ht="13.5" thickBot="1" x14ac:dyDescent="0.25">
      <c r="B98" s="765" t="s">
        <v>219</v>
      </c>
      <c r="C98" s="766"/>
      <c r="D98" s="766"/>
      <c r="E98" s="766"/>
      <c r="F98" s="766"/>
      <c r="G98" s="767">
        <f>O38</f>
        <v>11110</v>
      </c>
      <c r="H98" s="768"/>
    </row>
    <row r="99" spans="2:9" ht="13.5" thickBot="1" x14ac:dyDescent="0.25">
      <c r="B99" s="765" t="str">
        <f>IF(G99&gt;0,"TAX PAYABLE","TAX REFUND")</f>
        <v>TAX REFUND</v>
      </c>
      <c r="C99" s="766"/>
      <c r="D99" s="766"/>
      <c r="E99" s="766"/>
      <c r="F99" s="766"/>
      <c r="G99" s="767">
        <f>+G97-G98</f>
        <v>-6</v>
      </c>
      <c r="H99" s="768"/>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c r="I106" s="121"/>
    </row>
    <row r="107" spans="2:9" x14ac:dyDescent="0.2">
      <c r="C107" s="39"/>
      <c r="D107" s="39"/>
      <c r="E107" s="39"/>
      <c r="F107" s="39"/>
      <c r="G107" s="39"/>
      <c r="H107" s="39"/>
    </row>
  </sheetData>
  <mergeCells count="92">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8:A48"/>
    <mergeCell ref="A5:C5"/>
    <mergeCell ref="D5:F5"/>
    <mergeCell ref="G5:H5"/>
    <mergeCell ref="I5:O5"/>
    <mergeCell ref="A6:C6"/>
    <mergeCell ref="D6:F6"/>
    <mergeCell ref="G6:H6"/>
    <mergeCell ref="J6:O6"/>
    <mergeCell ref="L7:O7"/>
    <mergeCell ref="A8:B8"/>
    <mergeCell ref="A21:A33"/>
    <mergeCell ref="A35:B35"/>
    <mergeCell ref="A36:B36"/>
    <mergeCell ref="A49:B49"/>
    <mergeCell ref="A50:B50"/>
    <mergeCell ref="B53:F53"/>
    <mergeCell ref="G53:H53"/>
    <mergeCell ref="B55:B57"/>
    <mergeCell ref="C55:C57"/>
    <mergeCell ref="D55:F55"/>
    <mergeCell ref="G55:H55"/>
    <mergeCell ref="D56:F56"/>
    <mergeCell ref="G56:H56"/>
    <mergeCell ref="B64:F64"/>
    <mergeCell ref="G64:H64"/>
    <mergeCell ref="J56:L56"/>
    <mergeCell ref="M56:O56"/>
    <mergeCell ref="D57:F57"/>
    <mergeCell ref="G57:H57"/>
    <mergeCell ref="B59:F59"/>
    <mergeCell ref="G59:H59"/>
    <mergeCell ref="J59:O59"/>
    <mergeCell ref="B61:F61"/>
    <mergeCell ref="G61:H61"/>
    <mergeCell ref="C62:F62"/>
    <mergeCell ref="G62:H62"/>
    <mergeCell ref="J62:O62"/>
    <mergeCell ref="D80:F80"/>
    <mergeCell ref="J67:K67"/>
    <mergeCell ref="B68:B82"/>
    <mergeCell ref="C68:C74"/>
    <mergeCell ref="D68:F68"/>
    <mergeCell ref="D69:F69"/>
    <mergeCell ref="D70:F70"/>
    <mergeCell ref="D71:F71"/>
    <mergeCell ref="D72:F72"/>
    <mergeCell ref="D73:F73"/>
    <mergeCell ref="D74:F74"/>
    <mergeCell ref="D75:F75"/>
    <mergeCell ref="D76:F76"/>
    <mergeCell ref="E77:F77"/>
    <mergeCell ref="D78:F78"/>
    <mergeCell ref="D79:F79"/>
    <mergeCell ref="G93:H93"/>
    <mergeCell ref="D81:F81"/>
    <mergeCell ref="D82:F82"/>
    <mergeCell ref="B83:F83"/>
    <mergeCell ref="B85:F85"/>
    <mergeCell ref="G85:H85"/>
    <mergeCell ref="C87:D87"/>
    <mergeCell ref="C88:D88"/>
    <mergeCell ref="C89:D89"/>
    <mergeCell ref="C90:D90"/>
    <mergeCell ref="C91:D91"/>
    <mergeCell ref="B93:F93"/>
    <mergeCell ref="B98:F98"/>
    <mergeCell ref="G98:H98"/>
    <mergeCell ref="B99:F99"/>
    <mergeCell ref="G99:H99"/>
    <mergeCell ref="G94:H94"/>
    <mergeCell ref="G95:H95"/>
    <mergeCell ref="B96:F96"/>
    <mergeCell ref="G96:H96"/>
    <mergeCell ref="B97:F97"/>
    <mergeCell ref="G97:H97"/>
  </mergeCells>
  <conditionalFormatting sqref="B90:F90">
    <cfRule type="cellIs" dxfId="1519" priority="163" stopIfTrue="1" operator="equal">
      <formula>"TAX PAYABLE"</formula>
    </cfRule>
    <cfRule type="cellIs" dxfId="1518" priority="164" stopIfTrue="1" operator="equal">
      <formula>"TAX REFUND"</formula>
    </cfRule>
  </conditionalFormatting>
  <conditionalFormatting sqref="G90:H90">
    <cfRule type="cellIs" dxfId="1517" priority="165" stopIfTrue="1" operator="lessThan">
      <formula>0</formula>
    </cfRule>
    <cfRule type="cellIs" dxfId="1516" priority="166" stopIfTrue="1" operator="greaterThan">
      <formula>0</formula>
    </cfRule>
  </conditionalFormatting>
  <conditionalFormatting sqref="B90:F90">
    <cfRule type="cellIs" dxfId="1515" priority="161" stopIfTrue="1" operator="equal">
      <formula>"TAX PAYABLE"</formula>
    </cfRule>
    <cfRule type="cellIs" dxfId="1514" priority="162" stopIfTrue="1" operator="equal">
      <formula>"TAX REFUND"</formula>
    </cfRule>
  </conditionalFormatting>
  <conditionalFormatting sqref="G90:H90">
    <cfRule type="cellIs" dxfId="1513" priority="159" stopIfTrue="1" operator="lessThan">
      <formula>0</formula>
    </cfRule>
    <cfRule type="cellIs" dxfId="1512" priority="160" stopIfTrue="1" operator="greaterThan">
      <formula>0</formula>
    </cfRule>
  </conditionalFormatting>
  <conditionalFormatting sqref="B90:F90">
    <cfRule type="cellIs" dxfId="1511" priority="157" stopIfTrue="1" operator="equal">
      <formula>"TAX PAYABLE"</formula>
    </cfRule>
    <cfRule type="cellIs" dxfId="1510" priority="158" stopIfTrue="1" operator="equal">
      <formula>"TAX REFUND"</formula>
    </cfRule>
  </conditionalFormatting>
  <conditionalFormatting sqref="G90:H90">
    <cfRule type="cellIs" dxfId="1509" priority="155" stopIfTrue="1" operator="lessThan">
      <formula>0</formula>
    </cfRule>
    <cfRule type="cellIs" dxfId="1508" priority="156" stopIfTrue="1" operator="greaterThan">
      <formula>0</formula>
    </cfRule>
  </conditionalFormatting>
  <conditionalFormatting sqref="C90:F90">
    <cfRule type="cellIs" dxfId="1507" priority="153" stopIfTrue="1" operator="equal">
      <formula>"TAX PAYABLE"</formula>
    </cfRule>
    <cfRule type="cellIs" dxfId="1506" priority="154" stopIfTrue="1" operator="equal">
      <formula>"TAX REFUND"</formula>
    </cfRule>
  </conditionalFormatting>
  <conditionalFormatting sqref="G90:H90">
    <cfRule type="cellIs" dxfId="1505" priority="151" stopIfTrue="1" operator="lessThan">
      <formula>0</formula>
    </cfRule>
    <cfRule type="cellIs" dxfId="1504" priority="152" stopIfTrue="1" operator="greaterThan">
      <formula>0</formula>
    </cfRule>
  </conditionalFormatting>
  <conditionalFormatting sqref="B97:F97">
    <cfRule type="cellIs" dxfId="1503" priority="149" stopIfTrue="1" operator="equal">
      <formula>"TAX PAYABLE"</formula>
    </cfRule>
    <cfRule type="cellIs" dxfId="1502" priority="150" stopIfTrue="1" operator="equal">
      <formula>"TAX REFUND"</formula>
    </cfRule>
  </conditionalFormatting>
  <conditionalFormatting sqref="B99:F99 B93:F96">
    <cfRule type="cellIs" dxfId="1501" priority="147" stopIfTrue="1" operator="equal">
      <formula>"TAX PAYABLE"</formula>
    </cfRule>
    <cfRule type="cellIs" dxfId="1500" priority="148" stopIfTrue="1" operator="equal">
      <formula>"TAX REFUND"</formula>
    </cfRule>
  </conditionalFormatting>
  <conditionalFormatting sqref="G99:H99">
    <cfRule type="cellIs" dxfId="1499" priority="145" stopIfTrue="1" operator="greaterThan">
      <formula>0</formula>
    </cfRule>
    <cfRule type="cellIs" dxfId="1498" priority="146" stopIfTrue="1" operator="lessThanOrEqual">
      <formula>0</formula>
    </cfRule>
  </conditionalFormatting>
  <conditionalFormatting sqref="B93:F94">
    <cfRule type="cellIs" dxfId="1497" priority="143" stopIfTrue="1" operator="equal">
      <formula>"TAX PAYABLE"</formula>
    </cfRule>
    <cfRule type="cellIs" dxfId="1496" priority="144" stopIfTrue="1" operator="equal">
      <formula>"TAX REFUND"</formula>
    </cfRule>
  </conditionalFormatting>
  <conditionalFormatting sqref="B93:F93">
    <cfRule type="cellIs" dxfId="1495" priority="141" stopIfTrue="1" operator="equal">
      <formula>"TAX PAYABLE"</formula>
    </cfRule>
    <cfRule type="cellIs" dxfId="1494" priority="142" stopIfTrue="1" operator="equal">
      <formula>"TAX REFUND"</formula>
    </cfRule>
  </conditionalFormatting>
  <conditionalFormatting sqref="B93:F94">
    <cfRule type="cellIs" dxfId="1493" priority="139" stopIfTrue="1" operator="equal">
      <formula>"TAX PAYABLE"</formula>
    </cfRule>
    <cfRule type="cellIs" dxfId="1492" priority="140" stopIfTrue="1" operator="equal">
      <formula>"TAX REFUND"</formula>
    </cfRule>
  </conditionalFormatting>
  <conditionalFormatting sqref="B93:F94">
    <cfRule type="cellIs" dxfId="1491" priority="137" stopIfTrue="1" operator="equal">
      <formula>"TAX PAYABLE"</formula>
    </cfRule>
    <cfRule type="cellIs" dxfId="1490" priority="138" stopIfTrue="1" operator="equal">
      <formula>"TAX REFUND"</formula>
    </cfRule>
  </conditionalFormatting>
  <conditionalFormatting sqref="B93:F94">
    <cfRule type="cellIs" dxfId="1489" priority="135" stopIfTrue="1" operator="equal">
      <formula>"TAX PAYABLE"</formula>
    </cfRule>
    <cfRule type="cellIs" dxfId="1488" priority="136" stopIfTrue="1" operator="equal">
      <formula>"TAX REFUND"</formula>
    </cfRule>
  </conditionalFormatting>
  <conditionalFormatting sqref="B97:F97">
    <cfRule type="cellIs" dxfId="1487" priority="133" stopIfTrue="1" operator="equal">
      <formula>"TAX PAYABLE"</formula>
    </cfRule>
    <cfRule type="cellIs" dxfId="1486" priority="134" stopIfTrue="1" operator="equal">
      <formula>"TAX REFUND"</formula>
    </cfRule>
  </conditionalFormatting>
  <conditionalFormatting sqref="B93:F93">
    <cfRule type="cellIs" dxfId="1485" priority="131" stopIfTrue="1" operator="equal">
      <formula>"TAX PAYABLE"</formula>
    </cfRule>
    <cfRule type="cellIs" dxfId="1484" priority="132" stopIfTrue="1" operator="equal">
      <formula>"TAX REFUND"</formula>
    </cfRule>
  </conditionalFormatting>
  <conditionalFormatting sqref="B93:F94">
    <cfRule type="cellIs" dxfId="1483" priority="129" stopIfTrue="1" operator="equal">
      <formula>"TAX PAYABLE"</formula>
    </cfRule>
    <cfRule type="cellIs" dxfId="1482" priority="130" stopIfTrue="1" operator="equal">
      <formula>"TAX REFUND"</formula>
    </cfRule>
  </conditionalFormatting>
  <conditionalFormatting sqref="B93:F94">
    <cfRule type="cellIs" dxfId="1481" priority="127" stopIfTrue="1" operator="equal">
      <formula>"TAX PAYABLE"</formula>
    </cfRule>
    <cfRule type="cellIs" dxfId="1480" priority="128" stopIfTrue="1" operator="equal">
      <formula>"TAX REFUND"</formula>
    </cfRule>
  </conditionalFormatting>
  <conditionalFormatting sqref="B93:F94">
    <cfRule type="cellIs" dxfId="1479" priority="125" stopIfTrue="1" operator="equal">
      <formula>"TAX PAYABLE"</formula>
    </cfRule>
    <cfRule type="cellIs" dxfId="1478" priority="126" stopIfTrue="1" operator="equal">
      <formula>"TAX REFUND"</formula>
    </cfRule>
  </conditionalFormatting>
  <conditionalFormatting sqref="B97:F97">
    <cfRule type="cellIs" dxfId="1477" priority="123" stopIfTrue="1" operator="equal">
      <formula>"TAX PAYABLE"</formula>
    </cfRule>
    <cfRule type="cellIs" dxfId="1476" priority="124" stopIfTrue="1" operator="equal">
      <formula>"TAX REFUND"</formula>
    </cfRule>
  </conditionalFormatting>
  <conditionalFormatting sqref="B93:F94 B99:F99">
    <cfRule type="cellIs" dxfId="1475" priority="121" stopIfTrue="1" operator="equal">
      <formula>"TAX PAYABLE"</formula>
    </cfRule>
    <cfRule type="cellIs" dxfId="1474" priority="122" stopIfTrue="1" operator="equal">
      <formula>"TAX REFUND"</formula>
    </cfRule>
  </conditionalFormatting>
  <conditionalFormatting sqref="G99:H99">
    <cfRule type="cellIs" dxfId="1473" priority="119" stopIfTrue="1" operator="greaterThan">
      <formula>0</formula>
    </cfRule>
    <cfRule type="cellIs" dxfId="1472" priority="120" stopIfTrue="1" operator="lessThanOrEqual">
      <formula>0</formula>
    </cfRule>
  </conditionalFormatting>
  <conditionalFormatting sqref="B99:F99 B93:F96">
    <cfRule type="cellIs" dxfId="1471" priority="117" stopIfTrue="1" operator="equal">
      <formula>"TAX PAYABLE"</formula>
    </cfRule>
    <cfRule type="cellIs" dxfId="1470" priority="118" stopIfTrue="1" operator="equal">
      <formula>"TAX REFUND"</formula>
    </cfRule>
  </conditionalFormatting>
  <conditionalFormatting sqref="G99:H99">
    <cfRule type="cellIs" dxfId="1469" priority="115" stopIfTrue="1" operator="greaterThan">
      <formula>0</formula>
    </cfRule>
    <cfRule type="cellIs" dxfId="1468" priority="116" stopIfTrue="1" operator="lessThanOrEqual">
      <formula>0</formula>
    </cfRule>
  </conditionalFormatting>
  <conditionalFormatting sqref="B90:F90">
    <cfRule type="cellIs" dxfId="1467" priority="113" stopIfTrue="1" operator="equal">
      <formula>"TAX PAYABLE"</formula>
    </cfRule>
    <cfRule type="cellIs" dxfId="1466" priority="114" stopIfTrue="1" operator="equal">
      <formula>"TAX REFUND"</formula>
    </cfRule>
  </conditionalFormatting>
  <conditionalFormatting sqref="G90:H90">
    <cfRule type="cellIs" dxfId="1465" priority="111" stopIfTrue="1" operator="lessThan">
      <formula>0</formula>
    </cfRule>
    <cfRule type="cellIs" dxfId="1464" priority="112" stopIfTrue="1" operator="greaterThan">
      <formula>0</formula>
    </cfRule>
  </conditionalFormatting>
  <conditionalFormatting sqref="B90:F90">
    <cfRule type="cellIs" dxfId="1463" priority="109" stopIfTrue="1" operator="equal">
      <formula>"TAX PAYABLE"</formula>
    </cfRule>
    <cfRule type="cellIs" dxfId="1462" priority="110" stopIfTrue="1" operator="equal">
      <formula>"TAX REFUND"</formula>
    </cfRule>
  </conditionalFormatting>
  <conditionalFormatting sqref="G90:H90">
    <cfRule type="cellIs" dxfId="1461" priority="107" stopIfTrue="1" operator="lessThan">
      <formula>0</formula>
    </cfRule>
    <cfRule type="cellIs" dxfId="1460" priority="108" stopIfTrue="1" operator="greaterThan">
      <formula>0</formula>
    </cfRule>
  </conditionalFormatting>
  <conditionalFormatting sqref="B90:F90">
    <cfRule type="cellIs" dxfId="1459" priority="105" stopIfTrue="1" operator="equal">
      <formula>"TAX PAYABLE"</formula>
    </cfRule>
    <cfRule type="cellIs" dxfId="1458" priority="106" stopIfTrue="1" operator="equal">
      <formula>"TAX REFUND"</formula>
    </cfRule>
  </conditionalFormatting>
  <conditionalFormatting sqref="G90:H90">
    <cfRule type="cellIs" dxfId="1457" priority="103" stopIfTrue="1" operator="lessThan">
      <formula>0</formula>
    </cfRule>
    <cfRule type="cellIs" dxfId="1456" priority="104" stopIfTrue="1" operator="greaterThan">
      <formula>0</formula>
    </cfRule>
  </conditionalFormatting>
  <conditionalFormatting sqref="C90:F90">
    <cfRule type="cellIs" dxfId="1455" priority="101" stopIfTrue="1" operator="equal">
      <formula>"TAX PAYABLE"</formula>
    </cfRule>
    <cfRule type="cellIs" dxfId="1454" priority="102" stopIfTrue="1" operator="equal">
      <formula>"TAX REFUND"</formula>
    </cfRule>
  </conditionalFormatting>
  <conditionalFormatting sqref="G90:H90">
    <cfRule type="cellIs" dxfId="1453" priority="99" stopIfTrue="1" operator="lessThan">
      <formula>0</formula>
    </cfRule>
    <cfRule type="cellIs" dxfId="1452" priority="100" stopIfTrue="1" operator="greaterThan">
      <formula>0</formula>
    </cfRule>
  </conditionalFormatting>
  <conditionalFormatting sqref="B97:F97">
    <cfRule type="cellIs" dxfId="1451" priority="97" stopIfTrue="1" operator="equal">
      <formula>"TAX PAYABLE"</formula>
    </cfRule>
    <cfRule type="cellIs" dxfId="1450" priority="98" stopIfTrue="1" operator="equal">
      <formula>"TAX REFUND"</formula>
    </cfRule>
  </conditionalFormatting>
  <conditionalFormatting sqref="B99:F99 B93:F96">
    <cfRule type="cellIs" dxfId="1449" priority="95" stopIfTrue="1" operator="equal">
      <formula>"TAX PAYABLE"</formula>
    </cfRule>
    <cfRule type="cellIs" dxfId="1448" priority="96" stopIfTrue="1" operator="equal">
      <formula>"TAX REFUND"</formula>
    </cfRule>
  </conditionalFormatting>
  <conditionalFormatting sqref="G99:H99">
    <cfRule type="cellIs" dxfId="1447" priority="93" stopIfTrue="1" operator="greaterThan">
      <formula>0</formula>
    </cfRule>
    <cfRule type="cellIs" dxfId="1446" priority="94" stopIfTrue="1" operator="lessThanOrEqual">
      <formula>0</formula>
    </cfRule>
  </conditionalFormatting>
  <conditionalFormatting sqref="B93:F94">
    <cfRule type="cellIs" dxfId="1445" priority="91" stopIfTrue="1" operator="equal">
      <formula>"TAX PAYABLE"</formula>
    </cfRule>
    <cfRule type="cellIs" dxfId="1444" priority="92" stopIfTrue="1" operator="equal">
      <formula>"TAX REFUND"</formula>
    </cfRule>
  </conditionalFormatting>
  <conditionalFormatting sqref="B93:F93">
    <cfRule type="cellIs" dxfId="1443" priority="89" stopIfTrue="1" operator="equal">
      <formula>"TAX PAYABLE"</formula>
    </cfRule>
    <cfRule type="cellIs" dxfId="1442" priority="90" stopIfTrue="1" operator="equal">
      <formula>"TAX REFUND"</formula>
    </cfRule>
  </conditionalFormatting>
  <conditionalFormatting sqref="B93:F94">
    <cfRule type="cellIs" dxfId="1441" priority="87" stopIfTrue="1" operator="equal">
      <formula>"TAX PAYABLE"</formula>
    </cfRule>
    <cfRule type="cellIs" dxfId="1440" priority="88" stopIfTrue="1" operator="equal">
      <formula>"TAX REFUND"</formula>
    </cfRule>
  </conditionalFormatting>
  <conditionalFormatting sqref="B93:F94">
    <cfRule type="cellIs" dxfId="1439" priority="85" stopIfTrue="1" operator="equal">
      <formula>"TAX PAYABLE"</formula>
    </cfRule>
    <cfRule type="cellIs" dxfId="1438" priority="86" stopIfTrue="1" operator="equal">
      <formula>"TAX REFUND"</formula>
    </cfRule>
  </conditionalFormatting>
  <conditionalFormatting sqref="B93:F94">
    <cfRule type="cellIs" dxfId="1437" priority="83" stopIfTrue="1" operator="equal">
      <formula>"TAX PAYABLE"</formula>
    </cfRule>
    <cfRule type="cellIs" dxfId="1436" priority="84" stopIfTrue="1" operator="equal">
      <formula>"TAX REFUND"</formula>
    </cfRule>
  </conditionalFormatting>
  <conditionalFormatting sqref="B97:F97">
    <cfRule type="cellIs" dxfId="1435" priority="81" stopIfTrue="1" operator="equal">
      <formula>"TAX PAYABLE"</formula>
    </cfRule>
    <cfRule type="cellIs" dxfId="1434" priority="82" stopIfTrue="1" operator="equal">
      <formula>"TAX REFUND"</formula>
    </cfRule>
  </conditionalFormatting>
  <conditionalFormatting sqref="B93:F93">
    <cfRule type="cellIs" dxfId="1433" priority="79" stopIfTrue="1" operator="equal">
      <formula>"TAX PAYABLE"</formula>
    </cfRule>
    <cfRule type="cellIs" dxfId="1432" priority="80" stopIfTrue="1" operator="equal">
      <formula>"TAX REFUND"</formula>
    </cfRule>
  </conditionalFormatting>
  <conditionalFormatting sqref="B93:F94">
    <cfRule type="cellIs" dxfId="1431" priority="77" stopIfTrue="1" operator="equal">
      <formula>"TAX PAYABLE"</formula>
    </cfRule>
    <cfRule type="cellIs" dxfId="1430" priority="78" stopIfTrue="1" operator="equal">
      <formula>"TAX REFUND"</formula>
    </cfRule>
  </conditionalFormatting>
  <conditionalFormatting sqref="B93:F94">
    <cfRule type="cellIs" dxfId="1429" priority="75" stopIfTrue="1" operator="equal">
      <formula>"TAX PAYABLE"</formula>
    </cfRule>
    <cfRule type="cellIs" dxfId="1428" priority="76" stopIfTrue="1" operator="equal">
      <formula>"TAX REFUND"</formula>
    </cfRule>
  </conditionalFormatting>
  <conditionalFormatting sqref="B93:F94">
    <cfRule type="cellIs" dxfId="1427" priority="73" stopIfTrue="1" operator="equal">
      <formula>"TAX PAYABLE"</formula>
    </cfRule>
    <cfRule type="cellIs" dxfId="1426" priority="74" stopIfTrue="1" operator="equal">
      <formula>"TAX REFUND"</formula>
    </cfRule>
  </conditionalFormatting>
  <conditionalFormatting sqref="B97:F97">
    <cfRule type="cellIs" dxfId="1425" priority="71" stopIfTrue="1" operator="equal">
      <formula>"TAX PAYABLE"</formula>
    </cfRule>
    <cfRule type="cellIs" dxfId="1424" priority="72" stopIfTrue="1" operator="equal">
      <formula>"TAX REFUND"</formula>
    </cfRule>
  </conditionalFormatting>
  <conditionalFormatting sqref="B93:F94 B99:F99">
    <cfRule type="cellIs" dxfId="1423" priority="69" stopIfTrue="1" operator="equal">
      <formula>"TAX PAYABLE"</formula>
    </cfRule>
    <cfRule type="cellIs" dxfId="1422" priority="70" stopIfTrue="1" operator="equal">
      <formula>"TAX REFUND"</formula>
    </cfRule>
  </conditionalFormatting>
  <conditionalFormatting sqref="G99:H99">
    <cfRule type="cellIs" dxfId="1421" priority="67" stopIfTrue="1" operator="greaterThan">
      <formula>0</formula>
    </cfRule>
    <cfRule type="cellIs" dxfId="1420" priority="68" stopIfTrue="1" operator="lessThanOrEqual">
      <formula>0</formula>
    </cfRule>
  </conditionalFormatting>
  <conditionalFormatting sqref="B99:F99 B93:F96">
    <cfRule type="cellIs" dxfId="1419" priority="65" stopIfTrue="1" operator="equal">
      <formula>"TAX PAYABLE"</formula>
    </cfRule>
    <cfRule type="cellIs" dxfId="1418" priority="66" stopIfTrue="1" operator="equal">
      <formula>"TAX REFUND"</formula>
    </cfRule>
  </conditionalFormatting>
  <conditionalFormatting sqref="G99:H99">
    <cfRule type="cellIs" dxfId="1417" priority="63" stopIfTrue="1" operator="greaterThan">
      <formula>0</formula>
    </cfRule>
    <cfRule type="cellIs" dxfId="1416" priority="64" stopIfTrue="1" operator="lessThanOrEqual">
      <formula>0</formula>
    </cfRule>
  </conditionalFormatting>
  <conditionalFormatting sqref="B90:F90">
    <cfRule type="cellIs" dxfId="1415" priority="61" stopIfTrue="1" operator="equal">
      <formula>"TAX PAYABLE"</formula>
    </cfRule>
    <cfRule type="cellIs" dxfId="1414" priority="62" stopIfTrue="1" operator="equal">
      <formula>"TAX REFUND"</formula>
    </cfRule>
  </conditionalFormatting>
  <conditionalFormatting sqref="B94:F94">
    <cfRule type="cellIs" dxfId="1413" priority="59" stopIfTrue="1" operator="equal">
      <formula>"TAX PAYABLE"</formula>
    </cfRule>
    <cfRule type="cellIs" dxfId="1412" priority="60" stopIfTrue="1" operator="equal">
      <formula>"TAX REFUND"</formula>
    </cfRule>
  </conditionalFormatting>
  <conditionalFormatting sqref="B94:F94">
    <cfRule type="cellIs" dxfId="1411" priority="57" stopIfTrue="1" operator="equal">
      <formula>"TAX PAYABLE"</formula>
    </cfRule>
    <cfRule type="cellIs" dxfId="1410" priority="58" stopIfTrue="1" operator="equal">
      <formula>"TAX REFUND"</formula>
    </cfRule>
  </conditionalFormatting>
  <conditionalFormatting sqref="B94:F94">
    <cfRule type="cellIs" dxfId="1409" priority="55" stopIfTrue="1" operator="equal">
      <formula>"TAX PAYABLE"</formula>
    </cfRule>
    <cfRule type="cellIs" dxfId="1408" priority="56" stopIfTrue="1" operator="equal">
      <formula>"TAX REFUND"</formula>
    </cfRule>
  </conditionalFormatting>
  <conditionalFormatting sqref="B94:F94">
    <cfRule type="cellIs" dxfId="1407" priority="53" stopIfTrue="1" operator="equal">
      <formula>"TAX PAYABLE"</formula>
    </cfRule>
    <cfRule type="cellIs" dxfId="1406" priority="54" stopIfTrue="1" operator="equal">
      <formula>"TAX REFUND"</formula>
    </cfRule>
  </conditionalFormatting>
  <conditionalFormatting sqref="B94:F94">
    <cfRule type="cellIs" dxfId="1405" priority="51" stopIfTrue="1" operator="equal">
      <formula>"TAX PAYABLE"</formula>
    </cfRule>
    <cfRule type="cellIs" dxfId="1404" priority="52" stopIfTrue="1" operator="equal">
      <formula>"TAX REFUND"</formula>
    </cfRule>
  </conditionalFormatting>
  <conditionalFormatting sqref="B94:F94">
    <cfRule type="cellIs" dxfId="1403" priority="49" stopIfTrue="1" operator="equal">
      <formula>"TAX PAYABLE"</formula>
    </cfRule>
    <cfRule type="cellIs" dxfId="1402" priority="50" stopIfTrue="1" operator="equal">
      <formula>"TAX REFUND"</formula>
    </cfRule>
  </conditionalFormatting>
  <conditionalFormatting sqref="B94:F94">
    <cfRule type="cellIs" dxfId="1401" priority="47" stopIfTrue="1" operator="equal">
      <formula>"TAX PAYABLE"</formula>
    </cfRule>
    <cfRule type="cellIs" dxfId="1400" priority="48" stopIfTrue="1" operator="equal">
      <formula>"TAX REFUND"</formula>
    </cfRule>
  </conditionalFormatting>
  <conditionalFormatting sqref="B94:F94">
    <cfRule type="cellIs" dxfId="1399" priority="45" stopIfTrue="1" operator="equal">
      <formula>"TAX PAYABLE"</formula>
    </cfRule>
    <cfRule type="cellIs" dxfId="1398" priority="46" stopIfTrue="1" operator="equal">
      <formula>"TAX REFUND"</formula>
    </cfRule>
  </conditionalFormatting>
  <conditionalFormatting sqref="B94:F94">
    <cfRule type="cellIs" dxfId="1397" priority="43" stopIfTrue="1" operator="equal">
      <formula>"TAX PAYABLE"</formula>
    </cfRule>
    <cfRule type="cellIs" dxfId="1396" priority="44" stopIfTrue="1" operator="equal">
      <formula>"TAX REFUND"</formula>
    </cfRule>
  </conditionalFormatting>
  <conditionalFormatting sqref="B94:F94">
    <cfRule type="cellIs" dxfId="1395" priority="41" stopIfTrue="1" operator="equal">
      <formula>"TAX PAYABLE"</formula>
    </cfRule>
    <cfRule type="cellIs" dxfId="1394" priority="42" stopIfTrue="1" operator="equal">
      <formula>"TAX REFUND"</formula>
    </cfRule>
  </conditionalFormatting>
  <conditionalFormatting sqref="B94:F94">
    <cfRule type="cellIs" dxfId="1393" priority="39" stopIfTrue="1" operator="equal">
      <formula>"TAX PAYABLE"</formula>
    </cfRule>
    <cfRule type="cellIs" dxfId="1392" priority="40" stopIfTrue="1" operator="equal">
      <formula>"TAX REFUND"</formula>
    </cfRule>
  </conditionalFormatting>
  <conditionalFormatting sqref="B94:F94">
    <cfRule type="cellIs" dxfId="1391" priority="37" stopIfTrue="1" operator="equal">
      <formula>"TAX PAYABLE"</formula>
    </cfRule>
    <cfRule type="cellIs" dxfId="1390" priority="38" stopIfTrue="1" operator="equal">
      <formula>"TAX REFUND"</formula>
    </cfRule>
  </conditionalFormatting>
  <conditionalFormatting sqref="B94:F94">
    <cfRule type="cellIs" dxfId="1389" priority="35" stopIfTrue="1" operator="equal">
      <formula>"TAX PAYABLE"</formula>
    </cfRule>
    <cfRule type="cellIs" dxfId="1388" priority="36" stopIfTrue="1" operator="equal">
      <formula>"TAX REFUND"</formula>
    </cfRule>
  </conditionalFormatting>
  <conditionalFormatting sqref="B94:F94">
    <cfRule type="cellIs" dxfId="1387" priority="33" stopIfTrue="1" operator="equal">
      <formula>"TAX PAYABLE"</formula>
    </cfRule>
    <cfRule type="cellIs" dxfId="1386" priority="34" stopIfTrue="1" operator="equal">
      <formula>"TAX REFUND"</formula>
    </cfRule>
  </conditionalFormatting>
  <conditionalFormatting sqref="B94:F94">
    <cfRule type="cellIs" dxfId="1385" priority="31" stopIfTrue="1" operator="equal">
      <formula>"TAX PAYABLE"</formula>
    </cfRule>
    <cfRule type="cellIs" dxfId="1384" priority="32" stopIfTrue="1" operator="equal">
      <formula>"TAX REFUND"</formula>
    </cfRule>
  </conditionalFormatting>
  <conditionalFormatting sqref="B94:F94">
    <cfRule type="cellIs" dxfId="1383" priority="29" stopIfTrue="1" operator="equal">
      <formula>"TAX PAYABLE"</formula>
    </cfRule>
    <cfRule type="cellIs" dxfId="1382" priority="30" stopIfTrue="1" operator="equal">
      <formula>"TAX REFUND"</formula>
    </cfRule>
  </conditionalFormatting>
  <conditionalFormatting sqref="B94:F94">
    <cfRule type="cellIs" dxfId="1381" priority="27" stopIfTrue="1" operator="equal">
      <formula>"TAX PAYABLE"</formula>
    </cfRule>
    <cfRule type="cellIs" dxfId="1380" priority="28" stopIfTrue="1" operator="equal">
      <formula>"TAX REFUND"</formula>
    </cfRule>
  </conditionalFormatting>
  <conditionalFormatting sqref="B94:F94">
    <cfRule type="cellIs" dxfId="1379" priority="25" stopIfTrue="1" operator="equal">
      <formula>"TAX PAYABLE"</formula>
    </cfRule>
    <cfRule type="cellIs" dxfId="1378" priority="26" stopIfTrue="1" operator="equal">
      <formula>"TAX REFUND"</formula>
    </cfRule>
  </conditionalFormatting>
  <conditionalFormatting sqref="B94:F94">
    <cfRule type="cellIs" dxfId="1377" priority="23" stopIfTrue="1" operator="equal">
      <formula>"TAX PAYABLE"</formula>
    </cfRule>
    <cfRule type="cellIs" dxfId="1376" priority="24" stopIfTrue="1" operator="equal">
      <formula>"TAX REFUND"</formula>
    </cfRule>
  </conditionalFormatting>
  <conditionalFormatting sqref="B94:F94">
    <cfRule type="cellIs" dxfId="1375" priority="21" stopIfTrue="1" operator="equal">
      <formula>"TAX PAYABLE"</formula>
    </cfRule>
    <cfRule type="cellIs" dxfId="1374" priority="22" stopIfTrue="1" operator="equal">
      <formula>"TAX REFUND"</formula>
    </cfRule>
  </conditionalFormatting>
  <conditionalFormatting sqref="B94:F94">
    <cfRule type="cellIs" dxfId="1373" priority="19" stopIfTrue="1" operator="equal">
      <formula>"TAX PAYABLE"</formula>
    </cfRule>
    <cfRule type="cellIs" dxfId="1372" priority="20" stopIfTrue="1" operator="equal">
      <formula>"TAX REFUND"</formula>
    </cfRule>
  </conditionalFormatting>
  <conditionalFormatting sqref="B94:F94">
    <cfRule type="cellIs" dxfId="1371" priority="17" stopIfTrue="1" operator="equal">
      <formula>"TAX PAYABLE"</formula>
    </cfRule>
    <cfRule type="cellIs" dxfId="1370" priority="18" stopIfTrue="1" operator="equal">
      <formula>"TAX REFUND"</formula>
    </cfRule>
  </conditionalFormatting>
  <conditionalFormatting sqref="B94:F94">
    <cfRule type="cellIs" dxfId="1369" priority="15" stopIfTrue="1" operator="equal">
      <formula>"TAX PAYABLE"</formula>
    </cfRule>
    <cfRule type="cellIs" dxfId="1368" priority="16" stopIfTrue="1" operator="equal">
      <formula>"TAX REFUND"</formula>
    </cfRule>
  </conditionalFormatting>
  <conditionalFormatting sqref="B94:F94">
    <cfRule type="cellIs" dxfId="1367" priority="13" stopIfTrue="1" operator="equal">
      <formula>"TAX PAYABLE"</formula>
    </cfRule>
    <cfRule type="cellIs" dxfId="1366" priority="14" stopIfTrue="1" operator="equal">
      <formula>"TAX REFUND"</formula>
    </cfRule>
  </conditionalFormatting>
  <conditionalFormatting sqref="B94:F94">
    <cfRule type="cellIs" dxfId="1365" priority="11" stopIfTrue="1" operator="equal">
      <formula>"TAX PAYABLE"</formula>
    </cfRule>
    <cfRule type="cellIs" dxfId="1364" priority="12" stopIfTrue="1" operator="equal">
      <formula>"TAX REFUND"</formula>
    </cfRule>
  </conditionalFormatting>
  <conditionalFormatting sqref="B94:F94">
    <cfRule type="cellIs" dxfId="1363" priority="9" stopIfTrue="1" operator="equal">
      <formula>"TAX PAYABLE"</formula>
    </cfRule>
    <cfRule type="cellIs" dxfId="1362" priority="10" stopIfTrue="1" operator="equal">
      <formula>"TAX REFUND"</formula>
    </cfRule>
  </conditionalFormatting>
  <conditionalFormatting sqref="B94:F94">
    <cfRule type="cellIs" dxfId="1361" priority="7" stopIfTrue="1" operator="equal">
      <formula>"TAX PAYABLE"</formula>
    </cfRule>
    <cfRule type="cellIs" dxfId="1360" priority="8" stopIfTrue="1" operator="equal">
      <formula>"TAX REFUND"</formula>
    </cfRule>
  </conditionalFormatting>
  <conditionalFormatting sqref="B94:F94">
    <cfRule type="cellIs" dxfId="1359" priority="5" stopIfTrue="1" operator="equal">
      <formula>"TAX PAYABLE"</formula>
    </cfRule>
    <cfRule type="cellIs" dxfId="1358" priority="6" stopIfTrue="1" operator="equal">
      <formula>"TAX REFUND"</formula>
    </cfRule>
  </conditionalFormatting>
  <conditionalFormatting sqref="B94:F94">
    <cfRule type="cellIs" dxfId="1357" priority="3" stopIfTrue="1" operator="equal">
      <formula>"TAX PAYABLE"</formula>
    </cfRule>
    <cfRule type="cellIs" dxfId="1356" priority="4" stopIfTrue="1" operator="equal">
      <formula>"TAX REFUND"</formula>
    </cfRule>
  </conditionalFormatting>
  <conditionalFormatting sqref="B94:F94">
    <cfRule type="cellIs" dxfId="1355" priority="1" stopIfTrue="1" operator="equal">
      <formula>"TAX PAYABLE"</formula>
    </cfRule>
    <cfRule type="cellIs" dxfId="1354" priority="2" stopIfTrue="1" operator="equal">
      <formula>"TAX REFUND"</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$Q$8:$Q$9</formula1>
    </dataValidation>
  </dataValidations>
  <pageMargins left="0.7" right="0.7" top="0.25" bottom="0.25" header="0.3" footer="0.3"/>
  <pageSetup paperSize="9" scale="95" orientation="landscape" horizontalDpi="300" verticalDpi="300" r:id="rId1"/>
  <headerFooter alignWithMargins="0"/>
  <legacyDrawing r:id="rId2"/>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7"/>
  <sheetViews>
    <sheetView topLeftCell="A56" workbookViewId="0">
      <selection activeCell="O37" sqref="O37"/>
    </sheetView>
  </sheetViews>
  <sheetFormatPr defaultRowHeight="12.75" x14ac:dyDescent="0.2"/>
  <cols>
    <col min="1" max="1" width="5" style="16" customWidth="1"/>
    <col min="2" max="2" width="18.42578125" style="37" customWidth="1"/>
    <col min="3" max="3" width="8.28515625" style="16" customWidth="1"/>
    <col min="4" max="4" width="7.85546875" style="16" customWidth="1"/>
    <col min="5" max="5" width="8.5703125" style="16" bestFit="1" customWidth="1"/>
    <col min="6" max="6" width="8.42578125" style="16" customWidth="1"/>
    <col min="7" max="7" width="8.42578125" style="16" bestFit="1" customWidth="1"/>
    <col min="8" max="8" width="8.42578125" style="16" customWidth="1"/>
    <col min="9" max="14" width="7.5703125" style="16" customWidth="1"/>
    <col min="15" max="15" width="7.140625" style="16" bestFit="1" customWidth="1"/>
    <col min="16" max="20" width="9.140625" style="16"/>
    <col min="21" max="21" width="12.42578125" style="16" customWidth="1"/>
    <col min="22" max="22" width="9.140625" style="16"/>
    <col min="23" max="23" width="12" style="16" customWidth="1"/>
    <col min="24" max="256" width="9.140625" style="16"/>
    <col min="257" max="257" width="5" style="16" customWidth="1"/>
    <col min="258" max="258" width="18.42578125" style="16" customWidth="1"/>
    <col min="259" max="259" width="8.28515625" style="16" customWidth="1"/>
    <col min="260" max="260" width="7.85546875" style="16" customWidth="1"/>
    <col min="261" max="261" width="8.5703125" style="16" bestFit="1" customWidth="1"/>
    <col min="262" max="262" width="8.42578125" style="16" customWidth="1"/>
    <col min="263" max="263" width="8.42578125" style="16" bestFit="1" customWidth="1"/>
    <col min="264" max="264" width="8.42578125" style="16" customWidth="1"/>
    <col min="265" max="270" width="7.5703125" style="16" customWidth="1"/>
    <col min="271" max="271" width="7.140625" style="16" bestFit="1" customWidth="1"/>
    <col min="272" max="276" width="9.140625" style="16"/>
    <col min="277" max="277" width="12.42578125" style="16" customWidth="1"/>
    <col min="278" max="278" width="9.140625" style="16"/>
    <col min="279" max="279" width="12" style="16" customWidth="1"/>
    <col min="280" max="512" width="9.140625" style="16"/>
    <col min="513" max="513" width="5" style="16" customWidth="1"/>
    <col min="514" max="514" width="18.42578125" style="16" customWidth="1"/>
    <col min="515" max="515" width="8.28515625" style="16" customWidth="1"/>
    <col min="516" max="516" width="7.85546875" style="16" customWidth="1"/>
    <col min="517" max="517" width="8.5703125" style="16" bestFit="1" customWidth="1"/>
    <col min="518" max="518" width="8.42578125" style="16" customWidth="1"/>
    <col min="519" max="519" width="8.42578125" style="16" bestFit="1" customWidth="1"/>
    <col min="520" max="520" width="8.42578125" style="16" customWidth="1"/>
    <col min="521" max="526" width="7.5703125" style="16" customWidth="1"/>
    <col min="527" max="527" width="7.140625" style="16" bestFit="1" customWidth="1"/>
    <col min="528" max="532" width="9.140625" style="16"/>
    <col min="533" max="533" width="12.42578125" style="16" customWidth="1"/>
    <col min="534" max="534" width="9.140625" style="16"/>
    <col min="535" max="535" width="12" style="16" customWidth="1"/>
    <col min="536" max="768" width="9.140625" style="16"/>
    <col min="769" max="769" width="5" style="16" customWidth="1"/>
    <col min="770" max="770" width="18.42578125" style="16" customWidth="1"/>
    <col min="771" max="771" width="8.28515625" style="16" customWidth="1"/>
    <col min="772" max="772" width="7.85546875" style="16" customWidth="1"/>
    <col min="773" max="773" width="8.5703125" style="16" bestFit="1" customWidth="1"/>
    <col min="774" max="774" width="8.42578125" style="16" customWidth="1"/>
    <col min="775" max="775" width="8.42578125" style="16" bestFit="1" customWidth="1"/>
    <col min="776" max="776" width="8.42578125" style="16" customWidth="1"/>
    <col min="777" max="782" width="7.5703125" style="16" customWidth="1"/>
    <col min="783" max="783" width="7.140625" style="16" bestFit="1" customWidth="1"/>
    <col min="784" max="788" width="9.140625" style="16"/>
    <col min="789" max="789" width="12.42578125" style="16" customWidth="1"/>
    <col min="790" max="790" width="9.140625" style="16"/>
    <col min="791" max="791" width="12" style="16" customWidth="1"/>
    <col min="792" max="1024" width="9.140625" style="16"/>
    <col min="1025" max="1025" width="5" style="16" customWidth="1"/>
    <col min="1026" max="1026" width="18.42578125" style="16" customWidth="1"/>
    <col min="1027" max="1027" width="8.28515625" style="16" customWidth="1"/>
    <col min="1028" max="1028" width="7.85546875" style="16" customWidth="1"/>
    <col min="1029" max="1029" width="8.5703125" style="16" bestFit="1" customWidth="1"/>
    <col min="1030" max="1030" width="8.42578125" style="16" customWidth="1"/>
    <col min="1031" max="1031" width="8.42578125" style="16" bestFit="1" customWidth="1"/>
    <col min="1032" max="1032" width="8.42578125" style="16" customWidth="1"/>
    <col min="1033" max="1038" width="7.5703125" style="16" customWidth="1"/>
    <col min="1039" max="1039" width="7.140625" style="16" bestFit="1" customWidth="1"/>
    <col min="1040" max="1044" width="9.140625" style="16"/>
    <col min="1045" max="1045" width="12.42578125" style="16" customWidth="1"/>
    <col min="1046" max="1046" width="9.140625" style="16"/>
    <col min="1047" max="1047" width="12" style="16" customWidth="1"/>
    <col min="1048" max="1280" width="9.140625" style="16"/>
    <col min="1281" max="1281" width="5" style="16" customWidth="1"/>
    <col min="1282" max="1282" width="18.42578125" style="16" customWidth="1"/>
    <col min="1283" max="1283" width="8.28515625" style="16" customWidth="1"/>
    <col min="1284" max="1284" width="7.85546875" style="16" customWidth="1"/>
    <col min="1285" max="1285" width="8.5703125" style="16" bestFit="1" customWidth="1"/>
    <col min="1286" max="1286" width="8.42578125" style="16" customWidth="1"/>
    <col min="1287" max="1287" width="8.42578125" style="16" bestFit="1" customWidth="1"/>
    <col min="1288" max="1288" width="8.42578125" style="16" customWidth="1"/>
    <col min="1289" max="1294" width="7.5703125" style="16" customWidth="1"/>
    <col min="1295" max="1295" width="7.140625" style="16" bestFit="1" customWidth="1"/>
    <col min="1296" max="1300" width="9.140625" style="16"/>
    <col min="1301" max="1301" width="12.42578125" style="16" customWidth="1"/>
    <col min="1302" max="1302" width="9.140625" style="16"/>
    <col min="1303" max="1303" width="12" style="16" customWidth="1"/>
    <col min="1304" max="1536" width="9.140625" style="16"/>
    <col min="1537" max="1537" width="5" style="16" customWidth="1"/>
    <col min="1538" max="1538" width="18.42578125" style="16" customWidth="1"/>
    <col min="1539" max="1539" width="8.28515625" style="16" customWidth="1"/>
    <col min="1540" max="1540" width="7.85546875" style="16" customWidth="1"/>
    <col min="1541" max="1541" width="8.5703125" style="16" bestFit="1" customWidth="1"/>
    <col min="1542" max="1542" width="8.42578125" style="16" customWidth="1"/>
    <col min="1543" max="1543" width="8.42578125" style="16" bestFit="1" customWidth="1"/>
    <col min="1544" max="1544" width="8.42578125" style="16" customWidth="1"/>
    <col min="1545" max="1550" width="7.5703125" style="16" customWidth="1"/>
    <col min="1551" max="1551" width="7.140625" style="16" bestFit="1" customWidth="1"/>
    <col min="1552" max="1556" width="9.140625" style="16"/>
    <col min="1557" max="1557" width="12.42578125" style="16" customWidth="1"/>
    <col min="1558" max="1558" width="9.140625" style="16"/>
    <col min="1559" max="1559" width="12" style="16" customWidth="1"/>
    <col min="1560" max="1792" width="9.140625" style="16"/>
    <col min="1793" max="1793" width="5" style="16" customWidth="1"/>
    <col min="1794" max="1794" width="18.42578125" style="16" customWidth="1"/>
    <col min="1795" max="1795" width="8.28515625" style="16" customWidth="1"/>
    <col min="1796" max="1796" width="7.85546875" style="16" customWidth="1"/>
    <col min="1797" max="1797" width="8.5703125" style="16" bestFit="1" customWidth="1"/>
    <col min="1798" max="1798" width="8.42578125" style="16" customWidth="1"/>
    <col min="1799" max="1799" width="8.42578125" style="16" bestFit="1" customWidth="1"/>
    <col min="1800" max="1800" width="8.42578125" style="16" customWidth="1"/>
    <col min="1801" max="1806" width="7.5703125" style="16" customWidth="1"/>
    <col min="1807" max="1807" width="7.140625" style="16" bestFit="1" customWidth="1"/>
    <col min="1808" max="1812" width="9.140625" style="16"/>
    <col min="1813" max="1813" width="12.42578125" style="16" customWidth="1"/>
    <col min="1814" max="1814" width="9.140625" style="16"/>
    <col min="1815" max="1815" width="12" style="16" customWidth="1"/>
    <col min="1816" max="2048" width="9.140625" style="16"/>
    <col min="2049" max="2049" width="5" style="16" customWidth="1"/>
    <col min="2050" max="2050" width="18.42578125" style="16" customWidth="1"/>
    <col min="2051" max="2051" width="8.28515625" style="16" customWidth="1"/>
    <col min="2052" max="2052" width="7.85546875" style="16" customWidth="1"/>
    <col min="2053" max="2053" width="8.5703125" style="16" bestFit="1" customWidth="1"/>
    <col min="2054" max="2054" width="8.42578125" style="16" customWidth="1"/>
    <col min="2055" max="2055" width="8.42578125" style="16" bestFit="1" customWidth="1"/>
    <col min="2056" max="2056" width="8.42578125" style="16" customWidth="1"/>
    <col min="2057" max="2062" width="7.5703125" style="16" customWidth="1"/>
    <col min="2063" max="2063" width="7.140625" style="16" bestFit="1" customWidth="1"/>
    <col min="2064" max="2068" width="9.140625" style="16"/>
    <col min="2069" max="2069" width="12.42578125" style="16" customWidth="1"/>
    <col min="2070" max="2070" width="9.140625" style="16"/>
    <col min="2071" max="2071" width="12" style="16" customWidth="1"/>
    <col min="2072" max="2304" width="9.140625" style="16"/>
    <col min="2305" max="2305" width="5" style="16" customWidth="1"/>
    <col min="2306" max="2306" width="18.42578125" style="16" customWidth="1"/>
    <col min="2307" max="2307" width="8.28515625" style="16" customWidth="1"/>
    <col min="2308" max="2308" width="7.85546875" style="16" customWidth="1"/>
    <col min="2309" max="2309" width="8.5703125" style="16" bestFit="1" customWidth="1"/>
    <col min="2310" max="2310" width="8.42578125" style="16" customWidth="1"/>
    <col min="2311" max="2311" width="8.42578125" style="16" bestFit="1" customWidth="1"/>
    <col min="2312" max="2312" width="8.42578125" style="16" customWidth="1"/>
    <col min="2313" max="2318" width="7.5703125" style="16" customWidth="1"/>
    <col min="2319" max="2319" width="7.140625" style="16" bestFit="1" customWidth="1"/>
    <col min="2320" max="2324" width="9.140625" style="16"/>
    <col min="2325" max="2325" width="12.42578125" style="16" customWidth="1"/>
    <col min="2326" max="2326" width="9.140625" style="16"/>
    <col min="2327" max="2327" width="12" style="16" customWidth="1"/>
    <col min="2328" max="2560" width="9.140625" style="16"/>
    <col min="2561" max="2561" width="5" style="16" customWidth="1"/>
    <col min="2562" max="2562" width="18.42578125" style="16" customWidth="1"/>
    <col min="2563" max="2563" width="8.28515625" style="16" customWidth="1"/>
    <col min="2564" max="2564" width="7.85546875" style="16" customWidth="1"/>
    <col min="2565" max="2565" width="8.5703125" style="16" bestFit="1" customWidth="1"/>
    <col min="2566" max="2566" width="8.42578125" style="16" customWidth="1"/>
    <col min="2567" max="2567" width="8.42578125" style="16" bestFit="1" customWidth="1"/>
    <col min="2568" max="2568" width="8.42578125" style="16" customWidth="1"/>
    <col min="2569" max="2574" width="7.5703125" style="16" customWidth="1"/>
    <col min="2575" max="2575" width="7.140625" style="16" bestFit="1" customWidth="1"/>
    <col min="2576" max="2580" width="9.140625" style="16"/>
    <col min="2581" max="2581" width="12.42578125" style="16" customWidth="1"/>
    <col min="2582" max="2582" width="9.140625" style="16"/>
    <col min="2583" max="2583" width="12" style="16" customWidth="1"/>
    <col min="2584" max="2816" width="9.140625" style="16"/>
    <col min="2817" max="2817" width="5" style="16" customWidth="1"/>
    <col min="2818" max="2818" width="18.42578125" style="16" customWidth="1"/>
    <col min="2819" max="2819" width="8.28515625" style="16" customWidth="1"/>
    <col min="2820" max="2820" width="7.85546875" style="16" customWidth="1"/>
    <col min="2821" max="2821" width="8.5703125" style="16" bestFit="1" customWidth="1"/>
    <col min="2822" max="2822" width="8.42578125" style="16" customWidth="1"/>
    <col min="2823" max="2823" width="8.42578125" style="16" bestFit="1" customWidth="1"/>
    <col min="2824" max="2824" width="8.42578125" style="16" customWidth="1"/>
    <col min="2825" max="2830" width="7.5703125" style="16" customWidth="1"/>
    <col min="2831" max="2831" width="7.140625" style="16" bestFit="1" customWidth="1"/>
    <col min="2832" max="2836" width="9.140625" style="16"/>
    <col min="2837" max="2837" width="12.42578125" style="16" customWidth="1"/>
    <col min="2838" max="2838" width="9.140625" style="16"/>
    <col min="2839" max="2839" width="12" style="16" customWidth="1"/>
    <col min="2840" max="3072" width="9.140625" style="16"/>
    <col min="3073" max="3073" width="5" style="16" customWidth="1"/>
    <col min="3074" max="3074" width="18.42578125" style="16" customWidth="1"/>
    <col min="3075" max="3075" width="8.28515625" style="16" customWidth="1"/>
    <col min="3076" max="3076" width="7.85546875" style="16" customWidth="1"/>
    <col min="3077" max="3077" width="8.5703125" style="16" bestFit="1" customWidth="1"/>
    <col min="3078" max="3078" width="8.42578125" style="16" customWidth="1"/>
    <col min="3079" max="3079" width="8.42578125" style="16" bestFit="1" customWidth="1"/>
    <col min="3080" max="3080" width="8.42578125" style="16" customWidth="1"/>
    <col min="3081" max="3086" width="7.5703125" style="16" customWidth="1"/>
    <col min="3087" max="3087" width="7.140625" style="16" bestFit="1" customWidth="1"/>
    <col min="3088" max="3092" width="9.140625" style="16"/>
    <col min="3093" max="3093" width="12.42578125" style="16" customWidth="1"/>
    <col min="3094" max="3094" width="9.140625" style="16"/>
    <col min="3095" max="3095" width="12" style="16" customWidth="1"/>
    <col min="3096" max="3328" width="9.140625" style="16"/>
    <col min="3329" max="3329" width="5" style="16" customWidth="1"/>
    <col min="3330" max="3330" width="18.42578125" style="16" customWidth="1"/>
    <col min="3331" max="3331" width="8.28515625" style="16" customWidth="1"/>
    <col min="3332" max="3332" width="7.85546875" style="16" customWidth="1"/>
    <col min="3333" max="3333" width="8.5703125" style="16" bestFit="1" customWidth="1"/>
    <col min="3334" max="3334" width="8.42578125" style="16" customWidth="1"/>
    <col min="3335" max="3335" width="8.42578125" style="16" bestFit="1" customWidth="1"/>
    <col min="3336" max="3336" width="8.42578125" style="16" customWidth="1"/>
    <col min="3337" max="3342" width="7.5703125" style="16" customWidth="1"/>
    <col min="3343" max="3343" width="7.140625" style="16" bestFit="1" customWidth="1"/>
    <col min="3344" max="3348" width="9.140625" style="16"/>
    <col min="3349" max="3349" width="12.42578125" style="16" customWidth="1"/>
    <col min="3350" max="3350" width="9.140625" style="16"/>
    <col min="3351" max="3351" width="12" style="16" customWidth="1"/>
    <col min="3352" max="3584" width="9.140625" style="16"/>
    <col min="3585" max="3585" width="5" style="16" customWidth="1"/>
    <col min="3586" max="3586" width="18.42578125" style="16" customWidth="1"/>
    <col min="3587" max="3587" width="8.28515625" style="16" customWidth="1"/>
    <col min="3588" max="3588" width="7.85546875" style="16" customWidth="1"/>
    <col min="3589" max="3589" width="8.5703125" style="16" bestFit="1" customWidth="1"/>
    <col min="3590" max="3590" width="8.42578125" style="16" customWidth="1"/>
    <col min="3591" max="3591" width="8.42578125" style="16" bestFit="1" customWidth="1"/>
    <col min="3592" max="3592" width="8.42578125" style="16" customWidth="1"/>
    <col min="3593" max="3598" width="7.5703125" style="16" customWidth="1"/>
    <col min="3599" max="3599" width="7.140625" style="16" bestFit="1" customWidth="1"/>
    <col min="3600" max="3604" width="9.140625" style="16"/>
    <col min="3605" max="3605" width="12.42578125" style="16" customWidth="1"/>
    <col min="3606" max="3606" width="9.140625" style="16"/>
    <col min="3607" max="3607" width="12" style="16" customWidth="1"/>
    <col min="3608" max="3840" width="9.140625" style="16"/>
    <col min="3841" max="3841" width="5" style="16" customWidth="1"/>
    <col min="3842" max="3842" width="18.42578125" style="16" customWidth="1"/>
    <col min="3843" max="3843" width="8.28515625" style="16" customWidth="1"/>
    <col min="3844" max="3844" width="7.85546875" style="16" customWidth="1"/>
    <col min="3845" max="3845" width="8.5703125" style="16" bestFit="1" customWidth="1"/>
    <col min="3846" max="3846" width="8.42578125" style="16" customWidth="1"/>
    <col min="3847" max="3847" width="8.42578125" style="16" bestFit="1" customWidth="1"/>
    <col min="3848" max="3848" width="8.42578125" style="16" customWidth="1"/>
    <col min="3849" max="3854" width="7.5703125" style="16" customWidth="1"/>
    <col min="3855" max="3855" width="7.140625" style="16" bestFit="1" customWidth="1"/>
    <col min="3856" max="3860" width="9.140625" style="16"/>
    <col min="3861" max="3861" width="12.42578125" style="16" customWidth="1"/>
    <col min="3862" max="3862" width="9.140625" style="16"/>
    <col min="3863" max="3863" width="12" style="16" customWidth="1"/>
    <col min="3864" max="4096" width="9.140625" style="16"/>
    <col min="4097" max="4097" width="5" style="16" customWidth="1"/>
    <col min="4098" max="4098" width="18.42578125" style="16" customWidth="1"/>
    <col min="4099" max="4099" width="8.28515625" style="16" customWidth="1"/>
    <col min="4100" max="4100" width="7.85546875" style="16" customWidth="1"/>
    <col min="4101" max="4101" width="8.5703125" style="16" bestFit="1" customWidth="1"/>
    <col min="4102" max="4102" width="8.42578125" style="16" customWidth="1"/>
    <col min="4103" max="4103" width="8.42578125" style="16" bestFit="1" customWidth="1"/>
    <col min="4104" max="4104" width="8.42578125" style="16" customWidth="1"/>
    <col min="4105" max="4110" width="7.5703125" style="16" customWidth="1"/>
    <col min="4111" max="4111" width="7.140625" style="16" bestFit="1" customWidth="1"/>
    <col min="4112" max="4116" width="9.140625" style="16"/>
    <col min="4117" max="4117" width="12.42578125" style="16" customWidth="1"/>
    <col min="4118" max="4118" width="9.140625" style="16"/>
    <col min="4119" max="4119" width="12" style="16" customWidth="1"/>
    <col min="4120" max="4352" width="9.140625" style="16"/>
    <col min="4353" max="4353" width="5" style="16" customWidth="1"/>
    <col min="4354" max="4354" width="18.42578125" style="16" customWidth="1"/>
    <col min="4355" max="4355" width="8.28515625" style="16" customWidth="1"/>
    <col min="4356" max="4356" width="7.85546875" style="16" customWidth="1"/>
    <col min="4357" max="4357" width="8.5703125" style="16" bestFit="1" customWidth="1"/>
    <col min="4358" max="4358" width="8.42578125" style="16" customWidth="1"/>
    <col min="4359" max="4359" width="8.42578125" style="16" bestFit="1" customWidth="1"/>
    <col min="4360" max="4360" width="8.42578125" style="16" customWidth="1"/>
    <col min="4361" max="4366" width="7.5703125" style="16" customWidth="1"/>
    <col min="4367" max="4367" width="7.140625" style="16" bestFit="1" customWidth="1"/>
    <col min="4368" max="4372" width="9.140625" style="16"/>
    <col min="4373" max="4373" width="12.42578125" style="16" customWidth="1"/>
    <col min="4374" max="4374" width="9.140625" style="16"/>
    <col min="4375" max="4375" width="12" style="16" customWidth="1"/>
    <col min="4376" max="4608" width="9.140625" style="16"/>
    <col min="4609" max="4609" width="5" style="16" customWidth="1"/>
    <col min="4610" max="4610" width="18.42578125" style="16" customWidth="1"/>
    <col min="4611" max="4611" width="8.28515625" style="16" customWidth="1"/>
    <col min="4612" max="4612" width="7.85546875" style="16" customWidth="1"/>
    <col min="4613" max="4613" width="8.5703125" style="16" bestFit="1" customWidth="1"/>
    <col min="4614" max="4614" width="8.42578125" style="16" customWidth="1"/>
    <col min="4615" max="4615" width="8.42578125" style="16" bestFit="1" customWidth="1"/>
    <col min="4616" max="4616" width="8.42578125" style="16" customWidth="1"/>
    <col min="4617" max="4622" width="7.5703125" style="16" customWidth="1"/>
    <col min="4623" max="4623" width="7.140625" style="16" bestFit="1" customWidth="1"/>
    <col min="4624" max="4628" width="9.140625" style="16"/>
    <col min="4629" max="4629" width="12.42578125" style="16" customWidth="1"/>
    <col min="4630" max="4630" width="9.140625" style="16"/>
    <col min="4631" max="4631" width="12" style="16" customWidth="1"/>
    <col min="4632" max="4864" width="9.140625" style="16"/>
    <col min="4865" max="4865" width="5" style="16" customWidth="1"/>
    <col min="4866" max="4866" width="18.42578125" style="16" customWidth="1"/>
    <col min="4867" max="4867" width="8.28515625" style="16" customWidth="1"/>
    <col min="4868" max="4868" width="7.85546875" style="16" customWidth="1"/>
    <col min="4869" max="4869" width="8.5703125" style="16" bestFit="1" customWidth="1"/>
    <col min="4870" max="4870" width="8.42578125" style="16" customWidth="1"/>
    <col min="4871" max="4871" width="8.42578125" style="16" bestFit="1" customWidth="1"/>
    <col min="4872" max="4872" width="8.42578125" style="16" customWidth="1"/>
    <col min="4873" max="4878" width="7.5703125" style="16" customWidth="1"/>
    <col min="4879" max="4879" width="7.140625" style="16" bestFit="1" customWidth="1"/>
    <col min="4880" max="4884" width="9.140625" style="16"/>
    <col min="4885" max="4885" width="12.42578125" style="16" customWidth="1"/>
    <col min="4886" max="4886" width="9.140625" style="16"/>
    <col min="4887" max="4887" width="12" style="16" customWidth="1"/>
    <col min="4888" max="5120" width="9.140625" style="16"/>
    <col min="5121" max="5121" width="5" style="16" customWidth="1"/>
    <col min="5122" max="5122" width="18.42578125" style="16" customWidth="1"/>
    <col min="5123" max="5123" width="8.28515625" style="16" customWidth="1"/>
    <col min="5124" max="5124" width="7.85546875" style="16" customWidth="1"/>
    <col min="5125" max="5125" width="8.5703125" style="16" bestFit="1" customWidth="1"/>
    <col min="5126" max="5126" width="8.42578125" style="16" customWidth="1"/>
    <col min="5127" max="5127" width="8.42578125" style="16" bestFit="1" customWidth="1"/>
    <col min="5128" max="5128" width="8.42578125" style="16" customWidth="1"/>
    <col min="5129" max="5134" width="7.5703125" style="16" customWidth="1"/>
    <col min="5135" max="5135" width="7.140625" style="16" bestFit="1" customWidth="1"/>
    <col min="5136" max="5140" width="9.140625" style="16"/>
    <col min="5141" max="5141" width="12.42578125" style="16" customWidth="1"/>
    <col min="5142" max="5142" width="9.140625" style="16"/>
    <col min="5143" max="5143" width="12" style="16" customWidth="1"/>
    <col min="5144" max="5376" width="9.140625" style="16"/>
    <col min="5377" max="5377" width="5" style="16" customWidth="1"/>
    <col min="5378" max="5378" width="18.42578125" style="16" customWidth="1"/>
    <col min="5379" max="5379" width="8.28515625" style="16" customWidth="1"/>
    <col min="5380" max="5380" width="7.85546875" style="16" customWidth="1"/>
    <col min="5381" max="5381" width="8.5703125" style="16" bestFit="1" customWidth="1"/>
    <col min="5382" max="5382" width="8.42578125" style="16" customWidth="1"/>
    <col min="5383" max="5383" width="8.42578125" style="16" bestFit="1" customWidth="1"/>
    <col min="5384" max="5384" width="8.42578125" style="16" customWidth="1"/>
    <col min="5385" max="5390" width="7.5703125" style="16" customWidth="1"/>
    <col min="5391" max="5391" width="7.140625" style="16" bestFit="1" customWidth="1"/>
    <col min="5392" max="5396" width="9.140625" style="16"/>
    <col min="5397" max="5397" width="12.42578125" style="16" customWidth="1"/>
    <col min="5398" max="5398" width="9.140625" style="16"/>
    <col min="5399" max="5399" width="12" style="16" customWidth="1"/>
    <col min="5400" max="5632" width="9.140625" style="16"/>
    <col min="5633" max="5633" width="5" style="16" customWidth="1"/>
    <col min="5634" max="5634" width="18.42578125" style="16" customWidth="1"/>
    <col min="5635" max="5635" width="8.28515625" style="16" customWidth="1"/>
    <col min="5636" max="5636" width="7.85546875" style="16" customWidth="1"/>
    <col min="5637" max="5637" width="8.5703125" style="16" bestFit="1" customWidth="1"/>
    <col min="5638" max="5638" width="8.42578125" style="16" customWidth="1"/>
    <col min="5639" max="5639" width="8.42578125" style="16" bestFit="1" customWidth="1"/>
    <col min="5640" max="5640" width="8.42578125" style="16" customWidth="1"/>
    <col min="5641" max="5646" width="7.5703125" style="16" customWidth="1"/>
    <col min="5647" max="5647" width="7.140625" style="16" bestFit="1" customWidth="1"/>
    <col min="5648" max="5652" width="9.140625" style="16"/>
    <col min="5653" max="5653" width="12.42578125" style="16" customWidth="1"/>
    <col min="5654" max="5654" width="9.140625" style="16"/>
    <col min="5655" max="5655" width="12" style="16" customWidth="1"/>
    <col min="5656" max="5888" width="9.140625" style="16"/>
    <col min="5889" max="5889" width="5" style="16" customWidth="1"/>
    <col min="5890" max="5890" width="18.42578125" style="16" customWidth="1"/>
    <col min="5891" max="5891" width="8.28515625" style="16" customWidth="1"/>
    <col min="5892" max="5892" width="7.85546875" style="16" customWidth="1"/>
    <col min="5893" max="5893" width="8.5703125" style="16" bestFit="1" customWidth="1"/>
    <col min="5894" max="5894" width="8.42578125" style="16" customWidth="1"/>
    <col min="5895" max="5895" width="8.42578125" style="16" bestFit="1" customWidth="1"/>
    <col min="5896" max="5896" width="8.42578125" style="16" customWidth="1"/>
    <col min="5897" max="5902" width="7.5703125" style="16" customWidth="1"/>
    <col min="5903" max="5903" width="7.140625" style="16" bestFit="1" customWidth="1"/>
    <col min="5904" max="5908" width="9.140625" style="16"/>
    <col min="5909" max="5909" width="12.42578125" style="16" customWidth="1"/>
    <col min="5910" max="5910" width="9.140625" style="16"/>
    <col min="5911" max="5911" width="12" style="16" customWidth="1"/>
    <col min="5912" max="6144" width="9.140625" style="16"/>
    <col min="6145" max="6145" width="5" style="16" customWidth="1"/>
    <col min="6146" max="6146" width="18.42578125" style="16" customWidth="1"/>
    <col min="6147" max="6147" width="8.28515625" style="16" customWidth="1"/>
    <col min="6148" max="6148" width="7.85546875" style="16" customWidth="1"/>
    <col min="6149" max="6149" width="8.5703125" style="16" bestFit="1" customWidth="1"/>
    <col min="6150" max="6150" width="8.42578125" style="16" customWidth="1"/>
    <col min="6151" max="6151" width="8.42578125" style="16" bestFit="1" customWidth="1"/>
    <col min="6152" max="6152" width="8.42578125" style="16" customWidth="1"/>
    <col min="6153" max="6158" width="7.5703125" style="16" customWidth="1"/>
    <col min="6159" max="6159" width="7.140625" style="16" bestFit="1" customWidth="1"/>
    <col min="6160" max="6164" width="9.140625" style="16"/>
    <col min="6165" max="6165" width="12.42578125" style="16" customWidth="1"/>
    <col min="6166" max="6166" width="9.140625" style="16"/>
    <col min="6167" max="6167" width="12" style="16" customWidth="1"/>
    <col min="6168" max="6400" width="9.140625" style="16"/>
    <col min="6401" max="6401" width="5" style="16" customWidth="1"/>
    <col min="6402" max="6402" width="18.42578125" style="16" customWidth="1"/>
    <col min="6403" max="6403" width="8.28515625" style="16" customWidth="1"/>
    <col min="6404" max="6404" width="7.85546875" style="16" customWidth="1"/>
    <col min="6405" max="6405" width="8.5703125" style="16" bestFit="1" customWidth="1"/>
    <col min="6406" max="6406" width="8.42578125" style="16" customWidth="1"/>
    <col min="6407" max="6407" width="8.42578125" style="16" bestFit="1" customWidth="1"/>
    <col min="6408" max="6408" width="8.42578125" style="16" customWidth="1"/>
    <col min="6409" max="6414" width="7.5703125" style="16" customWidth="1"/>
    <col min="6415" max="6415" width="7.140625" style="16" bestFit="1" customWidth="1"/>
    <col min="6416" max="6420" width="9.140625" style="16"/>
    <col min="6421" max="6421" width="12.42578125" style="16" customWidth="1"/>
    <col min="6422" max="6422" width="9.140625" style="16"/>
    <col min="6423" max="6423" width="12" style="16" customWidth="1"/>
    <col min="6424" max="6656" width="9.140625" style="16"/>
    <col min="6657" max="6657" width="5" style="16" customWidth="1"/>
    <col min="6658" max="6658" width="18.42578125" style="16" customWidth="1"/>
    <col min="6659" max="6659" width="8.28515625" style="16" customWidth="1"/>
    <col min="6660" max="6660" width="7.85546875" style="16" customWidth="1"/>
    <col min="6661" max="6661" width="8.5703125" style="16" bestFit="1" customWidth="1"/>
    <col min="6662" max="6662" width="8.42578125" style="16" customWidth="1"/>
    <col min="6663" max="6663" width="8.42578125" style="16" bestFit="1" customWidth="1"/>
    <col min="6664" max="6664" width="8.42578125" style="16" customWidth="1"/>
    <col min="6665" max="6670" width="7.5703125" style="16" customWidth="1"/>
    <col min="6671" max="6671" width="7.140625" style="16" bestFit="1" customWidth="1"/>
    <col min="6672" max="6676" width="9.140625" style="16"/>
    <col min="6677" max="6677" width="12.42578125" style="16" customWidth="1"/>
    <col min="6678" max="6678" width="9.140625" style="16"/>
    <col min="6679" max="6679" width="12" style="16" customWidth="1"/>
    <col min="6680" max="6912" width="9.140625" style="16"/>
    <col min="6913" max="6913" width="5" style="16" customWidth="1"/>
    <col min="6914" max="6914" width="18.42578125" style="16" customWidth="1"/>
    <col min="6915" max="6915" width="8.28515625" style="16" customWidth="1"/>
    <col min="6916" max="6916" width="7.85546875" style="16" customWidth="1"/>
    <col min="6917" max="6917" width="8.5703125" style="16" bestFit="1" customWidth="1"/>
    <col min="6918" max="6918" width="8.42578125" style="16" customWidth="1"/>
    <col min="6919" max="6919" width="8.42578125" style="16" bestFit="1" customWidth="1"/>
    <col min="6920" max="6920" width="8.42578125" style="16" customWidth="1"/>
    <col min="6921" max="6926" width="7.5703125" style="16" customWidth="1"/>
    <col min="6927" max="6927" width="7.140625" style="16" bestFit="1" customWidth="1"/>
    <col min="6928" max="6932" width="9.140625" style="16"/>
    <col min="6933" max="6933" width="12.42578125" style="16" customWidth="1"/>
    <col min="6934" max="6934" width="9.140625" style="16"/>
    <col min="6935" max="6935" width="12" style="16" customWidth="1"/>
    <col min="6936" max="7168" width="9.140625" style="16"/>
    <col min="7169" max="7169" width="5" style="16" customWidth="1"/>
    <col min="7170" max="7170" width="18.42578125" style="16" customWidth="1"/>
    <col min="7171" max="7171" width="8.28515625" style="16" customWidth="1"/>
    <col min="7172" max="7172" width="7.85546875" style="16" customWidth="1"/>
    <col min="7173" max="7173" width="8.5703125" style="16" bestFit="1" customWidth="1"/>
    <col min="7174" max="7174" width="8.42578125" style="16" customWidth="1"/>
    <col min="7175" max="7175" width="8.42578125" style="16" bestFit="1" customWidth="1"/>
    <col min="7176" max="7176" width="8.42578125" style="16" customWidth="1"/>
    <col min="7177" max="7182" width="7.5703125" style="16" customWidth="1"/>
    <col min="7183" max="7183" width="7.140625" style="16" bestFit="1" customWidth="1"/>
    <col min="7184" max="7188" width="9.140625" style="16"/>
    <col min="7189" max="7189" width="12.42578125" style="16" customWidth="1"/>
    <col min="7190" max="7190" width="9.140625" style="16"/>
    <col min="7191" max="7191" width="12" style="16" customWidth="1"/>
    <col min="7192" max="7424" width="9.140625" style="16"/>
    <col min="7425" max="7425" width="5" style="16" customWidth="1"/>
    <col min="7426" max="7426" width="18.42578125" style="16" customWidth="1"/>
    <col min="7427" max="7427" width="8.28515625" style="16" customWidth="1"/>
    <col min="7428" max="7428" width="7.85546875" style="16" customWidth="1"/>
    <col min="7429" max="7429" width="8.5703125" style="16" bestFit="1" customWidth="1"/>
    <col min="7430" max="7430" width="8.42578125" style="16" customWidth="1"/>
    <col min="7431" max="7431" width="8.42578125" style="16" bestFit="1" customWidth="1"/>
    <col min="7432" max="7432" width="8.42578125" style="16" customWidth="1"/>
    <col min="7433" max="7438" width="7.5703125" style="16" customWidth="1"/>
    <col min="7439" max="7439" width="7.140625" style="16" bestFit="1" customWidth="1"/>
    <col min="7440" max="7444" width="9.140625" style="16"/>
    <col min="7445" max="7445" width="12.42578125" style="16" customWidth="1"/>
    <col min="7446" max="7446" width="9.140625" style="16"/>
    <col min="7447" max="7447" width="12" style="16" customWidth="1"/>
    <col min="7448" max="7680" width="9.140625" style="16"/>
    <col min="7681" max="7681" width="5" style="16" customWidth="1"/>
    <col min="7682" max="7682" width="18.42578125" style="16" customWidth="1"/>
    <col min="7683" max="7683" width="8.28515625" style="16" customWidth="1"/>
    <col min="7684" max="7684" width="7.85546875" style="16" customWidth="1"/>
    <col min="7685" max="7685" width="8.5703125" style="16" bestFit="1" customWidth="1"/>
    <col min="7686" max="7686" width="8.42578125" style="16" customWidth="1"/>
    <col min="7687" max="7687" width="8.42578125" style="16" bestFit="1" customWidth="1"/>
    <col min="7688" max="7688" width="8.42578125" style="16" customWidth="1"/>
    <col min="7689" max="7694" width="7.5703125" style="16" customWidth="1"/>
    <col min="7695" max="7695" width="7.140625" style="16" bestFit="1" customWidth="1"/>
    <col min="7696" max="7700" width="9.140625" style="16"/>
    <col min="7701" max="7701" width="12.42578125" style="16" customWidth="1"/>
    <col min="7702" max="7702" width="9.140625" style="16"/>
    <col min="7703" max="7703" width="12" style="16" customWidth="1"/>
    <col min="7704" max="7936" width="9.140625" style="16"/>
    <col min="7937" max="7937" width="5" style="16" customWidth="1"/>
    <col min="7938" max="7938" width="18.42578125" style="16" customWidth="1"/>
    <col min="7939" max="7939" width="8.28515625" style="16" customWidth="1"/>
    <col min="7940" max="7940" width="7.85546875" style="16" customWidth="1"/>
    <col min="7941" max="7941" width="8.5703125" style="16" bestFit="1" customWidth="1"/>
    <col min="7942" max="7942" width="8.42578125" style="16" customWidth="1"/>
    <col min="7943" max="7943" width="8.42578125" style="16" bestFit="1" customWidth="1"/>
    <col min="7944" max="7944" width="8.42578125" style="16" customWidth="1"/>
    <col min="7945" max="7950" width="7.5703125" style="16" customWidth="1"/>
    <col min="7951" max="7951" width="7.140625" style="16" bestFit="1" customWidth="1"/>
    <col min="7952" max="7956" width="9.140625" style="16"/>
    <col min="7957" max="7957" width="12.42578125" style="16" customWidth="1"/>
    <col min="7958" max="7958" width="9.140625" style="16"/>
    <col min="7959" max="7959" width="12" style="16" customWidth="1"/>
    <col min="7960" max="8192" width="9.140625" style="16"/>
    <col min="8193" max="8193" width="5" style="16" customWidth="1"/>
    <col min="8194" max="8194" width="18.42578125" style="16" customWidth="1"/>
    <col min="8195" max="8195" width="8.28515625" style="16" customWidth="1"/>
    <col min="8196" max="8196" width="7.85546875" style="16" customWidth="1"/>
    <col min="8197" max="8197" width="8.5703125" style="16" bestFit="1" customWidth="1"/>
    <col min="8198" max="8198" width="8.42578125" style="16" customWidth="1"/>
    <col min="8199" max="8199" width="8.42578125" style="16" bestFit="1" customWidth="1"/>
    <col min="8200" max="8200" width="8.42578125" style="16" customWidth="1"/>
    <col min="8201" max="8206" width="7.5703125" style="16" customWidth="1"/>
    <col min="8207" max="8207" width="7.140625" style="16" bestFit="1" customWidth="1"/>
    <col min="8208" max="8212" width="9.140625" style="16"/>
    <col min="8213" max="8213" width="12.42578125" style="16" customWidth="1"/>
    <col min="8214" max="8214" width="9.140625" style="16"/>
    <col min="8215" max="8215" width="12" style="16" customWidth="1"/>
    <col min="8216" max="8448" width="9.140625" style="16"/>
    <col min="8449" max="8449" width="5" style="16" customWidth="1"/>
    <col min="8450" max="8450" width="18.42578125" style="16" customWidth="1"/>
    <col min="8451" max="8451" width="8.28515625" style="16" customWidth="1"/>
    <col min="8452" max="8452" width="7.85546875" style="16" customWidth="1"/>
    <col min="8453" max="8453" width="8.5703125" style="16" bestFit="1" customWidth="1"/>
    <col min="8454" max="8454" width="8.42578125" style="16" customWidth="1"/>
    <col min="8455" max="8455" width="8.42578125" style="16" bestFit="1" customWidth="1"/>
    <col min="8456" max="8456" width="8.42578125" style="16" customWidth="1"/>
    <col min="8457" max="8462" width="7.5703125" style="16" customWidth="1"/>
    <col min="8463" max="8463" width="7.140625" style="16" bestFit="1" customWidth="1"/>
    <col min="8464" max="8468" width="9.140625" style="16"/>
    <col min="8469" max="8469" width="12.42578125" style="16" customWidth="1"/>
    <col min="8470" max="8470" width="9.140625" style="16"/>
    <col min="8471" max="8471" width="12" style="16" customWidth="1"/>
    <col min="8472" max="8704" width="9.140625" style="16"/>
    <col min="8705" max="8705" width="5" style="16" customWidth="1"/>
    <col min="8706" max="8706" width="18.42578125" style="16" customWidth="1"/>
    <col min="8707" max="8707" width="8.28515625" style="16" customWidth="1"/>
    <col min="8708" max="8708" width="7.85546875" style="16" customWidth="1"/>
    <col min="8709" max="8709" width="8.5703125" style="16" bestFit="1" customWidth="1"/>
    <col min="8710" max="8710" width="8.42578125" style="16" customWidth="1"/>
    <col min="8711" max="8711" width="8.42578125" style="16" bestFit="1" customWidth="1"/>
    <col min="8712" max="8712" width="8.42578125" style="16" customWidth="1"/>
    <col min="8713" max="8718" width="7.5703125" style="16" customWidth="1"/>
    <col min="8719" max="8719" width="7.140625" style="16" bestFit="1" customWidth="1"/>
    <col min="8720" max="8724" width="9.140625" style="16"/>
    <col min="8725" max="8725" width="12.42578125" style="16" customWidth="1"/>
    <col min="8726" max="8726" width="9.140625" style="16"/>
    <col min="8727" max="8727" width="12" style="16" customWidth="1"/>
    <col min="8728" max="8960" width="9.140625" style="16"/>
    <col min="8961" max="8961" width="5" style="16" customWidth="1"/>
    <col min="8962" max="8962" width="18.42578125" style="16" customWidth="1"/>
    <col min="8963" max="8963" width="8.28515625" style="16" customWidth="1"/>
    <col min="8964" max="8964" width="7.85546875" style="16" customWidth="1"/>
    <col min="8965" max="8965" width="8.5703125" style="16" bestFit="1" customWidth="1"/>
    <col min="8966" max="8966" width="8.42578125" style="16" customWidth="1"/>
    <col min="8967" max="8967" width="8.42578125" style="16" bestFit="1" customWidth="1"/>
    <col min="8968" max="8968" width="8.42578125" style="16" customWidth="1"/>
    <col min="8969" max="8974" width="7.5703125" style="16" customWidth="1"/>
    <col min="8975" max="8975" width="7.140625" style="16" bestFit="1" customWidth="1"/>
    <col min="8976" max="8980" width="9.140625" style="16"/>
    <col min="8981" max="8981" width="12.42578125" style="16" customWidth="1"/>
    <col min="8982" max="8982" width="9.140625" style="16"/>
    <col min="8983" max="8983" width="12" style="16" customWidth="1"/>
    <col min="8984" max="9216" width="9.140625" style="16"/>
    <col min="9217" max="9217" width="5" style="16" customWidth="1"/>
    <col min="9218" max="9218" width="18.42578125" style="16" customWidth="1"/>
    <col min="9219" max="9219" width="8.28515625" style="16" customWidth="1"/>
    <col min="9220" max="9220" width="7.85546875" style="16" customWidth="1"/>
    <col min="9221" max="9221" width="8.5703125" style="16" bestFit="1" customWidth="1"/>
    <col min="9222" max="9222" width="8.42578125" style="16" customWidth="1"/>
    <col min="9223" max="9223" width="8.42578125" style="16" bestFit="1" customWidth="1"/>
    <col min="9224" max="9224" width="8.42578125" style="16" customWidth="1"/>
    <col min="9225" max="9230" width="7.5703125" style="16" customWidth="1"/>
    <col min="9231" max="9231" width="7.140625" style="16" bestFit="1" customWidth="1"/>
    <col min="9232" max="9236" width="9.140625" style="16"/>
    <col min="9237" max="9237" width="12.42578125" style="16" customWidth="1"/>
    <col min="9238" max="9238" width="9.140625" style="16"/>
    <col min="9239" max="9239" width="12" style="16" customWidth="1"/>
    <col min="9240" max="9472" width="9.140625" style="16"/>
    <col min="9473" max="9473" width="5" style="16" customWidth="1"/>
    <col min="9474" max="9474" width="18.42578125" style="16" customWidth="1"/>
    <col min="9475" max="9475" width="8.28515625" style="16" customWidth="1"/>
    <col min="9476" max="9476" width="7.85546875" style="16" customWidth="1"/>
    <col min="9477" max="9477" width="8.5703125" style="16" bestFit="1" customWidth="1"/>
    <col min="9478" max="9478" width="8.42578125" style="16" customWidth="1"/>
    <col min="9479" max="9479" width="8.42578125" style="16" bestFit="1" customWidth="1"/>
    <col min="9480" max="9480" width="8.42578125" style="16" customWidth="1"/>
    <col min="9481" max="9486" width="7.5703125" style="16" customWidth="1"/>
    <col min="9487" max="9487" width="7.140625" style="16" bestFit="1" customWidth="1"/>
    <col min="9488" max="9492" width="9.140625" style="16"/>
    <col min="9493" max="9493" width="12.42578125" style="16" customWidth="1"/>
    <col min="9494" max="9494" width="9.140625" style="16"/>
    <col min="9495" max="9495" width="12" style="16" customWidth="1"/>
    <col min="9496" max="9728" width="9.140625" style="16"/>
    <col min="9729" max="9729" width="5" style="16" customWidth="1"/>
    <col min="9730" max="9730" width="18.42578125" style="16" customWidth="1"/>
    <col min="9731" max="9731" width="8.28515625" style="16" customWidth="1"/>
    <col min="9732" max="9732" width="7.85546875" style="16" customWidth="1"/>
    <col min="9733" max="9733" width="8.5703125" style="16" bestFit="1" customWidth="1"/>
    <col min="9734" max="9734" width="8.42578125" style="16" customWidth="1"/>
    <col min="9735" max="9735" width="8.42578125" style="16" bestFit="1" customWidth="1"/>
    <col min="9736" max="9736" width="8.42578125" style="16" customWidth="1"/>
    <col min="9737" max="9742" width="7.5703125" style="16" customWidth="1"/>
    <col min="9743" max="9743" width="7.140625" style="16" bestFit="1" customWidth="1"/>
    <col min="9744" max="9748" width="9.140625" style="16"/>
    <col min="9749" max="9749" width="12.42578125" style="16" customWidth="1"/>
    <col min="9750" max="9750" width="9.140625" style="16"/>
    <col min="9751" max="9751" width="12" style="16" customWidth="1"/>
    <col min="9752" max="9984" width="9.140625" style="16"/>
    <col min="9985" max="9985" width="5" style="16" customWidth="1"/>
    <col min="9986" max="9986" width="18.42578125" style="16" customWidth="1"/>
    <col min="9987" max="9987" width="8.28515625" style="16" customWidth="1"/>
    <col min="9988" max="9988" width="7.85546875" style="16" customWidth="1"/>
    <col min="9989" max="9989" width="8.5703125" style="16" bestFit="1" customWidth="1"/>
    <col min="9990" max="9990" width="8.42578125" style="16" customWidth="1"/>
    <col min="9991" max="9991" width="8.42578125" style="16" bestFit="1" customWidth="1"/>
    <col min="9992" max="9992" width="8.42578125" style="16" customWidth="1"/>
    <col min="9993" max="9998" width="7.5703125" style="16" customWidth="1"/>
    <col min="9999" max="9999" width="7.140625" style="16" bestFit="1" customWidth="1"/>
    <col min="10000" max="10004" width="9.140625" style="16"/>
    <col min="10005" max="10005" width="12.42578125" style="16" customWidth="1"/>
    <col min="10006" max="10006" width="9.140625" style="16"/>
    <col min="10007" max="10007" width="12" style="16" customWidth="1"/>
    <col min="10008" max="10240" width="9.140625" style="16"/>
    <col min="10241" max="10241" width="5" style="16" customWidth="1"/>
    <col min="10242" max="10242" width="18.42578125" style="16" customWidth="1"/>
    <col min="10243" max="10243" width="8.28515625" style="16" customWidth="1"/>
    <col min="10244" max="10244" width="7.85546875" style="16" customWidth="1"/>
    <col min="10245" max="10245" width="8.5703125" style="16" bestFit="1" customWidth="1"/>
    <col min="10246" max="10246" width="8.42578125" style="16" customWidth="1"/>
    <col min="10247" max="10247" width="8.42578125" style="16" bestFit="1" customWidth="1"/>
    <col min="10248" max="10248" width="8.42578125" style="16" customWidth="1"/>
    <col min="10249" max="10254" width="7.5703125" style="16" customWidth="1"/>
    <col min="10255" max="10255" width="7.140625" style="16" bestFit="1" customWidth="1"/>
    <col min="10256" max="10260" width="9.140625" style="16"/>
    <col min="10261" max="10261" width="12.42578125" style="16" customWidth="1"/>
    <col min="10262" max="10262" width="9.140625" style="16"/>
    <col min="10263" max="10263" width="12" style="16" customWidth="1"/>
    <col min="10264" max="10496" width="9.140625" style="16"/>
    <col min="10497" max="10497" width="5" style="16" customWidth="1"/>
    <col min="10498" max="10498" width="18.42578125" style="16" customWidth="1"/>
    <col min="10499" max="10499" width="8.28515625" style="16" customWidth="1"/>
    <col min="10500" max="10500" width="7.85546875" style="16" customWidth="1"/>
    <col min="10501" max="10501" width="8.5703125" style="16" bestFit="1" customWidth="1"/>
    <col min="10502" max="10502" width="8.42578125" style="16" customWidth="1"/>
    <col min="10503" max="10503" width="8.42578125" style="16" bestFit="1" customWidth="1"/>
    <col min="10504" max="10504" width="8.42578125" style="16" customWidth="1"/>
    <col min="10505" max="10510" width="7.5703125" style="16" customWidth="1"/>
    <col min="10511" max="10511" width="7.140625" style="16" bestFit="1" customWidth="1"/>
    <col min="10512" max="10516" width="9.140625" style="16"/>
    <col min="10517" max="10517" width="12.42578125" style="16" customWidth="1"/>
    <col min="10518" max="10518" width="9.140625" style="16"/>
    <col min="10519" max="10519" width="12" style="16" customWidth="1"/>
    <col min="10520" max="10752" width="9.140625" style="16"/>
    <col min="10753" max="10753" width="5" style="16" customWidth="1"/>
    <col min="10754" max="10754" width="18.42578125" style="16" customWidth="1"/>
    <col min="10755" max="10755" width="8.28515625" style="16" customWidth="1"/>
    <col min="10756" max="10756" width="7.85546875" style="16" customWidth="1"/>
    <col min="10757" max="10757" width="8.5703125" style="16" bestFit="1" customWidth="1"/>
    <col min="10758" max="10758" width="8.42578125" style="16" customWidth="1"/>
    <col min="10759" max="10759" width="8.42578125" style="16" bestFit="1" customWidth="1"/>
    <col min="10760" max="10760" width="8.42578125" style="16" customWidth="1"/>
    <col min="10761" max="10766" width="7.5703125" style="16" customWidth="1"/>
    <col min="10767" max="10767" width="7.140625" style="16" bestFit="1" customWidth="1"/>
    <col min="10768" max="10772" width="9.140625" style="16"/>
    <col min="10773" max="10773" width="12.42578125" style="16" customWidth="1"/>
    <col min="10774" max="10774" width="9.140625" style="16"/>
    <col min="10775" max="10775" width="12" style="16" customWidth="1"/>
    <col min="10776" max="11008" width="9.140625" style="16"/>
    <col min="11009" max="11009" width="5" style="16" customWidth="1"/>
    <col min="11010" max="11010" width="18.42578125" style="16" customWidth="1"/>
    <col min="11011" max="11011" width="8.28515625" style="16" customWidth="1"/>
    <col min="11012" max="11012" width="7.85546875" style="16" customWidth="1"/>
    <col min="11013" max="11013" width="8.5703125" style="16" bestFit="1" customWidth="1"/>
    <col min="11014" max="11014" width="8.42578125" style="16" customWidth="1"/>
    <col min="11015" max="11015" width="8.42578125" style="16" bestFit="1" customWidth="1"/>
    <col min="11016" max="11016" width="8.42578125" style="16" customWidth="1"/>
    <col min="11017" max="11022" width="7.5703125" style="16" customWidth="1"/>
    <col min="11023" max="11023" width="7.140625" style="16" bestFit="1" customWidth="1"/>
    <col min="11024" max="11028" width="9.140625" style="16"/>
    <col min="11029" max="11029" width="12.42578125" style="16" customWidth="1"/>
    <col min="11030" max="11030" width="9.140625" style="16"/>
    <col min="11031" max="11031" width="12" style="16" customWidth="1"/>
    <col min="11032" max="11264" width="9.140625" style="16"/>
    <col min="11265" max="11265" width="5" style="16" customWidth="1"/>
    <col min="11266" max="11266" width="18.42578125" style="16" customWidth="1"/>
    <col min="11267" max="11267" width="8.28515625" style="16" customWidth="1"/>
    <col min="11268" max="11268" width="7.85546875" style="16" customWidth="1"/>
    <col min="11269" max="11269" width="8.5703125" style="16" bestFit="1" customWidth="1"/>
    <col min="11270" max="11270" width="8.42578125" style="16" customWidth="1"/>
    <col min="11271" max="11271" width="8.42578125" style="16" bestFit="1" customWidth="1"/>
    <col min="11272" max="11272" width="8.42578125" style="16" customWidth="1"/>
    <col min="11273" max="11278" width="7.5703125" style="16" customWidth="1"/>
    <col min="11279" max="11279" width="7.140625" style="16" bestFit="1" customWidth="1"/>
    <col min="11280" max="11284" width="9.140625" style="16"/>
    <col min="11285" max="11285" width="12.42578125" style="16" customWidth="1"/>
    <col min="11286" max="11286" width="9.140625" style="16"/>
    <col min="11287" max="11287" width="12" style="16" customWidth="1"/>
    <col min="11288" max="11520" width="9.140625" style="16"/>
    <col min="11521" max="11521" width="5" style="16" customWidth="1"/>
    <col min="11522" max="11522" width="18.42578125" style="16" customWidth="1"/>
    <col min="11523" max="11523" width="8.28515625" style="16" customWidth="1"/>
    <col min="11524" max="11524" width="7.85546875" style="16" customWidth="1"/>
    <col min="11525" max="11525" width="8.5703125" style="16" bestFit="1" customWidth="1"/>
    <col min="11526" max="11526" width="8.42578125" style="16" customWidth="1"/>
    <col min="11527" max="11527" width="8.42578125" style="16" bestFit="1" customWidth="1"/>
    <col min="11528" max="11528" width="8.42578125" style="16" customWidth="1"/>
    <col min="11529" max="11534" width="7.5703125" style="16" customWidth="1"/>
    <col min="11535" max="11535" width="7.140625" style="16" bestFit="1" customWidth="1"/>
    <col min="11536" max="11540" width="9.140625" style="16"/>
    <col min="11541" max="11541" width="12.42578125" style="16" customWidth="1"/>
    <col min="11542" max="11542" width="9.140625" style="16"/>
    <col min="11543" max="11543" width="12" style="16" customWidth="1"/>
    <col min="11544" max="11776" width="9.140625" style="16"/>
    <col min="11777" max="11777" width="5" style="16" customWidth="1"/>
    <col min="11778" max="11778" width="18.42578125" style="16" customWidth="1"/>
    <col min="11779" max="11779" width="8.28515625" style="16" customWidth="1"/>
    <col min="11780" max="11780" width="7.85546875" style="16" customWidth="1"/>
    <col min="11781" max="11781" width="8.5703125" style="16" bestFit="1" customWidth="1"/>
    <col min="11782" max="11782" width="8.42578125" style="16" customWidth="1"/>
    <col min="11783" max="11783" width="8.42578125" style="16" bestFit="1" customWidth="1"/>
    <col min="11784" max="11784" width="8.42578125" style="16" customWidth="1"/>
    <col min="11785" max="11790" width="7.5703125" style="16" customWidth="1"/>
    <col min="11791" max="11791" width="7.140625" style="16" bestFit="1" customWidth="1"/>
    <col min="11792" max="11796" width="9.140625" style="16"/>
    <col min="11797" max="11797" width="12.42578125" style="16" customWidth="1"/>
    <col min="11798" max="11798" width="9.140625" style="16"/>
    <col min="11799" max="11799" width="12" style="16" customWidth="1"/>
    <col min="11800" max="12032" width="9.140625" style="16"/>
    <col min="12033" max="12033" width="5" style="16" customWidth="1"/>
    <col min="12034" max="12034" width="18.42578125" style="16" customWidth="1"/>
    <col min="12035" max="12035" width="8.28515625" style="16" customWidth="1"/>
    <col min="12036" max="12036" width="7.85546875" style="16" customWidth="1"/>
    <col min="12037" max="12037" width="8.5703125" style="16" bestFit="1" customWidth="1"/>
    <col min="12038" max="12038" width="8.42578125" style="16" customWidth="1"/>
    <col min="12039" max="12039" width="8.42578125" style="16" bestFit="1" customWidth="1"/>
    <col min="12040" max="12040" width="8.42578125" style="16" customWidth="1"/>
    <col min="12041" max="12046" width="7.5703125" style="16" customWidth="1"/>
    <col min="12047" max="12047" width="7.140625" style="16" bestFit="1" customWidth="1"/>
    <col min="12048" max="12052" width="9.140625" style="16"/>
    <col min="12053" max="12053" width="12.42578125" style="16" customWidth="1"/>
    <col min="12054" max="12054" width="9.140625" style="16"/>
    <col min="12055" max="12055" width="12" style="16" customWidth="1"/>
    <col min="12056" max="12288" width="9.140625" style="16"/>
    <col min="12289" max="12289" width="5" style="16" customWidth="1"/>
    <col min="12290" max="12290" width="18.42578125" style="16" customWidth="1"/>
    <col min="12291" max="12291" width="8.28515625" style="16" customWidth="1"/>
    <col min="12292" max="12292" width="7.85546875" style="16" customWidth="1"/>
    <col min="12293" max="12293" width="8.5703125" style="16" bestFit="1" customWidth="1"/>
    <col min="12294" max="12294" width="8.42578125" style="16" customWidth="1"/>
    <col min="12295" max="12295" width="8.42578125" style="16" bestFit="1" customWidth="1"/>
    <col min="12296" max="12296" width="8.42578125" style="16" customWidth="1"/>
    <col min="12297" max="12302" width="7.5703125" style="16" customWidth="1"/>
    <col min="12303" max="12303" width="7.140625" style="16" bestFit="1" customWidth="1"/>
    <col min="12304" max="12308" width="9.140625" style="16"/>
    <col min="12309" max="12309" width="12.42578125" style="16" customWidth="1"/>
    <col min="12310" max="12310" width="9.140625" style="16"/>
    <col min="12311" max="12311" width="12" style="16" customWidth="1"/>
    <col min="12312" max="12544" width="9.140625" style="16"/>
    <col min="12545" max="12545" width="5" style="16" customWidth="1"/>
    <col min="12546" max="12546" width="18.42578125" style="16" customWidth="1"/>
    <col min="12547" max="12547" width="8.28515625" style="16" customWidth="1"/>
    <col min="12548" max="12548" width="7.85546875" style="16" customWidth="1"/>
    <col min="12549" max="12549" width="8.5703125" style="16" bestFit="1" customWidth="1"/>
    <col min="12550" max="12550" width="8.42578125" style="16" customWidth="1"/>
    <col min="12551" max="12551" width="8.42578125" style="16" bestFit="1" customWidth="1"/>
    <col min="12552" max="12552" width="8.42578125" style="16" customWidth="1"/>
    <col min="12553" max="12558" width="7.5703125" style="16" customWidth="1"/>
    <col min="12559" max="12559" width="7.140625" style="16" bestFit="1" customWidth="1"/>
    <col min="12560" max="12564" width="9.140625" style="16"/>
    <col min="12565" max="12565" width="12.42578125" style="16" customWidth="1"/>
    <col min="12566" max="12566" width="9.140625" style="16"/>
    <col min="12567" max="12567" width="12" style="16" customWidth="1"/>
    <col min="12568" max="12800" width="9.140625" style="16"/>
    <col min="12801" max="12801" width="5" style="16" customWidth="1"/>
    <col min="12802" max="12802" width="18.42578125" style="16" customWidth="1"/>
    <col min="12803" max="12803" width="8.28515625" style="16" customWidth="1"/>
    <col min="12804" max="12804" width="7.85546875" style="16" customWidth="1"/>
    <col min="12805" max="12805" width="8.5703125" style="16" bestFit="1" customWidth="1"/>
    <col min="12806" max="12806" width="8.42578125" style="16" customWidth="1"/>
    <col min="12807" max="12807" width="8.42578125" style="16" bestFit="1" customWidth="1"/>
    <col min="12808" max="12808" width="8.42578125" style="16" customWidth="1"/>
    <col min="12809" max="12814" width="7.5703125" style="16" customWidth="1"/>
    <col min="12815" max="12815" width="7.140625" style="16" bestFit="1" customWidth="1"/>
    <col min="12816" max="12820" width="9.140625" style="16"/>
    <col min="12821" max="12821" width="12.42578125" style="16" customWidth="1"/>
    <col min="12822" max="12822" width="9.140625" style="16"/>
    <col min="12823" max="12823" width="12" style="16" customWidth="1"/>
    <col min="12824" max="13056" width="9.140625" style="16"/>
    <col min="13057" max="13057" width="5" style="16" customWidth="1"/>
    <col min="13058" max="13058" width="18.42578125" style="16" customWidth="1"/>
    <col min="13059" max="13059" width="8.28515625" style="16" customWidth="1"/>
    <col min="13060" max="13060" width="7.85546875" style="16" customWidth="1"/>
    <col min="13061" max="13061" width="8.5703125" style="16" bestFit="1" customWidth="1"/>
    <col min="13062" max="13062" width="8.42578125" style="16" customWidth="1"/>
    <col min="13063" max="13063" width="8.42578125" style="16" bestFit="1" customWidth="1"/>
    <col min="13064" max="13064" width="8.42578125" style="16" customWidth="1"/>
    <col min="13065" max="13070" width="7.5703125" style="16" customWidth="1"/>
    <col min="13071" max="13071" width="7.140625" style="16" bestFit="1" customWidth="1"/>
    <col min="13072" max="13076" width="9.140625" style="16"/>
    <col min="13077" max="13077" width="12.42578125" style="16" customWidth="1"/>
    <col min="13078" max="13078" width="9.140625" style="16"/>
    <col min="13079" max="13079" width="12" style="16" customWidth="1"/>
    <col min="13080" max="13312" width="9.140625" style="16"/>
    <col min="13313" max="13313" width="5" style="16" customWidth="1"/>
    <col min="13314" max="13314" width="18.42578125" style="16" customWidth="1"/>
    <col min="13315" max="13315" width="8.28515625" style="16" customWidth="1"/>
    <col min="13316" max="13316" width="7.85546875" style="16" customWidth="1"/>
    <col min="13317" max="13317" width="8.5703125" style="16" bestFit="1" customWidth="1"/>
    <col min="13318" max="13318" width="8.42578125" style="16" customWidth="1"/>
    <col min="13319" max="13319" width="8.42578125" style="16" bestFit="1" customWidth="1"/>
    <col min="13320" max="13320" width="8.42578125" style="16" customWidth="1"/>
    <col min="13321" max="13326" width="7.5703125" style="16" customWidth="1"/>
    <col min="13327" max="13327" width="7.140625" style="16" bestFit="1" customWidth="1"/>
    <col min="13328" max="13332" width="9.140625" style="16"/>
    <col min="13333" max="13333" width="12.42578125" style="16" customWidth="1"/>
    <col min="13334" max="13334" width="9.140625" style="16"/>
    <col min="13335" max="13335" width="12" style="16" customWidth="1"/>
    <col min="13336" max="13568" width="9.140625" style="16"/>
    <col min="13569" max="13569" width="5" style="16" customWidth="1"/>
    <col min="13570" max="13570" width="18.42578125" style="16" customWidth="1"/>
    <col min="13571" max="13571" width="8.28515625" style="16" customWidth="1"/>
    <col min="13572" max="13572" width="7.85546875" style="16" customWidth="1"/>
    <col min="13573" max="13573" width="8.5703125" style="16" bestFit="1" customWidth="1"/>
    <col min="13574" max="13574" width="8.42578125" style="16" customWidth="1"/>
    <col min="13575" max="13575" width="8.42578125" style="16" bestFit="1" customWidth="1"/>
    <col min="13576" max="13576" width="8.42578125" style="16" customWidth="1"/>
    <col min="13577" max="13582" width="7.5703125" style="16" customWidth="1"/>
    <col min="13583" max="13583" width="7.140625" style="16" bestFit="1" customWidth="1"/>
    <col min="13584" max="13588" width="9.140625" style="16"/>
    <col min="13589" max="13589" width="12.42578125" style="16" customWidth="1"/>
    <col min="13590" max="13590" width="9.140625" style="16"/>
    <col min="13591" max="13591" width="12" style="16" customWidth="1"/>
    <col min="13592" max="13824" width="9.140625" style="16"/>
    <col min="13825" max="13825" width="5" style="16" customWidth="1"/>
    <col min="13826" max="13826" width="18.42578125" style="16" customWidth="1"/>
    <col min="13827" max="13827" width="8.28515625" style="16" customWidth="1"/>
    <col min="13828" max="13828" width="7.85546875" style="16" customWidth="1"/>
    <col min="13829" max="13829" width="8.5703125" style="16" bestFit="1" customWidth="1"/>
    <col min="13830" max="13830" width="8.42578125" style="16" customWidth="1"/>
    <col min="13831" max="13831" width="8.42578125" style="16" bestFit="1" customWidth="1"/>
    <col min="13832" max="13832" width="8.42578125" style="16" customWidth="1"/>
    <col min="13833" max="13838" width="7.5703125" style="16" customWidth="1"/>
    <col min="13839" max="13839" width="7.140625" style="16" bestFit="1" customWidth="1"/>
    <col min="13840" max="13844" width="9.140625" style="16"/>
    <col min="13845" max="13845" width="12.42578125" style="16" customWidth="1"/>
    <col min="13846" max="13846" width="9.140625" style="16"/>
    <col min="13847" max="13847" width="12" style="16" customWidth="1"/>
    <col min="13848" max="14080" width="9.140625" style="16"/>
    <col min="14081" max="14081" width="5" style="16" customWidth="1"/>
    <col min="14082" max="14082" width="18.42578125" style="16" customWidth="1"/>
    <col min="14083" max="14083" width="8.28515625" style="16" customWidth="1"/>
    <col min="14084" max="14084" width="7.85546875" style="16" customWidth="1"/>
    <col min="14085" max="14085" width="8.5703125" style="16" bestFit="1" customWidth="1"/>
    <col min="14086" max="14086" width="8.42578125" style="16" customWidth="1"/>
    <col min="14087" max="14087" width="8.42578125" style="16" bestFit="1" customWidth="1"/>
    <col min="14088" max="14088" width="8.42578125" style="16" customWidth="1"/>
    <col min="14089" max="14094" width="7.5703125" style="16" customWidth="1"/>
    <col min="14095" max="14095" width="7.140625" style="16" bestFit="1" customWidth="1"/>
    <col min="14096" max="14100" width="9.140625" style="16"/>
    <col min="14101" max="14101" width="12.42578125" style="16" customWidth="1"/>
    <col min="14102" max="14102" width="9.140625" style="16"/>
    <col min="14103" max="14103" width="12" style="16" customWidth="1"/>
    <col min="14104" max="14336" width="9.140625" style="16"/>
    <col min="14337" max="14337" width="5" style="16" customWidth="1"/>
    <col min="14338" max="14338" width="18.42578125" style="16" customWidth="1"/>
    <col min="14339" max="14339" width="8.28515625" style="16" customWidth="1"/>
    <col min="14340" max="14340" width="7.85546875" style="16" customWidth="1"/>
    <col min="14341" max="14341" width="8.5703125" style="16" bestFit="1" customWidth="1"/>
    <col min="14342" max="14342" width="8.42578125" style="16" customWidth="1"/>
    <col min="14343" max="14343" width="8.42578125" style="16" bestFit="1" customWidth="1"/>
    <col min="14344" max="14344" width="8.42578125" style="16" customWidth="1"/>
    <col min="14345" max="14350" width="7.5703125" style="16" customWidth="1"/>
    <col min="14351" max="14351" width="7.140625" style="16" bestFit="1" customWidth="1"/>
    <col min="14352" max="14356" width="9.140625" style="16"/>
    <col min="14357" max="14357" width="12.42578125" style="16" customWidth="1"/>
    <col min="14358" max="14358" width="9.140625" style="16"/>
    <col min="14359" max="14359" width="12" style="16" customWidth="1"/>
    <col min="14360" max="14592" width="9.140625" style="16"/>
    <col min="14593" max="14593" width="5" style="16" customWidth="1"/>
    <col min="14594" max="14594" width="18.42578125" style="16" customWidth="1"/>
    <col min="14595" max="14595" width="8.28515625" style="16" customWidth="1"/>
    <col min="14596" max="14596" width="7.85546875" style="16" customWidth="1"/>
    <col min="14597" max="14597" width="8.5703125" style="16" bestFit="1" customWidth="1"/>
    <col min="14598" max="14598" width="8.42578125" style="16" customWidth="1"/>
    <col min="14599" max="14599" width="8.42578125" style="16" bestFit="1" customWidth="1"/>
    <col min="14600" max="14600" width="8.42578125" style="16" customWidth="1"/>
    <col min="14601" max="14606" width="7.5703125" style="16" customWidth="1"/>
    <col min="14607" max="14607" width="7.140625" style="16" bestFit="1" customWidth="1"/>
    <col min="14608" max="14612" width="9.140625" style="16"/>
    <col min="14613" max="14613" width="12.42578125" style="16" customWidth="1"/>
    <col min="14614" max="14614" width="9.140625" style="16"/>
    <col min="14615" max="14615" width="12" style="16" customWidth="1"/>
    <col min="14616" max="14848" width="9.140625" style="16"/>
    <col min="14849" max="14849" width="5" style="16" customWidth="1"/>
    <col min="14850" max="14850" width="18.42578125" style="16" customWidth="1"/>
    <col min="14851" max="14851" width="8.28515625" style="16" customWidth="1"/>
    <col min="14852" max="14852" width="7.85546875" style="16" customWidth="1"/>
    <col min="14853" max="14853" width="8.5703125" style="16" bestFit="1" customWidth="1"/>
    <col min="14854" max="14854" width="8.42578125" style="16" customWidth="1"/>
    <col min="14855" max="14855" width="8.42578125" style="16" bestFit="1" customWidth="1"/>
    <col min="14856" max="14856" width="8.42578125" style="16" customWidth="1"/>
    <col min="14857" max="14862" width="7.5703125" style="16" customWidth="1"/>
    <col min="14863" max="14863" width="7.140625" style="16" bestFit="1" customWidth="1"/>
    <col min="14864" max="14868" width="9.140625" style="16"/>
    <col min="14869" max="14869" width="12.42578125" style="16" customWidth="1"/>
    <col min="14870" max="14870" width="9.140625" style="16"/>
    <col min="14871" max="14871" width="12" style="16" customWidth="1"/>
    <col min="14872" max="15104" width="9.140625" style="16"/>
    <col min="15105" max="15105" width="5" style="16" customWidth="1"/>
    <col min="15106" max="15106" width="18.42578125" style="16" customWidth="1"/>
    <col min="15107" max="15107" width="8.28515625" style="16" customWidth="1"/>
    <col min="15108" max="15108" width="7.85546875" style="16" customWidth="1"/>
    <col min="15109" max="15109" width="8.5703125" style="16" bestFit="1" customWidth="1"/>
    <col min="15110" max="15110" width="8.42578125" style="16" customWidth="1"/>
    <col min="15111" max="15111" width="8.42578125" style="16" bestFit="1" customWidth="1"/>
    <col min="15112" max="15112" width="8.42578125" style="16" customWidth="1"/>
    <col min="15113" max="15118" width="7.5703125" style="16" customWidth="1"/>
    <col min="15119" max="15119" width="7.140625" style="16" bestFit="1" customWidth="1"/>
    <col min="15120" max="15124" width="9.140625" style="16"/>
    <col min="15125" max="15125" width="12.42578125" style="16" customWidth="1"/>
    <col min="15126" max="15126" width="9.140625" style="16"/>
    <col min="15127" max="15127" width="12" style="16" customWidth="1"/>
    <col min="15128" max="15360" width="9.140625" style="16"/>
    <col min="15361" max="15361" width="5" style="16" customWidth="1"/>
    <col min="15362" max="15362" width="18.42578125" style="16" customWidth="1"/>
    <col min="15363" max="15363" width="8.28515625" style="16" customWidth="1"/>
    <col min="15364" max="15364" width="7.85546875" style="16" customWidth="1"/>
    <col min="15365" max="15365" width="8.5703125" style="16" bestFit="1" customWidth="1"/>
    <col min="15366" max="15366" width="8.42578125" style="16" customWidth="1"/>
    <col min="15367" max="15367" width="8.42578125" style="16" bestFit="1" customWidth="1"/>
    <col min="15368" max="15368" width="8.42578125" style="16" customWidth="1"/>
    <col min="15369" max="15374" width="7.5703125" style="16" customWidth="1"/>
    <col min="15375" max="15375" width="7.140625" style="16" bestFit="1" customWidth="1"/>
    <col min="15376" max="15380" width="9.140625" style="16"/>
    <col min="15381" max="15381" width="12.42578125" style="16" customWidth="1"/>
    <col min="15382" max="15382" width="9.140625" style="16"/>
    <col min="15383" max="15383" width="12" style="16" customWidth="1"/>
    <col min="15384" max="15616" width="9.140625" style="16"/>
    <col min="15617" max="15617" width="5" style="16" customWidth="1"/>
    <col min="15618" max="15618" width="18.42578125" style="16" customWidth="1"/>
    <col min="15619" max="15619" width="8.28515625" style="16" customWidth="1"/>
    <col min="15620" max="15620" width="7.85546875" style="16" customWidth="1"/>
    <col min="15621" max="15621" width="8.5703125" style="16" bestFit="1" customWidth="1"/>
    <col min="15622" max="15622" width="8.42578125" style="16" customWidth="1"/>
    <col min="15623" max="15623" width="8.42578125" style="16" bestFit="1" customWidth="1"/>
    <col min="15624" max="15624" width="8.42578125" style="16" customWidth="1"/>
    <col min="15625" max="15630" width="7.5703125" style="16" customWidth="1"/>
    <col min="15631" max="15631" width="7.140625" style="16" bestFit="1" customWidth="1"/>
    <col min="15632" max="15636" width="9.140625" style="16"/>
    <col min="15637" max="15637" width="12.42578125" style="16" customWidth="1"/>
    <col min="15638" max="15638" width="9.140625" style="16"/>
    <col min="15639" max="15639" width="12" style="16" customWidth="1"/>
    <col min="15640" max="15872" width="9.140625" style="16"/>
    <col min="15873" max="15873" width="5" style="16" customWidth="1"/>
    <col min="15874" max="15874" width="18.42578125" style="16" customWidth="1"/>
    <col min="15875" max="15875" width="8.28515625" style="16" customWidth="1"/>
    <col min="15876" max="15876" width="7.85546875" style="16" customWidth="1"/>
    <col min="15877" max="15877" width="8.5703125" style="16" bestFit="1" customWidth="1"/>
    <col min="15878" max="15878" width="8.42578125" style="16" customWidth="1"/>
    <col min="15879" max="15879" width="8.42578125" style="16" bestFit="1" customWidth="1"/>
    <col min="15880" max="15880" width="8.42578125" style="16" customWidth="1"/>
    <col min="15881" max="15886" width="7.5703125" style="16" customWidth="1"/>
    <col min="15887" max="15887" width="7.140625" style="16" bestFit="1" customWidth="1"/>
    <col min="15888" max="15892" width="9.140625" style="16"/>
    <col min="15893" max="15893" width="12.42578125" style="16" customWidth="1"/>
    <col min="15894" max="15894" width="9.140625" style="16"/>
    <col min="15895" max="15895" width="12" style="16" customWidth="1"/>
    <col min="15896" max="16128" width="9.140625" style="16"/>
    <col min="16129" max="16129" width="5" style="16" customWidth="1"/>
    <col min="16130" max="16130" width="18.42578125" style="16" customWidth="1"/>
    <col min="16131" max="16131" width="8.28515625" style="16" customWidth="1"/>
    <col min="16132" max="16132" width="7.85546875" style="16" customWidth="1"/>
    <col min="16133" max="16133" width="8.5703125" style="16" bestFit="1" customWidth="1"/>
    <col min="16134" max="16134" width="8.42578125" style="16" customWidth="1"/>
    <col min="16135" max="16135" width="8.42578125" style="16" bestFit="1" customWidth="1"/>
    <col min="16136" max="16136" width="8.42578125" style="16" customWidth="1"/>
    <col min="16137" max="16142" width="7.5703125" style="16" customWidth="1"/>
    <col min="16143" max="16143" width="7.140625" style="16" bestFit="1" customWidth="1"/>
    <col min="16144" max="16148" width="9.140625" style="16"/>
    <col min="16149" max="16149" width="12.42578125" style="16" customWidth="1"/>
    <col min="16150" max="16150" width="9.140625" style="16"/>
    <col min="16151" max="16151" width="12" style="16" customWidth="1"/>
    <col min="16152" max="16384" width="9.140625" style="16"/>
  </cols>
  <sheetData>
    <row r="1" spans="1:17" s="1" customFormat="1" x14ac:dyDescent="0.2">
      <c r="A1" s="867">
        <v>16</v>
      </c>
      <c r="B1" s="868"/>
      <c r="C1" s="868"/>
      <c r="D1" s="869"/>
      <c r="E1" s="868"/>
      <c r="F1" s="868"/>
      <c r="G1" s="867" t="s">
        <v>102</v>
      </c>
      <c r="H1" s="869"/>
      <c r="I1" s="869" t="s">
        <v>759</v>
      </c>
      <c r="J1" s="868"/>
      <c r="K1" s="868"/>
      <c r="L1" s="870"/>
      <c r="M1" s="870"/>
      <c r="N1" s="870"/>
      <c r="O1" s="870"/>
    </row>
    <row r="2" spans="1:17" s="1" customFormat="1" x14ac:dyDescent="0.2">
      <c r="A2" s="867" t="s">
        <v>103</v>
      </c>
      <c r="B2" s="868"/>
      <c r="C2" s="868"/>
      <c r="D2" s="869"/>
      <c r="E2" s="868"/>
      <c r="F2" s="868"/>
      <c r="G2" s="867" t="s">
        <v>104</v>
      </c>
      <c r="H2" s="869"/>
      <c r="I2" s="869" t="s">
        <v>105</v>
      </c>
      <c r="J2" s="868"/>
      <c r="K2" s="868"/>
      <c r="L2" s="870"/>
      <c r="M2" s="870"/>
      <c r="N2" s="870"/>
      <c r="O2" s="870"/>
    </row>
    <row r="3" spans="1:17" s="1" customFormat="1" x14ac:dyDescent="0.2">
      <c r="A3" s="867" t="s">
        <v>106</v>
      </c>
      <c r="B3" s="868"/>
      <c r="C3" s="868"/>
      <c r="D3" s="883" t="s">
        <v>865</v>
      </c>
      <c r="E3" s="868"/>
      <c r="F3" s="868"/>
      <c r="G3" s="867" t="s">
        <v>107</v>
      </c>
      <c r="H3" s="869"/>
      <c r="I3" s="869" t="s">
        <v>108</v>
      </c>
      <c r="J3" s="868"/>
      <c r="K3" s="868"/>
      <c r="L3" s="870"/>
      <c r="M3" s="870"/>
      <c r="N3" s="870"/>
      <c r="O3" s="870"/>
    </row>
    <row r="4" spans="1:17" s="1" customFormat="1" x14ac:dyDescent="0.2">
      <c r="A4" s="867" t="s">
        <v>476</v>
      </c>
      <c r="B4" s="868"/>
      <c r="C4" s="868"/>
      <c r="D4" s="869" t="s">
        <v>866</v>
      </c>
      <c r="E4" s="868"/>
      <c r="F4" s="868"/>
      <c r="G4" s="867" t="s">
        <v>110</v>
      </c>
      <c r="H4" s="869"/>
      <c r="I4" s="869" t="s">
        <v>867</v>
      </c>
      <c r="J4" s="868"/>
      <c r="K4" s="868"/>
      <c r="L4" s="870"/>
      <c r="M4" s="870"/>
      <c r="N4" s="870"/>
      <c r="O4" s="870"/>
    </row>
    <row r="5" spans="1:17" s="1" customFormat="1" x14ac:dyDescent="0.2">
      <c r="A5" s="867" t="s">
        <v>112</v>
      </c>
      <c r="B5" s="868"/>
      <c r="C5" s="868"/>
      <c r="D5" s="869" t="s">
        <v>866</v>
      </c>
      <c r="E5" s="868"/>
      <c r="F5" s="868"/>
      <c r="G5" s="867"/>
      <c r="H5" s="868"/>
      <c r="I5" s="869" t="s">
        <v>113</v>
      </c>
      <c r="J5" s="868"/>
      <c r="K5" s="868"/>
      <c r="L5" s="870"/>
      <c r="M5" s="870"/>
      <c r="N5" s="870"/>
      <c r="O5" s="870"/>
    </row>
    <row r="6" spans="1:17" s="1" customFormat="1" x14ac:dyDescent="0.2">
      <c r="A6" s="871" t="s">
        <v>114</v>
      </c>
      <c r="B6" s="872"/>
      <c r="C6" s="872"/>
      <c r="D6" s="868" t="s">
        <v>760</v>
      </c>
      <c r="E6" s="868"/>
      <c r="F6" s="868"/>
      <c r="G6" s="871" t="s">
        <v>115</v>
      </c>
      <c r="H6" s="871"/>
      <c r="I6" s="2" t="s">
        <v>222</v>
      </c>
      <c r="J6" s="888"/>
      <c r="K6" s="888"/>
      <c r="L6" s="888"/>
      <c r="M6" s="888"/>
      <c r="N6" s="888"/>
      <c r="O6" s="889"/>
    </row>
    <row r="7" spans="1:17" s="1" customFormat="1" ht="13.5" thickBot="1" x14ac:dyDescent="0.25">
      <c r="A7" s="3"/>
      <c r="B7" s="4"/>
      <c r="C7" s="5"/>
      <c r="D7" s="6"/>
      <c r="E7" s="6"/>
      <c r="F7" s="6"/>
      <c r="G7" s="6"/>
      <c r="H7" s="6"/>
      <c r="I7" s="6"/>
      <c r="J7" s="7"/>
      <c r="K7" s="8"/>
      <c r="L7" s="875" t="s">
        <v>223</v>
      </c>
      <c r="M7" s="875"/>
      <c r="N7" s="875"/>
      <c r="O7" s="875"/>
    </row>
    <row r="8" spans="1:17" s="11" customFormat="1" x14ac:dyDescent="0.2">
      <c r="A8" s="876" t="str">
        <f>I1</f>
        <v>Ms. Laxmi B. Bhanuse</v>
      </c>
      <c r="B8" s="877"/>
      <c r="C8" s="333">
        <v>43160</v>
      </c>
      <c r="D8" s="333">
        <v>43191</v>
      </c>
      <c r="E8" s="333">
        <v>43221</v>
      </c>
      <c r="F8" s="333">
        <v>43252</v>
      </c>
      <c r="G8" s="333">
        <v>43282</v>
      </c>
      <c r="H8" s="333">
        <v>43313</v>
      </c>
      <c r="I8" s="333">
        <v>43344</v>
      </c>
      <c r="J8" s="333">
        <v>43374</v>
      </c>
      <c r="K8" s="333">
        <v>43405</v>
      </c>
      <c r="L8" s="333">
        <v>43435</v>
      </c>
      <c r="M8" s="333">
        <v>43466</v>
      </c>
      <c r="N8" s="333">
        <v>43497</v>
      </c>
      <c r="O8" s="10" t="s">
        <v>117</v>
      </c>
      <c r="Q8" s="11" t="s">
        <v>116</v>
      </c>
    </row>
    <row r="9" spans="1:17" ht="15" x14ac:dyDescent="0.2">
      <c r="A9" s="12"/>
      <c r="B9" s="13" t="s">
        <v>118</v>
      </c>
      <c r="C9" s="14">
        <v>41600</v>
      </c>
      <c r="D9" s="14">
        <v>41600</v>
      </c>
      <c r="E9" s="14">
        <v>41600</v>
      </c>
      <c r="F9" s="14">
        <v>41600</v>
      </c>
      <c r="G9" s="14">
        <v>42490</v>
      </c>
      <c r="H9" s="14">
        <v>42800</v>
      </c>
      <c r="I9" s="14">
        <v>42800</v>
      </c>
      <c r="J9" s="14">
        <v>42800</v>
      </c>
      <c r="K9" s="14">
        <v>42800</v>
      </c>
      <c r="L9" s="14">
        <v>42800</v>
      </c>
      <c r="M9" s="14">
        <v>42800</v>
      </c>
      <c r="N9" s="14">
        <v>42800</v>
      </c>
      <c r="O9" s="15">
        <f>SUM(C9:N9)</f>
        <v>508490</v>
      </c>
      <c r="Q9" s="16" t="s">
        <v>222</v>
      </c>
    </row>
    <row r="10" spans="1:17"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7" ht="15" x14ac:dyDescent="0.2">
      <c r="A11" s="12"/>
      <c r="B11" s="13" t="s">
        <v>120</v>
      </c>
      <c r="C11" s="17">
        <v>2080</v>
      </c>
      <c r="D11" s="17">
        <v>2912</v>
      </c>
      <c r="E11" s="17">
        <v>2912</v>
      </c>
      <c r="F11" s="17">
        <v>2912</v>
      </c>
      <c r="G11" s="17">
        <v>2974</v>
      </c>
      <c r="H11" s="17">
        <v>2996</v>
      </c>
      <c r="I11" s="17">
        <v>2996</v>
      </c>
      <c r="J11" s="17">
        <v>3852</v>
      </c>
      <c r="K11" s="17">
        <v>3852</v>
      </c>
      <c r="L11" s="17">
        <v>3852</v>
      </c>
      <c r="M11" s="17">
        <v>3852</v>
      </c>
      <c r="N11" s="17">
        <v>3852</v>
      </c>
      <c r="O11" s="18">
        <f>SUM(C11:N11)</f>
        <v>39042</v>
      </c>
    </row>
    <row r="12" spans="1:17"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7"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7" ht="15" x14ac:dyDescent="0.2">
      <c r="A14" s="12"/>
      <c r="B14" s="13" t="s">
        <v>123</v>
      </c>
      <c r="C14" s="17">
        <v>3780</v>
      </c>
      <c r="D14" s="17">
        <v>3852</v>
      </c>
      <c r="E14" s="17">
        <v>3852</v>
      </c>
      <c r="F14" s="17">
        <v>3852</v>
      </c>
      <c r="G14" s="17">
        <v>3852</v>
      </c>
      <c r="H14" s="17">
        <v>3852</v>
      </c>
      <c r="I14" s="17">
        <v>3852</v>
      </c>
      <c r="J14" s="17">
        <v>3924</v>
      </c>
      <c r="K14" s="17">
        <v>3924</v>
      </c>
      <c r="L14" s="17">
        <v>3924</v>
      </c>
      <c r="M14" s="17">
        <v>3924</v>
      </c>
      <c r="N14" s="17">
        <v>3924</v>
      </c>
      <c r="O14" s="18">
        <f t="shared" si="0"/>
        <v>46512</v>
      </c>
    </row>
    <row r="15" spans="1:17"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7" ht="15" hidden="1" x14ac:dyDescent="0.2">
      <c r="A16" s="12"/>
      <c r="B16" s="13" t="s">
        <v>405</v>
      </c>
      <c r="C16" s="17">
        <v>0</v>
      </c>
      <c r="D16" s="17">
        <v>0</v>
      </c>
      <c r="E16" s="17">
        <v>0</v>
      </c>
      <c r="F16" s="17">
        <v>0</v>
      </c>
      <c r="G16" s="17">
        <v>0</v>
      </c>
      <c r="H16" s="17">
        <v>0</v>
      </c>
      <c r="I16" s="17">
        <v>0</v>
      </c>
      <c r="J16" s="17">
        <v>0</v>
      </c>
      <c r="K16" s="17">
        <v>0</v>
      </c>
      <c r="L16" s="17">
        <v>0</v>
      </c>
      <c r="M16" s="17">
        <v>0</v>
      </c>
      <c r="N16" s="17">
        <v>0</v>
      </c>
      <c r="O16" s="18">
        <f t="shared" si="0"/>
        <v>0</v>
      </c>
    </row>
    <row r="17" spans="1:15" hidden="1" x14ac:dyDescent="0.2">
      <c r="A17" s="12"/>
      <c r="B17" s="166" t="s">
        <v>280</v>
      </c>
      <c r="C17" s="17">
        <v>0</v>
      </c>
      <c r="D17" s="17">
        <v>0</v>
      </c>
      <c r="E17" s="17">
        <v>0</v>
      </c>
      <c r="F17" s="17">
        <v>0</v>
      </c>
      <c r="G17" s="17">
        <v>0</v>
      </c>
      <c r="H17" s="17">
        <v>0</v>
      </c>
      <c r="I17" s="17">
        <v>0</v>
      </c>
      <c r="J17" s="17">
        <v>0</v>
      </c>
      <c r="K17" s="17">
        <v>0</v>
      </c>
      <c r="L17" s="17">
        <v>0</v>
      </c>
      <c r="M17" s="17">
        <v>0</v>
      </c>
      <c r="N17" s="17">
        <v>0</v>
      </c>
      <c r="O17" s="18">
        <f t="shared" si="0"/>
        <v>0</v>
      </c>
    </row>
    <row r="18" spans="1:15" ht="15" hidden="1" x14ac:dyDescent="0.2">
      <c r="A18" s="12"/>
      <c r="B18" s="13" t="s">
        <v>609</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9984</v>
      </c>
      <c r="D19" s="17">
        <v>9984</v>
      </c>
      <c r="E19" s="17">
        <v>9984</v>
      </c>
      <c r="F19" s="17">
        <v>9984</v>
      </c>
      <c r="G19" s="17">
        <v>10198</v>
      </c>
      <c r="H19" s="17">
        <v>10272</v>
      </c>
      <c r="I19" s="17">
        <v>10272</v>
      </c>
      <c r="J19" s="17">
        <v>10272</v>
      </c>
      <c r="K19" s="17">
        <v>10272</v>
      </c>
      <c r="L19" s="17">
        <v>10272</v>
      </c>
      <c r="M19" s="17">
        <v>10272</v>
      </c>
      <c r="N19" s="17">
        <v>10272</v>
      </c>
      <c r="O19" s="18">
        <f t="shared" si="0"/>
        <v>122038</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78"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79"/>
      <c r="B22" s="19" t="s">
        <v>132</v>
      </c>
      <c r="C22" s="17">
        <v>0</v>
      </c>
      <c r="D22" s="17">
        <v>0</v>
      </c>
      <c r="E22" s="17">
        <v>0</v>
      </c>
      <c r="F22" s="17">
        <v>0</v>
      </c>
      <c r="G22" s="17">
        <v>0</v>
      </c>
      <c r="H22" s="17">
        <v>0</v>
      </c>
      <c r="I22" s="17">
        <v>0</v>
      </c>
      <c r="J22" s="17">
        <v>0</v>
      </c>
      <c r="K22" s="17">
        <v>0</v>
      </c>
      <c r="L22" s="17">
        <v>0</v>
      </c>
      <c r="M22" s="17">
        <v>0</v>
      </c>
      <c r="N22" s="17">
        <v>0</v>
      </c>
      <c r="O22" s="18">
        <f t="shared" si="0"/>
        <v>0</v>
      </c>
    </row>
    <row r="23" spans="1:15" ht="15" hidden="1" customHeight="1" x14ac:dyDescent="0.2">
      <c r="A23" s="879"/>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79"/>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79"/>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79"/>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79"/>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79"/>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79"/>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79"/>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79"/>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79"/>
      <c r="B32" s="21" t="s">
        <v>142</v>
      </c>
      <c r="C32" s="17">
        <v>0</v>
      </c>
      <c r="D32" s="17">
        <v>0</v>
      </c>
      <c r="E32" s="17">
        <v>0</v>
      </c>
      <c r="F32" s="17">
        <v>0</v>
      </c>
      <c r="G32" s="17">
        <v>0</v>
      </c>
      <c r="H32" s="17">
        <v>0</v>
      </c>
      <c r="I32" s="17">
        <v>0</v>
      </c>
      <c r="J32" s="17">
        <v>0</v>
      </c>
      <c r="K32" s="17">
        <v>0</v>
      </c>
      <c r="L32" s="17">
        <v>0</v>
      </c>
      <c r="M32" s="17">
        <v>0</v>
      </c>
      <c r="N32" s="17">
        <v>0</v>
      </c>
      <c r="O32" s="18">
        <f t="shared" si="0"/>
        <v>0</v>
      </c>
    </row>
    <row r="33" spans="1:16" ht="15" hidden="1" customHeight="1" x14ac:dyDescent="0.2">
      <c r="A33" s="880"/>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865" t="s">
        <v>868</v>
      </c>
      <c r="B34" s="866"/>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865" t="s">
        <v>145</v>
      </c>
      <c r="B35" s="866"/>
      <c r="C35" s="17">
        <v>0</v>
      </c>
      <c r="D35" s="17">
        <v>216</v>
      </c>
      <c r="E35" s="17">
        <v>0</v>
      </c>
      <c r="F35" s="17">
        <v>0</v>
      </c>
      <c r="G35" s="17">
        <v>0</v>
      </c>
      <c r="H35" s="17">
        <v>0</v>
      </c>
      <c r="I35" s="17">
        <v>0</v>
      </c>
      <c r="J35" s="17">
        <v>216</v>
      </c>
      <c r="K35" s="17">
        <v>0</v>
      </c>
      <c r="L35" s="17">
        <v>0</v>
      </c>
      <c r="M35" s="17">
        <v>0</v>
      </c>
      <c r="N35" s="17">
        <v>0</v>
      </c>
      <c r="O35" s="18">
        <f t="shared" si="0"/>
        <v>432</v>
      </c>
    </row>
    <row r="36" spans="1:16" ht="15" customHeight="1" x14ac:dyDescent="0.2">
      <c r="A36" s="865" t="s">
        <v>146</v>
      </c>
      <c r="B36" s="866"/>
      <c r="C36" s="17">
        <v>0</v>
      </c>
      <c r="D36" s="17">
        <v>2496</v>
      </c>
      <c r="E36" s="17">
        <v>0</v>
      </c>
      <c r="F36" s="17">
        <v>0</v>
      </c>
      <c r="G36" s="17">
        <v>0</v>
      </c>
      <c r="H36" s="17">
        <v>0</v>
      </c>
      <c r="I36" s="17">
        <v>0</v>
      </c>
      <c r="J36" s="17">
        <v>2568</v>
      </c>
      <c r="K36" s="17">
        <v>0</v>
      </c>
      <c r="L36" s="17">
        <v>0</v>
      </c>
      <c r="M36" s="17">
        <v>0</v>
      </c>
      <c r="N36" s="17">
        <v>0</v>
      </c>
      <c r="O36" s="18">
        <f t="shared" si="0"/>
        <v>5064</v>
      </c>
    </row>
    <row r="37" spans="1:16" ht="15" customHeight="1" x14ac:dyDescent="0.2">
      <c r="A37" s="22"/>
      <c r="B37" s="23" t="s">
        <v>147</v>
      </c>
      <c r="C37" s="24">
        <f t="shared" ref="C37:N37" si="1">SUM(C9:C36)</f>
        <v>57444</v>
      </c>
      <c r="D37" s="24">
        <f t="shared" si="1"/>
        <v>61060</v>
      </c>
      <c r="E37" s="24">
        <f t="shared" si="1"/>
        <v>58348</v>
      </c>
      <c r="F37" s="24">
        <f t="shared" si="1"/>
        <v>58348</v>
      </c>
      <c r="G37" s="24">
        <f t="shared" si="1"/>
        <v>59514</v>
      </c>
      <c r="H37" s="24">
        <f t="shared" si="1"/>
        <v>59920</v>
      </c>
      <c r="I37" s="24">
        <f t="shared" si="1"/>
        <v>59920</v>
      </c>
      <c r="J37" s="24">
        <f t="shared" si="1"/>
        <v>63632</v>
      </c>
      <c r="K37" s="24">
        <f t="shared" si="1"/>
        <v>60848</v>
      </c>
      <c r="L37" s="24">
        <f t="shared" si="1"/>
        <v>60848</v>
      </c>
      <c r="M37" s="24">
        <f t="shared" si="1"/>
        <v>60848</v>
      </c>
      <c r="N37" s="24">
        <f t="shared" si="1"/>
        <v>60848</v>
      </c>
      <c r="O37" s="25">
        <f t="shared" ref="O37:O50" si="2">SUM(C37:N37)</f>
        <v>721578</v>
      </c>
    </row>
    <row r="38" spans="1:16" ht="15" customHeight="1" x14ac:dyDescent="0.25">
      <c r="A38" s="853" t="s">
        <v>148</v>
      </c>
      <c r="B38" s="27" t="s">
        <v>149</v>
      </c>
      <c r="C38" s="147">
        <v>970</v>
      </c>
      <c r="D38" s="147">
        <v>0</v>
      </c>
      <c r="E38" s="147">
        <v>0</v>
      </c>
      <c r="F38" s="147">
        <v>0</v>
      </c>
      <c r="G38" s="147">
        <v>0</v>
      </c>
      <c r="H38" s="147">
        <v>0</v>
      </c>
      <c r="I38" s="147">
        <v>0</v>
      </c>
      <c r="J38" s="147">
        <v>0</v>
      </c>
      <c r="K38" s="147">
        <v>3000</v>
      </c>
      <c r="L38" s="147">
        <v>3200</v>
      </c>
      <c r="M38" s="147">
        <v>3200</v>
      </c>
      <c r="N38">
        <v>3190</v>
      </c>
      <c r="O38" s="18">
        <f t="shared" si="2"/>
        <v>13560</v>
      </c>
      <c r="P38" s="29"/>
    </row>
    <row r="39" spans="1:16" ht="15" x14ac:dyDescent="0.2">
      <c r="A39" s="854"/>
      <c r="B39" s="27" t="s">
        <v>150</v>
      </c>
      <c r="C39" s="147">
        <v>0</v>
      </c>
      <c r="D39" s="147">
        <v>0</v>
      </c>
      <c r="E39" s="147">
        <v>0</v>
      </c>
      <c r="F39" s="147">
        <v>0</v>
      </c>
      <c r="G39" s="147">
        <v>0</v>
      </c>
      <c r="H39" s="147">
        <v>0</v>
      </c>
      <c r="I39" s="147">
        <v>0</v>
      </c>
      <c r="J39" s="147">
        <v>0</v>
      </c>
      <c r="K39" s="147">
        <v>0</v>
      </c>
      <c r="L39" s="147">
        <v>0</v>
      </c>
      <c r="M39" s="147">
        <v>0</v>
      </c>
      <c r="N39" s="147">
        <v>0</v>
      </c>
      <c r="O39" s="18">
        <f t="shared" si="2"/>
        <v>0</v>
      </c>
    </row>
    <row r="40" spans="1:16" ht="15" x14ac:dyDescent="0.2">
      <c r="A40" s="854"/>
      <c r="B40" s="27" t="s">
        <v>151</v>
      </c>
      <c r="C40" s="147">
        <v>30</v>
      </c>
      <c r="D40" s="147">
        <v>30</v>
      </c>
      <c r="E40" s="147">
        <v>30</v>
      </c>
      <c r="F40" s="147">
        <v>30</v>
      </c>
      <c r="G40" s="147">
        <v>30</v>
      </c>
      <c r="H40" s="147">
        <v>30</v>
      </c>
      <c r="I40" s="147">
        <v>30</v>
      </c>
      <c r="J40" s="147">
        <v>30</v>
      </c>
      <c r="K40" s="147">
        <v>30</v>
      </c>
      <c r="L40" s="147">
        <v>30</v>
      </c>
      <c r="M40" s="147">
        <v>30</v>
      </c>
      <c r="N40" s="147">
        <v>30</v>
      </c>
      <c r="O40" s="18">
        <f t="shared" si="2"/>
        <v>360</v>
      </c>
    </row>
    <row r="41" spans="1:16" ht="15" x14ac:dyDescent="0.2">
      <c r="A41" s="854"/>
      <c r="B41" s="27" t="s">
        <v>152</v>
      </c>
      <c r="C41" s="147">
        <v>0</v>
      </c>
      <c r="D41" s="147">
        <v>0</v>
      </c>
      <c r="E41" s="147">
        <v>0</v>
      </c>
      <c r="F41" s="147">
        <v>0</v>
      </c>
      <c r="G41" s="147">
        <v>0</v>
      </c>
      <c r="H41" s="147">
        <v>0</v>
      </c>
      <c r="I41" s="147">
        <v>0</v>
      </c>
      <c r="J41" s="147">
        <v>0</v>
      </c>
      <c r="K41" s="147">
        <v>0</v>
      </c>
      <c r="L41" s="147">
        <v>0</v>
      </c>
      <c r="M41" s="147">
        <v>0</v>
      </c>
      <c r="N41" s="147">
        <v>0</v>
      </c>
      <c r="O41" s="18">
        <f t="shared" si="2"/>
        <v>0</v>
      </c>
    </row>
    <row r="42" spans="1:16" ht="15" x14ac:dyDescent="0.2">
      <c r="A42" s="854"/>
      <c r="B42" s="27" t="s">
        <v>153</v>
      </c>
      <c r="C42" s="147">
        <v>250</v>
      </c>
      <c r="D42" s="147">
        <v>250</v>
      </c>
      <c r="E42" s="147">
        <v>250</v>
      </c>
      <c r="F42" s="147">
        <v>250</v>
      </c>
      <c r="G42" s="147">
        <v>250</v>
      </c>
      <c r="H42" s="147">
        <v>250</v>
      </c>
      <c r="I42" s="147">
        <v>250</v>
      </c>
      <c r="J42" s="147">
        <v>250</v>
      </c>
      <c r="K42" s="147">
        <v>250</v>
      </c>
      <c r="L42" s="147">
        <v>250</v>
      </c>
      <c r="M42" s="147">
        <v>250</v>
      </c>
      <c r="N42" s="147">
        <v>250</v>
      </c>
      <c r="O42" s="18">
        <f t="shared" si="2"/>
        <v>3000</v>
      </c>
    </row>
    <row r="43" spans="1:16" ht="15" x14ac:dyDescent="0.2">
      <c r="A43" s="854"/>
      <c r="B43" s="27" t="s">
        <v>154</v>
      </c>
      <c r="C43" s="147">
        <v>12000</v>
      </c>
      <c r="D43" s="147">
        <v>15000</v>
      </c>
      <c r="E43" s="147">
        <v>15000</v>
      </c>
      <c r="F43" s="147">
        <v>15000</v>
      </c>
      <c r="G43" s="147">
        <v>15000</v>
      </c>
      <c r="H43" s="147">
        <v>15000</v>
      </c>
      <c r="I43" s="147">
        <v>15000</v>
      </c>
      <c r="J43" s="147">
        <v>15000</v>
      </c>
      <c r="K43" s="147">
        <v>15000</v>
      </c>
      <c r="L43" s="147">
        <v>15000</v>
      </c>
      <c r="M43" s="147">
        <v>15000</v>
      </c>
      <c r="N43" s="147">
        <v>15000</v>
      </c>
      <c r="O43" s="18">
        <f t="shared" si="2"/>
        <v>177000</v>
      </c>
    </row>
    <row r="44" spans="1:16" ht="15" x14ac:dyDescent="0.2">
      <c r="A44" s="854"/>
      <c r="B44" s="27" t="s">
        <v>155</v>
      </c>
      <c r="C44" s="147">
        <v>200</v>
      </c>
      <c r="D44" s="147">
        <v>200</v>
      </c>
      <c r="E44" s="147">
        <v>200</v>
      </c>
      <c r="F44" s="147">
        <v>200</v>
      </c>
      <c r="G44" s="147">
        <v>200</v>
      </c>
      <c r="H44" s="147">
        <v>200</v>
      </c>
      <c r="I44" s="147">
        <v>200</v>
      </c>
      <c r="J44" s="147">
        <v>200</v>
      </c>
      <c r="K44" s="147">
        <v>200</v>
      </c>
      <c r="L44" s="147">
        <v>200</v>
      </c>
      <c r="M44" s="147">
        <v>200</v>
      </c>
      <c r="N44" s="147">
        <v>200</v>
      </c>
      <c r="O44" s="18">
        <f t="shared" si="2"/>
        <v>2400</v>
      </c>
    </row>
    <row r="45" spans="1:16" ht="15" x14ac:dyDescent="0.2">
      <c r="A45" s="854"/>
      <c r="B45" s="27" t="s">
        <v>156</v>
      </c>
      <c r="C45" s="147">
        <v>0</v>
      </c>
      <c r="D45" s="147">
        <v>0</v>
      </c>
      <c r="E45" s="147">
        <v>0</v>
      </c>
      <c r="F45" s="147">
        <v>0</v>
      </c>
      <c r="G45" s="147">
        <v>0</v>
      </c>
      <c r="H45" s="147">
        <v>0</v>
      </c>
      <c r="I45" s="147">
        <v>0</v>
      </c>
      <c r="J45" s="147">
        <v>0</v>
      </c>
      <c r="K45" s="147">
        <v>0</v>
      </c>
      <c r="L45" s="147">
        <v>0</v>
      </c>
      <c r="M45" s="147">
        <v>0</v>
      </c>
      <c r="N45" s="147">
        <v>0</v>
      </c>
      <c r="O45" s="18">
        <f t="shared" si="2"/>
        <v>0</v>
      </c>
    </row>
    <row r="46" spans="1:16" ht="15" x14ac:dyDescent="0.2">
      <c r="A46" s="854"/>
      <c r="B46" s="27" t="s">
        <v>157</v>
      </c>
      <c r="C46" s="147">
        <v>0</v>
      </c>
      <c r="D46" s="147">
        <v>0</v>
      </c>
      <c r="E46" s="147">
        <v>0</v>
      </c>
      <c r="F46" s="147">
        <v>0</v>
      </c>
      <c r="G46" s="147">
        <v>0</v>
      </c>
      <c r="H46" s="147">
        <v>0</v>
      </c>
      <c r="I46" s="147">
        <v>0</v>
      </c>
      <c r="J46" s="147">
        <v>0</v>
      </c>
      <c r="K46" s="147">
        <v>0</v>
      </c>
      <c r="L46" s="147">
        <v>0</v>
      </c>
      <c r="M46" s="147">
        <v>0</v>
      </c>
      <c r="N46" s="147">
        <v>0</v>
      </c>
      <c r="O46" s="18">
        <f t="shared" si="2"/>
        <v>0</v>
      </c>
    </row>
    <row r="47" spans="1:16" ht="28.5" customHeight="1" x14ac:dyDescent="0.2">
      <c r="A47" s="855"/>
      <c r="B47" s="30" t="s">
        <v>158</v>
      </c>
      <c r="C47" s="147">
        <v>0</v>
      </c>
      <c r="D47" s="147">
        <v>0</v>
      </c>
      <c r="E47" s="147">
        <v>0</v>
      </c>
      <c r="F47" s="147">
        <v>0</v>
      </c>
      <c r="G47" s="147">
        <v>0</v>
      </c>
      <c r="H47" s="147">
        <v>0</v>
      </c>
      <c r="I47" s="147">
        <v>0</v>
      </c>
      <c r="J47" s="147">
        <v>0</v>
      </c>
      <c r="K47" s="147">
        <v>0</v>
      </c>
      <c r="L47" s="147">
        <v>0</v>
      </c>
      <c r="M47" s="147">
        <v>0</v>
      </c>
      <c r="N47" s="147">
        <v>0</v>
      </c>
      <c r="O47" s="31">
        <f t="shared" si="2"/>
        <v>0</v>
      </c>
    </row>
    <row r="48" spans="1:16" ht="21.75" x14ac:dyDescent="0.2">
      <c r="A48" s="856"/>
      <c r="B48" s="306" t="s">
        <v>864</v>
      </c>
      <c r="C48" s="147">
        <v>0</v>
      </c>
      <c r="D48" s="147">
        <v>0</v>
      </c>
      <c r="E48" s="147">
        <v>0</v>
      </c>
      <c r="F48" s="147">
        <v>0</v>
      </c>
      <c r="G48" s="147">
        <v>0</v>
      </c>
      <c r="H48" s="147">
        <v>0</v>
      </c>
      <c r="I48" s="147">
        <v>0</v>
      </c>
      <c r="J48" s="147">
        <v>0</v>
      </c>
      <c r="K48" s="147">
        <v>0</v>
      </c>
      <c r="L48" s="147">
        <v>0</v>
      </c>
      <c r="M48" s="147">
        <v>0</v>
      </c>
      <c r="N48" s="147">
        <v>0</v>
      </c>
      <c r="O48" s="31">
        <f t="shared" si="2"/>
        <v>0</v>
      </c>
    </row>
    <row r="49" spans="1:19" ht="15" x14ac:dyDescent="0.2">
      <c r="A49" s="857" t="s">
        <v>160</v>
      </c>
      <c r="B49" s="858"/>
      <c r="C49" s="33">
        <f t="shared" ref="C49:N49" si="3">SUM(C38:C48)</f>
        <v>13450</v>
      </c>
      <c r="D49" s="33">
        <f t="shared" si="3"/>
        <v>15480</v>
      </c>
      <c r="E49" s="33">
        <f t="shared" si="3"/>
        <v>15480</v>
      </c>
      <c r="F49" s="33">
        <f t="shared" si="3"/>
        <v>15480</v>
      </c>
      <c r="G49" s="33">
        <f t="shared" si="3"/>
        <v>15480</v>
      </c>
      <c r="H49" s="33">
        <f t="shared" si="3"/>
        <v>15480</v>
      </c>
      <c r="I49" s="33">
        <f t="shared" si="3"/>
        <v>15480</v>
      </c>
      <c r="J49" s="33">
        <f t="shared" si="3"/>
        <v>15480</v>
      </c>
      <c r="K49" s="33">
        <f t="shared" si="3"/>
        <v>18480</v>
      </c>
      <c r="L49" s="33">
        <f t="shared" si="3"/>
        <v>18680</v>
      </c>
      <c r="M49" s="33">
        <f t="shared" si="3"/>
        <v>18680</v>
      </c>
      <c r="N49" s="33">
        <f t="shared" si="3"/>
        <v>18670</v>
      </c>
      <c r="O49" s="34">
        <f t="shared" si="2"/>
        <v>196320</v>
      </c>
    </row>
    <row r="50" spans="1:19" ht="15.75" thickBot="1" x14ac:dyDescent="0.25">
      <c r="A50" s="859" t="s">
        <v>161</v>
      </c>
      <c r="B50" s="860"/>
      <c r="C50" s="35">
        <f t="shared" ref="C50:N50" si="4">C37-C49</f>
        <v>43994</v>
      </c>
      <c r="D50" s="35">
        <f t="shared" si="4"/>
        <v>45580</v>
      </c>
      <c r="E50" s="35">
        <f t="shared" si="4"/>
        <v>42868</v>
      </c>
      <c r="F50" s="35">
        <f t="shared" si="4"/>
        <v>42868</v>
      </c>
      <c r="G50" s="35">
        <f t="shared" si="4"/>
        <v>44034</v>
      </c>
      <c r="H50" s="35">
        <f t="shared" si="4"/>
        <v>44440</v>
      </c>
      <c r="I50" s="35">
        <f t="shared" si="4"/>
        <v>44440</v>
      </c>
      <c r="J50" s="35">
        <f t="shared" si="4"/>
        <v>48152</v>
      </c>
      <c r="K50" s="35">
        <f t="shared" si="4"/>
        <v>42368</v>
      </c>
      <c r="L50" s="35">
        <f t="shared" si="4"/>
        <v>42168</v>
      </c>
      <c r="M50" s="35">
        <f t="shared" si="4"/>
        <v>42168</v>
      </c>
      <c r="N50" s="35">
        <f t="shared" si="4"/>
        <v>42178</v>
      </c>
      <c r="O50" s="36">
        <f t="shared" si="2"/>
        <v>525258</v>
      </c>
    </row>
    <row r="51" spans="1:19" x14ac:dyDescent="0.2">
      <c r="H51" s="38"/>
      <c r="J51" s="300">
        <f>+J37-SUM(J22:J36)</f>
        <v>60848</v>
      </c>
      <c r="Q51" s="38"/>
    </row>
    <row r="52" spans="1:19" ht="13.5" thickBot="1" x14ac:dyDescent="0.25">
      <c r="J52" s="38">
        <f>+J51-J49</f>
        <v>45368</v>
      </c>
    </row>
    <row r="53" spans="1:19" ht="13.5" thickBot="1" x14ac:dyDescent="0.25">
      <c r="B53" s="789" t="s">
        <v>162</v>
      </c>
      <c r="C53" s="861"/>
      <c r="D53" s="861"/>
      <c r="E53" s="861"/>
      <c r="F53" s="862"/>
      <c r="G53" s="863">
        <f>O37</f>
        <v>721578</v>
      </c>
      <c r="H53" s="864"/>
    </row>
    <row r="54" spans="1:19" ht="13.5" thickBot="1" x14ac:dyDescent="0.25">
      <c r="K54" s="172"/>
      <c r="L54" s="162"/>
      <c r="M54" s="162"/>
    </row>
    <row r="55" spans="1:19" x14ac:dyDescent="0.2">
      <c r="B55" s="830" t="s">
        <v>163</v>
      </c>
      <c r="C55" s="833" t="s">
        <v>164</v>
      </c>
      <c r="D55" s="836" t="s">
        <v>811</v>
      </c>
      <c r="E55" s="837"/>
      <c r="F55" s="838"/>
      <c r="G55" s="839">
        <v>40000</v>
      </c>
      <c r="H55" s="840"/>
    </row>
    <row r="56" spans="1:19" x14ac:dyDescent="0.2">
      <c r="B56" s="831"/>
      <c r="C56" s="834"/>
      <c r="D56" s="841" t="s">
        <v>166</v>
      </c>
      <c r="E56" s="842"/>
      <c r="F56" s="843"/>
      <c r="G56" s="844">
        <f>+O44</f>
        <v>2400</v>
      </c>
      <c r="H56" s="845"/>
      <c r="I56" s="39"/>
      <c r="J56" s="1108"/>
      <c r="K56" s="1108"/>
      <c r="L56" s="1108"/>
      <c r="M56" s="847"/>
      <c r="N56" s="847"/>
      <c r="O56" s="847"/>
    </row>
    <row r="57" spans="1:19" ht="13.5" thickBot="1" x14ac:dyDescent="0.25">
      <c r="B57" s="832"/>
      <c r="C57" s="835"/>
      <c r="D57" s="848" t="s">
        <v>869</v>
      </c>
      <c r="E57" s="849"/>
      <c r="F57" s="850"/>
      <c r="G57" s="851"/>
      <c r="H57" s="852"/>
      <c r="J57" s="47"/>
      <c r="K57" s="47"/>
      <c r="L57" s="47"/>
      <c r="M57" s="47"/>
      <c r="N57" s="47"/>
      <c r="O57" s="47"/>
    </row>
    <row r="58" spans="1:19" ht="13.5" thickBot="1" x14ac:dyDescent="0.25">
      <c r="B58" s="48"/>
      <c r="J58" s="47"/>
      <c r="K58" s="47"/>
      <c r="L58" s="47"/>
      <c r="M58" s="47"/>
      <c r="N58" s="47"/>
      <c r="O58" s="47"/>
    </row>
    <row r="59" spans="1:19" ht="13.5" thickBot="1" x14ac:dyDescent="0.25">
      <c r="B59" s="789" t="s">
        <v>168</v>
      </c>
      <c r="C59" s="790"/>
      <c r="D59" s="790"/>
      <c r="E59" s="790"/>
      <c r="F59" s="791"/>
      <c r="G59" s="825">
        <f>+G53-SUM(G55:H57)</f>
        <v>679178</v>
      </c>
      <c r="H59" s="826"/>
      <c r="J59" s="827" t="s">
        <v>169</v>
      </c>
      <c r="K59" s="828"/>
      <c r="L59" s="828"/>
      <c r="M59" s="828"/>
      <c r="N59" s="828"/>
      <c r="O59" s="829"/>
    </row>
    <row r="60" spans="1:19" ht="13.5" thickBot="1" x14ac:dyDescent="0.25">
      <c r="B60" s="49"/>
      <c r="C60" s="50"/>
      <c r="D60" s="50"/>
      <c r="E60" s="50"/>
      <c r="F60" s="50"/>
      <c r="G60" s="45"/>
      <c r="H60" s="50"/>
      <c r="J60" s="129"/>
      <c r="K60" s="130"/>
      <c r="L60" s="130"/>
      <c r="M60" s="130"/>
      <c r="N60" s="130"/>
      <c r="O60" s="131"/>
    </row>
    <row r="61" spans="1:19" ht="13.5" thickBot="1" x14ac:dyDescent="0.25">
      <c r="B61" s="789" t="s">
        <v>170</v>
      </c>
      <c r="C61" s="790"/>
      <c r="D61" s="790"/>
      <c r="E61" s="790"/>
      <c r="F61" s="791"/>
      <c r="G61" s="805"/>
      <c r="H61" s="791"/>
      <c r="J61" s="129"/>
      <c r="K61" s="130"/>
      <c r="L61" s="130"/>
      <c r="M61" s="130"/>
      <c r="N61" s="130"/>
      <c r="O61" s="131"/>
    </row>
    <row r="62" spans="1:19" ht="12.75" customHeight="1" x14ac:dyDescent="0.2">
      <c r="B62" s="57" t="s">
        <v>171</v>
      </c>
      <c r="C62" s="806" t="s">
        <v>172</v>
      </c>
      <c r="D62" s="807"/>
      <c r="E62" s="807"/>
      <c r="F62" s="808"/>
      <c r="G62" s="809">
        <v>34217</v>
      </c>
      <c r="H62" s="809"/>
      <c r="I62" s="58"/>
      <c r="J62" s="810" t="s">
        <v>173</v>
      </c>
      <c r="K62" s="811"/>
      <c r="L62" s="811"/>
      <c r="M62" s="811"/>
      <c r="N62" s="811"/>
      <c r="O62" s="812"/>
      <c r="Q62" s="59"/>
      <c r="R62" s="59"/>
      <c r="S62" s="59"/>
    </row>
    <row r="63" spans="1:19" ht="13.5" thickBot="1" x14ac:dyDescent="0.25">
      <c r="D63" s="37"/>
      <c r="I63" s="58"/>
      <c r="J63" s="60" t="s">
        <v>870</v>
      </c>
      <c r="K63" s="132"/>
      <c r="L63" s="132"/>
      <c r="M63" s="133"/>
      <c r="N63" s="133"/>
      <c r="O63" s="134"/>
      <c r="Q63" s="59"/>
      <c r="R63" s="59"/>
      <c r="S63" s="59"/>
    </row>
    <row r="64" spans="1:19" ht="13.5" thickBot="1" x14ac:dyDescent="0.25">
      <c r="B64" s="789" t="s">
        <v>175</v>
      </c>
      <c r="C64" s="790"/>
      <c r="D64" s="790"/>
      <c r="E64" s="790"/>
      <c r="F64" s="791"/>
      <c r="G64" s="805">
        <f>+G59-G62</f>
        <v>644961</v>
      </c>
      <c r="H64" s="791"/>
      <c r="I64" s="63"/>
      <c r="J64" s="64" t="s">
        <v>871</v>
      </c>
      <c r="K64" s="39"/>
      <c r="L64" s="39"/>
      <c r="M64" s="39"/>
      <c r="N64" s="39"/>
      <c r="O64" s="65"/>
      <c r="Q64" s="59"/>
      <c r="R64" s="59"/>
      <c r="S64" s="59"/>
    </row>
    <row r="65" spans="2:19" ht="12.75" customHeight="1" x14ac:dyDescent="0.2">
      <c r="B65" s="48"/>
      <c r="C65" s="48"/>
      <c r="I65" s="63"/>
      <c r="J65" s="64"/>
      <c r="K65" s="39"/>
      <c r="L65" s="39"/>
      <c r="M65" s="39"/>
      <c r="N65" s="39"/>
      <c r="O65" s="65"/>
      <c r="Q65" s="59"/>
      <c r="R65" s="59"/>
      <c r="S65" s="59"/>
    </row>
    <row r="66" spans="2:19" x14ac:dyDescent="0.2">
      <c r="B66" s="66" t="s">
        <v>176</v>
      </c>
      <c r="C66" s="48"/>
      <c r="I66" s="63"/>
      <c r="J66" s="67"/>
      <c r="K66" s="68"/>
      <c r="L66" s="68"/>
      <c r="M66" s="68"/>
      <c r="N66" s="68"/>
      <c r="O66" s="69"/>
      <c r="Q66" s="59"/>
      <c r="R66" s="59"/>
      <c r="S66" s="59"/>
    </row>
    <row r="67" spans="2:19" ht="27" customHeight="1" thickBot="1" x14ac:dyDescent="0.25">
      <c r="B67" s="66"/>
      <c r="C67" s="48"/>
      <c r="G67" s="70" t="s">
        <v>177</v>
      </c>
      <c r="H67" s="70" t="s">
        <v>178</v>
      </c>
      <c r="I67" s="63"/>
      <c r="J67" s="810" t="s">
        <v>179</v>
      </c>
      <c r="K67" s="811"/>
      <c r="L67" s="71"/>
      <c r="M67" s="71"/>
      <c r="N67" s="71"/>
      <c r="O67" s="72"/>
      <c r="Q67" s="59"/>
      <c r="R67" s="59"/>
      <c r="S67" s="59"/>
    </row>
    <row r="68" spans="2:19" ht="12.75" customHeight="1" x14ac:dyDescent="0.2">
      <c r="B68" s="802" t="s">
        <v>180</v>
      </c>
      <c r="C68" s="821" t="s">
        <v>181</v>
      </c>
      <c r="D68" s="823" t="s">
        <v>182</v>
      </c>
      <c r="E68" s="824"/>
      <c r="F68" s="824"/>
      <c r="G68" s="73">
        <f>+O43</f>
        <v>177000</v>
      </c>
      <c r="H68" s="74">
        <f>+G68</f>
        <v>177000</v>
      </c>
      <c r="I68" s="63"/>
      <c r="J68" s="75" t="s">
        <v>183</v>
      </c>
      <c r="K68" s="58"/>
      <c r="L68" s="58"/>
      <c r="M68" s="58"/>
      <c r="N68" s="58"/>
      <c r="O68" s="76"/>
      <c r="Q68" s="59"/>
      <c r="R68" s="59"/>
      <c r="S68" s="59"/>
    </row>
    <row r="69" spans="2:19" ht="12.75" customHeight="1" x14ac:dyDescent="0.2">
      <c r="B69" s="803"/>
      <c r="C69" s="822"/>
      <c r="D69" s="782" t="s">
        <v>184</v>
      </c>
      <c r="E69" s="783"/>
      <c r="F69" s="783"/>
      <c r="G69" s="77">
        <f>+O47</f>
        <v>0</v>
      </c>
      <c r="H69" s="78">
        <f t="shared" ref="H69:H75" si="5">+G69</f>
        <v>0</v>
      </c>
      <c r="I69" s="63"/>
      <c r="J69" s="79" t="s">
        <v>872</v>
      </c>
      <c r="K69" s="68"/>
      <c r="L69" s="68"/>
      <c r="M69" s="68"/>
      <c r="N69" s="68"/>
      <c r="O69" s="136"/>
      <c r="Q69" s="59"/>
      <c r="R69" s="59"/>
      <c r="S69" s="59"/>
    </row>
    <row r="70" spans="2:19" ht="12.75" customHeight="1" x14ac:dyDescent="0.2">
      <c r="B70" s="803"/>
      <c r="C70" s="822"/>
      <c r="D70" s="819" t="s">
        <v>185</v>
      </c>
      <c r="E70" s="820"/>
      <c r="F70" s="820"/>
      <c r="G70" s="80">
        <f>O40</f>
        <v>360</v>
      </c>
      <c r="H70" s="78">
        <f t="shared" si="5"/>
        <v>360</v>
      </c>
      <c r="I70" s="63"/>
      <c r="J70" s="67"/>
      <c r="K70" s="68"/>
      <c r="L70" s="68"/>
      <c r="M70" s="68"/>
      <c r="N70" s="68"/>
      <c r="O70" s="69"/>
    </row>
    <row r="71" spans="2:19" x14ac:dyDescent="0.2">
      <c r="B71" s="803"/>
      <c r="C71" s="822"/>
      <c r="D71" s="782" t="s">
        <v>873</v>
      </c>
      <c r="E71" s="783"/>
      <c r="F71" s="783"/>
      <c r="G71" s="81">
        <v>0</v>
      </c>
      <c r="H71" s="78">
        <v>0</v>
      </c>
      <c r="I71" s="63"/>
      <c r="J71" s="82" t="s">
        <v>187</v>
      </c>
      <c r="K71" s="71"/>
      <c r="L71" s="71"/>
      <c r="M71" s="71"/>
      <c r="N71" s="71"/>
      <c r="O71" s="72"/>
    </row>
    <row r="72" spans="2:19" ht="12.75" customHeight="1" x14ac:dyDescent="0.2">
      <c r="B72" s="803"/>
      <c r="C72" s="822"/>
      <c r="D72" s="784" t="s">
        <v>188</v>
      </c>
      <c r="E72" s="783"/>
      <c r="F72" s="783"/>
      <c r="G72" s="80">
        <v>0</v>
      </c>
      <c r="H72" s="78">
        <f t="shared" si="5"/>
        <v>0</v>
      </c>
      <c r="I72" s="63"/>
      <c r="J72" s="75" t="s">
        <v>189</v>
      </c>
      <c r="K72" s="50"/>
      <c r="L72" s="50"/>
      <c r="M72" s="50"/>
      <c r="N72" s="50"/>
      <c r="O72" s="83">
        <f>O42</f>
        <v>3000</v>
      </c>
    </row>
    <row r="73" spans="2:19" ht="14.25" customHeight="1" x14ac:dyDescent="0.2">
      <c r="B73" s="803"/>
      <c r="C73" s="822"/>
      <c r="D73" s="782" t="s">
        <v>190</v>
      </c>
      <c r="E73" s="783"/>
      <c r="F73" s="783"/>
      <c r="G73" s="84">
        <v>0</v>
      </c>
      <c r="H73" s="78">
        <f t="shared" si="5"/>
        <v>0</v>
      </c>
      <c r="I73" s="63"/>
      <c r="J73" s="64"/>
      <c r="K73" s="39"/>
      <c r="L73" s="39"/>
      <c r="M73" s="39"/>
      <c r="N73" s="39"/>
      <c r="O73" s="65"/>
    </row>
    <row r="74" spans="2:19" x14ac:dyDescent="0.2">
      <c r="B74" s="803"/>
      <c r="C74" s="822"/>
      <c r="D74" s="782" t="s">
        <v>191</v>
      </c>
      <c r="E74" s="783"/>
      <c r="F74" s="783"/>
      <c r="G74" s="81">
        <v>28813</v>
      </c>
      <c r="H74" s="78">
        <f t="shared" si="5"/>
        <v>28813</v>
      </c>
      <c r="I74" s="58"/>
      <c r="J74" s="150"/>
      <c r="K74" s="50"/>
      <c r="L74" s="50"/>
      <c r="M74" s="50"/>
      <c r="N74" s="50"/>
      <c r="O74" s="83"/>
    </row>
    <row r="75" spans="2:19" x14ac:dyDescent="0.2">
      <c r="B75" s="803"/>
      <c r="C75" s="88" t="s">
        <v>192</v>
      </c>
      <c r="D75" s="813" t="s">
        <v>193</v>
      </c>
      <c r="E75" s="814"/>
      <c r="F75" s="814"/>
      <c r="G75" s="80">
        <v>0</v>
      </c>
      <c r="H75" s="78">
        <f t="shared" si="5"/>
        <v>0</v>
      </c>
      <c r="I75" s="58"/>
      <c r="J75" s="79"/>
      <c r="K75" s="39"/>
      <c r="L75" s="39"/>
      <c r="M75" s="39"/>
      <c r="N75" s="39"/>
      <c r="O75" s="65"/>
    </row>
    <row r="76" spans="2:19" ht="13.5" customHeight="1" thickBot="1" x14ac:dyDescent="0.25">
      <c r="B76" s="803"/>
      <c r="C76" s="88" t="s">
        <v>194</v>
      </c>
      <c r="D76" s="815" t="s">
        <v>195</v>
      </c>
      <c r="E76" s="815"/>
      <c r="F76" s="815"/>
      <c r="G76" s="89">
        <v>0</v>
      </c>
      <c r="H76" s="90">
        <f>+G76</f>
        <v>0</v>
      </c>
      <c r="I76" s="63"/>
      <c r="J76" s="67"/>
      <c r="K76" s="68"/>
      <c r="L76" s="68"/>
      <c r="M76" s="91"/>
      <c r="N76" s="91"/>
      <c r="O76" s="92"/>
    </row>
    <row r="77" spans="2:19" ht="13.5" thickBot="1" x14ac:dyDescent="0.25">
      <c r="B77" s="803"/>
      <c r="C77" s="93"/>
      <c r="D77" s="94"/>
      <c r="E77" s="816" t="s">
        <v>117</v>
      </c>
      <c r="F77" s="817"/>
      <c r="G77" s="95">
        <f>SUM(G68:G76)</f>
        <v>206173</v>
      </c>
      <c r="H77" s="96">
        <f>IF(SUM(G68:G74)&lt;150000,SUM(G68:G74),150000)+IF(+G75&lt;20000,+G75,20000)</f>
        <v>150000</v>
      </c>
      <c r="I77" s="63"/>
      <c r="J77" s="140"/>
      <c r="K77" s="141"/>
      <c r="L77" s="141"/>
      <c r="M77" s="142"/>
      <c r="N77" s="142"/>
      <c r="O77" s="143"/>
    </row>
    <row r="78" spans="2:19" ht="12.75" customHeight="1" x14ac:dyDescent="0.2">
      <c r="B78" s="803"/>
      <c r="C78" s="100" t="s">
        <v>196</v>
      </c>
      <c r="D78" s="782" t="s">
        <v>187</v>
      </c>
      <c r="E78" s="783"/>
      <c r="F78" s="818"/>
      <c r="G78" s="73">
        <f>+O42</f>
        <v>3000</v>
      </c>
      <c r="H78" s="101">
        <f>+IF(+G78&lt;25000,+G78,25000)</f>
        <v>3000</v>
      </c>
      <c r="I78" s="87"/>
    </row>
    <row r="79" spans="2:19" x14ac:dyDescent="0.2">
      <c r="B79" s="803"/>
      <c r="C79" s="100" t="s">
        <v>197</v>
      </c>
      <c r="D79" s="784" t="s">
        <v>198</v>
      </c>
      <c r="E79" s="785"/>
      <c r="F79" s="786"/>
      <c r="G79" s="102"/>
      <c r="H79" s="103">
        <f>+IF(+G79&lt;40000,+G79,40000)</f>
        <v>0</v>
      </c>
      <c r="I79" s="63"/>
    </row>
    <row r="80" spans="2:19" x14ac:dyDescent="0.2">
      <c r="B80" s="803"/>
      <c r="C80" s="100" t="s">
        <v>199</v>
      </c>
      <c r="D80" s="784" t="s">
        <v>200</v>
      </c>
      <c r="E80" s="785"/>
      <c r="F80" s="786"/>
      <c r="G80" s="81"/>
      <c r="H80" s="104">
        <v>0</v>
      </c>
      <c r="I80" s="63"/>
      <c r="J80" s="106"/>
    </row>
    <row r="81" spans="2:12" x14ac:dyDescent="0.2">
      <c r="B81" s="803"/>
      <c r="C81" s="100" t="s">
        <v>201</v>
      </c>
      <c r="D81" s="784" t="s">
        <v>202</v>
      </c>
      <c r="E81" s="785"/>
      <c r="F81" s="786"/>
      <c r="G81" s="81"/>
      <c r="H81" s="104">
        <v>0</v>
      </c>
      <c r="I81" s="63"/>
    </row>
    <row r="82" spans="2:12" ht="13.5" thickBot="1" x14ac:dyDescent="0.25">
      <c r="B82" s="804"/>
      <c r="C82" s="100" t="s">
        <v>203</v>
      </c>
      <c r="D82" s="784" t="s">
        <v>204</v>
      </c>
      <c r="E82" s="785"/>
      <c r="F82" s="786"/>
      <c r="G82" s="102"/>
      <c r="H82" s="103">
        <f>+IF(+G82&lt;100000,+G82,10000)</f>
        <v>0</v>
      </c>
      <c r="I82" s="63"/>
    </row>
    <row r="83" spans="2:12" ht="13.5" thickBot="1" x14ac:dyDescent="0.25">
      <c r="B83" s="787" t="s">
        <v>205</v>
      </c>
      <c r="C83" s="788"/>
      <c r="D83" s="788"/>
      <c r="E83" s="788"/>
      <c r="F83" s="788"/>
      <c r="G83" s="107">
        <f>SUM(G78:G82)</f>
        <v>3000</v>
      </c>
      <c r="H83" s="108">
        <f>SUM(H77:H82)</f>
        <v>153000</v>
      </c>
    </row>
    <row r="84" spans="2:12" ht="13.5" thickBot="1" x14ac:dyDescent="0.25"/>
    <row r="85" spans="2:12" ht="13.5" thickBot="1" x14ac:dyDescent="0.25">
      <c r="B85" s="789" t="s">
        <v>206</v>
      </c>
      <c r="C85" s="790"/>
      <c r="D85" s="790"/>
      <c r="E85" s="790"/>
      <c r="F85" s="791"/>
      <c r="G85" s="1055">
        <f>ROUND(+G64-H83,-1)</f>
        <v>491960</v>
      </c>
      <c r="H85" s="1056"/>
      <c r="J85" s="251">
        <f>C37+D37+E37+F37</f>
        <v>235200</v>
      </c>
      <c r="K85" s="16" t="s">
        <v>235</v>
      </c>
    </row>
    <row r="86" spans="2:12" x14ac:dyDescent="0.2">
      <c r="B86" s="110"/>
      <c r="F86" s="105"/>
      <c r="J86" s="251">
        <f>G37+H37+I37</f>
        <v>179354</v>
      </c>
      <c r="K86" s="16" t="s">
        <v>236</v>
      </c>
    </row>
    <row r="87" spans="2:12" x14ac:dyDescent="0.2">
      <c r="C87" s="793" t="s">
        <v>207</v>
      </c>
      <c r="D87" s="794"/>
      <c r="E87" s="111" t="s">
        <v>208</v>
      </c>
      <c r="F87" s="111" t="s">
        <v>209</v>
      </c>
      <c r="G87" s="111" t="s">
        <v>210</v>
      </c>
      <c r="H87" s="111" t="s">
        <v>211</v>
      </c>
      <c r="J87" s="251">
        <f>J37+K37+L37</f>
        <v>185328</v>
      </c>
      <c r="K87" s="47" t="s">
        <v>237</v>
      </c>
      <c r="L87" s="16">
        <f>+J87/3</f>
        <v>61776</v>
      </c>
    </row>
    <row r="88" spans="2:12" x14ac:dyDescent="0.2">
      <c r="C88" s="795" t="str">
        <f>IF(I6="M","0          - 250000","0          -  250000")</f>
        <v>0          -  250000</v>
      </c>
      <c r="D88" s="796"/>
      <c r="E88" s="112">
        <v>0</v>
      </c>
      <c r="F88" s="113">
        <f>IF(I6="M",(IF(G85&lt;250000,G85,250000)),(IF(G85&lt;250000,G85,250000)))</f>
        <v>250000</v>
      </c>
      <c r="G88" s="113">
        <f>G85-F88</f>
        <v>241960</v>
      </c>
      <c r="H88" s="113">
        <f>E88*F88</f>
        <v>0</v>
      </c>
      <c r="J88" s="16">
        <f>M37+N37</f>
        <v>121696</v>
      </c>
      <c r="K88" s="1" t="s">
        <v>238</v>
      </c>
      <c r="L88" s="16">
        <f>+J88/2</f>
        <v>60848</v>
      </c>
    </row>
    <row r="89" spans="2:12" x14ac:dyDescent="0.2">
      <c r="C89" s="795" t="str">
        <f>IF(I6="M","250001 - 500000","250001-500000")</f>
        <v>250001-500000</v>
      </c>
      <c r="D89" s="796"/>
      <c r="E89" s="112">
        <v>0.05</v>
      </c>
      <c r="F89" s="113">
        <f>IF(I6="M",(IF(G88&lt;250000,G88,250000)),(IF(G88&lt;250000,G88,250000)))</f>
        <v>241960</v>
      </c>
      <c r="G89" s="113">
        <f>G88-F89</f>
        <v>0</v>
      </c>
      <c r="H89" s="114">
        <f>ROUND(E89*F89,0.1)</f>
        <v>12098</v>
      </c>
      <c r="J89" s="115">
        <f>SUM(J85:J88)</f>
        <v>721578</v>
      </c>
    </row>
    <row r="90" spans="2:12" x14ac:dyDescent="0.2">
      <c r="C90" s="797" t="s">
        <v>212</v>
      </c>
      <c r="D90" s="798"/>
      <c r="E90" s="112">
        <v>0.2</v>
      </c>
      <c r="F90" s="113">
        <f>IF(G89&lt;500000,G89,500000)</f>
        <v>0</v>
      </c>
      <c r="G90" s="113">
        <f>G89-F90</f>
        <v>0</v>
      </c>
      <c r="H90" s="114">
        <f>ROUND(E90*F90,0.1)</f>
        <v>0</v>
      </c>
      <c r="J90" s="16">
        <f>+G85</f>
        <v>491960</v>
      </c>
    </row>
    <row r="91" spans="2:12" x14ac:dyDescent="0.2">
      <c r="C91" s="795" t="s">
        <v>213</v>
      </c>
      <c r="D91" s="796"/>
      <c r="E91" s="112">
        <v>0.3</v>
      </c>
      <c r="F91" s="113">
        <f>G90</f>
        <v>0</v>
      </c>
      <c r="G91" s="113">
        <f>G90-F91</f>
        <v>0</v>
      </c>
      <c r="H91" s="114">
        <f>ROUND(E91*F91,0.1)</f>
        <v>0</v>
      </c>
      <c r="J91" s="16">
        <f>+J89-J90</f>
        <v>229618</v>
      </c>
      <c r="K91" s="1"/>
    </row>
    <row r="92" spans="2:12" ht="12.75" customHeight="1" thickBot="1" x14ac:dyDescent="0.25">
      <c r="B92" s="116"/>
      <c r="C92" s="117"/>
      <c r="D92" s="47"/>
      <c r="E92" s="47"/>
      <c r="F92" s="47"/>
      <c r="J92" s="87"/>
      <c r="K92" s="118"/>
    </row>
    <row r="93" spans="2:12" ht="14.25" customHeight="1" thickBot="1" x14ac:dyDescent="0.25">
      <c r="B93" s="799" t="s">
        <v>239</v>
      </c>
      <c r="C93" s="800"/>
      <c r="D93" s="800"/>
      <c r="E93" s="800"/>
      <c r="F93" s="801"/>
      <c r="G93" s="771">
        <f>H88+H89+H90+H91</f>
        <v>12098</v>
      </c>
      <c r="H93" s="772"/>
    </row>
    <row r="94" spans="2:12" ht="14.25" customHeight="1" thickBot="1" x14ac:dyDescent="0.25">
      <c r="B94" s="119" t="s">
        <v>215</v>
      </c>
      <c r="C94" s="120"/>
      <c r="D94" s="120"/>
      <c r="E94" s="120"/>
      <c r="F94" s="120"/>
      <c r="G94" s="884">
        <f>IF((G64&lt;500000),5000,0)</f>
        <v>0</v>
      </c>
      <c r="H94" s="885">
        <f>IF(H92&lt;200000,0,IF(H92&lt;220000,((H92-200000)*10%),IF(H92&lt;=500000,2000,IF(H92&gt;=500000,0))))</f>
        <v>0</v>
      </c>
    </row>
    <row r="95" spans="2:12" ht="14.25" customHeight="1" thickBot="1" x14ac:dyDescent="0.25">
      <c r="B95" s="122" t="s">
        <v>216</v>
      </c>
      <c r="C95" s="123"/>
      <c r="D95" s="123"/>
      <c r="E95" s="123"/>
      <c r="F95" s="123"/>
      <c r="G95" s="771">
        <f>IF((G93-G94)&lt;0,0,(G93-G94))</f>
        <v>12098</v>
      </c>
      <c r="H95" s="772"/>
    </row>
    <row r="96" spans="2:12" ht="14.25" customHeight="1" thickBot="1" x14ac:dyDescent="0.25">
      <c r="B96" s="773" t="s">
        <v>240</v>
      </c>
      <c r="C96" s="774"/>
      <c r="D96" s="774"/>
      <c r="E96" s="774"/>
      <c r="F96" s="775"/>
      <c r="G96" s="776">
        <f>ROUND((IF(G95&gt;0,(G95*4%),0)),0)</f>
        <v>484</v>
      </c>
      <c r="H96" s="777"/>
    </row>
    <row r="97" spans="2:9" ht="14.25" customHeight="1" thickBot="1" x14ac:dyDescent="0.25">
      <c r="B97" s="778" t="s">
        <v>218</v>
      </c>
      <c r="C97" s="779"/>
      <c r="D97" s="779"/>
      <c r="E97" s="779"/>
      <c r="F97" s="779"/>
      <c r="G97" s="780">
        <f>+G95+G96</f>
        <v>12582</v>
      </c>
      <c r="H97" s="781"/>
    </row>
    <row r="98" spans="2:9" ht="13.5" thickBot="1" x14ac:dyDescent="0.25">
      <c r="B98" s="765" t="s">
        <v>219</v>
      </c>
      <c r="C98" s="766"/>
      <c r="D98" s="766"/>
      <c r="E98" s="766"/>
      <c r="F98" s="766"/>
      <c r="G98" s="767">
        <f>O38</f>
        <v>13560</v>
      </c>
      <c r="H98" s="768"/>
    </row>
    <row r="99" spans="2:9" ht="13.5" thickBot="1" x14ac:dyDescent="0.25">
      <c r="B99" s="765" t="str">
        <f>IF(G99&gt;0,"TAX PAYABLE","TAX REFUND")</f>
        <v>TAX REFUND</v>
      </c>
      <c r="C99" s="766"/>
      <c r="D99" s="766"/>
      <c r="E99" s="766"/>
      <c r="F99" s="766"/>
      <c r="G99" s="767">
        <f>+G97-G98</f>
        <v>-978</v>
      </c>
      <c r="H99" s="768"/>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c r="I106" s="121"/>
    </row>
    <row r="107" spans="2:9"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9:F99 B93:F97 B90:F90">
    <cfRule type="cellIs" dxfId="1353" priority="63" stopIfTrue="1" operator="equal">
      <formula>"TAX PAYABLE"</formula>
    </cfRule>
    <cfRule type="cellIs" dxfId="1352" priority="64" stopIfTrue="1" operator="equal">
      <formula>"TAX REFUND"</formula>
    </cfRule>
  </conditionalFormatting>
  <conditionalFormatting sqref="G90:H90">
    <cfRule type="cellIs" dxfId="1351" priority="65" stopIfTrue="1" operator="lessThan">
      <formula>0</formula>
    </cfRule>
    <cfRule type="cellIs" dxfId="1350" priority="66" stopIfTrue="1" operator="greaterThan">
      <formula>0</formula>
    </cfRule>
  </conditionalFormatting>
  <conditionalFormatting sqref="G99:H99">
    <cfRule type="cellIs" dxfId="1349" priority="61" stopIfTrue="1" operator="greaterThan">
      <formula>0</formula>
    </cfRule>
    <cfRule type="cellIs" dxfId="1348" priority="62" stopIfTrue="1" operator="lessThanOrEqual">
      <formula>0</formula>
    </cfRule>
  </conditionalFormatting>
  <conditionalFormatting sqref="B94:F94">
    <cfRule type="cellIs" dxfId="1347" priority="59" stopIfTrue="1" operator="equal">
      <formula>"TAX PAYABLE"</formula>
    </cfRule>
    <cfRule type="cellIs" dxfId="1346" priority="60" stopIfTrue="1" operator="equal">
      <formula>"TAX REFUND"</formula>
    </cfRule>
  </conditionalFormatting>
  <conditionalFormatting sqref="B94:F94">
    <cfRule type="cellIs" dxfId="1345" priority="57" stopIfTrue="1" operator="equal">
      <formula>"TAX PAYABLE"</formula>
    </cfRule>
    <cfRule type="cellIs" dxfId="1344" priority="58" stopIfTrue="1" operator="equal">
      <formula>"TAX REFUND"</formula>
    </cfRule>
  </conditionalFormatting>
  <conditionalFormatting sqref="B94:F94">
    <cfRule type="cellIs" dxfId="1343" priority="55" stopIfTrue="1" operator="equal">
      <formula>"TAX PAYABLE"</formula>
    </cfRule>
    <cfRule type="cellIs" dxfId="1342" priority="56" stopIfTrue="1" operator="equal">
      <formula>"TAX REFUND"</formula>
    </cfRule>
  </conditionalFormatting>
  <conditionalFormatting sqref="B94:F94">
    <cfRule type="cellIs" dxfId="1341" priority="53" stopIfTrue="1" operator="equal">
      <formula>"TAX PAYABLE"</formula>
    </cfRule>
    <cfRule type="cellIs" dxfId="1340" priority="54" stopIfTrue="1" operator="equal">
      <formula>"TAX REFUND"</formula>
    </cfRule>
  </conditionalFormatting>
  <conditionalFormatting sqref="B94:F94">
    <cfRule type="cellIs" dxfId="1339" priority="51" stopIfTrue="1" operator="equal">
      <formula>"TAX PAYABLE"</formula>
    </cfRule>
    <cfRule type="cellIs" dxfId="1338" priority="52" stopIfTrue="1" operator="equal">
      <formula>"TAX REFUND"</formula>
    </cfRule>
  </conditionalFormatting>
  <conditionalFormatting sqref="B94:F94">
    <cfRule type="cellIs" dxfId="1337" priority="49" stopIfTrue="1" operator="equal">
      <formula>"TAX PAYABLE"</formula>
    </cfRule>
    <cfRule type="cellIs" dxfId="1336" priority="50" stopIfTrue="1" operator="equal">
      <formula>"TAX REFUND"</formula>
    </cfRule>
  </conditionalFormatting>
  <conditionalFormatting sqref="B94:F94">
    <cfRule type="cellIs" dxfId="1335" priority="47" stopIfTrue="1" operator="equal">
      <formula>"TAX PAYABLE"</formula>
    </cfRule>
    <cfRule type="cellIs" dxfId="1334" priority="48" stopIfTrue="1" operator="equal">
      <formula>"TAX REFUND"</formula>
    </cfRule>
  </conditionalFormatting>
  <conditionalFormatting sqref="B94:F94">
    <cfRule type="cellIs" dxfId="1333" priority="45" stopIfTrue="1" operator="equal">
      <formula>"TAX PAYABLE"</formula>
    </cfRule>
    <cfRule type="cellIs" dxfId="1332" priority="46" stopIfTrue="1" operator="equal">
      <formula>"TAX REFUND"</formula>
    </cfRule>
  </conditionalFormatting>
  <conditionalFormatting sqref="B94:F94">
    <cfRule type="cellIs" dxfId="1331" priority="43" stopIfTrue="1" operator="equal">
      <formula>"TAX PAYABLE"</formula>
    </cfRule>
    <cfRule type="cellIs" dxfId="1330" priority="44" stopIfTrue="1" operator="equal">
      <formula>"TAX REFUND"</formula>
    </cfRule>
  </conditionalFormatting>
  <conditionalFormatting sqref="B94:F94">
    <cfRule type="cellIs" dxfId="1329" priority="41" stopIfTrue="1" operator="equal">
      <formula>"TAX PAYABLE"</formula>
    </cfRule>
    <cfRule type="cellIs" dxfId="1328" priority="42" stopIfTrue="1" operator="equal">
      <formula>"TAX REFUND"</formula>
    </cfRule>
  </conditionalFormatting>
  <conditionalFormatting sqref="B94:F94">
    <cfRule type="cellIs" dxfId="1327" priority="39" stopIfTrue="1" operator="equal">
      <formula>"TAX PAYABLE"</formula>
    </cfRule>
    <cfRule type="cellIs" dxfId="1326" priority="40" stopIfTrue="1" operator="equal">
      <formula>"TAX REFUND"</formula>
    </cfRule>
  </conditionalFormatting>
  <conditionalFormatting sqref="B94:F94">
    <cfRule type="cellIs" dxfId="1325" priority="37" stopIfTrue="1" operator="equal">
      <formula>"TAX PAYABLE"</formula>
    </cfRule>
    <cfRule type="cellIs" dxfId="1324" priority="38" stopIfTrue="1" operator="equal">
      <formula>"TAX REFUND"</formula>
    </cfRule>
  </conditionalFormatting>
  <conditionalFormatting sqref="B94:F94">
    <cfRule type="cellIs" dxfId="1323" priority="35" stopIfTrue="1" operator="equal">
      <formula>"TAX PAYABLE"</formula>
    </cfRule>
    <cfRule type="cellIs" dxfId="1322" priority="36" stopIfTrue="1" operator="equal">
      <formula>"TAX REFUND"</formula>
    </cfRule>
  </conditionalFormatting>
  <conditionalFormatting sqref="B94:F94">
    <cfRule type="cellIs" dxfId="1321" priority="33" stopIfTrue="1" operator="equal">
      <formula>"TAX PAYABLE"</formula>
    </cfRule>
    <cfRule type="cellIs" dxfId="1320" priority="34" stopIfTrue="1" operator="equal">
      <formula>"TAX REFUND"</formula>
    </cfRule>
  </conditionalFormatting>
  <conditionalFormatting sqref="B94:F94">
    <cfRule type="cellIs" dxfId="1319" priority="31" stopIfTrue="1" operator="equal">
      <formula>"TAX PAYABLE"</formula>
    </cfRule>
    <cfRule type="cellIs" dxfId="1318" priority="32" stopIfTrue="1" operator="equal">
      <formula>"TAX REFUND"</formula>
    </cfRule>
  </conditionalFormatting>
  <conditionalFormatting sqref="B94:F94">
    <cfRule type="cellIs" dxfId="1317" priority="29" stopIfTrue="1" operator="equal">
      <formula>"TAX PAYABLE"</formula>
    </cfRule>
    <cfRule type="cellIs" dxfId="1316" priority="30" stopIfTrue="1" operator="equal">
      <formula>"TAX REFUND"</formula>
    </cfRule>
  </conditionalFormatting>
  <conditionalFormatting sqref="B94:F94">
    <cfRule type="cellIs" dxfId="1315" priority="27" stopIfTrue="1" operator="equal">
      <formula>"TAX PAYABLE"</formula>
    </cfRule>
    <cfRule type="cellIs" dxfId="1314" priority="28" stopIfTrue="1" operator="equal">
      <formula>"TAX REFUND"</formula>
    </cfRule>
  </conditionalFormatting>
  <conditionalFormatting sqref="B94:F94">
    <cfRule type="cellIs" dxfId="1313" priority="25" stopIfTrue="1" operator="equal">
      <formula>"TAX PAYABLE"</formula>
    </cfRule>
    <cfRule type="cellIs" dxfId="1312" priority="26" stopIfTrue="1" operator="equal">
      <formula>"TAX REFUND"</formula>
    </cfRule>
  </conditionalFormatting>
  <conditionalFormatting sqref="B94:F94">
    <cfRule type="cellIs" dxfId="1311" priority="23" stopIfTrue="1" operator="equal">
      <formula>"TAX PAYABLE"</formula>
    </cfRule>
    <cfRule type="cellIs" dxfId="1310" priority="24" stopIfTrue="1" operator="equal">
      <formula>"TAX REFUND"</formula>
    </cfRule>
  </conditionalFormatting>
  <conditionalFormatting sqref="B94:F94">
    <cfRule type="cellIs" dxfId="1309" priority="21" stopIfTrue="1" operator="equal">
      <formula>"TAX PAYABLE"</formula>
    </cfRule>
    <cfRule type="cellIs" dxfId="1308" priority="22" stopIfTrue="1" operator="equal">
      <formula>"TAX REFUND"</formula>
    </cfRule>
  </conditionalFormatting>
  <conditionalFormatting sqref="B94:F94">
    <cfRule type="cellIs" dxfId="1307" priority="19" stopIfTrue="1" operator="equal">
      <formula>"TAX PAYABLE"</formula>
    </cfRule>
    <cfRule type="cellIs" dxfId="1306" priority="20" stopIfTrue="1" operator="equal">
      <formula>"TAX REFUND"</formula>
    </cfRule>
  </conditionalFormatting>
  <conditionalFormatting sqref="B94:F94">
    <cfRule type="cellIs" dxfId="1305" priority="17" stopIfTrue="1" operator="equal">
      <formula>"TAX PAYABLE"</formula>
    </cfRule>
    <cfRule type="cellIs" dxfId="1304" priority="18" stopIfTrue="1" operator="equal">
      <formula>"TAX REFUND"</formula>
    </cfRule>
  </conditionalFormatting>
  <conditionalFormatting sqref="B94:F94">
    <cfRule type="cellIs" dxfId="1303" priority="15" stopIfTrue="1" operator="equal">
      <formula>"TAX PAYABLE"</formula>
    </cfRule>
    <cfRule type="cellIs" dxfId="1302" priority="16" stopIfTrue="1" operator="equal">
      <formula>"TAX REFUND"</formula>
    </cfRule>
  </conditionalFormatting>
  <conditionalFormatting sqref="B94:F94">
    <cfRule type="cellIs" dxfId="1301" priority="13" stopIfTrue="1" operator="equal">
      <formula>"TAX PAYABLE"</formula>
    </cfRule>
    <cfRule type="cellIs" dxfId="1300" priority="14" stopIfTrue="1" operator="equal">
      <formula>"TAX REFUND"</formula>
    </cfRule>
  </conditionalFormatting>
  <conditionalFormatting sqref="B94:F94">
    <cfRule type="cellIs" dxfId="1299" priority="11" stopIfTrue="1" operator="equal">
      <formula>"TAX PAYABLE"</formula>
    </cfRule>
    <cfRule type="cellIs" dxfId="1298" priority="12" stopIfTrue="1" operator="equal">
      <formula>"TAX REFUND"</formula>
    </cfRule>
  </conditionalFormatting>
  <conditionalFormatting sqref="B94:F94">
    <cfRule type="cellIs" dxfId="1297" priority="9" stopIfTrue="1" operator="equal">
      <formula>"TAX PAYABLE"</formula>
    </cfRule>
    <cfRule type="cellIs" dxfId="1296" priority="10" stopIfTrue="1" operator="equal">
      <formula>"TAX REFUND"</formula>
    </cfRule>
  </conditionalFormatting>
  <conditionalFormatting sqref="B94:F94">
    <cfRule type="cellIs" dxfId="1295" priority="7" stopIfTrue="1" operator="equal">
      <formula>"TAX PAYABLE"</formula>
    </cfRule>
    <cfRule type="cellIs" dxfId="1294" priority="8" stopIfTrue="1" operator="equal">
      <formula>"TAX REFUND"</formula>
    </cfRule>
  </conditionalFormatting>
  <conditionalFormatting sqref="B94:F94">
    <cfRule type="cellIs" dxfId="1293" priority="5" stopIfTrue="1" operator="equal">
      <formula>"TAX PAYABLE"</formula>
    </cfRule>
    <cfRule type="cellIs" dxfId="1292" priority="6" stopIfTrue="1" operator="equal">
      <formula>"TAX REFUND"</formula>
    </cfRule>
  </conditionalFormatting>
  <conditionalFormatting sqref="B94:F94">
    <cfRule type="cellIs" dxfId="1291" priority="3" stopIfTrue="1" operator="equal">
      <formula>"TAX PAYABLE"</formula>
    </cfRule>
    <cfRule type="cellIs" dxfId="1290" priority="4" stopIfTrue="1" operator="equal">
      <formula>"TAX REFUND"</formula>
    </cfRule>
  </conditionalFormatting>
  <conditionalFormatting sqref="B94:F94">
    <cfRule type="cellIs" dxfId="1289" priority="1" stopIfTrue="1" operator="equal">
      <formula>"TAX PAYABLE"</formula>
    </cfRule>
    <cfRule type="cellIs" dxfId="1288" priority="2" stopIfTrue="1" operator="equal">
      <formula>"TAX REFUND"</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$Q$8:$Q$9</formula1>
    </dataValidation>
  </dataValidations>
  <pageMargins left="0.7" right="0.7" top="0.75" bottom="0.75" header="0.3" footer="0.3"/>
  <pageSetup paperSize="5" orientation="landscape" horizontalDpi="300" verticalDpi="300" r:id="rId1"/>
  <headerFooter alignWithMargins="0"/>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7"/>
  <sheetViews>
    <sheetView topLeftCell="A62" workbookViewId="0">
      <selection activeCell="G68" sqref="G68"/>
    </sheetView>
  </sheetViews>
  <sheetFormatPr defaultRowHeight="12.75" x14ac:dyDescent="0.2"/>
  <cols>
    <col min="1" max="1" width="5" style="16" customWidth="1"/>
    <col min="2" max="2" width="18.7109375" style="37" customWidth="1"/>
    <col min="3" max="3" width="8.42578125" style="16" customWidth="1"/>
    <col min="4" max="4" width="8.28515625" style="16" customWidth="1"/>
    <col min="5" max="5" width="8.5703125" style="16" bestFit="1" customWidth="1"/>
    <col min="6" max="6" width="8" style="16" customWidth="1"/>
    <col min="7" max="7" width="8.42578125" style="16" bestFit="1" customWidth="1"/>
    <col min="8" max="14" width="8" style="16" customWidth="1"/>
    <col min="15" max="15" width="7.140625" style="16" bestFit="1" customWidth="1"/>
    <col min="16" max="20" width="9.140625" style="16"/>
    <col min="21" max="21" width="12.42578125" style="16" customWidth="1"/>
    <col min="22" max="22" width="9.140625" style="16"/>
    <col min="23" max="23" width="12" style="16" customWidth="1"/>
    <col min="24" max="256" width="9.140625" style="16"/>
    <col min="257" max="257" width="5" style="16" customWidth="1"/>
    <col min="258" max="258" width="18.7109375" style="16" customWidth="1"/>
    <col min="259" max="259" width="8.42578125" style="16" customWidth="1"/>
    <col min="260" max="260" width="8.28515625" style="16" customWidth="1"/>
    <col min="261" max="261" width="8.5703125" style="16" bestFit="1" customWidth="1"/>
    <col min="262" max="262" width="8" style="16" customWidth="1"/>
    <col min="263" max="263" width="8.42578125" style="16" bestFit="1" customWidth="1"/>
    <col min="264" max="270" width="8" style="16" customWidth="1"/>
    <col min="271" max="271" width="7.140625" style="16" bestFit="1" customWidth="1"/>
    <col min="272" max="276" width="9.140625" style="16"/>
    <col min="277" max="277" width="12.42578125" style="16" customWidth="1"/>
    <col min="278" max="278" width="9.140625" style="16"/>
    <col min="279" max="279" width="12" style="16" customWidth="1"/>
    <col min="280" max="512" width="9.140625" style="16"/>
    <col min="513" max="513" width="5" style="16" customWidth="1"/>
    <col min="514" max="514" width="18.7109375" style="16" customWidth="1"/>
    <col min="515" max="515" width="8.42578125" style="16" customWidth="1"/>
    <col min="516" max="516" width="8.28515625" style="16" customWidth="1"/>
    <col min="517" max="517" width="8.5703125" style="16" bestFit="1" customWidth="1"/>
    <col min="518" max="518" width="8" style="16" customWidth="1"/>
    <col min="519" max="519" width="8.42578125" style="16" bestFit="1" customWidth="1"/>
    <col min="520" max="526" width="8" style="16" customWidth="1"/>
    <col min="527" max="527" width="7.140625" style="16" bestFit="1" customWidth="1"/>
    <col min="528" max="532" width="9.140625" style="16"/>
    <col min="533" max="533" width="12.42578125" style="16" customWidth="1"/>
    <col min="534" max="534" width="9.140625" style="16"/>
    <col min="535" max="535" width="12" style="16" customWidth="1"/>
    <col min="536" max="768" width="9.140625" style="16"/>
    <col min="769" max="769" width="5" style="16" customWidth="1"/>
    <col min="770" max="770" width="18.7109375" style="16" customWidth="1"/>
    <col min="771" max="771" width="8.42578125" style="16" customWidth="1"/>
    <col min="772" max="772" width="8.28515625" style="16" customWidth="1"/>
    <col min="773" max="773" width="8.5703125" style="16" bestFit="1" customWidth="1"/>
    <col min="774" max="774" width="8" style="16" customWidth="1"/>
    <col min="775" max="775" width="8.42578125" style="16" bestFit="1" customWidth="1"/>
    <col min="776" max="782" width="8" style="16" customWidth="1"/>
    <col min="783" max="783" width="7.140625" style="16" bestFit="1" customWidth="1"/>
    <col min="784" max="788" width="9.140625" style="16"/>
    <col min="789" max="789" width="12.42578125" style="16" customWidth="1"/>
    <col min="790" max="790" width="9.140625" style="16"/>
    <col min="791" max="791" width="12" style="16" customWidth="1"/>
    <col min="792" max="1024" width="9.140625" style="16"/>
    <col min="1025" max="1025" width="5" style="16" customWidth="1"/>
    <col min="1026" max="1026" width="18.7109375" style="16" customWidth="1"/>
    <col min="1027" max="1027" width="8.42578125" style="16" customWidth="1"/>
    <col min="1028" max="1028" width="8.28515625" style="16" customWidth="1"/>
    <col min="1029" max="1029" width="8.5703125" style="16" bestFit="1" customWidth="1"/>
    <col min="1030" max="1030" width="8" style="16" customWidth="1"/>
    <col min="1031" max="1031" width="8.42578125" style="16" bestFit="1" customWidth="1"/>
    <col min="1032" max="1038" width="8" style="16" customWidth="1"/>
    <col min="1039" max="1039" width="7.140625" style="16" bestFit="1" customWidth="1"/>
    <col min="1040" max="1044" width="9.140625" style="16"/>
    <col min="1045" max="1045" width="12.42578125" style="16" customWidth="1"/>
    <col min="1046" max="1046" width="9.140625" style="16"/>
    <col min="1047" max="1047" width="12" style="16" customWidth="1"/>
    <col min="1048" max="1280" width="9.140625" style="16"/>
    <col min="1281" max="1281" width="5" style="16" customWidth="1"/>
    <col min="1282" max="1282" width="18.7109375" style="16" customWidth="1"/>
    <col min="1283" max="1283" width="8.42578125" style="16" customWidth="1"/>
    <col min="1284" max="1284" width="8.28515625" style="16" customWidth="1"/>
    <col min="1285" max="1285" width="8.5703125" style="16" bestFit="1" customWidth="1"/>
    <col min="1286" max="1286" width="8" style="16" customWidth="1"/>
    <col min="1287" max="1287" width="8.42578125" style="16" bestFit="1" customWidth="1"/>
    <col min="1288" max="1294" width="8" style="16" customWidth="1"/>
    <col min="1295" max="1295" width="7.140625" style="16" bestFit="1" customWidth="1"/>
    <col min="1296" max="1300" width="9.140625" style="16"/>
    <col min="1301" max="1301" width="12.42578125" style="16" customWidth="1"/>
    <col min="1302" max="1302" width="9.140625" style="16"/>
    <col min="1303" max="1303" width="12" style="16" customWidth="1"/>
    <col min="1304" max="1536" width="9.140625" style="16"/>
    <col min="1537" max="1537" width="5" style="16" customWidth="1"/>
    <col min="1538" max="1538" width="18.7109375" style="16" customWidth="1"/>
    <col min="1539" max="1539" width="8.42578125" style="16" customWidth="1"/>
    <col min="1540" max="1540" width="8.28515625" style="16" customWidth="1"/>
    <col min="1541" max="1541" width="8.5703125" style="16" bestFit="1" customWidth="1"/>
    <col min="1542" max="1542" width="8" style="16" customWidth="1"/>
    <col min="1543" max="1543" width="8.42578125" style="16" bestFit="1" customWidth="1"/>
    <col min="1544" max="1550" width="8" style="16" customWidth="1"/>
    <col min="1551" max="1551" width="7.140625" style="16" bestFit="1" customWidth="1"/>
    <col min="1552" max="1556" width="9.140625" style="16"/>
    <col min="1557" max="1557" width="12.42578125" style="16" customWidth="1"/>
    <col min="1558" max="1558" width="9.140625" style="16"/>
    <col min="1559" max="1559" width="12" style="16" customWidth="1"/>
    <col min="1560" max="1792" width="9.140625" style="16"/>
    <col min="1793" max="1793" width="5" style="16" customWidth="1"/>
    <col min="1794" max="1794" width="18.7109375" style="16" customWidth="1"/>
    <col min="1795" max="1795" width="8.42578125" style="16" customWidth="1"/>
    <col min="1796" max="1796" width="8.28515625" style="16" customWidth="1"/>
    <col min="1797" max="1797" width="8.5703125" style="16" bestFit="1" customWidth="1"/>
    <col min="1798" max="1798" width="8" style="16" customWidth="1"/>
    <col min="1799" max="1799" width="8.42578125" style="16" bestFit="1" customWidth="1"/>
    <col min="1800" max="1806" width="8" style="16" customWidth="1"/>
    <col min="1807" max="1807" width="7.140625" style="16" bestFit="1" customWidth="1"/>
    <col min="1808" max="1812" width="9.140625" style="16"/>
    <col min="1813" max="1813" width="12.42578125" style="16" customWidth="1"/>
    <col min="1814" max="1814" width="9.140625" style="16"/>
    <col min="1815" max="1815" width="12" style="16" customWidth="1"/>
    <col min="1816" max="2048" width="9.140625" style="16"/>
    <col min="2049" max="2049" width="5" style="16" customWidth="1"/>
    <col min="2050" max="2050" width="18.7109375" style="16" customWidth="1"/>
    <col min="2051" max="2051" width="8.42578125" style="16" customWidth="1"/>
    <col min="2052" max="2052" width="8.28515625" style="16" customWidth="1"/>
    <col min="2053" max="2053" width="8.5703125" style="16" bestFit="1" customWidth="1"/>
    <col min="2054" max="2054" width="8" style="16" customWidth="1"/>
    <col min="2055" max="2055" width="8.42578125" style="16" bestFit="1" customWidth="1"/>
    <col min="2056" max="2062" width="8" style="16" customWidth="1"/>
    <col min="2063" max="2063" width="7.140625" style="16" bestFit="1" customWidth="1"/>
    <col min="2064" max="2068" width="9.140625" style="16"/>
    <col min="2069" max="2069" width="12.42578125" style="16" customWidth="1"/>
    <col min="2070" max="2070" width="9.140625" style="16"/>
    <col min="2071" max="2071" width="12" style="16" customWidth="1"/>
    <col min="2072" max="2304" width="9.140625" style="16"/>
    <col min="2305" max="2305" width="5" style="16" customWidth="1"/>
    <col min="2306" max="2306" width="18.7109375" style="16" customWidth="1"/>
    <col min="2307" max="2307" width="8.42578125" style="16" customWidth="1"/>
    <col min="2308" max="2308" width="8.28515625" style="16" customWidth="1"/>
    <col min="2309" max="2309" width="8.5703125" style="16" bestFit="1" customWidth="1"/>
    <col min="2310" max="2310" width="8" style="16" customWidth="1"/>
    <col min="2311" max="2311" width="8.42578125" style="16" bestFit="1" customWidth="1"/>
    <col min="2312" max="2318" width="8" style="16" customWidth="1"/>
    <col min="2319" max="2319" width="7.140625" style="16" bestFit="1" customWidth="1"/>
    <col min="2320" max="2324" width="9.140625" style="16"/>
    <col min="2325" max="2325" width="12.42578125" style="16" customWidth="1"/>
    <col min="2326" max="2326" width="9.140625" style="16"/>
    <col min="2327" max="2327" width="12" style="16" customWidth="1"/>
    <col min="2328" max="2560" width="9.140625" style="16"/>
    <col min="2561" max="2561" width="5" style="16" customWidth="1"/>
    <col min="2562" max="2562" width="18.7109375" style="16" customWidth="1"/>
    <col min="2563" max="2563" width="8.42578125" style="16" customWidth="1"/>
    <col min="2564" max="2564" width="8.28515625" style="16" customWidth="1"/>
    <col min="2565" max="2565" width="8.5703125" style="16" bestFit="1" customWidth="1"/>
    <col min="2566" max="2566" width="8" style="16" customWidth="1"/>
    <col min="2567" max="2567" width="8.42578125" style="16" bestFit="1" customWidth="1"/>
    <col min="2568" max="2574" width="8" style="16" customWidth="1"/>
    <col min="2575" max="2575" width="7.140625" style="16" bestFit="1" customWidth="1"/>
    <col min="2576" max="2580" width="9.140625" style="16"/>
    <col min="2581" max="2581" width="12.42578125" style="16" customWidth="1"/>
    <col min="2582" max="2582" width="9.140625" style="16"/>
    <col min="2583" max="2583" width="12" style="16" customWidth="1"/>
    <col min="2584" max="2816" width="9.140625" style="16"/>
    <col min="2817" max="2817" width="5" style="16" customWidth="1"/>
    <col min="2818" max="2818" width="18.7109375" style="16" customWidth="1"/>
    <col min="2819" max="2819" width="8.42578125" style="16" customWidth="1"/>
    <col min="2820" max="2820" width="8.28515625" style="16" customWidth="1"/>
    <col min="2821" max="2821" width="8.5703125" style="16" bestFit="1" customWidth="1"/>
    <col min="2822" max="2822" width="8" style="16" customWidth="1"/>
    <col min="2823" max="2823" width="8.42578125" style="16" bestFit="1" customWidth="1"/>
    <col min="2824" max="2830" width="8" style="16" customWidth="1"/>
    <col min="2831" max="2831" width="7.140625" style="16" bestFit="1" customWidth="1"/>
    <col min="2832" max="2836" width="9.140625" style="16"/>
    <col min="2837" max="2837" width="12.42578125" style="16" customWidth="1"/>
    <col min="2838" max="2838" width="9.140625" style="16"/>
    <col min="2839" max="2839" width="12" style="16" customWidth="1"/>
    <col min="2840" max="3072" width="9.140625" style="16"/>
    <col min="3073" max="3073" width="5" style="16" customWidth="1"/>
    <col min="3074" max="3074" width="18.7109375" style="16" customWidth="1"/>
    <col min="3075" max="3075" width="8.42578125" style="16" customWidth="1"/>
    <col min="3076" max="3076" width="8.28515625" style="16" customWidth="1"/>
    <col min="3077" max="3077" width="8.5703125" style="16" bestFit="1" customWidth="1"/>
    <col min="3078" max="3078" width="8" style="16" customWidth="1"/>
    <col min="3079" max="3079" width="8.42578125" style="16" bestFit="1" customWidth="1"/>
    <col min="3080" max="3086" width="8" style="16" customWidth="1"/>
    <col min="3087" max="3087" width="7.140625" style="16" bestFit="1" customWidth="1"/>
    <col min="3088" max="3092" width="9.140625" style="16"/>
    <col min="3093" max="3093" width="12.42578125" style="16" customWidth="1"/>
    <col min="3094" max="3094" width="9.140625" style="16"/>
    <col min="3095" max="3095" width="12" style="16" customWidth="1"/>
    <col min="3096" max="3328" width="9.140625" style="16"/>
    <col min="3329" max="3329" width="5" style="16" customWidth="1"/>
    <col min="3330" max="3330" width="18.7109375" style="16" customWidth="1"/>
    <col min="3331" max="3331" width="8.42578125" style="16" customWidth="1"/>
    <col min="3332" max="3332" width="8.28515625" style="16" customWidth="1"/>
    <col min="3333" max="3333" width="8.5703125" style="16" bestFit="1" customWidth="1"/>
    <col min="3334" max="3334" width="8" style="16" customWidth="1"/>
    <col min="3335" max="3335" width="8.42578125" style="16" bestFit="1" customWidth="1"/>
    <col min="3336" max="3342" width="8" style="16" customWidth="1"/>
    <col min="3343" max="3343" width="7.140625" style="16" bestFit="1" customWidth="1"/>
    <col min="3344" max="3348" width="9.140625" style="16"/>
    <col min="3349" max="3349" width="12.42578125" style="16" customWidth="1"/>
    <col min="3350" max="3350" width="9.140625" style="16"/>
    <col min="3351" max="3351" width="12" style="16" customWidth="1"/>
    <col min="3352" max="3584" width="9.140625" style="16"/>
    <col min="3585" max="3585" width="5" style="16" customWidth="1"/>
    <col min="3586" max="3586" width="18.7109375" style="16" customWidth="1"/>
    <col min="3587" max="3587" width="8.42578125" style="16" customWidth="1"/>
    <col min="3588" max="3588" width="8.28515625" style="16" customWidth="1"/>
    <col min="3589" max="3589" width="8.5703125" style="16" bestFit="1" customWidth="1"/>
    <col min="3590" max="3590" width="8" style="16" customWidth="1"/>
    <col min="3591" max="3591" width="8.42578125" style="16" bestFit="1" customWidth="1"/>
    <col min="3592" max="3598" width="8" style="16" customWidth="1"/>
    <col min="3599" max="3599" width="7.140625" style="16" bestFit="1" customWidth="1"/>
    <col min="3600" max="3604" width="9.140625" style="16"/>
    <col min="3605" max="3605" width="12.42578125" style="16" customWidth="1"/>
    <col min="3606" max="3606" width="9.140625" style="16"/>
    <col min="3607" max="3607" width="12" style="16" customWidth="1"/>
    <col min="3608" max="3840" width="9.140625" style="16"/>
    <col min="3841" max="3841" width="5" style="16" customWidth="1"/>
    <col min="3842" max="3842" width="18.7109375" style="16" customWidth="1"/>
    <col min="3843" max="3843" width="8.42578125" style="16" customWidth="1"/>
    <col min="3844" max="3844" width="8.28515625" style="16" customWidth="1"/>
    <col min="3845" max="3845" width="8.5703125" style="16" bestFit="1" customWidth="1"/>
    <col min="3846" max="3846" width="8" style="16" customWidth="1"/>
    <col min="3847" max="3847" width="8.42578125" style="16" bestFit="1" customWidth="1"/>
    <col min="3848" max="3854" width="8" style="16" customWidth="1"/>
    <col min="3855" max="3855" width="7.140625" style="16" bestFit="1" customWidth="1"/>
    <col min="3856" max="3860" width="9.140625" style="16"/>
    <col min="3861" max="3861" width="12.42578125" style="16" customWidth="1"/>
    <col min="3862" max="3862" width="9.140625" style="16"/>
    <col min="3863" max="3863" width="12" style="16" customWidth="1"/>
    <col min="3864" max="4096" width="9.140625" style="16"/>
    <col min="4097" max="4097" width="5" style="16" customWidth="1"/>
    <col min="4098" max="4098" width="18.7109375" style="16" customWidth="1"/>
    <col min="4099" max="4099" width="8.42578125" style="16" customWidth="1"/>
    <col min="4100" max="4100" width="8.28515625" style="16" customWidth="1"/>
    <col min="4101" max="4101" width="8.5703125" style="16" bestFit="1" customWidth="1"/>
    <col min="4102" max="4102" width="8" style="16" customWidth="1"/>
    <col min="4103" max="4103" width="8.42578125" style="16" bestFit="1" customWidth="1"/>
    <col min="4104" max="4110" width="8" style="16" customWidth="1"/>
    <col min="4111" max="4111" width="7.140625" style="16" bestFit="1" customWidth="1"/>
    <col min="4112" max="4116" width="9.140625" style="16"/>
    <col min="4117" max="4117" width="12.42578125" style="16" customWidth="1"/>
    <col min="4118" max="4118" width="9.140625" style="16"/>
    <col min="4119" max="4119" width="12" style="16" customWidth="1"/>
    <col min="4120" max="4352" width="9.140625" style="16"/>
    <col min="4353" max="4353" width="5" style="16" customWidth="1"/>
    <col min="4354" max="4354" width="18.7109375" style="16" customWidth="1"/>
    <col min="4355" max="4355" width="8.42578125" style="16" customWidth="1"/>
    <col min="4356" max="4356" width="8.28515625" style="16" customWidth="1"/>
    <col min="4357" max="4357" width="8.5703125" style="16" bestFit="1" customWidth="1"/>
    <col min="4358" max="4358" width="8" style="16" customWidth="1"/>
    <col min="4359" max="4359" width="8.42578125" style="16" bestFit="1" customWidth="1"/>
    <col min="4360" max="4366" width="8" style="16" customWidth="1"/>
    <col min="4367" max="4367" width="7.140625" style="16" bestFit="1" customWidth="1"/>
    <col min="4368" max="4372" width="9.140625" style="16"/>
    <col min="4373" max="4373" width="12.42578125" style="16" customWidth="1"/>
    <col min="4374" max="4374" width="9.140625" style="16"/>
    <col min="4375" max="4375" width="12" style="16" customWidth="1"/>
    <col min="4376" max="4608" width="9.140625" style="16"/>
    <col min="4609" max="4609" width="5" style="16" customWidth="1"/>
    <col min="4610" max="4610" width="18.7109375" style="16" customWidth="1"/>
    <col min="4611" max="4611" width="8.42578125" style="16" customWidth="1"/>
    <col min="4612" max="4612" width="8.28515625" style="16" customWidth="1"/>
    <col min="4613" max="4613" width="8.5703125" style="16" bestFit="1" customWidth="1"/>
    <col min="4614" max="4614" width="8" style="16" customWidth="1"/>
    <col min="4615" max="4615" width="8.42578125" style="16" bestFit="1" customWidth="1"/>
    <col min="4616" max="4622" width="8" style="16" customWidth="1"/>
    <col min="4623" max="4623" width="7.140625" style="16" bestFit="1" customWidth="1"/>
    <col min="4624" max="4628" width="9.140625" style="16"/>
    <col min="4629" max="4629" width="12.42578125" style="16" customWidth="1"/>
    <col min="4630" max="4630" width="9.140625" style="16"/>
    <col min="4631" max="4631" width="12" style="16" customWidth="1"/>
    <col min="4632" max="4864" width="9.140625" style="16"/>
    <col min="4865" max="4865" width="5" style="16" customWidth="1"/>
    <col min="4866" max="4866" width="18.7109375" style="16" customWidth="1"/>
    <col min="4867" max="4867" width="8.42578125" style="16" customWidth="1"/>
    <col min="4868" max="4868" width="8.28515625" style="16" customWidth="1"/>
    <col min="4869" max="4869" width="8.5703125" style="16" bestFit="1" customWidth="1"/>
    <col min="4870" max="4870" width="8" style="16" customWidth="1"/>
    <col min="4871" max="4871" width="8.42578125" style="16" bestFit="1" customWidth="1"/>
    <col min="4872" max="4878" width="8" style="16" customWidth="1"/>
    <col min="4879" max="4879" width="7.140625" style="16" bestFit="1" customWidth="1"/>
    <col min="4880" max="4884" width="9.140625" style="16"/>
    <col min="4885" max="4885" width="12.42578125" style="16" customWidth="1"/>
    <col min="4886" max="4886" width="9.140625" style="16"/>
    <col min="4887" max="4887" width="12" style="16" customWidth="1"/>
    <col min="4888" max="5120" width="9.140625" style="16"/>
    <col min="5121" max="5121" width="5" style="16" customWidth="1"/>
    <col min="5122" max="5122" width="18.7109375" style="16" customWidth="1"/>
    <col min="5123" max="5123" width="8.42578125" style="16" customWidth="1"/>
    <col min="5124" max="5124" width="8.28515625" style="16" customWidth="1"/>
    <col min="5125" max="5125" width="8.5703125" style="16" bestFit="1" customWidth="1"/>
    <col min="5126" max="5126" width="8" style="16" customWidth="1"/>
    <col min="5127" max="5127" width="8.42578125" style="16" bestFit="1" customWidth="1"/>
    <col min="5128" max="5134" width="8" style="16" customWidth="1"/>
    <col min="5135" max="5135" width="7.140625" style="16" bestFit="1" customWidth="1"/>
    <col min="5136" max="5140" width="9.140625" style="16"/>
    <col min="5141" max="5141" width="12.42578125" style="16" customWidth="1"/>
    <col min="5142" max="5142" width="9.140625" style="16"/>
    <col min="5143" max="5143" width="12" style="16" customWidth="1"/>
    <col min="5144" max="5376" width="9.140625" style="16"/>
    <col min="5377" max="5377" width="5" style="16" customWidth="1"/>
    <col min="5378" max="5378" width="18.7109375" style="16" customWidth="1"/>
    <col min="5379" max="5379" width="8.42578125" style="16" customWidth="1"/>
    <col min="5380" max="5380" width="8.28515625" style="16" customWidth="1"/>
    <col min="5381" max="5381" width="8.5703125" style="16" bestFit="1" customWidth="1"/>
    <col min="5382" max="5382" width="8" style="16" customWidth="1"/>
    <col min="5383" max="5383" width="8.42578125" style="16" bestFit="1" customWidth="1"/>
    <col min="5384" max="5390" width="8" style="16" customWidth="1"/>
    <col min="5391" max="5391" width="7.140625" style="16" bestFit="1" customWidth="1"/>
    <col min="5392" max="5396" width="9.140625" style="16"/>
    <col min="5397" max="5397" width="12.42578125" style="16" customWidth="1"/>
    <col min="5398" max="5398" width="9.140625" style="16"/>
    <col min="5399" max="5399" width="12" style="16" customWidth="1"/>
    <col min="5400" max="5632" width="9.140625" style="16"/>
    <col min="5633" max="5633" width="5" style="16" customWidth="1"/>
    <col min="5634" max="5634" width="18.7109375" style="16" customWidth="1"/>
    <col min="5635" max="5635" width="8.42578125" style="16" customWidth="1"/>
    <col min="5636" max="5636" width="8.28515625" style="16" customWidth="1"/>
    <col min="5637" max="5637" width="8.5703125" style="16" bestFit="1" customWidth="1"/>
    <col min="5638" max="5638" width="8" style="16" customWidth="1"/>
    <col min="5639" max="5639" width="8.42578125" style="16" bestFit="1" customWidth="1"/>
    <col min="5640" max="5646" width="8" style="16" customWidth="1"/>
    <col min="5647" max="5647" width="7.140625" style="16" bestFit="1" customWidth="1"/>
    <col min="5648" max="5652" width="9.140625" style="16"/>
    <col min="5653" max="5653" width="12.42578125" style="16" customWidth="1"/>
    <col min="5654" max="5654" width="9.140625" style="16"/>
    <col min="5655" max="5655" width="12" style="16" customWidth="1"/>
    <col min="5656" max="5888" width="9.140625" style="16"/>
    <col min="5889" max="5889" width="5" style="16" customWidth="1"/>
    <col min="5890" max="5890" width="18.7109375" style="16" customWidth="1"/>
    <col min="5891" max="5891" width="8.42578125" style="16" customWidth="1"/>
    <col min="5892" max="5892" width="8.28515625" style="16" customWidth="1"/>
    <col min="5893" max="5893" width="8.5703125" style="16" bestFit="1" customWidth="1"/>
    <col min="5894" max="5894" width="8" style="16" customWidth="1"/>
    <col min="5895" max="5895" width="8.42578125" style="16" bestFit="1" customWidth="1"/>
    <col min="5896" max="5902" width="8" style="16" customWidth="1"/>
    <col min="5903" max="5903" width="7.140625" style="16" bestFit="1" customWidth="1"/>
    <col min="5904" max="5908" width="9.140625" style="16"/>
    <col min="5909" max="5909" width="12.42578125" style="16" customWidth="1"/>
    <col min="5910" max="5910" width="9.140625" style="16"/>
    <col min="5911" max="5911" width="12" style="16" customWidth="1"/>
    <col min="5912" max="6144" width="9.140625" style="16"/>
    <col min="6145" max="6145" width="5" style="16" customWidth="1"/>
    <col min="6146" max="6146" width="18.7109375" style="16" customWidth="1"/>
    <col min="6147" max="6147" width="8.42578125" style="16" customWidth="1"/>
    <col min="6148" max="6148" width="8.28515625" style="16" customWidth="1"/>
    <col min="6149" max="6149" width="8.5703125" style="16" bestFit="1" customWidth="1"/>
    <col min="6150" max="6150" width="8" style="16" customWidth="1"/>
    <col min="6151" max="6151" width="8.42578125" style="16" bestFit="1" customWidth="1"/>
    <col min="6152" max="6158" width="8" style="16" customWidth="1"/>
    <col min="6159" max="6159" width="7.140625" style="16" bestFit="1" customWidth="1"/>
    <col min="6160" max="6164" width="9.140625" style="16"/>
    <col min="6165" max="6165" width="12.42578125" style="16" customWidth="1"/>
    <col min="6166" max="6166" width="9.140625" style="16"/>
    <col min="6167" max="6167" width="12" style="16" customWidth="1"/>
    <col min="6168" max="6400" width="9.140625" style="16"/>
    <col min="6401" max="6401" width="5" style="16" customWidth="1"/>
    <col min="6402" max="6402" width="18.7109375" style="16" customWidth="1"/>
    <col min="6403" max="6403" width="8.42578125" style="16" customWidth="1"/>
    <col min="6404" max="6404" width="8.28515625" style="16" customWidth="1"/>
    <col min="6405" max="6405" width="8.5703125" style="16" bestFit="1" customWidth="1"/>
    <col min="6406" max="6406" width="8" style="16" customWidth="1"/>
    <col min="6407" max="6407" width="8.42578125" style="16" bestFit="1" customWidth="1"/>
    <col min="6408" max="6414" width="8" style="16" customWidth="1"/>
    <col min="6415" max="6415" width="7.140625" style="16" bestFit="1" customWidth="1"/>
    <col min="6416" max="6420" width="9.140625" style="16"/>
    <col min="6421" max="6421" width="12.42578125" style="16" customWidth="1"/>
    <col min="6422" max="6422" width="9.140625" style="16"/>
    <col min="6423" max="6423" width="12" style="16" customWidth="1"/>
    <col min="6424" max="6656" width="9.140625" style="16"/>
    <col min="6657" max="6657" width="5" style="16" customWidth="1"/>
    <col min="6658" max="6658" width="18.7109375" style="16" customWidth="1"/>
    <col min="6659" max="6659" width="8.42578125" style="16" customWidth="1"/>
    <col min="6660" max="6660" width="8.28515625" style="16" customWidth="1"/>
    <col min="6661" max="6661" width="8.5703125" style="16" bestFit="1" customWidth="1"/>
    <col min="6662" max="6662" width="8" style="16" customWidth="1"/>
    <col min="6663" max="6663" width="8.42578125" style="16" bestFit="1" customWidth="1"/>
    <col min="6664" max="6670" width="8" style="16" customWidth="1"/>
    <col min="6671" max="6671" width="7.140625" style="16" bestFit="1" customWidth="1"/>
    <col min="6672" max="6676" width="9.140625" style="16"/>
    <col min="6677" max="6677" width="12.42578125" style="16" customWidth="1"/>
    <col min="6678" max="6678" width="9.140625" style="16"/>
    <col min="6679" max="6679" width="12" style="16" customWidth="1"/>
    <col min="6680" max="6912" width="9.140625" style="16"/>
    <col min="6913" max="6913" width="5" style="16" customWidth="1"/>
    <col min="6914" max="6914" width="18.7109375" style="16" customWidth="1"/>
    <col min="6915" max="6915" width="8.42578125" style="16" customWidth="1"/>
    <col min="6916" max="6916" width="8.28515625" style="16" customWidth="1"/>
    <col min="6917" max="6917" width="8.5703125" style="16" bestFit="1" customWidth="1"/>
    <col min="6918" max="6918" width="8" style="16" customWidth="1"/>
    <col min="6919" max="6919" width="8.42578125" style="16" bestFit="1" customWidth="1"/>
    <col min="6920" max="6926" width="8" style="16" customWidth="1"/>
    <col min="6927" max="6927" width="7.140625" style="16" bestFit="1" customWidth="1"/>
    <col min="6928" max="6932" width="9.140625" style="16"/>
    <col min="6933" max="6933" width="12.42578125" style="16" customWidth="1"/>
    <col min="6934" max="6934" width="9.140625" style="16"/>
    <col min="6935" max="6935" width="12" style="16" customWidth="1"/>
    <col min="6936" max="7168" width="9.140625" style="16"/>
    <col min="7169" max="7169" width="5" style="16" customWidth="1"/>
    <col min="7170" max="7170" width="18.7109375" style="16" customWidth="1"/>
    <col min="7171" max="7171" width="8.42578125" style="16" customWidth="1"/>
    <col min="7172" max="7172" width="8.28515625" style="16" customWidth="1"/>
    <col min="7173" max="7173" width="8.5703125" style="16" bestFit="1" customWidth="1"/>
    <col min="7174" max="7174" width="8" style="16" customWidth="1"/>
    <col min="7175" max="7175" width="8.42578125" style="16" bestFit="1" customWidth="1"/>
    <col min="7176" max="7182" width="8" style="16" customWidth="1"/>
    <col min="7183" max="7183" width="7.140625" style="16" bestFit="1" customWidth="1"/>
    <col min="7184" max="7188" width="9.140625" style="16"/>
    <col min="7189" max="7189" width="12.42578125" style="16" customWidth="1"/>
    <col min="7190" max="7190" width="9.140625" style="16"/>
    <col min="7191" max="7191" width="12" style="16" customWidth="1"/>
    <col min="7192" max="7424" width="9.140625" style="16"/>
    <col min="7425" max="7425" width="5" style="16" customWidth="1"/>
    <col min="7426" max="7426" width="18.7109375" style="16" customWidth="1"/>
    <col min="7427" max="7427" width="8.42578125" style="16" customWidth="1"/>
    <col min="7428" max="7428" width="8.28515625" style="16" customWidth="1"/>
    <col min="7429" max="7429" width="8.5703125" style="16" bestFit="1" customWidth="1"/>
    <col min="7430" max="7430" width="8" style="16" customWidth="1"/>
    <col min="7431" max="7431" width="8.42578125" style="16" bestFit="1" customWidth="1"/>
    <col min="7432" max="7438" width="8" style="16" customWidth="1"/>
    <col min="7439" max="7439" width="7.140625" style="16" bestFit="1" customWidth="1"/>
    <col min="7440" max="7444" width="9.140625" style="16"/>
    <col min="7445" max="7445" width="12.42578125" style="16" customWidth="1"/>
    <col min="7446" max="7446" width="9.140625" style="16"/>
    <col min="7447" max="7447" width="12" style="16" customWidth="1"/>
    <col min="7448" max="7680" width="9.140625" style="16"/>
    <col min="7681" max="7681" width="5" style="16" customWidth="1"/>
    <col min="7682" max="7682" width="18.7109375" style="16" customWidth="1"/>
    <col min="7683" max="7683" width="8.42578125" style="16" customWidth="1"/>
    <col min="7684" max="7684" width="8.28515625" style="16" customWidth="1"/>
    <col min="7685" max="7685" width="8.5703125" style="16" bestFit="1" customWidth="1"/>
    <col min="7686" max="7686" width="8" style="16" customWidth="1"/>
    <col min="7687" max="7687" width="8.42578125" style="16" bestFit="1" customWidth="1"/>
    <col min="7688" max="7694" width="8" style="16" customWidth="1"/>
    <col min="7695" max="7695" width="7.140625" style="16" bestFit="1" customWidth="1"/>
    <col min="7696" max="7700" width="9.140625" style="16"/>
    <col min="7701" max="7701" width="12.42578125" style="16" customWidth="1"/>
    <col min="7702" max="7702" width="9.140625" style="16"/>
    <col min="7703" max="7703" width="12" style="16" customWidth="1"/>
    <col min="7704" max="7936" width="9.140625" style="16"/>
    <col min="7937" max="7937" width="5" style="16" customWidth="1"/>
    <col min="7938" max="7938" width="18.7109375" style="16" customWidth="1"/>
    <col min="7939" max="7939" width="8.42578125" style="16" customWidth="1"/>
    <col min="7940" max="7940" width="8.28515625" style="16" customWidth="1"/>
    <col min="7941" max="7941" width="8.5703125" style="16" bestFit="1" customWidth="1"/>
    <col min="7942" max="7942" width="8" style="16" customWidth="1"/>
    <col min="7943" max="7943" width="8.42578125" style="16" bestFit="1" customWidth="1"/>
    <col min="7944" max="7950" width="8" style="16" customWidth="1"/>
    <col min="7951" max="7951" width="7.140625" style="16" bestFit="1" customWidth="1"/>
    <col min="7952" max="7956" width="9.140625" style="16"/>
    <col min="7957" max="7957" width="12.42578125" style="16" customWidth="1"/>
    <col min="7958" max="7958" width="9.140625" style="16"/>
    <col min="7959" max="7959" width="12" style="16" customWidth="1"/>
    <col min="7960" max="8192" width="9.140625" style="16"/>
    <col min="8193" max="8193" width="5" style="16" customWidth="1"/>
    <col min="8194" max="8194" width="18.7109375" style="16" customWidth="1"/>
    <col min="8195" max="8195" width="8.42578125" style="16" customWidth="1"/>
    <col min="8196" max="8196" width="8.28515625" style="16" customWidth="1"/>
    <col min="8197" max="8197" width="8.5703125" style="16" bestFit="1" customWidth="1"/>
    <col min="8198" max="8198" width="8" style="16" customWidth="1"/>
    <col min="8199" max="8199" width="8.42578125" style="16" bestFit="1" customWidth="1"/>
    <col min="8200" max="8206" width="8" style="16" customWidth="1"/>
    <col min="8207" max="8207" width="7.140625" style="16" bestFit="1" customWidth="1"/>
    <col min="8208" max="8212" width="9.140625" style="16"/>
    <col min="8213" max="8213" width="12.42578125" style="16" customWidth="1"/>
    <col min="8214" max="8214" width="9.140625" style="16"/>
    <col min="8215" max="8215" width="12" style="16" customWidth="1"/>
    <col min="8216" max="8448" width="9.140625" style="16"/>
    <col min="8449" max="8449" width="5" style="16" customWidth="1"/>
    <col min="8450" max="8450" width="18.7109375" style="16" customWidth="1"/>
    <col min="8451" max="8451" width="8.42578125" style="16" customWidth="1"/>
    <col min="8452" max="8452" width="8.28515625" style="16" customWidth="1"/>
    <col min="8453" max="8453" width="8.5703125" style="16" bestFit="1" customWidth="1"/>
    <col min="8454" max="8454" width="8" style="16" customWidth="1"/>
    <col min="8455" max="8455" width="8.42578125" style="16" bestFit="1" customWidth="1"/>
    <col min="8456" max="8462" width="8" style="16" customWidth="1"/>
    <col min="8463" max="8463" width="7.140625" style="16" bestFit="1" customWidth="1"/>
    <col min="8464" max="8468" width="9.140625" style="16"/>
    <col min="8469" max="8469" width="12.42578125" style="16" customWidth="1"/>
    <col min="8470" max="8470" width="9.140625" style="16"/>
    <col min="8471" max="8471" width="12" style="16" customWidth="1"/>
    <col min="8472" max="8704" width="9.140625" style="16"/>
    <col min="8705" max="8705" width="5" style="16" customWidth="1"/>
    <col min="8706" max="8706" width="18.7109375" style="16" customWidth="1"/>
    <col min="8707" max="8707" width="8.42578125" style="16" customWidth="1"/>
    <col min="8708" max="8708" width="8.28515625" style="16" customWidth="1"/>
    <col min="8709" max="8709" width="8.5703125" style="16" bestFit="1" customWidth="1"/>
    <col min="8710" max="8710" width="8" style="16" customWidth="1"/>
    <col min="8711" max="8711" width="8.42578125" style="16" bestFit="1" customWidth="1"/>
    <col min="8712" max="8718" width="8" style="16" customWidth="1"/>
    <col min="8719" max="8719" width="7.140625" style="16" bestFit="1" customWidth="1"/>
    <col min="8720" max="8724" width="9.140625" style="16"/>
    <col min="8725" max="8725" width="12.42578125" style="16" customWidth="1"/>
    <col min="8726" max="8726" width="9.140625" style="16"/>
    <col min="8727" max="8727" width="12" style="16" customWidth="1"/>
    <col min="8728" max="8960" width="9.140625" style="16"/>
    <col min="8961" max="8961" width="5" style="16" customWidth="1"/>
    <col min="8962" max="8962" width="18.7109375" style="16" customWidth="1"/>
    <col min="8963" max="8963" width="8.42578125" style="16" customWidth="1"/>
    <col min="8964" max="8964" width="8.28515625" style="16" customWidth="1"/>
    <col min="8965" max="8965" width="8.5703125" style="16" bestFit="1" customWidth="1"/>
    <col min="8966" max="8966" width="8" style="16" customWidth="1"/>
    <col min="8967" max="8967" width="8.42578125" style="16" bestFit="1" customWidth="1"/>
    <col min="8968" max="8974" width="8" style="16" customWidth="1"/>
    <col min="8975" max="8975" width="7.140625" style="16" bestFit="1" customWidth="1"/>
    <col min="8976" max="8980" width="9.140625" style="16"/>
    <col min="8981" max="8981" width="12.42578125" style="16" customWidth="1"/>
    <col min="8982" max="8982" width="9.140625" style="16"/>
    <col min="8983" max="8983" width="12" style="16" customWidth="1"/>
    <col min="8984" max="9216" width="9.140625" style="16"/>
    <col min="9217" max="9217" width="5" style="16" customWidth="1"/>
    <col min="9218" max="9218" width="18.7109375" style="16" customWidth="1"/>
    <col min="9219" max="9219" width="8.42578125" style="16" customWidth="1"/>
    <col min="9220" max="9220" width="8.28515625" style="16" customWidth="1"/>
    <col min="9221" max="9221" width="8.5703125" style="16" bestFit="1" customWidth="1"/>
    <col min="9222" max="9222" width="8" style="16" customWidth="1"/>
    <col min="9223" max="9223" width="8.42578125" style="16" bestFit="1" customWidth="1"/>
    <col min="9224" max="9230" width="8" style="16" customWidth="1"/>
    <col min="9231" max="9231" width="7.140625" style="16" bestFit="1" customWidth="1"/>
    <col min="9232" max="9236" width="9.140625" style="16"/>
    <col min="9237" max="9237" width="12.42578125" style="16" customWidth="1"/>
    <col min="9238" max="9238" width="9.140625" style="16"/>
    <col min="9239" max="9239" width="12" style="16" customWidth="1"/>
    <col min="9240" max="9472" width="9.140625" style="16"/>
    <col min="9473" max="9473" width="5" style="16" customWidth="1"/>
    <col min="9474" max="9474" width="18.7109375" style="16" customWidth="1"/>
    <col min="9475" max="9475" width="8.42578125" style="16" customWidth="1"/>
    <col min="9476" max="9476" width="8.28515625" style="16" customWidth="1"/>
    <col min="9477" max="9477" width="8.5703125" style="16" bestFit="1" customWidth="1"/>
    <col min="9478" max="9478" width="8" style="16" customWidth="1"/>
    <col min="9479" max="9479" width="8.42578125" style="16" bestFit="1" customWidth="1"/>
    <col min="9480" max="9486" width="8" style="16" customWidth="1"/>
    <col min="9487" max="9487" width="7.140625" style="16" bestFit="1" customWidth="1"/>
    <col min="9488" max="9492" width="9.140625" style="16"/>
    <col min="9493" max="9493" width="12.42578125" style="16" customWidth="1"/>
    <col min="9494" max="9494" width="9.140625" style="16"/>
    <col min="9495" max="9495" width="12" style="16" customWidth="1"/>
    <col min="9496" max="9728" width="9.140625" style="16"/>
    <col min="9729" max="9729" width="5" style="16" customWidth="1"/>
    <col min="9730" max="9730" width="18.7109375" style="16" customWidth="1"/>
    <col min="9731" max="9731" width="8.42578125" style="16" customWidth="1"/>
    <col min="9732" max="9732" width="8.28515625" style="16" customWidth="1"/>
    <col min="9733" max="9733" width="8.5703125" style="16" bestFit="1" customWidth="1"/>
    <col min="9734" max="9734" width="8" style="16" customWidth="1"/>
    <col min="9735" max="9735" width="8.42578125" style="16" bestFit="1" customWidth="1"/>
    <col min="9736" max="9742" width="8" style="16" customWidth="1"/>
    <col min="9743" max="9743" width="7.140625" style="16" bestFit="1" customWidth="1"/>
    <col min="9744" max="9748" width="9.140625" style="16"/>
    <col min="9749" max="9749" width="12.42578125" style="16" customWidth="1"/>
    <col min="9750" max="9750" width="9.140625" style="16"/>
    <col min="9751" max="9751" width="12" style="16" customWidth="1"/>
    <col min="9752" max="9984" width="9.140625" style="16"/>
    <col min="9985" max="9985" width="5" style="16" customWidth="1"/>
    <col min="9986" max="9986" width="18.7109375" style="16" customWidth="1"/>
    <col min="9987" max="9987" width="8.42578125" style="16" customWidth="1"/>
    <col min="9988" max="9988" width="8.28515625" style="16" customWidth="1"/>
    <col min="9989" max="9989" width="8.5703125" style="16" bestFit="1" customWidth="1"/>
    <col min="9990" max="9990" width="8" style="16" customWidth="1"/>
    <col min="9991" max="9991" width="8.42578125" style="16" bestFit="1" customWidth="1"/>
    <col min="9992" max="9998" width="8" style="16" customWidth="1"/>
    <col min="9999" max="9999" width="7.140625" style="16" bestFit="1" customWidth="1"/>
    <col min="10000" max="10004" width="9.140625" style="16"/>
    <col min="10005" max="10005" width="12.42578125" style="16" customWidth="1"/>
    <col min="10006" max="10006" width="9.140625" style="16"/>
    <col min="10007" max="10007" width="12" style="16" customWidth="1"/>
    <col min="10008" max="10240" width="9.140625" style="16"/>
    <col min="10241" max="10241" width="5" style="16" customWidth="1"/>
    <col min="10242" max="10242" width="18.7109375" style="16" customWidth="1"/>
    <col min="10243" max="10243" width="8.42578125" style="16" customWidth="1"/>
    <col min="10244" max="10244" width="8.28515625" style="16" customWidth="1"/>
    <col min="10245" max="10245" width="8.5703125" style="16" bestFit="1" customWidth="1"/>
    <col min="10246" max="10246" width="8" style="16" customWidth="1"/>
    <col min="10247" max="10247" width="8.42578125" style="16" bestFit="1" customWidth="1"/>
    <col min="10248" max="10254" width="8" style="16" customWidth="1"/>
    <col min="10255" max="10255" width="7.140625" style="16" bestFit="1" customWidth="1"/>
    <col min="10256" max="10260" width="9.140625" style="16"/>
    <col min="10261" max="10261" width="12.42578125" style="16" customWidth="1"/>
    <col min="10262" max="10262" width="9.140625" style="16"/>
    <col min="10263" max="10263" width="12" style="16" customWidth="1"/>
    <col min="10264" max="10496" width="9.140625" style="16"/>
    <col min="10497" max="10497" width="5" style="16" customWidth="1"/>
    <col min="10498" max="10498" width="18.7109375" style="16" customWidth="1"/>
    <col min="10499" max="10499" width="8.42578125" style="16" customWidth="1"/>
    <col min="10500" max="10500" width="8.28515625" style="16" customWidth="1"/>
    <col min="10501" max="10501" width="8.5703125" style="16" bestFit="1" customWidth="1"/>
    <col min="10502" max="10502" width="8" style="16" customWidth="1"/>
    <col min="10503" max="10503" width="8.42578125" style="16" bestFit="1" customWidth="1"/>
    <col min="10504" max="10510" width="8" style="16" customWidth="1"/>
    <col min="10511" max="10511" width="7.140625" style="16" bestFit="1" customWidth="1"/>
    <col min="10512" max="10516" width="9.140625" style="16"/>
    <col min="10517" max="10517" width="12.42578125" style="16" customWidth="1"/>
    <col min="10518" max="10518" width="9.140625" style="16"/>
    <col min="10519" max="10519" width="12" style="16" customWidth="1"/>
    <col min="10520" max="10752" width="9.140625" style="16"/>
    <col min="10753" max="10753" width="5" style="16" customWidth="1"/>
    <col min="10754" max="10754" width="18.7109375" style="16" customWidth="1"/>
    <col min="10755" max="10755" width="8.42578125" style="16" customWidth="1"/>
    <col min="10756" max="10756" width="8.28515625" style="16" customWidth="1"/>
    <col min="10757" max="10757" width="8.5703125" style="16" bestFit="1" customWidth="1"/>
    <col min="10758" max="10758" width="8" style="16" customWidth="1"/>
    <col min="10759" max="10759" width="8.42578125" style="16" bestFit="1" customWidth="1"/>
    <col min="10760" max="10766" width="8" style="16" customWidth="1"/>
    <col min="10767" max="10767" width="7.140625" style="16" bestFit="1" customWidth="1"/>
    <col min="10768" max="10772" width="9.140625" style="16"/>
    <col min="10773" max="10773" width="12.42578125" style="16" customWidth="1"/>
    <col min="10774" max="10774" width="9.140625" style="16"/>
    <col min="10775" max="10775" width="12" style="16" customWidth="1"/>
    <col min="10776" max="11008" width="9.140625" style="16"/>
    <col min="11009" max="11009" width="5" style="16" customWidth="1"/>
    <col min="11010" max="11010" width="18.7109375" style="16" customWidth="1"/>
    <col min="11011" max="11011" width="8.42578125" style="16" customWidth="1"/>
    <col min="11012" max="11012" width="8.28515625" style="16" customWidth="1"/>
    <col min="11013" max="11013" width="8.5703125" style="16" bestFit="1" customWidth="1"/>
    <col min="11014" max="11014" width="8" style="16" customWidth="1"/>
    <col min="11015" max="11015" width="8.42578125" style="16" bestFit="1" customWidth="1"/>
    <col min="11016" max="11022" width="8" style="16" customWidth="1"/>
    <col min="11023" max="11023" width="7.140625" style="16" bestFit="1" customWidth="1"/>
    <col min="11024" max="11028" width="9.140625" style="16"/>
    <col min="11029" max="11029" width="12.42578125" style="16" customWidth="1"/>
    <col min="11030" max="11030" width="9.140625" style="16"/>
    <col min="11031" max="11031" width="12" style="16" customWidth="1"/>
    <col min="11032" max="11264" width="9.140625" style="16"/>
    <col min="11265" max="11265" width="5" style="16" customWidth="1"/>
    <col min="11266" max="11266" width="18.7109375" style="16" customWidth="1"/>
    <col min="11267" max="11267" width="8.42578125" style="16" customWidth="1"/>
    <col min="11268" max="11268" width="8.28515625" style="16" customWidth="1"/>
    <col min="11269" max="11269" width="8.5703125" style="16" bestFit="1" customWidth="1"/>
    <col min="11270" max="11270" width="8" style="16" customWidth="1"/>
    <col min="11271" max="11271" width="8.42578125" style="16" bestFit="1" customWidth="1"/>
    <col min="11272" max="11278" width="8" style="16" customWidth="1"/>
    <col min="11279" max="11279" width="7.140625" style="16" bestFit="1" customWidth="1"/>
    <col min="11280" max="11284" width="9.140625" style="16"/>
    <col min="11285" max="11285" width="12.42578125" style="16" customWidth="1"/>
    <col min="11286" max="11286" width="9.140625" style="16"/>
    <col min="11287" max="11287" width="12" style="16" customWidth="1"/>
    <col min="11288" max="11520" width="9.140625" style="16"/>
    <col min="11521" max="11521" width="5" style="16" customWidth="1"/>
    <col min="11522" max="11522" width="18.7109375" style="16" customWidth="1"/>
    <col min="11523" max="11523" width="8.42578125" style="16" customWidth="1"/>
    <col min="11524" max="11524" width="8.28515625" style="16" customWidth="1"/>
    <col min="11525" max="11525" width="8.5703125" style="16" bestFit="1" customWidth="1"/>
    <col min="11526" max="11526" width="8" style="16" customWidth="1"/>
    <col min="11527" max="11527" width="8.42578125" style="16" bestFit="1" customWidth="1"/>
    <col min="11528" max="11534" width="8" style="16" customWidth="1"/>
    <col min="11535" max="11535" width="7.140625" style="16" bestFit="1" customWidth="1"/>
    <col min="11536" max="11540" width="9.140625" style="16"/>
    <col min="11541" max="11541" width="12.42578125" style="16" customWidth="1"/>
    <col min="11542" max="11542" width="9.140625" style="16"/>
    <col min="11543" max="11543" width="12" style="16" customWidth="1"/>
    <col min="11544" max="11776" width="9.140625" style="16"/>
    <col min="11777" max="11777" width="5" style="16" customWidth="1"/>
    <col min="11778" max="11778" width="18.7109375" style="16" customWidth="1"/>
    <col min="11779" max="11779" width="8.42578125" style="16" customWidth="1"/>
    <col min="11780" max="11780" width="8.28515625" style="16" customWidth="1"/>
    <col min="11781" max="11781" width="8.5703125" style="16" bestFit="1" customWidth="1"/>
    <col min="11782" max="11782" width="8" style="16" customWidth="1"/>
    <col min="11783" max="11783" width="8.42578125" style="16" bestFit="1" customWidth="1"/>
    <col min="11784" max="11790" width="8" style="16" customWidth="1"/>
    <col min="11791" max="11791" width="7.140625" style="16" bestFit="1" customWidth="1"/>
    <col min="11792" max="11796" width="9.140625" style="16"/>
    <col min="11797" max="11797" width="12.42578125" style="16" customWidth="1"/>
    <col min="11798" max="11798" width="9.140625" style="16"/>
    <col min="11799" max="11799" width="12" style="16" customWidth="1"/>
    <col min="11800" max="12032" width="9.140625" style="16"/>
    <col min="12033" max="12033" width="5" style="16" customWidth="1"/>
    <col min="12034" max="12034" width="18.7109375" style="16" customWidth="1"/>
    <col min="12035" max="12035" width="8.42578125" style="16" customWidth="1"/>
    <col min="12036" max="12036" width="8.28515625" style="16" customWidth="1"/>
    <col min="12037" max="12037" width="8.5703125" style="16" bestFit="1" customWidth="1"/>
    <col min="12038" max="12038" width="8" style="16" customWidth="1"/>
    <col min="12039" max="12039" width="8.42578125" style="16" bestFit="1" customWidth="1"/>
    <col min="12040" max="12046" width="8" style="16" customWidth="1"/>
    <col min="12047" max="12047" width="7.140625" style="16" bestFit="1" customWidth="1"/>
    <col min="12048" max="12052" width="9.140625" style="16"/>
    <col min="12053" max="12053" width="12.42578125" style="16" customWidth="1"/>
    <col min="12054" max="12054" width="9.140625" style="16"/>
    <col min="12055" max="12055" width="12" style="16" customWidth="1"/>
    <col min="12056" max="12288" width="9.140625" style="16"/>
    <col min="12289" max="12289" width="5" style="16" customWidth="1"/>
    <col min="12290" max="12290" width="18.7109375" style="16" customWidth="1"/>
    <col min="12291" max="12291" width="8.42578125" style="16" customWidth="1"/>
    <col min="12292" max="12292" width="8.28515625" style="16" customWidth="1"/>
    <col min="12293" max="12293" width="8.5703125" style="16" bestFit="1" customWidth="1"/>
    <col min="12294" max="12294" width="8" style="16" customWidth="1"/>
    <col min="12295" max="12295" width="8.42578125" style="16" bestFit="1" customWidth="1"/>
    <col min="12296" max="12302" width="8" style="16" customWidth="1"/>
    <col min="12303" max="12303" width="7.140625" style="16" bestFit="1" customWidth="1"/>
    <col min="12304" max="12308" width="9.140625" style="16"/>
    <col min="12309" max="12309" width="12.42578125" style="16" customWidth="1"/>
    <col min="12310" max="12310" width="9.140625" style="16"/>
    <col min="12311" max="12311" width="12" style="16" customWidth="1"/>
    <col min="12312" max="12544" width="9.140625" style="16"/>
    <col min="12545" max="12545" width="5" style="16" customWidth="1"/>
    <col min="12546" max="12546" width="18.7109375" style="16" customWidth="1"/>
    <col min="12547" max="12547" width="8.42578125" style="16" customWidth="1"/>
    <col min="12548" max="12548" width="8.28515625" style="16" customWidth="1"/>
    <col min="12549" max="12549" width="8.5703125" style="16" bestFit="1" customWidth="1"/>
    <col min="12550" max="12550" width="8" style="16" customWidth="1"/>
    <col min="12551" max="12551" width="8.42578125" style="16" bestFit="1" customWidth="1"/>
    <col min="12552" max="12558" width="8" style="16" customWidth="1"/>
    <col min="12559" max="12559" width="7.140625" style="16" bestFit="1" customWidth="1"/>
    <col min="12560" max="12564" width="9.140625" style="16"/>
    <col min="12565" max="12565" width="12.42578125" style="16" customWidth="1"/>
    <col min="12566" max="12566" width="9.140625" style="16"/>
    <col min="12567" max="12567" width="12" style="16" customWidth="1"/>
    <col min="12568" max="12800" width="9.140625" style="16"/>
    <col min="12801" max="12801" width="5" style="16" customWidth="1"/>
    <col min="12802" max="12802" width="18.7109375" style="16" customWidth="1"/>
    <col min="12803" max="12803" width="8.42578125" style="16" customWidth="1"/>
    <col min="12804" max="12804" width="8.28515625" style="16" customWidth="1"/>
    <col min="12805" max="12805" width="8.5703125" style="16" bestFit="1" customWidth="1"/>
    <col min="12806" max="12806" width="8" style="16" customWidth="1"/>
    <col min="12807" max="12807" width="8.42578125" style="16" bestFit="1" customWidth="1"/>
    <col min="12808" max="12814" width="8" style="16" customWidth="1"/>
    <col min="12815" max="12815" width="7.140625" style="16" bestFit="1" customWidth="1"/>
    <col min="12816" max="12820" width="9.140625" style="16"/>
    <col min="12821" max="12821" width="12.42578125" style="16" customWidth="1"/>
    <col min="12822" max="12822" width="9.140625" style="16"/>
    <col min="12823" max="12823" width="12" style="16" customWidth="1"/>
    <col min="12824" max="13056" width="9.140625" style="16"/>
    <col min="13057" max="13057" width="5" style="16" customWidth="1"/>
    <col min="13058" max="13058" width="18.7109375" style="16" customWidth="1"/>
    <col min="13059" max="13059" width="8.42578125" style="16" customWidth="1"/>
    <col min="13060" max="13060" width="8.28515625" style="16" customWidth="1"/>
    <col min="13061" max="13061" width="8.5703125" style="16" bestFit="1" customWidth="1"/>
    <col min="13062" max="13062" width="8" style="16" customWidth="1"/>
    <col min="13063" max="13063" width="8.42578125" style="16" bestFit="1" customWidth="1"/>
    <col min="13064" max="13070" width="8" style="16" customWidth="1"/>
    <col min="13071" max="13071" width="7.140625" style="16" bestFit="1" customWidth="1"/>
    <col min="13072" max="13076" width="9.140625" style="16"/>
    <col min="13077" max="13077" width="12.42578125" style="16" customWidth="1"/>
    <col min="13078" max="13078" width="9.140625" style="16"/>
    <col min="13079" max="13079" width="12" style="16" customWidth="1"/>
    <col min="13080" max="13312" width="9.140625" style="16"/>
    <col min="13313" max="13313" width="5" style="16" customWidth="1"/>
    <col min="13314" max="13314" width="18.7109375" style="16" customWidth="1"/>
    <col min="13315" max="13315" width="8.42578125" style="16" customWidth="1"/>
    <col min="13316" max="13316" width="8.28515625" style="16" customWidth="1"/>
    <col min="13317" max="13317" width="8.5703125" style="16" bestFit="1" customWidth="1"/>
    <col min="13318" max="13318" width="8" style="16" customWidth="1"/>
    <col min="13319" max="13319" width="8.42578125" style="16" bestFit="1" customWidth="1"/>
    <col min="13320" max="13326" width="8" style="16" customWidth="1"/>
    <col min="13327" max="13327" width="7.140625" style="16" bestFit="1" customWidth="1"/>
    <col min="13328" max="13332" width="9.140625" style="16"/>
    <col min="13333" max="13333" width="12.42578125" style="16" customWidth="1"/>
    <col min="13334" max="13334" width="9.140625" style="16"/>
    <col min="13335" max="13335" width="12" style="16" customWidth="1"/>
    <col min="13336" max="13568" width="9.140625" style="16"/>
    <col min="13569" max="13569" width="5" style="16" customWidth="1"/>
    <col min="13570" max="13570" width="18.7109375" style="16" customWidth="1"/>
    <col min="13571" max="13571" width="8.42578125" style="16" customWidth="1"/>
    <col min="13572" max="13572" width="8.28515625" style="16" customWidth="1"/>
    <col min="13573" max="13573" width="8.5703125" style="16" bestFit="1" customWidth="1"/>
    <col min="13574" max="13574" width="8" style="16" customWidth="1"/>
    <col min="13575" max="13575" width="8.42578125" style="16" bestFit="1" customWidth="1"/>
    <col min="13576" max="13582" width="8" style="16" customWidth="1"/>
    <col min="13583" max="13583" width="7.140625" style="16" bestFit="1" customWidth="1"/>
    <col min="13584" max="13588" width="9.140625" style="16"/>
    <col min="13589" max="13589" width="12.42578125" style="16" customWidth="1"/>
    <col min="13590" max="13590" width="9.140625" style="16"/>
    <col min="13591" max="13591" width="12" style="16" customWidth="1"/>
    <col min="13592" max="13824" width="9.140625" style="16"/>
    <col min="13825" max="13825" width="5" style="16" customWidth="1"/>
    <col min="13826" max="13826" width="18.7109375" style="16" customWidth="1"/>
    <col min="13827" max="13827" width="8.42578125" style="16" customWidth="1"/>
    <col min="13828" max="13828" width="8.28515625" style="16" customWidth="1"/>
    <col min="13829" max="13829" width="8.5703125" style="16" bestFit="1" customWidth="1"/>
    <col min="13830" max="13830" width="8" style="16" customWidth="1"/>
    <col min="13831" max="13831" width="8.42578125" style="16" bestFit="1" customWidth="1"/>
    <col min="13832" max="13838" width="8" style="16" customWidth="1"/>
    <col min="13839" max="13839" width="7.140625" style="16" bestFit="1" customWidth="1"/>
    <col min="13840" max="13844" width="9.140625" style="16"/>
    <col min="13845" max="13845" width="12.42578125" style="16" customWidth="1"/>
    <col min="13846" max="13846" width="9.140625" style="16"/>
    <col min="13847" max="13847" width="12" style="16" customWidth="1"/>
    <col min="13848" max="14080" width="9.140625" style="16"/>
    <col min="14081" max="14081" width="5" style="16" customWidth="1"/>
    <col min="14082" max="14082" width="18.7109375" style="16" customWidth="1"/>
    <col min="14083" max="14083" width="8.42578125" style="16" customWidth="1"/>
    <col min="14084" max="14084" width="8.28515625" style="16" customWidth="1"/>
    <col min="14085" max="14085" width="8.5703125" style="16" bestFit="1" customWidth="1"/>
    <col min="14086" max="14086" width="8" style="16" customWidth="1"/>
    <col min="14087" max="14087" width="8.42578125" style="16" bestFit="1" customWidth="1"/>
    <col min="14088" max="14094" width="8" style="16" customWidth="1"/>
    <col min="14095" max="14095" width="7.140625" style="16" bestFit="1" customWidth="1"/>
    <col min="14096" max="14100" width="9.140625" style="16"/>
    <col min="14101" max="14101" width="12.42578125" style="16" customWidth="1"/>
    <col min="14102" max="14102" width="9.140625" style="16"/>
    <col min="14103" max="14103" width="12" style="16" customWidth="1"/>
    <col min="14104" max="14336" width="9.140625" style="16"/>
    <col min="14337" max="14337" width="5" style="16" customWidth="1"/>
    <col min="14338" max="14338" width="18.7109375" style="16" customWidth="1"/>
    <col min="14339" max="14339" width="8.42578125" style="16" customWidth="1"/>
    <col min="14340" max="14340" width="8.28515625" style="16" customWidth="1"/>
    <col min="14341" max="14341" width="8.5703125" style="16" bestFit="1" customWidth="1"/>
    <col min="14342" max="14342" width="8" style="16" customWidth="1"/>
    <col min="14343" max="14343" width="8.42578125" style="16" bestFit="1" customWidth="1"/>
    <col min="14344" max="14350" width="8" style="16" customWidth="1"/>
    <col min="14351" max="14351" width="7.140625" style="16" bestFit="1" customWidth="1"/>
    <col min="14352" max="14356" width="9.140625" style="16"/>
    <col min="14357" max="14357" width="12.42578125" style="16" customWidth="1"/>
    <col min="14358" max="14358" width="9.140625" style="16"/>
    <col min="14359" max="14359" width="12" style="16" customWidth="1"/>
    <col min="14360" max="14592" width="9.140625" style="16"/>
    <col min="14593" max="14593" width="5" style="16" customWidth="1"/>
    <col min="14594" max="14594" width="18.7109375" style="16" customWidth="1"/>
    <col min="14595" max="14595" width="8.42578125" style="16" customWidth="1"/>
    <col min="14596" max="14596" width="8.28515625" style="16" customWidth="1"/>
    <col min="14597" max="14597" width="8.5703125" style="16" bestFit="1" customWidth="1"/>
    <col min="14598" max="14598" width="8" style="16" customWidth="1"/>
    <col min="14599" max="14599" width="8.42578125" style="16" bestFit="1" customWidth="1"/>
    <col min="14600" max="14606" width="8" style="16" customWidth="1"/>
    <col min="14607" max="14607" width="7.140625" style="16" bestFit="1" customWidth="1"/>
    <col min="14608" max="14612" width="9.140625" style="16"/>
    <col min="14613" max="14613" width="12.42578125" style="16" customWidth="1"/>
    <col min="14614" max="14614" width="9.140625" style="16"/>
    <col min="14615" max="14615" width="12" style="16" customWidth="1"/>
    <col min="14616" max="14848" width="9.140625" style="16"/>
    <col min="14849" max="14849" width="5" style="16" customWidth="1"/>
    <col min="14850" max="14850" width="18.7109375" style="16" customWidth="1"/>
    <col min="14851" max="14851" width="8.42578125" style="16" customWidth="1"/>
    <col min="14852" max="14852" width="8.28515625" style="16" customWidth="1"/>
    <col min="14853" max="14853" width="8.5703125" style="16" bestFit="1" customWidth="1"/>
    <col min="14854" max="14854" width="8" style="16" customWidth="1"/>
    <col min="14855" max="14855" width="8.42578125" style="16" bestFit="1" customWidth="1"/>
    <col min="14856" max="14862" width="8" style="16" customWidth="1"/>
    <col min="14863" max="14863" width="7.140625" style="16" bestFit="1" customWidth="1"/>
    <col min="14864" max="14868" width="9.140625" style="16"/>
    <col min="14869" max="14869" width="12.42578125" style="16" customWidth="1"/>
    <col min="14870" max="14870" width="9.140625" style="16"/>
    <col min="14871" max="14871" width="12" style="16" customWidth="1"/>
    <col min="14872" max="15104" width="9.140625" style="16"/>
    <col min="15105" max="15105" width="5" style="16" customWidth="1"/>
    <col min="15106" max="15106" width="18.7109375" style="16" customWidth="1"/>
    <col min="15107" max="15107" width="8.42578125" style="16" customWidth="1"/>
    <col min="15108" max="15108" width="8.28515625" style="16" customWidth="1"/>
    <col min="15109" max="15109" width="8.5703125" style="16" bestFit="1" customWidth="1"/>
    <col min="15110" max="15110" width="8" style="16" customWidth="1"/>
    <col min="15111" max="15111" width="8.42578125" style="16" bestFit="1" customWidth="1"/>
    <col min="15112" max="15118" width="8" style="16" customWidth="1"/>
    <col min="15119" max="15119" width="7.140625" style="16" bestFit="1" customWidth="1"/>
    <col min="15120" max="15124" width="9.140625" style="16"/>
    <col min="15125" max="15125" width="12.42578125" style="16" customWidth="1"/>
    <col min="15126" max="15126" width="9.140625" style="16"/>
    <col min="15127" max="15127" width="12" style="16" customWidth="1"/>
    <col min="15128" max="15360" width="9.140625" style="16"/>
    <col min="15361" max="15361" width="5" style="16" customWidth="1"/>
    <col min="15362" max="15362" width="18.7109375" style="16" customWidth="1"/>
    <col min="15363" max="15363" width="8.42578125" style="16" customWidth="1"/>
    <col min="15364" max="15364" width="8.28515625" style="16" customWidth="1"/>
    <col min="15365" max="15365" width="8.5703125" style="16" bestFit="1" customWidth="1"/>
    <col min="15366" max="15366" width="8" style="16" customWidth="1"/>
    <col min="15367" max="15367" width="8.42578125" style="16" bestFit="1" customWidth="1"/>
    <col min="15368" max="15374" width="8" style="16" customWidth="1"/>
    <col min="15375" max="15375" width="7.140625" style="16" bestFit="1" customWidth="1"/>
    <col min="15376" max="15380" width="9.140625" style="16"/>
    <col min="15381" max="15381" width="12.42578125" style="16" customWidth="1"/>
    <col min="15382" max="15382" width="9.140625" style="16"/>
    <col min="15383" max="15383" width="12" style="16" customWidth="1"/>
    <col min="15384" max="15616" width="9.140625" style="16"/>
    <col min="15617" max="15617" width="5" style="16" customWidth="1"/>
    <col min="15618" max="15618" width="18.7109375" style="16" customWidth="1"/>
    <col min="15619" max="15619" width="8.42578125" style="16" customWidth="1"/>
    <col min="15620" max="15620" width="8.28515625" style="16" customWidth="1"/>
    <col min="15621" max="15621" width="8.5703125" style="16" bestFit="1" customWidth="1"/>
    <col min="15622" max="15622" width="8" style="16" customWidth="1"/>
    <col min="15623" max="15623" width="8.42578125" style="16" bestFit="1" customWidth="1"/>
    <col min="15624" max="15630" width="8" style="16" customWidth="1"/>
    <col min="15631" max="15631" width="7.140625" style="16" bestFit="1" customWidth="1"/>
    <col min="15632" max="15636" width="9.140625" style="16"/>
    <col min="15637" max="15637" width="12.42578125" style="16" customWidth="1"/>
    <col min="15638" max="15638" width="9.140625" style="16"/>
    <col min="15639" max="15639" width="12" style="16" customWidth="1"/>
    <col min="15640" max="15872" width="9.140625" style="16"/>
    <col min="15873" max="15873" width="5" style="16" customWidth="1"/>
    <col min="15874" max="15874" width="18.7109375" style="16" customWidth="1"/>
    <col min="15875" max="15875" width="8.42578125" style="16" customWidth="1"/>
    <col min="15876" max="15876" width="8.28515625" style="16" customWidth="1"/>
    <col min="15877" max="15877" width="8.5703125" style="16" bestFit="1" customWidth="1"/>
    <col min="15878" max="15878" width="8" style="16" customWidth="1"/>
    <col min="15879" max="15879" width="8.42578125" style="16" bestFit="1" customWidth="1"/>
    <col min="15880" max="15886" width="8" style="16" customWidth="1"/>
    <col min="15887" max="15887" width="7.140625" style="16" bestFit="1" customWidth="1"/>
    <col min="15888" max="15892" width="9.140625" style="16"/>
    <col min="15893" max="15893" width="12.42578125" style="16" customWidth="1"/>
    <col min="15894" max="15894" width="9.140625" style="16"/>
    <col min="15895" max="15895" width="12" style="16" customWidth="1"/>
    <col min="15896" max="16128" width="9.140625" style="16"/>
    <col min="16129" max="16129" width="5" style="16" customWidth="1"/>
    <col min="16130" max="16130" width="18.7109375" style="16" customWidth="1"/>
    <col min="16131" max="16131" width="8.42578125" style="16" customWidth="1"/>
    <col min="16132" max="16132" width="8.28515625" style="16" customWidth="1"/>
    <col min="16133" max="16133" width="8.5703125" style="16" bestFit="1" customWidth="1"/>
    <col min="16134" max="16134" width="8" style="16" customWidth="1"/>
    <col min="16135" max="16135" width="8.42578125" style="16" bestFit="1" customWidth="1"/>
    <col min="16136" max="16142" width="8" style="16" customWidth="1"/>
    <col min="16143" max="16143" width="7.140625" style="16" bestFit="1" customWidth="1"/>
    <col min="16144" max="16148" width="9.140625" style="16"/>
    <col min="16149" max="16149" width="12.42578125" style="16" customWidth="1"/>
    <col min="16150" max="16150" width="9.140625" style="16"/>
    <col min="16151" max="16151" width="12" style="16" customWidth="1"/>
    <col min="16152" max="16384" width="9.140625" style="16"/>
  </cols>
  <sheetData>
    <row r="1" spans="1:17" s="1" customFormat="1" x14ac:dyDescent="0.2">
      <c r="A1" s="867" t="s">
        <v>449</v>
      </c>
      <c r="B1" s="868"/>
      <c r="C1" s="868"/>
      <c r="D1" s="869"/>
      <c r="E1" s="868"/>
      <c r="F1" s="868"/>
      <c r="G1" s="867" t="s">
        <v>102</v>
      </c>
      <c r="H1" s="869"/>
      <c r="I1" s="869" t="s">
        <v>761</v>
      </c>
      <c r="J1" s="868"/>
      <c r="K1" s="868"/>
      <c r="L1" s="870"/>
      <c r="M1" s="870"/>
      <c r="N1" s="870"/>
      <c r="O1" s="870"/>
    </row>
    <row r="2" spans="1:17" s="1" customFormat="1" x14ac:dyDescent="0.2">
      <c r="A2" s="867" t="s">
        <v>103</v>
      </c>
      <c r="B2" s="868"/>
      <c r="C2" s="868"/>
      <c r="D2" s="869" t="s">
        <v>860</v>
      </c>
      <c r="E2" s="868"/>
      <c r="F2" s="868"/>
      <c r="G2" s="867" t="s">
        <v>104</v>
      </c>
      <c r="H2" s="869"/>
      <c r="I2" s="869" t="s">
        <v>105</v>
      </c>
      <c r="J2" s="868"/>
      <c r="K2" s="868"/>
      <c r="L2" s="870"/>
      <c r="M2" s="870"/>
      <c r="N2" s="870"/>
      <c r="O2" s="870"/>
    </row>
    <row r="3" spans="1:17" s="1" customFormat="1" x14ac:dyDescent="0.2">
      <c r="A3" s="1109" t="s">
        <v>861</v>
      </c>
      <c r="B3" s="1110"/>
      <c r="C3" s="1110"/>
      <c r="D3" s="883" t="s">
        <v>862</v>
      </c>
      <c r="E3" s="868"/>
      <c r="F3" s="868"/>
      <c r="G3" s="867" t="s">
        <v>107</v>
      </c>
      <c r="H3" s="869"/>
      <c r="I3" s="869" t="s">
        <v>108</v>
      </c>
      <c r="J3" s="868"/>
      <c r="K3" s="868"/>
      <c r="L3" s="870"/>
      <c r="M3" s="870"/>
      <c r="N3" s="870"/>
      <c r="O3" s="870"/>
    </row>
    <row r="4" spans="1:17" s="1" customFormat="1" x14ac:dyDescent="0.2">
      <c r="A4" s="867" t="s">
        <v>476</v>
      </c>
      <c r="B4" s="868"/>
      <c r="C4" s="868"/>
      <c r="D4" s="869" t="s">
        <v>863</v>
      </c>
      <c r="E4" s="868"/>
      <c r="F4" s="868"/>
      <c r="G4" s="867" t="s">
        <v>110</v>
      </c>
      <c r="H4" s="869"/>
      <c r="I4" s="869" t="s">
        <v>111</v>
      </c>
      <c r="J4" s="868"/>
      <c r="K4" s="868"/>
      <c r="L4" s="870"/>
      <c r="M4" s="870"/>
      <c r="N4" s="870"/>
      <c r="O4" s="870"/>
    </row>
    <row r="5" spans="1:17" s="1" customFormat="1" x14ac:dyDescent="0.2">
      <c r="A5" s="867" t="s">
        <v>112</v>
      </c>
      <c r="B5" s="868"/>
      <c r="C5" s="868"/>
      <c r="D5" s="869"/>
      <c r="E5" s="868"/>
      <c r="F5" s="868"/>
      <c r="G5" s="867"/>
      <c r="H5" s="868"/>
      <c r="I5" s="869" t="s">
        <v>113</v>
      </c>
      <c r="J5" s="868"/>
      <c r="K5" s="868"/>
      <c r="L5" s="870"/>
      <c r="M5" s="870"/>
      <c r="N5" s="870"/>
      <c r="O5" s="870"/>
    </row>
    <row r="6" spans="1:17" s="1" customFormat="1" x14ac:dyDescent="0.2">
      <c r="A6" s="871" t="s">
        <v>114</v>
      </c>
      <c r="B6" s="872"/>
      <c r="C6" s="872"/>
      <c r="D6" s="868" t="s">
        <v>762</v>
      </c>
      <c r="E6" s="868"/>
      <c r="F6" s="868"/>
      <c r="G6" s="871" t="s">
        <v>115</v>
      </c>
      <c r="H6" s="871"/>
      <c r="I6" s="2" t="s">
        <v>116</v>
      </c>
      <c r="J6" s="888"/>
      <c r="K6" s="888"/>
      <c r="L6" s="888"/>
      <c r="M6" s="888"/>
      <c r="N6" s="888"/>
      <c r="O6" s="889"/>
    </row>
    <row r="7" spans="1:17" s="1" customFormat="1" ht="13.5" thickBot="1" x14ac:dyDescent="0.25">
      <c r="A7" s="3"/>
      <c r="B7" s="4"/>
      <c r="C7" s="5"/>
      <c r="D7" s="6"/>
      <c r="E7" s="6"/>
      <c r="F7" s="6"/>
      <c r="G7" s="6"/>
      <c r="H7" s="6"/>
      <c r="I7" s="6"/>
      <c r="J7" s="7"/>
      <c r="K7" s="8"/>
      <c r="L7" s="875" t="s">
        <v>223</v>
      </c>
      <c r="M7" s="875"/>
      <c r="N7" s="875"/>
      <c r="O7" s="875"/>
    </row>
    <row r="8" spans="1:17" s="11" customFormat="1" x14ac:dyDescent="0.2">
      <c r="A8" s="876" t="str">
        <f>I1</f>
        <v>Mr. Anil Netam</v>
      </c>
      <c r="B8" s="877"/>
      <c r="C8" s="332">
        <v>43160</v>
      </c>
      <c r="D8" s="332">
        <v>43191</v>
      </c>
      <c r="E8" s="332">
        <v>43221</v>
      </c>
      <c r="F8" s="332">
        <v>43252</v>
      </c>
      <c r="G8" s="332">
        <v>43282</v>
      </c>
      <c r="H8" s="332">
        <v>43313</v>
      </c>
      <c r="I8" s="332">
        <v>43344</v>
      </c>
      <c r="J8" s="332">
        <v>43374</v>
      </c>
      <c r="K8" s="332">
        <v>43405</v>
      </c>
      <c r="L8" s="332">
        <v>43435</v>
      </c>
      <c r="M8" s="332">
        <v>43466</v>
      </c>
      <c r="N8" s="332">
        <v>43497</v>
      </c>
      <c r="O8" s="10" t="s">
        <v>117</v>
      </c>
      <c r="Q8" s="11" t="s">
        <v>116</v>
      </c>
    </row>
    <row r="9" spans="1:17" ht="15" x14ac:dyDescent="0.2">
      <c r="A9" s="12"/>
      <c r="B9" s="13" t="s">
        <v>118</v>
      </c>
      <c r="C9" s="14">
        <v>45400</v>
      </c>
      <c r="D9" s="14">
        <v>45400</v>
      </c>
      <c r="E9" s="14">
        <v>45400</v>
      </c>
      <c r="F9" s="14">
        <v>45400</v>
      </c>
      <c r="G9" s="14">
        <v>46800</v>
      </c>
      <c r="H9" s="14">
        <v>46800</v>
      </c>
      <c r="I9" s="14">
        <v>46800</v>
      </c>
      <c r="J9" s="14">
        <v>46800</v>
      </c>
      <c r="K9" s="14">
        <v>0</v>
      </c>
      <c r="L9" s="14">
        <v>0</v>
      </c>
      <c r="M9" s="14">
        <v>0</v>
      </c>
      <c r="N9" s="14">
        <v>0</v>
      </c>
      <c r="O9" s="15">
        <f>SUM(C9:N9)</f>
        <v>368800</v>
      </c>
      <c r="Q9" s="16" t="s">
        <v>222</v>
      </c>
    </row>
    <row r="10" spans="1:17"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7" ht="15" x14ac:dyDescent="0.2">
      <c r="A11" s="12"/>
      <c r="B11" s="13" t="s">
        <v>120</v>
      </c>
      <c r="C11" s="17">
        <v>2270</v>
      </c>
      <c r="D11" s="17">
        <v>3178</v>
      </c>
      <c r="E11" s="17">
        <v>3178</v>
      </c>
      <c r="F11" s="17">
        <v>3178</v>
      </c>
      <c r="G11" s="17">
        <v>3276</v>
      </c>
      <c r="H11" s="17">
        <v>3276</v>
      </c>
      <c r="I11" s="17">
        <v>3276</v>
      </c>
      <c r="J11" s="17">
        <v>4212</v>
      </c>
      <c r="K11" s="17">
        <v>0</v>
      </c>
      <c r="L11" s="17">
        <v>0</v>
      </c>
      <c r="M11" s="17">
        <v>0</v>
      </c>
      <c r="N11" s="17">
        <v>0</v>
      </c>
      <c r="O11" s="18">
        <f>SUM(C11:N11)</f>
        <v>25844</v>
      </c>
    </row>
    <row r="12" spans="1:17" ht="15" x14ac:dyDescent="0.2">
      <c r="A12" s="12"/>
      <c r="B12" s="13" t="s">
        <v>124</v>
      </c>
      <c r="C12" s="17">
        <v>0</v>
      </c>
      <c r="D12" s="17">
        <v>0</v>
      </c>
      <c r="E12" s="17">
        <v>0</v>
      </c>
      <c r="F12" s="17">
        <v>0</v>
      </c>
      <c r="G12" s="17">
        <v>0</v>
      </c>
      <c r="H12" s="17">
        <v>0</v>
      </c>
      <c r="I12" s="17">
        <v>0</v>
      </c>
      <c r="J12" s="17">
        <v>0</v>
      </c>
      <c r="K12" s="17">
        <v>0</v>
      </c>
      <c r="L12" s="17">
        <v>0</v>
      </c>
      <c r="M12" s="17">
        <v>0</v>
      </c>
      <c r="N12" s="17">
        <v>0</v>
      </c>
      <c r="O12" s="18">
        <f>SUM(C12:N12)</f>
        <v>0</v>
      </c>
      <c r="P12" s="170"/>
    </row>
    <row r="13" spans="1:17"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7" ht="15" x14ac:dyDescent="0.2">
      <c r="A14" s="12"/>
      <c r="B14" s="13" t="s">
        <v>123</v>
      </c>
      <c r="C14" s="17">
        <v>3780</v>
      </c>
      <c r="D14" s="17">
        <v>3852</v>
      </c>
      <c r="E14" s="17">
        <v>3852</v>
      </c>
      <c r="F14" s="17">
        <v>3852</v>
      </c>
      <c r="G14" s="17">
        <v>3852</v>
      </c>
      <c r="H14" s="17">
        <v>3852</v>
      </c>
      <c r="I14" s="17">
        <v>3852</v>
      </c>
      <c r="J14" s="17">
        <v>3924</v>
      </c>
      <c r="K14" s="17">
        <v>0</v>
      </c>
      <c r="L14" s="17">
        <v>0</v>
      </c>
      <c r="M14" s="17">
        <v>0</v>
      </c>
      <c r="N14" s="17">
        <v>0</v>
      </c>
      <c r="O14" s="18">
        <f t="shared" si="0"/>
        <v>30816</v>
      </c>
    </row>
    <row r="15" spans="1:17"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7" ht="15" hidden="1" x14ac:dyDescent="0.2">
      <c r="A16" s="12"/>
      <c r="B16" s="13" t="s">
        <v>405</v>
      </c>
      <c r="C16" s="17">
        <v>0</v>
      </c>
      <c r="D16" s="17">
        <v>0</v>
      </c>
      <c r="E16" s="17">
        <v>0</v>
      </c>
      <c r="F16" s="17">
        <v>0</v>
      </c>
      <c r="G16" s="17">
        <v>0</v>
      </c>
      <c r="H16" s="17">
        <v>0</v>
      </c>
      <c r="I16" s="17">
        <v>0</v>
      </c>
      <c r="J16" s="17">
        <v>0</v>
      </c>
      <c r="K16" s="17">
        <v>0</v>
      </c>
      <c r="L16" s="17">
        <v>0</v>
      </c>
      <c r="M16" s="17">
        <v>0</v>
      </c>
      <c r="N16" s="17">
        <v>0</v>
      </c>
      <c r="O16" s="18">
        <f t="shared" si="0"/>
        <v>0</v>
      </c>
    </row>
    <row r="17" spans="1:15" ht="17.25" customHeight="1" x14ac:dyDescent="0.2">
      <c r="A17" s="12"/>
      <c r="B17" s="13" t="s">
        <v>458</v>
      </c>
      <c r="C17" s="17">
        <v>0</v>
      </c>
      <c r="D17" s="17">
        <v>0</v>
      </c>
      <c r="E17" s="17">
        <v>0</v>
      </c>
      <c r="F17" s="17">
        <v>0</v>
      </c>
      <c r="G17" s="17">
        <v>0</v>
      </c>
      <c r="H17" s="17">
        <v>0</v>
      </c>
      <c r="I17" s="17">
        <v>0</v>
      </c>
      <c r="J17" s="17">
        <v>0</v>
      </c>
      <c r="K17" s="17">
        <v>0</v>
      </c>
      <c r="L17" s="17">
        <v>0</v>
      </c>
      <c r="M17" s="17">
        <v>0</v>
      </c>
      <c r="N17" s="17">
        <v>0</v>
      </c>
      <c r="O17" s="18">
        <f t="shared" si="0"/>
        <v>0</v>
      </c>
    </row>
    <row r="18" spans="1:15" ht="15" hidden="1" x14ac:dyDescent="0.2">
      <c r="A18" s="12"/>
      <c r="B18" s="13" t="s">
        <v>609</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10896</v>
      </c>
      <c r="D19" s="17">
        <v>10896</v>
      </c>
      <c r="E19" s="17">
        <v>10896</v>
      </c>
      <c r="F19" s="17">
        <v>10896</v>
      </c>
      <c r="G19" s="17">
        <v>11232</v>
      </c>
      <c r="H19" s="17">
        <v>11232</v>
      </c>
      <c r="I19" s="17">
        <v>11232</v>
      </c>
      <c r="J19" s="17">
        <v>11232</v>
      </c>
      <c r="K19" s="17">
        <v>0</v>
      </c>
      <c r="L19" s="17">
        <v>0</v>
      </c>
      <c r="M19" s="17">
        <v>0</v>
      </c>
      <c r="N19" s="17">
        <v>0</v>
      </c>
      <c r="O19" s="18">
        <f t="shared" si="0"/>
        <v>88512</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78"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79"/>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5" ht="15" hidden="1" customHeight="1" x14ac:dyDescent="0.2">
      <c r="A23" s="879"/>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79"/>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79"/>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79"/>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79"/>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79"/>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79"/>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79"/>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79"/>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79"/>
      <c r="B32" s="21" t="s">
        <v>142</v>
      </c>
      <c r="C32" s="17">
        <v>0</v>
      </c>
      <c r="D32" s="17">
        <v>0</v>
      </c>
      <c r="E32" s="17">
        <v>0</v>
      </c>
      <c r="F32" s="17">
        <v>0</v>
      </c>
      <c r="G32" s="17">
        <v>0</v>
      </c>
      <c r="H32" s="17">
        <v>0</v>
      </c>
      <c r="I32" s="17">
        <v>0</v>
      </c>
      <c r="J32" s="17">
        <v>0</v>
      </c>
      <c r="K32" s="17">
        <v>0</v>
      </c>
      <c r="L32" s="17">
        <v>0</v>
      </c>
      <c r="M32" s="17">
        <v>0</v>
      </c>
      <c r="N32" s="17">
        <v>0</v>
      </c>
      <c r="O32" s="18">
        <f t="shared" si="0"/>
        <v>0</v>
      </c>
    </row>
    <row r="33" spans="1:17" ht="15" hidden="1" customHeight="1" x14ac:dyDescent="0.2">
      <c r="A33" s="880"/>
      <c r="B33" s="19" t="s">
        <v>226</v>
      </c>
      <c r="C33" s="17">
        <v>0</v>
      </c>
      <c r="D33" s="17">
        <v>0</v>
      </c>
      <c r="E33" s="17">
        <v>0</v>
      </c>
      <c r="F33" s="17">
        <v>0</v>
      </c>
      <c r="G33" s="17">
        <v>0</v>
      </c>
      <c r="H33" s="17">
        <v>0</v>
      </c>
      <c r="I33" s="17">
        <v>0</v>
      </c>
      <c r="J33" s="17">
        <v>0</v>
      </c>
      <c r="K33" s="17">
        <v>0</v>
      </c>
      <c r="L33" s="17">
        <v>0</v>
      </c>
      <c r="M33" s="17">
        <v>0</v>
      </c>
      <c r="N33" s="17">
        <v>0</v>
      </c>
      <c r="O33" s="18">
        <f t="shared" si="0"/>
        <v>0</v>
      </c>
    </row>
    <row r="34" spans="1:17" ht="15" customHeight="1" x14ac:dyDescent="0.2">
      <c r="A34" s="219"/>
      <c r="B34" s="220" t="s">
        <v>143</v>
      </c>
      <c r="C34" s="17">
        <v>0</v>
      </c>
      <c r="D34" s="17">
        <v>0</v>
      </c>
      <c r="E34" s="17">
        <v>0</v>
      </c>
      <c r="F34" s="17">
        <v>0</v>
      </c>
      <c r="G34" s="17">
        <v>0</v>
      </c>
      <c r="H34" s="17">
        <v>1938</v>
      </c>
      <c r="I34" s="17">
        <v>0</v>
      </c>
      <c r="J34" s="17">
        <v>0</v>
      </c>
      <c r="K34" s="17">
        <v>0</v>
      </c>
      <c r="L34" s="17">
        <v>0</v>
      </c>
      <c r="M34" s="17">
        <v>0</v>
      </c>
      <c r="N34" s="17">
        <v>0</v>
      </c>
      <c r="O34" s="18">
        <f t="shared" si="0"/>
        <v>1938</v>
      </c>
    </row>
    <row r="35" spans="1:17" ht="15" customHeight="1" x14ac:dyDescent="0.2">
      <c r="A35" s="865" t="s">
        <v>145</v>
      </c>
      <c r="B35" s="866"/>
      <c r="C35" s="17">
        <v>0</v>
      </c>
      <c r="D35" s="17">
        <v>216</v>
      </c>
      <c r="E35" s="17">
        <v>0</v>
      </c>
      <c r="F35" s="17">
        <v>0</v>
      </c>
      <c r="G35" s="17">
        <v>0</v>
      </c>
      <c r="H35" s="17">
        <v>0</v>
      </c>
      <c r="I35" s="17">
        <v>0</v>
      </c>
      <c r="J35" s="17">
        <v>216</v>
      </c>
      <c r="K35" s="17">
        <v>0</v>
      </c>
      <c r="L35" s="17">
        <v>0</v>
      </c>
      <c r="M35" s="17">
        <v>0</v>
      </c>
      <c r="N35" s="17">
        <v>0</v>
      </c>
      <c r="O35" s="18">
        <f t="shared" si="0"/>
        <v>432</v>
      </c>
    </row>
    <row r="36" spans="1:17" ht="15" customHeight="1" x14ac:dyDescent="0.2">
      <c r="A36" s="865" t="s">
        <v>146</v>
      </c>
      <c r="B36" s="866"/>
      <c r="C36" s="17">
        <v>0</v>
      </c>
      <c r="D36" s="17">
        <v>2724</v>
      </c>
      <c r="E36" s="17">
        <v>0</v>
      </c>
      <c r="F36" s="17">
        <v>0</v>
      </c>
      <c r="G36" s="17">
        <v>0</v>
      </c>
      <c r="H36" s="17">
        <v>0</v>
      </c>
      <c r="I36" s="17">
        <v>0</v>
      </c>
      <c r="J36" s="17">
        <v>2808</v>
      </c>
      <c r="K36" s="17">
        <v>0</v>
      </c>
      <c r="L36" s="17">
        <v>0</v>
      </c>
      <c r="M36" s="17">
        <v>0</v>
      </c>
      <c r="N36" s="17">
        <v>0</v>
      </c>
      <c r="O36" s="18">
        <f t="shared" si="0"/>
        <v>5532</v>
      </c>
    </row>
    <row r="37" spans="1:17" ht="15" customHeight="1" x14ac:dyDescent="0.2">
      <c r="A37" s="22"/>
      <c r="B37" s="23" t="s">
        <v>147</v>
      </c>
      <c r="C37" s="24">
        <f t="shared" ref="C37:N37" si="1">SUM(C9:C36)</f>
        <v>62346</v>
      </c>
      <c r="D37" s="24">
        <f t="shared" si="1"/>
        <v>66266</v>
      </c>
      <c r="E37" s="24">
        <f t="shared" si="1"/>
        <v>63326</v>
      </c>
      <c r="F37" s="24">
        <f t="shared" si="1"/>
        <v>63326</v>
      </c>
      <c r="G37" s="24">
        <f t="shared" si="1"/>
        <v>65160</v>
      </c>
      <c r="H37" s="24">
        <f t="shared" si="1"/>
        <v>67098</v>
      </c>
      <c r="I37" s="24">
        <f t="shared" si="1"/>
        <v>65160</v>
      </c>
      <c r="J37" s="24">
        <f t="shared" si="1"/>
        <v>76100</v>
      </c>
      <c r="K37" s="24">
        <f t="shared" si="1"/>
        <v>0</v>
      </c>
      <c r="L37" s="24">
        <f t="shared" si="1"/>
        <v>0</v>
      </c>
      <c r="M37" s="24">
        <f t="shared" si="1"/>
        <v>0</v>
      </c>
      <c r="N37" s="24">
        <f t="shared" si="1"/>
        <v>0</v>
      </c>
      <c r="O37" s="25">
        <f t="shared" ref="O37:O50" si="2">SUM(C37:N37)</f>
        <v>528782</v>
      </c>
    </row>
    <row r="38" spans="1:17" ht="15" customHeight="1" x14ac:dyDescent="0.2">
      <c r="A38" s="853" t="s">
        <v>148</v>
      </c>
      <c r="B38" s="27" t="s">
        <v>149</v>
      </c>
      <c r="C38" s="147">
        <v>2200</v>
      </c>
      <c r="D38" s="147">
        <v>3000</v>
      </c>
      <c r="E38" s="147">
        <v>2000</v>
      </c>
      <c r="F38" s="147">
        <v>2000</v>
      </c>
      <c r="G38" s="147">
        <v>2000</v>
      </c>
      <c r="H38" s="147">
        <v>2000</v>
      </c>
      <c r="I38" s="147">
        <v>2000</v>
      </c>
      <c r="J38" s="147">
        <v>2000</v>
      </c>
      <c r="K38" s="147">
        <v>0</v>
      </c>
      <c r="L38" s="147">
        <v>0</v>
      </c>
      <c r="M38" s="147">
        <v>0</v>
      </c>
      <c r="N38" s="147">
        <v>0</v>
      </c>
      <c r="O38" s="18">
        <f t="shared" si="2"/>
        <v>17200</v>
      </c>
      <c r="P38" s="29"/>
    </row>
    <row r="39" spans="1:17" ht="15" customHeight="1" x14ac:dyDescent="0.2">
      <c r="A39" s="854"/>
      <c r="B39" s="27" t="s">
        <v>150</v>
      </c>
      <c r="C39" s="147">
        <v>0</v>
      </c>
      <c r="D39" s="147">
        <v>0</v>
      </c>
      <c r="E39" s="147">
        <v>0</v>
      </c>
      <c r="F39" s="147">
        <v>0</v>
      </c>
      <c r="G39" s="147">
        <v>0</v>
      </c>
      <c r="H39" s="147">
        <v>0</v>
      </c>
      <c r="I39" s="147">
        <v>0</v>
      </c>
      <c r="J39" s="147">
        <v>0</v>
      </c>
      <c r="K39" s="147">
        <v>0</v>
      </c>
      <c r="L39" s="147">
        <v>0</v>
      </c>
      <c r="M39" s="147">
        <v>0</v>
      </c>
      <c r="N39" s="147">
        <v>0</v>
      </c>
      <c r="O39" s="18">
        <f t="shared" si="2"/>
        <v>0</v>
      </c>
      <c r="Q39" s="16">
        <f>+Q37+Q38</f>
        <v>0</v>
      </c>
    </row>
    <row r="40" spans="1:17" ht="15" x14ac:dyDescent="0.2">
      <c r="A40" s="854"/>
      <c r="B40" s="27" t="s">
        <v>151</v>
      </c>
      <c r="C40" s="147">
        <v>30</v>
      </c>
      <c r="D40" s="147">
        <v>30</v>
      </c>
      <c r="E40" s="147">
        <v>30</v>
      </c>
      <c r="F40" s="147">
        <v>30</v>
      </c>
      <c r="G40" s="147">
        <v>30</v>
      </c>
      <c r="H40" s="147">
        <v>30</v>
      </c>
      <c r="I40" s="147">
        <v>30</v>
      </c>
      <c r="J40" s="147">
        <v>30</v>
      </c>
      <c r="K40" s="147">
        <v>0</v>
      </c>
      <c r="L40" s="147">
        <v>0</v>
      </c>
      <c r="M40" s="147">
        <v>0</v>
      </c>
      <c r="N40" s="147">
        <v>0</v>
      </c>
      <c r="O40" s="18">
        <f t="shared" si="2"/>
        <v>240</v>
      </c>
    </row>
    <row r="41" spans="1:17" ht="15" x14ac:dyDescent="0.2">
      <c r="A41" s="854"/>
      <c r="B41" s="27" t="s">
        <v>152</v>
      </c>
      <c r="C41" s="147">
        <v>0</v>
      </c>
      <c r="D41" s="147">
        <v>0</v>
      </c>
      <c r="E41" s="147">
        <v>0</v>
      </c>
      <c r="F41" s="147">
        <v>0</v>
      </c>
      <c r="G41" s="147">
        <v>0</v>
      </c>
      <c r="H41" s="147">
        <v>0</v>
      </c>
      <c r="I41" s="147">
        <v>0</v>
      </c>
      <c r="J41" s="147">
        <v>0</v>
      </c>
      <c r="K41" s="147">
        <v>0</v>
      </c>
      <c r="L41" s="147">
        <v>0</v>
      </c>
      <c r="M41" s="147">
        <v>0</v>
      </c>
      <c r="N41" s="147">
        <v>0</v>
      </c>
      <c r="O41" s="18">
        <f t="shared" si="2"/>
        <v>0</v>
      </c>
    </row>
    <row r="42" spans="1:17" ht="15" x14ac:dyDescent="0.2">
      <c r="A42" s="854"/>
      <c r="B42" s="27" t="s">
        <v>153</v>
      </c>
      <c r="C42" s="147">
        <v>0</v>
      </c>
      <c r="D42" s="147">
        <v>0</v>
      </c>
      <c r="E42" s="147">
        <v>0</v>
      </c>
      <c r="F42" s="147">
        <v>0</v>
      </c>
      <c r="G42" s="147">
        <v>0</v>
      </c>
      <c r="H42" s="147">
        <v>0</v>
      </c>
      <c r="I42" s="147">
        <v>0</v>
      </c>
      <c r="J42" s="147">
        <v>0</v>
      </c>
      <c r="K42" s="147">
        <v>0</v>
      </c>
      <c r="L42" s="147">
        <v>0</v>
      </c>
      <c r="M42" s="147">
        <v>0</v>
      </c>
      <c r="N42" s="147">
        <v>0</v>
      </c>
      <c r="O42" s="18">
        <f t="shared" si="2"/>
        <v>0</v>
      </c>
    </row>
    <row r="43" spans="1:17" ht="15" x14ac:dyDescent="0.2">
      <c r="A43" s="854"/>
      <c r="B43" s="27" t="s">
        <v>154</v>
      </c>
      <c r="C43" s="147">
        <v>20000</v>
      </c>
      <c r="D43" s="147">
        <v>20000</v>
      </c>
      <c r="E43" s="147">
        <v>20000</v>
      </c>
      <c r="F43" s="147">
        <v>20000</v>
      </c>
      <c r="G43" s="147">
        <v>20000</v>
      </c>
      <c r="H43" s="147">
        <v>0</v>
      </c>
      <c r="I43" s="147">
        <v>0</v>
      </c>
      <c r="J43" s="147">
        <v>0</v>
      </c>
      <c r="K43" s="147">
        <v>0</v>
      </c>
      <c r="L43" s="147">
        <v>0</v>
      </c>
      <c r="M43" s="147">
        <v>0</v>
      </c>
      <c r="N43" s="147">
        <v>0</v>
      </c>
      <c r="O43" s="18">
        <f t="shared" si="2"/>
        <v>100000</v>
      </c>
    </row>
    <row r="44" spans="1:17" ht="15" x14ac:dyDescent="0.2">
      <c r="A44" s="854"/>
      <c r="B44" s="27" t="s">
        <v>155</v>
      </c>
      <c r="C44" s="147">
        <v>200</v>
      </c>
      <c r="D44" s="147">
        <v>200</v>
      </c>
      <c r="E44" s="147">
        <v>200</v>
      </c>
      <c r="F44" s="147">
        <v>200</v>
      </c>
      <c r="G44" s="147">
        <v>200</v>
      </c>
      <c r="H44" s="147">
        <v>200</v>
      </c>
      <c r="I44" s="147">
        <v>200</v>
      </c>
      <c r="J44" s="147">
        <v>200</v>
      </c>
      <c r="K44" s="147">
        <v>0</v>
      </c>
      <c r="L44" s="147">
        <v>0</v>
      </c>
      <c r="M44" s="147">
        <v>0</v>
      </c>
      <c r="N44" s="147">
        <v>0</v>
      </c>
      <c r="O44" s="18">
        <f t="shared" si="2"/>
        <v>1600</v>
      </c>
    </row>
    <row r="45" spans="1:17" ht="15" x14ac:dyDescent="0.2">
      <c r="A45" s="854"/>
      <c r="B45" s="27" t="s">
        <v>156</v>
      </c>
      <c r="C45" s="147">
        <v>0</v>
      </c>
      <c r="D45" s="147">
        <v>0</v>
      </c>
      <c r="E45" s="147">
        <v>0</v>
      </c>
      <c r="F45" s="147">
        <v>0</v>
      </c>
      <c r="G45" s="147">
        <v>0</v>
      </c>
      <c r="H45" s="147">
        <v>0</v>
      </c>
      <c r="I45" s="147">
        <v>0</v>
      </c>
      <c r="J45" s="147">
        <v>0</v>
      </c>
      <c r="K45" s="147">
        <v>0</v>
      </c>
      <c r="L45" s="147">
        <v>0</v>
      </c>
      <c r="M45" s="147">
        <v>0</v>
      </c>
      <c r="N45" s="147">
        <v>0</v>
      </c>
      <c r="O45" s="18">
        <f t="shared" si="2"/>
        <v>0</v>
      </c>
    </row>
    <row r="46" spans="1:17" ht="15" x14ac:dyDescent="0.2">
      <c r="A46" s="854"/>
      <c r="B46" s="27" t="s">
        <v>157</v>
      </c>
      <c r="C46" s="147">
        <v>0</v>
      </c>
      <c r="D46" s="147">
        <v>0</v>
      </c>
      <c r="E46" s="147">
        <v>0</v>
      </c>
      <c r="F46" s="147">
        <v>0</v>
      </c>
      <c r="G46" s="147">
        <v>0</v>
      </c>
      <c r="H46" s="147">
        <v>0</v>
      </c>
      <c r="I46" s="147">
        <v>0</v>
      </c>
      <c r="J46" s="147">
        <v>0</v>
      </c>
      <c r="K46" s="147">
        <v>0</v>
      </c>
      <c r="L46" s="147">
        <v>0</v>
      </c>
      <c r="M46" s="147">
        <v>0</v>
      </c>
      <c r="N46" s="147">
        <v>0</v>
      </c>
      <c r="O46" s="18">
        <f t="shared" si="2"/>
        <v>0</v>
      </c>
    </row>
    <row r="47" spans="1:17" ht="28.5" customHeight="1" x14ac:dyDescent="0.2">
      <c r="A47" s="855"/>
      <c r="B47" s="30" t="s">
        <v>158</v>
      </c>
      <c r="C47" s="147">
        <v>2385</v>
      </c>
      <c r="D47" s="147">
        <v>2385</v>
      </c>
      <c r="E47" s="147">
        <v>2385</v>
      </c>
      <c r="F47" s="147">
        <v>2385</v>
      </c>
      <c r="G47" s="147">
        <v>2385</v>
      </c>
      <c r="H47" s="147">
        <v>2385</v>
      </c>
      <c r="I47" s="147">
        <v>2385</v>
      </c>
      <c r="J47" s="147">
        <v>2385</v>
      </c>
      <c r="K47" s="147">
        <v>0</v>
      </c>
      <c r="L47" s="147">
        <v>0</v>
      </c>
      <c r="M47" s="147">
        <v>0</v>
      </c>
      <c r="N47" s="147">
        <v>0</v>
      </c>
      <c r="O47" s="31">
        <f t="shared" si="2"/>
        <v>19080</v>
      </c>
    </row>
    <row r="48" spans="1:17" ht="21.75" x14ac:dyDescent="0.2">
      <c r="A48" s="856"/>
      <c r="B48" s="306" t="s">
        <v>864</v>
      </c>
      <c r="C48" s="147">
        <v>0</v>
      </c>
      <c r="D48" s="147">
        <v>0</v>
      </c>
      <c r="E48" s="147">
        <v>0</v>
      </c>
      <c r="F48" s="147">
        <v>0</v>
      </c>
      <c r="G48" s="147">
        <v>0</v>
      </c>
      <c r="H48" s="147">
        <v>0</v>
      </c>
      <c r="I48" s="147">
        <v>0</v>
      </c>
      <c r="J48" s="147">
        <v>0</v>
      </c>
      <c r="K48" s="147">
        <v>0</v>
      </c>
      <c r="L48" s="147">
        <v>0</v>
      </c>
      <c r="M48" s="147">
        <v>0</v>
      </c>
      <c r="N48" s="147">
        <v>0</v>
      </c>
      <c r="O48" s="31">
        <f t="shared" si="2"/>
        <v>0</v>
      </c>
    </row>
    <row r="49" spans="1:19" ht="15" x14ac:dyDescent="0.2">
      <c r="A49" s="857" t="s">
        <v>160</v>
      </c>
      <c r="B49" s="858"/>
      <c r="C49" s="33">
        <f t="shared" ref="C49:N49" si="3">SUM(C38:C48)</f>
        <v>24815</v>
      </c>
      <c r="D49" s="33">
        <f t="shared" si="3"/>
        <v>25615</v>
      </c>
      <c r="E49" s="33">
        <f t="shared" si="3"/>
        <v>24615</v>
      </c>
      <c r="F49" s="33">
        <f t="shared" si="3"/>
        <v>24615</v>
      </c>
      <c r="G49" s="33">
        <f t="shared" si="3"/>
        <v>24615</v>
      </c>
      <c r="H49" s="33">
        <f t="shared" si="3"/>
        <v>4615</v>
      </c>
      <c r="I49" s="33">
        <f t="shared" si="3"/>
        <v>4615</v>
      </c>
      <c r="J49" s="33">
        <f t="shared" si="3"/>
        <v>4615</v>
      </c>
      <c r="K49" s="33">
        <f t="shared" si="3"/>
        <v>0</v>
      </c>
      <c r="L49" s="33">
        <f t="shared" si="3"/>
        <v>0</v>
      </c>
      <c r="M49" s="33">
        <f t="shared" si="3"/>
        <v>0</v>
      </c>
      <c r="N49" s="33">
        <f t="shared" si="3"/>
        <v>0</v>
      </c>
      <c r="O49" s="34">
        <f t="shared" si="2"/>
        <v>138120</v>
      </c>
    </row>
    <row r="50" spans="1:19" ht="15.75" thickBot="1" x14ac:dyDescent="0.25">
      <c r="A50" s="859" t="s">
        <v>161</v>
      </c>
      <c r="B50" s="860"/>
      <c r="C50" s="35">
        <f t="shared" ref="C50:N50" si="4">C37-C49</f>
        <v>37531</v>
      </c>
      <c r="D50" s="35">
        <f t="shared" si="4"/>
        <v>40651</v>
      </c>
      <c r="E50" s="35">
        <f t="shared" si="4"/>
        <v>38711</v>
      </c>
      <c r="F50" s="35">
        <f t="shared" si="4"/>
        <v>38711</v>
      </c>
      <c r="G50" s="35">
        <f t="shared" si="4"/>
        <v>40545</v>
      </c>
      <c r="H50" s="35">
        <f t="shared" si="4"/>
        <v>62483</v>
      </c>
      <c r="I50" s="35">
        <f t="shared" si="4"/>
        <v>60545</v>
      </c>
      <c r="J50" s="35">
        <f t="shared" si="4"/>
        <v>71485</v>
      </c>
      <c r="K50" s="35">
        <f t="shared" si="4"/>
        <v>0</v>
      </c>
      <c r="L50" s="35">
        <f t="shared" si="4"/>
        <v>0</v>
      </c>
      <c r="M50" s="35">
        <f t="shared" si="4"/>
        <v>0</v>
      </c>
      <c r="N50" s="35">
        <f t="shared" si="4"/>
        <v>0</v>
      </c>
      <c r="O50" s="36">
        <f t="shared" si="2"/>
        <v>390662</v>
      </c>
    </row>
    <row r="51" spans="1:19" x14ac:dyDescent="0.2">
      <c r="G51" s="38"/>
      <c r="J51" s="300">
        <f>+J37-SUM(J22:J36)</f>
        <v>66168</v>
      </c>
      <c r="Q51" s="38"/>
    </row>
    <row r="52" spans="1:19" ht="13.5" thickBot="1" x14ac:dyDescent="0.25">
      <c r="J52" s="38">
        <f>+J51-J49</f>
        <v>61553</v>
      </c>
      <c r="Q52" s="38"/>
    </row>
    <row r="53" spans="1:19" ht="13.5" thickBot="1" x14ac:dyDescent="0.25">
      <c r="B53" s="789" t="s">
        <v>162</v>
      </c>
      <c r="C53" s="861"/>
      <c r="D53" s="861"/>
      <c r="E53" s="861"/>
      <c r="F53" s="862"/>
      <c r="G53" s="863">
        <f>O37</f>
        <v>528782</v>
      </c>
      <c r="H53" s="864"/>
    </row>
    <row r="54" spans="1:19" ht="13.5" thickBot="1" x14ac:dyDescent="0.25"/>
    <row r="55" spans="1:19" x14ac:dyDescent="0.2">
      <c r="B55" s="830" t="s">
        <v>163</v>
      </c>
      <c r="C55" s="833" t="s">
        <v>164</v>
      </c>
      <c r="D55" s="836" t="s">
        <v>811</v>
      </c>
      <c r="E55" s="837"/>
      <c r="F55" s="838"/>
      <c r="G55" s="839">
        <v>40000</v>
      </c>
      <c r="H55" s="840"/>
    </row>
    <row r="56" spans="1:19" x14ac:dyDescent="0.2">
      <c r="B56" s="831"/>
      <c r="C56" s="834"/>
      <c r="D56" s="841" t="s">
        <v>166</v>
      </c>
      <c r="E56" s="842"/>
      <c r="F56" s="843"/>
      <c r="G56" s="844">
        <f>+O44</f>
        <v>1600</v>
      </c>
      <c r="H56" s="845"/>
      <c r="I56" s="39"/>
      <c r="J56" s="846"/>
      <c r="K56" s="846"/>
      <c r="L56" s="846"/>
      <c r="M56" s="847"/>
      <c r="N56" s="847"/>
      <c r="O56" s="847"/>
    </row>
    <row r="57" spans="1:19" ht="13.5" thickBot="1" x14ac:dyDescent="0.25">
      <c r="B57" s="832"/>
      <c r="C57" s="835"/>
      <c r="D57" s="848" t="s">
        <v>167</v>
      </c>
      <c r="E57" s="849"/>
      <c r="F57" s="850"/>
      <c r="G57" s="851">
        <f>IF(O17&gt;15000,15000,+O17)</f>
        <v>0</v>
      </c>
      <c r="H57" s="852"/>
      <c r="J57" s="47"/>
      <c r="K57" s="47"/>
      <c r="L57" s="47"/>
      <c r="M57" s="47"/>
      <c r="N57" s="47"/>
      <c r="O57" s="47"/>
    </row>
    <row r="58" spans="1:19" ht="13.5" thickBot="1" x14ac:dyDescent="0.25">
      <c r="B58" s="48"/>
      <c r="J58" s="47"/>
      <c r="K58" s="47"/>
      <c r="L58" s="47"/>
      <c r="M58" s="47"/>
      <c r="N58" s="47"/>
      <c r="O58" s="47"/>
    </row>
    <row r="59" spans="1:19" ht="13.5" thickBot="1" x14ac:dyDescent="0.25">
      <c r="B59" s="789" t="s">
        <v>168</v>
      </c>
      <c r="C59" s="790"/>
      <c r="D59" s="790"/>
      <c r="E59" s="790"/>
      <c r="F59" s="791"/>
      <c r="G59" s="825">
        <f>+G53-SUM(G55:H57)</f>
        <v>487182</v>
      </c>
      <c r="H59" s="826"/>
      <c r="J59" s="827" t="s">
        <v>169</v>
      </c>
      <c r="K59" s="828"/>
      <c r="L59" s="828"/>
      <c r="M59" s="828"/>
      <c r="N59" s="828"/>
      <c r="O59" s="829"/>
    </row>
    <row r="60" spans="1:19" ht="13.5" thickBot="1" x14ac:dyDescent="0.25">
      <c r="B60" s="49"/>
      <c r="C60" s="50"/>
      <c r="D60" s="50"/>
      <c r="E60" s="50"/>
      <c r="F60" s="50"/>
      <c r="G60" s="45"/>
      <c r="H60" s="50"/>
      <c r="J60" s="129"/>
      <c r="K60" s="130"/>
      <c r="L60" s="130"/>
      <c r="M60" s="130"/>
      <c r="N60" s="130"/>
      <c r="O60" s="131"/>
    </row>
    <row r="61" spans="1:19" ht="13.5" thickBot="1" x14ac:dyDescent="0.25">
      <c r="B61" s="789" t="s">
        <v>170</v>
      </c>
      <c r="C61" s="790"/>
      <c r="D61" s="790"/>
      <c r="E61" s="790"/>
      <c r="F61" s="791"/>
      <c r="G61" s="805"/>
      <c r="H61" s="791"/>
      <c r="J61" s="129"/>
      <c r="K61" s="130"/>
      <c r="L61" s="130"/>
      <c r="M61" s="130"/>
      <c r="N61" s="130"/>
      <c r="O61" s="131"/>
    </row>
    <row r="62" spans="1:19" ht="12.75" customHeight="1" x14ac:dyDescent="0.2">
      <c r="B62" s="57" t="s">
        <v>171</v>
      </c>
      <c r="C62" s="806" t="s">
        <v>172</v>
      </c>
      <c r="D62" s="807"/>
      <c r="E62" s="807"/>
      <c r="F62" s="808"/>
      <c r="G62" s="809">
        <v>0</v>
      </c>
      <c r="H62" s="809"/>
      <c r="I62" s="58"/>
      <c r="J62" s="810" t="s">
        <v>173</v>
      </c>
      <c r="K62" s="811"/>
      <c r="L62" s="811"/>
      <c r="M62" s="811"/>
      <c r="N62" s="811"/>
      <c r="O62" s="812"/>
      <c r="Q62" s="59"/>
      <c r="R62" s="59"/>
      <c r="S62" s="59"/>
    </row>
    <row r="63" spans="1:19" ht="13.5" thickBot="1" x14ac:dyDescent="0.25">
      <c r="D63" s="37"/>
      <c r="I63" s="58"/>
      <c r="J63" s="60" t="s">
        <v>360</v>
      </c>
      <c r="K63" s="132"/>
      <c r="L63" s="132"/>
      <c r="M63" s="133"/>
      <c r="N63" s="133"/>
      <c r="O63" s="134"/>
      <c r="Q63" s="59"/>
      <c r="R63" s="59"/>
      <c r="S63" s="59"/>
    </row>
    <row r="64" spans="1:19" ht="13.5" thickBot="1" x14ac:dyDescent="0.25">
      <c r="B64" s="789" t="s">
        <v>175</v>
      </c>
      <c r="C64" s="790"/>
      <c r="D64" s="790"/>
      <c r="E64" s="790"/>
      <c r="F64" s="791"/>
      <c r="G64" s="805">
        <f>+G59-G62</f>
        <v>487182</v>
      </c>
      <c r="H64" s="791"/>
      <c r="I64" s="63"/>
      <c r="J64" s="64"/>
      <c r="K64" s="39"/>
      <c r="L64" s="39"/>
      <c r="M64" s="39"/>
      <c r="N64" s="39"/>
      <c r="O64" s="65"/>
      <c r="Q64" s="59"/>
      <c r="R64" s="59"/>
      <c r="S64" s="59"/>
    </row>
    <row r="65" spans="2:19" ht="12.75" customHeight="1" x14ac:dyDescent="0.2">
      <c r="B65" s="48"/>
      <c r="C65" s="48"/>
      <c r="I65" s="63"/>
      <c r="J65" s="64"/>
      <c r="K65" s="39"/>
      <c r="L65" s="39"/>
      <c r="M65" s="39"/>
      <c r="N65" s="39"/>
      <c r="O65" s="65"/>
      <c r="Q65" s="59"/>
      <c r="R65" s="59"/>
      <c r="S65" s="59"/>
    </row>
    <row r="66" spans="2:19" x14ac:dyDescent="0.2">
      <c r="B66" s="66" t="s">
        <v>176</v>
      </c>
      <c r="C66" s="48"/>
      <c r="I66" s="63"/>
      <c r="J66" s="67"/>
      <c r="K66" s="68"/>
      <c r="L66" s="68"/>
      <c r="M66" s="68"/>
      <c r="N66" s="68"/>
      <c r="O66" s="69"/>
      <c r="Q66" s="59"/>
      <c r="R66" s="59"/>
      <c r="S66" s="59"/>
    </row>
    <row r="67" spans="2:19" ht="25.5" customHeight="1" thickBot="1" x14ac:dyDescent="0.25">
      <c r="B67" s="66"/>
      <c r="C67" s="48"/>
      <c r="G67" s="70" t="s">
        <v>177</v>
      </c>
      <c r="H67" s="70" t="s">
        <v>178</v>
      </c>
      <c r="I67" s="63"/>
      <c r="J67" s="810" t="s">
        <v>179</v>
      </c>
      <c r="K67" s="811"/>
      <c r="L67" s="71"/>
      <c r="M67" s="71"/>
      <c r="N67" s="71"/>
      <c r="O67" s="72"/>
      <c r="Q67" s="59"/>
      <c r="R67" s="59"/>
      <c r="S67" s="59"/>
    </row>
    <row r="68" spans="2:19" ht="12.75" customHeight="1" x14ac:dyDescent="0.2">
      <c r="B68" s="802" t="s">
        <v>180</v>
      </c>
      <c r="C68" s="821" t="s">
        <v>181</v>
      </c>
      <c r="D68" s="823" t="s">
        <v>182</v>
      </c>
      <c r="E68" s="824"/>
      <c r="F68" s="824"/>
      <c r="G68" s="73">
        <f>+O43</f>
        <v>100000</v>
      </c>
      <c r="H68" s="74">
        <f>+G68</f>
        <v>100000</v>
      </c>
      <c r="I68" s="63"/>
      <c r="J68" s="75" t="s">
        <v>183</v>
      </c>
      <c r="K68" s="58"/>
      <c r="L68" s="58"/>
      <c r="M68" s="58"/>
      <c r="N68" s="58"/>
      <c r="O68" s="76"/>
      <c r="Q68" s="59"/>
      <c r="R68" s="59"/>
      <c r="S68" s="59"/>
    </row>
    <row r="69" spans="2:19" ht="12.75" customHeight="1" x14ac:dyDescent="0.2">
      <c r="B69" s="803"/>
      <c r="C69" s="822"/>
      <c r="D69" s="782" t="s">
        <v>184</v>
      </c>
      <c r="E69" s="783"/>
      <c r="F69" s="783"/>
      <c r="G69" s="77">
        <v>0</v>
      </c>
      <c r="H69" s="78">
        <f t="shared" ref="H69:H75" si="5">+G69</f>
        <v>0</v>
      </c>
      <c r="I69" s="63"/>
      <c r="J69" s="79"/>
      <c r="K69" s="68"/>
      <c r="L69" s="68"/>
      <c r="M69" s="68"/>
      <c r="N69" s="68"/>
      <c r="O69" s="69"/>
      <c r="Q69" s="59"/>
      <c r="R69" s="59"/>
      <c r="S69" s="59"/>
    </row>
    <row r="70" spans="2:19" ht="12.75" customHeight="1" x14ac:dyDescent="0.2">
      <c r="B70" s="803"/>
      <c r="C70" s="822"/>
      <c r="D70" s="819" t="s">
        <v>185</v>
      </c>
      <c r="E70" s="820"/>
      <c r="F70" s="820"/>
      <c r="G70" s="80">
        <f>O40</f>
        <v>240</v>
      </c>
      <c r="H70" s="78">
        <f t="shared" si="5"/>
        <v>240</v>
      </c>
      <c r="I70" s="63"/>
      <c r="J70" s="67"/>
      <c r="K70" s="68"/>
      <c r="L70" s="68"/>
      <c r="M70" s="68"/>
      <c r="N70" s="68"/>
      <c r="O70" s="69"/>
    </row>
    <row r="71" spans="2:19" x14ac:dyDescent="0.2">
      <c r="B71" s="803"/>
      <c r="C71" s="822"/>
      <c r="D71" s="782" t="s">
        <v>186</v>
      </c>
      <c r="E71" s="783"/>
      <c r="F71" s="783"/>
      <c r="G71" s="81">
        <v>0</v>
      </c>
      <c r="H71" s="78">
        <f t="shared" si="5"/>
        <v>0</v>
      </c>
      <c r="I71" s="63"/>
      <c r="J71" s="82" t="s">
        <v>187</v>
      </c>
      <c r="K71" s="71"/>
      <c r="L71" s="71"/>
      <c r="M71" s="71"/>
      <c r="N71" s="71"/>
      <c r="O71" s="72"/>
    </row>
    <row r="72" spans="2:19" ht="12.75" customHeight="1" x14ac:dyDescent="0.2">
      <c r="B72" s="803"/>
      <c r="C72" s="822"/>
      <c r="D72" s="784" t="s">
        <v>188</v>
      </c>
      <c r="E72" s="783"/>
      <c r="F72" s="783"/>
      <c r="G72" s="80">
        <v>0</v>
      </c>
      <c r="H72" s="78">
        <f t="shared" si="5"/>
        <v>0</v>
      </c>
      <c r="I72" s="63"/>
      <c r="J72" s="75" t="s">
        <v>189</v>
      </c>
      <c r="K72" s="50"/>
      <c r="L72" s="50"/>
      <c r="M72" s="50"/>
      <c r="N72" s="50"/>
      <c r="O72" s="83">
        <v>0</v>
      </c>
    </row>
    <row r="73" spans="2:19" ht="14.25" customHeight="1" x14ac:dyDescent="0.2">
      <c r="B73" s="803"/>
      <c r="C73" s="822"/>
      <c r="D73" s="782" t="s">
        <v>190</v>
      </c>
      <c r="E73" s="783"/>
      <c r="F73" s="783"/>
      <c r="G73" s="84">
        <v>0</v>
      </c>
      <c r="H73" s="78">
        <f t="shared" si="5"/>
        <v>0</v>
      </c>
      <c r="I73" s="63"/>
      <c r="J73" s="64"/>
      <c r="K73" s="39"/>
      <c r="L73" s="39"/>
      <c r="M73" s="39"/>
      <c r="N73" s="39"/>
      <c r="O73" s="65"/>
    </row>
    <row r="74" spans="2:19" x14ac:dyDescent="0.2">
      <c r="B74" s="803"/>
      <c r="C74" s="822"/>
      <c r="D74" s="782" t="s">
        <v>191</v>
      </c>
      <c r="E74" s="783"/>
      <c r="F74" s="783"/>
      <c r="G74" s="81">
        <v>0</v>
      </c>
      <c r="H74" s="78">
        <f t="shared" si="5"/>
        <v>0</v>
      </c>
      <c r="I74" s="58"/>
      <c r="J74" s="150"/>
      <c r="K74" s="50"/>
      <c r="L74" s="50"/>
      <c r="M74" s="50"/>
      <c r="N74" s="50"/>
      <c r="O74" s="83"/>
    </row>
    <row r="75" spans="2:19" x14ac:dyDescent="0.2">
      <c r="B75" s="803"/>
      <c r="C75" s="88" t="s">
        <v>192</v>
      </c>
      <c r="D75" s="813" t="s">
        <v>193</v>
      </c>
      <c r="E75" s="814"/>
      <c r="F75" s="814"/>
      <c r="G75" s="80">
        <v>0</v>
      </c>
      <c r="H75" s="78">
        <f t="shared" si="5"/>
        <v>0</v>
      </c>
      <c r="I75" s="58"/>
      <c r="J75" s="79"/>
      <c r="K75" s="39"/>
      <c r="L75" s="39"/>
      <c r="M75" s="39"/>
      <c r="N75" s="39"/>
      <c r="O75" s="65"/>
    </row>
    <row r="76" spans="2:19" ht="13.5" customHeight="1" thickBot="1" x14ac:dyDescent="0.25">
      <c r="B76" s="803"/>
      <c r="C76" s="88" t="s">
        <v>194</v>
      </c>
      <c r="D76" s="815" t="s">
        <v>195</v>
      </c>
      <c r="E76" s="815"/>
      <c r="F76" s="815"/>
      <c r="G76" s="89">
        <v>0</v>
      </c>
      <c r="H76" s="90">
        <f>+G76</f>
        <v>0</v>
      </c>
      <c r="I76" s="63"/>
      <c r="J76" s="67"/>
      <c r="K76" s="68"/>
      <c r="L76" s="68"/>
      <c r="M76" s="91"/>
      <c r="N76" s="91"/>
      <c r="O76" s="92"/>
    </row>
    <row r="77" spans="2:19" ht="13.5" thickBot="1" x14ac:dyDescent="0.25">
      <c r="B77" s="803"/>
      <c r="C77" s="93"/>
      <c r="D77" s="94"/>
      <c r="E77" s="816" t="s">
        <v>117</v>
      </c>
      <c r="F77" s="817"/>
      <c r="G77" s="95">
        <f>SUM(G68:G76)</f>
        <v>100240</v>
      </c>
      <c r="H77" s="96">
        <f>IF(SUM(G68:G74)&lt;150000,SUM(G68:G74),150000)+IF(+G75&lt;20000,+G75,20000)</f>
        <v>100240</v>
      </c>
      <c r="I77" s="63"/>
      <c r="J77" s="140"/>
      <c r="K77" s="141"/>
      <c r="L77" s="141"/>
      <c r="M77" s="142"/>
      <c r="N77" s="142"/>
      <c r="O77" s="143"/>
    </row>
    <row r="78" spans="2:19" ht="12.75" customHeight="1" x14ac:dyDescent="0.2">
      <c r="B78" s="803"/>
      <c r="C78" s="100" t="s">
        <v>196</v>
      </c>
      <c r="D78" s="782" t="s">
        <v>187</v>
      </c>
      <c r="E78" s="783"/>
      <c r="F78" s="818"/>
      <c r="G78" s="73">
        <f>+O42</f>
        <v>0</v>
      </c>
      <c r="H78" s="221">
        <f>+IF(+G78&lt;25000,+G78,25000)</f>
        <v>0</v>
      </c>
      <c r="I78" s="87"/>
    </row>
    <row r="79" spans="2:19" x14ac:dyDescent="0.2">
      <c r="B79" s="803"/>
      <c r="C79" s="100" t="s">
        <v>197</v>
      </c>
      <c r="D79" s="784" t="s">
        <v>198</v>
      </c>
      <c r="E79" s="785"/>
      <c r="F79" s="786"/>
      <c r="G79" s="102"/>
      <c r="H79" s="222">
        <f>+IF(+G79&lt;40000,+G79,40000)</f>
        <v>0</v>
      </c>
      <c r="I79" s="63"/>
    </row>
    <row r="80" spans="2:19" x14ac:dyDescent="0.2">
      <c r="B80" s="803"/>
      <c r="C80" s="100" t="s">
        <v>199</v>
      </c>
      <c r="D80" s="784" t="s">
        <v>200</v>
      </c>
      <c r="E80" s="785"/>
      <c r="F80" s="786"/>
      <c r="G80" s="81"/>
      <c r="H80" s="104">
        <v>0</v>
      </c>
      <c r="I80" s="63"/>
      <c r="J80" s="106"/>
    </row>
    <row r="81" spans="2:12" x14ac:dyDescent="0.2">
      <c r="B81" s="803"/>
      <c r="C81" s="100" t="s">
        <v>201</v>
      </c>
      <c r="D81" s="784" t="s">
        <v>202</v>
      </c>
      <c r="E81" s="785"/>
      <c r="F81" s="786"/>
      <c r="G81" s="81"/>
      <c r="H81" s="104">
        <v>0</v>
      </c>
      <c r="I81" s="63"/>
    </row>
    <row r="82" spans="2:12" ht="13.5" thickBot="1" x14ac:dyDescent="0.25">
      <c r="B82" s="804"/>
      <c r="C82" s="100" t="s">
        <v>203</v>
      </c>
      <c r="D82" s="784" t="s">
        <v>204</v>
      </c>
      <c r="E82" s="785"/>
      <c r="F82" s="786"/>
      <c r="G82" s="102"/>
      <c r="H82" s="222">
        <f>+IF(+G82&lt;100000,+G82,10000)</f>
        <v>0</v>
      </c>
      <c r="I82" s="63"/>
    </row>
    <row r="83" spans="2:12" ht="13.5" thickBot="1" x14ac:dyDescent="0.25">
      <c r="B83" s="787" t="s">
        <v>205</v>
      </c>
      <c r="C83" s="788"/>
      <c r="D83" s="788"/>
      <c r="E83" s="788"/>
      <c r="F83" s="788"/>
      <c r="G83" s="107">
        <f>SUM(G78:G82)</f>
        <v>0</v>
      </c>
      <c r="H83" s="108">
        <f>SUM(H77:H82)</f>
        <v>100240</v>
      </c>
    </row>
    <row r="84" spans="2:12" ht="13.5" thickBot="1" x14ac:dyDescent="0.25"/>
    <row r="85" spans="2:12" ht="13.5" thickBot="1" x14ac:dyDescent="0.25">
      <c r="B85" s="789" t="s">
        <v>206</v>
      </c>
      <c r="C85" s="790"/>
      <c r="D85" s="790"/>
      <c r="E85" s="790"/>
      <c r="F85" s="791"/>
      <c r="G85" s="1055">
        <f>ROUND(+G64-H83,-1)</f>
        <v>386940</v>
      </c>
      <c r="H85" s="1056"/>
      <c r="J85" s="251">
        <f>C37+D37+E37+F37</f>
        <v>255264</v>
      </c>
      <c r="K85" s="16" t="s">
        <v>235</v>
      </c>
    </row>
    <row r="86" spans="2:12" x14ac:dyDescent="0.2">
      <c r="B86" s="110"/>
      <c r="F86" s="105"/>
      <c r="J86" s="251">
        <f>G37+H37+I37</f>
        <v>197418</v>
      </c>
      <c r="K86" s="16" t="s">
        <v>236</v>
      </c>
      <c r="L86" s="16">
        <f>+J86/3</f>
        <v>65806</v>
      </c>
    </row>
    <row r="87" spans="2:12" x14ac:dyDescent="0.2">
      <c r="C87" s="793" t="s">
        <v>207</v>
      </c>
      <c r="D87" s="794"/>
      <c r="E87" s="111" t="s">
        <v>208</v>
      </c>
      <c r="F87" s="111" t="s">
        <v>209</v>
      </c>
      <c r="G87" s="111" t="s">
        <v>210</v>
      </c>
      <c r="H87" s="111" t="s">
        <v>211</v>
      </c>
      <c r="J87" s="251">
        <f>J37+K37+L37</f>
        <v>76100</v>
      </c>
      <c r="K87" s="47" t="s">
        <v>237</v>
      </c>
      <c r="L87" s="16">
        <f>+J87/3</f>
        <v>25366.666666666668</v>
      </c>
    </row>
    <row r="88" spans="2:12" x14ac:dyDescent="0.2">
      <c r="C88" s="795" t="str">
        <f>IF(I6="M","0          - 250000","0          -  250000")</f>
        <v>0          - 250000</v>
      </c>
      <c r="D88" s="796"/>
      <c r="E88" s="112">
        <v>0</v>
      </c>
      <c r="F88" s="113">
        <f>IF(I6="M",(IF(G85&lt;250000,G85,250000)),(IF(G85&lt;250000,G85,250000)))</f>
        <v>250000</v>
      </c>
      <c r="G88" s="113">
        <f>G85-F88</f>
        <v>136940</v>
      </c>
      <c r="H88" s="113">
        <f>E88*F88</f>
        <v>0</v>
      </c>
      <c r="J88" s="16">
        <f>M37+N37</f>
        <v>0</v>
      </c>
      <c r="K88" s="1" t="s">
        <v>238</v>
      </c>
    </row>
    <row r="89" spans="2:12" x14ac:dyDescent="0.2">
      <c r="C89" s="795" t="str">
        <f>IF(I6="M","250001 - 500000","250001-500000")</f>
        <v>250001 - 500000</v>
      </c>
      <c r="D89" s="796"/>
      <c r="E89" s="112">
        <v>0.05</v>
      </c>
      <c r="F89" s="113">
        <f>IF(I6="M",(IF(G88&lt;250000,G88,250000)),(IF(G88&lt;250000,G88,250000)))</f>
        <v>136940</v>
      </c>
      <c r="G89" s="113">
        <f>G88-F89</f>
        <v>0</v>
      </c>
      <c r="H89" s="114">
        <f>ROUND(E89*F89,0.1)</f>
        <v>6847</v>
      </c>
      <c r="J89" s="115">
        <f>SUM(J85:J88)</f>
        <v>528782</v>
      </c>
    </row>
    <row r="90" spans="2:12" x14ac:dyDescent="0.2">
      <c r="C90" s="797" t="s">
        <v>212</v>
      </c>
      <c r="D90" s="798"/>
      <c r="E90" s="112">
        <v>0.2</v>
      </c>
      <c r="F90" s="113">
        <f>IF(G89&lt;500000,G89,500000)</f>
        <v>0</v>
      </c>
      <c r="G90" s="113">
        <f>G89-F90</f>
        <v>0</v>
      </c>
      <c r="H90" s="114">
        <f>ROUND(E90*F90,0.1)</f>
        <v>0</v>
      </c>
      <c r="J90" s="16">
        <f>+G85</f>
        <v>386940</v>
      </c>
    </row>
    <row r="91" spans="2:12" x14ac:dyDescent="0.2">
      <c r="C91" s="795" t="s">
        <v>213</v>
      </c>
      <c r="D91" s="796"/>
      <c r="E91" s="112">
        <v>0.3</v>
      </c>
      <c r="F91" s="113">
        <f>G90</f>
        <v>0</v>
      </c>
      <c r="G91" s="113">
        <f>G90-F91</f>
        <v>0</v>
      </c>
      <c r="H91" s="114">
        <f>ROUND(E91*F91,0.1)</f>
        <v>0</v>
      </c>
      <c r="J91" s="16">
        <f>+J89-J90</f>
        <v>141842</v>
      </c>
      <c r="K91" s="1"/>
    </row>
    <row r="92" spans="2:12" ht="12.75" customHeight="1" thickBot="1" x14ac:dyDescent="0.25">
      <c r="B92" s="116"/>
      <c r="C92" s="117"/>
      <c r="D92" s="47"/>
      <c r="E92" s="47"/>
      <c r="F92" s="47"/>
      <c r="J92" s="87"/>
      <c r="K92" s="118"/>
    </row>
    <row r="93" spans="2:12" ht="14.25" customHeight="1" thickBot="1" x14ac:dyDescent="0.25">
      <c r="B93" s="799" t="s">
        <v>239</v>
      </c>
      <c r="C93" s="800"/>
      <c r="D93" s="800"/>
      <c r="E93" s="800"/>
      <c r="F93" s="801"/>
      <c r="G93" s="771">
        <f>H88+H89+H90+H91</f>
        <v>6847</v>
      </c>
      <c r="H93" s="772"/>
    </row>
    <row r="94" spans="2:12" ht="14.25" customHeight="1" thickBot="1" x14ac:dyDescent="0.25">
      <c r="B94" s="119" t="s">
        <v>215</v>
      </c>
      <c r="C94" s="120"/>
      <c r="D94" s="120"/>
      <c r="E94" s="120"/>
      <c r="F94" s="120"/>
      <c r="G94" s="884">
        <f>IF(G85&lt;350000,2500,0)</f>
        <v>0</v>
      </c>
      <c r="H94" s="885">
        <f>IF(H92&lt;200000,0,IF(H92&lt;220000,((H92-200000)*10%),IF(H92&lt;=500000,2000,IF(H92&gt;=500000,0))))</f>
        <v>0</v>
      </c>
    </row>
    <row r="95" spans="2:12" ht="14.25" customHeight="1" thickBot="1" x14ac:dyDescent="0.25">
      <c r="B95" s="122" t="s">
        <v>216</v>
      </c>
      <c r="C95" s="123"/>
      <c r="D95" s="123"/>
      <c r="E95" s="123"/>
      <c r="F95" s="123"/>
      <c r="G95" s="771">
        <f>IF((G93-G94)&lt;0,0,(G93-G94))</f>
        <v>6847</v>
      </c>
      <c r="H95" s="772"/>
    </row>
    <row r="96" spans="2:12" ht="14.25" customHeight="1" thickBot="1" x14ac:dyDescent="0.25">
      <c r="B96" s="773" t="s">
        <v>240</v>
      </c>
      <c r="C96" s="774"/>
      <c r="D96" s="774"/>
      <c r="E96" s="774"/>
      <c r="F96" s="775"/>
      <c r="G96" s="776">
        <f>ROUND((IF(G95&gt;0,(G95*4%),0)),0)</f>
        <v>274</v>
      </c>
      <c r="H96" s="777"/>
    </row>
    <row r="97" spans="2:9" ht="14.25" customHeight="1" thickBot="1" x14ac:dyDescent="0.25">
      <c r="B97" s="778" t="s">
        <v>218</v>
      </c>
      <c r="C97" s="779"/>
      <c r="D97" s="779"/>
      <c r="E97" s="779"/>
      <c r="F97" s="779"/>
      <c r="G97" s="780">
        <f>+G95+G96</f>
        <v>7121</v>
      </c>
      <c r="H97" s="781"/>
    </row>
    <row r="98" spans="2:9" ht="13.5" thickBot="1" x14ac:dyDescent="0.25">
      <c r="B98" s="765" t="s">
        <v>219</v>
      </c>
      <c r="C98" s="766"/>
      <c r="D98" s="766"/>
      <c r="E98" s="766"/>
      <c r="F98" s="766"/>
      <c r="G98" s="767">
        <f>O38</f>
        <v>17200</v>
      </c>
      <c r="H98" s="768"/>
    </row>
    <row r="99" spans="2:9" ht="13.5" thickBot="1" x14ac:dyDescent="0.25">
      <c r="B99" s="765" t="str">
        <f>IF(G99&gt;0,"TAX PAYABLE","TAX REFUND")</f>
        <v>TAX REFUND</v>
      </c>
      <c r="C99" s="766"/>
      <c r="D99" s="766"/>
      <c r="E99" s="766"/>
      <c r="F99" s="766"/>
      <c r="G99" s="767">
        <f>+G97-G98</f>
        <v>-10079</v>
      </c>
      <c r="H99" s="768"/>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c r="I106" s="121"/>
    </row>
    <row r="107" spans="2:9" x14ac:dyDescent="0.2">
      <c r="C107" s="39"/>
      <c r="D107" s="39"/>
      <c r="E107" s="39"/>
      <c r="F107" s="39"/>
      <c r="G107" s="39"/>
      <c r="H107" s="39"/>
    </row>
  </sheetData>
  <mergeCells count="92">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8:A48"/>
    <mergeCell ref="A5:C5"/>
    <mergeCell ref="D5:F5"/>
    <mergeCell ref="G5:H5"/>
    <mergeCell ref="I5:O5"/>
    <mergeCell ref="A6:C6"/>
    <mergeCell ref="D6:F6"/>
    <mergeCell ref="G6:H6"/>
    <mergeCell ref="J6:O6"/>
    <mergeCell ref="L7:O7"/>
    <mergeCell ref="A8:B8"/>
    <mergeCell ref="A21:A33"/>
    <mergeCell ref="A35:B35"/>
    <mergeCell ref="A36:B36"/>
    <mergeCell ref="A49:B49"/>
    <mergeCell ref="A50:B50"/>
    <mergeCell ref="B53:F53"/>
    <mergeCell ref="G53:H53"/>
    <mergeCell ref="B55:B57"/>
    <mergeCell ref="C55:C57"/>
    <mergeCell ref="D55:F55"/>
    <mergeCell ref="G55:H55"/>
    <mergeCell ref="D56:F56"/>
    <mergeCell ref="G56:H56"/>
    <mergeCell ref="B64:F64"/>
    <mergeCell ref="G64:H64"/>
    <mergeCell ref="J56:L56"/>
    <mergeCell ref="M56:O56"/>
    <mergeCell ref="D57:F57"/>
    <mergeCell ref="G57:H57"/>
    <mergeCell ref="B59:F59"/>
    <mergeCell ref="G59:H59"/>
    <mergeCell ref="J59:O59"/>
    <mergeCell ref="B61:F61"/>
    <mergeCell ref="G61:H61"/>
    <mergeCell ref="C62:F62"/>
    <mergeCell ref="G62:H62"/>
    <mergeCell ref="J62:O62"/>
    <mergeCell ref="D80:F80"/>
    <mergeCell ref="J67:K67"/>
    <mergeCell ref="B68:B82"/>
    <mergeCell ref="C68:C74"/>
    <mergeCell ref="D68:F68"/>
    <mergeCell ref="D69:F69"/>
    <mergeCell ref="D70:F70"/>
    <mergeCell ref="D71:F71"/>
    <mergeCell ref="D72:F72"/>
    <mergeCell ref="D73:F73"/>
    <mergeCell ref="D74:F74"/>
    <mergeCell ref="D75:F75"/>
    <mergeCell ref="D76:F76"/>
    <mergeCell ref="E77:F77"/>
    <mergeCell ref="D78:F78"/>
    <mergeCell ref="D79:F79"/>
    <mergeCell ref="G93:H93"/>
    <mergeCell ref="D81:F81"/>
    <mergeCell ref="D82:F82"/>
    <mergeCell ref="B83:F83"/>
    <mergeCell ref="B85:F85"/>
    <mergeCell ref="G85:H85"/>
    <mergeCell ref="C87:D87"/>
    <mergeCell ref="C88:D88"/>
    <mergeCell ref="C89:D89"/>
    <mergeCell ref="C90:D90"/>
    <mergeCell ref="C91:D91"/>
    <mergeCell ref="B93:F93"/>
    <mergeCell ref="B98:F98"/>
    <mergeCell ref="G98:H98"/>
    <mergeCell ref="B99:F99"/>
    <mergeCell ref="G99:H99"/>
    <mergeCell ref="G94:H94"/>
    <mergeCell ref="G95:H95"/>
    <mergeCell ref="B96:F96"/>
    <mergeCell ref="G96:H96"/>
    <mergeCell ref="B97:F97"/>
    <mergeCell ref="G97:H97"/>
  </mergeCells>
  <conditionalFormatting sqref="B90:F90">
    <cfRule type="cellIs" dxfId="1287" priority="163" stopIfTrue="1" operator="equal">
      <formula>"TAX PAYABLE"</formula>
    </cfRule>
    <cfRule type="cellIs" dxfId="1286" priority="164" stopIfTrue="1" operator="equal">
      <formula>"TAX REFUND"</formula>
    </cfRule>
  </conditionalFormatting>
  <conditionalFormatting sqref="G90:H90">
    <cfRule type="cellIs" dxfId="1285" priority="165" stopIfTrue="1" operator="lessThan">
      <formula>0</formula>
    </cfRule>
    <cfRule type="cellIs" dxfId="1284" priority="166" stopIfTrue="1" operator="greaterThan">
      <formula>0</formula>
    </cfRule>
  </conditionalFormatting>
  <conditionalFormatting sqref="B90:F90">
    <cfRule type="cellIs" dxfId="1283" priority="161" stopIfTrue="1" operator="equal">
      <formula>"TAX PAYABLE"</formula>
    </cfRule>
    <cfRule type="cellIs" dxfId="1282" priority="162" stopIfTrue="1" operator="equal">
      <formula>"TAX REFUND"</formula>
    </cfRule>
  </conditionalFormatting>
  <conditionalFormatting sqref="G90:H90">
    <cfRule type="cellIs" dxfId="1281" priority="159" stopIfTrue="1" operator="lessThan">
      <formula>0</formula>
    </cfRule>
    <cfRule type="cellIs" dxfId="1280" priority="160" stopIfTrue="1" operator="greaterThan">
      <formula>0</formula>
    </cfRule>
  </conditionalFormatting>
  <conditionalFormatting sqref="B90:F90">
    <cfRule type="cellIs" dxfId="1279" priority="157" stopIfTrue="1" operator="equal">
      <formula>"TAX PAYABLE"</formula>
    </cfRule>
    <cfRule type="cellIs" dxfId="1278" priority="158" stopIfTrue="1" operator="equal">
      <formula>"TAX REFUND"</formula>
    </cfRule>
  </conditionalFormatting>
  <conditionalFormatting sqref="G90:H90">
    <cfRule type="cellIs" dxfId="1277" priority="155" stopIfTrue="1" operator="lessThan">
      <formula>0</formula>
    </cfRule>
    <cfRule type="cellIs" dxfId="1276" priority="156" stopIfTrue="1" operator="greaterThan">
      <formula>0</formula>
    </cfRule>
  </conditionalFormatting>
  <conditionalFormatting sqref="C90:F90">
    <cfRule type="cellIs" dxfId="1275" priority="153" stopIfTrue="1" operator="equal">
      <formula>"TAX PAYABLE"</formula>
    </cfRule>
    <cfRule type="cellIs" dxfId="1274" priority="154" stopIfTrue="1" operator="equal">
      <formula>"TAX REFUND"</formula>
    </cfRule>
  </conditionalFormatting>
  <conditionalFormatting sqref="G90:H90">
    <cfRule type="cellIs" dxfId="1273" priority="151" stopIfTrue="1" operator="lessThan">
      <formula>0</formula>
    </cfRule>
    <cfRule type="cellIs" dxfId="1272" priority="152" stopIfTrue="1" operator="greaterThan">
      <formula>0</formula>
    </cfRule>
  </conditionalFormatting>
  <conditionalFormatting sqref="B97:F97">
    <cfRule type="cellIs" dxfId="1271" priority="149" stopIfTrue="1" operator="equal">
      <formula>"TAX PAYABLE"</formula>
    </cfRule>
    <cfRule type="cellIs" dxfId="1270" priority="150" stopIfTrue="1" operator="equal">
      <formula>"TAX REFUND"</formula>
    </cfRule>
  </conditionalFormatting>
  <conditionalFormatting sqref="B99:F99 B93:F96">
    <cfRule type="cellIs" dxfId="1269" priority="147" stopIfTrue="1" operator="equal">
      <formula>"TAX PAYABLE"</formula>
    </cfRule>
    <cfRule type="cellIs" dxfId="1268" priority="148" stopIfTrue="1" operator="equal">
      <formula>"TAX REFUND"</formula>
    </cfRule>
  </conditionalFormatting>
  <conditionalFormatting sqref="G99:H99">
    <cfRule type="cellIs" dxfId="1267" priority="145" stopIfTrue="1" operator="greaterThan">
      <formula>0</formula>
    </cfRule>
    <cfRule type="cellIs" dxfId="1266" priority="146" stopIfTrue="1" operator="lessThanOrEqual">
      <formula>0</formula>
    </cfRule>
  </conditionalFormatting>
  <conditionalFormatting sqref="B93:F94">
    <cfRule type="cellIs" dxfId="1265" priority="143" stopIfTrue="1" operator="equal">
      <formula>"TAX PAYABLE"</formula>
    </cfRule>
    <cfRule type="cellIs" dxfId="1264" priority="144" stopIfTrue="1" operator="equal">
      <formula>"TAX REFUND"</formula>
    </cfRule>
  </conditionalFormatting>
  <conditionalFormatting sqref="B93:F93">
    <cfRule type="cellIs" dxfId="1263" priority="141" stopIfTrue="1" operator="equal">
      <formula>"TAX PAYABLE"</formula>
    </cfRule>
    <cfRule type="cellIs" dxfId="1262" priority="142" stopIfTrue="1" operator="equal">
      <formula>"TAX REFUND"</formula>
    </cfRule>
  </conditionalFormatting>
  <conditionalFormatting sqref="B93:F94">
    <cfRule type="cellIs" dxfId="1261" priority="139" stopIfTrue="1" operator="equal">
      <formula>"TAX PAYABLE"</formula>
    </cfRule>
    <cfRule type="cellIs" dxfId="1260" priority="140" stopIfTrue="1" operator="equal">
      <formula>"TAX REFUND"</formula>
    </cfRule>
  </conditionalFormatting>
  <conditionalFormatting sqref="B93:F94">
    <cfRule type="cellIs" dxfId="1259" priority="137" stopIfTrue="1" operator="equal">
      <formula>"TAX PAYABLE"</formula>
    </cfRule>
    <cfRule type="cellIs" dxfId="1258" priority="138" stopIfTrue="1" operator="equal">
      <formula>"TAX REFUND"</formula>
    </cfRule>
  </conditionalFormatting>
  <conditionalFormatting sqref="B93:F94">
    <cfRule type="cellIs" dxfId="1257" priority="135" stopIfTrue="1" operator="equal">
      <formula>"TAX PAYABLE"</formula>
    </cfRule>
    <cfRule type="cellIs" dxfId="1256" priority="136" stopIfTrue="1" operator="equal">
      <formula>"TAX REFUND"</formula>
    </cfRule>
  </conditionalFormatting>
  <conditionalFormatting sqref="B97:F97">
    <cfRule type="cellIs" dxfId="1255" priority="133" stopIfTrue="1" operator="equal">
      <formula>"TAX PAYABLE"</formula>
    </cfRule>
    <cfRule type="cellIs" dxfId="1254" priority="134" stopIfTrue="1" operator="equal">
      <formula>"TAX REFUND"</formula>
    </cfRule>
  </conditionalFormatting>
  <conditionalFormatting sqref="B93:F93">
    <cfRule type="cellIs" dxfId="1253" priority="131" stopIfTrue="1" operator="equal">
      <formula>"TAX PAYABLE"</formula>
    </cfRule>
    <cfRule type="cellIs" dxfId="1252" priority="132" stopIfTrue="1" operator="equal">
      <formula>"TAX REFUND"</formula>
    </cfRule>
  </conditionalFormatting>
  <conditionalFormatting sqref="B93:F94">
    <cfRule type="cellIs" dxfId="1251" priority="129" stopIfTrue="1" operator="equal">
      <formula>"TAX PAYABLE"</formula>
    </cfRule>
    <cfRule type="cellIs" dxfId="1250" priority="130" stopIfTrue="1" operator="equal">
      <formula>"TAX REFUND"</formula>
    </cfRule>
  </conditionalFormatting>
  <conditionalFormatting sqref="B93:F94">
    <cfRule type="cellIs" dxfId="1249" priority="127" stopIfTrue="1" operator="equal">
      <formula>"TAX PAYABLE"</formula>
    </cfRule>
    <cfRule type="cellIs" dxfId="1248" priority="128" stopIfTrue="1" operator="equal">
      <formula>"TAX REFUND"</formula>
    </cfRule>
  </conditionalFormatting>
  <conditionalFormatting sqref="B93:F94">
    <cfRule type="cellIs" dxfId="1247" priority="125" stopIfTrue="1" operator="equal">
      <formula>"TAX PAYABLE"</formula>
    </cfRule>
    <cfRule type="cellIs" dxfId="1246" priority="126" stopIfTrue="1" operator="equal">
      <formula>"TAX REFUND"</formula>
    </cfRule>
  </conditionalFormatting>
  <conditionalFormatting sqref="B97:F97">
    <cfRule type="cellIs" dxfId="1245" priority="123" stopIfTrue="1" operator="equal">
      <formula>"TAX PAYABLE"</formula>
    </cfRule>
    <cfRule type="cellIs" dxfId="1244" priority="124" stopIfTrue="1" operator="equal">
      <formula>"TAX REFUND"</formula>
    </cfRule>
  </conditionalFormatting>
  <conditionalFormatting sqref="B93:F94 B99:F99">
    <cfRule type="cellIs" dxfId="1243" priority="121" stopIfTrue="1" operator="equal">
      <formula>"TAX PAYABLE"</formula>
    </cfRule>
    <cfRule type="cellIs" dxfId="1242" priority="122" stopIfTrue="1" operator="equal">
      <formula>"TAX REFUND"</formula>
    </cfRule>
  </conditionalFormatting>
  <conditionalFormatting sqref="G99:H99">
    <cfRule type="cellIs" dxfId="1241" priority="119" stopIfTrue="1" operator="greaterThan">
      <formula>0</formula>
    </cfRule>
    <cfRule type="cellIs" dxfId="1240" priority="120" stopIfTrue="1" operator="lessThanOrEqual">
      <formula>0</formula>
    </cfRule>
  </conditionalFormatting>
  <conditionalFormatting sqref="B99:F99 B93:F96">
    <cfRule type="cellIs" dxfId="1239" priority="117" stopIfTrue="1" operator="equal">
      <formula>"TAX PAYABLE"</formula>
    </cfRule>
    <cfRule type="cellIs" dxfId="1238" priority="118" stopIfTrue="1" operator="equal">
      <formula>"TAX REFUND"</formula>
    </cfRule>
  </conditionalFormatting>
  <conditionalFormatting sqref="G99:H99">
    <cfRule type="cellIs" dxfId="1237" priority="115" stopIfTrue="1" operator="greaterThan">
      <formula>0</formula>
    </cfRule>
    <cfRule type="cellIs" dxfId="1236" priority="116" stopIfTrue="1" operator="lessThanOrEqual">
      <formula>0</formula>
    </cfRule>
  </conditionalFormatting>
  <conditionalFormatting sqref="B90:F90">
    <cfRule type="cellIs" dxfId="1235" priority="113" stopIfTrue="1" operator="equal">
      <formula>"TAX PAYABLE"</formula>
    </cfRule>
    <cfRule type="cellIs" dxfId="1234" priority="114" stopIfTrue="1" operator="equal">
      <formula>"TAX REFUND"</formula>
    </cfRule>
  </conditionalFormatting>
  <conditionalFormatting sqref="G90:H90">
    <cfRule type="cellIs" dxfId="1233" priority="111" stopIfTrue="1" operator="lessThan">
      <formula>0</formula>
    </cfRule>
    <cfRule type="cellIs" dxfId="1232" priority="112" stopIfTrue="1" operator="greaterThan">
      <formula>0</formula>
    </cfRule>
  </conditionalFormatting>
  <conditionalFormatting sqref="B90:F90">
    <cfRule type="cellIs" dxfId="1231" priority="109" stopIfTrue="1" operator="equal">
      <formula>"TAX PAYABLE"</formula>
    </cfRule>
    <cfRule type="cellIs" dxfId="1230" priority="110" stopIfTrue="1" operator="equal">
      <formula>"TAX REFUND"</formula>
    </cfRule>
  </conditionalFormatting>
  <conditionalFormatting sqref="G90:H90">
    <cfRule type="cellIs" dxfId="1229" priority="107" stopIfTrue="1" operator="lessThan">
      <formula>0</formula>
    </cfRule>
    <cfRule type="cellIs" dxfId="1228" priority="108" stopIfTrue="1" operator="greaterThan">
      <formula>0</formula>
    </cfRule>
  </conditionalFormatting>
  <conditionalFormatting sqref="B90:F90">
    <cfRule type="cellIs" dxfId="1227" priority="105" stopIfTrue="1" operator="equal">
      <formula>"TAX PAYABLE"</formula>
    </cfRule>
    <cfRule type="cellIs" dxfId="1226" priority="106" stopIfTrue="1" operator="equal">
      <formula>"TAX REFUND"</formula>
    </cfRule>
  </conditionalFormatting>
  <conditionalFormatting sqref="G90:H90">
    <cfRule type="cellIs" dxfId="1225" priority="103" stopIfTrue="1" operator="lessThan">
      <formula>0</formula>
    </cfRule>
    <cfRule type="cellIs" dxfId="1224" priority="104" stopIfTrue="1" operator="greaterThan">
      <formula>0</formula>
    </cfRule>
  </conditionalFormatting>
  <conditionalFormatting sqref="C90:F90">
    <cfRule type="cellIs" dxfId="1223" priority="101" stopIfTrue="1" operator="equal">
      <formula>"TAX PAYABLE"</formula>
    </cfRule>
    <cfRule type="cellIs" dxfId="1222" priority="102" stopIfTrue="1" operator="equal">
      <formula>"TAX REFUND"</formula>
    </cfRule>
  </conditionalFormatting>
  <conditionalFormatting sqref="G90:H90">
    <cfRule type="cellIs" dxfId="1221" priority="99" stopIfTrue="1" operator="lessThan">
      <formula>0</formula>
    </cfRule>
    <cfRule type="cellIs" dxfId="1220" priority="100" stopIfTrue="1" operator="greaterThan">
      <formula>0</formula>
    </cfRule>
  </conditionalFormatting>
  <conditionalFormatting sqref="B97:F97">
    <cfRule type="cellIs" dxfId="1219" priority="97" stopIfTrue="1" operator="equal">
      <formula>"TAX PAYABLE"</formula>
    </cfRule>
    <cfRule type="cellIs" dxfId="1218" priority="98" stopIfTrue="1" operator="equal">
      <formula>"TAX REFUND"</formula>
    </cfRule>
  </conditionalFormatting>
  <conditionalFormatting sqref="B99:F99 B93:F96">
    <cfRule type="cellIs" dxfId="1217" priority="95" stopIfTrue="1" operator="equal">
      <formula>"TAX PAYABLE"</formula>
    </cfRule>
    <cfRule type="cellIs" dxfId="1216" priority="96" stopIfTrue="1" operator="equal">
      <formula>"TAX REFUND"</formula>
    </cfRule>
  </conditionalFormatting>
  <conditionalFormatting sqref="G99:H99">
    <cfRule type="cellIs" dxfId="1215" priority="93" stopIfTrue="1" operator="greaterThan">
      <formula>0</formula>
    </cfRule>
    <cfRule type="cellIs" dxfId="1214" priority="94" stopIfTrue="1" operator="lessThanOrEqual">
      <formula>0</formula>
    </cfRule>
  </conditionalFormatting>
  <conditionalFormatting sqref="B93:F94">
    <cfRule type="cellIs" dxfId="1213" priority="91" stopIfTrue="1" operator="equal">
      <formula>"TAX PAYABLE"</formula>
    </cfRule>
    <cfRule type="cellIs" dxfId="1212" priority="92" stopIfTrue="1" operator="equal">
      <formula>"TAX REFUND"</formula>
    </cfRule>
  </conditionalFormatting>
  <conditionalFormatting sqref="B93:F93">
    <cfRule type="cellIs" dxfId="1211" priority="89" stopIfTrue="1" operator="equal">
      <formula>"TAX PAYABLE"</formula>
    </cfRule>
    <cfRule type="cellIs" dxfId="1210" priority="90" stopIfTrue="1" operator="equal">
      <formula>"TAX REFUND"</formula>
    </cfRule>
  </conditionalFormatting>
  <conditionalFormatting sqref="B93:F94">
    <cfRule type="cellIs" dxfId="1209" priority="87" stopIfTrue="1" operator="equal">
      <formula>"TAX PAYABLE"</formula>
    </cfRule>
    <cfRule type="cellIs" dxfId="1208" priority="88" stopIfTrue="1" operator="equal">
      <formula>"TAX REFUND"</formula>
    </cfRule>
  </conditionalFormatting>
  <conditionalFormatting sqref="B93:F94">
    <cfRule type="cellIs" dxfId="1207" priority="85" stopIfTrue="1" operator="equal">
      <formula>"TAX PAYABLE"</formula>
    </cfRule>
    <cfRule type="cellIs" dxfId="1206" priority="86" stopIfTrue="1" operator="equal">
      <formula>"TAX REFUND"</formula>
    </cfRule>
  </conditionalFormatting>
  <conditionalFormatting sqref="B93:F94">
    <cfRule type="cellIs" dxfId="1205" priority="83" stopIfTrue="1" operator="equal">
      <formula>"TAX PAYABLE"</formula>
    </cfRule>
    <cfRule type="cellIs" dxfId="1204" priority="84" stopIfTrue="1" operator="equal">
      <formula>"TAX REFUND"</formula>
    </cfRule>
  </conditionalFormatting>
  <conditionalFormatting sqref="B97:F97">
    <cfRule type="cellIs" dxfId="1203" priority="81" stopIfTrue="1" operator="equal">
      <formula>"TAX PAYABLE"</formula>
    </cfRule>
    <cfRule type="cellIs" dxfId="1202" priority="82" stopIfTrue="1" operator="equal">
      <formula>"TAX REFUND"</formula>
    </cfRule>
  </conditionalFormatting>
  <conditionalFormatting sqref="B93:F93">
    <cfRule type="cellIs" dxfId="1201" priority="79" stopIfTrue="1" operator="equal">
      <formula>"TAX PAYABLE"</formula>
    </cfRule>
    <cfRule type="cellIs" dxfId="1200" priority="80" stopIfTrue="1" operator="equal">
      <formula>"TAX REFUND"</formula>
    </cfRule>
  </conditionalFormatting>
  <conditionalFormatting sqref="B93:F94">
    <cfRule type="cellIs" dxfId="1199" priority="77" stopIfTrue="1" operator="equal">
      <formula>"TAX PAYABLE"</formula>
    </cfRule>
    <cfRule type="cellIs" dxfId="1198" priority="78" stopIfTrue="1" operator="equal">
      <formula>"TAX REFUND"</formula>
    </cfRule>
  </conditionalFormatting>
  <conditionalFormatting sqref="B93:F94">
    <cfRule type="cellIs" dxfId="1197" priority="75" stopIfTrue="1" operator="equal">
      <formula>"TAX PAYABLE"</formula>
    </cfRule>
    <cfRule type="cellIs" dxfId="1196" priority="76" stopIfTrue="1" operator="equal">
      <formula>"TAX REFUND"</formula>
    </cfRule>
  </conditionalFormatting>
  <conditionalFormatting sqref="B93:F94">
    <cfRule type="cellIs" dxfId="1195" priority="73" stopIfTrue="1" operator="equal">
      <formula>"TAX PAYABLE"</formula>
    </cfRule>
    <cfRule type="cellIs" dxfId="1194" priority="74" stopIfTrue="1" operator="equal">
      <formula>"TAX REFUND"</formula>
    </cfRule>
  </conditionalFormatting>
  <conditionalFormatting sqref="B97:F97">
    <cfRule type="cellIs" dxfId="1193" priority="71" stopIfTrue="1" operator="equal">
      <formula>"TAX PAYABLE"</formula>
    </cfRule>
    <cfRule type="cellIs" dxfId="1192" priority="72" stopIfTrue="1" operator="equal">
      <formula>"TAX REFUND"</formula>
    </cfRule>
  </conditionalFormatting>
  <conditionalFormatting sqref="B93:F94 B99:F99">
    <cfRule type="cellIs" dxfId="1191" priority="69" stopIfTrue="1" operator="equal">
      <formula>"TAX PAYABLE"</formula>
    </cfRule>
    <cfRule type="cellIs" dxfId="1190" priority="70" stopIfTrue="1" operator="equal">
      <formula>"TAX REFUND"</formula>
    </cfRule>
  </conditionalFormatting>
  <conditionalFormatting sqref="G99:H99">
    <cfRule type="cellIs" dxfId="1189" priority="67" stopIfTrue="1" operator="greaterThan">
      <formula>0</formula>
    </cfRule>
    <cfRule type="cellIs" dxfId="1188" priority="68" stopIfTrue="1" operator="lessThanOrEqual">
      <formula>0</formula>
    </cfRule>
  </conditionalFormatting>
  <conditionalFormatting sqref="B99:F99 B93:F96">
    <cfRule type="cellIs" dxfId="1187" priority="65" stopIfTrue="1" operator="equal">
      <formula>"TAX PAYABLE"</formula>
    </cfRule>
    <cfRule type="cellIs" dxfId="1186" priority="66" stopIfTrue="1" operator="equal">
      <formula>"TAX REFUND"</formula>
    </cfRule>
  </conditionalFormatting>
  <conditionalFormatting sqref="G99:H99">
    <cfRule type="cellIs" dxfId="1185" priority="63" stopIfTrue="1" operator="greaterThan">
      <formula>0</formula>
    </cfRule>
    <cfRule type="cellIs" dxfId="1184" priority="64" stopIfTrue="1" operator="lessThanOrEqual">
      <formula>0</formula>
    </cfRule>
  </conditionalFormatting>
  <conditionalFormatting sqref="B90:F90">
    <cfRule type="cellIs" dxfId="1183" priority="61" stopIfTrue="1" operator="equal">
      <formula>"TAX PAYABLE"</formula>
    </cfRule>
    <cfRule type="cellIs" dxfId="1182" priority="62" stopIfTrue="1" operator="equal">
      <formula>"TAX REFUND"</formula>
    </cfRule>
  </conditionalFormatting>
  <conditionalFormatting sqref="B94:F94">
    <cfRule type="cellIs" dxfId="1181" priority="59" stopIfTrue="1" operator="equal">
      <formula>"TAX PAYABLE"</formula>
    </cfRule>
    <cfRule type="cellIs" dxfId="1180" priority="60" stopIfTrue="1" operator="equal">
      <formula>"TAX REFUND"</formula>
    </cfRule>
  </conditionalFormatting>
  <conditionalFormatting sqref="B94:F94">
    <cfRule type="cellIs" dxfId="1179" priority="57" stopIfTrue="1" operator="equal">
      <formula>"TAX PAYABLE"</formula>
    </cfRule>
    <cfRule type="cellIs" dxfId="1178" priority="58" stopIfTrue="1" operator="equal">
      <formula>"TAX REFUND"</formula>
    </cfRule>
  </conditionalFormatting>
  <conditionalFormatting sqref="B94:F94">
    <cfRule type="cellIs" dxfId="1177" priority="55" stopIfTrue="1" operator="equal">
      <formula>"TAX PAYABLE"</formula>
    </cfRule>
    <cfRule type="cellIs" dxfId="1176" priority="56" stopIfTrue="1" operator="equal">
      <formula>"TAX REFUND"</formula>
    </cfRule>
  </conditionalFormatting>
  <conditionalFormatting sqref="B94:F94">
    <cfRule type="cellIs" dxfId="1175" priority="53" stopIfTrue="1" operator="equal">
      <formula>"TAX PAYABLE"</formula>
    </cfRule>
    <cfRule type="cellIs" dxfId="1174" priority="54" stopIfTrue="1" operator="equal">
      <formula>"TAX REFUND"</formula>
    </cfRule>
  </conditionalFormatting>
  <conditionalFormatting sqref="B94:F94">
    <cfRule type="cellIs" dxfId="1173" priority="51" stopIfTrue="1" operator="equal">
      <formula>"TAX PAYABLE"</formula>
    </cfRule>
    <cfRule type="cellIs" dxfId="1172" priority="52" stopIfTrue="1" operator="equal">
      <formula>"TAX REFUND"</formula>
    </cfRule>
  </conditionalFormatting>
  <conditionalFormatting sqref="B94:F94">
    <cfRule type="cellIs" dxfId="1171" priority="49" stopIfTrue="1" operator="equal">
      <formula>"TAX PAYABLE"</formula>
    </cfRule>
    <cfRule type="cellIs" dxfId="1170" priority="50" stopIfTrue="1" operator="equal">
      <formula>"TAX REFUND"</formula>
    </cfRule>
  </conditionalFormatting>
  <conditionalFormatting sqref="B94:F94">
    <cfRule type="cellIs" dxfId="1169" priority="47" stopIfTrue="1" operator="equal">
      <formula>"TAX PAYABLE"</formula>
    </cfRule>
    <cfRule type="cellIs" dxfId="1168" priority="48" stopIfTrue="1" operator="equal">
      <formula>"TAX REFUND"</formula>
    </cfRule>
  </conditionalFormatting>
  <conditionalFormatting sqref="B94:F94">
    <cfRule type="cellIs" dxfId="1167" priority="45" stopIfTrue="1" operator="equal">
      <formula>"TAX PAYABLE"</formula>
    </cfRule>
    <cfRule type="cellIs" dxfId="1166" priority="46" stopIfTrue="1" operator="equal">
      <formula>"TAX REFUND"</formula>
    </cfRule>
  </conditionalFormatting>
  <conditionalFormatting sqref="B94:F94">
    <cfRule type="cellIs" dxfId="1165" priority="43" stopIfTrue="1" operator="equal">
      <formula>"TAX PAYABLE"</formula>
    </cfRule>
    <cfRule type="cellIs" dxfId="1164" priority="44" stopIfTrue="1" operator="equal">
      <formula>"TAX REFUND"</formula>
    </cfRule>
  </conditionalFormatting>
  <conditionalFormatting sqref="B94:F94">
    <cfRule type="cellIs" dxfId="1163" priority="41" stopIfTrue="1" operator="equal">
      <formula>"TAX PAYABLE"</formula>
    </cfRule>
    <cfRule type="cellIs" dxfId="1162" priority="42" stopIfTrue="1" operator="equal">
      <formula>"TAX REFUND"</formula>
    </cfRule>
  </conditionalFormatting>
  <conditionalFormatting sqref="B94:F94">
    <cfRule type="cellIs" dxfId="1161" priority="39" stopIfTrue="1" operator="equal">
      <formula>"TAX PAYABLE"</formula>
    </cfRule>
    <cfRule type="cellIs" dxfId="1160" priority="40" stopIfTrue="1" operator="equal">
      <formula>"TAX REFUND"</formula>
    </cfRule>
  </conditionalFormatting>
  <conditionalFormatting sqref="B94:F94">
    <cfRule type="cellIs" dxfId="1159" priority="37" stopIfTrue="1" operator="equal">
      <formula>"TAX PAYABLE"</formula>
    </cfRule>
    <cfRule type="cellIs" dxfId="1158" priority="38" stopIfTrue="1" operator="equal">
      <formula>"TAX REFUND"</formula>
    </cfRule>
  </conditionalFormatting>
  <conditionalFormatting sqref="B94:F94">
    <cfRule type="cellIs" dxfId="1157" priority="35" stopIfTrue="1" operator="equal">
      <formula>"TAX PAYABLE"</formula>
    </cfRule>
    <cfRule type="cellIs" dxfId="1156" priority="36" stopIfTrue="1" operator="equal">
      <formula>"TAX REFUND"</formula>
    </cfRule>
  </conditionalFormatting>
  <conditionalFormatting sqref="B94:F94">
    <cfRule type="cellIs" dxfId="1155" priority="33" stopIfTrue="1" operator="equal">
      <formula>"TAX PAYABLE"</formula>
    </cfRule>
    <cfRule type="cellIs" dxfId="1154" priority="34" stopIfTrue="1" operator="equal">
      <formula>"TAX REFUND"</formula>
    </cfRule>
  </conditionalFormatting>
  <conditionalFormatting sqref="B94:F94">
    <cfRule type="cellIs" dxfId="1153" priority="31" stopIfTrue="1" operator="equal">
      <formula>"TAX PAYABLE"</formula>
    </cfRule>
    <cfRule type="cellIs" dxfId="1152" priority="32" stopIfTrue="1" operator="equal">
      <formula>"TAX REFUND"</formula>
    </cfRule>
  </conditionalFormatting>
  <conditionalFormatting sqref="B94:F94">
    <cfRule type="cellIs" dxfId="1151" priority="29" stopIfTrue="1" operator="equal">
      <formula>"TAX PAYABLE"</formula>
    </cfRule>
    <cfRule type="cellIs" dxfId="1150" priority="30" stopIfTrue="1" operator="equal">
      <formula>"TAX REFUND"</formula>
    </cfRule>
  </conditionalFormatting>
  <conditionalFormatting sqref="B94:F94">
    <cfRule type="cellIs" dxfId="1149" priority="27" stopIfTrue="1" operator="equal">
      <formula>"TAX PAYABLE"</formula>
    </cfRule>
    <cfRule type="cellIs" dxfId="1148" priority="28" stopIfTrue="1" operator="equal">
      <formula>"TAX REFUND"</formula>
    </cfRule>
  </conditionalFormatting>
  <conditionalFormatting sqref="B94:F94">
    <cfRule type="cellIs" dxfId="1147" priority="25" stopIfTrue="1" operator="equal">
      <formula>"TAX PAYABLE"</formula>
    </cfRule>
    <cfRule type="cellIs" dxfId="1146" priority="26" stopIfTrue="1" operator="equal">
      <formula>"TAX REFUND"</formula>
    </cfRule>
  </conditionalFormatting>
  <conditionalFormatting sqref="B94:F94">
    <cfRule type="cellIs" dxfId="1145" priority="23" stopIfTrue="1" operator="equal">
      <formula>"TAX PAYABLE"</formula>
    </cfRule>
    <cfRule type="cellIs" dxfId="1144" priority="24" stopIfTrue="1" operator="equal">
      <formula>"TAX REFUND"</formula>
    </cfRule>
  </conditionalFormatting>
  <conditionalFormatting sqref="B94:F94">
    <cfRule type="cellIs" dxfId="1143" priority="21" stopIfTrue="1" operator="equal">
      <formula>"TAX PAYABLE"</formula>
    </cfRule>
    <cfRule type="cellIs" dxfId="1142" priority="22" stopIfTrue="1" operator="equal">
      <formula>"TAX REFUND"</formula>
    </cfRule>
  </conditionalFormatting>
  <conditionalFormatting sqref="B94:F94">
    <cfRule type="cellIs" dxfId="1141" priority="19" stopIfTrue="1" operator="equal">
      <formula>"TAX PAYABLE"</formula>
    </cfRule>
    <cfRule type="cellIs" dxfId="1140" priority="20" stopIfTrue="1" operator="equal">
      <formula>"TAX REFUND"</formula>
    </cfRule>
  </conditionalFormatting>
  <conditionalFormatting sqref="B94:F94">
    <cfRule type="cellIs" dxfId="1139" priority="17" stopIfTrue="1" operator="equal">
      <formula>"TAX PAYABLE"</formula>
    </cfRule>
    <cfRule type="cellIs" dxfId="1138" priority="18" stopIfTrue="1" operator="equal">
      <formula>"TAX REFUND"</formula>
    </cfRule>
  </conditionalFormatting>
  <conditionalFormatting sqref="B94:F94">
    <cfRule type="cellIs" dxfId="1137" priority="15" stopIfTrue="1" operator="equal">
      <formula>"TAX PAYABLE"</formula>
    </cfRule>
    <cfRule type="cellIs" dxfId="1136" priority="16" stopIfTrue="1" operator="equal">
      <formula>"TAX REFUND"</formula>
    </cfRule>
  </conditionalFormatting>
  <conditionalFormatting sqref="B94:F94">
    <cfRule type="cellIs" dxfId="1135" priority="13" stopIfTrue="1" operator="equal">
      <formula>"TAX PAYABLE"</formula>
    </cfRule>
    <cfRule type="cellIs" dxfId="1134" priority="14" stopIfTrue="1" operator="equal">
      <formula>"TAX REFUND"</formula>
    </cfRule>
  </conditionalFormatting>
  <conditionalFormatting sqref="B94:F94">
    <cfRule type="cellIs" dxfId="1133" priority="11" stopIfTrue="1" operator="equal">
      <formula>"TAX PAYABLE"</formula>
    </cfRule>
    <cfRule type="cellIs" dxfId="1132" priority="12" stopIfTrue="1" operator="equal">
      <formula>"TAX REFUND"</formula>
    </cfRule>
  </conditionalFormatting>
  <conditionalFormatting sqref="B94:F94">
    <cfRule type="cellIs" dxfId="1131" priority="9" stopIfTrue="1" operator="equal">
      <formula>"TAX PAYABLE"</formula>
    </cfRule>
    <cfRule type="cellIs" dxfId="1130" priority="10" stopIfTrue="1" operator="equal">
      <formula>"TAX REFUND"</formula>
    </cfRule>
  </conditionalFormatting>
  <conditionalFormatting sqref="B94:F94">
    <cfRule type="cellIs" dxfId="1129" priority="7" stopIfTrue="1" operator="equal">
      <formula>"TAX PAYABLE"</formula>
    </cfRule>
    <cfRule type="cellIs" dxfId="1128" priority="8" stopIfTrue="1" operator="equal">
      <formula>"TAX REFUND"</formula>
    </cfRule>
  </conditionalFormatting>
  <conditionalFormatting sqref="B94:F94">
    <cfRule type="cellIs" dxfId="1127" priority="5" stopIfTrue="1" operator="equal">
      <formula>"TAX PAYABLE"</formula>
    </cfRule>
    <cfRule type="cellIs" dxfId="1126" priority="6" stopIfTrue="1" operator="equal">
      <formula>"TAX REFUND"</formula>
    </cfRule>
  </conditionalFormatting>
  <conditionalFormatting sqref="B94:F94">
    <cfRule type="cellIs" dxfId="1125" priority="3" stopIfTrue="1" operator="equal">
      <formula>"TAX PAYABLE"</formula>
    </cfRule>
    <cfRule type="cellIs" dxfId="1124" priority="4" stopIfTrue="1" operator="equal">
      <formula>"TAX REFUND"</formula>
    </cfRule>
  </conditionalFormatting>
  <conditionalFormatting sqref="B94:F94">
    <cfRule type="cellIs" dxfId="1123" priority="1" stopIfTrue="1" operator="equal">
      <formula>"TAX PAYABLE"</formula>
    </cfRule>
    <cfRule type="cellIs" dxfId="1122" priority="2" stopIfTrue="1" operator="equal">
      <formula>"TAX REFUND"</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$Q$8:$Q$9</formula1>
    </dataValidation>
  </dataValidations>
  <hyperlinks>
    <hyperlink ref="A3:C3" r:id="rId1" display="Birth Date "/>
  </hyperlinks>
  <pageMargins left="0.7" right="0.7" top="0.75" bottom="0.75" header="0.3" footer="0.3"/>
  <pageSetup paperSize="5" orientation="landscape" horizontalDpi="300" verticalDpi="300" r:id="rId2"/>
  <headerFooter alignWithMargins="0"/>
</worksheet>
</file>

<file path=xl/worksheets/sheet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07"/>
  <sheetViews>
    <sheetView topLeftCell="A65" workbookViewId="0">
      <selection activeCell="O37" sqref="O37"/>
    </sheetView>
  </sheetViews>
  <sheetFormatPr defaultRowHeight="12.75" x14ac:dyDescent="0.2"/>
  <cols>
    <col min="1" max="1" width="5" style="16" customWidth="1"/>
    <col min="2" max="2" width="19.42578125" style="37" customWidth="1"/>
    <col min="3" max="3" width="8.42578125" style="16" customWidth="1"/>
    <col min="4" max="4" width="7.5703125" style="16" customWidth="1"/>
    <col min="5" max="7" width="7.85546875" style="16" customWidth="1"/>
    <col min="8" max="8" width="7.28515625" style="16" customWidth="1"/>
    <col min="9" max="14" width="7.5703125" style="16" customWidth="1"/>
    <col min="15" max="19" width="9.140625" style="16"/>
    <col min="20" max="20" width="12.42578125" style="16" customWidth="1"/>
    <col min="21" max="21" width="9.140625" style="16"/>
    <col min="22" max="22" width="12" style="16" customWidth="1"/>
    <col min="23" max="256" width="9.140625" style="16"/>
    <col min="257" max="257" width="5" style="16" customWidth="1"/>
    <col min="258" max="258" width="19.42578125" style="16" customWidth="1"/>
    <col min="259" max="259" width="8.42578125" style="16" customWidth="1"/>
    <col min="260" max="260" width="7.5703125" style="16" customWidth="1"/>
    <col min="261" max="263" width="7.85546875" style="16" customWidth="1"/>
    <col min="264" max="264" width="7.28515625" style="16" customWidth="1"/>
    <col min="265" max="270" width="7.5703125" style="16" customWidth="1"/>
    <col min="271" max="275" width="9.140625" style="16"/>
    <col min="276" max="276" width="12.42578125" style="16" customWidth="1"/>
    <col min="277" max="277" width="9.140625" style="16"/>
    <col min="278" max="278" width="12" style="16" customWidth="1"/>
    <col min="279" max="512" width="9.140625" style="16"/>
    <col min="513" max="513" width="5" style="16" customWidth="1"/>
    <col min="514" max="514" width="19.42578125" style="16" customWidth="1"/>
    <col min="515" max="515" width="8.42578125" style="16" customWidth="1"/>
    <col min="516" max="516" width="7.5703125" style="16" customWidth="1"/>
    <col min="517" max="519" width="7.85546875" style="16" customWidth="1"/>
    <col min="520" max="520" width="7.28515625" style="16" customWidth="1"/>
    <col min="521" max="526" width="7.5703125" style="16" customWidth="1"/>
    <col min="527" max="531" width="9.140625" style="16"/>
    <col min="532" max="532" width="12.42578125" style="16" customWidth="1"/>
    <col min="533" max="533" width="9.140625" style="16"/>
    <col min="534" max="534" width="12" style="16" customWidth="1"/>
    <col min="535" max="768" width="9.140625" style="16"/>
    <col min="769" max="769" width="5" style="16" customWidth="1"/>
    <col min="770" max="770" width="19.42578125" style="16" customWidth="1"/>
    <col min="771" max="771" width="8.42578125" style="16" customWidth="1"/>
    <col min="772" max="772" width="7.5703125" style="16" customWidth="1"/>
    <col min="773" max="775" width="7.85546875" style="16" customWidth="1"/>
    <col min="776" max="776" width="7.28515625" style="16" customWidth="1"/>
    <col min="777" max="782" width="7.5703125" style="16" customWidth="1"/>
    <col min="783"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9.42578125" style="16" customWidth="1"/>
    <col min="1027" max="1027" width="8.42578125" style="16" customWidth="1"/>
    <col min="1028" max="1028" width="7.5703125" style="16" customWidth="1"/>
    <col min="1029" max="1031" width="7.85546875" style="16" customWidth="1"/>
    <col min="1032" max="1032" width="7.28515625" style="16" customWidth="1"/>
    <col min="1033" max="1038" width="7.5703125" style="16" customWidth="1"/>
    <col min="1039"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9.42578125" style="16" customWidth="1"/>
    <col min="1283" max="1283" width="8.42578125" style="16" customWidth="1"/>
    <col min="1284" max="1284" width="7.5703125" style="16" customWidth="1"/>
    <col min="1285" max="1287" width="7.85546875" style="16" customWidth="1"/>
    <col min="1288" max="1288" width="7.28515625" style="16" customWidth="1"/>
    <col min="1289" max="1294" width="7.5703125" style="16" customWidth="1"/>
    <col min="1295"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9.42578125" style="16" customWidth="1"/>
    <col min="1539" max="1539" width="8.42578125" style="16" customWidth="1"/>
    <col min="1540" max="1540" width="7.5703125" style="16" customWidth="1"/>
    <col min="1541" max="1543" width="7.85546875" style="16" customWidth="1"/>
    <col min="1544" max="1544" width="7.28515625" style="16" customWidth="1"/>
    <col min="1545" max="1550" width="7.5703125" style="16" customWidth="1"/>
    <col min="1551"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9.42578125" style="16" customWidth="1"/>
    <col min="1795" max="1795" width="8.42578125" style="16" customWidth="1"/>
    <col min="1796" max="1796" width="7.5703125" style="16" customWidth="1"/>
    <col min="1797" max="1799" width="7.85546875" style="16" customWidth="1"/>
    <col min="1800" max="1800" width="7.28515625" style="16" customWidth="1"/>
    <col min="1801" max="1806" width="7.5703125" style="16" customWidth="1"/>
    <col min="1807"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9.42578125" style="16" customWidth="1"/>
    <col min="2051" max="2051" width="8.42578125" style="16" customWidth="1"/>
    <col min="2052" max="2052" width="7.5703125" style="16" customWidth="1"/>
    <col min="2053" max="2055" width="7.85546875" style="16" customWidth="1"/>
    <col min="2056" max="2056" width="7.28515625" style="16" customWidth="1"/>
    <col min="2057" max="2062" width="7.5703125" style="16" customWidth="1"/>
    <col min="2063"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9.42578125" style="16" customWidth="1"/>
    <col min="2307" max="2307" width="8.42578125" style="16" customWidth="1"/>
    <col min="2308" max="2308" width="7.5703125" style="16" customWidth="1"/>
    <col min="2309" max="2311" width="7.85546875" style="16" customWidth="1"/>
    <col min="2312" max="2312" width="7.28515625" style="16" customWidth="1"/>
    <col min="2313" max="2318" width="7.5703125" style="16" customWidth="1"/>
    <col min="2319"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9.42578125" style="16" customWidth="1"/>
    <col min="2563" max="2563" width="8.42578125" style="16" customWidth="1"/>
    <col min="2564" max="2564" width="7.5703125" style="16" customWidth="1"/>
    <col min="2565" max="2567" width="7.85546875" style="16" customWidth="1"/>
    <col min="2568" max="2568" width="7.28515625" style="16" customWidth="1"/>
    <col min="2569" max="2574" width="7.5703125" style="16" customWidth="1"/>
    <col min="2575"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9.42578125" style="16" customWidth="1"/>
    <col min="2819" max="2819" width="8.42578125" style="16" customWidth="1"/>
    <col min="2820" max="2820" width="7.5703125" style="16" customWidth="1"/>
    <col min="2821" max="2823" width="7.85546875" style="16" customWidth="1"/>
    <col min="2824" max="2824" width="7.28515625" style="16" customWidth="1"/>
    <col min="2825" max="2830" width="7.5703125" style="16" customWidth="1"/>
    <col min="2831"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9.42578125" style="16" customWidth="1"/>
    <col min="3075" max="3075" width="8.42578125" style="16" customWidth="1"/>
    <col min="3076" max="3076" width="7.5703125" style="16" customWidth="1"/>
    <col min="3077" max="3079" width="7.85546875" style="16" customWidth="1"/>
    <col min="3080" max="3080" width="7.28515625" style="16" customWidth="1"/>
    <col min="3081" max="3086" width="7.5703125" style="16" customWidth="1"/>
    <col min="3087"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9.42578125" style="16" customWidth="1"/>
    <col min="3331" max="3331" width="8.42578125" style="16" customWidth="1"/>
    <col min="3332" max="3332" width="7.5703125" style="16" customWidth="1"/>
    <col min="3333" max="3335" width="7.85546875" style="16" customWidth="1"/>
    <col min="3336" max="3336" width="7.28515625" style="16" customWidth="1"/>
    <col min="3337" max="3342" width="7.5703125" style="16" customWidth="1"/>
    <col min="3343"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9.42578125" style="16" customWidth="1"/>
    <col min="3587" max="3587" width="8.42578125" style="16" customWidth="1"/>
    <col min="3588" max="3588" width="7.5703125" style="16" customWidth="1"/>
    <col min="3589" max="3591" width="7.85546875" style="16" customWidth="1"/>
    <col min="3592" max="3592" width="7.28515625" style="16" customWidth="1"/>
    <col min="3593" max="3598" width="7.5703125" style="16" customWidth="1"/>
    <col min="3599"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9.42578125" style="16" customWidth="1"/>
    <col min="3843" max="3843" width="8.42578125" style="16" customWidth="1"/>
    <col min="3844" max="3844" width="7.5703125" style="16" customWidth="1"/>
    <col min="3845" max="3847" width="7.85546875" style="16" customWidth="1"/>
    <col min="3848" max="3848" width="7.28515625" style="16" customWidth="1"/>
    <col min="3849" max="3854" width="7.5703125" style="16" customWidth="1"/>
    <col min="3855"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9.42578125" style="16" customWidth="1"/>
    <col min="4099" max="4099" width="8.42578125" style="16" customWidth="1"/>
    <col min="4100" max="4100" width="7.5703125" style="16" customWidth="1"/>
    <col min="4101" max="4103" width="7.85546875" style="16" customWidth="1"/>
    <col min="4104" max="4104" width="7.28515625" style="16" customWidth="1"/>
    <col min="4105" max="4110" width="7.5703125" style="16" customWidth="1"/>
    <col min="4111"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9.42578125" style="16" customWidth="1"/>
    <col min="4355" max="4355" width="8.42578125" style="16" customWidth="1"/>
    <col min="4356" max="4356" width="7.5703125" style="16" customWidth="1"/>
    <col min="4357" max="4359" width="7.85546875" style="16" customWidth="1"/>
    <col min="4360" max="4360" width="7.28515625" style="16" customWidth="1"/>
    <col min="4361" max="4366" width="7.5703125" style="16" customWidth="1"/>
    <col min="4367"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9.42578125" style="16" customWidth="1"/>
    <col min="4611" max="4611" width="8.42578125" style="16" customWidth="1"/>
    <col min="4612" max="4612" width="7.5703125" style="16" customWidth="1"/>
    <col min="4613" max="4615" width="7.85546875" style="16" customWidth="1"/>
    <col min="4616" max="4616" width="7.28515625" style="16" customWidth="1"/>
    <col min="4617" max="4622" width="7.5703125" style="16" customWidth="1"/>
    <col min="4623"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9.42578125" style="16" customWidth="1"/>
    <col min="4867" max="4867" width="8.42578125" style="16" customWidth="1"/>
    <col min="4868" max="4868" width="7.5703125" style="16" customWidth="1"/>
    <col min="4869" max="4871" width="7.85546875" style="16" customWidth="1"/>
    <col min="4872" max="4872" width="7.28515625" style="16" customWidth="1"/>
    <col min="4873" max="4878" width="7.5703125" style="16" customWidth="1"/>
    <col min="4879"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9.42578125" style="16" customWidth="1"/>
    <col min="5123" max="5123" width="8.42578125" style="16" customWidth="1"/>
    <col min="5124" max="5124" width="7.5703125" style="16" customWidth="1"/>
    <col min="5125" max="5127" width="7.85546875" style="16" customWidth="1"/>
    <col min="5128" max="5128" width="7.28515625" style="16" customWidth="1"/>
    <col min="5129" max="5134" width="7.5703125" style="16" customWidth="1"/>
    <col min="5135"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9.42578125" style="16" customWidth="1"/>
    <col min="5379" max="5379" width="8.42578125" style="16" customWidth="1"/>
    <col min="5380" max="5380" width="7.5703125" style="16" customWidth="1"/>
    <col min="5381" max="5383" width="7.85546875" style="16" customWidth="1"/>
    <col min="5384" max="5384" width="7.28515625" style="16" customWidth="1"/>
    <col min="5385" max="5390" width="7.5703125" style="16" customWidth="1"/>
    <col min="5391"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9.42578125" style="16" customWidth="1"/>
    <col min="5635" max="5635" width="8.42578125" style="16" customWidth="1"/>
    <col min="5636" max="5636" width="7.5703125" style="16" customWidth="1"/>
    <col min="5637" max="5639" width="7.85546875" style="16" customWidth="1"/>
    <col min="5640" max="5640" width="7.28515625" style="16" customWidth="1"/>
    <col min="5641" max="5646" width="7.5703125" style="16" customWidth="1"/>
    <col min="5647"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9.42578125" style="16" customWidth="1"/>
    <col min="5891" max="5891" width="8.42578125" style="16" customWidth="1"/>
    <col min="5892" max="5892" width="7.5703125" style="16" customWidth="1"/>
    <col min="5893" max="5895" width="7.85546875" style="16" customWidth="1"/>
    <col min="5896" max="5896" width="7.28515625" style="16" customWidth="1"/>
    <col min="5897" max="5902" width="7.5703125" style="16" customWidth="1"/>
    <col min="5903"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9.42578125" style="16" customWidth="1"/>
    <col min="6147" max="6147" width="8.42578125" style="16" customWidth="1"/>
    <col min="6148" max="6148" width="7.5703125" style="16" customWidth="1"/>
    <col min="6149" max="6151" width="7.85546875" style="16" customWidth="1"/>
    <col min="6152" max="6152" width="7.28515625" style="16" customWidth="1"/>
    <col min="6153" max="6158" width="7.5703125" style="16" customWidth="1"/>
    <col min="6159"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9.42578125" style="16" customWidth="1"/>
    <col min="6403" max="6403" width="8.42578125" style="16" customWidth="1"/>
    <col min="6404" max="6404" width="7.5703125" style="16" customWidth="1"/>
    <col min="6405" max="6407" width="7.85546875" style="16" customWidth="1"/>
    <col min="6408" max="6408" width="7.28515625" style="16" customWidth="1"/>
    <col min="6409" max="6414" width="7.5703125" style="16" customWidth="1"/>
    <col min="6415"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9.42578125" style="16" customWidth="1"/>
    <col min="6659" max="6659" width="8.42578125" style="16" customWidth="1"/>
    <col min="6660" max="6660" width="7.5703125" style="16" customWidth="1"/>
    <col min="6661" max="6663" width="7.85546875" style="16" customWidth="1"/>
    <col min="6664" max="6664" width="7.28515625" style="16" customWidth="1"/>
    <col min="6665" max="6670" width="7.5703125" style="16" customWidth="1"/>
    <col min="6671"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9.42578125" style="16" customWidth="1"/>
    <col min="6915" max="6915" width="8.42578125" style="16" customWidth="1"/>
    <col min="6916" max="6916" width="7.5703125" style="16" customWidth="1"/>
    <col min="6917" max="6919" width="7.85546875" style="16" customWidth="1"/>
    <col min="6920" max="6920" width="7.28515625" style="16" customWidth="1"/>
    <col min="6921" max="6926" width="7.5703125" style="16" customWidth="1"/>
    <col min="6927"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9.42578125" style="16" customWidth="1"/>
    <col min="7171" max="7171" width="8.42578125" style="16" customWidth="1"/>
    <col min="7172" max="7172" width="7.5703125" style="16" customWidth="1"/>
    <col min="7173" max="7175" width="7.85546875" style="16" customWidth="1"/>
    <col min="7176" max="7176" width="7.28515625" style="16" customWidth="1"/>
    <col min="7177" max="7182" width="7.5703125" style="16" customWidth="1"/>
    <col min="7183"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9.42578125" style="16" customWidth="1"/>
    <col min="7427" max="7427" width="8.42578125" style="16" customWidth="1"/>
    <col min="7428" max="7428" width="7.5703125" style="16" customWidth="1"/>
    <col min="7429" max="7431" width="7.85546875" style="16" customWidth="1"/>
    <col min="7432" max="7432" width="7.28515625" style="16" customWidth="1"/>
    <col min="7433" max="7438" width="7.5703125" style="16" customWidth="1"/>
    <col min="7439"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9.42578125" style="16" customWidth="1"/>
    <col min="7683" max="7683" width="8.42578125" style="16" customWidth="1"/>
    <col min="7684" max="7684" width="7.5703125" style="16" customWidth="1"/>
    <col min="7685" max="7687" width="7.85546875" style="16" customWidth="1"/>
    <col min="7688" max="7688" width="7.28515625" style="16" customWidth="1"/>
    <col min="7689" max="7694" width="7.5703125" style="16" customWidth="1"/>
    <col min="7695"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9.42578125" style="16" customWidth="1"/>
    <col min="7939" max="7939" width="8.42578125" style="16" customWidth="1"/>
    <col min="7940" max="7940" width="7.5703125" style="16" customWidth="1"/>
    <col min="7941" max="7943" width="7.85546875" style="16" customWidth="1"/>
    <col min="7944" max="7944" width="7.28515625" style="16" customWidth="1"/>
    <col min="7945" max="7950" width="7.5703125" style="16" customWidth="1"/>
    <col min="7951"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9.42578125" style="16" customWidth="1"/>
    <col min="8195" max="8195" width="8.42578125" style="16" customWidth="1"/>
    <col min="8196" max="8196" width="7.5703125" style="16" customWidth="1"/>
    <col min="8197" max="8199" width="7.85546875" style="16" customWidth="1"/>
    <col min="8200" max="8200" width="7.28515625" style="16" customWidth="1"/>
    <col min="8201" max="8206" width="7.5703125" style="16" customWidth="1"/>
    <col min="8207"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9.42578125" style="16" customWidth="1"/>
    <col min="8451" max="8451" width="8.42578125" style="16" customWidth="1"/>
    <col min="8452" max="8452" width="7.5703125" style="16" customWidth="1"/>
    <col min="8453" max="8455" width="7.85546875" style="16" customWidth="1"/>
    <col min="8456" max="8456" width="7.28515625" style="16" customWidth="1"/>
    <col min="8457" max="8462" width="7.5703125" style="16" customWidth="1"/>
    <col min="8463"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9.42578125" style="16" customWidth="1"/>
    <col min="8707" max="8707" width="8.42578125" style="16" customWidth="1"/>
    <col min="8708" max="8708" width="7.5703125" style="16" customWidth="1"/>
    <col min="8709" max="8711" width="7.85546875" style="16" customWidth="1"/>
    <col min="8712" max="8712" width="7.28515625" style="16" customWidth="1"/>
    <col min="8713" max="8718" width="7.5703125" style="16" customWidth="1"/>
    <col min="8719"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9.42578125" style="16" customWidth="1"/>
    <col min="8963" max="8963" width="8.42578125" style="16" customWidth="1"/>
    <col min="8964" max="8964" width="7.5703125" style="16" customWidth="1"/>
    <col min="8965" max="8967" width="7.85546875" style="16" customWidth="1"/>
    <col min="8968" max="8968" width="7.28515625" style="16" customWidth="1"/>
    <col min="8969" max="8974" width="7.5703125" style="16" customWidth="1"/>
    <col min="8975"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9.42578125" style="16" customWidth="1"/>
    <col min="9219" max="9219" width="8.42578125" style="16" customWidth="1"/>
    <col min="9220" max="9220" width="7.5703125" style="16" customWidth="1"/>
    <col min="9221" max="9223" width="7.85546875" style="16" customWidth="1"/>
    <col min="9224" max="9224" width="7.28515625" style="16" customWidth="1"/>
    <col min="9225" max="9230" width="7.5703125" style="16" customWidth="1"/>
    <col min="9231"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9.42578125" style="16" customWidth="1"/>
    <col min="9475" max="9475" width="8.42578125" style="16" customWidth="1"/>
    <col min="9476" max="9476" width="7.5703125" style="16" customWidth="1"/>
    <col min="9477" max="9479" width="7.85546875" style="16" customWidth="1"/>
    <col min="9480" max="9480" width="7.28515625" style="16" customWidth="1"/>
    <col min="9481" max="9486" width="7.5703125" style="16" customWidth="1"/>
    <col min="9487"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9.42578125" style="16" customWidth="1"/>
    <col min="9731" max="9731" width="8.42578125" style="16" customWidth="1"/>
    <col min="9732" max="9732" width="7.5703125" style="16" customWidth="1"/>
    <col min="9733" max="9735" width="7.85546875" style="16" customWidth="1"/>
    <col min="9736" max="9736" width="7.28515625" style="16" customWidth="1"/>
    <col min="9737" max="9742" width="7.5703125" style="16" customWidth="1"/>
    <col min="9743"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9.42578125" style="16" customWidth="1"/>
    <col min="9987" max="9987" width="8.42578125" style="16" customWidth="1"/>
    <col min="9988" max="9988" width="7.5703125" style="16" customWidth="1"/>
    <col min="9989" max="9991" width="7.85546875" style="16" customWidth="1"/>
    <col min="9992" max="9992" width="7.28515625" style="16" customWidth="1"/>
    <col min="9993" max="9998" width="7.5703125" style="16" customWidth="1"/>
    <col min="9999"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9.42578125" style="16" customWidth="1"/>
    <col min="10243" max="10243" width="8.42578125" style="16" customWidth="1"/>
    <col min="10244" max="10244" width="7.5703125" style="16" customWidth="1"/>
    <col min="10245" max="10247" width="7.85546875" style="16" customWidth="1"/>
    <col min="10248" max="10248" width="7.28515625" style="16" customWidth="1"/>
    <col min="10249" max="10254" width="7.5703125" style="16" customWidth="1"/>
    <col min="10255"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9.42578125" style="16" customWidth="1"/>
    <col min="10499" max="10499" width="8.42578125" style="16" customWidth="1"/>
    <col min="10500" max="10500" width="7.5703125" style="16" customWidth="1"/>
    <col min="10501" max="10503" width="7.85546875" style="16" customWidth="1"/>
    <col min="10504" max="10504" width="7.28515625" style="16" customWidth="1"/>
    <col min="10505" max="10510" width="7.5703125" style="16" customWidth="1"/>
    <col min="10511"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9.42578125" style="16" customWidth="1"/>
    <col min="10755" max="10755" width="8.42578125" style="16" customWidth="1"/>
    <col min="10756" max="10756" width="7.5703125" style="16" customWidth="1"/>
    <col min="10757" max="10759" width="7.85546875" style="16" customWidth="1"/>
    <col min="10760" max="10760" width="7.28515625" style="16" customWidth="1"/>
    <col min="10761" max="10766" width="7.5703125" style="16" customWidth="1"/>
    <col min="10767"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9.42578125" style="16" customWidth="1"/>
    <col min="11011" max="11011" width="8.42578125" style="16" customWidth="1"/>
    <col min="11012" max="11012" width="7.5703125" style="16" customWidth="1"/>
    <col min="11013" max="11015" width="7.85546875" style="16" customWidth="1"/>
    <col min="11016" max="11016" width="7.28515625" style="16" customWidth="1"/>
    <col min="11017" max="11022" width="7.5703125" style="16" customWidth="1"/>
    <col min="11023"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9.42578125" style="16" customWidth="1"/>
    <col min="11267" max="11267" width="8.42578125" style="16" customWidth="1"/>
    <col min="11268" max="11268" width="7.5703125" style="16" customWidth="1"/>
    <col min="11269" max="11271" width="7.85546875" style="16" customWidth="1"/>
    <col min="11272" max="11272" width="7.28515625" style="16" customWidth="1"/>
    <col min="11273" max="11278" width="7.5703125" style="16" customWidth="1"/>
    <col min="11279"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9.42578125" style="16" customWidth="1"/>
    <col min="11523" max="11523" width="8.42578125" style="16" customWidth="1"/>
    <col min="11524" max="11524" width="7.5703125" style="16" customWidth="1"/>
    <col min="11525" max="11527" width="7.85546875" style="16" customWidth="1"/>
    <col min="11528" max="11528" width="7.28515625" style="16" customWidth="1"/>
    <col min="11529" max="11534" width="7.5703125" style="16" customWidth="1"/>
    <col min="11535"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9.42578125" style="16" customWidth="1"/>
    <col min="11779" max="11779" width="8.42578125" style="16" customWidth="1"/>
    <col min="11780" max="11780" width="7.5703125" style="16" customWidth="1"/>
    <col min="11781" max="11783" width="7.85546875" style="16" customWidth="1"/>
    <col min="11784" max="11784" width="7.28515625" style="16" customWidth="1"/>
    <col min="11785" max="11790" width="7.5703125" style="16" customWidth="1"/>
    <col min="11791"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9.42578125" style="16" customWidth="1"/>
    <col min="12035" max="12035" width="8.42578125" style="16" customWidth="1"/>
    <col min="12036" max="12036" width="7.5703125" style="16" customWidth="1"/>
    <col min="12037" max="12039" width="7.85546875" style="16" customWidth="1"/>
    <col min="12040" max="12040" width="7.28515625" style="16" customWidth="1"/>
    <col min="12041" max="12046" width="7.5703125" style="16" customWidth="1"/>
    <col min="12047"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9.42578125" style="16" customWidth="1"/>
    <col min="12291" max="12291" width="8.42578125" style="16" customWidth="1"/>
    <col min="12292" max="12292" width="7.5703125" style="16" customWidth="1"/>
    <col min="12293" max="12295" width="7.85546875" style="16" customWidth="1"/>
    <col min="12296" max="12296" width="7.28515625" style="16" customWidth="1"/>
    <col min="12297" max="12302" width="7.5703125" style="16" customWidth="1"/>
    <col min="12303"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9.42578125" style="16" customWidth="1"/>
    <col min="12547" max="12547" width="8.42578125" style="16" customWidth="1"/>
    <col min="12548" max="12548" width="7.5703125" style="16" customWidth="1"/>
    <col min="12549" max="12551" width="7.85546875" style="16" customWidth="1"/>
    <col min="12552" max="12552" width="7.28515625" style="16" customWidth="1"/>
    <col min="12553" max="12558" width="7.5703125" style="16" customWidth="1"/>
    <col min="12559"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9.42578125" style="16" customWidth="1"/>
    <col min="12803" max="12803" width="8.42578125" style="16" customWidth="1"/>
    <col min="12804" max="12804" width="7.5703125" style="16" customWidth="1"/>
    <col min="12805" max="12807" width="7.85546875" style="16" customWidth="1"/>
    <col min="12808" max="12808" width="7.28515625" style="16" customWidth="1"/>
    <col min="12809" max="12814" width="7.5703125" style="16" customWidth="1"/>
    <col min="12815"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9.42578125" style="16" customWidth="1"/>
    <col min="13059" max="13059" width="8.42578125" style="16" customWidth="1"/>
    <col min="13060" max="13060" width="7.5703125" style="16" customWidth="1"/>
    <col min="13061" max="13063" width="7.85546875" style="16" customWidth="1"/>
    <col min="13064" max="13064" width="7.28515625" style="16" customWidth="1"/>
    <col min="13065" max="13070" width="7.5703125" style="16" customWidth="1"/>
    <col min="13071"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9.42578125" style="16" customWidth="1"/>
    <col min="13315" max="13315" width="8.42578125" style="16" customWidth="1"/>
    <col min="13316" max="13316" width="7.5703125" style="16" customWidth="1"/>
    <col min="13317" max="13319" width="7.85546875" style="16" customWidth="1"/>
    <col min="13320" max="13320" width="7.28515625" style="16" customWidth="1"/>
    <col min="13321" max="13326" width="7.5703125" style="16" customWidth="1"/>
    <col min="13327"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9.42578125" style="16" customWidth="1"/>
    <col min="13571" max="13571" width="8.42578125" style="16" customWidth="1"/>
    <col min="13572" max="13572" width="7.5703125" style="16" customWidth="1"/>
    <col min="13573" max="13575" width="7.85546875" style="16" customWidth="1"/>
    <col min="13576" max="13576" width="7.28515625" style="16" customWidth="1"/>
    <col min="13577" max="13582" width="7.5703125" style="16" customWidth="1"/>
    <col min="13583"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9.42578125" style="16" customWidth="1"/>
    <col min="13827" max="13827" width="8.42578125" style="16" customWidth="1"/>
    <col min="13828" max="13828" width="7.5703125" style="16" customWidth="1"/>
    <col min="13829" max="13831" width="7.85546875" style="16" customWidth="1"/>
    <col min="13832" max="13832" width="7.28515625" style="16" customWidth="1"/>
    <col min="13833" max="13838" width="7.5703125" style="16" customWidth="1"/>
    <col min="13839"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9.42578125" style="16" customWidth="1"/>
    <col min="14083" max="14083" width="8.42578125" style="16" customWidth="1"/>
    <col min="14084" max="14084" width="7.5703125" style="16" customWidth="1"/>
    <col min="14085" max="14087" width="7.85546875" style="16" customWidth="1"/>
    <col min="14088" max="14088" width="7.28515625" style="16" customWidth="1"/>
    <col min="14089" max="14094" width="7.5703125" style="16" customWidth="1"/>
    <col min="14095"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9.42578125" style="16" customWidth="1"/>
    <col min="14339" max="14339" width="8.42578125" style="16" customWidth="1"/>
    <col min="14340" max="14340" width="7.5703125" style="16" customWidth="1"/>
    <col min="14341" max="14343" width="7.85546875" style="16" customWidth="1"/>
    <col min="14344" max="14344" width="7.28515625" style="16" customWidth="1"/>
    <col min="14345" max="14350" width="7.5703125" style="16" customWidth="1"/>
    <col min="14351"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9.42578125" style="16" customWidth="1"/>
    <col min="14595" max="14595" width="8.42578125" style="16" customWidth="1"/>
    <col min="14596" max="14596" width="7.5703125" style="16" customWidth="1"/>
    <col min="14597" max="14599" width="7.85546875" style="16" customWidth="1"/>
    <col min="14600" max="14600" width="7.28515625" style="16" customWidth="1"/>
    <col min="14601" max="14606" width="7.5703125" style="16" customWidth="1"/>
    <col min="14607"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9.42578125" style="16" customWidth="1"/>
    <col min="14851" max="14851" width="8.42578125" style="16" customWidth="1"/>
    <col min="14852" max="14852" width="7.5703125" style="16" customWidth="1"/>
    <col min="14853" max="14855" width="7.85546875" style="16" customWidth="1"/>
    <col min="14856" max="14856" width="7.28515625" style="16" customWidth="1"/>
    <col min="14857" max="14862" width="7.5703125" style="16" customWidth="1"/>
    <col min="14863"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9.42578125" style="16" customWidth="1"/>
    <col min="15107" max="15107" width="8.42578125" style="16" customWidth="1"/>
    <col min="15108" max="15108" width="7.5703125" style="16" customWidth="1"/>
    <col min="15109" max="15111" width="7.85546875" style="16" customWidth="1"/>
    <col min="15112" max="15112" width="7.28515625" style="16" customWidth="1"/>
    <col min="15113" max="15118" width="7.5703125" style="16" customWidth="1"/>
    <col min="15119"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9.42578125" style="16" customWidth="1"/>
    <col min="15363" max="15363" width="8.42578125" style="16" customWidth="1"/>
    <col min="15364" max="15364" width="7.5703125" style="16" customWidth="1"/>
    <col min="15365" max="15367" width="7.85546875" style="16" customWidth="1"/>
    <col min="15368" max="15368" width="7.28515625" style="16" customWidth="1"/>
    <col min="15369" max="15374" width="7.5703125" style="16" customWidth="1"/>
    <col min="15375"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9.42578125" style="16" customWidth="1"/>
    <col min="15619" max="15619" width="8.42578125" style="16" customWidth="1"/>
    <col min="15620" max="15620" width="7.5703125" style="16" customWidth="1"/>
    <col min="15621" max="15623" width="7.85546875" style="16" customWidth="1"/>
    <col min="15624" max="15624" width="7.28515625" style="16" customWidth="1"/>
    <col min="15625" max="15630" width="7.5703125" style="16" customWidth="1"/>
    <col min="15631"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9.42578125" style="16" customWidth="1"/>
    <col min="15875" max="15875" width="8.42578125" style="16" customWidth="1"/>
    <col min="15876" max="15876" width="7.5703125" style="16" customWidth="1"/>
    <col min="15877" max="15879" width="7.85546875" style="16" customWidth="1"/>
    <col min="15880" max="15880" width="7.28515625" style="16" customWidth="1"/>
    <col min="15881" max="15886" width="7.5703125" style="16" customWidth="1"/>
    <col min="15887"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9.42578125" style="16" customWidth="1"/>
    <col min="16131" max="16131" width="8.42578125" style="16" customWidth="1"/>
    <col min="16132" max="16132" width="7.5703125" style="16" customWidth="1"/>
    <col min="16133" max="16135" width="7.85546875" style="16" customWidth="1"/>
    <col min="16136" max="16136" width="7.28515625" style="16" customWidth="1"/>
    <col min="16137" max="16142" width="7.5703125" style="16" customWidth="1"/>
    <col min="16143"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67" t="s">
        <v>449</v>
      </c>
      <c r="B1" s="868"/>
      <c r="C1" s="868"/>
      <c r="D1" s="869"/>
      <c r="E1" s="868"/>
      <c r="F1" s="868"/>
      <c r="G1" s="867" t="s">
        <v>102</v>
      </c>
      <c r="H1" s="869"/>
      <c r="I1" s="869" t="s">
        <v>835</v>
      </c>
      <c r="J1" s="868"/>
      <c r="K1" s="868"/>
      <c r="L1" s="870"/>
      <c r="M1" s="870"/>
      <c r="N1" s="870"/>
      <c r="O1" s="870"/>
    </row>
    <row r="2" spans="1:15" s="1" customFormat="1" x14ac:dyDescent="0.2">
      <c r="A2" s="867" t="s">
        <v>103</v>
      </c>
      <c r="B2" s="868"/>
      <c r="C2" s="868"/>
      <c r="D2" s="869" t="s">
        <v>836</v>
      </c>
      <c r="E2" s="868"/>
      <c r="F2" s="868"/>
      <c r="G2" s="867" t="s">
        <v>104</v>
      </c>
      <c r="H2" s="869"/>
      <c r="I2" s="869" t="s">
        <v>105</v>
      </c>
      <c r="J2" s="868"/>
      <c r="K2" s="868"/>
      <c r="L2" s="870"/>
      <c r="M2" s="870"/>
      <c r="N2" s="870"/>
      <c r="O2" s="870"/>
    </row>
    <row r="3" spans="1:15" s="1" customFormat="1" x14ac:dyDescent="0.2">
      <c r="A3" s="867" t="s">
        <v>106</v>
      </c>
      <c r="B3" s="868"/>
      <c r="C3" s="868"/>
      <c r="D3" s="881">
        <v>24310</v>
      </c>
      <c r="E3" s="882"/>
      <c r="F3" s="882"/>
      <c r="G3" s="867" t="s">
        <v>107</v>
      </c>
      <c r="H3" s="869"/>
      <c r="I3" s="869" t="s">
        <v>108</v>
      </c>
      <c r="J3" s="868"/>
      <c r="K3" s="868"/>
      <c r="L3" s="870"/>
      <c r="M3" s="870"/>
      <c r="N3" s="870"/>
      <c r="O3" s="870"/>
    </row>
    <row r="4" spans="1:15" s="1" customFormat="1" x14ac:dyDescent="0.2">
      <c r="A4" s="867" t="s">
        <v>109</v>
      </c>
      <c r="B4" s="868"/>
      <c r="C4" s="868"/>
      <c r="D4" s="883"/>
      <c r="E4" s="868"/>
      <c r="F4" s="868"/>
      <c r="G4" s="867" t="s">
        <v>110</v>
      </c>
      <c r="H4" s="869"/>
      <c r="I4" s="869" t="s">
        <v>111</v>
      </c>
      <c r="J4" s="868"/>
      <c r="K4" s="868"/>
      <c r="L4" s="870"/>
      <c r="M4" s="870"/>
      <c r="N4" s="870"/>
      <c r="O4" s="870"/>
    </row>
    <row r="5" spans="1:15" s="1" customFormat="1" x14ac:dyDescent="0.2">
      <c r="A5" s="867" t="s">
        <v>443</v>
      </c>
      <c r="B5" s="868"/>
      <c r="C5" s="868"/>
      <c r="D5" s="869" t="s">
        <v>837</v>
      </c>
      <c r="E5" s="868"/>
      <c r="F5" s="868"/>
      <c r="G5" s="867"/>
      <c r="H5" s="868"/>
      <c r="I5" s="869" t="s">
        <v>113</v>
      </c>
      <c r="J5" s="868"/>
      <c r="K5" s="868"/>
      <c r="L5" s="870"/>
      <c r="M5" s="870"/>
      <c r="N5" s="870"/>
      <c r="O5" s="870"/>
    </row>
    <row r="6" spans="1:15" s="1" customFormat="1" x14ac:dyDescent="0.2">
      <c r="A6" s="871" t="s">
        <v>114</v>
      </c>
      <c r="B6" s="872"/>
      <c r="C6" s="872"/>
      <c r="D6" s="868" t="s">
        <v>764</v>
      </c>
      <c r="E6" s="868"/>
      <c r="F6" s="868"/>
      <c r="G6" s="871" t="s">
        <v>115</v>
      </c>
      <c r="H6" s="871"/>
      <c r="I6" s="2" t="s">
        <v>116</v>
      </c>
      <c r="J6" s="888"/>
      <c r="K6" s="888"/>
      <c r="L6" s="888"/>
      <c r="M6" s="888"/>
      <c r="N6" s="888"/>
      <c r="O6" s="889"/>
    </row>
    <row r="7" spans="1:15" s="1" customFormat="1" ht="13.5" thickBot="1" x14ac:dyDescent="0.25">
      <c r="A7" s="3"/>
      <c r="B7" s="4"/>
      <c r="C7" s="5"/>
      <c r="D7" s="6"/>
      <c r="E7" s="6"/>
      <c r="F7" s="6"/>
      <c r="G7" s="6"/>
      <c r="H7" s="6"/>
      <c r="I7" s="6"/>
      <c r="J7" s="7"/>
      <c r="K7" s="8"/>
      <c r="L7" s="875" t="s">
        <v>223</v>
      </c>
      <c r="M7" s="875"/>
      <c r="N7" s="875"/>
      <c r="O7" s="875"/>
    </row>
    <row r="8" spans="1:15" s="11" customFormat="1" x14ac:dyDescent="0.2">
      <c r="A8" s="876" t="str">
        <f>I1</f>
        <v>Mr. N. Vinodkumar  Vasu</v>
      </c>
      <c r="B8" s="877"/>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41600</v>
      </c>
      <c r="D9" s="14">
        <v>41600</v>
      </c>
      <c r="E9" s="14">
        <v>41600</v>
      </c>
      <c r="F9" s="14">
        <v>41600</v>
      </c>
      <c r="G9" s="14">
        <v>42800</v>
      </c>
      <c r="H9" s="14">
        <v>42800</v>
      </c>
      <c r="I9" s="14">
        <v>42800</v>
      </c>
      <c r="J9" s="14">
        <v>42800</v>
      </c>
      <c r="K9" s="14">
        <v>42800</v>
      </c>
      <c r="L9" s="14">
        <v>42800</v>
      </c>
      <c r="M9" s="14">
        <v>42800</v>
      </c>
      <c r="N9" s="14">
        <v>42800</v>
      </c>
      <c r="O9" s="15">
        <f>SUM(C9:N9)</f>
        <v>508800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2080</v>
      </c>
      <c r="D11" s="17">
        <v>2912</v>
      </c>
      <c r="E11" s="17">
        <v>2912</v>
      </c>
      <c r="F11" s="17">
        <v>2912</v>
      </c>
      <c r="G11" s="17">
        <v>2996</v>
      </c>
      <c r="H11" s="17">
        <v>2996</v>
      </c>
      <c r="I11" s="17">
        <v>2996</v>
      </c>
      <c r="J11" s="17">
        <v>3852</v>
      </c>
      <c r="K11" s="17">
        <v>3852</v>
      </c>
      <c r="L11" s="17">
        <v>3852</v>
      </c>
      <c r="M11" s="17">
        <v>3852</v>
      </c>
      <c r="N11" s="17">
        <v>3852</v>
      </c>
      <c r="O11" s="18">
        <f>SUM(C11:N11)</f>
        <v>39064</v>
      </c>
    </row>
    <row r="12" spans="1:15"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x14ac:dyDescent="0.2">
      <c r="A14" s="12"/>
      <c r="B14" s="13" t="s">
        <v>123</v>
      </c>
      <c r="C14" s="17">
        <v>3780</v>
      </c>
      <c r="D14" s="17">
        <v>3852</v>
      </c>
      <c r="E14" s="17">
        <v>3852</v>
      </c>
      <c r="F14" s="17">
        <v>3852</v>
      </c>
      <c r="G14" s="17">
        <v>3852</v>
      </c>
      <c r="H14" s="17">
        <v>3852</v>
      </c>
      <c r="I14" s="17">
        <v>3852</v>
      </c>
      <c r="J14" s="17">
        <v>3924</v>
      </c>
      <c r="K14" s="17">
        <v>3924</v>
      </c>
      <c r="L14" s="17">
        <v>3924</v>
      </c>
      <c r="M14" s="17">
        <v>3924</v>
      </c>
      <c r="N14" s="17">
        <v>3924</v>
      </c>
      <c r="O14" s="18">
        <f t="shared" si="0"/>
        <v>46512</v>
      </c>
    </row>
    <row r="15" spans="1:15"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hidden="1"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9984</v>
      </c>
      <c r="D19" s="17">
        <v>9984</v>
      </c>
      <c r="E19" s="17">
        <v>9984</v>
      </c>
      <c r="F19" s="17">
        <v>9984</v>
      </c>
      <c r="G19" s="17">
        <v>10272</v>
      </c>
      <c r="H19" s="17">
        <v>10272</v>
      </c>
      <c r="I19" s="17">
        <v>10272</v>
      </c>
      <c r="J19" s="17">
        <v>10272</v>
      </c>
      <c r="K19" s="17">
        <v>10272</v>
      </c>
      <c r="L19" s="17">
        <v>10272</v>
      </c>
      <c r="M19" s="17">
        <v>10272</v>
      </c>
      <c r="N19" s="17">
        <v>10272</v>
      </c>
      <c r="O19" s="18">
        <f t="shared" si="0"/>
        <v>122112</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78"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79"/>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5" ht="15" hidden="1" customHeight="1" x14ac:dyDescent="0.2">
      <c r="A23" s="879"/>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79"/>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79"/>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79"/>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79"/>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79"/>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79"/>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79"/>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79"/>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79"/>
      <c r="B32" s="21" t="s">
        <v>142</v>
      </c>
      <c r="C32" s="17">
        <v>0</v>
      </c>
      <c r="D32" s="17">
        <v>0</v>
      </c>
      <c r="E32" s="17">
        <v>0</v>
      </c>
      <c r="F32" s="17">
        <v>0</v>
      </c>
      <c r="G32" s="17">
        <v>0</v>
      </c>
      <c r="H32" s="17">
        <v>0</v>
      </c>
      <c r="I32" s="17">
        <v>0</v>
      </c>
      <c r="J32" s="17">
        <v>0</v>
      </c>
      <c r="K32" s="17">
        <v>0</v>
      </c>
      <c r="L32" s="17">
        <v>0</v>
      </c>
      <c r="M32" s="17">
        <v>0</v>
      </c>
      <c r="N32" s="17">
        <v>0</v>
      </c>
      <c r="O32" s="18">
        <f t="shared" si="0"/>
        <v>0</v>
      </c>
    </row>
    <row r="33" spans="1:16" ht="15" hidden="1" customHeight="1" x14ac:dyDescent="0.2">
      <c r="A33" s="880"/>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865" t="s">
        <v>144</v>
      </c>
      <c r="B34" s="866"/>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865" t="s">
        <v>145</v>
      </c>
      <c r="B35" s="866"/>
      <c r="C35" s="17">
        <v>0</v>
      </c>
      <c r="D35" s="17">
        <v>216</v>
      </c>
      <c r="E35" s="17">
        <v>0</v>
      </c>
      <c r="F35" s="17">
        <v>0</v>
      </c>
      <c r="G35" s="17">
        <v>0</v>
      </c>
      <c r="H35" s="17">
        <v>0</v>
      </c>
      <c r="I35" s="17">
        <v>0</v>
      </c>
      <c r="J35" s="17">
        <v>216</v>
      </c>
      <c r="K35" s="17">
        <v>0</v>
      </c>
      <c r="L35" s="17">
        <v>0</v>
      </c>
      <c r="M35" s="17">
        <v>0</v>
      </c>
      <c r="N35" s="17">
        <v>0</v>
      </c>
      <c r="O35" s="18">
        <f t="shared" si="0"/>
        <v>432</v>
      </c>
    </row>
    <row r="36" spans="1:16" ht="15" customHeight="1" x14ac:dyDescent="0.2">
      <c r="A36" s="865" t="s">
        <v>146</v>
      </c>
      <c r="B36" s="866"/>
      <c r="C36" s="17">
        <v>0</v>
      </c>
      <c r="D36" s="17">
        <v>2496</v>
      </c>
      <c r="E36" s="17">
        <v>0</v>
      </c>
      <c r="F36" s="17">
        <v>0</v>
      </c>
      <c r="G36" s="17">
        <v>0</v>
      </c>
      <c r="H36" s="17">
        <v>0</v>
      </c>
      <c r="I36" s="17">
        <v>0</v>
      </c>
      <c r="J36" s="17">
        <v>2568</v>
      </c>
      <c r="K36" s="17">
        <v>0</v>
      </c>
      <c r="L36" s="17">
        <v>0</v>
      </c>
      <c r="M36" s="17">
        <v>0</v>
      </c>
      <c r="N36" s="17">
        <v>0</v>
      </c>
      <c r="O36" s="18">
        <f t="shared" si="0"/>
        <v>5064</v>
      </c>
    </row>
    <row r="37" spans="1:16" ht="15" customHeight="1" x14ac:dyDescent="0.2">
      <c r="A37" s="22"/>
      <c r="B37" s="23" t="s">
        <v>147</v>
      </c>
      <c r="C37" s="24">
        <f t="shared" ref="C37:N37" si="1">SUM(C9:C36)</f>
        <v>57444</v>
      </c>
      <c r="D37" s="24">
        <f t="shared" si="1"/>
        <v>61060</v>
      </c>
      <c r="E37" s="24">
        <f t="shared" si="1"/>
        <v>58348</v>
      </c>
      <c r="F37" s="24">
        <f t="shared" si="1"/>
        <v>58348</v>
      </c>
      <c r="G37" s="24">
        <f t="shared" si="1"/>
        <v>59920</v>
      </c>
      <c r="H37" s="24">
        <f t="shared" si="1"/>
        <v>59920</v>
      </c>
      <c r="I37" s="24">
        <f t="shared" si="1"/>
        <v>59920</v>
      </c>
      <c r="J37" s="24">
        <f t="shared" si="1"/>
        <v>70540</v>
      </c>
      <c r="K37" s="24">
        <f t="shared" si="1"/>
        <v>60848</v>
      </c>
      <c r="L37" s="24">
        <f t="shared" si="1"/>
        <v>60848</v>
      </c>
      <c r="M37" s="24">
        <f t="shared" si="1"/>
        <v>60848</v>
      </c>
      <c r="N37" s="24">
        <f t="shared" si="1"/>
        <v>60848</v>
      </c>
      <c r="O37" s="25">
        <f>SUM(C37:N37)</f>
        <v>728892</v>
      </c>
    </row>
    <row r="38" spans="1:16" ht="15" customHeight="1" x14ac:dyDescent="0.25">
      <c r="A38" s="853" t="s">
        <v>148</v>
      </c>
      <c r="B38" s="27" t="s">
        <v>149</v>
      </c>
      <c r="C38" s="147">
        <v>1200</v>
      </c>
      <c r="D38" s="147">
        <v>1500</v>
      </c>
      <c r="E38" s="147">
        <v>1500</v>
      </c>
      <c r="F38" s="147">
        <v>1500</v>
      </c>
      <c r="G38" s="147">
        <v>1500</v>
      </c>
      <c r="H38" s="147">
        <v>1500</v>
      </c>
      <c r="I38" s="147">
        <v>1500</v>
      </c>
      <c r="J38" s="147">
        <v>1500</v>
      </c>
      <c r="K38" s="147">
        <v>3000</v>
      </c>
      <c r="L38" s="147">
        <v>3115</v>
      </c>
      <c r="M38" s="147">
        <v>3115</v>
      </c>
      <c r="N38">
        <v>3350</v>
      </c>
      <c r="O38" s="18">
        <f>SUM(C38:N38)</f>
        <v>24280</v>
      </c>
      <c r="P38" s="29"/>
    </row>
    <row r="39" spans="1:16" ht="15" x14ac:dyDescent="0.2">
      <c r="A39" s="854"/>
      <c r="B39" s="27" t="s">
        <v>150</v>
      </c>
      <c r="C39" s="147">
        <v>0</v>
      </c>
      <c r="D39" s="147">
        <v>0</v>
      </c>
      <c r="E39" s="147">
        <v>0</v>
      </c>
      <c r="F39" s="147">
        <v>0</v>
      </c>
      <c r="G39" s="147">
        <v>0</v>
      </c>
      <c r="H39" s="147">
        <v>0</v>
      </c>
      <c r="I39" s="147">
        <v>0</v>
      </c>
      <c r="J39" s="147">
        <v>0</v>
      </c>
      <c r="K39" s="147">
        <v>0</v>
      </c>
      <c r="L39" s="147">
        <v>0</v>
      </c>
      <c r="M39" s="147">
        <v>0</v>
      </c>
      <c r="N39" s="147">
        <v>0</v>
      </c>
      <c r="O39" s="18">
        <f>SUM(C39:N39)</f>
        <v>0</v>
      </c>
    </row>
    <row r="40" spans="1:16" ht="15" x14ac:dyDescent="0.2">
      <c r="A40" s="854"/>
      <c r="B40" s="27" t="s">
        <v>151</v>
      </c>
      <c r="C40" s="147">
        <v>30</v>
      </c>
      <c r="D40" s="147">
        <v>30</v>
      </c>
      <c r="E40" s="147">
        <v>30</v>
      </c>
      <c r="F40" s="147">
        <v>30</v>
      </c>
      <c r="G40" s="147">
        <v>30</v>
      </c>
      <c r="H40" s="147">
        <v>30</v>
      </c>
      <c r="I40" s="147">
        <v>30</v>
      </c>
      <c r="J40" s="147">
        <v>30</v>
      </c>
      <c r="K40" s="147">
        <v>30</v>
      </c>
      <c r="L40" s="147">
        <v>30</v>
      </c>
      <c r="M40" s="147">
        <v>30</v>
      </c>
      <c r="N40" s="147">
        <v>30</v>
      </c>
      <c r="O40" s="18">
        <f t="shared" ref="O40:O50" si="2">SUM(C40:N40)</f>
        <v>360</v>
      </c>
    </row>
    <row r="41" spans="1:16" ht="15" x14ac:dyDescent="0.2">
      <c r="A41" s="854"/>
      <c r="B41" s="27" t="s">
        <v>152</v>
      </c>
      <c r="C41" s="147">
        <v>0</v>
      </c>
      <c r="D41" s="147">
        <v>0</v>
      </c>
      <c r="E41" s="147">
        <v>0</v>
      </c>
      <c r="F41" s="147">
        <v>0</v>
      </c>
      <c r="G41" s="147">
        <v>0</v>
      </c>
      <c r="H41" s="147">
        <v>0</v>
      </c>
      <c r="I41" s="147">
        <v>0</v>
      </c>
      <c r="J41" s="147">
        <v>0</v>
      </c>
      <c r="K41" s="147">
        <v>0</v>
      </c>
      <c r="L41" s="147">
        <v>0</v>
      </c>
      <c r="M41" s="147">
        <v>0</v>
      </c>
      <c r="N41" s="147">
        <v>0</v>
      </c>
      <c r="O41" s="18">
        <f t="shared" si="2"/>
        <v>0</v>
      </c>
    </row>
    <row r="42" spans="1:16" ht="15" x14ac:dyDescent="0.2">
      <c r="A42" s="854"/>
      <c r="B42" s="27" t="s">
        <v>153</v>
      </c>
      <c r="C42" s="147">
        <v>250</v>
      </c>
      <c r="D42" s="147">
        <v>250</v>
      </c>
      <c r="E42" s="147">
        <v>250</v>
      </c>
      <c r="F42" s="147">
        <v>250</v>
      </c>
      <c r="G42" s="147">
        <v>250</v>
      </c>
      <c r="H42" s="147">
        <v>250</v>
      </c>
      <c r="I42" s="147">
        <v>250</v>
      </c>
      <c r="J42" s="147">
        <v>250</v>
      </c>
      <c r="K42" s="147">
        <v>250</v>
      </c>
      <c r="L42" s="147">
        <v>250</v>
      </c>
      <c r="M42" s="147">
        <v>250</v>
      </c>
      <c r="N42" s="147">
        <v>250</v>
      </c>
      <c r="O42" s="18">
        <f t="shared" si="2"/>
        <v>3000</v>
      </c>
    </row>
    <row r="43" spans="1:16" ht="15" x14ac:dyDescent="0.2">
      <c r="A43" s="854"/>
      <c r="B43" s="27" t="s">
        <v>154</v>
      </c>
      <c r="C43" s="147">
        <v>16000</v>
      </c>
      <c r="D43" s="147">
        <v>16000</v>
      </c>
      <c r="E43" s="147">
        <v>16000</v>
      </c>
      <c r="F43" s="147">
        <v>16000</v>
      </c>
      <c r="G43" s="147">
        <v>16000</v>
      </c>
      <c r="H43" s="147">
        <v>16000</v>
      </c>
      <c r="I43" s="147">
        <v>16000</v>
      </c>
      <c r="J43" s="147">
        <v>16000</v>
      </c>
      <c r="K43" s="147">
        <v>16000</v>
      </c>
      <c r="L43" s="147">
        <v>16000</v>
      </c>
      <c r="M43" s="147">
        <v>16000</v>
      </c>
      <c r="N43" s="147">
        <v>16000</v>
      </c>
      <c r="O43" s="18">
        <f t="shared" si="2"/>
        <v>192000</v>
      </c>
    </row>
    <row r="44" spans="1:16" ht="15" x14ac:dyDescent="0.2">
      <c r="A44" s="854"/>
      <c r="B44" s="27" t="s">
        <v>155</v>
      </c>
      <c r="C44" s="147">
        <v>200</v>
      </c>
      <c r="D44" s="147">
        <v>200</v>
      </c>
      <c r="E44" s="147">
        <v>200</v>
      </c>
      <c r="F44" s="147">
        <v>200</v>
      </c>
      <c r="G44" s="147">
        <v>200</v>
      </c>
      <c r="H44" s="147">
        <v>200</v>
      </c>
      <c r="I44" s="147">
        <v>200</v>
      </c>
      <c r="J44" s="147">
        <v>200</v>
      </c>
      <c r="K44" s="147">
        <v>200</v>
      </c>
      <c r="L44" s="147">
        <v>200</v>
      </c>
      <c r="M44" s="147">
        <v>200</v>
      </c>
      <c r="N44" s="147">
        <v>300</v>
      </c>
      <c r="O44" s="18">
        <f t="shared" si="2"/>
        <v>2500</v>
      </c>
    </row>
    <row r="45" spans="1:16" ht="15" x14ac:dyDescent="0.2">
      <c r="A45" s="854"/>
      <c r="B45" s="27" t="s">
        <v>156</v>
      </c>
      <c r="C45" s="147">
        <v>0</v>
      </c>
      <c r="D45" s="147">
        <v>0</v>
      </c>
      <c r="E45" s="147">
        <v>0</v>
      </c>
      <c r="F45" s="147">
        <v>0</v>
      </c>
      <c r="G45" s="147">
        <v>0</v>
      </c>
      <c r="H45" s="147">
        <v>0</v>
      </c>
      <c r="I45" s="147">
        <v>0</v>
      </c>
      <c r="J45" s="147">
        <v>0</v>
      </c>
      <c r="K45" s="147">
        <v>0</v>
      </c>
      <c r="L45" s="147">
        <v>0</v>
      </c>
      <c r="M45" s="147">
        <v>0</v>
      </c>
      <c r="N45" s="147">
        <v>0</v>
      </c>
      <c r="O45" s="18">
        <f t="shared" si="2"/>
        <v>0</v>
      </c>
    </row>
    <row r="46" spans="1:16" ht="15" x14ac:dyDescent="0.2">
      <c r="A46" s="854"/>
      <c r="B46" s="27" t="s">
        <v>157</v>
      </c>
      <c r="C46" s="147">
        <v>0</v>
      </c>
      <c r="D46" s="147">
        <v>0</v>
      </c>
      <c r="E46" s="147">
        <v>0</v>
      </c>
      <c r="F46" s="147">
        <v>0</v>
      </c>
      <c r="G46" s="147">
        <v>0</v>
      </c>
      <c r="H46" s="147">
        <v>0</v>
      </c>
      <c r="I46" s="147">
        <v>0</v>
      </c>
      <c r="J46" s="147">
        <v>0</v>
      </c>
      <c r="K46" s="147">
        <v>0</v>
      </c>
      <c r="L46" s="147">
        <v>0</v>
      </c>
      <c r="M46" s="147">
        <v>0</v>
      </c>
      <c r="N46" s="147">
        <v>0</v>
      </c>
      <c r="O46" s="18">
        <f t="shared" si="2"/>
        <v>0</v>
      </c>
    </row>
    <row r="47" spans="1:16" ht="28.5" customHeight="1" x14ac:dyDescent="0.2">
      <c r="A47" s="855"/>
      <c r="B47" s="30" t="s">
        <v>158</v>
      </c>
      <c r="C47" s="147">
        <v>0</v>
      </c>
      <c r="D47" s="147">
        <v>0</v>
      </c>
      <c r="E47" s="147">
        <v>0</v>
      </c>
      <c r="F47" s="147">
        <v>0</v>
      </c>
      <c r="G47" s="147">
        <v>0</v>
      </c>
      <c r="H47" s="147">
        <v>0</v>
      </c>
      <c r="I47" s="147">
        <v>0</v>
      </c>
      <c r="J47" s="147">
        <v>0</v>
      </c>
      <c r="K47" s="147">
        <v>0</v>
      </c>
      <c r="L47" s="147">
        <v>0</v>
      </c>
      <c r="M47" s="147">
        <v>0</v>
      </c>
      <c r="N47" s="147">
        <v>0</v>
      </c>
      <c r="O47" s="31">
        <f t="shared" si="2"/>
        <v>0</v>
      </c>
    </row>
    <row r="48" spans="1:16" ht="15" x14ac:dyDescent="0.2">
      <c r="A48" s="856"/>
      <c r="B48" s="127" t="s">
        <v>838</v>
      </c>
      <c r="C48" s="147">
        <v>0</v>
      </c>
      <c r="D48" s="147">
        <v>0</v>
      </c>
      <c r="E48" s="147">
        <v>0</v>
      </c>
      <c r="F48" s="147">
        <v>0</v>
      </c>
      <c r="G48" s="147">
        <v>0</v>
      </c>
      <c r="H48" s="147">
        <v>0</v>
      </c>
      <c r="I48" s="147">
        <v>0</v>
      </c>
      <c r="J48" s="147">
        <v>0</v>
      </c>
      <c r="K48" s="147">
        <v>0</v>
      </c>
      <c r="L48" s="147">
        <v>0</v>
      </c>
      <c r="M48" s="147">
        <v>0</v>
      </c>
      <c r="N48" s="147">
        <v>0</v>
      </c>
      <c r="O48" s="31">
        <f t="shared" si="2"/>
        <v>0</v>
      </c>
    </row>
    <row r="49" spans="1:18" ht="15" x14ac:dyDescent="0.2">
      <c r="A49" s="857" t="s">
        <v>160</v>
      </c>
      <c r="B49" s="858"/>
      <c r="C49" s="33">
        <f t="shared" ref="C49:N49" si="3">SUM(C38:C48)</f>
        <v>17680</v>
      </c>
      <c r="D49" s="33">
        <f t="shared" si="3"/>
        <v>17980</v>
      </c>
      <c r="E49" s="33">
        <f t="shared" si="3"/>
        <v>17980</v>
      </c>
      <c r="F49" s="33">
        <f t="shared" si="3"/>
        <v>17980</v>
      </c>
      <c r="G49" s="33">
        <f t="shared" si="3"/>
        <v>17980</v>
      </c>
      <c r="H49" s="33">
        <f t="shared" si="3"/>
        <v>17980</v>
      </c>
      <c r="I49" s="33">
        <f t="shared" si="3"/>
        <v>17980</v>
      </c>
      <c r="J49" s="33">
        <f t="shared" si="3"/>
        <v>17980</v>
      </c>
      <c r="K49" s="33">
        <f t="shared" si="3"/>
        <v>19480</v>
      </c>
      <c r="L49" s="33">
        <f t="shared" si="3"/>
        <v>19595</v>
      </c>
      <c r="M49" s="33">
        <f t="shared" si="3"/>
        <v>19595</v>
      </c>
      <c r="N49" s="33">
        <f t="shared" si="3"/>
        <v>19930</v>
      </c>
      <c r="O49" s="34">
        <f t="shared" si="2"/>
        <v>222140</v>
      </c>
    </row>
    <row r="50" spans="1:18" ht="15.75" thickBot="1" x14ac:dyDescent="0.25">
      <c r="A50" s="859" t="s">
        <v>161</v>
      </c>
      <c r="B50" s="860"/>
      <c r="C50" s="35">
        <f t="shared" ref="C50:N50" si="4">C37-C49</f>
        <v>39764</v>
      </c>
      <c r="D50" s="35">
        <f t="shared" si="4"/>
        <v>43080</v>
      </c>
      <c r="E50" s="35">
        <f t="shared" si="4"/>
        <v>40368</v>
      </c>
      <c r="F50" s="35">
        <f t="shared" si="4"/>
        <v>40368</v>
      </c>
      <c r="G50" s="35">
        <f t="shared" si="4"/>
        <v>41940</v>
      </c>
      <c r="H50" s="35">
        <f t="shared" si="4"/>
        <v>41940</v>
      </c>
      <c r="I50" s="35">
        <f t="shared" si="4"/>
        <v>41940</v>
      </c>
      <c r="J50" s="35">
        <f t="shared" si="4"/>
        <v>52560</v>
      </c>
      <c r="K50" s="35">
        <f t="shared" si="4"/>
        <v>41368</v>
      </c>
      <c r="L50" s="35">
        <f t="shared" si="4"/>
        <v>41253</v>
      </c>
      <c r="M50" s="35">
        <f t="shared" si="4"/>
        <v>41253</v>
      </c>
      <c r="N50" s="35">
        <f t="shared" si="4"/>
        <v>40918</v>
      </c>
      <c r="O50" s="36">
        <f t="shared" si="2"/>
        <v>506752</v>
      </c>
    </row>
    <row r="51" spans="1:18" x14ac:dyDescent="0.2">
      <c r="J51" s="300">
        <f>+J37-SUM(J22:J36)</f>
        <v>60848</v>
      </c>
      <c r="Q51" s="38"/>
    </row>
    <row r="52" spans="1:18" ht="13.5" thickBot="1" x14ac:dyDescent="0.25">
      <c r="J52" s="38">
        <f>+J51-J49</f>
        <v>42868</v>
      </c>
    </row>
    <row r="53" spans="1:18" ht="13.5" thickBot="1" x14ac:dyDescent="0.25">
      <c r="B53" s="789" t="s">
        <v>162</v>
      </c>
      <c r="C53" s="861"/>
      <c r="D53" s="861"/>
      <c r="E53" s="861"/>
      <c r="F53" s="862"/>
      <c r="G53" s="863">
        <f>O37</f>
        <v>728892</v>
      </c>
      <c r="H53" s="864"/>
    </row>
    <row r="54" spans="1:18" ht="13.5" thickBot="1" x14ac:dyDescent="0.25"/>
    <row r="55" spans="1:18" x14ac:dyDescent="0.2">
      <c r="B55" s="830" t="s">
        <v>163</v>
      </c>
      <c r="C55" s="833" t="s">
        <v>164</v>
      </c>
      <c r="D55" s="836" t="s">
        <v>1673</v>
      </c>
      <c r="E55" s="837"/>
      <c r="F55" s="838"/>
      <c r="G55" s="839">
        <v>40000</v>
      </c>
      <c r="H55" s="840"/>
    </row>
    <row r="56" spans="1:18" x14ac:dyDescent="0.2">
      <c r="B56" s="831"/>
      <c r="C56" s="834"/>
      <c r="D56" s="841" t="s">
        <v>166</v>
      </c>
      <c r="E56" s="842"/>
      <c r="F56" s="843"/>
      <c r="G56" s="844">
        <f>+O44</f>
        <v>2500</v>
      </c>
      <c r="H56" s="845"/>
      <c r="I56" s="39"/>
      <c r="J56" s="846"/>
      <c r="K56" s="846"/>
      <c r="L56" s="846"/>
      <c r="M56" s="847"/>
      <c r="N56" s="847"/>
      <c r="O56" s="847"/>
    </row>
    <row r="57" spans="1:18" ht="13.5" thickBot="1" x14ac:dyDescent="0.25">
      <c r="B57" s="832"/>
      <c r="C57" s="835"/>
      <c r="D57" s="848" t="s">
        <v>243</v>
      </c>
      <c r="E57" s="849"/>
      <c r="F57" s="850"/>
      <c r="G57" s="851">
        <f>IF(O18&gt;15000,15000,+O18)</f>
        <v>0</v>
      </c>
      <c r="H57" s="852"/>
      <c r="J57" s="47"/>
      <c r="K57" s="47"/>
      <c r="L57" s="47"/>
      <c r="M57" s="47"/>
      <c r="N57" s="47"/>
      <c r="O57" s="47"/>
    </row>
    <row r="58" spans="1:18" ht="13.5" thickBot="1" x14ac:dyDescent="0.25">
      <c r="B58" s="48"/>
      <c r="J58" s="47"/>
      <c r="K58" s="47"/>
      <c r="L58" s="47"/>
      <c r="M58" s="47"/>
      <c r="N58" s="47"/>
      <c r="O58" s="47"/>
    </row>
    <row r="59" spans="1:18" ht="13.5" thickBot="1" x14ac:dyDescent="0.25">
      <c r="B59" s="789" t="s">
        <v>168</v>
      </c>
      <c r="C59" s="790"/>
      <c r="D59" s="790"/>
      <c r="E59" s="790"/>
      <c r="F59" s="791"/>
      <c r="G59" s="825">
        <f>+G53-SUM(G55:H57)</f>
        <v>686392</v>
      </c>
      <c r="H59" s="826"/>
      <c r="J59" s="827" t="s">
        <v>169</v>
      </c>
      <c r="K59" s="828"/>
      <c r="L59" s="828"/>
      <c r="M59" s="828"/>
      <c r="N59" s="828"/>
      <c r="O59" s="829"/>
    </row>
    <row r="60" spans="1:18" ht="13.5" thickBot="1" x14ac:dyDescent="0.25">
      <c r="B60" s="49"/>
      <c r="C60" s="50"/>
      <c r="D60" s="50"/>
      <c r="E60" s="50"/>
      <c r="F60" s="50"/>
      <c r="G60" s="45"/>
      <c r="H60" s="50"/>
      <c r="J60" s="129"/>
      <c r="K60" s="130"/>
      <c r="L60" s="130"/>
      <c r="M60" s="130"/>
      <c r="N60" s="130"/>
      <c r="O60" s="131"/>
    </row>
    <row r="61" spans="1:18" ht="13.5" thickBot="1" x14ac:dyDescent="0.25">
      <c r="B61" s="789" t="s">
        <v>170</v>
      </c>
      <c r="C61" s="790"/>
      <c r="D61" s="790"/>
      <c r="E61" s="790"/>
      <c r="F61" s="791"/>
      <c r="G61" s="805"/>
      <c r="H61" s="791"/>
      <c r="J61" s="129"/>
      <c r="K61" s="130"/>
      <c r="L61" s="130"/>
      <c r="M61" s="130"/>
      <c r="N61" s="130"/>
      <c r="O61" s="131"/>
    </row>
    <row r="62" spans="1:18" ht="12.75" customHeight="1" x14ac:dyDescent="0.2">
      <c r="B62" s="57" t="s">
        <v>171</v>
      </c>
      <c r="C62" s="806" t="s">
        <v>172</v>
      </c>
      <c r="D62" s="807"/>
      <c r="E62" s="807"/>
      <c r="F62" s="808"/>
      <c r="G62" s="809">
        <v>0</v>
      </c>
      <c r="H62" s="809"/>
      <c r="I62" s="58"/>
      <c r="J62" s="810" t="s">
        <v>173</v>
      </c>
      <c r="K62" s="811"/>
      <c r="L62" s="811"/>
      <c r="M62" s="811"/>
      <c r="N62" s="811"/>
      <c r="O62" s="812"/>
      <c r="Q62" s="59"/>
      <c r="R62" s="59"/>
    </row>
    <row r="63" spans="1:18" ht="13.5" thickBot="1" x14ac:dyDescent="0.25">
      <c r="D63" s="37"/>
      <c r="I63" s="58"/>
      <c r="J63" s="60"/>
      <c r="K63" s="132"/>
      <c r="L63" s="132"/>
      <c r="M63" s="133"/>
      <c r="N63" s="133"/>
      <c r="O63" s="134"/>
      <c r="Q63" s="59"/>
      <c r="R63" s="59"/>
    </row>
    <row r="64" spans="1:18" ht="13.5" thickBot="1" x14ac:dyDescent="0.25">
      <c r="B64" s="789" t="s">
        <v>175</v>
      </c>
      <c r="C64" s="790"/>
      <c r="D64" s="790"/>
      <c r="E64" s="790"/>
      <c r="F64" s="791"/>
      <c r="G64" s="805">
        <f>+G59-G62</f>
        <v>686392</v>
      </c>
      <c r="H64" s="791"/>
      <c r="I64" s="63"/>
      <c r="J64" s="64"/>
      <c r="K64" s="39"/>
      <c r="L64" s="39"/>
      <c r="M64" s="39"/>
      <c r="N64" s="39"/>
      <c r="O64" s="65"/>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6.25" customHeight="1" thickBot="1" x14ac:dyDescent="0.25">
      <c r="B67" s="66"/>
      <c r="C67" s="48"/>
      <c r="G67" s="70" t="s">
        <v>177</v>
      </c>
      <c r="H67" s="70" t="s">
        <v>178</v>
      </c>
      <c r="I67" s="63"/>
      <c r="J67" s="810" t="s">
        <v>179</v>
      </c>
      <c r="K67" s="811"/>
      <c r="L67" s="71"/>
      <c r="M67" s="71"/>
      <c r="N67" s="71"/>
      <c r="O67" s="158" t="s">
        <v>267</v>
      </c>
      <c r="Q67" s="59"/>
      <c r="R67" s="59"/>
    </row>
    <row r="68" spans="2:18" ht="12.75" customHeight="1" x14ac:dyDescent="0.2">
      <c r="B68" s="802" t="s">
        <v>180</v>
      </c>
      <c r="C68" s="821" t="s">
        <v>181</v>
      </c>
      <c r="D68" s="823" t="s">
        <v>182</v>
      </c>
      <c r="E68" s="824"/>
      <c r="F68" s="824"/>
      <c r="G68" s="73">
        <f>+O43</f>
        <v>192000</v>
      </c>
      <c r="H68" s="74">
        <f t="shared" ref="H68:H76" si="5">+G68</f>
        <v>192000</v>
      </c>
      <c r="I68" s="63"/>
      <c r="J68" s="181" t="s">
        <v>839</v>
      </c>
      <c r="K68" s="58"/>
      <c r="L68" s="58"/>
      <c r="M68" s="58" t="s">
        <v>232</v>
      </c>
      <c r="N68" s="58" t="s">
        <v>670</v>
      </c>
      <c r="O68" s="76"/>
      <c r="Q68" s="59"/>
      <c r="R68" s="59"/>
    </row>
    <row r="69" spans="2:18" ht="12.75" customHeight="1" x14ac:dyDescent="0.2">
      <c r="B69" s="803"/>
      <c r="C69" s="822"/>
      <c r="D69" s="782" t="s">
        <v>184</v>
      </c>
      <c r="E69" s="783"/>
      <c r="F69" s="783"/>
      <c r="G69" s="77">
        <v>0</v>
      </c>
      <c r="H69" s="78">
        <f t="shared" si="5"/>
        <v>0</v>
      </c>
      <c r="I69" s="63"/>
      <c r="J69" s="165" t="s">
        <v>840</v>
      </c>
      <c r="K69" s="68"/>
      <c r="L69" s="68"/>
      <c r="M69" s="135" t="s">
        <v>232</v>
      </c>
      <c r="N69" s="135" t="s">
        <v>276</v>
      </c>
      <c r="O69" s="136">
        <v>0</v>
      </c>
      <c r="Q69" s="59"/>
      <c r="R69" s="59"/>
    </row>
    <row r="70" spans="2:18" ht="12.75" customHeight="1" x14ac:dyDescent="0.2">
      <c r="B70" s="803"/>
      <c r="C70" s="822"/>
      <c r="D70" s="819" t="s">
        <v>185</v>
      </c>
      <c r="E70" s="820"/>
      <c r="F70" s="820"/>
      <c r="G70" s="80">
        <f>O40</f>
        <v>360</v>
      </c>
      <c r="H70" s="78">
        <f t="shared" si="5"/>
        <v>360</v>
      </c>
      <c r="I70" s="63"/>
      <c r="J70" s="79"/>
      <c r="K70" s="68"/>
      <c r="L70" s="68"/>
      <c r="M70" s="68"/>
      <c r="N70" s="68"/>
      <c r="O70" s="69"/>
    </row>
    <row r="71" spans="2:18" x14ac:dyDescent="0.2">
      <c r="B71" s="803"/>
      <c r="C71" s="822"/>
      <c r="D71" s="782" t="s">
        <v>186</v>
      </c>
      <c r="E71" s="783"/>
      <c r="F71" s="783"/>
      <c r="G71" s="81">
        <v>0</v>
      </c>
      <c r="H71" s="78">
        <f t="shared" si="5"/>
        <v>0</v>
      </c>
      <c r="I71" s="63"/>
      <c r="J71" s="82" t="s">
        <v>187</v>
      </c>
      <c r="K71" s="71"/>
      <c r="L71" s="71"/>
      <c r="M71" s="71"/>
      <c r="N71" s="71"/>
      <c r="O71" s="72"/>
    </row>
    <row r="72" spans="2:18" ht="12.75" customHeight="1" x14ac:dyDescent="0.2">
      <c r="B72" s="803"/>
      <c r="C72" s="822"/>
      <c r="D72" s="784" t="s">
        <v>188</v>
      </c>
      <c r="E72" s="783"/>
      <c r="F72" s="783"/>
      <c r="G72" s="80">
        <v>0</v>
      </c>
      <c r="H72" s="78">
        <f t="shared" si="5"/>
        <v>0</v>
      </c>
      <c r="I72" s="63"/>
      <c r="J72" s="75" t="s">
        <v>189</v>
      </c>
      <c r="K72" s="50"/>
      <c r="L72" s="50"/>
      <c r="M72" s="50"/>
      <c r="N72" s="50"/>
      <c r="O72" s="83">
        <f>+O42</f>
        <v>3000</v>
      </c>
    </row>
    <row r="73" spans="2:18" ht="14.25" customHeight="1" x14ac:dyDescent="0.2">
      <c r="B73" s="803"/>
      <c r="C73" s="822"/>
      <c r="D73" s="782" t="s">
        <v>190</v>
      </c>
      <c r="E73" s="783"/>
      <c r="F73" s="783"/>
      <c r="G73" s="84">
        <v>0</v>
      </c>
      <c r="H73" s="78">
        <f t="shared" si="5"/>
        <v>0</v>
      </c>
      <c r="I73" s="63"/>
      <c r="J73" s="75" t="s">
        <v>841</v>
      </c>
      <c r="K73" s="39"/>
      <c r="L73" s="39"/>
      <c r="M73" s="39"/>
      <c r="N73" s="39"/>
      <c r="O73" s="65"/>
    </row>
    <row r="74" spans="2:18" x14ac:dyDescent="0.2">
      <c r="B74" s="803"/>
      <c r="C74" s="822"/>
      <c r="D74" s="782" t="s">
        <v>191</v>
      </c>
      <c r="E74" s="783"/>
      <c r="F74" s="783"/>
      <c r="G74" s="81">
        <v>0</v>
      </c>
      <c r="H74" s="78">
        <f t="shared" si="5"/>
        <v>0</v>
      </c>
      <c r="I74" s="58"/>
      <c r="J74" s="137" t="s">
        <v>842</v>
      </c>
      <c r="K74" s="50"/>
      <c r="L74" s="50"/>
      <c r="M74" s="50"/>
      <c r="N74" s="50"/>
      <c r="O74" s="83"/>
    </row>
    <row r="75" spans="2:18" x14ac:dyDescent="0.2">
      <c r="B75" s="803"/>
      <c r="C75" s="88" t="s">
        <v>192</v>
      </c>
      <c r="D75" s="813" t="s">
        <v>193</v>
      </c>
      <c r="E75" s="814"/>
      <c r="F75" s="814"/>
      <c r="G75" s="80">
        <v>0</v>
      </c>
      <c r="H75" s="78">
        <f t="shared" si="5"/>
        <v>0</v>
      </c>
      <c r="I75" s="58"/>
      <c r="J75" s="79"/>
      <c r="K75" s="39"/>
      <c r="L75" s="39"/>
      <c r="M75" s="39"/>
      <c r="N75" s="39"/>
      <c r="O75" s="65"/>
    </row>
    <row r="76" spans="2:18" ht="13.5" customHeight="1" thickBot="1" x14ac:dyDescent="0.25">
      <c r="B76" s="803"/>
      <c r="C76" s="88" t="s">
        <v>194</v>
      </c>
      <c r="D76" s="815" t="s">
        <v>195</v>
      </c>
      <c r="E76" s="815"/>
      <c r="F76" s="815"/>
      <c r="G76" s="89">
        <v>0</v>
      </c>
      <c r="H76" s="90">
        <f t="shared" si="5"/>
        <v>0</v>
      </c>
      <c r="I76" s="63"/>
      <c r="J76" s="67"/>
      <c r="K76" s="68"/>
      <c r="L76" s="68"/>
      <c r="M76" s="91"/>
      <c r="N76" s="91"/>
      <c r="O76" s="92"/>
    </row>
    <row r="77" spans="2:18" ht="13.5" thickBot="1" x14ac:dyDescent="0.25">
      <c r="B77" s="803"/>
      <c r="C77" s="93"/>
      <c r="D77" s="94"/>
      <c r="E77" s="816" t="s">
        <v>117</v>
      </c>
      <c r="F77" s="817"/>
      <c r="G77" s="95">
        <f>SUM(G68:G76)</f>
        <v>192360</v>
      </c>
      <c r="H77" s="96">
        <f>IF(SUM(G68:G74)&lt;150000,SUM(G68:G74),150000)+IF(+G75&lt;20000,+G75,20000)</f>
        <v>150000</v>
      </c>
      <c r="I77" s="63"/>
      <c r="J77" s="140"/>
      <c r="K77" s="141"/>
      <c r="L77" s="141"/>
      <c r="M77" s="142"/>
      <c r="N77" s="142"/>
      <c r="O77" s="143"/>
    </row>
    <row r="78" spans="2:18" ht="12.75" customHeight="1" x14ac:dyDescent="0.2">
      <c r="B78" s="803"/>
      <c r="C78" s="100" t="s">
        <v>196</v>
      </c>
      <c r="D78" s="782" t="s">
        <v>187</v>
      </c>
      <c r="E78" s="783"/>
      <c r="F78" s="818"/>
      <c r="G78" s="73">
        <f>+O42+O73</f>
        <v>3000</v>
      </c>
      <c r="H78" s="101">
        <f>+IF(+G78&lt;25000,+G78,25000)</f>
        <v>3000</v>
      </c>
      <c r="I78" s="87"/>
    </row>
    <row r="79" spans="2:18" x14ac:dyDescent="0.2">
      <c r="B79" s="803"/>
      <c r="C79" s="100" t="s">
        <v>197</v>
      </c>
      <c r="D79" s="784" t="s">
        <v>198</v>
      </c>
      <c r="E79" s="785"/>
      <c r="F79" s="786"/>
      <c r="G79" s="102"/>
      <c r="H79" s="103">
        <f>+IF(+G79&lt;40000,+G79,40000)</f>
        <v>0</v>
      </c>
      <c r="I79" s="63"/>
    </row>
    <row r="80" spans="2:18" x14ac:dyDescent="0.2">
      <c r="B80" s="803"/>
      <c r="C80" s="100" t="s">
        <v>199</v>
      </c>
      <c r="D80" s="784" t="s">
        <v>200</v>
      </c>
      <c r="E80" s="785"/>
      <c r="F80" s="786"/>
      <c r="G80" s="81"/>
      <c r="H80" s="104">
        <v>0</v>
      </c>
      <c r="I80" s="63"/>
      <c r="J80" s="106"/>
    </row>
    <row r="81" spans="2:12" x14ac:dyDescent="0.2">
      <c r="B81" s="803"/>
      <c r="C81" s="100" t="s">
        <v>201</v>
      </c>
      <c r="D81" s="784" t="s">
        <v>202</v>
      </c>
      <c r="E81" s="785"/>
      <c r="F81" s="786"/>
      <c r="G81" s="81"/>
      <c r="H81" s="104">
        <v>0</v>
      </c>
      <c r="I81" s="63"/>
    </row>
    <row r="82" spans="2:12" ht="13.5" thickBot="1" x14ac:dyDescent="0.25">
      <c r="B82" s="804"/>
      <c r="C82" s="100" t="s">
        <v>203</v>
      </c>
      <c r="D82" s="784" t="s">
        <v>204</v>
      </c>
      <c r="E82" s="785"/>
      <c r="F82" s="786"/>
      <c r="G82" s="102"/>
      <c r="H82" s="103">
        <f>+IF(+G82&lt;100000,+G82,100000)</f>
        <v>0</v>
      </c>
      <c r="I82" s="63"/>
    </row>
    <row r="83" spans="2:12" ht="13.5" thickBot="1" x14ac:dyDescent="0.25">
      <c r="B83" s="787" t="s">
        <v>205</v>
      </c>
      <c r="C83" s="788"/>
      <c r="D83" s="788"/>
      <c r="E83" s="788"/>
      <c r="F83" s="788"/>
      <c r="G83" s="107">
        <f>SUM(G78:G82)</f>
        <v>3000</v>
      </c>
      <c r="H83" s="108">
        <f>SUM(H77:H82)</f>
        <v>153000</v>
      </c>
    </row>
    <row r="84" spans="2:12" ht="13.5" thickBot="1" x14ac:dyDescent="0.25"/>
    <row r="85" spans="2:12" ht="13.5" thickBot="1" x14ac:dyDescent="0.25">
      <c r="B85" s="789" t="s">
        <v>206</v>
      </c>
      <c r="C85" s="790"/>
      <c r="D85" s="790"/>
      <c r="E85" s="790"/>
      <c r="F85" s="791"/>
      <c r="G85" s="792">
        <f>+G64-H83</f>
        <v>533392</v>
      </c>
      <c r="H85" s="791"/>
      <c r="J85" s="109">
        <f>C37+D37+E37+F37</f>
        <v>235200</v>
      </c>
      <c r="K85" s="16" t="s">
        <v>235</v>
      </c>
    </row>
    <row r="86" spans="2:12" x14ac:dyDescent="0.2">
      <c r="B86" s="110"/>
      <c r="F86" s="105"/>
      <c r="J86" s="109">
        <f>G37+H37+I37</f>
        <v>179760</v>
      </c>
      <c r="K86" s="16" t="s">
        <v>236</v>
      </c>
    </row>
    <row r="87" spans="2:12" x14ac:dyDescent="0.2">
      <c r="C87" s="793" t="s">
        <v>207</v>
      </c>
      <c r="D87" s="794"/>
      <c r="E87" s="111" t="s">
        <v>208</v>
      </c>
      <c r="F87" s="111" t="s">
        <v>209</v>
      </c>
      <c r="G87" s="111" t="s">
        <v>210</v>
      </c>
      <c r="H87" s="111" t="s">
        <v>211</v>
      </c>
      <c r="J87" s="206">
        <f>J37+K37+L37</f>
        <v>192236</v>
      </c>
      <c r="K87" s="47" t="s">
        <v>237</v>
      </c>
      <c r="L87" s="16">
        <f>+J91/5</f>
        <v>39100</v>
      </c>
    </row>
    <row r="88" spans="2:12" x14ac:dyDescent="0.2">
      <c r="C88" s="795" t="str">
        <f>IF(I6="M","0          - 250000","0          -  250000")</f>
        <v>0          - 250000</v>
      </c>
      <c r="D88" s="796"/>
      <c r="E88" s="112">
        <v>0</v>
      </c>
      <c r="F88" s="113">
        <f>IF(I6="M",(IF(G85&lt;250000,G85,250000)),(IF(G85&lt;250000,G85,250000)))</f>
        <v>250000</v>
      </c>
      <c r="G88" s="113">
        <f>G85-F88</f>
        <v>283392</v>
      </c>
      <c r="H88" s="113">
        <f>E88*F88</f>
        <v>0</v>
      </c>
      <c r="J88" s="207">
        <f>M37+N37</f>
        <v>121696</v>
      </c>
      <c r="K88" s="1" t="s">
        <v>238</v>
      </c>
    </row>
    <row r="89" spans="2:12" x14ac:dyDescent="0.2">
      <c r="C89" s="795" t="str">
        <f>IF(I6="M","250001 - 500000","250001-500000")</f>
        <v>250001 - 500000</v>
      </c>
      <c r="D89" s="796"/>
      <c r="E89" s="112">
        <v>0.05</v>
      </c>
      <c r="F89" s="113">
        <f>IF(I6="M",(IF(G88&lt;250000,G88,250000)),(IF(G88&lt;250000,G88,250000)))</f>
        <v>250000</v>
      </c>
      <c r="G89" s="113">
        <f>G88-F89</f>
        <v>33392</v>
      </c>
      <c r="H89" s="114">
        <f>ROUND(E89*F89,0.1)</f>
        <v>12500</v>
      </c>
      <c r="J89" s="115">
        <f>SUM(J85:J88)</f>
        <v>728892</v>
      </c>
    </row>
    <row r="90" spans="2:12" x14ac:dyDescent="0.2">
      <c r="C90" s="797" t="s">
        <v>212</v>
      </c>
      <c r="D90" s="798"/>
      <c r="E90" s="112">
        <v>0.2</v>
      </c>
      <c r="F90" s="113">
        <f>IF(G89&lt;500000,G89,500000)</f>
        <v>33392</v>
      </c>
      <c r="G90" s="113">
        <f>G89-F90</f>
        <v>0</v>
      </c>
      <c r="H90" s="114">
        <f>ROUND(E90*F90,0.1)</f>
        <v>6678</v>
      </c>
      <c r="J90" s="16">
        <f>+G85</f>
        <v>533392</v>
      </c>
    </row>
    <row r="91" spans="2:12" x14ac:dyDescent="0.2">
      <c r="C91" s="795" t="s">
        <v>213</v>
      </c>
      <c r="D91" s="796"/>
      <c r="E91" s="112">
        <v>0.3</v>
      </c>
      <c r="F91" s="113">
        <f>G90</f>
        <v>0</v>
      </c>
      <c r="G91" s="113">
        <f>G90-F91</f>
        <v>0</v>
      </c>
      <c r="H91" s="114">
        <f>ROUND(E91*F91,0.1)</f>
        <v>0</v>
      </c>
      <c r="J91" s="16">
        <f>+J89-J90</f>
        <v>195500</v>
      </c>
    </row>
    <row r="92" spans="2:12" ht="12.75" customHeight="1" thickBot="1" x14ac:dyDescent="0.25">
      <c r="B92" s="116"/>
      <c r="C92" s="117"/>
      <c r="D92" s="47"/>
      <c r="E92" s="47"/>
      <c r="F92" s="47"/>
    </row>
    <row r="93" spans="2:12" ht="13.5" thickBot="1" x14ac:dyDescent="0.25">
      <c r="B93" s="799" t="s">
        <v>239</v>
      </c>
      <c r="C93" s="800"/>
      <c r="D93" s="800"/>
      <c r="E93" s="800"/>
      <c r="F93" s="801"/>
      <c r="G93" s="771">
        <f>H88+H89+H90+H91</f>
        <v>19178</v>
      </c>
      <c r="H93" s="772"/>
    </row>
    <row r="94" spans="2:12" ht="13.5" thickBot="1" x14ac:dyDescent="0.25">
      <c r="B94" s="119" t="s">
        <v>215</v>
      </c>
      <c r="C94" s="120"/>
      <c r="D94" s="120"/>
      <c r="E94" s="120"/>
      <c r="F94" s="120"/>
      <c r="G94" s="884">
        <f>IF((G64&lt;500000),5000,0)</f>
        <v>0</v>
      </c>
      <c r="H94" s="885">
        <f>IF(H92&lt;200000,0,IF(H92&lt;220000,((H92-200000)*10%),IF(H92&lt;=500000,2000,IF(H92&gt;=500000,0))))</f>
        <v>0</v>
      </c>
      <c r="J94" s="1"/>
      <c r="K94" s="121"/>
      <c r="L94" s="121"/>
    </row>
    <row r="95" spans="2:12" ht="13.5" thickBot="1" x14ac:dyDescent="0.25">
      <c r="B95" s="122" t="s">
        <v>216</v>
      </c>
      <c r="C95" s="123"/>
      <c r="D95" s="123"/>
      <c r="E95" s="123"/>
      <c r="F95" s="123"/>
      <c r="G95" s="771">
        <f>IF((G93-G94)&lt;0,0,(G93-G94))</f>
        <v>19178</v>
      </c>
      <c r="H95" s="772"/>
      <c r="I95" s="37"/>
    </row>
    <row r="96" spans="2:12" ht="13.5" thickBot="1" x14ac:dyDescent="0.25">
      <c r="B96" s="773" t="s">
        <v>240</v>
      </c>
      <c r="C96" s="774"/>
      <c r="D96" s="774"/>
      <c r="E96" s="774"/>
      <c r="F96" s="775"/>
      <c r="G96" s="776">
        <f>ROUND((IF(G95&gt;0,(G95*4%),0)),0)</f>
        <v>767</v>
      </c>
      <c r="H96" s="777"/>
      <c r="I96" s="37"/>
    </row>
    <row r="97" spans="2:9" ht="13.5" thickBot="1" x14ac:dyDescent="0.25">
      <c r="B97" s="778" t="s">
        <v>218</v>
      </c>
      <c r="C97" s="779"/>
      <c r="D97" s="779"/>
      <c r="E97" s="779"/>
      <c r="F97" s="779"/>
      <c r="G97" s="780">
        <f>G95+G96</f>
        <v>19945</v>
      </c>
      <c r="H97" s="781"/>
      <c r="I97" s="121"/>
    </row>
    <row r="98" spans="2:9" ht="13.5" thickBot="1" x14ac:dyDescent="0.25">
      <c r="B98" s="765" t="s">
        <v>219</v>
      </c>
      <c r="C98" s="766"/>
      <c r="D98" s="766"/>
      <c r="E98" s="766"/>
      <c r="F98" s="766"/>
      <c r="G98" s="767">
        <f>O38</f>
        <v>24280</v>
      </c>
      <c r="H98" s="768"/>
      <c r="I98" s="121"/>
    </row>
    <row r="99" spans="2:9" ht="13.5" thickBot="1" x14ac:dyDescent="0.25">
      <c r="B99" s="765" t="str">
        <f>IF(G99&gt;0,"TAX PAYABLE","TAX REFUND")</f>
        <v>TAX REFUND</v>
      </c>
      <c r="C99" s="766"/>
      <c r="D99" s="766"/>
      <c r="E99" s="766"/>
      <c r="F99" s="766"/>
      <c r="G99" s="767">
        <f>+G97-G98</f>
        <v>-4335</v>
      </c>
      <c r="H99" s="768"/>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0:F90 B99:F99 B93:F97">
    <cfRule type="cellIs" dxfId="1121" priority="5" stopIfTrue="1" operator="equal">
      <formula>"TAX PAYABLE"</formula>
    </cfRule>
    <cfRule type="cellIs" dxfId="1120" priority="6" stopIfTrue="1" operator="equal">
      <formula>"TAX REFUND"</formula>
    </cfRule>
  </conditionalFormatting>
  <conditionalFormatting sqref="G99:H99">
    <cfRule type="cellIs" dxfId="1119" priority="3" stopIfTrue="1" operator="greaterThan">
      <formula>0</formula>
    </cfRule>
    <cfRule type="cellIs" dxfId="1118" priority="4" stopIfTrue="1" operator="lessThanOrEqual">
      <formula>0</formula>
    </cfRule>
  </conditionalFormatting>
  <conditionalFormatting sqref="G90:H90">
    <cfRule type="cellIs" dxfId="1117" priority="1" stopIfTrue="1" operator="lessThan">
      <formula>0</formula>
    </cfRule>
    <cfRule type="cellIs" dxfId="1116" priority="2" stopIfTrue="1" operator="greaterThan">
      <formula>0</formula>
    </cfRule>
  </conditionalFormatting>
  <dataValidations disablePrompts="1"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legacyDrawing r:id="rId2"/>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9"/>
  <sheetViews>
    <sheetView topLeftCell="A62" workbookViewId="0">
      <selection activeCell="L83" sqref="L83"/>
    </sheetView>
  </sheetViews>
  <sheetFormatPr defaultRowHeight="12.75" x14ac:dyDescent="0.2"/>
  <cols>
    <col min="1" max="1" width="5" style="16" customWidth="1"/>
    <col min="2" max="2" width="18.28515625" style="37" customWidth="1"/>
    <col min="3" max="3" width="8" style="16" customWidth="1"/>
    <col min="4" max="4" width="7.85546875" style="16" customWidth="1"/>
    <col min="5" max="5" width="8.5703125" style="16" bestFit="1" customWidth="1"/>
    <col min="6" max="14" width="7.85546875" style="16" customWidth="1"/>
    <col min="15" max="15" width="8.5703125" style="16" customWidth="1"/>
    <col min="16" max="20" width="9.140625" style="16"/>
    <col min="21" max="21" width="12.42578125" style="16" customWidth="1"/>
    <col min="22" max="22" width="9.140625" style="16"/>
    <col min="23" max="23" width="12" style="16" customWidth="1"/>
    <col min="24" max="256" width="9.140625" style="16"/>
    <col min="257" max="257" width="5" style="16" customWidth="1"/>
    <col min="258" max="258" width="18.28515625" style="16" customWidth="1"/>
    <col min="259" max="259" width="8" style="16" customWidth="1"/>
    <col min="260" max="260" width="7.85546875" style="16" customWidth="1"/>
    <col min="261" max="261" width="8.5703125" style="16" bestFit="1" customWidth="1"/>
    <col min="262" max="270" width="7.85546875" style="16" customWidth="1"/>
    <col min="271" max="271" width="8.5703125" style="16" customWidth="1"/>
    <col min="272" max="276" width="9.140625" style="16"/>
    <col min="277" max="277" width="12.42578125" style="16" customWidth="1"/>
    <col min="278" max="278" width="9.140625" style="16"/>
    <col min="279" max="279" width="12" style="16" customWidth="1"/>
    <col min="280" max="512" width="9.140625" style="16"/>
    <col min="513" max="513" width="5" style="16" customWidth="1"/>
    <col min="514" max="514" width="18.28515625" style="16" customWidth="1"/>
    <col min="515" max="515" width="8" style="16" customWidth="1"/>
    <col min="516" max="516" width="7.85546875" style="16" customWidth="1"/>
    <col min="517" max="517" width="8.5703125" style="16" bestFit="1" customWidth="1"/>
    <col min="518" max="526" width="7.85546875" style="16" customWidth="1"/>
    <col min="527" max="527" width="8.5703125" style="16" customWidth="1"/>
    <col min="528" max="532" width="9.140625" style="16"/>
    <col min="533" max="533" width="12.42578125" style="16" customWidth="1"/>
    <col min="534" max="534" width="9.140625" style="16"/>
    <col min="535" max="535" width="12" style="16" customWidth="1"/>
    <col min="536" max="768" width="9.140625" style="16"/>
    <col min="769" max="769" width="5" style="16" customWidth="1"/>
    <col min="770" max="770" width="18.28515625" style="16" customWidth="1"/>
    <col min="771" max="771" width="8" style="16" customWidth="1"/>
    <col min="772" max="772" width="7.85546875" style="16" customWidth="1"/>
    <col min="773" max="773" width="8.5703125" style="16" bestFit="1" customWidth="1"/>
    <col min="774" max="782" width="7.85546875" style="16" customWidth="1"/>
    <col min="783" max="783" width="8.5703125" style="16" customWidth="1"/>
    <col min="784" max="788" width="9.140625" style="16"/>
    <col min="789" max="789" width="12.42578125" style="16" customWidth="1"/>
    <col min="790" max="790" width="9.140625" style="16"/>
    <col min="791" max="791" width="12" style="16" customWidth="1"/>
    <col min="792" max="1024" width="9.140625" style="16"/>
    <col min="1025" max="1025" width="5" style="16" customWidth="1"/>
    <col min="1026" max="1026" width="18.28515625" style="16" customWidth="1"/>
    <col min="1027" max="1027" width="8" style="16" customWidth="1"/>
    <col min="1028" max="1028" width="7.85546875" style="16" customWidth="1"/>
    <col min="1029" max="1029" width="8.5703125" style="16" bestFit="1" customWidth="1"/>
    <col min="1030" max="1038" width="7.85546875" style="16" customWidth="1"/>
    <col min="1039" max="1039" width="8.5703125" style="16" customWidth="1"/>
    <col min="1040" max="1044" width="9.140625" style="16"/>
    <col min="1045" max="1045" width="12.42578125" style="16" customWidth="1"/>
    <col min="1046" max="1046" width="9.140625" style="16"/>
    <col min="1047" max="1047" width="12" style="16" customWidth="1"/>
    <col min="1048" max="1280" width="9.140625" style="16"/>
    <col min="1281" max="1281" width="5" style="16" customWidth="1"/>
    <col min="1282" max="1282" width="18.28515625" style="16" customWidth="1"/>
    <col min="1283" max="1283" width="8" style="16" customWidth="1"/>
    <col min="1284" max="1284" width="7.85546875" style="16" customWidth="1"/>
    <col min="1285" max="1285" width="8.5703125" style="16" bestFit="1" customWidth="1"/>
    <col min="1286" max="1294" width="7.85546875" style="16" customWidth="1"/>
    <col min="1295" max="1295" width="8.5703125" style="16" customWidth="1"/>
    <col min="1296" max="1300" width="9.140625" style="16"/>
    <col min="1301" max="1301" width="12.42578125" style="16" customWidth="1"/>
    <col min="1302" max="1302" width="9.140625" style="16"/>
    <col min="1303" max="1303" width="12" style="16" customWidth="1"/>
    <col min="1304" max="1536" width="9.140625" style="16"/>
    <col min="1537" max="1537" width="5" style="16" customWidth="1"/>
    <col min="1538" max="1538" width="18.28515625" style="16" customWidth="1"/>
    <col min="1539" max="1539" width="8" style="16" customWidth="1"/>
    <col min="1540" max="1540" width="7.85546875" style="16" customWidth="1"/>
    <col min="1541" max="1541" width="8.5703125" style="16" bestFit="1" customWidth="1"/>
    <col min="1542" max="1550" width="7.85546875" style="16" customWidth="1"/>
    <col min="1551" max="1551" width="8.5703125" style="16" customWidth="1"/>
    <col min="1552" max="1556" width="9.140625" style="16"/>
    <col min="1557" max="1557" width="12.42578125" style="16" customWidth="1"/>
    <col min="1558" max="1558" width="9.140625" style="16"/>
    <col min="1559" max="1559" width="12" style="16" customWidth="1"/>
    <col min="1560" max="1792" width="9.140625" style="16"/>
    <col min="1793" max="1793" width="5" style="16" customWidth="1"/>
    <col min="1794" max="1794" width="18.28515625" style="16" customWidth="1"/>
    <col min="1795" max="1795" width="8" style="16" customWidth="1"/>
    <col min="1796" max="1796" width="7.85546875" style="16" customWidth="1"/>
    <col min="1797" max="1797" width="8.5703125" style="16" bestFit="1" customWidth="1"/>
    <col min="1798" max="1806" width="7.85546875" style="16" customWidth="1"/>
    <col min="1807" max="1807" width="8.5703125" style="16" customWidth="1"/>
    <col min="1808" max="1812" width="9.140625" style="16"/>
    <col min="1813" max="1813" width="12.42578125" style="16" customWidth="1"/>
    <col min="1814" max="1814" width="9.140625" style="16"/>
    <col min="1815" max="1815" width="12" style="16" customWidth="1"/>
    <col min="1816" max="2048" width="9.140625" style="16"/>
    <col min="2049" max="2049" width="5" style="16" customWidth="1"/>
    <col min="2050" max="2050" width="18.28515625" style="16" customWidth="1"/>
    <col min="2051" max="2051" width="8" style="16" customWidth="1"/>
    <col min="2052" max="2052" width="7.85546875" style="16" customWidth="1"/>
    <col min="2053" max="2053" width="8.5703125" style="16" bestFit="1" customWidth="1"/>
    <col min="2054" max="2062" width="7.85546875" style="16" customWidth="1"/>
    <col min="2063" max="2063" width="8.5703125" style="16" customWidth="1"/>
    <col min="2064" max="2068" width="9.140625" style="16"/>
    <col min="2069" max="2069" width="12.42578125" style="16" customWidth="1"/>
    <col min="2070" max="2070" width="9.140625" style="16"/>
    <col min="2071" max="2071" width="12" style="16" customWidth="1"/>
    <col min="2072" max="2304" width="9.140625" style="16"/>
    <col min="2305" max="2305" width="5" style="16" customWidth="1"/>
    <col min="2306" max="2306" width="18.28515625" style="16" customWidth="1"/>
    <col min="2307" max="2307" width="8" style="16" customWidth="1"/>
    <col min="2308" max="2308" width="7.85546875" style="16" customWidth="1"/>
    <col min="2309" max="2309" width="8.5703125" style="16" bestFit="1" customWidth="1"/>
    <col min="2310" max="2318" width="7.85546875" style="16" customWidth="1"/>
    <col min="2319" max="2319" width="8.5703125" style="16" customWidth="1"/>
    <col min="2320" max="2324" width="9.140625" style="16"/>
    <col min="2325" max="2325" width="12.42578125" style="16" customWidth="1"/>
    <col min="2326" max="2326" width="9.140625" style="16"/>
    <col min="2327" max="2327" width="12" style="16" customWidth="1"/>
    <col min="2328" max="2560" width="9.140625" style="16"/>
    <col min="2561" max="2561" width="5" style="16" customWidth="1"/>
    <col min="2562" max="2562" width="18.28515625" style="16" customWidth="1"/>
    <col min="2563" max="2563" width="8" style="16" customWidth="1"/>
    <col min="2564" max="2564" width="7.85546875" style="16" customWidth="1"/>
    <col min="2565" max="2565" width="8.5703125" style="16" bestFit="1" customWidth="1"/>
    <col min="2566" max="2574" width="7.85546875" style="16" customWidth="1"/>
    <col min="2575" max="2575" width="8.5703125" style="16" customWidth="1"/>
    <col min="2576" max="2580" width="9.140625" style="16"/>
    <col min="2581" max="2581" width="12.42578125" style="16" customWidth="1"/>
    <col min="2582" max="2582" width="9.140625" style="16"/>
    <col min="2583" max="2583" width="12" style="16" customWidth="1"/>
    <col min="2584" max="2816" width="9.140625" style="16"/>
    <col min="2817" max="2817" width="5" style="16" customWidth="1"/>
    <col min="2818" max="2818" width="18.28515625" style="16" customWidth="1"/>
    <col min="2819" max="2819" width="8" style="16" customWidth="1"/>
    <col min="2820" max="2820" width="7.85546875" style="16" customWidth="1"/>
    <col min="2821" max="2821" width="8.5703125" style="16" bestFit="1" customWidth="1"/>
    <col min="2822" max="2830" width="7.85546875" style="16" customWidth="1"/>
    <col min="2831" max="2831" width="8.5703125" style="16" customWidth="1"/>
    <col min="2832" max="2836" width="9.140625" style="16"/>
    <col min="2837" max="2837" width="12.42578125" style="16" customWidth="1"/>
    <col min="2838" max="2838" width="9.140625" style="16"/>
    <col min="2839" max="2839" width="12" style="16" customWidth="1"/>
    <col min="2840" max="3072" width="9.140625" style="16"/>
    <col min="3073" max="3073" width="5" style="16" customWidth="1"/>
    <col min="3074" max="3074" width="18.28515625" style="16" customWidth="1"/>
    <col min="3075" max="3075" width="8" style="16" customWidth="1"/>
    <col min="3076" max="3076" width="7.85546875" style="16" customWidth="1"/>
    <col min="3077" max="3077" width="8.5703125" style="16" bestFit="1" customWidth="1"/>
    <col min="3078" max="3086" width="7.85546875" style="16" customWidth="1"/>
    <col min="3087" max="3087" width="8.5703125" style="16" customWidth="1"/>
    <col min="3088" max="3092" width="9.140625" style="16"/>
    <col min="3093" max="3093" width="12.42578125" style="16" customWidth="1"/>
    <col min="3094" max="3094" width="9.140625" style="16"/>
    <col min="3095" max="3095" width="12" style="16" customWidth="1"/>
    <col min="3096" max="3328" width="9.140625" style="16"/>
    <col min="3329" max="3329" width="5" style="16" customWidth="1"/>
    <col min="3330" max="3330" width="18.28515625" style="16" customWidth="1"/>
    <col min="3331" max="3331" width="8" style="16" customWidth="1"/>
    <col min="3332" max="3332" width="7.85546875" style="16" customWidth="1"/>
    <col min="3333" max="3333" width="8.5703125" style="16" bestFit="1" customWidth="1"/>
    <col min="3334" max="3342" width="7.85546875" style="16" customWidth="1"/>
    <col min="3343" max="3343" width="8.5703125" style="16" customWidth="1"/>
    <col min="3344" max="3348" width="9.140625" style="16"/>
    <col min="3349" max="3349" width="12.42578125" style="16" customWidth="1"/>
    <col min="3350" max="3350" width="9.140625" style="16"/>
    <col min="3351" max="3351" width="12" style="16" customWidth="1"/>
    <col min="3352" max="3584" width="9.140625" style="16"/>
    <col min="3585" max="3585" width="5" style="16" customWidth="1"/>
    <col min="3586" max="3586" width="18.28515625" style="16" customWidth="1"/>
    <col min="3587" max="3587" width="8" style="16" customWidth="1"/>
    <col min="3588" max="3588" width="7.85546875" style="16" customWidth="1"/>
    <col min="3589" max="3589" width="8.5703125" style="16" bestFit="1" customWidth="1"/>
    <col min="3590" max="3598" width="7.85546875" style="16" customWidth="1"/>
    <col min="3599" max="3599" width="8.5703125" style="16" customWidth="1"/>
    <col min="3600" max="3604" width="9.140625" style="16"/>
    <col min="3605" max="3605" width="12.42578125" style="16" customWidth="1"/>
    <col min="3606" max="3606" width="9.140625" style="16"/>
    <col min="3607" max="3607" width="12" style="16" customWidth="1"/>
    <col min="3608" max="3840" width="9.140625" style="16"/>
    <col min="3841" max="3841" width="5" style="16" customWidth="1"/>
    <col min="3842" max="3842" width="18.28515625" style="16" customWidth="1"/>
    <col min="3843" max="3843" width="8" style="16" customWidth="1"/>
    <col min="3844" max="3844" width="7.85546875" style="16" customWidth="1"/>
    <col min="3845" max="3845" width="8.5703125" style="16" bestFit="1" customWidth="1"/>
    <col min="3846" max="3854" width="7.85546875" style="16" customWidth="1"/>
    <col min="3855" max="3855" width="8.5703125" style="16" customWidth="1"/>
    <col min="3856" max="3860" width="9.140625" style="16"/>
    <col min="3861" max="3861" width="12.42578125" style="16" customWidth="1"/>
    <col min="3862" max="3862" width="9.140625" style="16"/>
    <col min="3863" max="3863" width="12" style="16" customWidth="1"/>
    <col min="3864" max="4096" width="9.140625" style="16"/>
    <col min="4097" max="4097" width="5" style="16" customWidth="1"/>
    <col min="4098" max="4098" width="18.28515625" style="16" customWidth="1"/>
    <col min="4099" max="4099" width="8" style="16" customWidth="1"/>
    <col min="4100" max="4100" width="7.85546875" style="16" customWidth="1"/>
    <col min="4101" max="4101" width="8.5703125" style="16" bestFit="1" customWidth="1"/>
    <col min="4102" max="4110" width="7.85546875" style="16" customWidth="1"/>
    <col min="4111" max="4111" width="8.5703125" style="16" customWidth="1"/>
    <col min="4112" max="4116" width="9.140625" style="16"/>
    <col min="4117" max="4117" width="12.42578125" style="16" customWidth="1"/>
    <col min="4118" max="4118" width="9.140625" style="16"/>
    <col min="4119" max="4119" width="12" style="16" customWidth="1"/>
    <col min="4120" max="4352" width="9.140625" style="16"/>
    <col min="4353" max="4353" width="5" style="16" customWidth="1"/>
    <col min="4354" max="4354" width="18.28515625" style="16" customWidth="1"/>
    <col min="4355" max="4355" width="8" style="16" customWidth="1"/>
    <col min="4356" max="4356" width="7.85546875" style="16" customWidth="1"/>
    <col min="4357" max="4357" width="8.5703125" style="16" bestFit="1" customWidth="1"/>
    <col min="4358" max="4366" width="7.85546875" style="16" customWidth="1"/>
    <col min="4367" max="4367" width="8.5703125" style="16" customWidth="1"/>
    <col min="4368" max="4372" width="9.140625" style="16"/>
    <col min="4373" max="4373" width="12.42578125" style="16" customWidth="1"/>
    <col min="4374" max="4374" width="9.140625" style="16"/>
    <col min="4375" max="4375" width="12" style="16" customWidth="1"/>
    <col min="4376" max="4608" width="9.140625" style="16"/>
    <col min="4609" max="4609" width="5" style="16" customWidth="1"/>
    <col min="4610" max="4610" width="18.28515625" style="16" customWidth="1"/>
    <col min="4611" max="4611" width="8" style="16" customWidth="1"/>
    <col min="4612" max="4612" width="7.85546875" style="16" customWidth="1"/>
    <col min="4613" max="4613" width="8.5703125" style="16" bestFit="1" customWidth="1"/>
    <col min="4614" max="4622" width="7.85546875" style="16" customWidth="1"/>
    <col min="4623" max="4623" width="8.5703125" style="16" customWidth="1"/>
    <col min="4624" max="4628" width="9.140625" style="16"/>
    <col min="4629" max="4629" width="12.42578125" style="16" customWidth="1"/>
    <col min="4630" max="4630" width="9.140625" style="16"/>
    <col min="4631" max="4631" width="12" style="16" customWidth="1"/>
    <col min="4632" max="4864" width="9.140625" style="16"/>
    <col min="4865" max="4865" width="5" style="16" customWidth="1"/>
    <col min="4866" max="4866" width="18.28515625" style="16" customWidth="1"/>
    <col min="4867" max="4867" width="8" style="16" customWidth="1"/>
    <col min="4868" max="4868" width="7.85546875" style="16" customWidth="1"/>
    <col min="4869" max="4869" width="8.5703125" style="16" bestFit="1" customWidth="1"/>
    <col min="4870" max="4878" width="7.85546875" style="16" customWidth="1"/>
    <col min="4879" max="4879" width="8.5703125" style="16" customWidth="1"/>
    <col min="4880" max="4884" width="9.140625" style="16"/>
    <col min="4885" max="4885" width="12.42578125" style="16" customWidth="1"/>
    <col min="4886" max="4886" width="9.140625" style="16"/>
    <col min="4887" max="4887" width="12" style="16" customWidth="1"/>
    <col min="4888" max="5120" width="9.140625" style="16"/>
    <col min="5121" max="5121" width="5" style="16" customWidth="1"/>
    <col min="5122" max="5122" width="18.28515625" style="16" customWidth="1"/>
    <col min="5123" max="5123" width="8" style="16" customWidth="1"/>
    <col min="5124" max="5124" width="7.85546875" style="16" customWidth="1"/>
    <col min="5125" max="5125" width="8.5703125" style="16" bestFit="1" customWidth="1"/>
    <col min="5126" max="5134" width="7.85546875" style="16" customWidth="1"/>
    <col min="5135" max="5135" width="8.5703125" style="16" customWidth="1"/>
    <col min="5136" max="5140" width="9.140625" style="16"/>
    <col min="5141" max="5141" width="12.42578125" style="16" customWidth="1"/>
    <col min="5142" max="5142" width="9.140625" style="16"/>
    <col min="5143" max="5143" width="12" style="16" customWidth="1"/>
    <col min="5144" max="5376" width="9.140625" style="16"/>
    <col min="5377" max="5377" width="5" style="16" customWidth="1"/>
    <col min="5378" max="5378" width="18.28515625" style="16" customWidth="1"/>
    <col min="5379" max="5379" width="8" style="16" customWidth="1"/>
    <col min="5380" max="5380" width="7.85546875" style="16" customWidth="1"/>
    <col min="5381" max="5381" width="8.5703125" style="16" bestFit="1" customWidth="1"/>
    <col min="5382" max="5390" width="7.85546875" style="16" customWidth="1"/>
    <col min="5391" max="5391" width="8.5703125" style="16" customWidth="1"/>
    <col min="5392" max="5396" width="9.140625" style="16"/>
    <col min="5397" max="5397" width="12.42578125" style="16" customWidth="1"/>
    <col min="5398" max="5398" width="9.140625" style="16"/>
    <col min="5399" max="5399" width="12" style="16" customWidth="1"/>
    <col min="5400" max="5632" width="9.140625" style="16"/>
    <col min="5633" max="5633" width="5" style="16" customWidth="1"/>
    <col min="5634" max="5634" width="18.28515625" style="16" customWidth="1"/>
    <col min="5635" max="5635" width="8" style="16" customWidth="1"/>
    <col min="5636" max="5636" width="7.85546875" style="16" customWidth="1"/>
    <col min="5637" max="5637" width="8.5703125" style="16" bestFit="1" customWidth="1"/>
    <col min="5638" max="5646" width="7.85546875" style="16" customWidth="1"/>
    <col min="5647" max="5647" width="8.5703125" style="16" customWidth="1"/>
    <col min="5648" max="5652" width="9.140625" style="16"/>
    <col min="5653" max="5653" width="12.42578125" style="16" customWidth="1"/>
    <col min="5654" max="5654" width="9.140625" style="16"/>
    <col min="5655" max="5655" width="12" style="16" customWidth="1"/>
    <col min="5656" max="5888" width="9.140625" style="16"/>
    <col min="5889" max="5889" width="5" style="16" customWidth="1"/>
    <col min="5890" max="5890" width="18.28515625" style="16" customWidth="1"/>
    <col min="5891" max="5891" width="8" style="16" customWidth="1"/>
    <col min="5892" max="5892" width="7.85546875" style="16" customWidth="1"/>
    <col min="5893" max="5893" width="8.5703125" style="16" bestFit="1" customWidth="1"/>
    <col min="5894" max="5902" width="7.85546875" style="16" customWidth="1"/>
    <col min="5903" max="5903" width="8.5703125" style="16" customWidth="1"/>
    <col min="5904" max="5908" width="9.140625" style="16"/>
    <col min="5909" max="5909" width="12.42578125" style="16" customWidth="1"/>
    <col min="5910" max="5910" width="9.140625" style="16"/>
    <col min="5911" max="5911" width="12" style="16" customWidth="1"/>
    <col min="5912" max="6144" width="9.140625" style="16"/>
    <col min="6145" max="6145" width="5" style="16" customWidth="1"/>
    <col min="6146" max="6146" width="18.28515625" style="16" customWidth="1"/>
    <col min="6147" max="6147" width="8" style="16" customWidth="1"/>
    <col min="6148" max="6148" width="7.85546875" style="16" customWidth="1"/>
    <col min="6149" max="6149" width="8.5703125" style="16" bestFit="1" customWidth="1"/>
    <col min="6150" max="6158" width="7.85546875" style="16" customWidth="1"/>
    <col min="6159" max="6159" width="8.5703125" style="16" customWidth="1"/>
    <col min="6160" max="6164" width="9.140625" style="16"/>
    <col min="6165" max="6165" width="12.42578125" style="16" customWidth="1"/>
    <col min="6166" max="6166" width="9.140625" style="16"/>
    <col min="6167" max="6167" width="12" style="16" customWidth="1"/>
    <col min="6168" max="6400" width="9.140625" style="16"/>
    <col min="6401" max="6401" width="5" style="16" customWidth="1"/>
    <col min="6402" max="6402" width="18.28515625" style="16" customWidth="1"/>
    <col min="6403" max="6403" width="8" style="16" customWidth="1"/>
    <col min="6404" max="6404" width="7.85546875" style="16" customWidth="1"/>
    <col min="6405" max="6405" width="8.5703125" style="16" bestFit="1" customWidth="1"/>
    <col min="6406" max="6414" width="7.85546875" style="16" customWidth="1"/>
    <col min="6415" max="6415" width="8.5703125" style="16" customWidth="1"/>
    <col min="6416" max="6420" width="9.140625" style="16"/>
    <col min="6421" max="6421" width="12.42578125" style="16" customWidth="1"/>
    <col min="6422" max="6422" width="9.140625" style="16"/>
    <col min="6423" max="6423" width="12" style="16" customWidth="1"/>
    <col min="6424" max="6656" width="9.140625" style="16"/>
    <col min="6657" max="6657" width="5" style="16" customWidth="1"/>
    <col min="6658" max="6658" width="18.28515625" style="16" customWidth="1"/>
    <col min="6659" max="6659" width="8" style="16" customWidth="1"/>
    <col min="6660" max="6660" width="7.85546875" style="16" customWidth="1"/>
    <col min="6661" max="6661" width="8.5703125" style="16" bestFit="1" customWidth="1"/>
    <col min="6662" max="6670" width="7.85546875" style="16" customWidth="1"/>
    <col min="6671" max="6671" width="8.5703125" style="16" customWidth="1"/>
    <col min="6672" max="6676" width="9.140625" style="16"/>
    <col min="6677" max="6677" width="12.42578125" style="16" customWidth="1"/>
    <col min="6678" max="6678" width="9.140625" style="16"/>
    <col min="6679" max="6679" width="12" style="16" customWidth="1"/>
    <col min="6680" max="6912" width="9.140625" style="16"/>
    <col min="6913" max="6913" width="5" style="16" customWidth="1"/>
    <col min="6914" max="6914" width="18.28515625" style="16" customWidth="1"/>
    <col min="6915" max="6915" width="8" style="16" customWidth="1"/>
    <col min="6916" max="6916" width="7.85546875" style="16" customWidth="1"/>
    <col min="6917" max="6917" width="8.5703125" style="16" bestFit="1" customWidth="1"/>
    <col min="6918" max="6926" width="7.85546875" style="16" customWidth="1"/>
    <col min="6927" max="6927" width="8.5703125" style="16" customWidth="1"/>
    <col min="6928" max="6932" width="9.140625" style="16"/>
    <col min="6933" max="6933" width="12.42578125" style="16" customWidth="1"/>
    <col min="6934" max="6934" width="9.140625" style="16"/>
    <col min="6935" max="6935" width="12" style="16" customWidth="1"/>
    <col min="6936" max="7168" width="9.140625" style="16"/>
    <col min="7169" max="7169" width="5" style="16" customWidth="1"/>
    <col min="7170" max="7170" width="18.28515625" style="16" customWidth="1"/>
    <col min="7171" max="7171" width="8" style="16" customWidth="1"/>
    <col min="7172" max="7172" width="7.85546875" style="16" customWidth="1"/>
    <col min="7173" max="7173" width="8.5703125" style="16" bestFit="1" customWidth="1"/>
    <col min="7174" max="7182" width="7.85546875" style="16" customWidth="1"/>
    <col min="7183" max="7183" width="8.5703125" style="16" customWidth="1"/>
    <col min="7184" max="7188" width="9.140625" style="16"/>
    <col min="7189" max="7189" width="12.42578125" style="16" customWidth="1"/>
    <col min="7190" max="7190" width="9.140625" style="16"/>
    <col min="7191" max="7191" width="12" style="16" customWidth="1"/>
    <col min="7192" max="7424" width="9.140625" style="16"/>
    <col min="7425" max="7425" width="5" style="16" customWidth="1"/>
    <col min="7426" max="7426" width="18.28515625" style="16" customWidth="1"/>
    <col min="7427" max="7427" width="8" style="16" customWidth="1"/>
    <col min="7428" max="7428" width="7.85546875" style="16" customWidth="1"/>
    <col min="7429" max="7429" width="8.5703125" style="16" bestFit="1" customWidth="1"/>
    <col min="7430" max="7438" width="7.85546875" style="16" customWidth="1"/>
    <col min="7439" max="7439" width="8.5703125" style="16" customWidth="1"/>
    <col min="7440" max="7444" width="9.140625" style="16"/>
    <col min="7445" max="7445" width="12.42578125" style="16" customWidth="1"/>
    <col min="7446" max="7446" width="9.140625" style="16"/>
    <col min="7447" max="7447" width="12" style="16" customWidth="1"/>
    <col min="7448" max="7680" width="9.140625" style="16"/>
    <col min="7681" max="7681" width="5" style="16" customWidth="1"/>
    <col min="7682" max="7682" width="18.28515625" style="16" customWidth="1"/>
    <col min="7683" max="7683" width="8" style="16" customWidth="1"/>
    <col min="7684" max="7684" width="7.85546875" style="16" customWidth="1"/>
    <col min="7685" max="7685" width="8.5703125" style="16" bestFit="1" customWidth="1"/>
    <col min="7686" max="7694" width="7.85546875" style="16" customWidth="1"/>
    <col min="7695" max="7695" width="8.5703125" style="16" customWidth="1"/>
    <col min="7696" max="7700" width="9.140625" style="16"/>
    <col min="7701" max="7701" width="12.42578125" style="16" customWidth="1"/>
    <col min="7702" max="7702" width="9.140625" style="16"/>
    <col min="7703" max="7703" width="12" style="16" customWidth="1"/>
    <col min="7704" max="7936" width="9.140625" style="16"/>
    <col min="7937" max="7937" width="5" style="16" customWidth="1"/>
    <col min="7938" max="7938" width="18.28515625" style="16" customWidth="1"/>
    <col min="7939" max="7939" width="8" style="16" customWidth="1"/>
    <col min="7940" max="7940" width="7.85546875" style="16" customWidth="1"/>
    <col min="7941" max="7941" width="8.5703125" style="16" bestFit="1" customWidth="1"/>
    <col min="7942" max="7950" width="7.85546875" style="16" customWidth="1"/>
    <col min="7951" max="7951" width="8.5703125" style="16" customWidth="1"/>
    <col min="7952" max="7956" width="9.140625" style="16"/>
    <col min="7957" max="7957" width="12.42578125" style="16" customWidth="1"/>
    <col min="7958" max="7958" width="9.140625" style="16"/>
    <col min="7959" max="7959" width="12" style="16" customWidth="1"/>
    <col min="7960" max="8192" width="9.140625" style="16"/>
    <col min="8193" max="8193" width="5" style="16" customWidth="1"/>
    <col min="8194" max="8194" width="18.28515625" style="16" customWidth="1"/>
    <col min="8195" max="8195" width="8" style="16" customWidth="1"/>
    <col min="8196" max="8196" width="7.85546875" style="16" customWidth="1"/>
    <col min="8197" max="8197" width="8.5703125" style="16" bestFit="1" customWidth="1"/>
    <col min="8198" max="8206" width="7.85546875" style="16" customWidth="1"/>
    <col min="8207" max="8207" width="8.5703125" style="16" customWidth="1"/>
    <col min="8208" max="8212" width="9.140625" style="16"/>
    <col min="8213" max="8213" width="12.42578125" style="16" customWidth="1"/>
    <col min="8214" max="8214" width="9.140625" style="16"/>
    <col min="8215" max="8215" width="12" style="16" customWidth="1"/>
    <col min="8216" max="8448" width="9.140625" style="16"/>
    <col min="8449" max="8449" width="5" style="16" customWidth="1"/>
    <col min="8450" max="8450" width="18.28515625" style="16" customWidth="1"/>
    <col min="8451" max="8451" width="8" style="16" customWidth="1"/>
    <col min="8452" max="8452" width="7.85546875" style="16" customWidth="1"/>
    <col min="8453" max="8453" width="8.5703125" style="16" bestFit="1" customWidth="1"/>
    <col min="8454" max="8462" width="7.85546875" style="16" customWidth="1"/>
    <col min="8463" max="8463" width="8.5703125" style="16" customWidth="1"/>
    <col min="8464" max="8468" width="9.140625" style="16"/>
    <col min="8469" max="8469" width="12.42578125" style="16" customWidth="1"/>
    <col min="8470" max="8470" width="9.140625" style="16"/>
    <col min="8471" max="8471" width="12" style="16" customWidth="1"/>
    <col min="8472" max="8704" width="9.140625" style="16"/>
    <col min="8705" max="8705" width="5" style="16" customWidth="1"/>
    <col min="8706" max="8706" width="18.28515625" style="16" customWidth="1"/>
    <col min="8707" max="8707" width="8" style="16" customWidth="1"/>
    <col min="8708" max="8708" width="7.85546875" style="16" customWidth="1"/>
    <col min="8709" max="8709" width="8.5703125" style="16" bestFit="1" customWidth="1"/>
    <col min="8710" max="8718" width="7.85546875" style="16" customWidth="1"/>
    <col min="8719" max="8719" width="8.5703125" style="16" customWidth="1"/>
    <col min="8720" max="8724" width="9.140625" style="16"/>
    <col min="8725" max="8725" width="12.42578125" style="16" customWidth="1"/>
    <col min="8726" max="8726" width="9.140625" style="16"/>
    <col min="8727" max="8727" width="12" style="16" customWidth="1"/>
    <col min="8728" max="8960" width="9.140625" style="16"/>
    <col min="8961" max="8961" width="5" style="16" customWidth="1"/>
    <col min="8962" max="8962" width="18.28515625" style="16" customWidth="1"/>
    <col min="8963" max="8963" width="8" style="16" customWidth="1"/>
    <col min="8964" max="8964" width="7.85546875" style="16" customWidth="1"/>
    <col min="8965" max="8965" width="8.5703125" style="16" bestFit="1" customWidth="1"/>
    <col min="8966" max="8974" width="7.85546875" style="16" customWidth="1"/>
    <col min="8975" max="8975" width="8.5703125" style="16" customWidth="1"/>
    <col min="8976" max="8980" width="9.140625" style="16"/>
    <col min="8981" max="8981" width="12.42578125" style="16" customWidth="1"/>
    <col min="8982" max="8982" width="9.140625" style="16"/>
    <col min="8983" max="8983" width="12" style="16" customWidth="1"/>
    <col min="8984" max="9216" width="9.140625" style="16"/>
    <col min="9217" max="9217" width="5" style="16" customWidth="1"/>
    <col min="9218" max="9218" width="18.28515625" style="16" customWidth="1"/>
    <col min="9219" max="9219" width="8" style="16" customWidth="1"/>
    <col min="9220" max="9220" width="7.85546875" style="16" customWidth="1"/>
    <col min="9221" max="9221" width="8.5703125" style="16" bestFit="1" customWidth="1"/>
    <col min="9222" max="9230" width="7.85546875" style="16" customWidth="1"/>
    <col min="9231" max="9231" width="8.5703125" style="16" customWidth="1"/>
    <col min="9232" max="9236" width="9.140625" style="16"/>
    <col min="9237" max="9237" width="12.42578125" style="16" customWidth="1"/>
    <col min="9238" max="9238" width="9.140625" style="16"/>
    <col min="9239" max="9239" width="12" style="16" customWidth="1"/>
    <col min="9240" max="9472" width="9.140625" style="16"/>
    <col min="9473" max="9473" width="5" style="16" customWidth="1"/>
    <col min="9474" max="9474" width="18.28515625" style="16" customWidth="1"/>
    <col min="9475" max="9475" width="8" style="16" customWidth="1"/>
    <col min="9476" max="9476" width="7.85546875" style="16" customWidth="1"/>
    <col min="9477" max="9477" width="8.5703125" style="16" bestFit="1" customWidth="1"/>
    <col min="9478" max="9486" width="7.85546875" style="16" customWidth="1"/>
    <col min="9487" max="9487" width="8.5703125" style="16" customWidth="1"/>
    <col min="9488" max="9492" width="9.140625" style="16"/>
    <col min="9493" max="9493" width="12.42578125" style="16" customWidth="1"/>
    <col min="9494" max="9494" width="9.140625" style="16"/>
    <col min="9495" max="9495" width="12" style="16" customWidth="1"/>
    <col min="9496" max="9728" width="9.140625" style="16"/>
    <col min="9729" max="9729" width="5" style="16" customWidth="1"/>
    <col min="9730" max="9730" width="18.28515625" style="16" customWidth="1"/>
    <col min="9731" max="9731" width="8" style="16" customWidth="1"/>
    <col min="9732" max="9732" width="7.85546875" style="16" customWidth="1"/>
    <col min="9733" max="9733" width="8.5703125" style="16" bestFit="1" customWidth="1"/>
    <col min="9734" max="9742" width="7.85546875" style="16" customWidth="1"/>
    <col min="9743" max="9743" width="8.5703125" style="16" customWidth="1"/>
    <col min="9744" max="9748" width="9.140625" style="16"/>
    <col min="9749" max="9749" width="12.42578125" style="16" customWidth="1"/>
    <col min="9750" max="9750" width="9.140625" style="16"/>
    <col min="9751" max="9751" width="12" style="16" customWidth="1"/>
    <col min="9752" max="9984" width="9.140625" style="16"/>
    <col min="9985" max="9985" width="5" style="16" customWidth="1"/>
    <col min="9986" max="9986" width="18.28515625" style="16" customWidth="1"/>
    <col min="9987" max="9987" width="8" style="16" customWidth="1"/>
    <col min="9988" max="9988" width="7.85546875" style="16" customWidth="1"/>
    <col min="9989" max="9989" width="8.5703125" style="16" bestFit="1" customWidth="1"/>
    <col min="9990" max="9998" width="7.85546875" style="16" customWidth="1"/>
    <col min="9999" max="9999" width="8.5703125" style="16" customWidth="1"/>
    <col min="10000" max="10004" width="9.140625" style="16"/>
    <col min="10005" max="10005" width="12.42578125" style="16" customWidth="1"/>
    <col min="10006" max="10006" width="9.140625" style="16"/>
    <col min="10007" max="10007" width="12" style="16" customWidth="1"/>
    <col min="10008" max="10240" width="9.140625" style="16"/>
    <col min="10241" max="10241" width="5" style="16" customWidth="1"/>
    <col min="10242" max="10242" width="18.28515625" style="16" customWidth="1"/>
    <col min="10243" max="10243" width="8" style="16" customWidth="1"/>
    <col min="10244" max="10244" width="7.85546875" style="16" customWidth="1"/>
    <col min="10245" max="10245" width="8.5703125" style="16" bestFit="1" customWidth="1"/>
    <col min="10246" max="10254" width="7.85546875" style="16" customWidth="1"/>
    <col min="10255" max="10255" width="8.5703125" style="16" customWidth="1"/>
    <col min="10256" max="10260" width="9.140625" style="16"/>
    <col min="10261" max="10261" width="12.42578125" style="16" customWidth="1"/>
    <col min="10262" max="10262" width="9.140625" style="16"/>
    <col min="10263" max="10263" width="12" style="16" customWidth="1"/>
    <col min="10264" max="10496" width="9.140625" style="16"/>
    <col min="10497" max="10497" width="5" style="16" customWidth="1"/>
    <col min="10498" max="10498" width="18.28515625" style="16" customWidth="1"/>
    <col min="10499" max="10499" width="8" style="16" customWidth="1"/>
    <col min="10500" max="10500" width="7.85546875" style="16" customWidth="1"/>
    <col min="10501" max="10501" width="8.5703125" style="16" bestFit="1" customWidth="1"/>
    <col min="10502" max="10510" width="7.85546875" style="16" customWidth="1"/>
    <col min="10511" max="10511" width="8.5703125" style="16" customWidth="1"/>
    <col min="10512" max="10516" width="9.140625" style="16"/>
    <col min="10517" max="10517" width="12.42578125" style="16" customWidth="1"/>
    <col min="10518" max="10518" width="9.140625" style="16"/>
    <col min="10519" max="10519" width="12" style="16" customWidth="1"/>
    <col min="10520" max="10752" width="9.140625" style="16"/>
    <col min="10753" max="10753" width="5" style="16" customWidth="1"/>
    <col min="10754" max="10754" width="18.28515625" style="16" customWidth="1"/>
    <col min="10755" max="10755" width="8" style="16" customWidth="1"/>
    <col min="10756" max="10756" width="7.85546875" style="16" customWidth="1"/>
    <col min="10757" max="10757" width="8.5703125" style="16" bestFit="1" customWidth="1"/>
    <col min="10758" max="10766" width="7.85546875" style="16" customWidth="1"/>
    <col min="10767" max="10767" width="8.5703125" style="16" customWidth="1"/>
    <col min="10768" max="10772" width="9.140625" style="16"/>
    <col min="10773" max="10773" width="12.42578125" style="16" customWidth="1"/>
    <col min="10774" max="10774" width="9.140625" style="16"/>
    <col min="10775" max="10775" width="12" style="16" customWidth="1"/>
    <col min="10776" max="11008" width="9.140625" style="16"/>
    <col min="11009" max="11009" width="5" style="16" customWidth="1"/>
    <col min="11010" max="11010" width="18.28515625" style="16" customWidth="1"/>
    <col min="11011" max="11011" width="8" style="16" customWidth="1"/>
    <col min="11012" max="11012" width="7.85546875" style="16" customWidth="1"/>
    <col min="11013" max="11013" width="8.5703125" style="16" bestFit="1" customWidth="1"/>
    <col min="11014" max="11022" width="7.85546875" style="16" customWidth="1"/>
    <col min="11023" max="11023" width="8.5703125" style="16" customWidth="1"/>
    <col min="11024" max="11028" width="9.140625" style="16"/>
    <col min="11029" max="11029" width="12.42578125" style="16" customWidth="1"/>
    <col min="11030" max="11030" width="9.140625" style="16"/>
    <col min="11031" max="11031" width="12" style="16" customWidth="1"/>
    <col min="11032" max="11264" width="9.140625" style="16"/>
    <col min="11265" max="11265" width="5" style="16" customWidth="1"/>
    <col min="11266" max="11266" width="18.28515625" style="16" customWidth="1"/>
    <col min="11267" max="11267" width="8" style="16" customWidth="1"/>
    <col min="11268" max="11268" width="7.85546875" style="16" customWidth="1"/>
    <col min="11269" max="11269" width="8.5703125" style="16" bestFit="1" customWidth="1"/>
    <col min="11270" max="11278" width="7.85546875" style="16" customWidth="1"/>
    <col min="11279" max="11279" width="8.5703125" style="16" customWidth="1"/>
    <col min="11280" max="11284" width="9.140625" style="16"/>
    <col min="11285" max="11285" width="12.42578125" style="16" customWidth="1"/>
    <col min="11286" max="11286" width="9.140625" style="16"/>
    <col min="11287" max="11287" width="12" style="16" customWidth="1"/>
    <col min="11288" max="11520" width="9.140625" style="16"/>
    <col min="11521" max="11521" width="5" style="16" customWidth="1"/>
    <col min="11522" max="11522" width="18.28515625" style="16" customWidth="1"/>
    <col min="11523" max="11523" width="8" style="16" customWidth="1"/>
    <col min="11524" max="11524" width="7.85546875" style="16" customWidth="1"/>
    <col min="11525" max="11525" width="8.5703125" style="16" bestFit="1" customWidth="1"/>
    <col min="11526" max="11534" width="7.85546875" style="16" customWidth="1"/>
    <col min="11535" max="11535" width="8.5703125" style="16" customWidth="1"/>
    <col min="11536" max="11540" width="9.140625" style="16"/>
    <col min="11541" max="11541" width="12.42578125" style="16" customWidth="1"/>
    <col min="11542" max="11542" width="9.140625" style="16"/>
    <col min="11543" max="11543" width="12" style="16" customWidth="1"/>
    <col min="11544" max="11776" width="9.140625" style="16"/>
    <col min="11777" max="11777" width="5" style="16" customWidth="1"/>
    <col min="11778" max="11778" width="18.28515625" style="16" customWidth="1"/>
    <col min="11779" max="11779" width="8" style="16" customWidth="1"/>
    <col min="11780" max="11780" width="7.85546875" style="16" customWidth="1"/>
    <col min="11781" max="11781" width="8.5703125" style="16" bestFit="1" customWidth="1"/>
    <col min="11782" max="11790" width="7.85546875" style="16" customWidth="1"/>
    <col min="11791" max="11791" width="8.5703125" style="16" customWidth="1"/>
    <col min="11792" max="11796" width="9.140625" style="16"/>
    <col min="11797" max="11797" width="12.42578125" style="16" customWidth="1"/>
    <col min="11798" max="11798" width="9.140625" style="16"/>
    <col min="11799" max="11799" width="12" style="16" customWidth="1"/>
    <col min="11800" max="12032" width="9.140625" style="16"/>
    <col min="12033" max="12033" width="5" style="16" customWidth="1"/>
    <col min="12034" max="12034" width="18.28515625" style="16" customWidth="1"/>
    <col min="12035" max="12035" width="8" style="16" customWidth="1"/>
    <col min="12036" max="12036" width="7.85546875" style="16" customWidth="1"/>
    <col min="12037" max="12037" width="8.5703125" style="16" bestFit="1" customWidth="1"/>
    <col min="12038" max="12046" width="7.85546875" style="16" customWidth="1"/>
    <col min="12047" max="12047" width="8.5703125" style="16" customWidth="1"/>
    <col min="12048" max="12052" width="9.140625" style="16"/>
    <col min="12053" max="12053" width="12.42578125" style="16" customWidth="1"/>
    <col min="12054" max="12054" width="9.140625" style="16"/>
    <col min="12055" max="12055" width="12" style="16" customWidth="1"/>
    <col min="12056" max="12288" width="9.140625" style="16"/>
    <col min="12289" max="12289" width="5" style="16" customWidth="1"/>
    <col min="12290" max="12290" width="18.28515625" style="16" customWidth="1"/>
    <col min="12291" max="12291" width="8" style="16" customWidth="1"/>
    <col min="12292" max="12292" width="7.85546875" style="16" customWidth="1"/>
    <col min="12293" max="12293" width="8.5703125" style="16" bestFit="1" customWidth="1"/>
    <col min="12294" max="12302" width="7.85546875" style="16" customWidth="1"/>
    <col min="12303" max="12303" width="8.5703125" style="16" customWidth="1"/>
    <col min="12304" max="12308" width="9.140625" style="16"/>
    <col min="12309" max="12309" width="12.42578125" style="16" customWidth="1"/>
    <col min="12310" max="12310" width="9.140625" style="16"/>
    <col min="12311" max="12311" width="12" style="16" customWidth="1"/>
    <col min="12312" max="12544" width="9.140625" style="16"/>
    <col min="12545" max="12545" width="5" style="16" customWidth="1"/>
    <col min="12546" max="12546" width="18.28515625" style="16" customWidth="1"/>
    <col min="12547" max="12547" width="8" style="16" customWidth="1"/>
    <col min="12548" max="12548" width="7.85546875" style="16" customWidth="1"/>
    <col min="12549" max="12549" width="8.5703125" style="16" bestFit="1" customWidth="1"/>
    <col min="12550" max="12558" width="7.85546875" style="16" customWidth="1"/>
    <col min="12559" max="12559" width="8.5703125" style="16" customWidth="1"/>
    <col min="12560" max="12564" width="9.140625" style="16"/>
    <col min="12565" max="12565" width="12.42578125" style="16" customWidth="1"/>
    <col min="12566" max="12566" width="9.140625" style="16"/>
    <col min="12567" max="12567" width="12" style="16" customWidth="1"/>
    <col min="12568" max="12800" width="9.140625" style="16"/>
    <col min="12801" max="12801" width="5" style="16" customWidth="1"/>
    <col min="12802" max="12802" width="18.28515625" style="16" customWidth="1"/>
    <col min="12803" max="12803" width="8" style="16" customWidth="1"/>
    <col min="12804" max="12804" width="7.85546875" style="16" customWidth="1"/>
    <col min="12805" max="12805" width="8.5703125" style="16" bestFit="1" customWidth="1"/>
    <col min="12806" max="12814" width="7.85546875" style="16" customWidth="1"/>
    <col min="12815" max="12815" width="8.5703125" style="16" customWidth="1"/>
    <col min="12816" max="12820" width="9.140625" style="16"/>
    <col min="12821" max="12821" width="12.42578125" style="16" customWidth="1"/>
    <col min="12822" max="12822" width="9.140625" style="16"/>
    <col min="12823" max="12823" width="12" style="16" customWidth="1"/>
    <col min="12824" max="13056" width="9.140625" style="16"/>
    <col min="13057" max="13057" width="5" style="16" customWidth="1"/>
    <col min="13058" max="13058" width="18.28515625" style="16" customWidth="1"/>
    <col min="13059" max="13059" width="8" style="16" customWidth="1"/>
    <col min="13060" max="13060" width="7.85546875" style="16" customWidth="1"/>
    <col min="13061" max="13061" width="8.5703125" style="16" bestFit="1" customWidth="1"/>
    <col min="13062" max="13070" width="7.85546875" style="16" customWidth="1"/>
    <col min="13071" max="13071" width="8.5703125" style="16" customWidth="1"/>
    <col min="13072" max="13076" width="9.140625" style="16"/>
    <col min="13077" max="13077" width="12.42578125" style="16" customWidth="1"/>
    <col min="13078" max="13078" width="9.140625" style="16"/>
    <col min="13079" max="13079" width="12" style="16" customWidth="1"/>
    <col min="13080" max="13312" width="9.140625" style="16"/>
    <col min="13313" max="13313" width="5" style="16" customWidth="1"/>
    <col min="13314" max="13314" width="18.28515625" style="16" customWidth="1"/>
    <col min="13315" max="13315" width="8" style="16" customWidth="1"/>
    <col min="13316" max="13316" width="7.85546875" style="16" customWidth="1"/>
    <col min="13317" max="13317" width="8.5703125" style="16" bestFit="1" customWidth="1"/>
    <col min="13318" max="13326" width="7.85546875" style="16" customWidth="1"/>
    <col min="13327" max="13327" width="8.5703125" style="16" customWidth="1"/>
    <col min="13328" max="13332" width="9.140625" style="16"/>
    <col min="13333" max="13333" width="12.42578125" style="16" customWidth="1"/>
    <col min="13334" max="13334" width="9.140625" style="16"/>
    <col min="13335" max="13335" width="12" style="16" customWidth="1"/>
    <col min="13336" max="13568" width="9.140625" style="16"/>
    <col min="13569" max="13569" width="5" style="16" customWidth="1"/>
    <col min="13570" max="13570" width="18.28515625" style="16" customWidth="1"/>
    <col min="13571" max="13571" width="8" style="16" customWidth="1"/>
    <col min="13572" max="13572" width="7.85546875" style="16" customWidth="1"/>
    <col min="13573" max="13573" width="8.5703125" style="16" bestFit="1" customWidth="1"/>
    <col min="13574" max="13582" width="7.85546875" style="16" customWidth="1"/>
    <col min="13583" max="13583" width="8.5703125" style="16" customWidth="1"/>
    <col min="13584" max="13588" width="9.140625" style="16"/>
    <col min="13589" max="13589" width="12.42578125" style="16" customWidth="1"/>
    <col min="13590" max="13590" width="9.140625" style="16"/>
    <col min="13591" max="13591" width="12" style="16" customWidth="1"/>
    <col min="13592" max="13824" width="9.140625" style="16"/>
    <col min="13825" max="13825" width="5" style="16" customWidth="1"/>
    <col min="13826" max="13826" width="18.28515625" style="16" customWidth="1"/>
    <col min="13827" max="13827" width="8" style="16" customWidth="1"/>
    <col min="13828" max="13828" width="7.85546875" style="16" customWidth="1"/>
    <col min="13829" max="13829" width="8.5703125" style="16" bestFit="1" customWidth="1"/>
    <col min="13830" max="13838" width="7.85546875" style="16" customWidth="1"/>
    <col min="13839" max="13839" width="8.5703125" style="16" customWidth="1"/>
    <col min="13840" max="13844" width="9.140625" style="16"/>
    <col min="13845" max="13845" width="12.42578125" style="16" customWidth="1"/>
    <col min="13846" max="13846" width="9.140625" style="16"/>
    <col min="13847" max="13847" width="12" style="16" customWidth="1"/>
    <col min="13848" max="14080" width="9.140625" style="16"/>
    <col min="14081" max="14081" width="5" style="16" customWidth="1"/>
    <col min="14082" max="14082" width="18.28515625" style="16" customWidth="1"/>
    <col min="14083" max="14083" width="8" style="16" customWidth="1"/>
    <col min="14084" max="14084" width="7.85546875" style="16" customWidth="1"/>
    <col min="14085" max="14085" width="8.5703125" style="16" bestFit="1" customWidth="1"/>
    <col min="14086" max="14094" width="7.85546875" style="16" customWidth="1"/>
    <col min="14095" max="14095" width="8.5703125" style="16" customWidth="1"/>
    <col min="14096" max="14100" width="9.140625" style="16"/>
    <col min="14101" max="14101" width="12.42578125" style="16" customWidth="1"/>
    <col min="14102" max="14102" width="9.140625" style="16"/>
    <col min="14103" max="14103" width="12" style="16" customWidth="1"/>
    <col min="14104" max="14336" width="9.140625" style="16"/>
    <col min="14337" max="14337" width="5" style="16" customWidth="1"/>
    <col min="14338" max="14338" width="18.28515625" style="16" customWidth="1"/>
    <col min="14339" max="14339" width="8" style="16" customWidth="1"/>
    <col min="14340" max="14340" width="7.85546875" style="16" customWidth="1"/>
    <col min="14341" max="14341" width="8.5703125" style="16" bestFit="1" customWidth="1"/>
    <col min="14342" max="14350" width="7.85546875" style="16" customWidth="1"/>
    <col min="14351" max="14351" width="8.5703125" style="16" customWidth="1"/>
    <col min="14352" max="14356" width="9.140625" style="16"/>
    <col min="14357" max="14357" width="12.42578125" style="16" customWidth="1"/>
    <col min="14358" max="14358" width="9.140625" style="16"/>
    <col min="14359" max="14359" width="12" style="16" customWidth="1"/>
    <col min="14360" max="14592" width="9.140625" style="16"/>
    <col min="14593" max="14593" width="5" style="16" customWidth="1"/>
    <col min="14594" max="14594" width="18.28515625" style="16" customWidth="1"/>
    <col min="14595" max="14595" width="8" style="16" customWidth="1"/>
    <col min="14596" max="14596" width="7.85546875" style="16" customWidth="1"/>
    <col min="14597" max="14597" width="8.5703125" style="16" bestFit="1" customWidth="1"/>
    <col min="14598" max="14606" width="7.85546875" style="16" customWidth="1"/>
    <col min="14607" max="14607" width="8.5703125" style="16" customWidth="1"/>
    <col min="14608" max="14612" width="9.140625" style="16"/>
    <col min="14613" max="14613" width="12.42578125" style="16" customWidth="1"/>
    <col min="14614" max="14614" width="9.140625" style="16"/>
    <col min="14615" max="14615" width="12" style="16" customWidth="1"/>
    <col min="14616" max="14848" width="9.140625" style="16"/>
    <col min="14849" max="14849" width="5" style="16" customWidth="1"/>
    <col min="14850" max="14850" width="18.28515625" style="16" customWidth="1"/>
    <col min="14851" max="14851" width="8" style="16" customWidth="1"/>
    <col min="14852" max="14852" width="7.85546875" style="16" customWidth="1"/>
    <col min="14853" max="14853" width="8.5703125" style="16" bestFit="1" customWidth="1"/>
    <col min="14854" max="14862" width="7.85546875" style="16" customWidth="1"/>
    <col min="14863" max="14863" width="8.5703125" style="16" customWidth="1"/>
    <col min="14864" max="14868" width="9.140625" style="16"/>
    <col min="14869" max="14869" width="12.42578125" style="16" customWidth="1"/>
    <col min="14870" max="14870" width="9.140625" style="16"/>
    <col min="14871" max="14871" width="12" style="16" customWidth="1"/>
    <col min="14872" max="15104" width="9.140625" style="16"/>
    <col min="15105" max="15105" width="5" style="16" customWidth="1"/>
    <col min="15106" max="15106" width="18.28515625" style="16" customWidth="1"/>
    <col min="15107" max="15107" width="8" style="16" customWidth="1"/>
    <col min="15108" max="15108" width="7.85546875" style="16" customWidth="1"/>
    <col min="15109" max="15109" width="8.5703125" style="16" bestFit="1" customWidth="1"/>
    <col min="15110" max="15118" width="7.85546875" style="16" customWidth="1"/>
    <col min="15119" max="15119" width="8.5703125" style="16" customWidth="1"/>
    <col min="15120" max="15124" width="9.140625" style="16"/>
    <col min="15125" max="15125" width="12.42578125" style="16" customWidth="1"/>
    <col min="15126" max="15126" width="9.140625" style="16"/>
    <col min="15127" max="15127" width="12" style="16" customWidth="1"/>
    <col min="15128" max="15360" width="9.140625" style="16"/>
    <col min="15361" max="15361" width="5" style="16" customWidth="1"/>
    <col min="15362" max="15362" width="18.28515625" style="16" customWidth="1"/>
    <col min="15363" max="15363" width="8" style="16" customWidth="1"/>
    <col min="15364" max="15364" width="7.85546875" style="16" customWidth="1"/>
    <col min="15365" max="15365" width="8.5703125" style="16" bestFit="1" customWidth="1"/>
    <col min="15366" max="15374" width="7.85546875" style="16" customWidth="1"/>
    <col min="15375" max="15375" width="8.5703125" style="16" customWidth="1"/>
    <col min="15376" max="15380" width="9.140625" style="16"/>
    <col min="15381" max="15381" width="12.42578125" style="16" customWidth="1"/>
    <col min="15382" max="15382" width="9.140625" style="16"/>
    <col min="15383" max="15383" width="12" style="16" customWidth="1"/>
    <col min="15384" max="15616" width="9.140625" style="16"/>
    <col min="15617" max="15617" width="5" style="16" customWidth="1"/>
    <col min="15618" max="15618" width="18.28515625" style="16" customWidth="1"/>
    <col min="15619" max="15619" width="8" style="16" customWidth="1"/>
    <col min="15620" max="15620" width="7.85546875" style="16" customWidth="1"/>
    <col min="15621" max="15621" width="8.5703125" style="16" bestFit="1" customWidth="1"/>
    <col min="15622" max="15630" width="7.85546875" style="16" customWidth="1"/>
    <col min="15631" max="15631" width="8.5703125" style="16" customWidth="1"/>
    <col min="15632" max="15636" width="9.140625" style="16"/>
    <col min="15637" max="15637" width="12.42578125" style="16" customWidth="1"/>
    <col min="15638" max="15638" width="9.140625" style="16"/>
    <col min="15639" max="15639" width="12" style="16" customWidth="1"/>
    <col min="15640" max="15872" width="9.140625" style="16"/>
    <col min="15873" max="15873" width="5" style="16" customWidth="1"/>
    <col min="15874" max="15874" width="18.28515625" style="16" customWidth="1"/>
    <col min="15875" max="15875" width="8" style="16" customWidth="1"/>
    <col min="15876" max="15876" width="7.85546875" style="16" customWidth="1"/>
    <col min="15877" max="15877" width="8.5703125" style="16" bestFit="1" customWidth="1"/>
    <col min="15878" max="15886" width="7.85546875" style="16" customWidth="1"/>
    <col min="15887" max="15887" width="8.5703125" style="16" customWidth="1"/>
    <col min="15888" max="15892" width="9.140625" style="16"/>
    <col min="15893" max="15893" width="12.42578125" style="16" customWidth="1"/>
    <col min="15894" max="15894" width="9.140625" style="16"/>
    <col min="15895" max="15895" width="12" style="16" customWidth="1"/>
    <col min="15896" max="16128" width="9.140625" style="16"/>
    <col min="16129" max="16129" width="5" style="16" customWidth="1"/>
    <col min="16130" max="16130" width="18.28515625" style="16" customWidth="1"/>
    <col min="16131" max="16131" width="8" style="16" customWidth="1"/>
    <col min="16132" max="16132" width="7.85546875" style="16" customWidth="1"/>
    <col min="16133" max="16133" width="8.5703125" style="16" bestFit="1" customWidth="1"/>
    <col min="16134" max="16142" width="7.85546875" style="16" customWidth="1"/>
    <col min="16143" max="16143" width="8.5703125" style="16" customWidth="1"/>
    <col min="16144" max="16148" width="9.140625" style="16"/>
    <col min="16149" max="16149" width="12.42578125" style="16" customWidth="1"/>
    <col min="16150" max="16150" width="9.140625" style="16"/>
    <col min="16151" max="16151" width="12" style="16" customWidth="1"/>
    <col min="16152" max="16384" width="9.140625" style="16"/>
  </cols>
  <sheetData>
    <row r="1" spans="1:17" s="1" customFormat="1" x14ac:dyDescent="0.2">
      <c r="A1" s="867" t="s">
        <v>449</v>
      </c>
      <c r="B1" s="868"/>
      <c r="C1" s="868"/>
      <c r="D1" s="869"/>
      <c r="E1" s="868"/>
      <c r="F1" s="868"/>
      <c r="G1" s="867" t="s">
        <v>102</v>
      </c>
      <c r="H1" s="869"/>
      <c r="I1" s="869" t="s">
        <v>765</v>
      </c>
      <c r="J1" s="868"/>
      <c r="K1" s="868"/>
      <c r="L1" s="870"/>
      <c r="M1" s="870"/>
      <c r="N1" s="870"/>
      <c r="O1" s="870"/>
    </row>
    <row r="2" spans="1:17" s="1" customFormat="1" x14ac:dyDescent="0.2">
      <c r="A2" s="867" t="s">
        <v>103</v>
      </c>
      <c r="B2" s="868"/>
      <c r="C2" s="868"/>
      <c r="D2" s="869" t="s">
        <v>789</v>
      </c>
      <c r="E2" s="868"/>
      <c r="F2" s="868"/>
      <c r="G2" s="867" t="s">
        <v>104</v>
      </c>
      <c r="H2" s="869"/>
      <c r="I2" s="869" t="s">
        <v>105</v>
      </c>
      <c r="J2" s="868"/>
      <c r="K2" s="868"/>
      <c r="L2" s="870"/>
      <c r="M2" s="870"/>
      <c r="N2" s="870"/>
      <c r="O2" s="870"/>
    </row>
    <row r="3" spans="1:17" s="1" customFormat="1" x14ac:dyDescent="0.2">
      <c r="A3" s="867" t="s">
        <v>106</v>
      </c>
      <c r="B3" s="868"/>
      <c r="C3" s="868"/>
      <c r="D3" s="883" t="s">
        <v>790</v>
      </c>
      <c r="E3" s="868"/>
      <c r="F3" s="868"/>
      <c r="G3" s="867" t="s">
        <v>107</v>
      </c>
      <c r="H3" s="869"/>
      <c r="I3" s="869" t="s">
        <v>108</v>
      </c>
      <c r="J3" s="868"/>
      <c r="K3" s="868"/>
      <c r="L3" s="870"/>
      <c r="M3" s="870"/>
      <c r="N3" s="870"/>
      <c r="O3" s="870"/>
    </row>
    <row r="4" spans="1:17" s="1" customFormat="1" x14ac:dyDescent="0.2">
      <c r="A4" s="867" t="s">
        <v>109</v>
      </c>
      <c r="B4" s="868"/>
      <c r="C4" s="868"/>
      <c r="D4" s="869"/>
      <c r="E4" s="868"/>
      <c r="F4" s="868"/>
      <c r="G4" s="867" t="s">
        <v>110</v>
      </c>
      <c r="H4" s="869"/>
      <c r="I4" s="869" t="s">
        <v>111</v>
      </c>
      <c r="J4" s="868"/>
      <c r="K4" s="868"/>
      <c r="L4" s="870"/>
      <c r="M4" s="870"/>
      <c r="N4" s="870"/>
      <c r="O4" s="870"/>
    </row>
    <row r="5" spans="1:17" s="1" customFormat="1" x14ac:dyDescent="0.2">
      <c r="A5" s="867" t="s">
        <v>112</v>
      </c>
      <c r="B5" s="868"/>
      <c r="C5" s="868"/>
      <c r="D5" s="869" t="s">
        <v>791</v>
      </c>
      <c r="E5" s="868"/>
      <c r="F5" s="868"/>
      <c r="G5" s="867"/>
      <c r="H5" s="868"/>
      <c r="I5" s="869" t="s">
        <v>113</v>
      </c>
      <c r="J5" s="868"/>
      <c r="K5" s="868"/>
      <c r="L5" s="870"/>
      <c r="M5" s="870"/>
      <c r="N5" s="870"/>
      <c r="O5" s="870"/>
    </row>
    <row r="6" spans="1:17" s="1" customFormat="1" x14ac:dyDescent="0.2">
      <c r="A6" s="871" t="s">
        <v>114</v>
      </c>
      <c r="B6" s="872"/>
      <c r="C6" s="872"/>
      <c r="D6" s="868" t="s">
        <v>766</v>
      </c>
      <c r="E6" s="868"/>
      <c r="F6" s="868"/>
      <c r="G6" s="871" t="s">
        <v>115</v>
      </c>
      <c r="H6" s="871"/>
      <c r="I6" s="2" t="s">
        <v>222</v>
      </c>
      <c r="J6" s="888"/>
      <c r="K6" s="888"/>
      <c r="L6" s="888"/>
      <c r="M6" s="888"/>
      <c r="N6" s="888"/>
      <c r="O6" s="889"/>
    </row>
    <row r="7" spans="1:17" s="1" customFormat="1" ht="13.5" thickBot="1" x14ac:dyDescent="0.25">
      <c r="A7" s="3"/>
      <c r="B7" s="4"/>
      <c r="C7" s="5"/>
      <c r="D7" s="6"/>
      <c r="E7" s="6"/>
      <c r="F7" s="6"/>
      <c r="G7" s="6"/>
      <c r="H7" s="6"/>
      <c r="I7" s="6"/>
      <c r="J7" s="7"/>
      <c r="K7" s="8"/>
      <c r="L7" s="875" t="s">
        <v>223</v>
      </c>
      <c r="M7" s="875"/>
      <c r="N7" s="875"/>
      <c r="O7" s="875"/>
    </row>
    <row r="8" spans="1:17" s="11" customFormat="1" x14ac:dyDescent="0.2">
      <c r="A8" s="876" t="str">
        <f>I1</f>
        <v>Ms. R. B. Raut</v>
      </c>
      <c r="B8" s="877"/>
      <c r="C8" s="9">
        <v>43160</v>
      </c>
      <c r="D8" s="9">
        <v>43191</v>
      </c>
      <c r="E8" s="9">
        <v>43221</v>
      </c>
      <c r="F8" s="9">
        <v>43252</v>
      </c>
      <c r="G8" s="9">
        <v>43282</v>
      </c>
      <c r="H8" s="9">
        <v>43313</v>
      </c>
      <c r="I8" s="9">
        <v>43344</v>
      </c>
      <c r="J8" s="9">
        <v>43374</v>
      </c>
      <c r="K8" s="9">
        <v>43405</v>
      </c>
      <c r="L8" s="9">
        <v>43435</v>
      </c>
      <c r="M8" s="9">
        <v>43466</v>
      </c>
      <c r="N8" s="9">
        <v>43497</v>
      </c>
      <c r="O8" s="10" t="s">
        <v>117</v>
      </c>
      <c r="Q8" s="11" t="s">
        <v>116</v>
      </c>
    </row>
    <row r="9" spans="1:17" ht="15" x14ac:dyDescent="0.2">
      <c r="A9" s="12"/>
      <c r="B9" s="13" t="s">
        <v>118</v>
      </c>
      <c r="C9" s="14">
        <v>41600</v>
      </c>
      <c r="D9" s="14">
        <v>41600</v>
      </c>
      <c r="E9" s="14">
        <v>41600</v>
      </c>
      <c r="F9" s="14">
        <v>41600</v>
      </c>
      <c r="G9" s="14">
        <v>42800</v>
      </c>
      <c r="H9" s="14">
        <v>42800</v>
      </c>
      <c r="I9" s="14">
        <v>42800</v>
      </c>
      <c r="J9" s="14">
        <v>42800</v>
      </c>
      <c r="K9" s="14">
        <v>42800</v>
      </c>
      <c r="L9" s="14">
        <v>42800</v>
      </c>
      <c r="M9" s="14">
        <v>42800</v>
      </c>
      <c r="N9" s="14">
        <v>42800</v>
      </c>
      <c r="O9" s="15">
        <f>SUM(C9:N9)</f>
        <v>508800</v>
      </c>
      <c r="Q9" s="16" t="s">
        <v>222</v>
      </c>
    </row>
    <row r="10" spans="1:17"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7" ht="15" x14ac:dyDescent="0.2">
      <c r="A11" s="12"/>
      <c r="B11" s="13" t="s">
        <v>120</v>
      </c>
      <c r="C11" s="17">
        <v>2080</v>
      </c>
      <c r="D11" s="17">
        <v>2912</v>
      </c>
      <c r="E11" s="17">
        <v>2912</v>
      </c>
      <c r="F11" s="17">
        <v>2912</v>
      </c>
      <c r="G11" s="17">
        <v>2996</v>
      </c>
      <c r="H11" s="17">
        <v>2996</v>
      </c>
      <c r="I11" s="17">
        <v>2996</v>
      </c>
      <c r="J11" s="17">
        <v>3852</v>
      </c>
      <c r="K11" s="17">
        <v>3852</v>
      </c>
      <c r="L11" s="17">
        <v>3852</v>
      </c>
      <c r="M11" s="17">
        <v>3852</v>
      </c>
      <c r="N11" s="17">
        <v>3852</v>
      </c>
      <c r="O11" s="18">
        <f>SUM(C11:N11)</f>
        <v>39064</v>
      </c>
    </row>
    <row r="12" spans="1:17"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7"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7" ht="15" x14ac:dyDescent="0.2">
      <c r="A14" s="12"/>
      <c r="B14" s="13" t="s">
        <v>123</v>
      </c>
      <c r="C14" s="17">
        <v>3780</v>
      </c>
      <c r="D14" s="17">
        <v>3852</v>
      </c>
      <c r="E14" s="17">
        <v>3852</v>
      </c>
      <c r="F14" s="17">
        <v>3852</v>
      </c>
      <c r="G14" s="17">
        <v>3852</v>
      </c>
      <c r="H14" s="17">
        <v>3852</v>
      </c>
      <c r="I14" s="17">
        <v>3852</v>
      </c>
      <c r="J14" s="17">
        <v>3924</v>
      </c>
      <c r="K14" s="17">
        <v>3924</v>
      </c>
      <c r="L14" s="17">
        <v>3924</v>
      </c>
      <c r="M14" s="17">
        <v>3924</v>
      </c>
      <c r="N14" s="17">
        <v>3924</v>
      </c>
      <c r="O14" s="18">
        <f t="shared" si="0"/>
        <v>46512</v>
      </c>
    </row>
    <row r="15" spans="1:17" ht="15"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7" ht="15" hidden="1" x14ac:dyDescent="0.2">
      <c r="A16" s="12"/>
      <c r="B16" s="13" t="s">
        <v>405</v>
      </c>
      <c r="C16" s="17">
        <v>0</v>
      </c>
      <c r="D16" s="17">
        <v>0</v>
      </c>
      <c r="E16" s="17">
        <v>0</v>
      </c>
      <c r="F16" s="17">
        <v>0</v>
      </c>
      <c r="G16" s="17">
        <v>0</v>
      </c>
      <c r="H16" s="17">
        <v>0</v>
      </c>
      <c r="I16" s="17">
        <v>0</v>
      </c>
      <c r="J16" s="17">
        <v>0</v>
      </c>
      <c r="K16" s="17">
        <v>0</v>
      </c>
      <c r="L16" s="17">
        <v>0</v>
      </c>
      <c r="M16" s="17">
        <v>0</v>
      </c>
      <c r="N16" s="17">
        <v>0</v>
      </c>
      <c r="O16" s="18">
        <f t="shared" si="0"/>
        <v>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9984</v>
      </c>
      <c r="D19" s="17">
        <v>9984</v>
      </c>
      <c r="E19" s="17">
        <v>9984</v>
      </c>
      <c r="F19" s="17">
        <v>9984</v>
      </c>
      <c r="G19" s="17">
        <v>10272</v>
      </c>
      <c r="H19" s="17">
        <v>10272</v>
      </c>
      <c r="I19" s="17">
        <v>10272</v>
      </c>
      <c r="J19" s="17">
        <v>10272</v>
      </c>
      <c r="K19" s="17">
        <v>10272</v>
      </c>
      <c r="L19" s="17">
        <v>10272</v>
      </c>
      <c r="M19" s="17">
        <v>10272</v>
      </c>
      <c r="N19" s="17">
        <v>10272</v>
      </c>
      <c r="O19" s="18">
        <f t="shared" si="0"/>
        <v>122112</v>
      </c>
    </row>
    <row r="20" spans="1:15" ht="15" customHeight="1" x14ac:dyDescent="0.2">
      <c r="A20" s="12"/>
      <c r="B20" s="13" t="s">
        <v>129</v>
      </c>
      <c r="C20" s="17">
        <v>0</v>
      </c>
      <c r="D20" s="17">
        <v>0</v>
      </c>
      <c r="E20" s="17">
        <v>0</v>
      </c>
      <c r="F20" s="17">
        <v>52500</v>
      </c>
      <c r="G20" s="17">
        <v>0</v>
      </c>
      <c r="H20" s="17">
        <v>0</v>
      </c>
      <c r="I20" s="17">
        <v>0</v>
      </c>
      <c r="J20" s="17">
        <v>0</v>
      </c>
      <c r="K20" s="17">
        <v>0</v>
      </c>
      <c r="L20" s="17">
        <v>0</v>
      </c>
      <c r="M20" s="17">
        <v>0</v>
      </c>
      <c r="N20" s="17">
        <v>0</v>
      </c>
      <c r="O20" s="18">
        <f t="shared" si="0"/>
        <v>52500</v>
      </c>
    </row>
    <row r="21" spans="1:15" ht="15" hidden="1" customHeight="1" x14ac:dyDescent="0.2">
      <c r="A21" s="878"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79"/>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5" ht="15" hidden="1" customHeight="1" x14ac:dyDescent="0.2">
      <c r="A23" s="879"/>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79"/>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79"/>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79"/>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79"/>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79"/>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79"/>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79"/>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79"/>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79"/>
      <c r="B32" s="21" t="s">
        <v>142</v>
      </c>
      <c r="C32" s="17">
        <v>0</v>
      </c>
      <c r="D32" s="17">
        <v>0</v>
      </c>
      <c r="E32" s="17">
        <v>0</v>
      </c>
      <c r="F32" s="17">
        <v>0</v>
      </c>
      <c r="G32" s="17">
        <v>0</v>
      </c>
      <c r="H32" s="17">
        <v>0</v>
      </c>
      <c r="I32" s="17">
        <v>0</v>
      </c>
      <c r="J32" s="17">
        <v>0</v>
      </c>
      <c r="K32" s="17">
        <v>0</v>
      </c>
      <c r="L32" s="17">
        <v>0</v>
      </c>
      <c r="M32" s="17">
        <v>0</v>
      </c>
      <c r="N32" s="17">
        <v>0</v>
      </c>
      <c r="O32" s="18">
        <f t="shared" si="0"/>
        <v>0</v>
      </c>
    </row>
    <row r="33" spans="1:18" ht="15" hidden="1" customHeight="1" x14ac:dyDescent="0.2">
      <c r="A33" s="880"/>
      <c r="B33" s="19" t="s">
        <v>226</v>
      </c>
      <c r="C33" s="17">
        <v>0</v>
      </c>
      <c r="D33" s="17">
        <v>0</v>
      </c>
      <c r="E33" s="17">
        <v>0</v>
      </c>
      <c r="F33" s="17">
        <v>0</v>
      </c>
      <c r="G33" s="17">
        <v>0</v>
      </c>
      <c r="H33" s="17">
        <v>0</v>
      </c>
      <c r="I33" s="17">
        <v>0</v>
      </c>
      <c r="J33" s="17">
        <v>0</v>
      </c>
      <c r="K33" s="17">
        <v>0</v>
      </c>
      <c r="L33" s="17">
        <v>0</v>
      </c>
      <c r="M33" s="17">
        <v>0</v>
      </c>
      <c r="N33" s="17">
        <v>0</v>
      </c>
      <c r="O33" s="18">
        <f t="shared" si="0"/>
        <v>0</v>
      </c>
    </row>
    <row r="34" spans="1:18" ht="15" customHeight="1" x14ac:dyDescent="0.2">
      <c r="A34" s="219"/>
      <c r="B34" s="220" t="s">
        <v>144</v>
      </c>
      <c r="C34" s="17">
        <v>0</v>
      </c>
      <c r="D34" s="17">
        <v>0</v>
      </c>
      <c r="E34" s="17">
        <v>0</v>
      </c>
      <c r="F34" s="17">
        <v>0</v>
      </c>
      <c r="G34" s="17">
        <v>0</v>
      </c>
      <c r="H34" s="17">
        <v>0</v>
      </c>
      <c r="I34" s="17">
        <v>0</v>
      </c>
      <c r="J34" s="17">
        <v>0</v>
      </c>
      <c r="K34" s="17">
        <v>0</v>
      </c>
      <c r="L34" s="17">
        <v>0</v>
      </c>
      <c r="M34" s="17">
        <v>0</v>
      </c>
      <c r="N34" s="17">
        <v>0</v>
      </c>
      <c r="O34" s="18">
        <f t="shared" si="0"/>
        <v>0</v>
      </c>
    </row>
    <row r="35" spans="1:18" ht="15" customHeight="1" x14ac:dyDescent="0.2">
      <c r="A35" s="865" t="s">
        <v>145</v>
      </c>
      <c r="B35" s="866"/>
      <c r="C35" s="17">
        <v>0</v>
      </c>
      <c r="D35" s="17">
        <v>216</v>
      </c>
      <c r="E35" s="17">
        <v>0</v>
      </c>
      <c r="F35" s="17">
        <v>0</v>
      </c>
      <c r="G35" s="17">
        <v>0</v>
      </c>
      <c r="H35" s="17">
        <v>0</v>
      </c>
      <c r="I35" s="17">
        <v>0</v>
      </c>
      <c r="J35" s="17">
        <v>216</v>
      </c>
      <c r="K35" s="17">
        <v>0</v>
      </c>
      <c r="L35" s="17">
        <v>0</v>
      </c>
      <c r="M35" s="17">
        <v>0</v>
      </c>
      <c r="N35" s="17">
        <v>0</v>
      </c>
      <c r="O35" s="18">
        <f t="shared" si="0"/>
        <v>432</v>
      </c>
    </row>
    <row r="36" spans="1:18" ht="15" customHeight="1" x14ac:dyDescent="0.2">
      <c r="A36" s="865" t="s">
        <v>146</v>
      </c>
      <c r="B36" s="866"/>
      <c r="C36" s="17">
        <v>0</v>
      </c>
      <c r="D36" s="17">
        <v>2496</v>
      </c>
      <c r="E36" s="17">
        <v>0</v>
      </c>
      <c r="F36" s="17">
        <v>0</v>
      </c>
      <c r="G36" s="17">
        <v>0</v>
      </c>
      <c r="H36" s="17">
        <v>0</v>
      </c>
      <c r="I36" s="17">
        <v>0</v>
      </c>
      <c r="J36" s="17">
        <v>2568</v>
      </c>
      <c r="K36" s="17">
        <v>0</v>
      </c>
      <c r="L36" s="17">
        <v>0</v>
      </c>
      <c r="M36" s="17">
        <v>0</v>
      </c>
      <c r="N36" s="17">
        <v>0</v>
      </c>
      <c r="O36" s="18">
        <f t="shared" si="0"/>
        <v>5064</v>
      </c>
    </row>
    <row r="37" spans="1:18" ht="15" customHeight="1" x14ac:dyDescent="0.2">
      <c r="A37" s="22"/>
      <c r="B37" s="23" t="s">
        <v>147</v>
      </c>
      <c r="C37" s="24">
        <f t="shared" ref="C37:N37" si="1">SUM(C9:C36)</f>
        <v>57444</v>
      </c>
      <c r="D37" s="24">
        <f t="shared" si="1"/>
        <v>61060</v>
      </c>
      <c r="E37" s="24">
        <f t="shared" si="1"/>
        <v>58348</v>
      </c>
      <c r="F37" s="24">
        <f t="shared" si="1"/>
        <v>110848</v>
      </c>
      <c r="G37" s="24">
        <f t="shared" si="1"/>
        <v>59920</v>
      </c>
      <c r="H37" s="24">
        <f t="shared" si="1"/>
        <v>59920</v>
      </c>
      <c r="I37" s="24">
        <f t="shared" si="1"/>
        <v>59920</v>
      </c>
      <c r="J37" s="24">
        <f t="shared" si="1"/>
        <v>70540</v>
      </c>
      <c r="K37" s="24">
        <f t="shared" si="1"/>
        <v>60848</v>
      </c>
      <c r="L37" s="24">
        <f t="shared" si="1"/>
        <v>60848</v>
      </c>
      <c r="M37" s="24">
        <f t="shared" si="1"/>
        <v>60848</v>
      </c>
      <c r="N37" s="24">
        <f t="shared" si="1"/>
        <v>60848</v>
      </c>
      <c r="O37" s="25">
        <f t="shared" ref="O37:O50" si="2">SUM(C37:N37)</f>
        <v>781392</v>
      </c>
    </row>
    <row r="38" spans="1:18" ht="15" customHeight="1" x14ac:dyDescent="0.2">
      <c r="A38" s="853" t="s">
        <v>148</v>
      </c>
      <c r="B38" s="27" t="s">
        <v>149</v>
      </c>
      <c r="C38" s="147">
        <v>890</v>
      </c>
      <c r="D38" s="147">
        <v>1000</v>
      </c>
      <c r="E38" s="147">
        <v>1000</v>
      </c>
      <c r="F38" s="147">
        <v>1000</v>
      </c>
      <c r="G38" s="147">
        <v>1000</v>
      </c>
      <c r="H38" s="147">
        <v>1000</v>
      </c>
      <c r="I38" s="147">
        <v>1000</v>
      </c>
      <c r="J38" s="147">
        <v>1000</v>
      </c>
      <c r="K38" s="147">
        <v>1000</v>
      </c>
      <c r="L38" s="147">
        <v>1240</v>
      </c>
      <c r="M38" s="147">
        <v>0</v>
      </c>
      <c r="N38" s="147">
        <v>100</v>
      </c>
      <c r="O38" s="18">
        <f t="shared" si="2"/>
        <v>10230</v>
      </c>
      <c r="P38" s="29"/>
    </row>
    <row r="39" spans="1:18" ht="15" x14ac:dyDescent="0.2">
      <c r="A39" s="854"/>
      <c r="B39" s="27" t="s">
        <v>150</v>
      </c>
      <c r="C39" s="147">
        <v>0</v>
      </c>
      <c r="D39" s="147">
        <v>0</v>
      </c>
      <c r="E39" s="147">
        <v>0</v>
      </c>
      <c r="F39" s="147">
        <v>0</v>
      </c>
      <c r="G39" s="147">
        <v>0</v>
      </c>
      <c r="H39" s="147">
        <v>0</v>
      </c>
      <c r="I39" s="147">
        <v>0</v>
      </c>
      <c r="J39" s="147">
        <v>0</v>
      </c>
      <c r="K39" s="147">
        <v>0</v>
      </c>
      <c r="L39" s="147">
        <v>0</v>
      </c>
      <c r="M39" s="147">
        <v>0</v>
      </c>
      <c r="N39" s="147">
        <v>0</v>
      </c>
      <c r="O39" s="18">
        <f t="shared" si="2"/>
        <v>0</v>
      </c>
      <c r="R39" s="1"/>
    </row>
    <row r="40" spans="1:18" ht="15" x14ac:dyDescent="0.2">
      <c r="A40" s="854"/>
      <c r="B40" s="27" t="s">
        <v>151</v>
      </c>
      <c r="C40" s="147">
        <v>30</v>
      </c>
      <c r="D40" s="147">
        <v>30</v>
      </c>
      <c r="E40" s="147">
        <v>30</v>
      </c>
      <c r="F40" s="147">
        <v>30</v>
      </c>
      <c r="G40" s="147">
        <v>30</v>
      </c>
      <c r="H40" s="147">
        <v>30</v>
      </c>
      <c r="I40" s="147">
        <v>30</v>
      </c>
      <c r="J40" s="147">
        <v>30</v>
      </c>
      <c r="K40" s="147">
        <v>30</v>
      </c>
      <c r="L40" s="147">
        <v>30</v>
      </c>
      <c r="M40" s="147">
        <v>30</v>
      </c>
      <c r="N40" s="147">
        <v>30</v>
      </c>
      <c r="O40" s="18">
        <f t="shared" si="2"/>
        <v>360</v>
      </c>
    </row>
    <row r="41" spans="1:18" ht="15" x14ac:dyDescent="0.2">
      <c r="A41" s="854"/>
      <c r="B41" s="27" t="s">
        <v>152</v>
      </c>
      <c r="C41" s="147">
        <v>0</v>
      </c>
      <c r="D41" s="147">
        <v>0</v>
      </c>
      <c r="E41" s="147">
        <v>0</v>
      </c>
      <c r="F41" s="147">
        <v>0</v>
      </c>
      <c r="G41" s="147">
        <v>0</v>
      </c>
      <c r="H41" s="147">
        <v>0</v>
      </c>
      <c r="I41" s="147">
        <v>0</v>
      </c>
      <c r="J41" s="147">
        <v>0</v>
      </c>
      <c r="K41" s="147">
        <v>0</v>
      </c>
      <c r="L41" s="147">
        <v>0</v>
      </c>
      <c r="M41" s="147">
        <v>0</v>
      </c>
      <c r="N41" s="147">
        <v>0</v>
      </c>
      <c r="O41" s="18">
        <f t="shared" si="2"/>
        <v>0</v>
      </c>
    </row>
    <row r="42" spans="1:18" ht="15" x14ac:dyDescent="0.2">
      <c r="A42" s="854"/>
      <c r="B42" s="27" t="s">
        <v>153</v>
      </c>
      <c r="C42" s="147">
        <v>0</v>
      </c>
      <c r="D42" s="147">
        <v>0</v>
      </c>
      <c r="E42" s="147">
        <v>0</v>
      </c>
      <c r="F42" s="147">
        <v>0</v>
      </c>
      <c r="G42" s="147">
        <v>0</v>
      </c>
      <c r="H42" s="147">
        <v>0</v>
      </c>
      <c r="I42" s="147">
        <v>0</v>
      </c>
      <c r="J42" s="147">
        <v>0</v>
      </c>
      <c r="K42" s="147">
        <v>0</v>
      </c>
      <c r="L42" s="147">
        <v>0</v>
      </c>
      <c r="M42" s="147">
        <v>0</v>
      </c>
      <c r="N42" s="147">
        <v>0</v>
      </c>
      <c r="O42" s="18">
        <f t="shared" si="2"/>
        <v>0</v>
      </c>
    </row>
    <row r="43" spans="1:18" ht="15" x14ac:dyDescent="0.2">
      <c r="A43" s="854"/>
      <c r="B43" s="27" t="s">
        <v>154</v>
      </c>
      <c r="C43" s="147">
        <v>10000</v>
      </c>
      <c r="D43" s="147">
        <v>10000</v>
      </c>
      <c r="E43" s="147">
        <v>10000</v>
      </c>
      <c r="F43" s="147">
        <v>10000</v>
      </c>
      <c r="G43" s="147">
        <v>10000</v>
      </c>
      <c r="H43" s="147">
        <v>10000</v>
      </c>
      <c r="I43" s="147">
        <v>10000</v>
      </c>
      <c r="J43" s="147">
        <v>10000</v>
      </c>
      <c r="K43" s="147">
        <v>10000</v>
      </c>
      <c r="L43" s="147">
        <v>10000</v>
      </c>
      <c r="M43" s="147">
        <v>10000</v>
      </c>
      <c r="N43" s="147">
        <v>10000</v>
      </c>
      <c r="O43" s="18">
        <f t="shared" si="2"/>
        <v>120000</v>
      </c>
    </row>
    <row r="44" spans="1:18" ht="15" x14ac:dyDescent="0.2">
      <c r="A44" s="854"/>
      <c r="B44" s="27" t="s">
        <v>155</v>
      </c>
      <c r="C44" s="147">
        <v>200</v>
      </c>
      <c r="D44" s="147">
        <v>200</v>
      </c>
      <c r="E44" s="147">
        <v>200</v>
      </c>
      <c r="F44" s="147">
        <v>200</v>
      </c>
      <c r="G44" s="147">
        <v>200</v>
      </c>
      <c r="H44" s="147">
        <v>200</v>
      </c>
      <c r="I44" s="147">
        <v>200</v>
      </c>
      <c r="J44" s="147">
        <v>200</v>
      </c>
      <c r="K44" s="147">
        <v>200</v>
      </c>
      <c r="L44" s="147">
        <v>200</v>
      </c>
      <c r="M44" s="147">
        <v>200</v>
      </c>
      <c r="N44" s="147">
        <v>300</v>
      </c>
      <c r="O44" s="18">
        <f t="shared" si="2"/>
        <v>2500</v>
      </c>
    </row>
    <row r="45" spans="1:18" ht="15" x14ac:dyDescent="0.2">
      <c r="A45" s="854"/>
      <c r="B45" s="27" t="s">
        <v>156</v>
      </c>
      <c r="C45" s="147">
        <v>0</v>
      </c>
      <c r="D45" s="147">
        <v>0</v>
      </c>
      <c r="E45" s="147">
        <v>0</v>
      </c>
      <c r="F45" s="147">
        <v>0</v>
      </c>
      <c r="G45" s="147">
        <v>0</v>
      </c>
      <c r="H45" s="147">
        <v>0</v>
      </c>
      <c r="I45" s="147">
        <v>0</v>
      </c>
      <c r="J45" s="147">
        <v>0</v>
      </c>
      <c r="K45" s="147">
        <v>0</v>
      </c>
      <c r="L45" s="147">
        <v>0</v>
      </c>
      <c r="M45" s="147">
        <v>0</v>
      </c>
      <c r="N45" s="147">
        <v>0</v>
      </c>
      <c r="O45" s="18">
        <f t="shared" si="2"/>
        <v>0</v>
      </c>
    </row>
    <row r="46" spans="1:18" ht="15" x14ac:dyDescent="0.2">
      <c r="A46" s="854"/>
      <c r="B46" s="27" t="s">
        <v>157</v>
      </c>
      <c r="C46" s="147">
        <v>0</v>
      </c>
      <c r="D46" s="147">
        <v>0</v>
      </c>
      <c r="E46" s="147">
        <v>0</v>
      </c>
      <c r="F46" s="147">
        <v>0</v>
      </c>
      <c r="G46" s="147">
        <v>0</v>
      </c>
      <c r="H46" s="147">
        <v>0</v>
      </c>
      <c r="I46" s="147">
        <v>0</v>
      </c>
      <c r="J46" s="147">
        <v>0</v>
      </c>
      <c r="K46" s="147">
        <v>0</v>
      </c>
      <c r="L46" s="147">
        <v>0</v>
      </c>
      <c r="M46" s="147">
        <v>0</v>
      </c>
      <c r="N46" s="147">
        <v>0</v>
      </c>
      <c r="O46" s="18">
        <f t="shared" si="2"/>
        <v>0</v>
      </c>
    </row>
    <row r="47" spans="1:18" ht="28.5" customHeight="1" x14ac:dyDescent="0.2">
      <c r="A47" s="855"/>
      <c r="B47" s="30" t="s">
        <v>158</v>
      </c>
      <c r="C47" s="147">
        <v>0</v>
      </c>
      <c r="D47" s="147">
        <v>0</v>
      </c>
      <c r="E47" s="147">
        <v>0</v>
      </c>
      <c r="F47" s="147">
        <v>0</v>
      </c>
      <c r="G47" s="147">
        <v>0</v>
      </c>
      <c r="H47" s="147">
        <v>0</v>
      </c>
      <c r="I47" s="147">
        <v>0</v>
      </c>
      <c r="J47" s="147">
        <v>0</v>
      </c>
      <c r="K47" s="147">
        <v>0</v>
      </c>
      <c r="L47" s="147">
        <v>0</v>
      </c>
      <c r="M47" s="147">
        <v>0</v>
      </c>
      <c r="N47" s="147">
        <v>0</v>
      </c>
      <c r="O47" s="31">
        <f t="shared" si="2"/>
        <v>0</v>
      </c>
    </row>
    <row r="48" spans="1:18" ht="15" x14ac:dyDescent="0.2">
      <c r="A48" s="856"/>
      <c r="B48" s="127" t="s">
        <v>479</v>
      </c>
      <c r="C48" s="147">
        <v>0</v>
      </c>
      <c r="D48" s="147">
        <v>0</v>
      </c>
      <c r="E48" s="147">
        <v>0</v>
      </c>
      <c r="F48" s="147">
        <v>0</v>
      </c>
      <c r="G48" s="147">
        <v>0</v>
      </c>
      <c r="H48" s="147">
        <v>0</v>
      </c>
      <c r="I48" s="147">
        <v>0</v>
      </c>
      <c r="J48" s="147">
        <v>0</v>
      </c>
      <c r="K48" s="147">
        <v>0</v>
      </c>
      <c r="L48" s="147">
        <v>0</v>
      </c>
      <c r="M48" s="147">
        <v>0</v>
      </c>
      <c r="N48" s="147">
        <v>0</v>
      </c>
      <c r="O48" s="31">
        <f t="shared" si="2"/>
        <v>0</v>
      </c>
    </row>
    <row r="49" spans="1:19" ht="15" x14ac:dyDescent="0.2">
      <c r="A49" s="857" t="s">
        <v>160</v>
      </c>
      <c r="B49" s="858"/>
      <c r="C49" s="33">
        <f t="shared" ref="C49:N49" si="3">SUM(C38:C48)</f>
        <v>11120</v>
      </c>
      <c r="D49" s="33">
        <f t="shared" si="3"/>
        <v>11230</v>
      </c>
      <c r="E49" s="33">
        <f t="shared" si="3"/>
        <v>11230</v>
      </c>
      <c r="F49" s="33">
        <f t="shared" si="3"/>
        <v>11230</v>
      </c>
      <c r="G49" s="33">
        <f t="shared" si="3"/>
        <v>11230</v>
      </c>
      <c r="H49" s="33">
        <f t="shared" si="3"/>
        <v>11230</v>
      </c>
      <c r="I49" s="33">
        <f t="shared" si="3"/>
        <v>11230</v>
      </c>
      <c r="J49" s="33">
        <f t="shared" si="3"/>
        <v>11230</v>
      </c>
      <c r="K49" s="33">
        <f t="shared" si="3"/>
        <v>11230</v>
      </c>
      <c r="L49" s="33">
        <f t="shared" si="3"/>
        <v>11470</v>
      </c>
      <c r="M49" s="33">
        <f t="shared" si="3"/>
        <v>10230</v>
      </c>
      <c r="N49" s="33">
        <f t="shared" si="3"/>
        <v>10430</v>
      </c>
      <c r="O49" s="34">
        <f t="shared" si="2"/>
        <v>133090</v>
      </c>
    </row>
    <row r="50" spans="1:19" ht="15.75" thickBot="1" x14ac:dyDescent="0.25">
      <c r="A50" s="859" t="s">
        <v>161</v>
      </c>
      <c r="B50" s="860"/>
      <c r="C50" s="35">
        <f t="shared" ref="C50:N50" si="4">C37-C49</f>
        <v>46324</v>
      </c>
      <c r="D50" s="35">
        <f t="shared" si="4"/>
        <v>49830</v>
      </c>
      <c r="E50" s="35">
        <f t="shared" si="4"/>
        <v>47118</v>
      </c>
      <c r="F50" s="35">
        <f t="shared" si="4"/>
        <v>99618</v>
      </c>
      <c r="G50" s="35">
        <f t="shared" si="4"/>
        <v>48690</v>
      </c>
      <c r="H50" s="35">
        <f t="shared" si="4"/>
        <v>48690</v>
      </c>
      <c r="I50" s="35">
        <f t="shared" si="4"/>
        <v>48690</v>
      </c>
      <c r="J50" s="35">
        <f t="shared" si="4"/>
        <v>59310</v>
      </c>
      <c r="K50" s="35">
        <f t="shared" si="4"/>
        <v>49618</v>
      </c>
      <c r="L50" s="35">
        <f t="shared" si="4"/>
        <v>49378</v>
      </c>
      <c r="M50" s="35">
        <f t="shared" si="4"/>
        <v>50618</v>
      </c>
      <c r="N50" s="35">
        <f t="shared" si="4"/>
        <v>50418</v>
      </c>
      <c r="O50" s="36">
        <f t="shared" si="2"/>
        <v>648302</v>
      </c>
    </row>
    <row r="51" spans="1:19" x14ac:dyDescent="0.2">
      <c r="J51" s="16">
        <f>+J37-SUM(J20:J36)</f>
        <v>60848</v>
      </c>
      <c r="Q51" s="38"/>
    </row>
    <row r="52" spans="1:19" ht="13.5" thickBot="1" x14ac:dyDescent="0.25">
      <c r="J52" s="38">
        <f>+J51-J49</f>
        <v>49618</v>
      </c>
    </row>
    <row r="53" spans="1:19" ht="13.5" thickBot="1" x14ac:dyDescent="0.25">
      <c r="B53" s="789" t="s">
        <v>162</v>
      </c>
      <c r="C53" s="861"/>
      <c r="D53" s="861"/>
      <c r="E53" s="861"/>
      <c r="F53" s="862"/>
      <c r="G53" s="863">
        <f>O37</f>
        <v>781392</v>
      </c>
      <c r="H53" s="864"/>
    </row>
    <row r="54" spans="1:19" ht="13.5" thickBot="1" x14ac:dyDescent="0.25"/>
    <row r="55" spans="1:19" x14ac:dyDescent="0.2">
      <c r="B55" s="830" t="s">
        <v>163</v>
      </c>
      <c r="C55" s="833" t="s">
        <v>164</v>
      </c>
      <c r="D55" s="836" t="s">
        <v>229</v>
      </c>
      <c r="E55" s="837"/>
      <c r="F55" s="838"/>
      <c r="G55" s="839">
        <v>40000</v>
      </c>
      <c r="H55" s="840"/>
    </row>
    <row r="56" spans="1:19" x14ac:dyDescent="0.2">
      <c r="B56" s="831"/>
      <c r="C56" s="834"/>
      <c r="D56" s="841" t="s">
        <v>166</v>
      </c>
      <c r="E56" s="842"/>
      <c r="F56" s="843"/>
      <c r="G56" s="844">
        <f>+O44</f>
        <v>2500</v>
      </c>
      <c r="H56" s="845"/>
      <c r="I56" s="39"/>
      <c r="J56" s="846"/>
      <c r="K56" s="846"/>
      <c r="L56" s="846"/>
      <c r="M56" s="847"/>
      <c r="N56" s="847"/>
      <c r="O56" s="847"/>
    </row>
    <row r="57" spans="1:19" x14ac:dyDescent="0.2">
      <c r="B57" s="886"/>
      <c r="C57" s="887"/>
      <c r="D57" s="153" t="s">
        <v>129</v>
      </c>
      <c r="E57" s="41"/>
      <c r="F57" s="42"/>
      <c r="G57" s="43"/>
      <c r="H57" s="44">
        <v>0</v>
      </c>
      <c r="I57" s="39"/>
      <c r="J57" s="45"/>
      <c r="K57" s="45"/>
      <c r="L57" s="45"/>
      <c r="M57" s="46"/>
      <c r="N57" s="46"/>
      <c r="O57" s="46"/>
    </row>
    <row r="58" spans="1:19" ht="13.5" thickBot="1" x14ac:dyDescent="0.25">
      <c r="B58" s="832"/>
      <c r="C58" s="835"/>
      <c r="D58" s="848" t="s">
        <v>243</v>
      </c>
      <c r="E58" s="849"/>
      <c r="F58" s="850"/>
      <c r="G58" s="851">
        <f>IF(O18&gt;15000,15000,+O18)</f>
        <v>0</v>
      </c>
      <c r="H58" s="852"/>
      <c r="J58" s="47"/>
      <c r="K58" s="47"/>
      <c r="L58" s="47"/>
      <c r="M58" s="47"/>
      <c r="N58" s="47"/>
      <c r="O58" s="47"/>
    </row>
    <row r="59" spans="1:19" ht="13.5" thickBot="1" x14ac:dyDescent="0.25">
      <c r="B59" s="48"/>
      <c r="J59" s="47"/>
      <c r="K59" s="47"/>
      <c r="L59" s="47"/>
      <c r="M59" s="47"/>
      <c r="N59" s="47"/>
      <c r="O59" s="47"/>
    </row>
    <row r="60" spans="1:19" ht="13.5" thickBot="1" x14ac:dyDescent="0.25">
      <c r="B60" s="789" t="s">
        <v>168</v>
      </c>
      <c r="C60" s="790"/>
      <c r="D60" s="790"/>
      <c r="E60" s="790"/>
      <c r="F60" s="791"/>
      <c r="G60" s="825">
        <f>+G53-SUM(G55:H58)</f>
        <v>738892</v>
      </c>
      <c r="H60" s="826"/>
      <c r="J60" s="827" t="s">
        <v>169</v>
      </c>
      <c r="K60" s="828"/>
      <c r="L60" s="828"/>
      <c r="M60" s="828"/>
      <c r="N60" s="828"/>
      <c r="O60" s="829"/>
    </row>
    <row r="61" spans="1:19" ht="13.5" thickBot="1" x14ac:dyDescent="0.25">
      <c r="B61" s="49"/>
      <c r="C61" s="50"/>
      <c r="D61" s="50"/>
      <c r="E61" s="50"/>
      <c r="F61" s="50"/>
      <c r="G61" s="45"/>
      <c r="H61" s="50"/>
      <c r="J61" s="129"/>
      <c r="K61" s="130"/>
      <c r="L61" s="130"/>
      <c r="M61" s="130"/>
      <c r="N61" s="130"/>
      <c r="O61" s="131"/>
    </row>
    <row r="62" spans="1:19" ht="13.5" thickBot="1" x14ac:dyDescent="0.25">
      <c r="B62" s="789" t="s">
        <v>170</v>
      </c>
      <c r="C62" s="790"/>
      <c r="D62" s="790"/>
      <c r="E62" s="790"/>
      <c r="F62" s="791"/>
      <c r="G62" s="805"/>
      <c r="H62" s="791"/>
      <c r="J62" s="129"/>
      <c r="K62" s="130"/>
      <c r="L62" s="130"/>
      <c r="M62" s="130"/>
      <c r="N62" s="130"/>
      <c r="O62" s="131"/>
    </row>
    <row r="63" spans="1:19" ht="12.75" customHeight="1" x14ac:dyDescent="0.2">
      <c r="B63" s="57" t="s">
        <v>171</v>
      </c>
      <c r="C63" s="806" t="s">
        <v>172</v>
      </c>
      <c r="D63" s="807"/>
      <c r="E63" s="807"/>
      <c r="F63" s="808"/>
      <c r="G63" s="809">
        <v>142296</v>
      </c>
      <c r="H63" s="809"/>
      <c r="I63" s="58"/>
      <c r="J63" s="810" t="s">
        <v>173</v>
      </c>
      <c r="K63" s="811"/>
      <c r="L63" s="811"/>
      <c r="M63" s="811"/>
      <c r="N63" s="811"/>
      <c r="O63" s="812"/>
      <c r="Q63" s="59"/>
      <c r="R63" s="59"/>
      <c r="S63" s="59"/>
    </row>
    <row r="64" spans="1:19" ht="13.5" thickBot="1" x14ac:dyDescent="0.25">
      <c r="D64" s="37"/>
      <c r="I64" s="58"/>
      <c r="J64" s="60" t="s">
        <v>254</v>
      </c>
      <c r="K64" s="132"/>
      <c r="L64" s="132"/>
      <c r="M64" s="133"/>
      <c r="N64" s="133"/>
      <c r="O64" s="134"/>
      <c r="Q64" s="59"/>
      <c r="R64" s="59"/>
      <c r="S64" s="59"/>
    </row>
    <row r="65" spans="2:19" ht="13.5" thickBot="1" x14ac:dyDescent="0.25">
      <c r="B65" s="789" t="s">
        <v>175</v>
      </c>
      <c r="C65" s="790"/>
      <c r="D65" s="790"/>
      <c r="E65" s="790"/>
      <c r="F65" s="791"/>
      <c r="G65" s="805">
        <f>+G60-G63</f>
        <v>596596</v>
      </c>
      <c r="H65" s="791"/>
      <c r="I65" s="63"/>
      <c r="J65" s="75"/>
      <c r="K65" s="39"/>
      <c r="L65" s="39"/>
      <c r="M65" s="39"/>
      <c r="N65" s="39"/>
      <c r="O65" s="65"/>
      <c r="Q65" s="59"/>
      <c r="R65" s="59"/>
      <c r="S65" s="59"/>
    </row>
    <row r="66" spans="2:19" ht="12.75" customHeight="1" x14ac:dyDescent="0.2">
      <c r="B66" s="48"/>
      <c r="C66" s="48"/>
      <c r="I66" s="63"/>
      <c r="J66" s="64"/>
      <c r="K66" s="39"/>
      <c r="L66" s="39"/>
      <c r="M66" s="39"/>
      <c r="N66" s="39"/>
      <c r="O66" s="65"/>
      <c r="Q66" s="59"/>
      <c r="R66" s="59"/>
      <c r="S66" s="59"/>
    </row>
    <row r="67" spans="2:19" x14ac:dyDescent="0.2">
      <c r="B67" s="66" t="s">
        <v>176</v>
      </c>
      <c r="C67" s="48"/>
      <c r="I67" s="63"/>
      <c r="J67" s="67"/>
      <c r="K67" s="68"/>
      <c r="L67" s="68"/>
      <c r="M67" s="68"/>
      <c r="N67" s="68"/>
      <c r="O67" s="69"/>
      <c r="Q67" s="59"/>
      <c r="R67" s="59"/>
      <c r="S67" s="59"/>
    </row>
    <row r="68" spans="2:19" ht="25.5" customHeight="1" thickBot="1" x14ac:dyDescent="0.25">
      <c r="B68" s="66"/>
      <c r="C68" s="48"/>
      <c r="G68" s="70" t="s">
        <v>177</v>
      </c>
      <c r="H68" s="70" t="s">
        <v>178</v>
      </c>
      <c r="I68" s="63"/>
      <c r="J68" s="810" t="s">
        <v>179</v>
      </c>
      <c r="K68" s="811"/>
      <c r="L68" s="71"/>
      <c r="M68" s="71"/>
      <c r="N68" s="71"/>
      <c r="O68" s="158" t="s">
        <v>267</v>
      </c>
      <c r="Q68" s="59"/>
      <c r="R68" s="59"/>
      <c r="S68" s="59"/>
    </row>
    <row r="69" spans="2:19" ht="12.75" customHeight="1" x14ac:dyDescent="0.2">
      <c r="B69" s="802" t="s">
        <v>180</v>
      </c>
      <c r="C69" s="821" t="s">
        <v>181</v>
      </c>
      <c r="D69" s="823" t="s">
        <v>182</v>
      </c>
      <c r="E69" s="824"/>
      <c r="F69" s="824"/>
      <c r="G69" s="73">
        <f>+O43</f>
        <v>120000</v>
      </c>
      <c r="H69" s="74">
        <f>+G69</f>
        <v>120000</v>
      </c>
      <c r="I69" s="63"/>
      <c r="J69" s="75"/>
      <c r="K69" s="58"/>
      <c r="L69" s="58"/>
      <c r="M69" s="58"/>
      <c r="N69" s="58"/>
      <c r="O69" s="76"/>
      <c r="Q69" s="59"/>
      <c r="R69" s="59"/>
      <c r="S69" s="59"/>
    </row>
    <row r="70" spans="2:19" ht="12.75" customHeight="1" x14ac:dyDescent="0.2">
      <c r="B70" s="803"/>
      <c r="C70" s="822"/>
      <c r="D70" s="782" t="s">
        <v>184</v>
      </c>
      <c r="E70" s="783"/>
      <c r="F70" s="783"/>
      <c r="G70" s="77">
        <f>+O47</f>
        <v>0</v>
      </c>
      <c r="H70" s="78">
        <f t="shared" ref="H70:H76" si="5">+G70</f>
        <v>0</v>
      </c>
      <c r="I70" s="63"/>
      <c r="J70" s="75"/>
      <c r="K70" s="58"/>
      <c r="L70" s="58"/>
      <c r="M70" s="183"/>
      <c r="N70" s="68"/>
      <c r="O70" s="136"/>
      <c r="Q70" s="59"/>
      <c r="R70" s="59"/>
      <c r="S70" s="59"/>
    </row>
    <row r="71" spans="2:19" ht="12.75" customHeight="1" x14ac:dyDescent="0.2">
      <c r="B71" s="803"/>
      <c r="C71" s="822"/>
      <c r="D71" s="819" t="s">
        <v>185</v>
      </c>
      <c r="E71" s="820"/>
      <c r="F71" s="820"/>
      <c r="G71" s="80">
        <f>O40</f>
        <v>360</v>
      </c>
      <c r="H71" s="78">
        <f t="shared" si="5"/>
        <v>360</v>
      </c>
      <c r="I71" s="63"/>
      <c r="J71" s="75"/>
      <c r="K71" s="68"/>
      <c r="L71" s="68"/>
      <c r="M71" s="68"/>
      <c r="N71" s="68"/>
      <c r="O71" s="69"/>
    </row>
    <row r="72" spans="2:19" x14ac:dyDescent="0.2">
      <c r="B72" s="803"/>
      <c r="C72" s="822"/>
      <c r="D72" s="782" t="s">
        <v>186</v>
      </c>
      <c r="E72" s="783"/>
      <c r="F72" s="783"/>
      <c r="G72" s="81">
        <v>0</v>
      </c>
      <c r="H72" s="78">
        <f t="shared" si="5"/>
        <v>0</v>
      </c>
      <c r="I72" s="63"/>
      <c r="J72" s="181"/>
      <c r="K72" s="58"/>
      <c r="L72" s="58"/>
      <c r="M72" s="183"/>
      <c r="N72" s="58"/>
      <c r="O72" s="76"/>
    </row>
    <row r="73" spans="2:19" ht="12.75" customHeight="1" x14ac:dyDescent="0.2">
      <c r="B73" s="803"/>
      <c r="C73" s="822"/>
      <c r="D73" s="784" t="s">
        <v>188</v>
      </c>
      <c r="E73" s="783"/>
      <c r="F73" s="783"/>
      <c r="G73" s="80">
        <v>0</v>
      </c>
      <c r="H73" s="78">
        <f t="shared" si="5"/>
        <v>0</v>
      </c>
      <c r="I73" s="63"/>
      <c r="J73" s="64"/>
      <c r="K73" s="50"/>
      <c r="L73" s="50"/>
      <c r="M73" s="183"/>
      <c r="N73" s="50"/>
      <c r="O73" s="83"/>
    </row>
    <row r="74" spans="2:19" ht="14.25" customHeight="1" x14ac:dyDescent="0.2">
      <c r="B74" s="803"/>
      <c r="C74" s="822"/>
      <c r="D74" s="782" t="s">
        <v>190</v>
      </c>
      <c r="E74" s="783"/>
      <c r="F74" s="783"/>
      <c r="G74" s="84">
        <v>0</v>
      </c>
      <c r="H74" s="78">
        <f t="shared" si="5"/>
        <v>0</v>
      </c>
      <c r="I74" s="63"/>
      <c r="J74" s="64"/>
      <c r="K74" s="39"/>
      <c r="L74" s="39"/>
      <c r="M74" s="39"/>
      <c r="N74" s="39"/>
      <c r="O74" s="65"/>
    </row>
    <row r="75" spans="2:19" x14ac:dyDescent="0.2">
      <c r="B75" s="803"/>
      <c r="C75" s="822"/>
      <c r="D75" s="782" t="s">
        <v>191</v>
      </c>
      <c r="E75" s="783"/>
      <c r="F75" s="783"/>
      <c r="G75" s="81">
        <v>35826</v>
      </c>
      <c r="H75" s="78">
        <f t="shared" si="5"/>
        <v>35826</v>
      </c>
      <c r="I75" s="58"/>
      <c r="J75" s="82" t="s">
        <v>187</v>
      </c>
      <c r="K75" s="71"/>
      <c r="L75" s="71"/>
      <c r="M75" s="71"/>
      <c r="N75" s="71"/>
      <c r="O75" s="72"/>
    </row>
    <row r="76" spans="2:19" x14ac:dyDescent="0.2">
      <c r="B76" s="803"/>
      <c r="C76" s="88" t="s">
        <v>192</v>
      </c>
      <c r="D76" s="813" t="s">
        <v>193</v>
      </c>
      <c r="E76" s="814"/>
      <c r="F76" s="814"/>
      <c r="G76" s="80">
        <v>0</v>
      </c>
      <c r="H76" s="78">
        <f t="shared" si="5"/>
        <v>0</v>
      </c>
      <c r="I76" s="58"/>
      <c r="J76" s="75" t="s">
        <v>189</v>
      </c>
      <c r="K76" s="50"/>
      <c r="L76" s="50"/>
      <c r="M76" s="50"/>
      <c r="N76" s="50"/>
      <c r="O76" s="83">
        <v>0</v>
      </c>
    </row>
    <row r="77" spans="2:19" ht="13.5" customHeight="1" thickBot="1" x14ac:dyDescent="0.25">
      <c r="B77" s="803"/>
      <c r="C77" s="88" t="s">
        <v>194</v>
      </c>
      <c r="D77" s="815" t="s">
        <v>195</v>
      </c>
      <c r="E77" s="815"/>
      <c r="F77" s="815"/>
      <c r="G77" s="89">
        <v>0</v>
      </c>
      <c r="H77" s="90">
        <f>+G77</f>
        <v>0</v>
      </c>
      <c r="I77" s="63"/>
      <c r="J77" s="67"/>
      <c r="K77" s="68"/>
      <c r="L77" s="68"/>
      <c r="M77" s="91"/>
      <c r="N77" s="91"/>
      <c r="O77" s="92"/>
    </row>
    <row r="78" spans="2:19" ht="13.5" thickBot="1" x14ac:dyDescent="0.25">
      <c r="B78" s="803"/>
      <c r="C78" s="93"/>
      <c r="D78" s="94"/>
      <c r="E78" s="816" t="s">
        <v>117</v>
      </c>
      <c r="F78" s="817"/>
      <c r="G78" s="95">
        <f>SUM(G69:G77)</f>
        <v>156186</v>
      </c>
      <c r="H78" s="96">
        <f>IF(SUM(G69:G75)&lt;150000,SUM(G69:G75),150000)+IF(+G76&lt;20000,+G76,20000)</f>
        <v>150000</v>
      </c>
      <c r="I78" s="63"/>
      <c r="J78" s="140"/>
      <c r="K78" s="141"/>
      <c r="L78" s="141"/>
      <c r="M78" s="142"/>
      <c r="N78" s="142"/>
      <c r="O78" s="143"/>
    </row>
    <row r="79" spans="2:19" ht="12.75" customHeight="1" x14ac:dyDescent="0.2">
      <c r="B79" s="803"/>
      <c r="C79" s="100" t="s">
        <v>196</v>
      </c>
      <c r="D79" s="782" t="s">
        <v>187</v>
      </c>
      <c r="E79" s="783"/>
      <c r="F79" s="818"/>
      <c r="G79" s="73">
        <f>+O42</f>
        <v>0</v>
      </c>
      <c r="H79" s="101">
        <f>+IF(+G79&lt;25000,+G79,25000)</f>
        <v>0</v>
      </c>
      <c r="I79" s="87"/>
    </row>
    <row r="80" spans="2:19" x14ac:dyDescent="0.2">
      <c r="B80" s="803"/>
      <c r="C80" s="100" t="s">
        <v>197</v>
      </c>
      <c r="D80" s="784" t="s">
        <v>198</v>
      </c>
      <c r="E80" s="785"/>
      <c r="F80" s="786"/>
      <c r="G80" s="102"/>
      <c r="H80" s="103">
        <f>+IF(+G80&lt;40000,+G80,40000)</f>
        <v>0</v>
      </c>
      <c r="I80" s="63"/>
    </row>
    <row r="81" spans="2:12" x14ac:dyDescent="0.2">
      <c r="B81" s="803"/>
      <c r="C81" s="100" t="s">
        <v>199</v>
      </c>
      <c r="D81" s="784" t="s">
        <v>200</v>
      </c>
      <c r="E81" s="785"/>
      <c r="F81" s="786"/>
      <c r="G81" s="81"/>
      <c r="H81" s="104">
        <v>0</v>
      </c>
      <c r="I81" s="63"/>
      <c r="J81" s="106"/>
    </row>
    <row r="82" spans="2:12" x14ac:dyDescent="0.2">
      <c r="B82" s="803"/>
      <c r="C82" s="100" t="s">
        <v>201</v>
      </c>
      <c r="D82" s="784" t="s">
        <v>202</v>
      </c>
      <c r="E82" s="785"/>
      <c r="F82" s="786"/>
      <c r="G82" s="81"/>
      <c r="H82" s="104">
        <v>0</v>
      </c>
      <c r="I82" s="63"/>
    </row>
    <row r="83" spans="2:12" ht="13.5" thickBot="1" x14ac:dyDescent="0.25">
      <c r="B83" s="804"/>
      <c r="C83" s="100" t="s">
        <v>203</v>
      </c>
      <c r="D83" s="784" t="s">
        <v>204</v>
      </c>
      <c r="E83" s="785"/>
      <c r="F83" s="786"/>
      <c r="G83" s="102"/>
      <c r="H83" s="103">
        <f>+IF(+G83&lt;100000,+G83,10000)</f>
        <v>0</v>
      </c>
      <c r="I83" s="63"/>
    </row>
    <row r="84" spans="2:12" ht="13.5" thickBot="1" x14ac:dyDescent="0.25">
      <c r="B84" s="787" t="s">
        <v>205</v>
      </c>
      <c r="C84" s="788"/>
      <c r="D84" s="788"/>
      <c r="E84" s="788"/>
      <c r="F84" s="788"/>
      <c r="G84" s="107">
        <f>SUM(G79:G83)</f>
        <v>0</v>
      </c>
      <c r="H84" s="108">
        <f>SUM(H78:H83)</f>
        <v>150000</v>
      </c>
    </row>
    <row r="85" spans="2:12" ht="13.5" thickBot="1" x14ac:dyDescent="0.25"/>
    <row r="86" spans="2:12" ht="13.5" thickBot="1" x14ac:dyDescent="0.25">
      <c r="B86" s="789" t="s">
        <v>206</v>
      </c>
      <c r="C86" s="790"/>
      <c r="D86" s="790"/>
      <c r="E86" s="790"/>
      <c r="F86" s="791"/>
      <c r="G86" s="792">
        <f>+G65-H84</f>
        <v>446596</v>
      </c>
      <c r="H86" s="791"/>
      <c r="J86" s="109">
        <f>C37+D37+E37+F37</f>
        <v>287700</v>
      </c>
      <c r="K86" s="16" t="s">
        <v>235</v>
      </c>
    </row>
    <row r="87" spans="2:12" x14ac:dyDescent="0.2">
      <c r="B87" s="110"/>
      <c r="F87" s="105"/>
      <c r="J87" s="109">
        <f>G37+H37+I37</f>
        <v>179760</v>
      </c>
      <c r="K87" s="16" t="s">
        <v>236</v>
      </c>
    </row>
    <row r="88" spans="2:12" x14ac:dyDescent="0.2">
      <c r="C88" s="793" t="s">
        <v>207</v>
      </c>
      <c r="D88" s="794"/>
      <c r="E88" s="111" t="s">
        <v>208</v>
      </c>
      <c r="F88" s="111" t="s">
        <v>209</v>
      </c>
      <c r="G88" s="111" t="s">
        <v>210</v>
      </c>
      <c r="H88" s="111" t="s">
        <v>211</v>
      </c>
      <c r="J88" s="109">
        <f>J37+K37+L37</f>
        <v>192236</v>
      </c>
      <c r="K88" s="47" t="s">
        <v>237</v>
      </c>
    </row>
    <row r="89" spans="2:12" x14ac:dyDescent="0.2">
      <c r="C89" s="795" t="str">
        <f>IF(I6="M","0          - 250000","0          -  250000")</f>
        <v>0          -  250000</v>
      </c>
      <c r="D89" s="796"/>
      <c r="E89" s="112">
        <v>0</v>
      </c>
      <c r="F89" s="113">
        <f>IF(I6="M",(IF(G86&lt;250000,G86,250000)),(IF(G86&lt;250000,G86,250000)))</f>
        <v>250000</v>
      </c>
      <c r="G89" s="113">
        <f>G86-F89</f>
        <v>196596</v>
      </c>
      <c r="H89" s="113">
        <f>E89*F89</f>
        <v>0</v>
      </c>
      <c r="J89" s="16">
        <f>M37+N37</f>
        <v>121696</v>
      </c>
      <c r="K89" s="1" t="s">
        <v>238</v>
      </c>
      <c r="L89" s="16">
        <f>+J89/2</f>
        <v>60848</v>
      </c>
    </row>
    <row r="90" spans="2:12" x14ac:dyDescent="0.2">
      <c r="C90" s="795" t="str">
        <f>IF(I6="M","250001 - 500000","250001-500000")</f>
        <v>250001-500000</v>
      </c>
      <c r="D90" s="796"/>
      <c r="E90" s="112">
        <v>0.05</v>
      </c>
      <c r="F90" s="113">
        <f>IF(I6="M",(IF(G89&lt;250000,G89,250000)),(IF(G89&lt;250000,G89,250000)))</f>
        <v>196596</v>
      </c>
      <c r="G90" s="113">
        <f>G89-F90</f>
        <v>0</v>
      </c>
      <c r="H90" s="114">
        <f>ROUND(E90*F90,0.1)</f>
        <v>9830</v>
      </c>
      <c r="J90" s="115">
        <f>SUM(J86:J89)</f>
        <v>781392</v>
      </c>
    </row>
    <row r="91" spans="2:12" x14ac:dyDescent="0.2">
      <c r="C91" s="797" t="s">
        <v>212</v>
      </c>
      <c r="D91" s="798"/>
      <c r="E91" s="112">
        <v>0.2</v>
      </c>
      <c r="F91" s="113">
        <f>IF(G90&lt;500000,G90,500000)</f>
        <v>0</v>
      </c>
      <c r="G91" s="113">
        <f>G90-F91</f>
        <v>0</v>
      </c>
      <c r="H91" s="114">
        <f>ROUND(E91*F91,0.1)</f>
        <v>0</v>
      </c>
      <c r="J91" s="16">
        <f>+G86</f>
        <v>446596</v>
      </c>
    </row>
    <row r="92" spans="2:12" x14ac:dyDescent="0.2">
      <c r="C92" s="795" t="s">
        <v>213</v>
      </c>
      <c r="D92" s="796"/>
      <c r="E92" s="112">
        <v>0.3</v>
      </c>
      <c r="F92" s="113">
        <f>G91</f>
        <v>0</v>
      </c>
      <c r="G92" s="113">
        <f>G91-F92</f>
        <v>0</v>
      </c>
      <c r="H92" s="114">
        <f>ROUND(E92*F92,0.1)</f>
        <v>0</v>
      </c>
      <c r="J92" s="16">
        <f>+J90-J91</f>
        <v>334796</v>
      </c>
    </row>
    <row r="93" spans="2:12" ht="12.75" customHeight="1" thickBot="1" x14ac:dyDescent="0.25">
      <c r="B93" s="116"/>
      <c r="C93" s="117"/>
      <c r="D93" s="47"/>
      <c r="E93" s="47"/>
      <c r="F93" s="47"/>
      <c r="J93" s="16">
        <f>ROUND(+G86/12,0.1)</f>
        <v>37216</v>
      </c>
      <c r="K93" s="292"/>
    </row>
    <row r="94" spans="2:12" ht="13.5" thickBot="1" x14ac:dyDescent="0.25">
      <c r="B94" s="799" t="s">
        <v>239</v>
      </c>
      <c r="C94" s="800"/>
      <c r="D94" s="800"/>
      <c r="E94" s="800"/>
      <c r="F94" s="801"/>
      <c r="G94" s="771">
        <f>H89+H90+H91+H92</f>
        <v>9830</v>
      </c>
      <c r="H94" s="772"/>
      <c r="J94" s="16">
        <f>+J92/5</f>
        <v>66959.199999999997</v>
      </c>
    </row>
    <row r="95" spans="2:12" ht="13.5" thickBot="1" x14ac:dyDescent="0.25">
      <c r="B95" s="119" t="s">
        <v>215</v>
      </c>
      <c r="C95" s="120"/>
      <c r="D95" s="120"/>
      <c r="E95" s="120"/>
      <c r="F95" s="120"/>
      <c r="G95" s="884">
        <f>IF((G65&lt;500000),5000,0)</f>
        <v>0</v>
      </c>
      <c r="H95" s="885">
        <f>IF(H93&lt;200000,0,IF(H93&lt;220000,((H93-200000)*10%),IF(H93&lt;=500000,2000,IF(H93&gt;=500000,0))))</f>
        <v>0</v>
      </c>
      <c r="J95" s="1"/>
      <c r="K95" s="121"/>
      <c r="L95" s="121"/>
    </row>
    <row r="96" spans="2:12" ht="13.5" thickBot="1" x14ac:dyDescent="0.25">
      <c r="B96" s="122" t="s">
        <v>216</v>
      </c>
      <c r="C96" s="123"/>
      <c r="D96" s="123"/>
      <c r="E96" s="123"/>
      <c r="F96" s="123"/>
      <c r="G96" s="771">
        <f>IF((G94-G95)&lt;0,0,(G94-G95))</f>
        <v>9830</v>
      </c>
      <c r="H96" s="772"/>
      <c r="I96" s="37"/>
    </row>
    <row r="97" spans="2:15" ht="13.5" thickBot="1" x14ac:dyDescent="0.25">
      <c r="B97" s="773" t="s">
        <v>240</v>
      </c>
      <c r="C97" s="774"/>
      <c r="D97" s="774"/>
      <c r="E97" s="774"/>
      <c r="F97" s="775"/>
      <c r="G97" s="776">
        <f>ROUND((IF(G96&gt;0,(G96*4%),0)),0)</f>
        <v>393</v>
      </c>
      <c r="H97" s="777"/>
      <c r="I97" s="37"/>
    </row>
    <row r="98" spans="2:15" ht="13.5" thickBot="1" x14ac:dyDescent="0.25">
      <c r="B98" s="778" t="s">
        <v>218</v>
      </c>
      <c r="C98" s="779"/>
      <c r="D98" s="779"/>
      <c r="E98" s="779"/>
      <c r="F98" s="779"/>
      <c r="G98" s="780">
        <f>G96+G97</f>
        <v>10223</v>
      </c>
      <c r="H98" s="781"/>
      <c r="I98" s="121"/>
      <c r="N98" s="39"/>
      <c r="O98" s="37"/>
    </row>
    <row r="99" spans="2:15" ht="13.5" thickBot="1" x14ac:dyDescent="0.25">
      <c r="B99" s="765" t="s">
        <v>219</v>
      </c>
      <c r="C99" s="766"/>
      <c r="D99" s="766"/>
      <c r="E99" s="766"/>
      <c r="F99" s="766"/>
      <c r="G99" s="767">
        <f>O38</f>
        <v>10230</v>
      </c>
      <c r="H99" s="768"/>
      <c r="I99" s="121"/>
      <c r="N99" s="39"/>
      <c r="O99" s="37"/>
    </row>
    <row r="100" spans="2:15" ht="13.5" thickBot="1" x14ac:dyDescent="0.25">
      <c r="B100" s="765" t="str">
        <f>IF(G100&gt;0,"TAX PAYABLE","TAX REFUND")</f>
        <v>TAX REFUND</v>
      </c>
      <c r="C100" s="766"/>
      <c r="D100" s="766"/>
      <c r="E100" s="766"/>
      <c r="F100" s="766"/>
      <c r="G100" s="767">
        <f>+G98-G99</f>
        <v>-7</v>
      </c>
      <c r="H100" s="768"/>
      <c r="I100" s="37"/>
      <c r="N100" s="39"/>
      <c r="O100" s="37"/>
    </row>
    <row r="101" spans="2:15" x14ac:dyDescent="0.2">
      <c r="C101" s="124"/>
      <c r="D101" s="45"/>
      <c r="E101" s="118"/>
      <c r="F101" s="118"/>
      <c r="G101" s="118"/>
      <c r="H101" s="118"/>
      <c r="I101" s="125"/>
      <c r="N101" s="39"/>
      <c r="O101" s="121"/>
    </row>
    <row r="102" spans="2:15" x14ac:dyDescent="0.2">
      <c r="C102" s="47"/>
      <c r="D102" s="50"/>
      <c r="E102" s="117"/>
      <c r="F102" s="47"/>
      <c r="G102" s="47"/>
      <c r="H102" s="47"/>
      <c r="I102" s="125"/>
    </row>
    <row r="103" spans="2:15" x14ac:dyDescent="0.2">
      <c r="C103" s="39"/>
      <c r="D103" s="126"/>
      <c r="E103" s="126"/>
      <c r="F103" s="126"/>
      <c r="G103" s="39"/>
      <c r="H103" s="39"/>
      <c r="I103" s="37"/>
    </row>
    <row r="104" spans="2:15" x14ac:dyDescent="0.2">
      <c r="C104" s="39"/>
      <c r="D104" s="39"/>
      <c r="E104" s="39"/>
      <c r="F104" s="39"/>
      <c r="G104" s="39"/>
      <c r="H104" s="39"/>
      <c r="I104" s="39"/>
      <c r="J104" s="39"/>
      <c r="K104" s="39"/>
    </row>
    <row r="105" spans="2:15" x14ac:dyDescent="0.2">
      <c r="C105" s="39"/>
      <c r="D105" s="126"/>
      <c r="E105" s="126"/>
      <c r="F105" s="39"/>
      <c r="G105" s="39"/>
      <c r="H105" s="39"/>
      <c r="I105" s="39"/>
      <c r="J105" s="39"/>
    </row>
    <row r="106" spans="2:15" x14ac:dyDescent="0.2">
      <c r="C106" s="39"/>
      <c r="D106" s="39"/>
      <c r="E106" s="39"/>
      <c r="F106" s="39"/>
      <c r="G106" s="39"/>
      <c r="H106" s="39"/>
      <c r="I106" s="37"/>
      <c r="J106" s="39"/>
    </row>
    <row r="107" spans="2:15" x14ac:dyDescent="0.2">
      <c r="C107" s="39"/>
      <c r="D107" s="39"/>
      <c r="E107" s="39"/>
      <c r="F107" s="39"/>
      <c r="G107" s="39"/>
      <c r="H107" s="39"/>
      <c r="I107" s="39"/>
      <c r="J107" s="39"/>
    </row>
    <row r="108" spans="2:15" x14ac:dyDescent="0.2">
      <c r="C108" s="39"/>
      <c r="D108" s="39"/>
      <c r="E108" s="39"/>
      <c r="F108" s="39"/>
      <c r="G108" s="39"/>
      <c r="H108" s="39"/>
      <c r="I108" s="39"/>
      <c r="J108" s="39"/>
    </row>
    <row r="109" spans="2:15" x14ac:dyDescent="0.2">
      <c r="I109" s="39"/>
      <c r="J109" s="39"/>
    </row>
  </sheetData>
  <mergeCells count="92">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8:A48"/>
    <mergeCell ref="A5:C5"/>
    <mergeCell ref="D5:F5"/>
    <mergeCell ref="G5:H5"/>
    <mergeCell ref="I5:O5"/>
    <mergeCell ref="A6:C6"/>
    <mergeCell ref="D6:F6"/>
    <mergeCell ref="G6:H6"/>
    <mergeCell ref="J6:O6"/>
    <mergeCell ref="L7:O7"/>
    <mergeCell ref="A8:B8"/>
    <mergeCell ref="A21:A33"/>
    <mergeCell ref="A35:B35"/>
    <mergeCell ref="A36:B36"/>
    <mergeCell ref="A49:B49"/>
    <mergeCell ref="A50:B50"/>
    <mergeCell ref="B53:F53"/>
    <mergeCell ref="G53:H53"/>
    <mergeCell ref="B55:B58"/>
    <mergeCell ref="C55:C58"/>
    <mergeCell ref="D55:F55"/>
    <mergeCell ref="G55:H55"/>
    <mergeCell ref="D56:F56"/>
    <mergeCell ref="G56:H56"/>
    <mergeCell ref="B65:F65"/>
    <mergeCell ref="G65:H65"/>
    <mergeCell ref="J56:L56"/>
    <mergeCell ref="M56:O56"/>
    <mergeCell ref="D58:F58"/>
    <mergeCell ref="G58:H58"/>
    <mergeCell ref="B60:F60"/>
    <mergeCell ref="G60:H60"/>
    <mergeCell ref="J60:O60"/>
    <mergeCell ref="B62:F62"/>
    <mergeCell ref="G62:H62"/>
    <mergeCell ref="C63:F63"/>
    <mergeCell ref="G63:H63"/>
    <mergeCell ref="J63:O63"/>
    <mergeCell ref="D81:F81"/>
    <mergeCell ref="J68:K68"/>
    <mergeCell ref="B69:B83"/>
    <mergeCell ref="C69:C75"/>
    <mergeCell ref="D69:F69"/>
    <mergeCell ref="D70:F70"/>
    <mergeCell ref="D71:F71"/>
    <mergeCell ref="D72:F72"/>
    <mergeCell ref="D73:F73"/>
    <mergeCell ref="D74:F74"/>
    <mergeCell ref="D75:F75"/>
    <mergeCell ref="D76:F76"/>
    <mergeCell ref="D77:F77"/>
    <mergeCell ref="E78:F78"/>
    <mergeCell ref="D79:F79"/>
    <mergeCell ref="D80:F80"/>
    <mergeCell ref="G94:H94"/>
    <mergeCell ref="D82:F82"/>
    <mergeCell ref="D83:F83"/>
    <mergeCell ref="B84:F84"/>
    <mergeCell ref="B86:F86"/>
    <mergeCell ref="G86:H86"/>
    <mergeCell ref="C88:D88"/>
    <mergeCell ref="C89:D89"/>
    <mergeCell ref="C90:D90"/>
    <mergeCell ref="C91:D91"/>
    <mergeCell ref="C92:D92"/>
    <mergeCell ref="B94:F94"/>
    <mergeCell ref="B99:F99"/>
    <mergeCell ref="G99:H99"/>
    <mergeCell ref="B100:F100"/>
    <mergeCell ref="G100:H100"/>
    <mergeCell ref="G95:H95"/>
    <mergeCell ref="G96:H96"/>
    <mergeCell ref="B97:F97"/>
    <mergeCell ref="G97:H97"/>
    <mergeCell ref="B98:F98"/>
    <mergeCell ref="G98:H98"/>
  </mergeCells>
  <conditionalFormatting sqref="B91:F91 B100:F100 B94:F98">
    <cfRule type="cellIs" dxfId="1115" priority="1" stopIfTrue="1" operator="equal">
      <formula>"TAX PAYABLE"</formula>
    </cfRule>
    <cfRule type="cellIs" dxfId="1114" priority="2" stopIfTrue="1" operator="equal">
      <formula>"TAX REFUND"</formula>
    </cfRule>
  </conditionalFormatting>
  <conditionalFormatting sqref="G91:H91">
    <cfRule type="cellIs" dxfId="1113" priority="3" stopIfTrue="1" operator="lessThan">
      <formula>0</formula>
    </cfRule>
    <cfRule type="cellIs" dxfId="1112" priority="4" stopIfTrue="1" operator="greaterThan">
      <formula>0</formula>
    </cfRule>
  </conditionalFormatting>
  <conditionalFormatting sqref="G100:H100">
    <cfRule type="cellIs" dxfId="1111" priority="5" stopIfTrue="1" operator="greaterThan">
      <formula>0</formula>
    </cfRule>
    <cfRule type="cellIs" dxfId="1110" priority="6"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$Q$8:$Q$9</formula1>
    </dataValidation>
  </dataValidations>
  <pageMargins left="0.75" right="0.75" top="1" bottom="1" header="0.5" footer="0.5"/>
  <headerFooter alignWithMargins="0"/>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0"/>
  <sheetViews>
    <sheetView topLeftCell="A65" workbookViewId="0">
      <selection activeCell="G78" sqref="G78"/>
    </sheetView>
  </sheetViews>
  <sheetFormatPr defaultRowHeight="12.75" x14ac:dyDescent="0.2"/>
  <cols>
    <col min="1" max="1" width="5" style="16" customWidth="1"/>
    <col min="2" max="2" width="18.140625" style="37" customWidth="1"/>
    <col min="3" max="3" width="11.140625" style="16" bestFit="1" customWidth="1"/>
    <col min="4" max="4" width="6.7109375" style="16" bestFit="1" customWidth="1"/>
    <col min="5" max="5" width="8.5703125" style="16" bestFit="1" customWidth="1"/>
    <col min="6" max="6" width="9.28515625" style="16" bestFit="1" customWidth="1"/>
    <col min="7" max="7" width="10.42578125" style="16" bestFit="1" customWidth="1"/>
    <col min="8" max="8" width="10.28515625" style="16" bestFit="1" customWidth="1"/>
    <col min="9" max="9" width="7.140625" style="16" bestFit="1" customWidth="1"/>
    <col min="10" max="10" width="7.140625" style="16" customWidth="1"/>
    <col min="11" max="12" width="7" style="16" bestFit="1" customWidth="1"/>
    <col min="13" max="13" width="6.85546875" style="16" bestFit="1" customWidth="1"/>
    <col min="14" max="14" width="7" style="16" bestFit="1" customWidth="1"/>
    <col min="15" max="15" width="7.140625" style="16" bestFit="1" customWidth="1"/>
    <col min="16" max="20" width="9.140625" style="16"/>
    <col min="21" max="21" width="12.42578125" style="16" customWidth="1"/>
    <col min="22" max="22" width="9.140625" style="16"/>
    <col min="23" max="23" width="12" style="16" customWidth="1"/>
    <col min="24" max="256" width="9.140625" style="16"/>
    <col min="257" max="257" width="5" style="16" customWidth="1"/>
    <col min="258" max="258" width="18.140625" style="16" customWidth="1"/>
    <col min="259" max="259" width="11.140625" style="16" bestFit="1" customWidth="1"/>
    <col min="260" max="260" width="6.7109375" style="16" bestFit="1" customWidth="1"/>
    <col min="261" max="261" width="8.5703125" style="16" bestFit="1" customWidth="1"/>
    <col min="262" max="262" width="9.28515625" style="16" bestFit="1" customWidth="1"/>
    <col min="263" max="263" width="10.42578125" style="16" bestFit="1" customWidth="1"/>
    <col min="264" max="264" width="10.28515625" style="16" bestFit="1" customWidth="1"/>
    <col min="265" max="265" width="7.140625" style="16" bestFit="1" customWidth="1"/>
    <col min="266" max="266" width="7.140625" style="16" customWidth="1"/>
    <col min="267" max="268" width="7" style="16" bestFit="1" customWidth="1"/>
    <col min="269" max="269" width="6.85546875" style="16" bestFit="1" customWidth="1"/>
    <col min="270" max="270" width="7" style="16" bestFit="1" customWidth="1"/>
    <col min="271" max="271" width="7.140625" style="16" bestFit="1" customWidth="1"/>
    <col min="272" max="276" width="9.140625" style="16"/>
    <col min="277" max="277" width="12.42578125" style="16" customWidth="1"/>
    <col min="278" max="278" width="9.140625" style="16"/>
    <col min="279" max="279" width="12" style="16" customWidth="1"/>
    <col min="280" max="512" width="9.140625" style="16"/>
    <col min="513" max="513" width="5" style="16" customWidth="1"/>
    <col min="514" max="514" width="18.140625" style="16" customWidth="1"/>
    <col min="515" max="515" width="11.140625" style="16" bestFit="1" customWidth="1"/>
    <col min="516" max="516" width="6.7109375" style="16" bestFit="1" customWidth="1"/>
    <col min="517" max="517" width="8.5703125" style="16" bestFit="1" customWidth="1"/>
    <col min="518" max="518" width="9.28515625" style="16" bestFit="1" customWidth="1"/>
    <col min="519" max="519" width="10.42578125" style="16" bestFit="1" customWidth="1"/>
    <col min="520" max="520" width="10.28515625" style="16" bestFit="1" customWidth="1"/>
    <col min="521" max="521" width="7.140625" style="16" bestFit="1" customWidth="1"/>
    <col min="522" max="522" width="7.140625" style="16" customWidth="1"/>
    <col min="523" max="524" width="7" style="16" bestFit="1" customWidth="1"/>
    <col min="525" max="525" width="6.85546875" style="16" bestFit="1" customWidth="1"/>
    <col min="526" max="526" width="7" style="16" bestFit="1" customWidth="1"/>
    <col min="527" max="527" width="7.140625" style="16" bestFit="1" customWidth="1"/>
    <col min="528" max="532" width="9.140625" style="16"/>
    <col min="533" max="533" width="12.42578125" style="16" customWidth="1"/>
    <col min="534" max="534" width="9.140625" style="16"/>
    <col min="535" max="535" width="12" style="16" customWidth="1"/>
    <col min="536" max="768" width="9.140625" style="16"/>
    <col min="769" max="769" width="5" style="16" customWidth="1"/>
    <col min="770" max="770" width="18.140625" style="16" customWidth="1"/>
    <col min="771" max="771" width="11.140625" style="16" bestFit="1" customWidth="1"/>
    <col min="772" max="772" width="6.7109375" style="16" bestFit="1" customWidth="1"/>
    <col min="773" max="773" width="8.5703125" style="16" bestFit="1" customWidth="1"/>
    <col min="774" max="774" width="9.28515625" style="16" bestFit="1" customWidth="1"/>
    <col min="775" max="775" width="10.42578125" style="16" bestFit="1" customWidth="1"/>
    <col min="776" max="776" width="10.28515625" style="16" bestFit="1" customWidth="1"/>
    <col min="777" max="777" width="7.140625" style="16" bestFit="1" customWidth="1"/>
    <col min="778" max="778" width="7.140625" style="16" customWidth="1"/>
    <col min="779" max="780" width="7" style="16" bestFit="1" customWidth="1"/>
    <col min="781" max="781" width="6.85546875" style="16" bestFit="1" customWidth="1"/>
    <col min="782" max="782" width="7" style="16" bestFit="1" customWidth="1"/>
    <col min="783" max="783" width="7.140625" style="16" bestFit="1" customWidth="1"/>
    <col min="784" max="788" width="9.140625" style="16"/>
    <col min="789" max="789" width="12.42578125" style="16" customWidth="1"/>
    <col min="790" max="790" width="9.140625" style="16"/>
    <col min="791" max="791" width="12" style="16" customWidth="1"/>
    <col min="792" max="1024" width="9.140625" style="16"/>
    <col min="1025" max="1025" width="5" style="16" customWidth="1"/>
    <col min="1026" max="1026" width="18.140625" style="16" customWidth="1"/>
    <col min="1027" max="1027" width="11.140625" style="16" bestFit="1" customWidth="1"/>
    <col min="1028" max="1028" width="6.7109375" style="16" bestFit="1" customWidth="1"/>
    <col min="1029" max="1029" width="8.5703125" style="16" bestFit="1" customWidth="1"/>
    <col min="1030" max="1030" width="9.28515625" style="16" bestFit="1" customWidth="1"/>
    <col min="1031" max="1031" width="10.42578125" style="16" bestFit="1" customWidth="1"/>
    <col min="1032" max="1032" width="10.28515625" style="16" bestFit="1" customWidth="1"/>
    <col min="1033" max="1033" width="7.140625" style="16" bestFit="1" customWidth="1"/>
    <col min="1034" max="1034" width="7.140625" style="16" customWidth="1"/>
    <col min="1035" max="1036" width="7" style="16" bestFit="1" customWidth="1"/>
    <col min="1037" max="1037" width="6.85546875" style="16" bestFit="1" customWidth="1"/>
    <col min="1038" max="1038" width="7" style="16" bestFit="1" customWidth="1"/>
    <col min="1039" max="1039" width="7.140625" style="16" bestFit="1" customWidth="1"/>
    <col min="1040" max="1044" width="9.140625" style="16"/>
    <col min="1045" max="1045" width="12.42578125" style="16" customWidth="1"/>
    <col min="1046" max="1046" width="9.140625" style="16"/>
    <col min="1047" max="1047" width="12" style="16" customWidth="1"/>
    <col min="1048" max="1280" width="9.140625" style="16"/>
    <col min="1281" max="1281" width="5" style="16" customWidth="1"/>
    <col min="1282" max="1282" width="18.140625" style="16" customWidth="1"/>
    <col min="1283" max="1283" width="11.140625" style="16" bestFit="1" customWidth="1"/>
    <col min="1284" max="1284" width="6.7109375" style="16" bestFit="1" customWidth="1"/>
    <col min="1285" max="1285" width="8.5703125" style="16" bestFit="1" customWidth="1"/>
    <col min="1286" max="1286" width="9.28515625" style="16" bestFit="1" customWidth="1"/>
    <col min="1287" max="1287" width="10.42578125" style="16" bestFit="1" customWidth="1"/>
    <col min="1288" max="1288" width="10.28515625" style="16" bestFit="1" customWidth="1"/>
    <col min="1289" max="1289" width="7.140625" style="16" bestFit="1" customWidth="1"/>
    <col min="1290" max="1290" width="7.140625" style="16" customWidth="1"/>
    <col min="1291" max="1292" width="7" style="16" bestFit="1" customWidth="1"/>
    <col min="1293" max="1293" width="6.85546875" style="16" bestFit="1" customWidth="1"/>
    <col min="1294" max="1294" width="7" style="16" bestFit="1" customWidth="1"/>
    <col min="1295" max="1295" width="7.140625" style="16" bestFit="1" customWidth="1"/>
    <col min="1296" max="1300" width="9.140625" style="16"/>
    <col min="1301" max="1301" width="12.42578125" style="16" customWidth="1"/>
    <col min="1302" max="1302" width="9.140625" style="16"/>
    <col min="1303" max="1303" width="12" style="16" customWidth="1"/>
    <col min="1304" max="1536" width="9.140625" style="16"/>
    <col min="1537" max="1537" width="5" style="16" customWidth="1"/>
    <col min="1538" max="1538" width="18.140625" style="16" customWidth="1"/>
    <col min="1539" max="1539" width="11.140625" style="16" bestFit="1" customWidth="1"/>
    <col min="1540" max="1540" width="6.7109375" style="16" bestFit="1" customWidth="1"/>
    <col min="1541" max="1541" width="8.5703125" style="16" bestFit="1" customWidth="1"/>
    <col min="1542" max="1542" width="9.28515625" style="16" bestFit="1" customWidth="1"/>
    <col min="1543" max="1543" width="10.42578125" style="16" bestFit="1" customWidth="1"/>
    <col min="1544" max="1544" width="10.28515625" style="16" bestFit="1" customWidth="1"/>
    <col min="1545" max="1545" width="7.140625" style="16" bestFit="1" customWidth="1"/>
    <col min="1546" max="1546" width="7.140625" style="16" customWidth="1"/>
    <col min="1547" max="1548" width="7" style="16" bestFit="1" customWidth="1"/>
    <col min="1549" max="1549" width="6.85546875" style="16" bestFit="1" customWidth="1"/>
    <col min="1550" max="1550" width="7" style="16" bestFit="1" customWidth="1"/>
    <col min="1551" max="1551" width="7.140625" style="16" bestFit="1" customWidth="1"/>
    <col min="1552" max="1556" width="9.140625" style="16"/>
    <col min="1557" max="1557" width="12.42578125" style="16" customWidth="1"/>
    <col min="1558" max="1558" width="9.140625" style="16"/>
    <col min="1559" max="1559" width="12" style="16" customWidth="1"/>
    <col min="1560" max="1792" width="9.140625" style="16"/>
    <col min="1793" max="1793" width="5" style="16" customWidth="1"/>
    <col min="1794" max="1794" width="18.140625" style="16" customWidth="1"/>
    <col min="1795" max="1795" width="11.140625" style="16" bestFit="1" customWidth="1"/>
    <col min="1796" max="1796" width="6.7109375" style="16" bestFit="1" customWidth="1"/>
    <col min="1797" max="1797" width="8.5703125" style="16" bestFit="1" customWidth="1"/>
    <col min="1798" max="1798" width="9.28515625" style="16" bestFit="1" customWidth="1"/>
    <col min="1799" max="1799" width="10.42578125" style="16" bestFit="1" customWidth="1"/>
    <col min="1800" max="1800" width="10.28515625" style="16" bestFit="1" customWidth="1"/>
    <col min="1801" max="1801" width="7.140625" style="16" bestFit="1" customWidth="1"/>
    <col min="1802" max="1802" width="7.140625" style="16" customWidth="1"/>
    <col min="1803" max="1804" width="7" style="16" bestFit="1" customWidth="1"/>
    <col min="1805" max="1805" width="6.85546875" style="16" bestFit="1" customWidth="1"/>
    <col min="1806" max="1806" width="7" style="16" bestFit="1" customWidth="1"/>
    <col min="1807" max="1807" width="7.140625" style="16" bestFit="1" customWidth="1"/>
    <col min="1808" max="1812" width="9.140625" style="16"/>
    <col min="1813" max="1813" width="12.42578125" style="16" customWidth="1"/>
    <col min="1814" max="1814" width="9.140625" style="16"/>
    <col min="1815" max="1815" width="12" style="16" customWidth="1"/>
    <col min="1816" max="2048" width="9.140625" style="16"/>
    <col min="2049" max="2049" width="5" style="16" customWidth="1"/>
    <col min="2050" max="2050" width="18.140625" style="16" customWidth="1"/>
    <col min="2051" max="2051" width="11.140625" style="16" bestFit="1" customWidth="1"/>
    <col min="2052" max="2052" width="6.7109375" style="16" bestFit="1" customWidth="1"/>
    <col min="2053" max="2053" width="8.5703125" style="16" bestFit="1" customWidth="1"/>
    <col min="2054" max="2054" width="9.28515625" style="16" bestFit="1" customWidth="1"/>
    <col min="2055" max="2055" width="10.42578125" style="16" bestFit="1" customWidth="1"/>
    <col min="2056" max="2056" width="10.28515625" style="16" bestFit="1" customWidth="1"/>
    <col min="2057" max="2057" width="7.140625" style="16" bestFit="1" customWidth="1"/>
    <col min="2058" max="2058" width="7.140625" style="16" customWidth="1"/>
    <col min="2059" max="2060" width="7" style="16" bestFit="1" customWidth="1"/>
    <col min="2061" max="2061" width="6.85546875" style="16" bestFit="1" customWidth="1"/>
    <col min="2062" max="2062" width="7" style="16" bestFit="1" customWidth="1"/>
    <col min="2063" max="2063" width="7.140625" style="16" bestFit="1" customWidth="1"/>
    <col min="2064" max="2068" width="9.140625" style="16"/>
    <col min="2069" max="2069" width="12.42578125" style="16" customWidth="1"/>
    <col min="2070" max="2070" width="9.140625" style="16"/>
    <col min="2071" max="2071" width="12" style="16" customWidth="1"/>
    <col min="2072" max="2304" width="9.140625" style="16"/>
    <col min="2305" max="2305" width="5" style="16" customWidth="1"/>
    <col min="2306" max="2306" width="18.140625" style="16" customWidth="1"/>
    <col min="2307" max="2307" width="11.140625" style="16" bestFit="1" customWidth="1"/>
    <col min="2308" max="2308" width="6.7109375" style="16" bestFit="1" customWidth="1"/>
    <col min="2309" max="2309" width="8.5703125" style="16" bestFit="1" customWidth="1"/>
    <col min="2310" max="2310" width="9.28515625" style="16" bestFit="1" customWidth="1"/>
    <col min="2311" max="2311" width="10.42578125" style="16" bestFit="1" customWidth="1"/>
    <col min="2312" max="2312" width="10.28515625" style="16" bestFit="1" customWidth="1"/>
    <col min="2313" max="2313" width="7.140625" style="16" bestFit="1" customWidth="1"/>
    <col min="2314" max="2314" width="7.140625" style="16" customWidth="1"/>
    <col min="2315" max="2316" width="7" style="16" bestFit="1" customWidth="1"/>
    <col min="2317" max="2317" width="6.85546875" style="16" bestFit="1" customWidth="1"/>
    <col min="2318" max="2318" width="7" style="16" bestFit="1" customWidth="1"/>
    <col min="2319" max="2319" width="7.140625" style="16" bestFit="1" customWidth="1"/>
    <col min="2320" max="2324" width="9.140625" style="16"/>
    <col min="2325" max="2325" width="12.42578125" style="16" customWidth="1"/>
    <col min="2326" max="2326" width="9.140625" style="16"/>
    <col min="2327" max="2327" width="12" style="16" customWidth="1"/>
    <col min="2328" max="2560" width="9.140625" style="16"/>
    <col min="2561" max="2561" width="5" style="16" customWidth="1"/>
    <col min="2562" max="2562" width="18.140625" style="16" customWidth="1"/>
    <col min="2563" max="2563" width="11.140625" style="16" bestFit="1" customWidth="1"/>
    <col min="2564" max="2564" width="6.7109375" style="16" bestFit="1" customWidth="1"/>
    <col min="2565" max="2565" width="8.5703125" style="16" bestFit="1" customWidth="1"/>
    <col min="2566" max="2566" width="9.28515625" style="16" bestFit="1" customWidth="1"/>
    <col min="2567" max="2567" width="10.42578125" style="16" bestFit="1" customWidth="1"/>
    <col min="2568" max="2568" width="10.28515625" style="16" bestFit="1" customWidth="1"/>
    <col min="2569" max="2569" width="7.140625" style="16" bestFit="1" customWidth="1"/>
    <col min="2570" max="2570" width="7.140625" style="16" customWidth="1"/>
    <col min="2571" max="2572" width="7" style="16" bestFit="1" customWidth="1"/>
    <col min="2573" max="2573" width="6.85546875" style="16" bestFit="1" customWidth="1"/>
    <col min="2574" max="2574" width="7" style="16" bestFit="1" customWidth="1"/>
    <col min="2575" max="2575" width="7.140625" style="16" bestFit="1" customWidth="1"/>
    <col min="2576" max="2580" width="9.140625" style="16"/>
    <col min="2581" max="2581" width="12.42578125" style="16" customWidth="1"/>
    <col min="2582" max="2582" width="9.140625" style="16"/>
    <col min="2583" max="2583" width="12" style="16" customWidth="1"/>
    <col min="2584" max="2816" width="9.140625" style="16"/>
    <col min="2817" max="2817" width="5" style="16" customWidth="1"/>
    <col min="2818" max="2818" width="18.140625" style="16" customWidth="1"/>
    <col min="2819" max="2819" width="11.140625" style="16" bestFit="1" customWidth="1"/>
    <col min="2820" max="2820" width="6.7109375" style="16" bestFit="1" customWidth="1"/>
    <col min="2821" max="2821" width="8.5703125" style="16" bestFit="1" customWidth="1"/>
    <col min="2822" max="2822" width="9.28515625" style="16" bestFit="1" customWidth="1"/>
    <col min="2823" max="2823" width="10.42578125" style="16" bestFit="1" customWidth="1"/>
    <col min="2824" max="2824" width="10.28515625" style="16" bestFit="1" customWidth="1"/>
    <col min="2825" max="2825" width="7.140625" style="16" bestFit="1" customWidth="1"/>
    <col min="2826" max="2826" width="7.140625" style="16" customWidth="1"/>
    <col min="2827" max="2828" width="7" style="16" bestFit="1" customWidth="1"/>
    <col min="2829" max="2829" width="6.85546875" style="16" bestFit="1" customWidth="1"/>
    <col min="2830" max="2830" width="7" style="16" bestFit="1" customWidth="1"/>
    <col min="2831" max="2831" width="7.140625" style="16" bestFit="1" customWidth="1"/>
    <col min="2832" max="2836" width="9.140625" style="16"/>
    <col min="2837" max="2837" width="12.42578125" style="16" customWidth="1"/>
    <col min="2838" max="2838" width="9.140625" style="16"/>
    <col min="2839" max="2839" width="12" style="16" customWidth="1"/>
    <col min="2840" max="3072" width="9.140625" style="16"/>
    <col min="3073" max="3073" width="5" style="16" customWidth="1"/>
    <col min="3074" max="3074" width="18.140625" style="16" customWidth="1"/>
    <col min="3075" max="3075" width="11.140625" style="16" bestFit="1" customWidth="1"/>
    <col min="3076" max="3076" width="6.7109375" style="16" bestFit="1" customWidth="1"/>
    <col min="3077" max="3077" width="8.5703125" style="16" bestFit="1" customWidth="1"/>
    <col min="3078" max="3078" width="9.28515625" style="16" bestFit="1" customWidth="1"/>
    <col min="3079" max="3079" width="10.42578125" style="16" bestFit="1" customWidth="1"/>
    <col min="3080" max="3080" width="10.28515625" style="16" bestFit="1" customWidth="1"/>
    <col min="3081" max="3081" width="7.140625" style="16" bestFit="1" customWidth="1"/>
    <col min="3082" max="3082" width="7.140625" style="16" customWidth="1"/>
    <col min="3083" max="3084" width="7" style="16" bestFit="1" customWidth="1"/>
    <col min="3085" max="3085" width="6.85546875" style="16" bestFit="1" customWidth="1"/>
    <col min="3086" max="3086" width="7" style="16" bestFit="1" customWidth="1"/>
    <col min="3087" max="3087" width="7.140625" style="16" bestFit="1" customWidth="1"/>
    <col min="3088" max="3092" width="9.140625" style="16"/>
    <col min="3093" max="3093" width="12.42578125" style="16" customWidth="1"/>
    <col min="3094" max="3094" width="9.140625" style="16"/>
    <col min="3095" max="3095" width="12" style="16" customWidth="1"/>
    <col min="3096" max="3328" width="9.140625" style="16"/>
    <col min="3329" max="3329" width="5" style="16" customWidth="1"/>
    <col min="3330" max="3330" width="18.140625" style="16" customWidth="1"/>
    <col min="3331" max="3331" width="11.140625" style="16" bestFit="1" customWidth="1"/>
    <col min="3332" max="3332" width="6.7109375" style="16" bestFit="1" customWidth="1"/>
    <col min="3333" max="3333" width="8.5703125" style="16" bestFit="1" customWidth="1"/>
    <col min="3334" max="3334" width="9.28515625" style="16" bestFit="1" customWidth="1"/>
    <col min="3335" max="3335" width="10.42578125" style="16" bestFit="1" customWidth="1"/>
    <col min="3336" max="3336" width="10.28515625" style="16" bestFit="1" customWidth="1"/>
    <col min="3337" max="3337" width="7.140625" style="16" bestFit="1" customWidth="1"/>
    <col min="3338" max="3338" width="7.140625" style="16" customWidth="1"/>
    <col min="3339" max="3340" width="7" style="16" bestFit="1" customWidth="1"/>
    <col min="3341" max="3341" width="6.85546875" style="16" bestFit="1" customWidth="1"/>
    <col min="3342" max="3342" width="7" style="16" bestFit="1" customWidth="1"/>
    <col min="3343" max="3343" width="7.140625" style="16" bestFit="1" customWidth="1"/>
    <col min="3344" max="3348" width="9.140625" style="16"/>
    <col min="3349" max="3349" width="12.42578125" style="16" customWidth="1"/>
    <col min="3350" max="3350" width="9.140625" style="16"/>
    <col min="3351" max="3351" width="12" style="16" customWidth="1"/>
    <col min="3352" max="3584" width="9.140625" style="16"/>
    <col min="3585" max="3585" width="5" style="16" customWidth="1"/>
    <col min="3586" max="3586" width="18.140625" style="16" customWidth="1"/>
    <col min="3587" max="3587" width="11.140625" style="16" bestFit="1" customWidth="1"/>
    <col min="3588" max="3588" width="6.7109375" style="16" bestFit="1" customWidth="1"/>
    <col min="3589" max="3589" width="8.5703125" style="16" bestFit="1" customWidth="1"/>
    <col min="3590" max="3590" width="9.28515625" style="16" bestFit="1" customWidth="1"/>
    <col min="3591" max="3591" width="10.42578125" style="16" bestFit="1" customWidth="1"/>
    <col min="3592" max="3592" width="10.28515625" style="16" bestFit="1" customWidth="1"/>
    <col min="3593" max="3593" width="7.140625" style="16" bestFit="1" customWidth="1"/>
    <col min="3594" max="3594" width="7.140625" style="16" customWidth="1"/>
    <col min="3595" max="3596" width="7" style="16" bestFit="1" customWidth="1"/>
    <col min="3597" max="3597" width="6.85546875" style="16" bestFit="1" customWidth="1"/>
    <col min="3598" max="3598" width="7" style="16" bestFit="1" customWidth="1"/>
    <col min="3599" max="3599" width="7.140625" style="16" bestFit="1" customWidth="1"/>
    <col min="3600" max="3604" width="9.140625" style="16"/>
    <col min="3605" max="3605" width="12.42578125" style="16" customWidth="1"/>
    <col min="3606" max="3606" width="9.140625" style="16"/>
    <col min="3607" max="3607" width="12" style="16" customWidth="1"/>
    <col min="3608" max="3840" width="9.140625" style="16"/>
    <col min="3841" max="3841" width="5" style="16" customWidth="1"/>
    <col min="3842" max="3842" width="18.140625" style="16" customWidth="1"/>
    <col min="3843" max="3843" width="11.140625" style="16" bestFit="1" customWidth="1"/>
    <col min="3844" max="3844" width="6.7109375" style="16" bestFit="1" customWidth="1"/>
    <col min="3845" max="3845" width="8.5703125" style="16" bestFit="1" customWidth="1"/>
    <col min="3846" max="3846" width="9.28515625" style="16" bestFit="1" customWidth="1"/>
    <col min="3847" max="3847" width="10.42578125" style="16" bestFit="1" customWidth="1"/>
    <col min="3848" max="3848" width="10.28515625" style="16" bestFit="1" customWidth="1"/>
    <col min="3849" max="3849" width="7.140625" style="16" bestFit="1" customWidth="1"/>
    <col min="3850" max="3850" width="7.140625" style="16" customWidth="1"/>
    <col min="3851" max="3852" width="7" style="16" bestFit="1" customWidth="1"/>
    <col min="3853" max="3853" width="6.85546875" style="16" bestFit="1" customWidth="1"/>
    <col min="3854" max="3854" width="7" style="16" bestFit="1" customWidth="1"/>
    <col min="3855" max="3855" width="7.140625" style="16" bestFit="1" customWidth="1"/>
    <col min="3856" max="3860" width="9.140625" style="16"/>
    <col min="3861" max="3861" width="12.42578125" style="16" customWidth="1"/>
    <col min="3862" max="3862" width="9.140625" style="16"/>
    <col min="3863" max="3863" width="12" style="16" customWidth="1"/>
    <col min="3864" max="4096" width="9.140625" style="16"/>
    <col min="4097" max="4097" width="5" style="16" customWidth="1"/>
    <col min="4098" max="4098" width="18.140625" style="16" customWidth="1"/>
    <col min="4099" max="4099" width="11.140625" style="16" bestFit="1" customWidth="1"/>
    <col min="4100" max="4100" width="6.7109375" style="16" bestFit="1" customWidth="1"/>
    <col min="4101" max="4101" width="8.5703125" style="16" bestFit="1" customWidth="1"/>
    <col min="4102" max="4102" width="9.28515625" style="16" bestFit="1" customWidth="1"/>
    <col min="4103" max="4103" width="10.42578125" style="16" bestFit="1" customWidth="1"/>
    <col min="4104" max="4104" width="10.28515625" style="16" bestFit="1" customWidth="1"/>
    <col min="4105" max="4105" width="7.140625" style="16" bestFit="1" customWidth="1"/>
    <col min="4106" max="4106" width="7.140625" style="16" customWidth="1"/>
    <col min="4107" max="4108" width="7" style="16" bestFit="1" customWidth="1"/>
    <col min="4109" max="4109" width="6.85546875" style="16" bestFit="1" customWidth="1"/>
    <col min="4110" max="4110" width="7" style="16" bestFit="1" customWidth="1"/>
    <col min="4111" max="4111" width="7.140625" style="16" bestFit="1" customWidth="1"/>
    <col min="4112" max="4116" width="9.140625" style="16"/>
    <col min="4117" max="4117" width="12.42578125" style="16" customWidth="1"/>
    <col min="4118" max="4118" width="9.140625" style="16"/>
    <col min="4119" max="4119" width="12" style="16" customWidth="1"/>
    <col min="4120" max="4352" width="9.140625" style="16"/>
    <col min="4353" max="4353" width="5" style="16" customWidth="1"/>
    <col min="4354" max="4354" width="18.140625" style="16" customWidth="1"/>
    <col min="4355" max="4355" width="11.140625" style="16" bestFit="1" customWidth="1"/>
    <col min="4356" max="4356" width="6.7109375" style="16" bestFit="1" customWidth="1"/>
    <col min="4357" max="4357" width="8.5703125" style="16" bestFit="1" customWidth="1"/>
    <col min="4358" max="4358" width="9.28515625" style="16" bestFit="1" customWidth="1"/>
    <col min="4359" max="4359" width="10.42578125" style="16" bestFit="1" customWidth="1"/>
    <col min="4360" max="4360" width="10.28515625" style="16" bestFit="1" customWidth="1"/>
    <col min="4361" max="4361" width="7.140625" style="16" bestFit="1" customWidth="1"/>
    <col min="4362" max="4362" width="7.140625" style="16" customWidth="1"/>
    <col min="4363" max="4364" width="7" style="16" bestFit="1" customWidth="1"/>
    <col min="4365" max="4365" width="6.85546875" style="16" bestFit="1" customWidth="1"/>
    <col min="4366" max="4366" width="7" style="16" bestFit="1" customWidth="1"/>
    <col min="4367" max="4367" width="7.140625" style="16" bestFit="1" customWidth="1"/>
    <col min="4368" max="4372" width="9.140625" style="16"/>
    <col min="4373" max="4373" width="12.42578125" style="16" customWidth="1"/>
    <col min="4374" max="4374" width="9.140625" style="16"/>
    <col min="4375" max="4375" width="12" style="16" customWidth="1"/>
    <col min="4376" max="4608" width="9.140625" style="16"/>
    <col min="4609" max="4609" width="5" style="16" customWidth="1"/>
    <col min="4610" max="4610" width="18.140625" style="16" customWidth="1"/>
    <col min="4611" max="4611" width="11.140625" style="16" bestFit="1" customWidth="1"/>
    <col min="4612" max="4612" width="6.7109375" style="16" bestFit="1" customWidth="1"/>
    <col min="4613" max="4613" width="8.5703125" style="16" bestFit="1" customWidth="1"/>
    <col min="4614" max="4614" width="9.28515625" style="16" bestFit="1" customWidth="1"/>
    <col min="4615" max="4615" width="10.42578125" style="16" bestFit="1" customWidth="1"/>
    <col min="4616" max="4616" width="10.28515625" style="16" bestFit="1" customWidth="1"/>
    <col min="4617" max="4617" width="7.140625" style="16" bestFit="1" customWidth="1"/>
    <col min="4618" max="4618" width="7.140625" style="16" customWidth="1"/>
    <col min="4619" max="4620" width="7" style="16" bestFit="1" customWidth="1"/>
    <col min="4621" max="4621" width="6.85546875" style="16" bestFit="1" customWidth="1"/>
    <col min="4622" max="4622" width="7" style="16" bestFit="1" customWidth="1"/>
    <col min="4623" max="4623" width="7.140625" style="16" bestFit="1" customWidth="1"/>
    <col min="4624" max="4628" width="9.140625" style="16"/>
    <col min="4629" max="4629" width="12.42578125" style="16" customWidth="1"/>
    <col min="4630" max="4630" width="9.140625" style="16"/>
    <col min="4631" max="4631" width="12" style="16" customWidth="1"/>
    <col min="4632" max="4864" width="9.140625" style="16"/>
    <col min="4865" max="4865" width="5" style="16" customWidth="1"/>
    <col min="4866" max="4866" width="18.140625" style="16" customWidth="1"/>
    <col min="4867" max="4867" width="11.140625" style="16" bestFit="1" customWidth="1"/>
    <col min="4868" max="4868" width="6.7109375" style="16" bestFit="1" customWidth="1"/>
    <col min="4869" max="4869" width="8.5703125" style="16" bestFit="1" customWidth="1"/>
    <col min="4870" max="4870" width="9.28515625" style="16" bestFit="1" customWidth="1"/>
    <col min="4871" max="4871" width="10.42578125" style="16" bestFit="1" customWidth="1"/>
    <col min="4872" max="4872" width="10.28515625" style="16" bestFit="1" customWidth="1"/>
    <col min="4873" max="4873" width="7.140625" style="16" bestFit="1" customWidth="1"/>
    <col min="4874" max="4874" width="7.140625" style="16" customWidth="1"/>
    <col min="4875" max="4876" width="7" style="16" bestFit="1" customWidth="1"/>
    <col min="4877" max="4877" width="6.85546875" style="16" bestFit="1" customWidth="1"/>
    <col min="4878" max="4878" width="7" style="16" bestFit="1" customWidth="1"/>
    <col min="4879" max="4879" width="7.140625" style="16" bestFit="1" customWidth="1"/>
    <col min="4880" max="4884" width="9.140625" style="16"/>
    <col min="4885" max="4885" width="12.42578125" style="16" customWidth="1"/>
    <col min="4886" max="4886" width="9.140625" style="16"/>
    <col min="4887" max="4887" width="12" style="16" customWidth="1"/>
    <col min="4888" max="5120" width="9.140625" style="16"/>
    <col min="5121" max="5121" width="5" style="16" customWidth="1"/>
    <col min="5122" max="5122" width="18.140625" style="16" customWidth="1"/>
    <col min="5123" max="5123" width="11.140625" style="16" bestFit="1" customWidth="1"/>
    <col min="5124" max="5124" width="6.7109375" style="16" bestFit="1" customWidth="1"/>
    <col min="5125" max="5125" width="8.5703125" style="16" bestFit="1" customWidth="1"/>
    <col min="5126" max="5126" width="9.28515625" style="16" bestFit="1" customWidth="1"/>
    <col min="5127" max="5127" width="10.42578125" style="16" bestFit="1" customWidth="1"/>
    <col min="5128" max="5128" width="10.28515625" style="16" bestFit="1" customWidth="1"/>
    <col min="5129" max="5129" width="7.140625" style="16" bestFit="1" customWidth="1"/>
    <col min="5130" max="5130" width="7.140625" style="16" customWidth="1"/>
    <col min="5131" max="5132" width="7" style="16" bestFit="1" customWidth="1"/>
    <col min="5133" max="5133" width="6.85546875" style="16" bestFit="1" customWidth="1"/>
    <col min="5134" max="5134" width="7" style="16" bestFit="1" customWidth="1"/>
    <col min="5135" max="5135" width="7.140625" style="16" bestFit="1" customWidth="1"/>
    <col min="5136" max="5140" width="9.140625" style="16"/>
    <col min="5141" max="5141" width="12.42578125" style="16" customWidth="1"/>
    <col min="5142" max="5142" width="9.140625" style="16"/>
    <col min="5143" max="5143" width="12" style="16" customWidth="1"/>
    <col min="5144" max="5376" width="9.140625" style="16"/>
    <col min="5377" max="5377" width="5" style="16" customWidth="1"/>
    <col min="5378" max="5378" width="18.140625" style="16" customWidth="1"/>
    <col min="5379" max="5379" width="11.140625" style="16" bestFit="1" customWidth="1"/>
    <col min="5380" max="5380" width="6.7109375" style="16" bestFit="1" customWidth="1"/>
    <col min="5381" max="5381" width="8.5703125" style="16" bestFit="1" customWidth="1"/>
    <col min="5382" max="5382" width="9.28515625" style="16" bestFit="1" customWidth="1"/>
    <col min="5383" max="5383" width="10.42578125" style="16" bestFit="1" customWidth="1"/>
    <col min="5384" max="5384" width="10.28515625" style="16" bestFit="1" customWidth="1"/>
    <col min="5385" max="5385" width="7.140625" style="16" bestFit="1" customWidth="1"/>
    <col min="5386" max="5386" width="7.140625" style="16" customWidth="1"/>
    <col min="5387" max="5388" width="7" style="16" bestFit="1" customWidth="1"/>
    <col min="5389" max="5389" width="6.85546875" style="16" bestFit="1" customWidth="1"/>
    <col min="5390" max="5390" width="7" style="16" bestFit="1" customWidth="1"/>
    <col min="5391" max="5391" width="7.140625" style="16" bestFit="1" customWidth="1"/>
    <col min="5392" max="5396" width="9.140625" style="16"/>
    <col min="5397" max="5397" width="12.42578125" style="16" customWidth="1"/>
    <col min="5398" max="5398" width="9.140625" style="16"/>
    <col min="5399" max="5399" width="12" style="16" customWidth="1"/>
    <col min="5400" max="5632" width="9.140625" style="16"/>
    <col min="5633" max="5633" width="5" style="16" customWidth="1"/>
    <col min="5634" max="5634" width="18.140625" style="16" customWidth="1"/>
    <col min="5635" max="5635" width="11.140625" style="16" bestFit="1" customWidth="1"/>
    <col min="5636" max="5636" width="6.7109375" style="16" bestFit="1" customWidth="1"/>
    <col min="5637" max="5637" width="8.5703125" style="16" bestFit="1" customWidth="1"/>
    <col min="5638" max="5638" width="9.28515625" style="16" bestFit="1" customWidth="1"/>
    <col min="5639" max="5639" width="10.42578125" style="16" bestFit="1" customWidth="1"/>
    <col min="5640" max="5640" width="10.28515625" style="16" bestFit="1" customWidth="1"/>
    <col min="5641" max="5641" width="7.140625" style="16" bestFit="1" customWidth="1"/>
    <col min="5642" max="5642" width="7.140625" style="16" customWidth="1"/>
    <col min="5643" max="5644" width="7" style="16" bestFit="1" customWidth="1"/>
    <col min="5645" max="5645" width="6.85546875" style="16" bestFit="1" customWidth="1"/>
    <col min="5646" max="5646" width="7" style="16" bestFit="1" customWidth="1"/>
    <col min="5647" max="5647" width="7.140625" style="16" bestFit="1" customWidth="1"/>
    <col min="5648" max="5652" width="9.140625" style="16"/>
    <col min="5653" max="5653" width="12.42578125" style="16" customWidth="1"/>
    <col min="5654" max="5654" width="9.140625" style="16"/>
    <col min="5655" max="5655" width="12" style="16" customWidth="1"/>
    <col min="5656" max="5888" width="9.140625" style="16"/>
    <col min="5889" max="5889" width="5" style="16" customWidth="1"/>
    <col min="5890" max="5890" width="18.140625" style="16" customWidth="1"/>
    <col min="5891" max="5891" width="11.140625" style="16" bestFit="1" customWidth="1"/>
    <col min="5892" max="5892" width="6.7109375" style="16" bestFit="1" customWidth="1"/>
    <col min="5893" max="5893" width="8.5703125" style="16" bestFit="1" customWidth="1"/>
    <col min="5894" max="5894" width="9.28515625" style="16" bestFit="1" customWidth="1"/>
    <col min="5895" max="5895" width="10.42578125" style="16" bestFit="1" customWidth="1"/>
    <col min="5896" max="5896" width="10.28515625" style="16" bestFit="1" customWidth="1"/>
    <col min="5897" max="5897" width="7.140625" style="16" bestFit="1" customWidth="1"/>
    <col min="5898" max="5898" width="7.140625" style="16" customWidth="1"/>
    <col min="5899" max="5900" width="7" style="16" bestFit="1" customWidth="1"/>
    <col min="5901" max="5901" width="6.85546875" style="16" bestFit="1" customWidth="1"/>
    <col min="5902" max="5902" width="7" style="16" bestFit="1" customWidth="1"/>
    <col min="5903" max="5903" width="7.140625" style="16" bestFit="1" customWidth="1"/>
    <col min="5904" max="5908" width="9.140625" style="16"/>
    <col min="5909" max="5909" width="12.42578125" style="16" customWidth="1"/>
    <col min="5910" max="5910" width="9.140625" style="16"/>
    <col min="5911" max="5911" width="12" style="16" customWidth="1"/>
    <col min="5912" max="6144" width="9.140625" style="16"/>
    <col min="6145" max="6145" width="5" style="16" customWidth="1"/>
    <col min="6146" max="6146" width="18.140625" style="16" customWidth="1"/>
    <col min="6147" max="6147" width="11.140625" style="16" bestFit="1" customWidth="1"/>
    <col min="6148" max="6148" width="6.7109375" style="16" bestFit="1" customWidth="1"/>
    <col min="6149" max="6149" width="8.5703125" style="16" bestFit="1" customWidth="1"/>
    <col min="6150" max="6150" width="9.28515625" style="16" bestFit="1" customWidth="1"/>
    <col min="6151" max="6151" width="10.42578125" style="16" bestFit="1" customWidth="1"/>
    <col min="6152" max="6152" width="10.28515625" style="16" bestFit="1" customWidth="1"/>
    <col min="6153" max="6153" width="7.140625" style="16" bestFit="1" customWidth="1"/>
    <col min="6154" max="6154" width="7.140625" style="16" customWidth="1"/>
    <col min="6155" max="6156" width="7" style="16" bestFit="1" customWidth="1"/>
    <col min="6157" max="6157" width="6.85546875" style="16" bestFit="1" customWidth="1"/>
    <col min="6158" max="6158" width="7" style="16" bestFit="1" customWidth="1"/>
    <col min="6159" max="6159" width="7.140625" style="16" bestFit="1" customWidth="1"/>
    <col min="6160" max="6164" width="9.140625" style="16"/>
    <col min="6165" max="6165" width="12.42578125" style="16" customWidth="1"/>
    <col min="6166" max="6166" width="9.140625" style="16"/>
    <col min="6167" max="6167" width="12" style="16" customWidth="1"/>
    <col min="6168" max="6400" width="9.140625" style="16"/>
    <col min="6401" max="6401" width="5" style="16" customWidth="1"/>
    <col min="6402" max="6402" width="18.140625" style="16" customWidth="1"/>
    <col min="6403" max="6403" width="11.140625" style="16" bestFit="1" customWidth="1"/>
    <col min="6404" max="6404" width="6.7109375" style="16" bestFit="1" customWidth="1"/>
    <col min="6405" max="6405" width="8.5703125" style="16" bestFit="1" customWidth="1"/>
    <col min="6406" max="6406" width="9.28515625" style="16" bestFit="1" customWidth="1"/>
    <col min="6407" max="6407" width="10.42578125" style="16" bestFit="1" customWidth="1"/>
    <col min="6408" max="6408" width="10.28515625" style="16" bestFit="1" customWidth="1"/>
    <col min="6409" max="6409" width="7.140625" style="16" bestFit="1" customWidth="1"/>
    <col min="6410" max="6410" width="7.140625" style="16" customWidth="1"/>
    <col min="6411" max="6412" width="7" style="16" bestFit="1" customWidth="1"/>
    <col min="6413" max="6413" width="6.85546875" style="16" bestFit="1" customWidth="1"/>
    <col min="6414" max="6414" width="7" style="16" bestFit="1" customWidth="1"/>
    <col min="6415" max="6415" width="7.140625" style="16" bestFit="1" customWidth="1"/>
    <col min="6416" max="6420" width="9.140625" style="16"/>
    <col min="6421" max="6421" width="12.42578125" style="16" customWidth="1"/>
    <col min="6422" max="6422" width="9.140625" style="16"/>
    <col min="6423" max="6423" width="12" style="16" customWidth="1"/>
    <col min="6424" max="6656" width="9.140625" style="16"/>
    <col min="6657" max="6657" width="5" style="16" customWidth="1"/>
    <col min="6658" max="6658" width="18.140625" style="16" customWidth="1"/>
    <col min="6659" max="6659" width="11.140625" style="16" bestFit="1" customWidth="1"/>
    <col min="6660" max="6660" width="6.7109375" style="16" bestFit="1" customWidth="1"/>
    <col min="6661" max="6661" width="8.5703125" style="16" bestFit="1" customWidth="1"/>
    <col min="6662" max="6662" width="9.28515625" style="16" bestFit="1" customWidth="1"/>
    <col min="6663" max="6663" width="10.42578125" style="16" bestFit="1" customWidth="1"/>
    <col min="6664" max="6664" width="10.28515625" style="16" bestFit="1" customWidth="1"/>
    <col min="6665" max="6665" width="7.140625" style="16" bestFit="1" customWidth="1"/>
    <col min="6666" max="6666" width="7.140625" style="16" customWidth="1"/>
    <col min="6667" max="6668" width="7" style="16" bestFit="1" customWidth="1"/>
    <col min="6669" max="6669" width="6.85546875" style="16" bestFit="1" customWidth="1"/>
    <col min="6670" max="6670" width="7" style="16" bestFit="1" customWidth="1"/>
    <col min="6671" max="6671" width="7.140625" style="16" bestFit="1" customWidth="1"/>
    <col min="6672" max="6676" width="9.140625" style="16"/>
    <col min="6677" max="6677" width="12.42578125" style="16" customWidth="1"/>
    <col min="6678" max="6678" width="9.140625" style="16"/>
    <col min="6679" max="6679" width="12" style="16" customWidth="1"/>
    <col min="6680" max="6912" width="9.140625" style="16"/>
    <col min="6913" max="6913" width="5" style="16" customWidth="1"/>
    <col min="6914" max="6914" width="18.140625" style="16" customWidth="1"/>
    <col min="6915" max="6915" width="11.140625" style="16" bestFit="1" customWidth="1"/>
    <col min="6916" max="6916" width="6.7109375" style="16" bestFit="1" customWidth="1"/>
    <col min="6917" max="6917" width="8.5703125" style="16" bestFit="1" customWidth="1"/>
    <col min="6918" max="6918" width="9.28515625" style="16" bestFit="1" customWidth="1"/>
    <col min="6919" max="6919" width="10.42578125" style="16" bestFit="1" customWidth="1"/>
    <col min="6920" max="6920" width="10.28515625" style="16" bestFit="1" customWidth="1"/>
    <col min="6921" max="6921" width="7.140625" style="16" bestFit="1" customWidth="1"/>
    <col min="6922" max="6922" width="7.140625" style="16" customWidth="1"/>
    <col min="6923" max="6924" width="7" style="16" bestFit="1" customWidth="1"/>
    <col min="6925" max="6925" width="6.85546875" style="16" bestFit="1" customWidth="1"/>
    <col min="6926" max="6926" width="7" style="16" bestFit="1" customWidth="1"/>
    <col min="6927" max="6927" width="7.140625" style="16" bestFit="1" customWidth="1"/>
    <col min="6928" max="6932" width="9.140625" style="16"/>
    <col min="6933" max="6933" width="12.42578125" style="16" customWidth="1"/>
    <col min="6934" max="6934" width="9.140625" style="16"/>
    <col min="6935" max="6935" width="12" style="16" customWidth="1"/>
    <col min="6936" max="7168" width="9.140625" style="16"/>
    <col min="7169" max="7169" width="5" style="16" customWidth="1"/>
    <col min="7170" max="7170" width="18.140625" style="16" customWidth="1"/>
    <col min="7171" max="7171" width="11.140625" style="16" bestFit="1" customWidth="1"/>
    <col min="7172" max="7172" width="6.7109375" style="16" bestFit="1" customWidth="1"/>
    <col min="7173" max="7173" width="8.5703125" style="16" bestFit="1" customWidth="1"/>
    <col min="7174" max="7174" width="9.28515625" style="16" bestFit="1" customWidth="1"/>
    <col min="7175" max="7175" width="10.42578125" style="16" bestFit="1" customWidth="1"/>
    <col min="7176" max="7176" width="10.28515625" style="16" bestFit="1" customWidth="1"/>
    <col min="7177" max="7177" width="7.140625" style="16" bestFit="1" customWidth="1"/>
    <col min="7178" max="7178" width="7.140625" style="16" customWidth="1"/>
    <col min="7179" max="7180" width="7" style="16" bestFit="1" customWidth="1"/>
    <col min="7181" max="7181" width="6.85546875" style="16" bestFit="1" customWidth="1"/>
    <col min="7182" max="7182" width="7" style="16" bestFit="1" customWidth="1"/>
    <col min="7183" max="7183" width="7.140625" style="16" bestFit="1" customWidth="1"/>
    <col min="7184" max="7188" width="9.140625" style="16"/>
    <col min="7189" max="7189" width="12.42578125" style="16" customWidth="1"/>
    <col min="7190" max="7190" width="9.140625" style="16"/>
    <col min="7191" max="7191" width="12" style="16" customWidth="1"/>
    <col min="7192" max="7424" width="9.140625" style="16"/>
    <col min="7425" max="7425" width="5" style="16" customWidth="1"/>
    <col min="7426" max="7426" width="18.140625" style="16" customWidth="1"/>
    <col min="7427" max="7427" width="11.140625" style="16" bestFit="1" customWidth="1"/>
    <col min="7428" max="7428" width="6.7109375" style="16" bestFit="1" customWidth="1"/>
    <col min="7429" max="7429" width="8.5703125" style="16" bestFit="1" customWidth="1"/>
    <col min="7430" max="7430" width="9.28515625" style="16" bestFit="1" customWidth="1"/>
    <col min="7431" max="7431" width="10.42578125" style="16" bestFit="1" customWidth="1"/>
    <col min="7432" max="7432" width="10.28515625" style="16" bestFit="1" customWidth="1"/>
    <col min="7433" max="7433" width="7.140625" style="16" bestFit="1" customWidth="1"/>
    <col min="7434" max="7434" width="7.140625" style="16" customWidth="1"/>
    <col min="7435" max="7436" width="7" style="16" bestFit="1" customWidth="1"/>
    <col min="7437" max="7437" width="6.85546875" style="16" bestFit="1" customWidth="1"/>
    <col min="7438" max="7438" width="7" style="16" bestFit="1" customWidth="1"/>
    <col min="7439" max="7439" width="7.140625" style="16" bestFit="1" customWidth="1"/>
    <col min="7440" max="7444" width="9.140625" style="16"/>
    <col min="7445" max="7445" width="12.42578125" style="16" customWidth="1"/>
    <col min="7446" max="7446" width="9.140625" style="16"/>
    <col min="7447" max="7447" width="12" style="16" customWidth="1"/>
    <col min="7448" max="7680" width="9.140625" style="16"/>
    <col min="7681" max="7681" width="5" style="16" customWidth="1"/>
    <col min="7682" max="7682" width="18.140625" style="16" customWidth="1"/>
    <col min="7683" max="7683" width="11.140625" style="16" bestFit="1" customWidth="1"/>
    <col min="7684" max="7684" width="6.7109375" style="16" bestFit="1" customWidth="1"/>
    <col min="7685" max="7685" width="8.5703125" style="16" bestFit="1" customWidth="1"/>
    <col min="7686" max="7686" width="9.28515625" style="16" bestFit="1" customWidth="1"/>
    <col min="7687" max="7687" width="10.42578125" style="16" bestFit="1" customWidth="1"/>
    <col min="7688" max="7688" width="10.28515625" style="16" bestFit="1" customWidth="1"/>
    <col min="7689" max="7689" width="7.140625" style="16" bestFit="1" customWidth="1"/>
    <col min="7690" max="7690" width="7.140625" style="16" customWidth="1"/>
    <col min="7691" max="7692" width="7" style="16" bestFit="1" customWidth="1"/>
    <col min="7693" max="7693" width="6.85546875" style="16" bestFit="1" customWidth="1"/>
    <col min="7694" max="7694" width="7" style="16" bestFit="1" customWidth="1"/>
    <col min="7695" max="7695" width="7.140625" style="16" bestFit="1" customWidth="1"/>
    <col min="7696" max="7700" width="9.140625" style="16"/>
    <col min="7701" max="7701" width="12.42578125" style="16" customWidth="1"/>
    <col min="7702" max="7702" width="9.140625" style="16"/>
    <col min="7703" max="7703" width="12" style="16" customWidth="1"/>
    <col min="7704" max="7936" width="9.140625" style="16"/>
    <col min="7937" max="7937" width="5" style="16" customWidth="1"/>
    <col min="7938" max="7938" width="18.140625" style="16" customWidth="1"/>
    <col min="7939" max="7939" width="11.140625" style="16" bestFit="1" customWidth="1"/>
    <col min="7940" max="7940" width="6.7109375" style="16" bestFit="1" customWidth="1"/>
    <col min="7941" max="7941" width="8.5703125" style="16" bestFit="1" customWidth="1"/>
    <col min="7942" max="7942" width="9.28515625" style="16" bestFit="1" customWidth="1"/>
    <col min="7943" max="7943" width="10.42578125" style="16" bestFit="1" customWidth="1"/>
    <col min="7944" max="7944" width="10.28515625" style="16" bestFit="1" customWidth="1"/>
    <col min="7945" max="7945" width="7.140625" style="16" bestFit="1" customWidth="1"/>
    <col min="7946" max="7946" width="7.140625" style="16" customWidth="1"/>
    <col min="7947" max="7948" width="7" style="16" bestFit="1" customWidth="1"/>
    <col min="7949" max="7949" width="6.85546875" style="16" bestFit="1" customWidth="1"/>
    <col min="7950" max="7950" width="7" style="16" bestFit="1" customWidth="1"/>
    <col min="7951" max="7951" width="7.140625" style="16" bestFit="1" customWidth="1"/>
    <col min="7952" max="7956" width="9.140625" style="16"/>
    <col min="7957" max="7957" width="12.42578125" style="16" customWidth="1"/>
    <col min="7958" max="7958" width="9.140625" style="16"/>
    <col min="7959" max="7959" width="12" style="16" customWidth="1"/>
    <col min="7960" max="8192" width="9.140625" style="16"/>
    <col min="8193" max="8193" width="5" style="16" customWidth="1"/>
    <col min="8194" max="8194" width="18.140625" style="16" customWidth="1"/>
    <col min="8195" max="8195" width="11.140625" style="16" bestFit="1" customWidth="1"/>
    <col min="8196" max="8196" width="6.7109375" style="16" bestFit="1" customWidth="1"/>
    <col min="8197" max="8197" width="8.5703125" style="16" bestFit="1" customWidth="1"/>
    <col min="8198" max="8198" width="9.28515625" style="16" bestFit="1" customWidth="1"/>
    <col min="8199" max="8199" width="10.42578125" style="16" bestFit="1" customWidth="1"/>
    <col min="8200" max="8200" width="10.28515625" style="16" bestFit="1" customWidth="1"/>
    <col min="8201" max="8201" width="7.140625" style="16" bestFit="1" customWidth="1"/>
    <col min="8202" max="8202" width="7.140625" style="16" customWidth="1"/>
    <col min="8203" max="8204" width="7" style="16" bestFit="1" customWidth="1"/>
    <col min="8205" max="8205" width="6.85546875" style="16" bestFit="1" customWidth="1"/>
    <col min="8206" max="8206" width="7" style="16" bestFit="1" customWidth="1"/>
    <col min="8207" max="8207" width="7.140625" style="16" bestFit="1" customWidth="1"/>
    <col min="8208" max="8212" width="9.140625" style="16"/>
    <col min="8213" max="8213" width="12.42578125" style="16" customWidth="1"/>
    <col min="8214" max="8214" width="9.140625" style="16"/>
    <col min="8215" max="8215" width="12" style="16" customWidth="1"/>
    <col min="8216" max="8448" width="9.140625" style="16"/>
    <col min="8449" max="8449" width="5" style="16" customWidth="1"/>
    <col min="8450" max="8450" width="18.140625" style="16" customWidth="1"/>
    <col min="8451" max="8451" width="11.140625" style="16" bestFit="1" customWidth="1"/>
    <col min="8452" max="8452" width="6.7109375" style="16" bestFit="1" customWidth="1"/>
    <col min="8453" max="8453" width="8.5703125" style="16" bestFit="1" customWidth="1"/>
    <col min="8454" max="8454" width="9.28515625" style="16" bestFit="1" customWidth="1"/>
    <col min="8455" max="8455" width="10.42578125" style="16" bestFit="1" customWidth="1"/>
    <col min="8456" max="8456" width="10.28515625" style="16" bestFit="1" customWidth="1"/>
    <col min="8457" max="8457" width="7.140625" style="16" bestFit="1" customWidth="1"/>
    <col min="8458" max="8458" width="7.140625" style="16" customWidth="1"/>
    <col min="8459" max="8460" width="7" style="16" bestFit="1" customWidth="1"/>
    <col min="8461" max="8461" width="6.85546875" style="16" bestFit="1" customWidth="1"/>
    <col min="8462" max="8462" width="7" style="16" bestFit="1" customWidth="1"/>
    <col min="8463" max="8463" width="7.140625" style="16" bestFit="1" customWidth="1"/>
    <col min="8464" max="8468" width="9.140625" style="16"/>
    <col min="8469" max="8469" width="12.42578125" style="16" customWidth="1"/>
    <col min="8470" max="8470" width="9.140625" style="16"/>
    <col min="8471" max="8471" width="12" style="16" customWidth="1"/>
    <col min="8472" max="8704" width="9.140625" style="16"/>
    <col min="8705" max="8705" width="5" style="16" customWidth="1"/>
    <col min="8706" max="8706" width="18.140625" style="16" customWidth="1"/>
    <col min="8707" max="8707" width="11.140625" style="16" bestFit="1" customWidth="1"/>
    <col min="8708" max="8708" width="6.7109375" style="16" bestFit="1" customWidth="1"/>
    <col min="8709" max="8709" width="8.5703125" style="16" bestFit="1" customWidth="1"/>
    <col min="8710" max="8710" width="9.28515625" style="16" bestFit="1" customWidth="1"/>
    <col min="8711" max="8711" width="10.42578125" style="16" bestFit="1" customWidth="1"/>
    <col min="8712" max="8712" width="10.28515625" style="16" bestFit="1" customWidth="1"/>
    <col min="8713" max="8713" width="7.140625" style="16" bestFit="1" customWidth="1"/>
    <col min="8714" max="8714" width="7.140625" style="16" customWidth="1"/>
    <col min="8715" max="8716" width="7" style="16" bestFit="1" customWidth="1"/>
    <col min="8717" max="8717" width="6.85546875" style="16" bestFit="1" customWidth="1"/>
    <col min="8718" max="8718" width="7" style="16" bestFit="1" customWidth="1"/>
    <col min="8719" max="8719" width="7.140625" style="16" bestFit="1" customWidth="1"/>
    <col min="8720" max="8724" width="9.140625" style="16"/>
    <col min="8725" max="8725" width="12.42578125" style="16" customWidth="1"/>
    <col min="8726" max="8726" width="9.140625" style="16"/>
    <col min="8727" max="8727" width="12" style="16" customWidth="1"/>
    <col min="8728" max="8960" width="9.140625" style="16"/>
    <col min="8961" max="8961" width="5" style="16" customWidth="1"/>
    <col min="8962" max="8962" width="18.140625" style="16" customWidth="1"/>
    <col min="8963" max="8963" width="11.140625" style="16" bestFit="1" customWidth="1"/>
    <col min="8964" max="8964" width="6.7109375" style="16" bestFit="1" customWidth="1"/>
    <col min="8965" max="8965" width="8.5703125" style="16" bestFit="1" customWidth="1"/>
    <col min="8966" max="8966" width="9.28515625" style="16" bestFit="1" customWidth="1"/>
    <col min="8967" max="8967" width="10.42578125" style="16" bestFit="1" customWidth="1"/>
    <col min="8968" max="8968" width="10.28515625" style="16" bestFit="1" customWidth="1"/>
    <col min="8969" max="8969" width="7.140625" style="16" bestFit="1" customWidth="1"/>
    <col min="8970" max="8970" width="7.140625" style="16" customWidth="1"/>
    <col min="8971" max="8972" width="7" style="16" bestFit="1" customWidth="1"/>
    <col min="8973" max="8973" width="6.85546875" style="16" bestFit="1" customWidth="1"/>
    <col min="8974" max="8974" width="7" style="16" bestFit="1" customWidth="1"/>
    <col min="8975" max="8975" width="7.140625" style="16" bestFit="1" customWidth="1"/>
    <col min="8976" max="8980" width="9.140625" style="16"/>
    <col min="8981" max="8981" width="12.42578125" style="16" customWidth="1"/>
    <col min="8982" max="8982" width="9.140625" style="16"/>
    <col min="8983" max="8983" width="12" style="16" customWidth="1"/>
    <col min="8984" max="9216" width="9.140625" style="16"/>
    <col min="9217" max="9217" width="5" style="16" customWidth="1"/>
    <col min="9218" max="9218" width="18.140625" style="16" customWidth="1"/>
    <col min="9219" max="9219" width="11.140625" style="16" bestFit="1" customWidth="1"/>
    <col min="9220" max="9220" width="6.7109375" style="16" bestFit="1" customWidth="1"/>
    <col min="9221" max="9221" width="8.5703125" style="16" bestFit="1" customWidth="1"/>
    <col min="9222" max="9222" width="9.28515625" style="16" bestFit="1" customWidth="1"/>
    <col min="9223" max="9223" width="10.42578125" style="16" bestFit="1" customWidth="1"/>
    <col min="9224" max="9224" width="10.28515625" style="16" bestFit="1" customWidth="1"/>
    <col min="9225" max="9225" width="7.140625" style="16" bestFit="1" customWidth="1"/>
    <col min="9226" max="9226" width="7.140625" style="16" customWidth="1"/>
    <col min="9227" max="9228" width="7" style="16" bestFit="1" customWidth="1"/>
    <col min="9229" max="9229" width="6.85546875" style="16" bestFit="1" customWidth="1"/>
    <col min="9230" max="9230" width="7" style="16" bestFit="1" customWidth="1"/>
    <col min="9231" max="9231" width="7.140625" style="16" bestFit="1" customWidth="1"/>
    <col min="9232" max="9236" width="9.140625" style="16"/>
    <col min="9237" max="9237" width="12.42578125" style="16" customWidth="1"/>
    <col min="9238" max="9238" width="9.140625" style="16"/>
    <col min="9239" max="9239" width="12" style="16" customWidth="1"/>
    <col min="9240" max="9472" width="9.140625" style="16"/>
    <col min="9473" max="9473" width="5" style="16" customWidth="1"/>
    <col min="9474" max="9474" width="18.140625" style="16" customWidth="1"/>
    <col min="9475" max="9475" width="11.140625" style="16" bestFit="1" customWidth="1"/>
    <col min="9476" max="9476" width="6.7109375" style="16" bestFit="1" customWidth="1"/>
    <col min="9477" max="9477" width="8.5703125" style="16" bestFit="1" customWidth="1"/>
    <col min="9478" max="9478" width="9.28515625" style="16" bestFit="1" customWidth="1"/>
    <col min="9479" max="9479" width="10.42578125" style="16" bestFit="1" customWidth="1"/>
    <col min="9480" max="9480" width="10.28515625" style="16" bestFit="1" customWidth="1"/>
    <col min="9481" max="9481" width="7.140625" style="16" bestFit="1" customWidth="1"/>
    <col min="9482" max="9482" width="7.140625" style="16" customWidth="1"/>
    <col min="9483" max="9484" width="7" style="16" bestFit="1" customWidth="1"/>
    <col min="9485" max="9485" width="6.85546875" style="16" bestFit="1" customWidth="1"/>
    <col min="9486" max="9486" width="7" style="16" bestFit="1" customWidth="1"/>
    <col min="9487" max="9487" width="7.140625" style="16" bestFit="1" customWidth="1"/>
    <col min="9488" max="9492" width="9.140625" style="16"/>
    <col min="9493" max="9493" width="12.42578125" style="16" customWidth="1"/>
    <col min="9494" max="9494" width="9.140625" style="16"/>
    <col min="9495" max="9495" width="12" style="16" customWidth="1"/>
    <col min="9496" max="9728" width="9.140625" style="16"/>
    <col min="9729" max="9729" width="5" style="16" customWidth="1"/>
    <col min="9730" max="9730" width="18.140625" style="16" customWidth="1"/>
    <col min="9731" max="9731" width="11.140625" style="16" bestFit="1" customWidth="1"/>
    <col min="9732" max="9732" width="6.7109375" style="16" bestFit="1" customWidth="1"/>
    <col min="9733" max="9733" width="8.5703125" style="16" bestFit="1" customWidth="1"/>
    <col min="9734" max="9734" width="9.28515625" style="16" bestFit="1" customWidth="1"/>
    <col min="9735" max="9735" width="10.42578125" style="16" bestFit="1" customWidth="1"/>
    <col min="9736" max="9736" width="10.28515625" style="16" bestFit="1" customWidth="1"/>
    <col min="9737" max="9737" width="7.140625" style="16" bestFit="1" customWidth="1"/>
    <col min="9738" max="9738" width="7.140625" style="16" customWidth="1"/>
    <col min="9739" max="9740" width="7" style="16" bestFit="1" customWidth="1"/>
    <col min="9741" max="9741" width="6.85546875" style="16" bestFit="1" customWidth="1"/>
    <col min="9742" max="9742" width="7" style="16" bestFit="1" customWidth="1"/>
    <col min="9743" max="9743" width="7.140625" style="16" bestFit="1" customWidth="1"/>
    <col min="9744" max="9748" width="9.140625" style="16"/>
    <col min="9749" max="9749" width="12.42578125" style="16" customWidth="1"/>
    <col min="9750" max="9750" width="9.140625" style="16"/>
    <col min="9751" max="9751" width="12" style="16" customWidth="1"/>
    <col min="9752" max="9984" width="9.140625" style="16"/>
    <col min="9985" max="9985" width="5" style="16" customWidth="1"/>
    <col min="9986" max="9986" width="18.140625" style="16" customWidth="1"/>
    <col min="9987" max="9987" width="11.140625" style="16" bestFit="1" customWidth="1"/>
    <col min="9988" max="9988" width="6.7109375" style="16" bestFit="1" customWidth="1"/>
    <col min="9989" max="9989" width="8.5703125" style="16" bestFit="1" customWidth="1"/>
    <col min="9990" max="9990" width="9.28515625" style="16" bestFit="1" customWidth="1"/>
    <col min="9991" max="9991" width="10.42578125" style="16" bestFit="1" customWidth="1"/>
    <col min="9992" max="9992" width="10.28515625" style="16" bestFit="1" customWidth="1"/>
    <col min="9993" max="9993" width="7.140625" style="16" bestFit="1" customWidth="1"/>
    <col min="9994" max="9994" width="7.140625" style="16" customWidth="1"/>
    <col min="9995" max="9996" width="7" style="16" bestFit="1" customWidth="1"/>
    <col min="9997" max="9997" width="6.85546875" style="16" bestFit="1" customWidth="1"/>
    <col min="9998" max="9998" width="7" style="16" bestFit="1" customWidth="1"/>
    <col min="9999" max="9999" width="7.140625" style="16" bestFit="1" customWidth="1"/>
    <col min="10000" max="10004" width="9.140625" style="16"/>
    <col min="10005" max="10005" width="12.42578125" style="16" customWidth="1"/>
    <col min="10006" max="10006" width="9.140625" style="16"/>
    <col min="10007" max="10007" width="12" style="16" customWidth="1"/>
    <col min="10008" max="10240" width="9.140625" style="16"/>
    <col min="10241" max="10241" width="5" style="16" customWidth="1"/>
    <col min="10242" max="10242" width="18.140625" style="16" customWidth="1"/>
    <col min="10243" max="10243" width="11.140625" style="16" bestFit="1" customWidth="1"/>
    <col min="10244" max="10244" width="6.7109375" style="16" bestFit="1" customWidth="1"/>
    <col min="10245" max="10245" width="8.5703125" style="16" bestFit="1" customWidth="1"/>
    <col min="10246" max="10246" width="9.28515625" style="16" bestFit="1" customWidth="1"/>
    <col min="10247" max="10247" width="10.42578125" style="16" bestFit="1" customWidth="1"/>
    <col min="10248" max="10248" width="10.28515625" style="16" bestFit="1" customWidth="1"/>
    <col min="10249" max="10249" width="7.140625" style="16" bestFit="1" customWidth="1"/>
    <col min="10250" max="10250" width="7.140625" style="16" customWidth="1"/>
    <col min="10251" max="10252" width="7" style="16" bestFit="1" customWidth="1"/>
    <col min="10253" max="10253" width="6.85546875" style="16" bestFit="1" customWidth="1"/>
    <col min="10254" max="10254" width="7" style="16" bestFit="1" customWidth="1"/>
    <col min="10255" max="10255" width="7.140625" style="16" bestFit="1" customWidth="1"/>
    <col min="10256" max="10260" width="9.140625" style="16"/>
    <col min="10261" max="10261" width="12.42578125" style="16" customWidth="1"/>
    <col min="10262" max="10262" width="9.140625" style="16"/>
    <col min="10263" max="10263" width="12" style="16" customWidth="1"/>
    <col min="10264" max="10496" width="9.140625" style="16"/>
    <col min="10497" max="10497" width="5" style="16" customWidth="1"/>
    <col min="10498" max="10498" width="18.140625" style="16" customWidth="1"/>
    <col min="10499" max="10499" width="11.140625" style="16" bestFit="1" customWidth="1"/>
    <col min="10500" max="10500" width="6.7109375" style="16" bestFit="1" customWidth="1"/>
    <col min="10501" max="10501" width="8.5703125" style="16" bestFit="1" customWidth="1"/>
    <col min="10502" max="10502" width="9.28515625" style="16" bestFit="1" customWidth="1"/>
    <col min="10503" max="10503" width="10.42578125" style="16" bestFit="1" customWidth="1"/>
    <col min="10504" max="10504" width="10.28515625" style="16" bestFit="1" customWidth="1"/>
    <col min="10505" max="10505" width="7.140625" style="16" bestFit="1" customWidth="1"/>
    <col min="10506" max="10506" width="7.140625" style="16" customWidth="1"/>
    <col min="10507" max="10508" width="7" style="16" bestFit="1" customWidth="1"/>
    <col min="10509" max="10509" width="6.85546875" style="16" bestFit="1" customWidth="1"/>
    <col min="10510" max="10510" width="7" style="16" bestFit="1" customWidth="1"/>
    <col min="10511" max="10511" width="7.140625" style="16" bestFit="1" customWidth="1"/>
    <col min="10512" max="10516" width="9.140625" style="16"/>
    <col min="10517" max="10517" width="12.42578125" style="16" customWidth="1"/>
    <col min="10518" max="10518" width="9.140625" style="16"/>
    <col min="10519" max="10519" width="12" style="16" customWidth="1"/>
    <col min="10520" max="10752" width="9.140625" style="16"/>
    <col min="10753" max="10753" width="5" style="16" customWidth="1"/>
    <col min="10754" max="10754" width="18.140625" style="16" customWidth="1"/>
    <col min="10755" max="10755" width="11.140625" style="16" bestFit="1" customWidth="1"/>
    <col min="10756" max="10756" width="6.7109375" style="16" bestFit="1" customWidth="1"/>
    <col min="10757" max="10757" width="8.5703125" style="16" bestFit="1" customWidth="1"/>
    <col min="10758" max="10758" width="9.28515625" style="16" bestFit="1" customWidth="1"/>
    <col min="10759" max="10759" width="10.42578125" style="16" bestFit="1" customWidth="1"/>
    <col min="10760" max="10760" width="10.28515625" style="16" bestFit="1" customWidth="1"/>
    <col min="10761" max="10761" width="7.140625" style="16" bestFit="1" customWidth="1"/>
    <col min="10762" max="10762" width="7.140625" style="16" customWidth="1"/>
    <col min="10763" max="10764" width="7" style="16" bestFit="1" customWidth="1"/>
    <col min="10765" max="10765" width="6.85546875" style="16" bestFit="1" customWidth="1"/>
    <col min="10766" max="10766" width="7" style="16" bestFit="1" customWidth="1"/>
    <col min="10767" max="10767" width="7.140625" style="16" bestFit="1" customWidth="1"/>
    <col min="10768" max="10772" width="9.140625" style="16"/>
    <col min="10773" max="10773" width="12.42578125" style="16" customWidth="1"/>
    <col min="10774" max="10774" width="9.140625" style="16"/>
    <col min="10775" max="10775" width="12" style="16" customWidth="1"/>
    <col min="10776" max="11008" width="9.140625" style="16"/>
    <col min="11009" max="11009" width="5" style="16" customWidth="1"/>
    <col min="11010" max="11010" width="18.140625" style="16" customWidth="1"/>
    <col min="11011" max="11011" width="11.140625" style="16" bestFit="1" customWidth="1"/>
    <col min="11012" max="11012" width="6.7109375" style="16" bestFit="1" customWidth="1"/>
    <col min="11013" max="11013" width="8.5703125" style="16" bestFit="1" customWidth="1"/>
    <col min="11014" max="11014" width="9.28515625" style="16" bestFit="1" customWidth="1"/>
    <col min="11015" max="11015" width="10.42578125" style="16" bestFit="1" customWidth="1"/>
    <col min="11016" max="11016" width="10.28515625" style="16" bestFit="1" customWidth="1"/>
    <col min="11017" max="11017" width="7.140625" style="16" bestFit="1" customWidth="1"/>
    <col min="11018" max="11018" width="7.140625" style="16" customWidth="1"/>
    <col min="11019" max="11020" width="7" style="16" bestFit="1" customWidth="1"/>
    <col min="11021" max="11021" width="6.85546875" style="16" bestFit="1" customWidth="1"/>
    <col min="11022" max="11022" width="7" style="16" bestFit="1" customWidth="1"/>
    <col min="11023" max="11023" width="7.140625" style="16" bestFit="1" customWidth="1"/>
    <col min="11024" max="11028" width="9.140625" style="16"/>
    <col min="11029" max="11029" width="12.42578125" style="16" customWidth="1"/>
    <col min="11030" max="11030" width="9.140625" style="16"/>
    <col min="11031" max="11031" width="12" style="16" customWidth="1"/>
    <col min="11032" max="11264" width="9.140625" style="16"/>
    <col min="11265" max="11265" width="5" style="16" customWidth="1"/>
    <col min="11266" max="11266" width="18.140625" style="16" customWidth="1"/>
    <col min="11267" max="11267" width="11.140625" style="16" bestFit="1" customWidth="1"/>
    <col min="11268" max="11268" width="6.7109375" style="16" bestFit="1" customWidth="1"/>
    <col min="11269" max="11269" width="8.5703125" style="16" bestFit="1" customWidth="1"/>
    <col min="11270" max="11270" width="9.28515625" style="16" bestFit="1" customWidth="1"/>
    <col min="11271" max="11271" width="10.42578125" style="16" bestFit="1" customWidth="1"/>
    <col min="11272" max="11272" width="10.28515625" style="16" bestFit="1" customWidth="1"/>
    <col min="11273" max="11273" width="7.140625" style="16" bestFit="1" customWidth="1"/>
    <col min="11274" max="11274" width="7.140625" style="16" customWidth="1"/>
    <col min="11275" max="11276" width="7" style="16" bestFit="1" customWidth="1"/>
    <col min="11277" max="11277" width="6.85546875" style="16" bestFit="1" customWidth="1"/>
    <col min="11278" max="11278" width="7" style="16" bestFit="1" customWidth="1"/>
    <col min="11279" max="11279" width="7.140625" style="16" bestFit="1" customWidth="1"/>
    <col min="11280" max="11284" width="9.140625" style="16"/>
    <col min="11285" max="11285" width="12.42578125" style="16" customWidth="1"/>
    <col min="11286" max="11286" width="9.140625" style="16"/>
    <col min="11287" max="11287" width="12" style="16" customWidth="1"/>
    <col min="11288" max="11520" width="9.140625" style="16"/>
    <col min="11521" max="11521" width="5" style="16" customWidth="1"/>
    <col min="11522" max="11522" width="18.140625" style="16" customWidth="1"/>
    <col min="11523" max="11523" width="11.140625" style="16" bestFit="1" customWidth="1"/>
    <col min="11524" max="11524" width="6.7109375" style="16" bestFit="1" customWidth="1"/>
    <col min="11525" max="11525" width="8.5703125" style="16" bestFit="1" customWidth="1"/>
    <col min="11526" max="11526" width="9.28515625" style="16" bestFit="1" customWidth="1"/>
    <col min="11527" max="11527" width="10.42578125" style="16" bestFit="1" customWidth="1"/>
    <col min="11528" max="11528" width="10.28515625" style="16" bestFit="1" customWidth="1"/>
    <col min="11529" max="11529" width="7.140625" style="16" bestFit="1" customWidth="1"/>
    <col min="11530" max="11530" width="7.140625" style="16" customWidth="1"/>
    <col min="11531" max="11532" width="7" style="16" bestFit="1" customWidth="1"/>
    <col min="11533" max="11533" width="6.85546875" style="16" bestFit="1" customWidth="1"/>
    <col min="11534" max="11534" width="7" style="16" bestFit="1" customWidth="1"/>
    <col min="11535" max="11535" width="7.140625" style="16" bestFit="1" customWidth="1"/>
    <col min="11536" max="11540" width="9.140625" style="16"/>
    <col min="11541" max="11541" width="12.42578125" style="16" customWidth="1"/>
    <col min="11542" max="11542" width="9.140625" style="16"/>
    <col min="11543" max="11543" width="12" style="16" customWidth="1"/>
    <col min="11544" max="11776" width="9.140625" style="16"/>
    <col min="11777" max="11777" width="5" style="16" customWidth="1"/>
    <col min="11778" max="11778" width="18.140625" style="16" customWidth="1"/>
    <col min="11779" max="11779" width="11.140625" style="16" bestFit="1" customWidth="1"/>
    <col min="11780" max="11780" width="6.7109375" style="16" bestFit="1" customWidth="1"/>
    <col min="11781" max="11781" width="8.5703125" style="16" bestFit="1" customWidth="1"/>
    <col min="11782" max="11782" width="9.28515625" style="16" bestFit="1" customWidth="1"/>
    <col min="11783" max="11783" width="10.42578125" style="16" bestFit="1" customWidth="1"/>
    <col min="11784" max="11784" width="10.28515625" style="16" bestFit="1" customWidth="1"/>
    <col min="11785" max="11785" width="7.140625" style="16" bestFit="1" customWidth="1"/>
    <col min="11786" max="11786" width="7.140625" style="16" customWidth="1"/>
    <col min="11787" max="11788" width="7" style="16" bestFit="1" customWidth="1"/>
    <col min="11789" max="11789" width="6.85546875" style="16" bestFit="1" customWidth="1"/>
    <col min="11790" max="11790" width="7" style="16" bestFit="1" customWidth="1"/>
    <col min="11791" max="11791" width="7.140625" style="16" bestFit="1" customWidth="1"/>
    <col min="11792" max="11796" width="9.140625" style="16"/>
    <col min="11797" max="11797" width="12.42578125" style="16" customWidth="1"/>
    <col min="11798" max="11798" width="9.140625" style="16"/>
    <col min="11799" max="11799" width="12" style="16" customWidth="1"/>
    <col min="11800" max="12032" width="9.140625" style="16"/>
    <col min="12033" max="12033" width="5" style="16" customWidth="1"/>
    <col min="12034" max="12034" width="18.140625" style="16" customWidth="1"/>
    <col min="12035" max="12035" width="11.140625" style="16" bestFit="1" customWidth="1"/>
    <col min="12036" max="12036" width="6.7109375" style="16" bestFit="1" customWidth="1"/>
    <col min="12037" max="12037" width="8.5703125" style="16" bestFit="1" customWidth="1"/>
    <col min="12038" max="12038" width="9.28515625" style="16" bestFit="1" customWidth="1"/>
    <col min="12039" max="12039" width="10.42578125" style="16" bestFit="1" customWidth="1"/>
    <col min="12040" max="12040" width="10.28515625" style="16" bestFit="1" customWidth="1"/>
    <col min="12041" max="12041" width="7.140625" style="16" bestFit="1" customWidth="1"/>
    <col min="12042" max="12042" width="7.140625" style="16" customWidth="1"/>
    <col min="12043" max="12044" width="7" style="16" bestFit="1" customWidth="1"/>
    <col min="12045" max="12045" width="6.85546875" style="16" bestFit="1" customWidth="1"/>
    <col min="12046" max="12046" width="7" style="16" bestFit="1" customWidth="1"/>
    <col min="12047" max="12047" width="7.140625" style="16" bestFit="1" customWidth="1"/>
    <col min="12048" max="12052" width="9.140625" style="16"/>
    <col min="12053" max="12053" width="12.42578125" style="16" customWidth="1"/>
    <col min="12054" max="12054" width="9.140625" style="16"/>
    <col min="12055" max="12055" width="12" style="16" customWidth="1"/>
    <col min="12056" max="12288" width="9.140625" style="16"/>
    <col min="12289" max="12289" width="5" style="16" customWidth="1"/>
    <col min="12290" max="12290" width="18.140625" style="16" customWidth="1"/>
    <col min="12291" max="12291" width="11.140625" style="16" bestFit="1" customWidth="1"/>
    <col min="12292" max="12292" width="6.7109375" style="16" bestFit="1" customWidth="1"/>
    <col min="12293" max="12293" width="8.5703125" style="16" bestFit="1" customWidth="1"/>
    <col min="12294" max="12294" width="9.28515625" style="16" bestFit="1" customWidth="1"/>
    <col min="12295" max="12295" width="10.42578125" style="16" bestFit="1" customWidth="1"/>
    <col min="12296" max="12296" width="10.28515625" style="16" bestFit="1" customWidth="1"/>
    <col min="12297" max="12297" width="7.140625" style="16" bestFit="1" customWidth="1"/>
    <col min="12298" max="12298" width="7.140625" style="16" customWidth="1"/>
    <col min="12299" max="12300" width="7" style="16" bestFit="1" customWidth="1"/>
    <col min="12301" max="12301" width="6.85546875" style="16" bestFit="1" customWidth="1"/>
    <col min="12302" max="12302" width="7" style="16" bestFit="1" customWidth="1"/>
    <col min="12303" max="12303" width="7.140625" style="16" bestFit="1" customWidth="1"/>
    <col min="12304" max="12308" width="9.140625" style="16"/>
    <col min="12309" max="12309" width="12.42578125" style="16" customWidth="1"/>
    <col min="12310" max="12310" width="9.140625" style="16"/>
    <col min="12311" max="12311" width="12" style="16" customWidth="1"/>
    <col min="12312" max="12544" width="9.140625" style="16"/>
    <col min="12545" max="12545" width="5" style="16" customWidth="1"/>
    <col min="12546" max="12546" width="18.140625" style="16" customWidth="1"/>
    <col min="12547" max="12547" width="11.140625" style="16" bestFit="1" customWidth="1"/>
    <col min="12548" max="12548" width="6.7109375" style="16" bestFit="1" customWidth="1"/>
    <col min="12549" max="12549" width="8.5703125" style="16" bestFit="1" customWidth="1"/>
    <col min="12550" max="12550" width="9.28515625" style="16" bestFit="1" customWidth="1"/>
    <col min="12551" max="12551" width="10.42578125" style="16" bestFit="1" customWidth="1"/>
    <col min="12552" max="12552" width="10.28515625" style="16" bestFit="1" customWidth="1"/>
    <col min="12553" max="12553" width="7.140625" style="16" bestFit="1" customWidth="1"/>
    <col min="12554" max="12554" width="7.140625" style="16" customWidth="1"/>
    <col min="12555" max="12556" width="7" style="16" bestFit="1" customWidth="1"/>
    <col min="12557" max="12557" width="6.85546875" style="16" bestFit="1" customWidth="1"/>
    <col min="12558" max="12558" width="7" style="16" bestFit="1" customWidth="1"/>
    <col min="12559" max="12559" width="7.140625" style="16" bestFit="1" customWidth="1"/>
    <col min="12560" max="12564" width="9.140625" style="16"/>
    <col min="12565" max="12565" width="12.42578125" style="16" customWidth="1"/>
    <col min="12566" max="12566" width="9.140625" style="16"/>
    <col min="12567" max="12567" width="12" style="16" customWidth="1"/>
    <col min="12568" max="12800" width="9.140625" style="16"/>
    <col min="12801" max="12801" width="5" style="16" customWidth="1"/>
    <col min="12802" max="12802" width="18.140625" style="16" customWidth="1"/>
    <col min="12803" max="12803" width="11.140625" style="16" bestFit="1" customWidth="1"/>
    <col min="12804" max="12804" width="6.7109375" style="16" bestFit="1" customWidth="1"/>
    <col min="12805" max="12805" width="8.5703125" style="16" bestFit="1" customWidth="1"/>
    <col min="12806" max="12806" width="9.28515625" style="16" bestFit="1" customWidth="1"/>
    <col min="12807" max="12807" width="10.42578125" style="16" bestFit="1" customWidth="1"/>
    <col min="12808" max="12808" width="10.28515625" style="16" bestFit="1" customWidth="1"/>
    <col min="12809" max="12809" width="7.140625" style="16" bestFit="1" customWidth="1"/>
    <col min="12810" max="12810" width="7.140625" style="16" customWidth="1"/>
    <col min="12811" max="12812" width="7" style="16" bestFit="1" customWidth="1"/>
    <col min="12813" max="12813" width="6.85546875" style="16" bestFit="1" customWidth="1"/>
    <col min="12814" max="12814" width="7" style="16" bestFit="1" customWidth="1"/>
    <col min="12815" max="12815" width="7.140625" style="16" bestFit="1" customWidth="1"/>
    <col min="12816" max="12820" width="9.140625" style="16"/>
    <col min="12821" max="12821" width="12.42578125" style="16" customWidth="1"/>
    <col min="12822" max="12822" width="9.140625" style="16"/>
    <col min="12823" max="12823" width="12" style="16" customWidth="1"/>
    <col min="12824" max="13056" width="9.140625" style="16"/>
    <col min="13057" max="13057" width="5" style="16" customWidth="1"/>
    <col min="13058" max="13058" width="18.140625" style="16" customWidth="1"/>
    <col min="13059" max="13059" width="11.140625" style="16" bestFit="1" customWidth="1"/>
    <col min="13060" max="13060" width="6.7109375" style="16" bestFit="1" customWidth="1"/>
    <col min="13061" max="13061" width="8.5703125" style="16" bestFit="1" customWidth="1"/>
    <col min="13062" max="13062" width="9.28515625" style="16" bestFit="1" customWidth="1"/>
    <col min="13063" max="13063" width="10.42578125" style="16" bestFit="1" customWidth="1"/>
    <col min="13064" max="13064" width="10.28515625" style="16" bestFit="1" customWidth="1"/>
    <col min="13065" max="13065" width="7.140625" style="16" bestFit="1" customWidth="1"/>
    <col min="13066" max="13066" width="7.140625" style="16" customWidth="1"/>
    <col min="13067" max="13068" width="7" style="16" bestFit="1" customWidth="1"/>
    <col min="13069" max="13069" width="6.85546875" style="16" bestFit="1" customWidth="1"/>
    <col min="13070" max="13070" width="7" style="16" bestFit="1" customWidth="1"/>
    <col min="13071" max="13071" width="7.140625" style="16" bestFit="1" customWidth="1"/>
    <col min="13072" max="13076" width="9.140625" style="16"/>
    <col min="13077" max="13077" width="12.42578125" style="16" customWidth="1"/>
    <col min="13078" max="13078" width="9.140625" style="16"/>
    <col min="13079" max="13079" width="12" style="16" customWidth="1"/>
    <col min="13080" max="13312" width="9.140625" style="16"/>
    <col min="13313" max="13313" width="5" style="16" customWidth="1"/>
    <col min="13314" max="13314" width="18.140625" style="16" customWidth="1"/>
    <col min="13315" max="13315" width="11.140625" style="16" bestFit="1" customWidth="1"/>
    <col min="13316" max="13316" width="6.7109375" style="16" bestFit="1" customWidth="1"/>
    <col min="13317" max="13317" width="8.5703125" style="16" bestFit="1" customWidth="1"/>
    <col min="13318" max="13318" width="9.28515625" style="16" bestFit="1" customWidth="1"/>
    <col min="13319" max="13319" width="10.42578125" style="16" bestFit="1" customWidth="1"/>
    <col min="13320" max="13320" width="10.28515625" style="16" bestFit="1" customWidth="1"/>
    <col min="13321" max="13321" width="7.140625" style="16" bestFit="1" customWidth="1"/>
    <col min="13322" max="13322" width="7.140625" style="16" customWidth="1"/>
    <col min="13323" max="13324" width="7" style="16" bestFit="1" customWidth="1"/>
    <col min="13325" max="13325" width="6.85546875" style="16" bestFit="1" customWidth="1"/>
    <col min="13326" max="13326" width="7" style="16" bestFit="1" customWidth="1"/>
    <col min="13327" max="13327" width="7.140625" style="16" bestFit="1" customWidth="1"/>
    <col min="13328" max="13332" width="9.140625" style="16"/>
    <col min="13333" max="13333" width="12.42578125" style="16" customWidth="1"/>
    <col min="13334" max="13334" width="9.140625" style="16"/>
    <col min="13335" max="13335" width="12" style="16" customWidth="1"/>
    <col min="13336" max="13568" width="9.140625" style="16"/>
    <col min="13569" max="13569" width="5" style="16" customWidth="1"/>
    <col min="13570" max="13570" width="18.140625" style="16" customWidth="1"/>
    <col min="13571" max="13571" width="11.140625" style="16" bestFit="1" customWidth="1"/>
    <col min="13572" max="13572" width="6.7109375" style="16" bestFit="1" customWidth="1"/>
    <col min="13573" max="13573" width="8.5703125" style="16" bestFit="1" customWidth="1"/>
    <col min="13574" max="13574" width="9.28515625" style="16" bestFit="1" customWidth="1"/>
    <col min="13575" max="13575" width="10.42578125" style="16" bestFit="1" customWidth="1"/>
    <col min="13576" max="13576" width="10.28515625" style="16" bestFit="1" customWidth="1"/>
    <col min="13577" max="13577" width="7.140625" style="16" bestFit="1" customWidth="1"/>
    <col min="13578" max="13578" width="7.140625" style="16" customWidth="1"/>
    <col min="13579" max="13580" width="7" style="16" bestFit="1" customWidth="1"/>
    <col min="13581" max="13581" width="6.85546875" style="16" bestFit="1" customWidth="1"/>
    <col min="13582" max="13582" width="7" style="16" bestFit="1" customWidth="1"/>
    <col min="13583" max="13583" width="7.140625" style="16" bestFit="1" customWidth="1"/>
    <col min="13584" max="13588" width="9.140625" style="16"/>
    <col min="13589" max="13589" width="12.42578125" style="16" customWidth="1"/>
    <col min="13590" max="13590" width="9.140625" style="16"/>
    <col min="13591" max="13591" width="12" style="16" customWidth="1"/>
    <col min="13592" max="13824" width="9.140625" style="16"/>
    <col min="13825" max="13825" width="5" style="16" customWidth="1"/>
    <col min="13826" max="13826" width="18.140625" style="16" customWidth="1"/>
    <col min="13827" max="13827" width="11.140625" style="16" bestFit="1" customWidth="1"/>
    <col min="13828" max="13828" width="6.7109375" style="16" bestFit="1" customWidth="1"/>
    <col min="13829" max="13829" width="8.5703125" style="16" bestFit="1" customWidth="1"/>
    <col min="13830" max="13830" width="9.28515625" style="16" bestFit="1" customWidth="1"/>
    <col min="13831" max="13831" width="10.42578125" style="16" bestFit="1" customWidth="1"/>
    <col min="13832" max="13832" width="10.28515625" style="16" bestFit="1" customWidth="1"/>
    <col min="13833" max="13833" width="7.140625" style="16" bestFit="1" customWidth="1"/>
    <col min="13834" max="13834" width="7.140625" style="16" customWidth="1"/>
    <col min="13835" max="13836" width="7" style="16" bestFit="1" customWidth="1"/>
    <col min="13837" max="13837" width="6.85546875" style="16" bestFit="1" customWidth="1"/>
    <col min="13838" max="13838" width="7" style="16" bestFit="1" customWidth="1"/>
    <col min="13839" max="13839" width="7.140625" style="16" bestFit="1" customWidth="1"/>
    <col min="13840" max="13844" width="9.140625" style="16"/>
    <col min="13845" max="13845" width="12.42578125" style="16" customWidth="1"/>
    <col min="13846" max="13846" width="9.140625" style="16"/>
    <col min="13847" max="13847" width="12" style="16" customWidth="1"/>
    <col min="13848" max="14080" width="9.140625" style="16"/>
    <col min="14081" max="14081" width="5" style="16" customWidth="1"/>
    <col min="14082" max="14082" width="18.140625" style="16" customWidth="1"/>
    <col min="14083" max="14083" width="11.140625" style="16" bestFit="1" customWidth="1"/>
    <col min="14084" max="14084" width="6.7109375" style="16" bestFit="1" customWidth="1"/>
    <col min="14085" max="14085" width="8.5703125" style="16" bestFit="1" customWidth="1"/>
    <col min="14086" max="14086" width="9.28515625" style="16" bestFit="1" customWidth="1"/>
    <col min="14087" max="14087" width="10.42578125" style="16" bestFit="1" customWidth="1"/>
    <col min="14088" max="14088" width="10.28515625" style="16" bestFit="1" customWidth="1"/>
    <col min="14089" max="14089" width="7.140625" style="16" bestFit="1" customWidth="1"/>
    <col min="14090" max="14090" width="7.140625" style="16" customWidth="1"/>
    <col min="14091" max="14092" width="7" style="16" bestFit="1" customWidth="1"/>
    <col min="14093" max="14093" width="6.85546875" style="16" bestFit="1" customWidth="1"/>
    <col min="14094" max="14094" width="7" style="16" bestFit="1" customWidth="1"/>
    <col min="14095" max="14095" width="7.140625" style="16" bestFit="1" customWidth="1"/>
    <col min="14096" max="14100" width="9.140625" style="16"/>
    <col min="14101" max="14101" width="12.42578125" style="16" customWidth="1"/>
    <col min="14102" max="14102" width="9.140625" style="16"/>
    <col min="14103" max="14103" width="12" style="16" customWidth="1"/>
    <col min="14104" max="14336" width="9.140625" style="16"/>
    <col min="14337" max="14337" width="5" style="16" customWidth="1"/>
    <col min="14338" max="14338" width="18.140625" style="16" customWidth="1"/>
    <col min="14339" max="14339" width="11.140625" style="16" bestFit="1" customWidth="1"/>
    <col min="14340" max="14340" width="6.7109375" style="16" bestFit="1" customWidth="1"/>
    <col min="14341" max="14341" width="8.5703125" style="16" bestFit="1" customWidth="1"/>
    <col min="14342" max="14342" width="9.28515625" style="16" bestFit="1" customWidth="1"/>
    <col min="14343" max="14343" width="10.42578125" style="16" bestFit="1" customWidth="1"/>
    <col min="14344" max="14344" width="10.28515625" style="16" bestFit="1" customWidth="1"/>
    <col min="14345" max="14345" width="7.140625" style="16" bestFit="1" customWidth="1"/>
    <col min="14346" max="14346" width="7.140625" style="16" customWidth="1"/>
    <col min="14347" max="14348" width="7" style="16" bestFit="1" customWidth="1"/>
    <col min="14349" max="14349" width="6.85546875" style="16" bestFit="1" customWidth="1"/>
    <col min="14350" max="14350" width="7" style="16" bestFit="1" customWidth="1"/>
    <col min="14351" max="14351" width="7.140625" style="16" bestFit="1" customWidth="1"/>
    <col min="14352" max="14356" width="9.140625" style="16"/>
    <col min="14357" max="14357" width="12.42578125" style="16" customWidth="1"/>
    <col min="14358" max="14358" width="9.140625" style="16"/>
    <col min="14359" max="14359" width="12" style="16" customWidth="1"/>
    <col min="14360" max="14592" width="9.140625" style="16"/>
    <col min="14593" max="14593" width="5" style="16" customWidth="1"/>
    <col min="14594" max="14594" width="18.140625" style="16" customWidth="1"/>
    <col min="14595" max="14595" width="11.140625" style="16" bestFit="1" customWidth="1"/>
    <col min="14596" max="14596" width="6.7109375" style="16" bestFit="1" customWidth="1"/>
    <col min="14597" max="14597" width="8.5703125" style="16" bestFit="1" customWidth="1"/>
    <col min="14598" max="14598" width="9.28515625" style="16" bestFit="1" customWidth="1"/>
    <col min="14599" max="14599" width="10.42578125" style="16" bestFit="1" customWidth="1"/>
    <col min="14600" max="14600" width="10.28515625" style="16" bestFit="1" customWidth="1"/>
    <col min="14601" max="14601" width="7.140625" style="16" bestFit="1" customWidth="1"/>
    <col min="14602" max="14602" width="7.140625" style="16" customWidth="1"/>
    <col min="14603" max="14604" width="7" style="16" bestFit="1" customWidth="1"/>
    <col min="14605" max="14605" width="6.85546875" style="16" bestFit="1" customWidth="1"/>
    <col min="14606" max="14606" width="7" style="16" bestFit="1" customWidth="1"/>
    <col min="14607" max="14607" width="7.140625" style="16" bestFit="1" customWidth="1"/>
    <col min="14608" max="14612" width="9.140625" style="16"/>
    <col min="14613" max="14613" width="12.42578125" style="16" customWidth="1"/>
    <col min="14614" max="14614" width="9.140625" style="16"/>
    <col min="14615" max="14615" width="12" style="16" customWidth="1"/>
    <col min="14616" max="14848" width="9.140625" style="16"/>
    <col min="14849" max="14849" width="5" style="16" customWidth="1"/>
    <col min="14850" max="14850" width="18.140625" style="16" customWidth="1"/>
    <col min="14851" max="14851" width="11.140625" style="16" bestFit="1" customWidth="1"/>
    <col min="14852" max="14852" width="6.7109375" style="16" bestFit="1" customWidth="1"/>
    <col min="14853" max="14853" width="8.5703125" style="16" bestFit="1" customWidth="1"/>
    <col min="14854" max="14854" width="9.28515625" style="16" bestFit="1" customWidth="1"/>
    <col min="14855" max="14855" width="10.42578125" style="16" bestFit="1" customWidth="1"/>
    <col min="14856" max="14856" width="10.28515625" style="16" bestFit="1" customWidth="1"/>
    <col min="14857" max="14857" width="7.140625" style="16" bestFit="1" customWidth="1"/>
    <col min="14858" max="14858" width="7.140625" style="16" customWidth="1"/>
    <col min="14859" max="14860" width="7" style="16" bestFit="1" customWidth="1"/>
    <col min="14861" max="14861" width="6.85546875" style="16" bestFit="1" customWidth="1"/>
    <col min="14862" max="14862" width="7" style="16" bestFit="1" customWidth="1"/>
    <col min="14863" max="14863" width="7.140625" style="16" bestFit="1" customWidth="1"/>
    <col min="14864" max="14868" width="9.140625" style="16"/>
    <col min="14869" max="14869" width="12.42578125" style="16" customWidth="1"/>
    <col min="14870" max="14870" width="9.140625" style="16"/>
    <col min="14871" max="14871" width="12" style="16" customWidth="1"/>
    <col min="14872" max="15104" width="9.140625" style="16"/>
    <col min="15105" max="15105" width="5" style="16" customWidth="1"/>
    <col min="15106" max="15106" width="18.140625" style="16" customWidth="1"/>
    <col min="15107" max="15107" width="11.140625" style="16" bestFit="1" customWidth="1"/>
    <col min="15108" max="15108" width="6.7109375" style="16" bestFit="1" customWidth="1"/>
    <col min="15109" max="15109" width="8.5703125" style="16" bestFit="1" customWidth="1"/>
    <col min="15110" max="15110" width="9.28515625" style="16" bestFit="1" customWidth="1"/>
    <col min="15111" max="15111" width="10.42578125" style="16" bestFit="1" customWidth="1"/>
    <col min="15112" max="15112" width="10.28515625" style="16" bestFit="1" customWidth="1"/>
    <col min="15113" max="15113" width="7.140625" style="16" bestFit="1" customWidth="1"/>
    <col min="15114" max="15114" width="7.140625" style="16" customWidth="1"/>
    <col min="15115" max="15116" width="7" style="16" bestFit="1" customWidth="1"/>
    <col min="15117" max="15117" width="6.85546875" style="16" bestFit="1" customWidth="1"/>
    <col min="15118" max="15118" width="7" style="16" bestFit="1" customWidth="1"/>
    <col min="15119" max="15119" width="7.140625" style="16" bestFit="1" customWidth="1"/>
    <col min="15120" max="15124" width="9.140625" style="16"/>
    <col min="15125" max="15125" width="12.42578125" style="16" customWidth="1"/>
    <col min="15126" max="15126" width="9.140625" style="16"/>
    <col min="15127" max="15127" width="12" style="16" customWidth="1"/>
    <col min="15128" max="15360" width="9.140625" style="16"/>
    <col min="15361" max="15361" width="5" style="16" customWidth="1"/>
    <col min="15362" max="15362" width="18.140625" style="16" customWidth="1"/>
    <col min="15363" max="15363" width="11.140625" style="16" bestFit="1" customWidth="1"/>
    <col min="15364" max="15364" width="6.7109375" style="16" bestFit="1" customWidth="1"/>
    <col min="15365" max="15365" width="8.5703125" style="16" bestFit="1" customWidth="1"/>
    <col min="15366" max="15366" width="9.28515625" style="16" bestFit="1" customWidth="1"/>
    <col min="15367" max="15367" width="10.42578125" style="16" bestFit="1" customWidth="1"/>
    <col min="15368" max="15368" width="10.28515625" style="16" bestFit="1" customWidth="1"/>
    <col min="15369" max="15369" width="7.140625" style="16" bestFit="1" customWidth="1"/>
    <col min="15370" max="15370" width="7.140625" style="16" customWidth="1"/>
    <col min="15371" max="15372" width="7" style="16" bestFit="1" customWidth="1"/>
    <col min="15373" max="15373" width="6.85546875" style="16" bestFit="1" customWidth="1"/>
    <col min="15374" max="15374" width="7" style="16" bestFit="1" customWidth="1"/>
    <col min="15375" max="15375" width="7.140625" style="16" bestFit="1" customWidth="1"/>
    <col min="15376" max="15380" width="9.140625" style="16"/>
    <col min="15381" max="15381" width="12.42578125" style="16" customWidth="1"/>
    <col min="15382" max="15382" width="9.140625" style="16"/>
    <col min="15383" max="15383" width="12" style="16" customWidth="1"/>
    <col min="15384" max="15616" width="9.140625" style="16"/>
    <col min="15617" max="15617" width="5" style="16" customWidth="1"/>
    <col min="15618" max="15618" width="18.140625" style="16" customWidth="1"/>
    <col min="15619" max="15619" width="11.140625" style="16" bestFit="1" customWidth="1"/>
    <col min="15620" max="15620" width="6.7109375" style="16" bestFit="1" customWidth="1"/>
    <col min="15621" max="15621" width="8.5703125" style="16" bestFit="1" customWidth="1"/>
    <col min="15622" max="15622" width="9.28515625" style="16" bestFit="1" customWidth="1"/>
    <col min="15623" max="15623" width="10.42578125" style="16" bestFit="1" customWidth="1"/>
    <col min="15624" max="15624" width="10.28515625" style="16" bestFit="1" customWidth="1"/>
    <col min="15625" max="15625" width="7.140625" style="16" bestFit="1" customWidth="1"/>
    <col min="15626" max="15626" width="7.140625" style="16" customWidth="1"/>
    <col min="15627" max="15628" width="7" style="16" bestFit="1" customWidth="1"/>
    <col min="15629" max="15629" width="6.85546875" style="16" bestFit="1" customWidth="1"/>
    <col min="15630" max="15630" width="7" style="16" bestFit="1" customWidth="1"/>
    <col min="15631" max="15631" width="7.140625" style="16" bestFit="1" customWidth="1"/>
    <col min="15632" max="15636" width="9.140625" style="16"/>
    <col min="15637" max="15637" width="12.42578125" style="16" customWidth="1"/>
    <col min="15638" max="15638" width="9.140625" style="16"/>
    <col min="15639" max="15639" width="12" style="16" customWidth="1"/>
    <col min="15640" max="15872" width="9.140625" style="16"/>
    <col min="15873" max="15873" width="5" style="16" customWidth="1"/>
    <col min="15874" max="15874" width="18.140625" style="16" customWidth="1"/>
    <col min="15875" max="15875" width="11.140625" style="16" bestFit="1" customWidth="1"/>
    <col min="15876" max="15876" width="6.7109375" style="16" bestFit="1" customWidth="1"/>
    <col min="15877" max="15877" width="8.5703125" style="16" bestFit="1" customWidth="1"/>
    <col min="15878" max="15878" width="9.28515625" style="16" bestFit="1" customWidth="1"/>
    <col min="15879" max="15879" width="10.42578125" style="16" bestFit="1" customWidth="1"/>
    <col min="15880" max="15880" width="10.28515625" style="16" bestFit="1" customWidth="1"/>
    <col min="15881" max="15881" width="7.140625" style="16" bestFit="1" customWidth="1"/>
    <col min="15882" max="15882" width="7.140625" style="16" customWidth="1"/>
    <col min="15883" max="15884" width="7" style="16" bestFit="1" customWidth="1"/>
    <col min="15885" max="15885" width="6.85546875" style="16" bestFit="1" customWidth="1"/>
    <col min="15886" max="15886" width="7" style="16" bestFit="1" customWidth="1"/>
    <col min="15887" max="15887" width="7.140625" style="16" bestFit="1" customWidth="1"/>
    <col min="15888" max="15892" width="9.140625" style="16"/>
    <col min="15893" max="15893" width="12.42578125" style="16" customWidth="1"/>
    <col min="15894" max="15894" width="9.140625" style="16"/>
    <col min="15895" max="15895" width="12" style="16" customWidth="1"/>
    <col min="15896" max="16128" width="9.140625" style="16"/>
    <col min="16129" max="16129" width="5" style="16" customWidth="1"/>
    <col min="16130" max="16130" width="18.140625" style="16" customWidth="1"/>
    <col min="16131" max="16131" width="11.140625" style="16" bestFit="1" customWidth="1"/>
    <col min="16132" max="16132" width="6.7109375" style="16" bestFit="1" customWidth="1"/>
    <col min="16133" max="16133" width="8.5703125" style="16" bestFit="1" customWidth="1"/>
    <col min="16134" max="16134" width="9.28515625" style="16" bestFit="1" customWidth="1"/>
    <col min="16135" max="16135" width="10.42578125" style="16" bestFit="1" customWidth="1"/>
    <col min="16136" max="16136" width="10.28515625" style="16" bestFit="1" customWidth="1"/>
    <col min="16137" max="16137" width="7.140625" style="16" bestFit="1" customWidth="1"/>
    <col min="16138" max="16138" width="7.140625" style="16" customWidth="1"/>
    <col min="16139" max="16140" width="7" style="16" bestFit="1" customWidth="1"/>
    <col min="16141" max="16141" width="6.85546875" style="16" bestFit="1" customWidth="1"/>
    <col min="16142" max="16142" width="7" style="16" bestFit="1" customWidth="1"/>
    <col min="16143" max="16143" width="7.140625" style="16" bestFit="1" customWidth="1"/>
    <col min="16144" max="16148" width="9.140625" style="16"/>
    <col min="16149" max="16149" width="12.42578125" style="16" customWidth="1"/>
    <col min="16150" max="16150" width="9.140625" style="16"/>
    <col min="16151" max="16151" width="12" style="16" customWidth="1"/>
    <col min="16152" max="16384" width="9.140625" style="16"/>
  </cols>
  <sheetData>
    <row r="1" spans="1:17" s="1" customFormat="1" x14ac:dyDescent="0.2">
      <c r="A1" s="867" t="s">
        <v>449</v>
      </c>
      <c r="B1" s="868"/>
      <c r="C1" s="868"/>
      <c r="D1" s="869"/>
      <c r="E1" s="868"/>
      <c r="F1" s="868"/>
      <c r="G1" s="867" t="s">
        <v>102</v>
      </c>
      <c r="H1" s="869"/>
      <c r="I1" s="869" t="s">
        <v>792</v>
      </c>
      <c r="J1" s="868"/>
      <c r="K1" s="868"/>
      <c r="L1" s="870"/>
      <c r="M1" s="870"/>
      <c r="N1" s="870"/>
      <c r="O1" s="870"/>
    </row>
    <row r="2" spans="1:17" s="1" customFormat="1" x14ac:dyDescent="0.2">
      <c r="A2" s="867" t="s">
        <v>103</v>
      </c>
      <c r="B2" s="868"/>
      <c r="C2" s="868"/>
      <c r="D2" s="869"/>
      <c r="E2" s="868"/>
      <c r="F2" s="868"/>
      <c r="G2" s="867" t="s">
        <v>104</v>
      </c>
      <c r="H2" s="869"/>
      <c r="I2" s="869" t="s">
        <v>105</v>
      </c>
      <c r="J2" s="868"/>
      <c r="K2" s="868"/>
      <c r="L2" s="870"/>
      <c r="M2" s="870"/>
      <c r="N2" s="870"/>
      <c r="O2" s="870"/>
    </row>
    <row r="3" spans="1:17" s="1" customFormat="1" x14ac:dyDescent="0.2">
      <c r="A3" s="867" t="s">
        <v>106</v>
      </c>
      <c r="B3" s="868"/>
      <c r="C3" s="868"/>
      <c r="D3" s="883" t="s">
        <v>793</v>
      </c>
      <c r="E3" s="868"/>
      <c r="F3" s="868"/>
      <c r="G3" s="867" t="s">
        <v>107</v>
      </c>
      <c r="H3" s="869"/>
      <c r="I3" s="869" t="s">
        <v>108</v>
      </c>
      <c r="J3" s="868"/>
      <c r="K3" s="868"/>
      <c r="L3" s="870"/>
      <c r="M3" s="870"/>
      <c r="N3" s="870"/>
      <c r="O3" s="870"/>
    </row>
    <row r="4" spans="1:17" s="1" customFormat="1" x14ac:dyDescent="0.2">
      <c r="A4" s="867" t="s">
        <v>476</v>
      </c>
      <c r="B4" s="868"/>
      <c r="C4" s="868"/>
      <c r="D4" s="869" t="s">
        <v>794</v>
      </c>
      <c r="E4" s="868"/>
      <c r="F4" s="868"/>
      <c r="G4" s="867" t="s">
        <v>110</v>
      </c>
      <c r="H4" s="869"/>
      <c r="I4" s="869" t="s">
        <v>795</v>
      </c>
      <c r="J4" s="868"/>
      <c r="K4" s="868"/>
      <c r="L4" s="870"/>
      <c r="M4" s="870"/>
      <c r="N4" s="870"/>
      <c r="O4" s="870"/>
    </row>
    <row r="5" spans="1:17" s="1" customFormat="1" x14ac:dyDescent="0.2">
      <c r="A5" s="867" t="s">
        <v>112</v>
      </c>
      <c r="B5" s="868"/>
      <c r="C5" s="868"/>
      <c r="D5" s="869" t="s">
        <v>794</v>
      </c>
      <c r="E5" s="868"/>
      <c r="F5" s="868"/>
      <c r="G5" s="867"/>
      <c r="H5" s="868"/>
      <c r="I5" s="869" t="s">
        <v>113</v>
      </c>
      <c r="J5" s="868"/>
      <c r="K5" s="868"/>
      <c r="L5" s="870"/>
      <c r="M5" s="870"/>
      <c r="N5" s="870"/>
      <c r="O5" s="870"/>
    </row>
    <row r="6" spans="1:17" s="1" customFormat="1" x14ac:dyDescent="0.2">
      <c r="A6" s="871" t="s">
        <v>114</v>
      </c>
      <c r="B6" s="872"/>
      <c r="C6" s="872"/>
      <c r="D6" s="868" t="s">
        <v>767</v>
      </c>
      <c r="E6" s="868"/>
      <c r="F6" s="868"/>
      <c r="G6" s="871" t="s">
        <v>115</v>
      </c>
      <c r="H6" s="871"/>
      <c r="I6" s="2" t="s">
        <v>222</v>
      </c>
      <c r="J6" s="888"/>
      <c r="K6" s="888"/>
      <c r="L6" s="888"/>
      <c r="M6" s="888"/>
      <c r="N6" s="888"/>
      <c r="O6" s="889"/>
    </row>
    <row r="7" spans="1:17" s="1" customFormat="1" ht="13.5" thickBot="1" x14ac:dyDescent="0.25">
      <c r="A7" s="3"/>
      <c r="B7" s="4"/>
      <c r="C7" s="5"/>
      <c r="D7" s="6"/>
      <c r="E7" s="6"/>
      <c r="F7" s="6"/>
      <c r="G7" s="6"/>
      <c r="H7" s="6"/>
      <c r="I7" s="6"/>
      <c r="J7" s="7"/>
      <c r="K7" s="8"/>
      <c r="L7" s="875" t="s">
        <v>223</v>
      </c>
      <c r="M7" s="875"/>
      <c r="N7" s="875"/>
      <c r="O7" s="875"/>
    </row>
    <row r="8" spans="1:17" s="11" customFormat="1" x14ac:dyDescent="0.2">
      <c r="A8" s="876" t="str">
        <f>I1</f>
        <v>Ms.  Jolly P. Thomas</v>
      </c>
      <c r="B8" s="877"/>
      <c r="C8" s="9">
        <v>43160</v>
      </c>
      <c r="D8" s="9">
        <v>43191</v>
      </c>
      <c r="E8" s="9">
        <v>43221</v>
      </c>
      <c r="F8" s="9">
        <v>43252</v>
      </c>
      <c r="G8" s="9">
        <v>43282</v>
      </c>
      <c r="H8" s="9">
        <v>43313</v>
      </c>
      <c r="I8" s="9">
        <v>43344</v>
      </c>
      <c r="J8" s="9">
        <v>43374</v>
      </c>
      <c r="K8" s="9">
        <v>43405</v>
      </c>
      <c r="L8" s="9">
        <v>43435</v>
      </c>
      <c r="M8" s="9">
        <v>43466</v>
      </c>
      <c r="N8" s="9">
        <v>43497</v>
      </c>
      <c r="O8" s="10" t="s">
        <v>117</v>
      </c>
      <c r="Q8" s="11" t="s">
        <v>116</v>
      </c>
    </row>
    <row r="9" spans="1:17" ht="15" x14ac:dyDescent="0.2">
      <c r="A9" s="12"/>
      <c r="B9" s="13" t="s">
        <v>118</v>
      </c>
      <c r="C9" s="14">
        <v>58600</v>
      </c>
      <c r="D9" s="14">
        <f>+C9</f>
        <v>58600</v>
      </c>
      <c r="E9" s="14">
        <f>+D9</f>
        <v>58600</v>
      </c>
      <c r="F9" s="14">
        <f>+E9</f>
        <v>58600</v>
      </c>
      <c r="G9" s="14">
        <v>60400</v>
      </c>
      <c r="H9" s="14">
        <v>60400</v>
      </c>
      <c r="I9" s="14">
        <v>60400</v>
      </c>
      <c r="J9" s="14">
        <v>60400</v>
      </c>
      <c r="K9" s="14">
        <v>60400</v>
      </c>
      <c r="L9" s="14">
        <v>60400</v>
      </c>
      <c r="M9" s="14">
        <v>60400</v>
      </c>
      <c r="N9" s="14">
        <v>60400</v>
      </c>
      <c r="O9" s="15">
        <f>SUM(C9:N9)</f>
        <v>717600</v>
      </c>
      <c r="Q9" s="16" t="s">
        <v>222</v>
      </c>
    </row>
    <row r="10" spans="1:17" ht="15" x14ac:dyDescent="0.2">
      <c r="A10" s="12"/>
      <c r="B10" s="13" t="s">
        <v>119</v>
      </c>
      <c r="C10" s="17">
        <v>0</v>
      </c>
      <c r="D10" s="17">
        <f>+C10</f>
        <v>0</v>
      </c>
      <c r="E10" s="17">
        <f t="shared" ref="E10:N10" si="0">+D10</f>
        <v>0</v>
      </c>
      <c r="F10" s="17">
        <f t="shared" si="0"/>
        <v>0</v>
      </c>
      <c r="G10" s="17">
        <f t="shared" si="0"/>
        <v>0</v>
      </c>
      <c r="H10" s="17">
        <v>0</v>
      </c>
      <c r="I10" s="17">
        <f t="shared" si="0"/>
        <v>0</v>
      </c>
      <c r="J10" s="17">
        <f t="shared" si="0"/>
        <v>0</v>
      </c>
      <c r="K10" s="17">
        <f t="shared" si="0"/>
        <v>0</v>
      </c>
      <c r="L10" s="17">
        <f t="shared" si="0"/>
        <v>0</v>
      </c>
      <c r="M10" s="17">
        <f t="shared" si="0"/>
        <v>0</v>
      </c>
      <c r="N10" s="17">
        <f t="shared" si="0"/>
        <v>0</v>
      </c>
      <c r="O10" s="18">
        <f>SUM(C10:N10)</f>
        <v>0</v>
      </c>
    </row>
    <row r="11" spans="1:17" ht="15" x14ac:dyDescent="0.2">
      <c r="A11" s="12"/>
      <c r="B11" s="13" t="s">
        <v>120</v>
      </c>
      <c r="C11" s="147">
        <v>2930</v>
      </c>
      <c r="D11" s="147">
        <v>4102</v>
      </c>
      <c r="E11" s="147">
        <v>4102</v>
      </c>
      <c r="F11" s="147">
        <v>4102</v>
      </c>
      <c r="G11" s="147">
        <v>4228</v>
      </c>
      <c r="H11" s="147">
        <v>4228</v>
      </c>
      <c r="I11" s="147">
        <v>4228</v>
      </c>
      <c r="J11" s="147">
        <v>5436</v>
      </c>
      <c r="K11" s="147">
        <v>5436</v>
      </c>
      <c r="L11" s="147">
        <v>5436</v>
      </c>
      <c r="M11" s="147">
        <v>5436</v>
      </c>
      <c r="N11" s="147">
        <v>5436</v>
      </c>
      <c r="O11" s="18">
        <f>SUM(C11:N11)</f>
        <v>55100</v>
      </c>
    </row>
    <row r="12" spans="1:17" ht="15" hidden="1" x14ac:dyDescent="0.2">
      <c r="A12" s="12"/>
      <c r="B12" s="13" t="s">
        <v>121</v>
      </c>
      <c r="C12" s="147">
        <v>0</v>
      </c>
      <c r="D12" s="17">
        <v>0</v>
      </c>
      <c r="E12" s="17">
        <v>0</v>
      </c>
      <c r="F12" s="17">
        <v>0</v>
      </c>
      <c r="G12" s="17">
        <v>0</v>
      </c>
      <c r="H12" s="17">
        <v>0</v>
      </c>
      <c r="I12" s="17">
        <v>0</v>
      </c>
      <c r="J12" s="17">
        <v>0</v>
      </c>
      <c r="K12" s="17">
        <v>0</v>
      </c>
      <c r="L12" s="17">
        <v>0</v>
      </c>
      <c r="M12" s="17">
        <v>0</v>
      </c>
      <c r="N12" s="17">
        <v>0</v>
      </c>
      <c r="O12" s="18">
        <f>SUM(C12:N12)</f>
        <v>0</v>
      </c>
    </row>
    <row r="13" spans="1:17"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1">SUM(C13:N13)</f>
        <v>0</v>
      </c>
    </row>
    <row r="14" spans="1:17" ht="15" x14ac:dyDescent="0.2">
      <c r="A14" s="12"/>
      <c r="B14" s="13" t="s">
        <v>123</v>
      </c>
      <c r="C14" s="147">
        <v>3780</v>
      </c>
      <c r="D14" s="147">
        <v>3852</v>
      </c>
      <c r="E14" s="147">
        <v>3852</v>
      </c>
      <c r="F14" s="147">
        <v>3852</v>
      </c>
      <c r="G14" s="147">
        <v>3852</v>
      </c>
      <c r="H14" s="147">
        <v>3852</v>
      </c>
      <c r="I14" s="147">
        <v>3852</v>
      </c>
      <c r="J14" s="147">
        <v>3924</v>
      </c>
      <c r="K14" s="147">
        <v>3924</v>
      </c>
      <c r="L14" s="147">
        <v>3924</v>
      </c>
      <c r="M14" s="147">
        <v>3924</v>
      </c>
      <c r="N14" s="147">
        <v>3924</v>
      </c>
      <c r="O14" s="18">
        <f t="shared" si="1"/>
        <v>46512</v>
      </c>
    </row>
    <row r="15" spans="1:17" ht="15" hidden="1" x14ac:dyDescent="0.2">
      <c r="A15" s="12"/>
      <c r="B15" s="13" t="s">
        <v>124</v>
      </c>
      <c r="C15" s="17">
        <v>0</v>
      </c>
      <c r="D15" s="17">
        <v>0</v>
      </c>
      <c r="E15" s="17">
        <v>0</v>
      </c>
      <c r="F15" s="17">
        <v>0</v>
      </c>
      <c r="G15" s="17">
        <v>0</v>
      </c>
      <c r="H15" s="17">
        <v>0</v>
      </c>
      <c r="I15" s="17">
        <v>0</v>
      </c>
      <c r="J15" s="147">
        <v>0</v>
      </c>
      <c r="K15" s="147">
        <v>0</v>
      </c>
      <c r="L15" s="147">
        <v>0</v>
      </c>
      <c r="M15" s="147">
        <v>0</v>
      </c>
      <c r="N15" s="147">
        <v>0</v>
      </c>
      <c r="O15" s="18">
        <f t="shared" si="1"/>
        <v>0</v>
      </c>
    </row>
    <row r="16" spans="1:17" ht="15" hidden="1" x14ac:dyDescent="0.2">
      <c r="A16" s="12"/>
      <c r="B16" s="13" t="s">
        <v>405</v>
      </c>
      <c r="C16" s="17">
        <v>0</v>
      </c>
      <c r="D16" s="17">
        <v>0</v>
      </c>
      <c r="E16" s="17">
        <v>0</v>
      </c>
      <c r="F16" s="17">
        <v>0</v>
      </c>
      <c r="G16" s="17">
        <v>0</v>
      </c>
      <c r="H16" s="17">
        <v>0</v>
      </c>
      <c r="I16" s="17">
        <v>0</v>
      </c>
      <c r="J16" s="147">
        <v>0</v>
      </c>
      <c r="K16" s="147">
        <v>0</v>
      </c>
      <c r="L16" s="147">
        <v>0</v>
      </c>
      <c r="M16" s="147">
        <v>0</v>
      </c>
      <c r="N16" s="147">
        <v>0</v>
      </c>
      <c r="O16" s="18">
        <f t="shared" si="1"/>
        <v>0</v>
      </c>
    </row>
    <row r="17" spans="1:15" x14ac:dyDescent="0.2">
      <c r="A17" s="12"/>
      <c r="B17" s="166" t="s">
        <v>280</v>
      </c>
      <c r="C17" s="17">
        <v>0</v>
      </c>
      <c r="D17" s="17">
        <v>0</v>
      </c>
      <c r="E17" s="17">
        <v>0</v>
      </c>
      <c r="F17" s="17">
        <v>0</v>
      </c>
      <c r="G17" s="17">
        <v>0</v>
      </c>
      <c r="H17" s="17">
        <v>0</v>
      </c>
      <c r="I17" s="17">
        <v>0</v>
      </c>
      <c r="J17" s="17">
        <v>0</v>
      </c>
      <c r="K17" s="17">
        <v>0</v>
      </c>
      <c r="L17" s="17">
        <v>0</v>
      </c>
      <c r="M17" s="17">
        <v>0</v>
      </c>
      <c r="N17" s="17">
        <v>0</v>
      </c>
      <c r="O17" s="18">
        <f t="shared" si="1"/>
        <v>0</v>
      </c>
    </row>
    <row r="18" spans="1:15"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1"/>
        <v>0</v>
      </c>
    </row>
    <row r="19" spans="1:15" ht="15" x14ac:dyDescent="0.2">
      <c r="A19" s="12"/>
      <c r="B19" s="13" t="s">
        <v>128</v>
      </c>
      <c r="C19" s="17">
        <v>0</v>
      </c>
      <c r="D19" s="17">
        <v>0</v>
      </c>
      <c r="E19" s="17">
        <v>0</v>
      </c>
      <c r="F19" s="17">
        <v>0</v>
      </c>
      <c r="G19" s="17">
        <v>0</v>
      </c>
      <c r="H19" s="17">
        <v>0</v>
      </c>
      <c r="I19" s="17">
        <v>0</v>
      </c>
      <c r="J19" s="17">
        <v>0</v>
      </c>
      <c r="K19" s="17">
        <v>0</v>
      </c>
      <c r="L19" s="17">
        <v>0</v>
      </c>
      <c r="M19" s="17">
        <v>0</v>
      </c>
      <c r="N19" s="17">
        <v>0</v>
      </c>
      <c r="O19" s="18">
        <f t="shared" si="1"/>
        <v>0</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1"/>
        <v>0</v>
      </c>
    </row>
    <row r="21" spans="1:15" ht="15" hidden="1" customHeight="1" x14ac:dyDescent="0.2">
      <c r="A21" s="878" t="s">
        <v>130</v>
      </c>
      <c r="B21" s="19" t="s">
        <v>131</v>
      </c>
      <c r="C21" s="17">
        <v>0</v>
      </c>
      <c r="D21" s="17">
        <v>0</v>
      </c>
      <c r="E21" s="17">
        <v>0</v>
      </c>
      <c r="F21" s="17">
        <v>0</v>
      </c>
      <c r="G21" s="17">
        <v>0</v>
      </c>
      <c r="H21" s="17">
        <v>0</v>
      </c>
      <c r="I21" s="17">
        <v>0</v>
      </c>
      <c r="J21" s="17">
        <v>0</v>
      </c>
      <c r="K21" s="17">
        <v>0</v>
      </c>
      <c r="L21" s="17">
        <v>0</v>
      </c>
      <c r="M21" s="17">
        <v>0</v>
      </c>
      <c r="N21" s="17">
        <v>0</v>
      </c>
      <c r="O21" s="18">
        <f t="shared" si="1"/>
        <v>0</v>
      </c>
    </row>
    <row r="22" spans="1:15" ht="15" customHeight="1" x14ac:dyDescent="0.2">
      <c r="A22" s="879"/>
      <c r="B22" s="19" t="s">
        <v>132</v>
      </c>
      <c r="C22" s="17">
        <v>0</v>
      </c>
      <c r="D22" s="17">
        <v>0</v>
      </c>
      <c r="E22" s="17">
        <v>0</v>
      </c>
      <c r="F22" s="17">
        <v>0</v>
      </c>
      <c r="G22" s="17">
        <v>0</v>
      </c>
      <c r="H22" s="17">
        <v>0</v>
      </c>
      <c r="I22" s="17">
        <v>0</v>
      </c>
      <c r="J22" s="17">
        <v>6908</v>
      </c>
      <c r="K22" s="17">
        <v>0</v>
      </c>
      <c r="L22" s="17">
        <v>0</v>
      </c>
      <c r="M22" s="17">
        <v>0</v>
      </c>
      <c r="N22" s="17">
        <v>0</v>
      </c>
      <c r="O22" s="18">
        <f t="shared" si="1"/>
        <v>6908</v>
      </c>
    </row>
    <row r="23" spans="1:15" ht="15" hidden="1" customHeight="1" x14ac:dyDescent="0.2">
      <c r="A23" s="879"/>
      <c r="B23" s="19" t="s">
        <v>133</v>
      </c>
      <c r="C23" s="17">
        <v>0</v>
      </c>
      <c r="D23" s="17">
        <v>0</v>
      </c>
      <c r="E23" s="17">
        <v>0</v>
      </c>
      <c r="F23" s="17">
        <v>0</v>
      </c>
      <c r="G23" s="17">
        <v>0</v>
      </c>
      <c r="H23" s="17">
        <v>0</v>
      </c>
      <c r="I23" s="17">
        <v>0</v>
      </c>
      <c r="J23" s="17">
        <v>0</v>
      </c>
      <c r="K23" s="17">
        <v>0</v>
      </c>
      <c r="L23" s="17">
        <v>0</v>
      </c>
      <c r="M23" s="17">
        <v>0</v>
      </c>
      <c r="N23" s="17">
        <v>0</v>
      </c>
      <c r="O23" s="18">
        <f t="shared" si="1"/>
        <v>0</v>
      </c>
    </row>
    <row r="24" spans="1:15" ht="15" hidden="1" customHeight="1" x14ac:dyDescent="0.2">
      <c r="A24" s="879"/>
      <c r="B24" s="19" t="s">
        <v>134</v>
      </c>
      <c r="C24" s="17">
        <v>0</v>
      </c>
      <c r="D24" s="17">
        <v>0</v>
      </c>
      <c r="E24" s="17">
        <v>0</v>
      </c>
      <c r="F24" s="17">
        <v>0</v>
      </c>
      <c r="G24" s="17">
        <v>0</v>
      </c>
      <c r="H24" s="17">
        <v>0</v>
      </c>
      <c r="I24" s="17">
        <v>0</v>
      </c>
      <c r="J24" s="17">
        <v>0</v>
      </c>
      <c r="K24" s="17">
        <v>0</v>
      </c>
      <c r="L24" s="17">
        <v>0</v>
      </c>
      <c r="M24" s="17">
        <v>0</v>
      </c>
      <c r="N24" s="17">
        <v>0</v>
      </c>
      <c r="O24" s="18">
        <f t="shared" si="1"/>
        <v>0</v>
      </c>
    </row>
    <row r="25" spans="1:15" ht="15" hidden="1" customHeight="1" x14ac:dyDescent="0.2">
      <c r="A25" s="879"/>
      <c r="B25" s="19" t="s">
        <v>135</v>
      </c>
      <c r="C25" s="17">
        <v>0</v>
      </c>
      <c r="D25" s="17">
        <v>0</v>
      </c>
      <c r="E25" s="17">
        <v>0</v>
      </c>
      <c r="F25" s="17">
        <v>0</v>
      </c>
      <c r="G25" s="17">
        <v>0</v>
      </c>
      <c r="H25" s="17">
        <v>0</v>
      </c>
      <c r="I25" s="17">
        <v>0</v>
      </c>
      <c r="J25" s="17">
        <v>0</v>
      </c>
      <c r="K25" s="17">
        <v>0</v>
      </c>
      <c r="L25" s="17">
        <v>0</v>
      </c>
      <c r="M25" s="17">
        <v>0</v>
      </c>
      <c r="N25" s="17">
        <v>0</v>
      </c>
      <c r="O25" s="18">
        <f t="shared" si="1"/>
        <v>0</v>
      </c>
    </row>
    <row r="26" spans="1:15" ht="15" hidden="1" customHeight="1" x14ac:dyDescent="0.2">
      <c r="A26" s="879"/>
      <c r="B26" s="19" t="s">
        <v>136</v>
      </c>
      <c r="C26" s="17">
        <v>0</v>
      </c>
      <c r="D26" s="17">
        <v>0</v>
      </c>
      <c r="E26" s="17">
        <v>0</v>
      </c>
      <c r="F26" s="17">
        <v>0</v>
      </c>
      <c r="G26" s="17">
        <v>0</v>
      </c>
      <c r="H26" s="17">
        <v>0</v>
      </c>
      <c r="I26" s="17">
        <v>0</v>
      </c>
      <c r="J26" s="17">
        <v>0</v>
      </c>
      <c r="K26" s="17">
        <v>0</v>
      </c>
      <c r="L26" s="17">
        <v>0</v>
      </c>
      <c r="M26" s="17">
        <v>0</v>
      </c>
      <c r="N26" s="17">
        <v>0</v>
      </c>
      <c r="O26" s="18">
        <f t="shared" si="1"/>
        <v>0</v>
      </c>
    </row>
    <row r="27" spans="1:15" ht="15" hidden="1" customHeight="1" x14ac:dyDescent="0.2">
      <c r="A27" s="879"/>
      <c r="B27" s="19" t="s">
        <v>137</v>
      </c>
      <c r="C27" s="17">
        <v>0</v>
      </c>
      <c r="D27" s="17">
        <v>0</v>
      </c>
      <c r="E27" s="17">
        <v>0</v>
      </c>
      <c r="F27" s="17">
        <v>0</v>
      </c>
      <c r="G27" s="17">
        <v>0</v>
      </c>
      <c r="H27" s="17">
        <v>0</v>
      </c>
      <c r="I27" s="17">
        <v>0</v>
      </c>
      <c r="J27" s="17">
        <v>0</v>
      </c>
      <c r="K27" s="17">
        <v>0</v>
      </c>
      <c r="L27" s="17">
        <v>0</v>
      </c>
      <c r="M27" s="17">
        <v>0</v>
      </c>
      <c r="N27" s="17">
        <v>0</v>
      </c>
      <c r="O27" s="18">
        <f t="shared" si="1"/>
        <v>0</v>
      </c>
    </row>
    <row r="28" spans="1:15" ht="15" hidden="1" customHeight="1" x14ac:dyDescent="0.2">
      <c r="A28" s="879"/>
      <c r="B28" s="19" t="s">
        <v>138</v>
      </c>
      <c r="C28" s="17">
        <v>0</v>
      </c>
      <c r="D28" s="17">
        <v>0</v>
      </c>
      <c r="E28" s="17">
        <v>0</v>
      </c>
      <c r="F28" s="17">
        <v>0</v>
      </c>
      <c r="G28" s="17">
        <v>0</v>
      </c>
      <c r="H28" s="17">
        <v>0</v>
      </c>
      <c r="I28" s="17">
        <v>0</v>
      </c>
      <c r="J28" s="17">
        <v>0</v>
      </c>
      <c r="K28" s="17">
        <v>0</v>
      </c>
      <c r="L28" s="17">
        <v>0</v>
      </c>
      <c r="M28" s="17">
        <v>0</v>
      </c>
      <c r="N28" s="17">
        <v>0</v>
      </c>
      <c r="O28" s="18">
        <f t="shared" si="1"/>
        <v>0</v>
      </c>
    </row>
    <row r="29" spans="1:15" ht="15" hidden="1" customHeight="1" x14ac:dyDescent="0.2">
      <c r="A29" s="879"/>
      <c r="B29" s="19" t="s">
        <v>139</v>
      </c>
      <c r="C29" s="17">
        <v>0</v>
      </c>
      <c r="D29" s="17">
        <v>0</v>
      </c>
      <c r="E29" s="17">
        <v>0</v>
      </c>
      <c r="F29" s="17">
        <v>0</v>
      </c>
      <c r="G29" s="17">
        <v>0</v>
      </c>
      <c r="H29" s="17">
        <v>0</v>
      </c>
      <c r="I29" s="17">
        <v>0</v>
      </c>
      <c r="J29" s="17">
        <v>0</v>
      </c>
      <c r="K29" s="17">
        <v>0</v>
      </c>
      <c r="L29" s="17">
        <v>0</v>
      </c>
      <c r="M29" s="17">
        <v>0</v>
      </c>
      <c r="N29" s="17">
        <v>0</v>
      </c>
      <c r="O29" s="18">
        <f t="shared" si="1"/>
        <v>0</v>
      </c>
    </row>
    <row r="30" spans="1:15" ht="15" hidden="1" customHeight="1" x14ac:dyDescent="0.2">
      <c r="A30" s="879"/>
      <c r="B30" s="19" t="s">
        <v>140</v>
      </c>
      <c r="C30" s="17">
        <v>0</v>
      </c>
      <c r="D30" s="17">
        <v>0</v>
      </c>
      <c r="E30" s="17">
        <v>0</v>
      </c>
      <c r="F30" s="17">
        <v>0</v>
      </c>
      <c r="G30" s="17">
        <v>0</v>
      </c>
      <c r="H30" s="17">
        <v>0</v>
      </c>
      <c r="I30" s="17">
        <v>0</v>
      </c>
      <c r="J30" s="17">
        <v>0</v>
      </c>
      <c r="K30" s="17">
        <v>0</v>
      </c>
      <c r="L30" s="17">
        <v>0</v>
      </c>
      <c r="M30" s="17">
        <v>0</v>
      </c>
      <c r="N30" s="17">
        <v>0</v>
      </c>
      <c r="O30" s="18">
        <f t="shared" si="1"/>
        <v>0</v>
      </c>
    </row>
    <row r="31" spans="1:15" ht="15" hidden="1" customHeight="1" x14ac:dyDescent="0.2">
      <c r="A31" s="879"/>
      <c r="B31" s="19" t="s">
        <v>225</v>
      </c>
      <c r="C31" s="17">
        <v>0</v>
      </c>
      <c r="D31" s="17">
        <v>0</v>
      </c>
      <c r="E31" s="17">
        <v>0</v>
      </c>
      <c r="F31" s="17">
        <v>0</v>
      </c>
      <c r="G31" s="17">
        <v>0</v>
      </c>
      <c r="H31" s="17">
        <v>0</v>
      </c>
      <c r="I31" s="17">
        <v>0</v>
      </c>
      <c r="J31" s="17">
        <v>0</v>
      </c>
      <c r="K31" s="17">
        <v>0</v>
      </c>
      <c r="L31" s="17">
        <v>0</v>
      </c>
      <c r="M31" s="17">
        <v>0</v>
      </c>
      <c r="N31" s="17">
        <v>0</v>
      </c>
      <c r="O31" s="18">
        <f t="shared" si="1"/>
        <v>0</v>
      </c>
    </row>
    <row r="32" spans="1:15" ht="15" customHeight="1" x14ac:dyDescent="0.2">
      <c r="A32" s="879"/>
      <c r="B32" s="21" t="s">
        <v>142</v>
      </c>
      <c r="C32" s="17">
        <v>0</v>
      </c>
      <c r="D32" s="17">
        <v>0</v>
      </c>
      <c r="E32" s="17">
        <v>0</v>
      </c>
      <c r="F32" s="17">
        <v>0</v>
      </c>
      <c r="G32" s="17">
        <v>0</v>
      </c>
      <c r="H32" s="17">
        <v>0</v>
      </c>
      <c r="I32" s="17">
        <v>0</v>
      </c>
      <c r="J32" s="17">
        <v>0</v>
      </c>
      <c r="K32" s="17">
        <v>0</v>
      </c>
      <c r="L32" s="17">
        <v>0</v>
      </c>
      <c r="M32" s="17">
        <v>0</v>
      </c>
      <c r="N32" s="17">
        <v>0</v>
      </c>
      <c r="O32" s="18">
        <f t="shared" si="1"/>
        <v>0</v>
      </c>
    </row>
    <row r="33" spans="1:18" ht="15" hidden="1" customHeight="1" x14ac:dyDescent="0.2">
      <c r="A33" s="880"/>
      <c r="B33" s="19" t="s">
        <v>226</v>
      </c>
      <c r="C33" s="17">
        <v>0</v>
      </c>
      <c r="D33" s="17">
        <v>0</v>
      </c>
      <c r="E33" s="17">
        <v>0</v>
      </c>
      <c r="F33" s="17">
        <v>0</v>
      </c>
      <c r="G33" s="17">
        <v>0</v>
      </c>
      <c r="H33" s="17">
        <v>0</v>
      </c>
      <c r="I33" s="17">
        <v>0</v>
      </c>
      <c r="J33" s="17">
        <v>0</v>
      </c>
      <c r="K33" s="17">
        <v>0</v>
      </c>
      <c r="L33" s="17">
        <v>0</v>
      </c>
      <c r="M33" s="17">
        <v>0</v>
      </c>
      <c r="N33" s="17">
        <v>0</v>
      </c>
      <c r="O33" s="18">
        <f t="shared" si="1"/>
        <v>0</v>
      </c>
    </row>
    <row r="34" spans="1:18" ht="15" customHeight="1" x14ac:dyDescent="0.2">
      <c r="A34" s="219"/>
      <c r="B34" s="220" t="s">
        <v>144</v>
      </c>
      <c r="C34" s="17">
        <v>0</v>
      </c>
      <c r="D34" s="17">
        <v>0</v>
      </c>
      <c r="E34" s="17">
        <v>0</v>
      </c>
      <c r="F34" s="17">
        <v>0</v>
      </c>
      <c r="G34" s="17">
        <v>0</v>
      </c>
      <c r="H34" s="17">
        <v>0</v>
      </c>
      <c r="I34" s="17">
        <v>0</v>
      </c>
      <c r="J34" s="17">
        <v>0</v>
      </c>
      <c r="K34" s="17">
        <v>0</v>
      </c>
      <c r="L34" s="17">
        <v>0</v>
      </c>
      <c r="M34" s="17">
        <v>0</v>
      </c>
      <c r="N34" s="17">
        <v>0</v>
      </c>
      <c r="O34" s="18">
        <f t="shared" si="1"/>
        <v>0</v>
      </c>
    </row>
    <row r="35" spans="1:18" ht="15" customHeight="1" x14ac:dyDescent="0.2">
      <c r="A35" s="865" t="s">
        <v>145</v>
      </c>
      <c r="B35" s="866"/>
      <c r="C35" s="17">
        <v>0</v>
      </c>
      <c r="D35" s="17">
        <v>216</v>
      </c>
      <c r="E35" s="17">
        <v>0</v>
      </c>
      <c r="F35" s="17">
        <v>0</v>
      </c>
      <c r="G35" s="17">
        <v>0</v>
      </c>
      <c r="H35" s="17">
        <v>0</v>
      </c>
      <c r="I35" s="17">
        <v>0</v>
      </c>
      <c r="J35" s="17">
        <v>216</v>
      </c>
      <c r="K35" s="17">
        <v>0</v>
      </c>
      <c r="L35" s="17">
        <v>0</v>
      </c>
      <c r="M35" s="17">
        <v>0</v>
      </c>
      <c r="N35" s="17">
        <v>0</v>
      </c>
      <c r="O35" s="18">
        <f t="shared" si="1"/>
        <v>432</v>
      </c>
    </row>
    <row r="36" spans="1:18" ht="15" customHeight="1" x14ac:dyDescent="0.2">
      <c r="A36" s="865" t="s">
        <v>146</v>
      </c>
      <c r="B36" s="866"/>
      <c r="C36" s="17">
        <v>0</v>
      </c>
      <c r="D36" s="17">
        <v>3516</v>
      </c>
      <c r="E36" s="17">
        <v>0</v>
      </c>
      <c r="F36" s="17">
        <v>0</v>
      </c>
      <c r="G36" s="17">
        <v>0</v>
      </c>
      <c r="H36" s="17">
        <v>0</v>
      </c>
      <c r="I36" s="17">
        <v>0</v>
      </c>
      <c r="J36" s="17">
        <v>3624</v>
      </c>
      <c r="K36" s="17">
        <v>0</v>
      </c>
      <c r="L36" s="17">
        <v>0</v>
      </c>
      <c r="M36" s="17">
        <v>0</v>
      </c>
      <c r="N36" s="17">
        <v>0</v>
      </c>
      <c r="O36" s="18">
        <f t="shared" si="1"/>
        <v>7140</v>
      </c>
    </row>
    <row r="37" spans="1:18" ht="15" customHeight="1" x14ac:dyDescent="0.2">
      <c r="A37" s="22"/>
      <c r="B37" s="23" t="s">
        <v>147</v>
      </c>
      <c r="C37" s="24">
        <f t="shared" ref="C37:N37" si="2">SUM(C9:C36)</f>
        <v>65310</v>
      </c>
      <c r="D37" s="24">
        <f t="shared" si="2"/>
        <v>70286</v>
      </c>
      <c r="E37" s="24">
        <f t="shared" si="2"/>
        <v>66554</v>
      </c>
      <c r="F37" s="24">
        <f t="shared" si="2"/>
        <v>66554</v>
      </c>
      <c r="G37" s="24">
        <f t="shared" si="2"/>
        <v>68480</v>
      </c>
      <c r="H37" s="24">
        <f t="shared" si="2"/>
        <v>68480</v>
      </c>
      <c r="I37" s="24">
        <f t="shared" si="2"/>
        <v>68480</v>
      </c>
      <c r="J37" s="24">
        <f t="shared" si="2"/>
        <v>80508</v>
      </c>
      <c r="K37" s="24">
        <f t="shared" si="2"/>
        <v>69760</v>
      </c>
      <c r="L37" s="24">
        <f t="shared" si="2"/>
        <v>69760</v>
      </c>
      <c r="M37" s="24">
        <f t="shared" si="2"/>
        <v>69760</v>
      </c>
      <c r="N37" s="24">
        <f t="shared" si="2"/>
        <v>69760</v>
      </c>
      <c r="O37" s="25">
        <f t="shared" ref="O37:O50" si="3">SUM(C37:N37)</f>
        <v>833692</v>
      </c>
    </row>
    <row r="38" spans="1:18" ht="15" customHeight="1" x14ac:dyDescent="0.25">
      <c r="A38" s="853" t="s">
        <v>148</v>
      </c>
      <c r="B38" s="27" t="s">
        <v>149</v>
      </c>
      <c r="C38" s="147">
        <v>3000</v>
      </c>
      <c r="D38" s="147">
        <v>3000</v>
      </c>
      <c r="E38" s="147">
        <v>3000</v>
      </c>
      <c r="F38" s="147">
        <v>3000</v>
      </c>
      <c r="G38" s="147">
        <v>3000</v>
      </c>
      <c r="H38" s="147">
        <v>3000</v>
      </c>
      <c r="I38" s="147">
        <v>3000</v>
      </c>
      <c r="J38" s="147">
        <v>3000</v>
      </c>
      <c r="K38" s="147">
        <v>6000</v>
      </c>
      <c r="L38" s="147">
        <v>4882</v>
      </c>
      <c r="M38" s="147">
        <v>4882</v>
      </c>
      <c r="N38">
        <v>5315</v>
      </c>
      <c r="O38" s="18">
        <f t="shared" si="3"/>
        <v>45079</v>
      </c>
      <c r="P38" s="29"/>
    </row>
    <row r="39" spans="1:18" ht="15" x14ac:dyDescent="0.2">
      <c r="A39" s="854"/>
      <c r="B39" s="27" t="s">
        <v>150</v>
      </c>
      <c r="C39" s="147">
        <v>0</v>
      </c>
      <c r="D39" s="147">
        <v>0</v>
      </c>
      <c r="E39" s="147">
        <v>0</v>
      </c>
      <c r="F39" s="147">
        <v>0</v>
      </c>
      <c r="G39" s="147">
        <v>0</v>
      </c>
      <c r="H39" s="147">
        <v>0</v>
      </c>
      <c r="I39" s="147">
        <v>0</v>
      </c>
      <c r="J39" s="147">
        <v>0</v>
      </c>
      <c r="K39" s="147">
        <v>0</v>
      </c>
      <c r="L39" s="147">
        <v>0</v>
      </c>
      <c r="M39" s="147">
        <v>0</v>
      </c>
      <c r="N39" s="147">
        <v>0</v>
      </c>
      <c r="O39" s="18">
        <f t="shared" si="3"/>
        <v>0</v>
      </c>
      <c r="R39" s="1"/>
    </row>
    <row r="40" spans="1:18" ht="15" x14ac:dyDescent="0.2">
      <c r="A40" s="854"/>
      <c r="B40" s="27" t="s">
        <v>151</v>
      </c>
      <c r="C40" s="147">
        <v>60</v>
      </c>
      <c r="D40" s="147">
        <f>C40</f>
        <v>60</v>
      </c>
      <c r="E40" s="147">
        <f t="shared" ref="E40:N48" si="4">D40</f>
        <v>60</v>
      </c>
      <c r="F40" s="147">
        <f t="shared" si="4"/>
        <v>60</v>
      </c>
      <c r="G40" s="147">
        <f t="shared" si="4"/>
        <v>60</v>
      </c>
      <c r="H40" s="147">
        <f t="shared" si="4"/>
        <v>60</v>
      </c>
      <c r="I40" s="147">
        <f t="shared" si="4"/>
        <v>60</v>
      </c>
      <c r="J40" s="147">
        <f>+I40</f>
        <v>60</v>
      </c>
      <c r="K40" s="147">
        <f t="shared" si="4"/>
        <v>60</v>
      </c>
      <c r="L40" s="147">
        <f t="shared" si="4"/>
        <v>60</v>
      </c>
      <c r="M40" s="147">
        <f t="shared" si="4"/>
        <v>60</v>
      </c>
      <c r="N40" s="147">
        <f t="shared" si="4"/>
        <v>60</v>
      </c>
      <c r="O40" s="18">
        <f t="shared" si="3"/>
        <v>720</v>
      </c>
    </row>
    <row r="41" spans="1:18" ht="15" x14ac:dyDescent="0.2">
      <c r="A41" s="854"/>
      <c r="B41" s="27" t="s">
        <v>152</v>
      </c>
      <c r="C41" s="147">
        <v>0</v>
      </c>
      <c r="D41" s="147">
        <f t="shared" ref="D41:D47" si="5">C41</f>
        <v>0</v>
      </c>
      <c r="E41" s="147">
        <f t="shared" si="4"/>
        <v>0</v>
      </c>
      <c r="F41" s="147">
        <f t="shared" si="4"/>
        <v>0</v>
      </c>
      <c r="G41" s="147">
        <f t="shared" si="4"/>
        <v>0</v>
      </c>
      <c r="H41" s="147">
        <f t="shared" si="4"/>
        <v>0</v>
      </c>
      <c r="I41" s="147">
        <f t="shared" si="4"/>
        <v>0</v>
      </c>
      <c r="J41" s="147">
        <f t="shared" ref="J41:J48" si="6">+I41</f>
        <v>0</v>
      </c>
      <c r="K41" s="147">
        <f t="shared" si="4"/>
        <v>0</v>
      </c>
      <c r="L41" s="147">
        <f t="shared" si="4"/>
        <v>0</v>
      </c>
      <c r="M41" s="147">
        <f t="shared" si="4"/>
        <v>0</v>
      </c>
      <c r="N41" s="147">
        <f t="shared" si="4"/>
        <v>0</v>
      </c>
      <c r="O41" s="18">
        <f t="shared" si="3"/>
        <v>0</v>
      </c>
    </row>
    <row r="42" spans="1:18" ht="15" x14ac:dyDescent="0.2">
      <c r="A42" s="854"/>
      <c r="B42" s="27" t="s">
        <v>153</v>
      </c>
      <c r="C42" s="28">
        <v>650</v>
      </c>
      <c r="D42" s="28">
        <f t="shared" si="5"/>
        <v>650</v>
      </c>
      <c r="E42" s="28">
        <f t="shared" si="4"/>
        <v>650</v>
      </c>
      <c r="F42" s="28">
        <f t="shared" si="4"/>
        <v>650</v>
      </c>
      <c r="G42" s="28">
        <f t="shared" si="4"/>
        <v>650</v>
      </c>
      <c r="H42" s="28">
        <f t="shared" si="4"/>
        <v>650</v>
      </c>
      <c r="I42" s="28">
        <f t="shared" si="4"/>
        <v>650</v>
      </c>
      <c r="J42" s="28">
        <f t="shared" si="6"/>
        <v>650</v>
      </c>
      <c r="K42" s="28">
        <f t="shared" si="4"/>
        <v>650</v>
      </c>
      <c r="L42" s="28">
        <f t="shared" si="4"/>
        <v>650</v>
      </c>
      <c r="M42" s="28">
        <v>650</v>
      </c>
      <c r="N42" s="28">
        <f t="shared" si="4"/>
        <v>650</v>
      </c>
      <c r="O42" s="18">
        <f t="shared" si="3"/>
        <v>7800</v>
      </c>
    </row>
    <row r="43" spans="1:18" ht="15" x14ac:dyDescent="0.2">
      <c r="A43" s="854"/>
      <c r="B43" s="27" t="s">
        <v>154</v>
      </c>
      <c r="C43" s="28">
        <v>50000</v>
      </c>
      <c r="D43" s="28">
        <f t="shared" si="5"/>
        <v>50000</v>
      </c>
      <c r="E43" s="28">
        <f t="shared" si="4"/>
        <v>50000</v>
      </c>
      <c r="F43" s="28">
        <v>50000</v>
      </c>
      <c r="G43" s="28">
        <f>F43</f>
        <v>50000</v>
      </c>
      <c r="H43" s="28">
        <f>G43</f>
        <v>50000</v>
      </c>
      <c r="I43" s="28">
        <f>H43</f>
        <v>50000</v>
      </c>
      <c r="J43" s="28">
        <f t="shared" si="6"/>
        <v>50000</v>
      </c>
      <c r="K43" s="28">
        <f t="shared" si="4"/>
        <v>50000</v>
      </c>
      <c r="L43" s="28">
        <f t="shared" si="4"/>
        <v>50000</v>
      </c>
      <c r="M43" s="28">
        <f t="shared" si="4"/>
        <v>50000</v>
      </c>
      <c r="N43" s="28">
        <f t="shared" si="4"/>
        <v>50000</v>
      </c>
      <c r="O43" s="18">
        <f t="shared" si="3"/>
        <v>600000</v>
      </c>
    </row>
    <row r="44" spans="1:18" ht="15" x14ac:dyDescent="0.2">
      <c r="A44" s="854"/>
      <c r="B44" s="27" t="s">
        <v>155</v>
      </c>
      <c r="C44" s="28">
        <v>200</v>
      </c>
      <c r="D44" s="28">
        <f t="shared" si="5"/>
        <v>200</v>
      </c>
      <c r="E44" s="28">
        <f t="shared" si="4"/>
        <v>200</v>
      </c>
      <c r="F44" s="28">
        <f t="shared" si="4"/>
        <v>200</v>
      </c>
      <c r="G44" s="28">
        <f t="shared" si="4"/>
        <v>200</v>
      </c>
      <c r="H44" s="28">
        <f t="shared" si="4"/>
        <v>200</v>
      </c>
      <c r="I44" s="28">
        <f t="shared" si="4"/>
        <v>200</v>
      </c>
      <c r="J44" s="28">
        <f t="shared" si="6"/>
        <v>200</v>
      </c>
      <c r="K44" s="28">
        <f t="shared" si="4"/>
        <v>200</v>
      </c>
      <c r="L44" s="28">
        <f t="shared" si="4"/>
        <v>200</v>
      </c>
      <c r="M44" s="28">
        <f t="shared" si="4"/>
        <v>200</v>
      </c>
      <c r="N44" s="28">
        <v>300</v>
      </c>
      <c r="O44" s="18">
        <f t="shared" si="3"/>
        <v>2500</v>
      </c>
    </row>
    <row r="45" spans="1:18" ht="15" x14ac:dyDescent="0.2">
      <c r="A45" s="854"/>
      <c r="B45" s="27" t="s">
        <v>156</v>
      </c>
      <c r="C45" s="28">
        <v>440</v>
      </c>
      <c r="D45" s="28">
        <f t="shared" si="5"/>
        <v>440</v>
      </c>
      <c r="E45" s="28">
        <f t="shared" si="4"/>
        <v>440</v>
      </c>
      <c r="F45" s="28">
        <f t="shared" si="4"/>
        <v>440</v>
      </c>
      <c r="G45" s="28">
        <f t="shared" si="4"/>
        <v>440</v>
      </c>
      <c r="H45" s="28">
        <f t="shared" si="4"/>
        <v>440</v>
      </c>
      <c r="I45" s="28">
        <v>440</v>
      </c>
      <c r="J45" s="28">
        <f t="shared" si="6"/>
        <v>440</v>
      </c>
      <c r="K45" s="28">
        <f t="shared" si="4"/>
        <v>440</v>
      </c>
      <c r="L45" s="28">
        <f t="shared" si="4"/>
        <v>440</v>
      </c>
      <c r="M45" s="28">
        <f t="shared" si="4"/>
        <v>440</v>
      </c>
      <c r="N45" s="28">
        <f t="shared" si="4"/>
        <v>440</v>
      </c>
      <c r="O45" s="18">
        <f t="shared" si="3"/>
        <v>5280</v>
      </c>
    </row>
    <row r="46" spans="1:18" ht="15" x14ac:dyDescent="0.2">
      <c r="A46" s="854"/>
      <c r="B46" s="27" t="s">
        <v>157</v>
      </c>
      <c r="C46" s="28">
        <v>0</v>
      </c>
      <c r="D46" s="28">
        <f t="shared" si="5"/>
        <v>0</v>
      </c>
      <c r="E46" s="28">
        <f t="shared" si="4"/>
        <v>0</v>
      </c>
      <c r="F46" s="28">
        <f t="shared" si="4"/>
        <v>0</v>
      </c>
      <c r="G46" s="28">
        <f t="shared" si="4"/>
        <v>0</v>
      </c>
      <c r="H46" s="28">
        <f t="shared" si="4"/>
        <v>0</v>
      </c>
      <c r="I46" s="28">
        <f t="shared" si="4"/>
        <v>0</v>
      </c>
      <c r="J46" s="28">
        <f t="shared" si="6"/>
        <v>0</v>
      </c>
      <c r="K46" s="28">
        <f t="shared" si="4"/>
        <v>0</v>
      </c>
      <c r="L46" s="28">
        <f t="shared" si="4"/>
        <v>0</v>
      </c>
      <c r="M46" s="28">
        <f t="shared" si="4"/>
        <v>0</v>
      </c>
      <c r="N46" s="28">
        <f t="shared" si="4"/>
        <v>0</v>
      </c>
      <c r="O46" s="18">
        <f t="shared" si="3"/>
        <v>0</v>
      </c>
    </row>
    <row r="47" spans="1:18" ht="18" customHeight="1" x14ac:dyDescent="0.2">
      <c r="A47" s="855"/>
      <c r="B47" s="30" t="s">
        <v>158</v>
      </c>
      <c r="C47" s="256">
        <v>2157</v>
      </c>
      <c r="D47" s="256">
        <f t="shared" si="5"/>
        <v>2157</v>
      </c>
      <c r="E47" s="256">
        <f t="shared" si="4"/>
        <v>2157</v>
      </c>
      <c r="F47" s="256">
        <f t="shared" si="4"/>
        <v>2157</v>
      </c>
      <c r="G47" s="256">
        <f t="shared" si="4"/>
        <v>2157</v>
      </c>
      <c r="H47" s="256">
        <f t="shared" si="4"/>
        <v>2157</v>
      </c>
      <c r="I47" s="256">
        <f t="shared" si="4"/>
        <v>2157</v>
      </c>
      <c r="J47" s="256">
        <f t="shared" si="6"/>
        <v>2157</v>
      </c>
      <c r="K47" s="256">
        <f t="shared" si="4"/>
        <v>2157</v>
      </c>
      <c r="L47" s="256">
        <f t="shared" si="4"/>
        <v>2157</v>
      </c>
      <c r="M47" s="256">
        <f t="shared" si="4"/>
        <v>2157</v>
      </c>
      <c r="N47" s="256">
        <f t="shared" si="4"/>
        <v>2157</v>
      </c>
      <c r="O47" s="31">
        <f t="shared" si="3"/>
        <v>25884</v>
      </c>
    </row>
    <row r="48" spans="1:18" ht="15" x14ac:dyDescent="0.2">
      <c r="A48" s="856"/>
      <c r="B48" s="127" t="s">
        <v>479</v>
      </c>
      <c r="C48" s="293">
        <v>0</v>
      </c>
      <c r="D48" s="293">
        <v>0</v>
      </c>
      <c r="E48" s="293">
        <v>0</v>
      </c>
      <c r="F48" s="293">
        <v>0</v>
      </c>
      <c r="G48" s="293">
        <f t="shared" si="4"/>
        <v>0</v>
      </c>
      <c r="H48" s="293">
        <f t="shared" si="4"/>
        <v>0</v>
      </c>
      <c r="I48" s="293">
        <f t="shared" si="4"/>
        <v>0</v>
      </c>
      <c r="J48" s="293">
        <f t="shared" si="6"/>
        <v>0</v>
      </c>
      <c r="K48" s="293">
        <f t="shared" si="4"/>
        <v>0</v>
      </c>
      <c r="L48" s="293">
        <f t="shared" si="4"/>
        <v>0</v>
      </c>
      <c r="M48" s="293">
        <f t="shared" si="4"/>
        <v>0</v>
      </c>
      <c r="N48" s="293">
        <f t="shared" si="4"/>
        <v>0</v>
      </c>
      <c r="O48" s="31">
        <f t="shared" si="3"/>
        <v>0</v>
      </c>
    </row>
    <row r="49" spans="1:19" ht="15" x14ac:dyDescent="0.2">
      <c r="A49" s="857" t="s">
        <v>160</v>
      </c>
      <c r="B49" s="858"/>
      <c r="C49" s="33">
        <f t="shared" ref="C49:N49" si="7">SUM(C38:C48)</f>
        <v>56507</v>
      </c>
      <c r="D49" s="33">
        <f t="shared" si="7"/>
        <v>56507</v>
      </c>
      <c r="E49" s="33">
        <f t="shared" si="7"/>
        <v>56507</v>
      </c>
      <c r="F49" s="33">
        <f t="shared" si="7"/>
        <v>56507</v>
      </c>
      <c r="G49" s="33">
        <f t="shared" si="7"/>
        <v>56507</v>
      </c>
      <c r="H49" s="33">
        <f t="shared" si="7"/>
        <v>56507</v>
      </c>
      <c r="I49" s="33">
        <f t="shared" si="7"/>
        <v>56507</v>
      </c>
      <c r="J49" s="33">
        <f t="shared" si="7"/>
        <v>56507</v>
      </c>
      <c r="K49" s="33">
        <f t="shared" si="7"/>
        <v>59507</v>
      </c>
      <c r="L49" s="33">
        <f t="shared" si="7"/>
        <v>58389</v>
      </c>
      <c r="M49" s="33">
        <f t="shared" si="7"/>
        <v>58389</v>
      </c>
      <c r="N49" s="33">
        <f t="shared" si="7"/>
        <v>58922</v>
      </c>
      <c r="O49" s="34">
        <f t="shared" si="3"/>
        <v>687263</v>
      </c>
    </row>
    <row r="50" spans="1:19" ht="15.75" thickBot="1" x14ac:dyDescent="0.25">
      <c r="A50" s="859" t="s">
        <v>161</v>
      </c>
      <c r="B50" s="860"/>
      <c r="C50" s="35">
        <f t="shared" ref="C50:N50" si="8">C37-C49</f>
        <v>8803</v>
      </c>
      <c r="D50" s="35">
        <f t="shared" si="8"/>
        <v>13779</v>
      </c>
      <c r="E50" s="35">
        <f t="shared" si="8"/>
        <v>10047</v>
      </c>
      <c r="F50" s="35">
        <f t="shared" si="8"/>
        <v>10047</v>
      </c>
      <c r="G50" s="35">
        <f t="shared" si="8"/>
        <v>11973</v>
      </c>
      <c r="H50" s="35">
        <f t="shared" si="8"/>
        <v>11973</v>
      </c>
      <c r="I50" s="35">
        <f t="shared" si="8"/>
        <v>11973</v>
      </c>
      <c r="J50" s="35">
        <f t="shared" si="8"/>
        <v>24001</v>
      </c>
      <c r="K50" s="35">
        <f t="shared" si="8"/>
        <v>10253</v>
      </c>
      <c r="L50" s="35">
        <f t="shared" si="8"/>
        <v>11371</v>
      </c>
      <c r="M50" s="35">
        <f t="shared" si="8"/>
        <v>11371</v>
      </c>
      <c r="N50" s="35">
        <f t="shared" si="8"/>
        <v>10838</v>
      </c>
      <c r="O50" s="36">
        <f t="shared" si="3"/>
        <v>146429</v>
      </c>
      <c r="Q50" s="16">
        <f>13538+11938+6696+13502+13622+14086+15686+14586+6453+3454+16337*4+15947</f>
        <v>194856</v>
      </c>
    </row>
    <row r="51" spans="1:19" x14ac:dyDescent="0.2">
      <c r="J51" s="16">
        <f>+J37-SUM(J20:J36)</f>
        <v>69760</v>
      </c>
      <c r="Q51" s="38"/>
    </row>
    <row r="52" spans="1:19" ht="13.5" thickBot="1" x14ac:dyDescent="0.25">
      <c r="J52" s="38">
        <f>+J51-J49</f>
        <v>13253</v>
      </c>
    </row>
    <row r="53" spans="1:19" ht="13.5" thickBot="1" x14ac:dyDescent="0.25">
      <c r="B53" s="789" t="s">
        <v>162</v>
      </c>
      <c r="C53" s="861"/>
      <c r="D53" s="861"/>
      <c r="E53" s="861"/>
      <c r="F53" s="862"/>
      <c r="G53" s="863">
        <f>O37</f>
        <v>833692</v>
      </c>
      <c r="H53" s="864"/>
    </row>
    <row r="54" spans="1:19" ht="13.5" thickBot="1" x14ac:dyDescent="0.25"/>
    <row r="55" spans="1:19" x14ac:dyDescent="0.2">
      <c r="B55" s="830" t="s">
        <v>163</v>
      </c>
      <c r="C55" s="833" t="s">
        <v>164</v>
      </c>
      <c r="D55" s="836" t="s">
        <v>1673</v>
      </c>
      <c r="E55" s="837"/>
      <c r="F55" s="838"/>
      <c r="G55" s="839">
        <v>40000</v>
      </c>
      <c r="H55" s="840"/>
    </row>
    <row r="56" spans="1:19" x14ac:dyDescent="0.2">
      <c r="B56" s="831"/>
      <c r="C56" s="834"/>
      <c r="D56" s="841" t="s">
        <v>166</v>
      </c>
      <c r="E56" s="842"/>
      <c r="F56" s="843"/>
      <c r="G56" s="844">
        <f>+O44</f>
        <v>2500</v>
      </c>
      <c r="H56" s="845"/>
      <c r="I56" s="39"/>
      <c r="J56" s="846"/>
      <c r="K56" s="846"/>
      <c r="L56" s="846"/>
      <c r="M56" s="847"/>
      <c r="N56" s="847"/>
      <c r="O56" s="847"/>
    </row>
    <row r="57" spans="1:19" ht="13.5" thickBot="1" x14ac:dyDescent="0.25">
      <c r="B57" s="832"/>
      <c r="C57" s="835"/>
      <c r="D57" s="848" t="s">
        <v>243</v>
      </c>
      <c r="E57" s="849"/>
      <c r="F57" s="850"/>
      <c r="G57" s="851">
        <f>IF(O18&gt;15000,15000,+O18)</f>
        <v>0</v>
      </c>
      <c r="H57" s="852"/>
      <c r="J57" s="47"/>
      <c r="K57" s="47"/>
      <c r="L57" s="47"/>
      <c r="M57" s="47"/>
      <c r="N57" s="47"/>
      <c r="O57" s="47"/>
    </row>
    <row r="58" spans="1:19" ht="13.5" thickBot="1" x14ac:dyDescent="0.25">
      <c r="B58" s="48"/>
      <c r="J58" s="47"/>
      <c r="K58" s="47"/>
      <c r="L58" s="47"/>
      <c r="M58" s="47"/>
      <c r="N58" s="47"/>
      <c r="O58" s="47"/>
    </row>
    <row r="59" spans="1:19" ht="13.5" thickBot="1" x14ac:dyDescent="0.25">
      <c r="B59" s="789" t="s">
        <v>168</v>
      </c>
      <c r="C59" s="790"/>
      <c r="D59" s="790"/>
      <c r="E59" s="790"/>
      <c r="F59" s="791"/>
      <c r="G59" s="825">
        <f>+G53-SUM(G55:H57)</f>
        <v>791192</v>
      </c>
      <c r="H59" s="826"/>
      <c r="J59" s="827" t="s">
        <v>169</v>
      </c>
      <c r="K59" s="828"/>
      <c r="L59" s="828"/>
      <c r="M59" s="828"/>
      <c r="N59" s="828"/>
      <c r="O59" s="829"/>
    </row>
    <row r="60" spans="1:19" ht="13.5" thickBot="1" x14ac:dyDescent="0.25">
      <c r="B60" s="49"/>
      <c r="C60" s="50"/>
      <c r="D60" s="50"/>
      <c r="E60" s="50"/>
      <c r="F60" s="50"/>
      <c r="G60" s="45"/>
      <c r="H60" s="50"/>
      <c r="J60" s="129"/>
      <c r="K60" s="130"/>
      <c r="L60" s="130"/>
      <c r="M60" s="130"/>
      <c r="N60" s="130"/>
      <c r="O60" s="131"/>
    </row>
    <row r="61" spans="1:19" ht="13.5" thickBot="1" x14ac:dyDescent="0.25">
      <c r="B61" s="789" t="s">
        <v>170</v>
      </c>
      <c r="C61" s="790"/>
      <c r="D61" s="790"/>
      <c r="E61" s="790"/>
      <c r="F61" s="791"/>
      <c r="G61" s="805"/>
      <c r="H61" s="791"/>
      <c r="J61" s="129"/>
      <c r="K61" s="130"/>
      <c r="L61" s="130"/>
      <c r="M61" s="130"/>
      <c r="N61" s="130"/>
      <c r="O61" s="131"/>
    </row>
    <row r="62" spans="1:19" ht="12.75" customHeight="1" x14ac:dyDescent="0.2">
      <c r="B62" s="57" t="s">
        <v>171</v>
      </c>
      <c r="C62" s="806" t="s">
        <v>172</v>
      </c>
      <c r="D62" s="807"/>
      <c r="E62" s="807"/>
      <c r="F62" s="808"/>
      <c r="G62" s="809">
        <v>0</v>
      </c>
      <c r="H62" s="809"/>
      <c r="I62" s="58"/>
      <c r="J62" s="810" t="s">
        <v>173</v>
      </c>
      <c r="K62" s="811"/>
      <c r="L62" s="811"/>
      <c r="M62" s="811"/>
      <c r="N62" s="811"/>
      <c r="O62" s="812"/>
      <c r="Q62" s="59"/>
      <c r="R62" s="59"/>
      <c r="S62" s="59"/>
    </row>
    <row r="63" spans="1:19" ht="13.5" thickBot="1" x14ac:dyDescent="0.25">
      <c r="D63" s="37"/>
      <c r="I63" s="58"/>
      <c r="J63" s="60" t="s">
        <v>254</v>
      </c>
      <c r="K63" s="132"/>
      <c r="L63" s="132"/>
      <c r="M63" s="133"/>
      <c r="N63" s="133"/>
      <c r="O63" s="134"/>
      <c r="Q63" s="59"/>
      <c r="R63" s="59"/>
      <c r="S63" s="59"/>
    </row>
    <row r="64" spans="1:19" ht="13.5" thickBot="1" x14ac:dyDescent="0.25">
      <c r="B64" s="789" t="s">
        <v>175</v>
      </c>
      <c r="C64" s="790"/>
      <c r="D64" s="790"/>
      <c r="E64" s="790"/>
      <c r="F64" s="791"/>
      <c r="G64" s="805">
        <f>+G59-G62</f>
        <v>791192</v>
      </c>
      <c r="H64" s="791"/>
      <c r="I64" s="63"/>
      <c r="J64" s="75"/>
      <c r="K64" s="39"/>
      <c r="L64" s="39"/>
      <c r="M64" s="39"/>
      <c r="N64" s="39"/>
      <c r="O64" s="65"/>
      <c r="Q64" s="59"/>
      <c r="R64" s="59"/>
      <c r="S64" s="59"/>
    </row>
    <row r="65" spans="2:19" ht="12.75" customHeight="1" x14ac:dyDescent="0.2">
      <c r="B65" s="48"/>
      <c r="C65" s="48"/>
      <c r="I65" s="63"/>
      <c r="J65" s="64"/>
      <c r="K65" s="39"/>
      <c r="L65" s="39"/>
      <c r="M65" s="39"/>
      <c r="N65" s="39"/>
      <c r="O65" s="65"/>
      <c r="Q65" s="59"/>
      <c r="R65" s="59"/>
      <c r="S65" s="59"/>
    </row>
    <row r="66" spans="2:19" x14ac:dyDescent="0.2">
      <c r="B66" s="66" t="s">
        <v>176</v>
      </c>
      <c r="C66" s="48"/>
      <c r="I66" s="63"/>
      <c r="J66" s="67"/>
      <c r="K66" s="68"/>
      <c r="L66" s="68"/>
      <c r="M66" s="68"/>
      <c r="N66" s="68"/>
      <c r="O66" s="69"/>
      <c r="Q66" s="59"/>
      <c r="R66" s="59"/>
      <c r="S66" s="59"/>
    </row>
    <row r="67" spans="2:19" ht="26.25" customHeight="1" thickBot="1" x14ac:dyDescent="0.25">
      <c r="B67" s="66"/>
      <c r="C67" s="48"/>
      <c r="G67" s="70" t="s">
        <v>177</v>
      </c>
      <c r="H67" s="70" t="s">
        <v>178</v>
      </c>
      <c r="I67" s="63"/>
      <c r="J67" s="810" t="s">
        <v>179</v>
      </c>
      <c r="K67" s="811"/>
      <c r="L67" s="71"/>
      <c r="M67" s="71"/>
      <c r="N67" s="71"/>
      <c r="O67" s="158" t="s">
        <v>267</v>
      </c>
      <c r="Q67" s="59"/>
      <c r="R67" s="59"/>
      <c r="S67" s="59"/>
    </row>
    <row r="68" spans="2:19" ht="12.75" customHeight="1" x14ac:dyDescent="0.2">
      <c r="B68" s="802" t="s">
        <v>180</v>
      </c>
      <c r="C68" s="821" t="s">
        <v>181</v>
      </c>
      <c r="D68" s="823" t="s">
        <v>182</v>
      </c>
      <c r="E68" s="824"/>
      <c r="F68" s="824"/>
      <c r="G68" s="73">
        <f>+O43</f>
        <v>600000</v>
      </c>
      <c r="H68" s="74">
        <f>+G68</f>
        <v>600000</v>
      </c>
      <c r="I68" s="63"/>
      <c r="J68" s="75" t="s">
        <v>231</v>
      </c>
      <c r="K68" s="58"/>
      <c r="L68" s="58"/>
      <c r="M68" s="58"/>
      <c r="N68" s="58"/>
      <c r="O68" s="76">
        <v>25884</v>
      </c>
      <c r="Q68" s="59"/>
      <c r="R68" s="59"/>
      <c r="S68" s="59"/>
    </row>
    <row r="69" spans="2:19" ht="12.75" customHeight="1" x14ac:dyDescent="0.2">
      <c r="B69" s="803"/>
      <c r="C69" s="822"/>
      <c r="D69" s="782" t="s">
        <v>184</v>
      </c>
      <c r="E69" s="783"/>
      <c r="F69" s="783"/>
      <c r="G69" s="77">
        <f>+O47</f>
        <v>25884</v>
      </c>
      <c r="H69" s="78">
        <f t="shared" ref="H69:H75" si="9">+G69</f>
        <v>25884</v>
      </c>
      <c r="I69" s="63"/>
      <c r="J69" s="181"/>
      <c r="K69" s="58"/>
      <c r="L69" s="58"/>
      <c r="M69" s="183"/>
      <c r="N69" s="68"/>
      <c r="O69" s="136"/>
      <c r="Q69" s="59"/>
      <c r="R69" s="59"/>
      <c r="S69" s="59"/>
    </row>
    <row r="70" spans="2:19" ht="12.75" customHeight="1" x14ac:dyDescent="0.2">
      <c r="B70" s="803"/>
      <c r="C70" s="822"/>
      <c r="D70" s="819" t="s">
        <v>185</v>
      </c>
      <c r="E70" s="820"/>
      <c r="F70" s="820"/>
      <c r="G70" s="80">
        <f>O40</f>
        <v>720</v>
      </c>
      <c r="H70" s="78">
        <f t="shared" si="9"/>
        <v>720</v>
      </c>
      <c r="I70" s="63"/>
      <c r="J70" s="75"/>
      <c r="K70" s="68"/>
      <c r="L70" s="68"/>
      <c r="M70" s="68"/>
      <c r="N70" s="68"/>
      <c r="O70" s="69"/>
    </row>
    <row r="71" spans="2:19" x14ac:dyDescent="0.2">
      <c r="B71" s="803"/>
      <c r="C71" s="822"/>
      <c r="D71" s="782" t="s">
        <v>186</v>
      </c>
      <c r="E71" s="783"/>
      <c r="F71" s="783"/>
      <c r="G71" s="81">
        <v>0</v>
      </c>
      <c r="H71" s="78">
        <f t="shared" si="9"/>
        <v>0</v>
      </c>
      <c r="I71" s="63"/>
      <c r="J71" s="181"/>
      <c r="K71" s="58"/>
      <c r="L71" s="58"/>
      <c r="M71" s="183"/>
      <c r="N71" s="58"/>
      <c r="O71" s="76"/>
    </row>
    <row r="72" spans="2:19" ht="12.75" customHeight="1" x14ac:dyDescent="0.2">
      <c r="B72" s="803"/>
      <c r="C72" s="822"/>
      <c r="D72" s="784" t="s">
        <v>188</v>
      </c>
      <c r="E72" s="783"/>
      <c r="F72" s="783"/>
      <c r="G72" s="80">
        <v>0</v>
      </c>
      <c r="H72" s="78">
        <f t="shared" si="9"/>
        <v>0</v>
      </c>
      <c r="I72" s="63"/>
      <c r="J72" s="64"/>
      <c r="K72" s="50"/>
      <c r="L72" s="50"/>
      <c r="M72" s="183"/>
      <c r="N72" s="50"/>
      <c r="O72" s="83"/>
    </row>
    <row r="73" spans="2:19" ht="14.25" customHeight="1" x14ac:dyDescent="0.2">
      <c r="B73" s="803"/>
      <c r="C73" s="822"/>
      <c r="D73" s="782" t="s">
        <v>190</v>
      </c>
      <c r="E73" s="783"/>
      <c r="F73" s="783"/>
      <c r="G73" s="84">
        <v>0</v>
      </c>
      <c r="H73" s="78">
        <f t="shared" si="9"/>
        <v>0</v>
      </c>
      <c r="I73" s="63"/>
      <c r="J73" s="64"/>
      <c r="K73" s="39"/>
      <c r="L73" s="39"/>
      <c r="M73" s="39"/>
      <c r="N73" s="39"/>
      <c r="O73" s="65"/>
    </row>
    <row r="74" spans="2:19" x14ac:dyDescent="0.2">
      <c r="B74" s="803"/>
      <c r="C74" s="822"/>
      <c r="D74" s="782" t="s">
        <v>191</v>
      </c>
      <c r="E74" s="783"/>
      <c r="F74" s="783"/>
      <c r="G74" s="81">
        <v>0</v>
      </c>
      <c r="H74" s="78">
        <f t="shared" si="9"/>
        <v>0</v>
      </c>
      <c r="I74" s="58"/>
      <c r="J74" s="82" t="s">
        <v>187</v>
      </c>
      <c r="K74" s="71"/>
      <c r="L74" s="71"/>
      <c r="M74" s="71"/>
      <c r="N74" s="71"/>
      <c r="O74" s="72"/>
    </row>
    <row r="75" spans="2:19" x14ac:dyDescent="0.2">
      <c r="B75" s="803"/>
      <c r="C75" s="88" t="s">
        <v>192</v>
      </c>
      <c r="D75" s="813" t="s">
        <v>193</v>
      </c>
      <c r="E75" s="814"/>
      <c r="F75" s="814"/>
      <c r="G75" s="80">
        <v>0</v>
      </c>
      <c r="H75" s="78">
        <f t="shared" si="9"/>
        <v>0</v>
      </c>
      <c r="I75" s="58"/>
      <c r="J75" s="75" t="s">
        <v>189</v>
      </c>
      <c r="K75" s="50"/>
      <c r="L75" s="50"/>
      <c r="M75" s="50"/>
      <c r="N75" s="50"/>
      <c r="O75" s="83">
        <f>O42</f>
        <v>7800</v>
      </c>
    </row>
    <row r="76" spans="2:19" ht="13.5" customHeight="1" thickBot="1" x14ac:dyDescent="0.25">
      <c r="B76" s="803"/>
      <c r="C76" s="88" t="s">
        <v>194</v>
      </c>
      <c r="D76" s="815" t="s">
        <v>195</v>
      </c>
      <c r="E76" s="815"/>
      <c r="F76" s="815"/>
      <c r="G76" s="89">
        <v>0</v>
      </c>
      <c r="H76" s="90">
        <f>+G76</f>
        <v>0</v>
      </c>
      <c r="I76" s="63"/>
      <c r="J76" s="67"/>
      <c r="K76" s="68"/>
      <c r="L76" s="68"/>
      <c r="M76" s="91"/>
      <c r="N76" s="91"/>
      <c r="O76" s="92"/>
    </row>
    <row r="77" spans="2:19" ht="13.5" thickBot="1" x14ac:dyDescent="0.25">
      <c r="B77" s="803"/>
      <c r="C77" s="93"/>
      <c r="D77" s="94"/>
      <c r="E77" s="816" t="s">
        <v>117</v>
      </c>
      <c r="F77" s="817"/>
      <c r="G77" s="95">
        <f>SUM(G68:G76)</f>
        <v>626604</v>
      </c>
      <c r="H77" s="96">
        <f>IF(SUM(G68:G74)&lt;150000,SUM(G68:G74),150000)+IF(+G75&lt;20000,+G75,20000)</f>
        <v>150000</v>
      </c>
      <c r="I77" s="63"/>
      <c r="J77" s="140"/>
      <c r="K77" s="141"/>
      <c r="L77" s="141"/>
      <c r="M77" s="142"/>
      <c r="N77" s="142"/>
      <c r="O77" s="143"/>
    </row>
    <row r="78" spans="2:19" ht="12.75" customHeight="1" x14ac:dyDescent="0.2">
      <c r="B78" s="803"/>
      <c r="C78" s="100" t="s">
        <v>196</v>
      </c>
      <c r="D78" s="782" t="s">
        <v>187</v>
      </c>
      <c r="E78" s="783"/>
      <c r="F78" s="818"/>
      <c r="G78" s="73">
        <f>+O42</f>
        <v>7800</v>
      </c>
      <c r="H78" s="101">
        <f>+IF(+G78&lt;25000,+G78,25000)</f>
        <v>7800</v>
      </c>
      <c r="I78" s="87"/>
    </row>
    <row r="79" spans="2:19" x14ac:dyDescent="0.2">
      <c r="B79" s="803"/>
      <c r="C79" s="100" t="s">
        <v>197</v>
      </c>
      <c r="D79" s="784" t="s">
        <v>198</v>
      </c>
      <c r="E79" s="785"/>
      <c r="F79" s="786"/>
      <c r="G79" s="102">
        <v>0</v>
      </c>
      <c r="H79" s="103">
        <f>+IF(+G79&lt;40000,+G79,40000)</f>
        <v>0</v>
      </c>
      <c r="I79" s="63"/>
      <c r="J79" s="294" t="s">
        <v>796</v>
      </c>
      <c r="K79" s="294"/>
      <c r="L79" s="294"/>
      <c r="M79" s="294"/>
      <c r="N79" s="294"/>
      <c r="O79" s="294"/>
    </row>
    <row r="80" spans="2:19" x14ac:dyDescent="0.2">
      <c r="B80" s="803"/>
      <c r="C80" s="100" t="s">
        <v>199</v>
      </c>
      <c r="D80" s="784" t="s">
        <v>200</v>
      </c>
      <c r="E80" s="785"/>
      <c r="F80" s="786"/>
      <c r="G80" s="81"/>
      <c r="H80" s="104">
        <v>0</v>
      </c>
      <c r="I80" s="63"/>
      <c r="J80" s="294" t="s">
        <v>797</v>
      </c>
      <c r="K80" s="294"/>
      <c r="L80" s="294"/>
      <c r="M80" s="294"/>
      <c r="N80" s="294"/>
      <c r="O80" s="294"/>
    </row>
    <row r="81" spans="2:12" x14ac:dyDescent="0.2">
      <c r="B81" s="803"/>
      <c r="C81" s="100" t="s">
        <v>201</v>
      </c>
      <c r="D81" s="784" t="s">
        <v>202</v>
      </c>
      <c r="E81" s="785"/>
      <c r="F81" s="786"/>
      <c r="G81" s="81"/>
      <c r="H81" s="104">
        <v>0</v>
      </c>
      <c r="I81" s="63"/>
    </row>
    <row r="82" spans="2:12" ht="13.5" thickBot="1" x14ac:dyDescent="0.25">
      <c r="B82" s="804"/>
      <c r="C82" s="100" t="s">
        <v>203</v>
      </c>
      <c r="D82" s="784" t="s">
        <v>204</v>
      </c>
      <c r="E82" s="785"/>
      <c r="F82" s="786"/>
      <c r="G82" s="102"/>
      <c r="H82" s="103">
        <f>+IF(+G82&lt;100000,+G82,10000)</f>
        <v>0</v>
      </c>
      <c r="I82" s="63"/>
      <c r="K82" s="106"/>
    </row>
    <row r="83" spans="2:12" ht="13.5" thickBot="1" x14ac:dyDescent="0.25">
      <c r="B83" s="787" t="s">
        <v>205</v>
      </c>
      <c r="C83" s="788"/>
      <c r="D83" s="788"/>
      <c r="E83" s="788"/>
      <c r="F83" s="788"/>
      <c r="G83" s="107">
        <f>SUM(G78:G82)</f>
        <v>7800</v>
      </c>
      <c r="H83" s="108">
        <f>SUM(H77:H82)</f>
        <v>157800</v>
      </c>
    </row>
    <row r="84" spans="2:12" ht="13.5" thickBot="1" x14ac:dyDescent="0.25"/>
    <row r="85" spans="2:12" ht="13.5" thickBot="1" x14ac:dyDescent="0.25">
      <c r="B85" s="789" t="s">
        <v>206</v>
      </c>
      <c r="C85" s="790"/>
      <c r="D85" s="790"/>
      <c r="E85" s="790"/>
      <c r="F85" s="791"/>
      <c r="G85" s="792">
        <f>+G64-H83</f>
        <v>633392</v>
      </c>
      <c r="H85" s="791"/>
      <c r="J85" s="109">
        <f>C37+D37+E37+F37</f>
        <v>268704</v>
      </c>
      <c r="K85" s="16" t="s">
        <v>235</v>
      </c>
    </row>
    <row r="86" spans="2:12" x14ac:dyDescent="0.2">
      <c r="B86" s="110"/>
      <c r="F86" s="105"/>
      <c r="J86" s="109">
        <f>G37+H37+I37</f>
        <v>205440</v>
      </c>
      <c r="K86" s="16" t="s">
        <v>236</v>
      </c>
    </row>
    <row r="87" spans="2:12" x14ac:dyDescent="0.2">
      <c r="C87" s="793" t="s">
        <v>207</v>
      </c>
      <c r="D87" s="794"/>
      <c r="E87" s="111" t="s">
        <v>208</v>
      </c>
      <c r="F87" s="111" t="s">
        <v>209</v>
      </c>
      <c r="G87" s="111" t="s">
        <v>210</v>
      </c>
      <c r="H87" s="111" t="s">
        <v>211</v>
      </c>
      <c r="J87" s="109">
        <f>J37+K37+L37</f>
        <v>220028</v>
      </c>
      <c r="K87" s="47" t="s">
        <v>237</v>
      </c>
    </row>
    <row r="88" spans="2:12" x14ac:dyDescent="0.2">
      <c r="C88" s="795" t="str">
        <f>IF(I6="M","0          - 250000","0          -  250000")</f>
        <v>0          -  250000</v>
      </c>
      <c r="D88" s="796"/>
      <c r="E88" s="112">
        <v>0</v>
      </c>
      <c r="F88" s="113">
        <f>IF(I6="M",(IF(G85&lt;250000,G85,250000)),(IF(G85&lt;250000,G85,250000)))</f>
        <v>250000</v>
      </c>
      <c r="G88" s="113">
        <f>G85-F88</f>
        <v>383392</v>
      </c>
      <c r="H88" s="113">
        <f>E88*F88</f>
        <v>0</v>
      </c>
      <c r="J88" s="16">
        <f>M37+N37</f>
        <v>139520</v>
      </c>
      <c r="K88" s="1" t="s">
        <v>238</v>
      </c>
      <c r="L88" s="16">
        <f>+J88/2</f>
        <v>69760</v>
      </c>
    </row>
    <row r="89" spans="2:12" x14ac:dyDescent="0.2">
      <c r="C89" s="795" t="str">
        <f>IF(I6="M","250001 - 500000","250001-500000")</f>
        <v>250001-500000</v>
      </c>
      <c r="D89" s="796"/>
      <c r="E89" s="112">
        <v>0.05</v>
      </c>
      <c r="F89" s="113">
        <f>IF(I6="M",(IF(G88&lt;250000,G88,250000)),(IF(G88&lt;250000,G88,250000)))</f>
        <v>250000</v>
      </c>
      <c r="G89" s="113">
        <f>G88-F89</f>
        <v>133392</v>
      </c>
      <c r="H89" s="114">
        <f>ROUND(E89*F89,0.1)</f>
        <v>12500</v>
      </c>
      <c r="J89" s="115">
        <f>SUM(J85:J88)</f>
        <v>833692</v>
      </c>
    </row>
    <row r="90" spans="2:12" x14ac:dyDescent="0.2">
      <c r="C90" s="797" t="s">
        <v>212</v>
      </c>
      <c r="D90" s="798"/>
      <c r="E90" s="112">
        <v>0.2</v>
      </c>
      <c r="F90" s="113">
        <f>IF(G89&lt;500000,G89,500000)</f>
        <v>133392</v>
      </c>
      <c r="G90" s="113">
        <f>G89-F90</f>
        <v>0</v>
      </c>
      <c r="H90" s="114">
        <f>ROUND(E90*F90,0.1)</f>
        <v>26678</v>
      </c>
      <c r="J90" s="16">
        <f>+G85</f>
        <v>633392</v>
      </c>
    </row>
    <row r="91" spans="2:12" x14ac:dyDescent="0.2">
      <c r="C91" s="795" t="s">
        <v>213</v>
      </c>
      <c r="D91" s="796"/>
      <c r="E91" s="112">
        <v>0.3</v>
      </c>
      <c r="F91" s="113">
        <f>G90</f>
        <v>0</v>
      </c>
      <c r="G91" s="113">
        <f>G90-F91</f>
        <v>0</v>
      </c>
      <c r="H91" s="114">
        <f>ROUND(E91*F91,0.1)</f>
        <v>0</v>
      </c>
      <c r="J91" s="16">
        <f>+J89-J90</f>
        <v>200300</v>
      </c>
    </row>
    <row r="92" spans="2:12" ht="12.75" customHeight="1" thickBot="1" x14ac:dyDescent="0.25">
      <c r="B92" s="116"/>
      <c r="C92" s="117"/>
      <c r="D92" s="47"/>
      <c r="E92" s="47"/>
      <c r="F92" s="47"/>
      <c r="K92" s="223"/>
    </row>
    <row r="93" spans="2:12" ht="13.5" thickBot="1" x14ac:dyDescent="0.25">
      <c r="B93" s="799" t="s">
        <v>239</v>
      </c>
      <c r="C93" s="800"/>
      <c r="D93" s="800"/>
      <c r="E93" s="800"/>
      <c r="F93" s="801"/>
      <c r="G93" s="771">
        <f>H88+H89+H90+H91</f>
        <v>39178</v>
      </c>
      <c r="H93" s="772"/>
    </row>
    <row r="94" spans="2:12" ht="13.5" thickBot="1" x14ac:dyDescent="0.25">
      <c r="B94" s="119" t="s">
        <v>215</v>
      </c>
      <c r="C94" s="120"/>
      <c r="D94" s="120"/>
      <c r="E94" s="120"/>
      <c r="F94" s="120"/>
      <c r="G94" s="884">
        <f>IF((G64&lt;500000),5000,0)</f>
        <v>0</v>
      </c>
      <c r="H94" s="885">
        <f>IF(H92&lt;200000,0,IF(H92&lt;220000,((H92-200000)*10%),IF(H92&lt;=500000,2000,IF(H92&gt;=500000,0))))</f>
        <v>0</v>
      </c>
      <c r="J94" s="1"/>
      <c r="K94" s="121"/>
      <c r="L94" s="121"/>
    </row>
    <row r="95" spans="2:12" ht="13.5" thickBot="1" x14ac:dyDescent="0.25">
      <c r="B95" s="122" t="s">
        <v>216</v>
      </c>
      <c r="C95" s="123"/>
      <c r="D95" s="123"/>
      <c r="E95" s="123"/>
      <c r="F95" s="123"/>
      <c r="G95" s="771">
        <f>IF((G93-G94)&lt;0,0,(G93-G94))</f>
        <v>39178</v>
      </c>
      <c r="H95" s="772"/>
      <c r="I95" s="37"/>
    </row>
    <row r="96" spans="2:12" ht="13.5" thickBot="1" x14ac:dyDescent="0.25">
      <c r="B96" s="773" t="s">
        <v>240</v>
      </c>
      <c r="C96" s="774"/>
      <c r="D96" s="774"/>
      <c r="E96" s="774"/>
      <c r="F96" s="775"/>
      <c r="G96" s="776">
        <f>ROUND((IF(G95&gt;0,(G95*4%),0)),0)</f>
        <v>1567</v>
      </c>
      <c r="H96" s="777"/>
      <c r="I96" s="37"/>
    </row>
    <row r="97" spans="2:12" ht="13.5" thickBot="1" x14ac:dyDescent="0.25">
      <c r="B97" s="778" t="s">
        <v>218</v>
      </c>
      <c r="C97" s="779"/>
      <c r="D97" s="779"/>
      <c r="E97" s="779"/>
      <c r="F97" s="779"/>
      <c r="G97" s="780">
        <f>G95+G96</f>
        <v>40745</v>
      </c>
      <c r="H97" s="781"/>
      <c r="I97" s="121"/>
    </row>
    <row r="98" spans="2:12" ht="13.5" thickBot="1" x14ac:dyDescent="0.25">
      <c r="B98" s="765" t="s">
        <v>219</v>
      </c>
      <c r="C98" s="766"/>
      <c r="D98" s="766"/>
      <c r="E98" s="766"/>
      <c r="F98" s="766"/>
      <c r="G98" s="767">
        <f>O38</f>
        <v>45079</v>
      </c>
      <c r="H98" s="768"/>
      <c r="I98" s="121"/>
    </row>
    <row r="99" spans="2:12" ht="13.5" thickBot="1" x14ac:dyDescent="0.25">
      <c r="B99" s="765" t="str">
        <f>IF(G99&gt;0,"TAX PAYABLE","TAX REFUND")</f>
        <v>TAX REFUND</v>
      </c>
      <c r="C99" s="766"/>
      <c r="D99" s="766"/>
      <c r="E99" s="766"/>
      <c r="F99" s="766"/>
      <c r="G99" s="767">
        <f>+G97-G98</f>
        <v>-4334</v>
      </c>
      <c r="H99" s="768"/>
      <c r="I99" s="37"/>
    </row>
    <row r="100" spans="2:12" x14ac:dyDescent="0.2">
      <c r="C100" s="124"/>
      <c r="D100" s="45"/>
      <c r="E100" s="118"/>
      <c r="F100" s="118"/>
      <c r="G100" s="118"/>
      <c r="H100" s="118"/>
      <c r="I100" s="125"/>
    </row>
    <row r="101" spans="2:12" x14ac:dyDescent="0.2">
      <c r="C101" s="39"/>
      <c r="D101" s="126"/>
      <c r="E101" s="126"/>
      <c r="F101" s="39"/>
      <c r="G101" s="39"/>
      <c r="H101" s="39"/>
      <c r="I101" s="37"/>
    </row>
    <row r="102" spans="2:12" x14ac:dyDescent="0.2">
      <c r="C102" s="39"/>
      <c r="D102" s="39"/>
      <c r="E102" s="39"/>
      <c r="F102" s="39"/>
      <c r="G102" s="39"/>
      <c r="H102" s="39"/>
      <c r="I102" s="37"/>
    </row>
    <row r="103" spans="2:12" x14ac:dyDescent="0.2">
      <c r="C103" s="39"/>
      <c r="H103" s="39"/>
      <c r="I103" s="39"/>
    </row>
    <row r="104" spans="2:12" x14ac:dyDescent="0.2">
      <c r="C104" s="39"/>
      <c r="H104" s="39"/>
      <c r="I104" s="39"/>
    </row>
    <row r="105" spans="2:12" x14ac:dyDescent="0.2">
      <c r="C105" s="37"/>
      <c r="I105" s="37"/>
      <c r="J105" s="37"/>
      <c r="K105" s="37"/>
      <c r="L105" s="37"/>
    </row>
    <row r="109" spans="2:12" x14ac:dyDescent="0.2">
      <c r="H109" s="37"/>
      <c r="I109" s="37"/>
    </row>
    <row r="130" spans="4:5" x14ac:dyDescent="0.2">
      <c r="D130" s="37"/>
      <c r="E130" s="37"/>
    </row>
  </sheetData>
  <mergeCells count="92">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8:A48"/>
    <mergeCell ref="A5:C5"/>
    <mergeCell ref="D5:F5"/>
    <mergeCell ref="G5:H5"/>
    <mergeCell ref="I5:O5"/>
    <mergeCell ref="A6:C6"/>
    <mergeCell ref="D6:F6"/>
    <mergeCell ref="G6:H6"/>
    <mergeCell ref="J6:O6"/>
    <mergeCell ref="L7:O7"/>
    <mergeCell ref="A8:B8"/>
    <mergeCell ref="A21:A33"/>
    <mergeCell ref="A35:B35"/>
    <mergeCell ref="A36:B36"/>
    <mergeCell ref="A49:B49"/>
    <mergeCell ref="A50:B50"/>
    <mergeCell ref="B53:F53"/>
    <mergeCell ref="G53:H53"/>
    <mergeCell ref="B55:B57"/>
    <mergeCell ref="C55:C57"/>
    <mergeCell ref="D55:F55"/>
    <mergeCell ref="G55:H55"/>
    <mergeCell ref="D56:F56"/>
    <mergeCell ref="G56:H56"/>
    <mergeCell ref="B64:F64"/>
    <mergeCell ref="G64:H64"/>
    <mergeCell ref="J56:L56"/>
    <mergeCell ref="M56:O56"/>
    <mergeCell ref="D57:F57"/>
    <mergeCell ref="G57:H57"/>
    <mergeCell ref="B59:F59"/>
    <mergeCell ref="G59:H59"/>
    <mergeCell ref="J59:O59"/>
    <mergeCell ref="B61:F61"/>
    <mergeCell ref="G61:H61"/>
    <mergeCell ref="C62:F62"/>
    <mergeCell ref="G62:H62"/>
    <mergeCell ref="J62:O62"/>
    <mergeCell ref="D80:F80"/>
    <mergeCell ref="J67:K67"/>
    <mergeCell ref="B68:B82"/>
    <mergeCell ref="C68:C74"/>
    <mergeCell ref="D68:F68"/>
    <mergeCell ref="D69:F69"/>
    <mergeCell ref="D70:F70"/>
    <mergeCell ref="D71:F71"/>
    <mergeCell ref="D72:F72"/>
    <mergeCell ref="D73:F73"/>
    <mergeCell ref="D74:F74"/>
    <mergeCell ref="D75:F75"/>
    <mergeCell ref="D76:F76"/>
    <mergeCell ref="E77:F77"/>
    <mergeCell ref="D78:F78"/>
    <mergeCell ref="D79:F79"/>
    <mergeCell ref="G93:H93"/>
    <mergeCell ref="D81:F81"/>
    <mergeCell ref="D82:F82"/>
    <mergeCell ref="B83:F83"/>
    <mergeCell ref="B85:F85"/>
    <mergeCell ref="G85:H85"/>
    <mergeCell ref="C87:D87"/>
    <mergeCell ref="C88:D88"/>
    <mergeCell ref="C89:D89"/>
    <mergeCell ref="C90:D90"/>
    <mergeCell ref="C91:D91"/>
    <mergeCell ref="B93:F93"/>
    <mergeCell ref="B98:F98"/>
    <mergeCell ref="G98:H98"/>
    <mergeCell ref="B99:F99"/>
    <mergeCell ref="G99:H99"/>
    <mergeCell ref="G94:H94"/>
    <mergeCell ref="G95:H95"/>
    <mergeCell ref="B96:F96"/>
    <mergeCell ref="G96:H96"/>
    <mergeCell ref="B97:F97"/>
    <mergeCell ref="G97:H97"/>
  </mergeCells>
  <conditionalFormatting sqref="B90:F90 B99:F99 B93:F97">
    <cfRule type="cellIs" dxfId="1109" priority="1" stopIfTrue="1" operator="equal">
      <formula>"TAX PAYABLE"</formula>
    </cfRule>
    <cfRule type="cellIs" dxfId="1108" priority="2" stopIfTrue="1" operator="equal">
      <formula>"TAX REFUND"</formula>
    </cfRule>
  </conditionalFormatting>
  <conditionalFormatting sqref="G90:H90">
    <cfRule type="cellIs" dxfId="1107" priority="3" stopIfTrue="1" operator="lessThan">
      <formula>0</formula>
    </cfRule>
    <cfRule type="cellIs" dxfId="1106" priority="4" stopIfTrue="1" operator="greaterThan">
      <formula>0</formula>
    </cfRule>
  </conditionalFormatting>
  <conditionalFormatting sqref="G99:H99">
    <cfRule type="cellIs" dxfId="1105" priority="5" stopIfTrue="1" operator="greaterThan">
      <formula>0</formula>
    </cfRule>
    <cfRule type="cellIs" dxfId="1104" priority="6" stopIfTrue="1" operator="lessThanOrEqual">
      <formula>0</formula>
    </cfRule>
  </conditionalFormatting>
  <dataValidations disablePrompts="1"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$Q$8:$Q$9</formula1>
    </dataValidation>
  </dataValidations>
  <pageMargins left="0.75" right="0.75" top="1" bottom="1" header="0.5" footer="0.5"/>
  <headerFooter alignWithMargins="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8"/>
  <sheetViews>
    <sheetView topLeftCell="A55" workbookViewId="0">
      <selection activeCell="K82" sqref="K82"/>
    </sheetView>
  </sheetViews>
  <sheetFormatPr defaultRowHeight="12.75" x14ac:dyDescent="0.2"/>
  <cols>
    <col min="1" max="1" width="5" style="16" customWidth="1"/>
    <col min="2" max="2" width="19" style="37" customWidth="1"/>
    <col min="3" max="3" width="8.42578125" style="16" customWidth="1"/>
    <col min="4" max="4" width="8" style="16" customWidth="1"/>
    <col min="5" max="5" width="8.5703125" style="16" bestFit="1" customWidth="1"/>
    <col min="6" max="8" width="8.42578125" style="16" customWidth="1"/>
    <col min="9" max="9" width="7.140625" style="16" bestFit="1" customWidth="1"/>
    <col min="10" max="10" width="7.140625" style="16" customWidth="1"/>
    <col min="11" max="12" width="7" style="16" bestFit="1" customWidth="1"/>
    <col min="13" max="13" width="6.85546875" style="16" bestFit="1" customWidth="1"/>
    <col min="14" max="14" width="7" style="16" bestFit="1" customWidth="1"/>
    <col min="15" max="15" width="7.140625" style="16" bestFit="1"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9" style="16" customWidth="1"/>
    <col min="259" max="259" width="8.42578125" style="16" customWidth="1"/>
    <col min="260" max="260" width="8" style="16" customWidth="1"/>
    <col min="261" max="261" width="8.5703125" style="16" bestFit="1" customWidth="1"/>
    <col min="262" max="264" width="8.42578125" style="16" customWidth="1"/>
    <col min="265" max="265" width="7.140625" style="16" bestFit="1" customWidth="1"/>
    <col min="266" max="266" width="7.140625" style="16" customWidth="1"/>
    <col min="267" max="268" width="7" style="16" bestFit="1" customWidth="1"/>
    <col min="269" max="269" width="6.85546875" style="16" bestFit="1" customWidth="1"/>
    <col min="270" max="270" width="7" style="16" bestFit="1" customWidth="1"/>
    <col min="271" max="271" width="7.140625" style="16" bestFit="1"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9" style="16" customWidth="1"/>
    <col min="515" max="515" width="8.42578125" style="16" customWidth="1"/>
    <col min="516" max="516" width="8" style="16" customWidth="1"/>
    <col min="517" max="517" width="8.5703125" style="16" bestFit="1" customWidth="1"/>
    <col min="518" max="520" width="8.42578125" style="16" customWidth="1"/>
    <col min="521" max="521" width="7.140625" style="16" bestFit="1" customWidth="1"/>
    <col min="522" max="522" width="7.140625" style="16" customWidth="1"/>
    <col min="523" max="524" width="7" style="16" bestFit="1" customWidth="1"/>
    <col min="525" max="525" width="6.85546875" style="16" bestFit="1" customWidth="1"/>
    <col min="526" max="526" width="7" style="16" bestFit="1" customWidth="1"/>
    <col min="527" max="527" width="7.140625" style="16" bestFit="1"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9" style="16" customWidth="1"/>
    <col min="771" max="771" width="8.42578125" style="16" customWidth="1"/>
    <col min="772" max="772" width="8" style="16" customWidth="1"/>
    <col min="773" max="773" width="8.5703125" style="16" bestFit="1" customWidth="1"/>
    <col min="774" max="776" width="8.42578125" style="16" customWidth="1"/>
    <col min="777" max="777" width="7.140625" style="16" bestFit="1" customWidth="1"/>
    <col min="778" max="778" width="7.140625" style="16" customWidth="1"/>
    <col min="779" max="780" width="7" style="16" bestFit="1" customWidth="1"/>
    <col min="781" max="781" width="6.85546875" style="16" bestFit="1" customWidth="1"/>
    <col min="782" max="782" width="7" style="16" bestFit="1" customWidth="1"/>
    <col min="783" max="783" width="7.140625" style="16" bestFit="1"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9" style="16" customWidth="1"/>
    <col min="1027" max="1027" width="8.42578125" style="16" customWidth="1"/>
    <col min="1028" max="1028" width="8" style="16" customWidth="1"/>
    <col min="1029" max="1029" width="8.5703125" style="16" bestFit="1" customWidth="1"/>
    <col min="1030" max="1032" width="8.42578125" style="16" customWidth="1"/>
    <col min="1033" max="1033" width="7.140625" style="16" bestFit="1" customWidth="1"/>
    <col min="1034" max="1034" width="7.140625" style="16" customWidth="1"/>
    <col min="1035" max="1036" width="7" style="16" bestFit="1" customWidth="1"/>
    <col min="1037" max="1037" width="6.85546875" style="16" bestFit="1" customWidth="1"/>
    <col min="1038" max="1038" width="7" style="16" bestFit="1" customWidth="1"/>
    <col min="1039" max="1039" width="7.140625" style="16" bestFit="1"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9" style="16" customWidth="1"/>
    <col min="1283" max="1283" width="8.42578125" style="16" customWidth="1"/>
    <col min="1284" max="1284" width="8" style="16" customWidth="1"/>
    <col min="1285" max="1285" width="8.5703125" style="16" bestFit="1" customWidth="1"/>
    <col min="1286" max="1288" width="8.42578125" style="16" customWidth="1"/>
    <col min="1289" max="1289" width="7.140625" style="16" bestFit="1" customWidth="1"/>
    <col min="1290" max="1290" width="7.140625" style="16" customWidth="1"/>
    <col min="1291" max="1292" width="7" style="16" bestFit="1" customWidth="1"/>
    <col min="1293" max="1293" width="6.85546875" style="16" bestFit="1" customWidth="1"/>
    <col min="1294" max="1294" width="7" style="16" bestFit="1" customWidth="1"/>
    <col min="1295" max="1295" width="7.140625" style="16" bestFit="1"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9" style="16" customWidth="1"/>
    <col min="1539" max="1539" width="8.42578125" style="16" customWidth="1"/>
    <col min="1540" max="1540" width="8" style="16" customWidth="1"/>
    <col min="1541" max="1541" width="8.5703125" style="16" bestFit="1" customWidth="1"/>
    <col min="1542" max="1544" width="8.42578125" style="16" customWidth="1"/>
    <col min="1545" max="1545" width="7.140625" style="16" bestFit="1" customWidth="1"/>
    <col min="1546" max="1546" width="7.140625" style="16" customWidth="1"/>
    <col min="1547" max="1548" width="7" style="16" bestFit="1" customWidth="1"/>
    <col min="1549" max="1549" width="6.85546875" style="16" bestFit="1" customWidth="1"/>
    <col min="1550" max="1550" width="7" style="16" bestFit="1" customWidth="1"/>
    <col min="1551" max="1551" width="7.140625" style="16" bestFit="1"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9" style="16" customWidth="1"/>
    <col min="1795" max="1795" width="8.42578125" style="16" customWidth="1"/>
    <col min="1796" max="1796" width="8" style="16" customWidth="1"/>
    <col min="1797" max="1797" width="8.5703125" style="16" bestFit="1" customWidth="1"/>
    <col min="1798" max="1800" width="8.42578125" style="16" customWidth="1"/>
    <col min="1801" max="1801" width="7.140625" style="16" bestFit="1" customWidth="1"/>
    <col min="1802" max="1802" width="7.140625" style="16" customWidth="1"/>
    <col min="1803" max="1804" width="7" style="16" bestFit="1" customWidth="1"/>
    <col min="1805" max="1805" width="6.85546875" style="16" bestFit="1" customWidth="1"/>
    <col min="1806" max="1806" width="7" style="16" bestFit="1" customWidth="1"/>
    <col min="1807" max="1807" width="7.140625" style="16" bestFit="1"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9" style="16" customWidth="1"/>
    <col min="2051" max="2051" width="8.42578125" style="16" customWidth="1"/>
    <col min="2052" max="2052" width="8" style="16" customWidth="1"/>
    <col min="2053" max="2053" width="8.5703125" style="16" bestFit="1" customWidth="1"/>
    <col min="2054" max="2056" width="8.42578125" style="16" customWidth="1"/>
    <col min="2057" max="2057" width="7.140625" style="16" bestFit="1" customWidth="1"/>
    <col min="2058" max="2058" width="7.140625" style="16" customWidth="1"/>
    <col min="2059" max="2060" width="7" style="16" bestFit="1" customWidth="1"/>
    <col min="2061" max="2061" width="6.85546875" style="16" bestFit="1" customWidth="1"/>
    <col min="2062" max="2062" width="7" style="16" bestFit="1" customWidth="1"/>
    <col min="2063" max="2063" width="7.140625" style="16" bestFit="1"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9" style="16" customWidth="1"/>
    <col min="2307" max="2307" width="8.42578125" style="16" customWidth="1"/>
    <col min="2308" max="2308" width="8" style="16" customWidth="1"/>
    <col min="2309" max="2309" width="8.5703125" style="16" bestFit="1" customWidth="1"/>
    <col min="2310" max="2312" width="8.42578125" style="16" customWidth="1"/>
    <col min="2313" max="2313" width="7.140625" style="16" bestFit="1" customWidth="1"/>
    <col min="2314" max="2314" width="7.140625" style="16" customWidth="1"/>
    <col min="2315" max="2316" width="7" style="16" bestFit="1" customWidth="1"/>
    <col min="2317" max="2317" width="6.85546875" style="16" bestFit="1" customWidth="1"/>
    <col min="2318" max="2318" width="7" style="16" bestFit="1" customWidth="1"/>
    <col min="2319" max="2319" width="7.140625" style="16" bestFit="1"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9" style="16" customWidth="1"/>
    <col min="2563" max="2563" width="8.42578125" style="16" customWidth="1"/>
    <col min="2564" max="2564" width="8" style="16" customWidth="1"/>
    <col min="2565" max="2565" width="8.5703125" style="16" bestFit="1" customWidth="1"/>
    <col min="2566" max="2568" width="8.42578125" style="16" customWidth="1"/>
    <col min="2569" max="2569" width="7.140625" style="16" bestFit="1" customWidth="1"/>
    <col min="2570" max="2570" width="7.140625" style="16" customWidth="1"/>
    <col min="2571" max="2572" width="7" style="16" bestFit="1" customWidth="1"/>
    <col min="2573" max="2573" width="6.85546875" style="16" bestFit="1" customWidth="1"/>
    <col min="2574" max="2574" width="7" style="16" bestFit="1" customWidth="1"/>
    <col min="2575" max="2575" width="7.140625" style="16" bestFit="1"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9" style="16" customWidth="1"/>
    <col min="2819" max="2819" width="8.42578125" style="16" customWidth="1"/>
    <col min="2820" max="2820" width="8" style="16" customWidth="1"/>
    <col min="2821" max="2821" width="8.5703125" style="16" bestFit="1" customWidth="1"/>
    <col min="2822" max="2824" width="8.42578125" style="16" customWidth="1"/>
    <col min="2825" max="2825" width="7.140625" style="16" bestFit="1" customWidth="1"/>
    <col min="2826" max="2826" width="7.140625" style="16" customWidth="1"/>
    <col min="2827" max="2828" width="7" style="16" bestFit="1" customWidth="1"/>
    <col min="2829" max="2829" width="6.85546875" style="16" bestFit="1" customWidth="1"/>
    <col min="2830" max="2830" width="7" style="16" bestFit="1" customWidth="1"/>
    <col min="2831" max="2831" width="7.140625" style="16" bestFit="1"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9" style="16" customWidth="1"/>
    <col min="3075" max="3075" width="8.42578125" style="16" customWidth="1"/>
    <col min="3076" max="3076" width="8" style="16" customWidth="1"/>
    <col min="3077" max="3077" width="8.5703125" style="16" bestFit="1" customWidth="1"/>
    <col min="3078" max="3080" width="8.42578125" style="16" customWidth="1"/>
    <col min="3081" max="3081" width="7.140625" style="16" bestFit="1" customWidth="1"/>
    <col min="3082" max="3082" width="7.140625" style="16" customWidth="1"/>
    <col min="3083" max="3084" width="7" style="16" bestFit="1" customWidth="1"/>
    <col min="3085" max="3085" width="6.85546875" style="16" bestFit="1" customWidth="1"/>
    <col min="3086" max="3086" width="7" style="16" bestFit="1" customWidth="1"/>
    <col min="3087" max="3087" width="7.140625" style="16" bestFit="1"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9" style="16" customWidth="1"/>
    <col min="3331" max="3331" width="8.42578125" style="16" customWidth="1"/>
    <col min="3332" max="3332" width="8" style="16" customWidth="1"/>
    <col min="3333" max="3333" width="8.5703125" style="16" bestFit="1" customWidth="1"/>
    <col min="3334" max="3336" width="8.42578125" style="16" customWidth="1"/>
    <col min="3337" max="3337" width="7.140625" style="16" bestFit="1" customWidth="1"/>
    <col min="3338" max="3338" width="7.140625" style="16" customWidth="1"/>
    <col min="3339" max="3340" width="7" style="16" bestFit="1" customWidth="1"/>
    <col min="3341" max="3341" width="6.85546875" style="16" bestFit="1" customWidth="1"/>
    <col min="3342" max="3342" width="7" style="16" bestFit="1" customWidth="1"/>
    <col min="3343" max="3343" width="7.140625" style="16" bestFit="1"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9" style="16" customWidth="1"/>
    <col min="3587" max="3587" width="8.42578125" style="16" customWidth="1"/>
    <col min="3588" max="3588" width="8" style="16" customWidth="1"/>
    <col min="3589" max="3589" width="8.5703125" style="16" bestFit="1" customWidth="1"/>
    <col min="3590" max="3592" width="8.42578125" style="16" customWidth="1"/>
    <col min="3593" max="3593" width="7.140625" style="16" bestFit="1" customWidth="1"/>
    <col min="3594" max="3594" width="7.140625" style="16" customWidth="1"/>
    <col min="3595" max="3596" width="7" style="16" bestFit="1" customWidth="1"/>
    <col min="3597" max="3597" width="6.85546875" style="16" bestFit="1" customWidth="1"/>
    <col min="3598" max="3598" width="7" style="16" bestFit="1" customWidth="1"/>
    <col min="3599" max="3599" width="7.140625" style="16" bestFit="1"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9" style="16" customWidth="1"/>
    <col min="3843" max="3843" width="8.42578125" style="16" customWidth="1"/>
    <col min="3844" max="3844" width="8" style="16" customWidth="1"/>
    <col min="3845" max="3845" width="8.5703125" style="16" bestFit="1" customWidth="1"/>
    <col min="3846" max="3848" width="8.42578125" style="16" customWidth="1"/>
    <col min="3849" max="3849" width="7.140625" style="16" bestFit="1" customWidth="1"/>
    <col min="3850" max="3850" width="7.140625" style="16" customWidth="1"/>
    <col min="3851" max="3852" width="7" style="16" bestFit="1" customWidth="1"/>
    <col min="3853" max="3853" width="6.85546875" style="16" bestFit="1" customWidth="1"/>
    <col min="3854" max="3854" width="7" style="16" bestFit="1" customWidth="1"/>
    <col min="3855" max="3855" width="7.140625" style="16" bestFit="1"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9" style="16" customWidth="1"/>
    <col min="4099" max="4099" width="8.42578125" style="16" customWidth="1"/>
    <col min="4100" max="4100" width="8" style="16" customWidth="1"/>
    <col min="4101" max="4101" width="8.5703125" style="16" bestFit="1" customWidth="1"/>
    <col min="4102" max="4104" width="8.42578125" style="16" customWidth="1"/>
    <col min="4105" max="4105" width="7.140625" style="16" bestFit="1" customWidth="1"/>
    <col min="4106" max="4106" width="7.140625" style="16" customWidth="1"/>
    <col min="4107" max="4108" width="7" style="16" bestFit="1" customWidth="1"/>
    <col min="4109" max="4109" width="6.85546875" style="16" bestFit="1" customWidth="1"/>
    <col min="4110" max="4110" width="7" style="16" bestFit="1" customWidth="1"/>
    <col min="4111" max="4111" width="7.140625" style="16" bestFit="1"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9" style="16" customWidth="1"/>
    <col min="4355" max="4355" width="8.42578125" style="16" customWidth="1"/>
    <col min="4356" max="4356" width="8" style="16" customWidth="1"/>
    <col min="4357" max="4357" width="8.5703125" style="16" bestFit="1" customWidth="1"/>
    <col min="4358" max="4360" width="8.42578125" style="16" customWidth="1"/>
    <col min="4361" max="4361" width="7.140625" style="16" bestFit="1" customWidth="1"/>
    <col min="4362" max="4362" width="7.140625" style="16" customWidth="1"/>
    <col min="4363" max="4364" width="7" style="16" bestFit="1" customWidth="1"/>
    <col min="4365" max="4365" width="6.85546875" style="16" bestFit="1" customWidth="1"/>
    <col min="4366" max="4366" width="7" style="16" bestFit="1" customWidth="1"/>
    <col min="4367" max="4367" width="7.140625" style="16" bestFit="1"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9" style="16" customWidth="1"/>
    <col min="4611" max="4611" width="8.42578125" style="16" customWidth="1"/>
    <col min="4612" max="4612" width="8" style="16" customWidth="1"/>
    <col min="4613" max="4613" width="8.5703125" style="16" bestFit="1" customWidth="1"/>
    <col min="4614" max="4616" width="8.42578125" style="16" customWidth="1"/>
    <col min="4617" max="4617" width="7.140625" style="16" bestFit="1" customWidth="1"/>
    <col min="4618" max="4618" width="7.140625" style="16" customWidth="1"/>
    <col min="4619" max="4620" width="7" style="16" bestFit="1" customWidth="1"/>
    <col min="4621" max="4621" width="6.85546875" style="16" bestFit="1" customWidth="1"/>
    <col min="4622" max="4622" width="7" style="16" bestFit="1" customWidth="1"/>
    <col min="4623" max="4623" width="7.140625" style="16" bestFit="1"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9" style="16" customWidth="1"/>
    <col min="4867" max="4867" width="8.42578125" style="16" customWidth="1"/>
    <col min="4868" max="4868" width="8" style="16" customWidth="1"/>
    <col min="4869" max="4869" width="8.5703125" style="16" bestFit="1" customWidth="1"/>
    <col min="4870" max="4872" width="8.42578125" style="16" customWidth="1"/>
    <col min="4873" max="4873" width="7.140625" style="16" bestFit="1" customWidth="1"/>
    <col min="4874" max="4874" width="7.140625" style="16" customWidth="1"/>
    <col min="4875" max="4876" width="7" style="16" bestFit="1" customWidth="1"/>
    <col min="4877" max="4877" width="6.85546875" style="16" bestFit="1" customWidth="1"/>
    <col min="4878" max="4878" width="7" style="16" bestFit="1" customWidth="1"/>
    <col min="4879" max="4879" width="7.140625" style="16" bestFit="1"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9" style="16" customWidth="1"/>
    <col min="5123" max="5123" width="8.42578125" style="16" customWidth="1"/>
    <col min="5124" max="5124" width="8" style="16" customWidth="1"/>
    <col min="5125" max="5125" width="8.5703125" style="16" bestFit="1" customWidth="1"/>
    <col min="5126" max="5128" width="8.42578125" style="16" customWidth="1"/>
    <col min="5129" max="5129" width="7.140625" style="16" bestFit="1" customWidth="1"/>
    <col min="5130" max="5130" width="7.140625" style="16" customWidth="1"/>
    <col min="5131" max="5132" width="7" style="16" bestFit="1" customWidth="1"/>
    <col min="5133" max="5133" width="6.85546875" style="16" bestFit="1" customWidth="1"/>
    <col min="5134" max="5134" width="7" style="16" bestFit="1" customWidth="1"/>
    <col min="5135" max="5135" width="7.140625" style="16" bestFit="1"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9" style="16" customWidth="1"/>
    <col min="5379" max="5379" width="8.42578125" style="16" customWidth="1"/>
    <col min="5380" max="5380" width="8" style="16" customWidth="1"/>
    <col min="5381" max="5381" width="8.5703125" style="16" bestFit="1" customWidth="1"/>
    <col min="5382" max="5384" width="8.42578125" style="16" customWidth="1"/>
    <col min="5385" max="5385" width="7.140625" style="16" bestFit="1" customWidth="1"/>
    <col min="5386" max="5386" width="7.140625" style="16" customWidth="1"/>
    <col min="5387" max="5388" width="7" style="16" bestFit="1" customWidth="1"/>
    <col min="5389" max="5389" width="6.85546875" style="16" bestFit="1" customWidth="1"/>
    <col min="5390" max="5390" width="7" style="16" bestFit="1" customWidth="1"/>
    <col min="5391" max="5391" width="7.140625" style="16" bestFit="1"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9" style="16" customWidth="1"/>
    <col min="5635" max="5635" width="8.42578125" style="16" customWidth="1"/>
    <col min="5636" max="5636" width="8" style="16" customWidth="1"/>
    <col min="5637" max="5637" width="8.5703125" style="16" bestFit="1" customWidth="1"/>
    <col min="5638" max="5640" width="8.42578125" style="16" customWidth="1"/>
    <col min="5641" max="5641" width="7.140625" style="16" bestFit="1" customWidth="1"/>
    <col min="5642" max="5642" width="7.140625" style="16" customWidth="1"/>
    <col min="5643" max="5644" width="7" style="16" bestFit="1" customWidth="1"/>
    <col min="5645" max="5645" width="6.85546875" style="16" bestFit="1" customWidth="1"/>
    <col min="5646" max="5646" width="7" style="16" bestFit="1" customWidth="1"/>
    <col min="5647" max="5647" width="7.140625" style="16" bestFit="1"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9" style="16" customWidth="1"/>
    <col min="5891" max="5891" width="8.42578125" style="16" customWidth="1"/>
    <col min="5892" max="5892" width="8" style="16" customWidth="1"/>
    <col min="5893" max="5893" width="8.5703125" style="16" bestFit="1" customWidth="1"/>
    <col min="5894" max="5896" width="8.42578125" style="16" customWidth="1"/>
    <col min="5897" max="5897" width="7.140625" style="16" bestFit="1" customWidth="1"/>
    <col min="5898" max="5898" width="7.140625" style="16" customWidth="1"/>
    <col min="5899" max="5900" width="7" style="16" bestFit="1" customWidth="1"/>
    <col min="5901" max="5901" width="6.85546875" style="16" bestFit="1" customWidth="1"/>
    <col min="5902" max="5902" width="7" style="16" bestFit="1" customWidth="1"/>
    <col min="5903" max="5903" width="7.140625" style="16" bestFit="1"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9" style="16" customWidth="1"/>
    <col min="6147" max="6147" width="8.42578125" style="16" customWidth="1"/>
    <col min="6148" max="6148" width="8" style="16" customWidth="1"/>
    <col min="6149" max="6149" width="8.5703125" style="16" bestFit="1" customWidth="1"/>
    <col min="6150" max="6152" width="8.42578125" style="16" customWidth="1"/>
    <col min="6153" max="6153" width="7.140625" style="16" bestFit="1" customWidth="1"/>
    <col min="6154" max="6154" width="7.140625" style="16" customWidth="1"/>
    <col min="6155" max="6156" width="7" style="16" bestFit="1" customWidth="1"/>
    <col min="6157" max="6157" width="6.85546875" style="16" bestFit="1" customWidth="1"/>
    <col min="6158" max="6158" width="7" style="16" bestFit="1" customWidth="1"/>
    <col min="6159" max="6159" width="7.140625" style="16" bestFit="1"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9" style="16" customWidth="1"/>
    <col min="6403" max="6403" width="8.42578125" style="16" customWidth="1"/>
    <col min="6404" max="6404" width="8" style="16" customWidth="1"/>
    <col min="6405" max="6405" width="8.5703125" style="16" bestFit="1" customWidth="1"/>
    <col min="6406" max="6408" width="8.42578125" style="16" customWidth="1"/>
    <col min="6409" max="6409" width="7.140625" style="16" bestFit="1" customWidth="1"/>
    <col min="6410" max="6410" width="7.140625" style="16" customWidth="1"/>
    <col min="6411" max="6412" width="7" style="16" bestFit="1" customWidth="1"/>
    <col min="6413" max="6413" width="6.85546875" style="16" bestFit="1" customWidth="1"/>
    <col min="6414" max="6414" width="7" style="16" bestFit="1" customWidth="1"/>
    <col min="6415" max="6415" width="7.140625" style="16" bestFit="1"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9" style="16" customWidth="1"/>
    <col min="6659" max="6659" width="8.42578125" style="16" customWidth="1"/>
    <col min="6660" max="6660" width="8" style="16" customWidth="1"/>
    <col min="6661" max="6661" width="8.5703125" style="16" bestFit="1" customWidth="1"/>
    <col min="6662" max="6664" width="8.42578125" style="16" customWidth="1"/>
    <col min="6665" max="6665" width="7.140625" style="16" bestFit="1" customWidth="1"/>
    <col min="6666" max="6666" width="7.140625" style="16" customWidth="1"/>
    <col min="6667" max="6668" width="7" style="16" bestFit="1" customWidth="1"/>
    <col min="6669" max="6669" width="6.85546875" style="16" bestFit="1" customWidth="1"/>
    <col min="6670" max="6670" width="7" style="16" bestFit="1" customWidth="1"/>
    <col min="6671" max="6671" width="7.140625" style="16" bestFit="1"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9" style="16" customWidth="1"/>
    <col min="6915" max="6915" width="8.42578125" style="16" customWidth="1"/>
    <col min="6916" max="6916" width="8" style="16" customWidth="1"/>
    <col min="6917" max="6917" width="8.5703125" style="16" bestFit="1" customWidth="1"/>
    <col min="6918" max="6920" width="8.42578125" style="16" customWidth="1"/>
    <col min="6921" max="6921" width="7.140625" style="16" bestFit="1" customWidth="1"/>
    <col min="6922" max="6922" width="7.140625" style="16" customWidth="1"/>
    <col min="6923" max="6924" width="7" style="16" bestFit="1" customWidth="1"/>
    <col min="6925" max="6925" width="6.85546875" style="16" bestFit="1" customWidth="1"/>
    <col min="6926" max="6926" width="7" style="16" bestFit="1" customWidth="1"/>
    <col min="6927" max="6927" width="7.140625" style="16" bestFit="1"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9" style="16" customWidth="1"/>
    <col min="7171" max="7171" width="8.42578125" style="16" customWidth="1"/>
    <col min="7172" max="7172" width="8" style="16" customWidth="1"/>
    <col min="7173" max="7173" width="8.5703125" style="16" bestFit="1" customWidth="1"/>
    <col min="7174" max="7176" width="8.42578125" style="16" customWidth="1"/>
    <col min="7177" max="7177" width="7.140625" style="16" bestFit="1" customWidth="1"/>
    <col min="7178" max="7178" width="7.140625" style="16" customWidth="1"/>
    <col min="7179" max="7180" width="7" style="16" bestFit="1" customWidth="1"/>
    <col min="7181" max="7181" width="6.85546875" style="16" bestFit="1" customWidth="1"/>
    <col min="7182" max="7182" width="7" style="16" bestFit="1" customWidth="1"/>
    <col min="7183" max="7183" width="7.140625" style="16" bestFit="1"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9" style="16" customWidth="1"/>
    <col min="7427" max="7427" width="8.42578125" style="16" customWidth="1"/>
    <col min="7428" max="7428" width="8" style="16" customWidth="1"/>
    <col min="7429" max="7429" width="8.5703125" style="16" bestFit="1" customWidth="1"/>
    <col min="7430" max="7432" width="8.42578125" style="16" customWidth="1"/>
    <col min="7433" max="7433" width="7.140625" style="16" bestFit="1" customWidth="1"/>
    <col min="7434" max="7434" width="7.140625" style="16" customWidth="1"/>
    <col min="7435" max="7436" width="7" style="16" bestFit="1" customWidth="1"/>
    <col min="7437" max="7437" width="6.85546875" style="16" bestFit="1" customWidth="1"/>
    <col min="7438" max="7438" width="7" style="16" bestFit="1" customWidth="1"/>
    <col min="7439" max="7439" width="7.140625" style="16" bestFit="1"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9" style="16" customWidth="1"/>
    <col min="7683" max="7683" width="8.42578125" style="16" customWidth="1"/>
    <col min="7684" max="7684" width="8" style="16" customWidth="1"/>
    <col min="7685" max="7685" width="8.5703125" style="16" bestFit="1" customWidth="1"/>
    <col min="7686" max="7688" width="8.42578125" style="16" customWidth="1"/>
    <col min="7689" max="7689" width="7.140625" style="16" bestFit="1" customWidth="1"/>
    <col min="7690" max="7690" width="7.140625" style="16" customWidth="1"/>
    <col min="7691" max="7692" width="7" style="16" bestFit="1" customWidth="1"/>
    <col min="7693" max="7693" width="6.85546875" style="16" bestFit="1" customWidth="1"/>
    <col min="7694" max="7694" width="7" style="16" bestFit="1" customWidth="1"/>
    <col min="7695" max="7695" width="7.140625" style="16" bestFit="1"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9" style="16" customWidth="1"/>
    <col min="7939" max="7939" width="8.42578125" style="16" customWidth="1"/>
    <col min="7940" max="7940" width="8" style="16" customWidth="1"/>
    <col min="7941" max="7941" width="8.5703125" style="16" bestFit="1" customWidth="1"/>
    <col min="7942" max="7944" width="8.42578125" style="16" customWidth="1"/>
    <col min="7945" max="7945" width="7.140625" style="16" bestFit="1" customWidth="1"/>
    <col min="7946" max="7946" width="7.140625" style="16" customWidth="1"/>
    <col min="7947" max="7948" width="7" style="16" bestFit="1" customWidth="1"/>
    <col min="7949" max="7949" width="6.85546875" style="16" bestFit="1" customWidth="1"/>
    <col min="7950" max="7950" width="7" style="16" bestFit="1" customWidth="1"/>
    <col min="7951" max="7951" width="7.140625" style="16" bestFit="1"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9" style="16" customWidth="1"/>
    <col min="8195" max="8195" width="8.42578125" style="16" customWidth="1"/>
    <col min="8196" max="8196" width="8" style="16" customWidth="1"/>
    <col min="8197" max="8197" width="8.5703125" style="16" bestFit="1" customWidth="1"/>
    <col min="8198" max="8200" width="8.42578125" style="16" customWidth="1"/>
    <col min="8201" max="8201" width="7.140625" style="16" bestFit="1" customWidth="1"/>
    <col min="8202" max="8202" width="7.140625" style="16" customWidth="1"/>
    <col min="8203" max="8204" width="7" style="16" bestFit="1" customWidth="1"/>
    <col min="8205" max="8205" width="6.85546875" style="16" bestFit="1" customWidth="1"/>
    <col min="8206" max="8206" width="7" style="16" bestFit="1" customWidth="1"/>
    <col min="8207" max="8207" width="7.140625" style="16" bestFit="1"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9" style="16" customWidth="1"/>
    <col min="8451" max="8451" width="8.42578125" style="16" customWidth="1"/>
    <col min="8452" max="8452" width="8" style="16" customWidth="1"/>
    <col min="8453" max="8453" width="8.5703125" style="16" bestFit="1" customWidth="1"/>
    <col min="8454" max="8456" width="8.42578125" style="16" customWidth="1"/>
    <col min="8457" max="8457" width="7.140625" style="16" bestFit="1" customWidth="1"/>
    <col min="8458" max="8458" width="7.140625" style="16" customWidth="1"/>
    <col min="8459" max="8460" width="7" style="16" bestFit="1" customWidth="1"/>
    <col min="8461" max="8461" width="6.85546875" style="16" bestFit="1" customWidth="1"/>
    <col min="8462" max="8462" width="7" style="16" bestFit="1" customWidth="1"/>
    <col min="8463" max="8463" width="7.140625" style="16" bestFit="1"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9" style="16" customWidth="1"/>
    <col min="8707" max="8707" width="8.42578125" style="16" customWidth="1"/>
    <col min="8708" max="8708" width="8" style="16" customWidth="1"/>
    <col min="8709" max="8709" width="8.5703125" style="16" bestFit="1" customWidth="1"/>
    <col min="8710" max="8712" width="8.42578125" style="16" customWidth="1"/>
    <col min="8713" max="8713" width="7.140625" style="16" bestFit="1" customWidth="1"/>
    <col min="8714" max="8714" width="7.140625" style="16" customWidth="1"/>
    <col min="8715" max="8716" width="7" style="16" bestFit="1" customWidth="1"/>
    <col min="8717" max="8717" width="6.85546875" style="16" bestFit="1" customWidth="1"/>
    <col min="8718" max="8718" width="7" style="16" bestFit="1" customWidth="1"/>
    <col min="8719" max="8719" width="7.140625" style="16" bestFit="1"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9" style="16" customWidth="1"/>
    <col min="8963" max="8963" width="8.42578125" style="16" customWidth="1"/>
    <col min="8964" max="8964" width="8" style="16" customWidth="1"/>
    <col min="8965" max="8965" width="8.5703125" style="16" bestFit="1" customWidth="1"/>
    <col min="8966" max="8968" width="8.42578125" style="16" customWidth="1"/>
    <col min="8969" max="8969" width="7.140625" style="16" bestFit="1" customWidth="1"/>
    <col min="8970" max="8970" width="7.140625" style="16" customWidth="1"/>
    <col min="8971" max="8972" width="7" style="16" bestFit="1" customWidth="1"/>
    <col min="8973" max="8973" width="6.85546875" style="16" bestFit="1" customWidth="1"/>
    <col min="8974" max="8974" width="7" style="16" bestFit="1" customWidth="1"/>
    <col min="8975" max="8975" width="7.140625" style="16" bestFit="1"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9" style="16" customWidth="1"/>
    <col min="9219" max="9219" width="8.42578125" style="16" customWidth="1"/>
    <col min="9220" max="9220" width="8" style="16" customWidth="1"/>
    <col min="9221" max="9221" width="8.5703125" style="16" bestFit="1" customWidth="1"/>
    <col min="9222" max="9224" width="8.42578125" style="16" customWidth="1"/>
    <col min="9225" max="9225" width="7.140625" style="16" bestFit="1" customWidth="1"/>
    <col min="9226" max="9226" width="7.140625" style="16" customWidth="1"/>
    <col min="9227" max="9228" width="7" style="16" bestFit="1" customWidth="1"/>
    <col min="9229" max="9229" width="6.85546875" style="16" bestFit="1" customWidth="1"/>
    <col min="9230" max="9230" width="7" style="16" bestFit="1" customWidth="1"/>
    <col min="9231" max="9231" width="7.140625" style="16" bestFit="1"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9" style="16" customWidth="1"/>
    <col min="9475" max="9475" width="8.42578125" style="16" customWidth="1"/>
    <col min="9476" max="9476" width="8" style="16" customWidth="1"/>
    <col min="9477" max="9477" width="8.5703125" style="16" bestFit="1" customWidth="1"/>
    <col min="9478" max="9480" width="8.42578125" style="16" customWidth="1"/>
    <col min="9481" max="9481" width="7.140625" style="16" bestFit="1" customWidth="1"/>
    <col min="9482" max="9482" width="7.140625" style="16" customWidth="1"/>
    <col min="9483" max="9484" width="7" style="16" bestFit="1" customWidth="1"/>
    <col min="9485" max="9485" width="6.85546875" style="16" bestFit="1" customWidth="1"/>
    <col min="9486" max="9486" width="7" style="16" bestFit="1" customWidth="1"/>
    <col min="9487" max="9487" width="7.140625" style="16" bestFit="1"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9" style="16" customWidth="1"/>
    <col min="9731" max="9731" width="8.42578125" style="16" customWidth="1"/>
    <col min="9732" max="9732" width="8" style="16" customWidth="1"/>
    <col min="9733" max="9733" width="8.5703125" style="16" bestFit="1" customWidth="1"/>
    <col min="9734" max="9736" width="8.42578125" style="16" customWidth="1"/>
    <col min="9737" max="9737" width="7.140625" style="16" bestFit="1" customWidth="1"/>
    <col min="9738" max="9738" width="7.140625" style="16" customWidth="1"/>
    <col min="9739" max="9740" width="7" style="16" bestFit="1" customWidth="1"/>
    <col min="9741" max="9741" width="6.85546875" style="16" bestFit="1" customWidth="1"/>
    <col min="9742" max="9742" width="7" style="16" bestFit="1" customWidth="1"/>
    <col min="9743" max="9743" width="7.140625" style="16" bestFit="1"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9" style="16" customWidth="1"/>
    <col min="9987" max="9987" width="8.42578125" style="16" customWidth="1"/>
    <col min="9988" max="9988" width="8" style="16" customWidth="1"/>
    <col min="9989" max="9989" width="8.5703125" style="16" bestFit="1" customWidth="1"/>
    <col min="9990" max="9992" width="8.42578125" style="16" customWidth="1"/>
    <col min="9993" max="9993" width="7.140625" style="16" bestFit="1" customWidth="1"/>
    <col min="9994" max="9994" width="7.140625" style="16" customWidth="1"/>
    <col min="9995" max="9996" width="7" style="16" bestFit="1" customWidth="1"/>
    <col min="9997" max="9997" width="6.85546875" style="16" bestFit="1" customWidth="1"/>
    <col min="9998" max="9998" width="7" style="16" bestFit="1" customWidth="1"/>
    <col min="9999" max="9999" width="7.140625" style="16" bestFit="1"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9" style="16" customWidth="1"/>
    <col min="10243" max="10243" width="8.42578125" style="16" customWidth="1"/>
    <col min="10244" max="10244" width="8" style="16" customWidth="1"/>
    <col min="10245" max="10245" width="8.5703125" style="16" bestFit="1" customWidth="1"/>
    <col min="10246" max="10248" width="8.42578125" style="16" customWidth="1"/>
    <col min="10249" max="10249" width="7.140625" style="16" bestFit="1" customWidth="1"/>
    <col min="10250" max="10250" width="7.140625" style="16" customWidth="1"/>
    <col min="10251" max="10252" width="7" style="16" bestFit="1" customWidth="1"/>
    <col min="10253" max="10253" width="6.85546875" style="16" bestFit="1" customWidth="1"/>
    <col min="10254" max="10254" width="7" style="16" bestFit="1" customWidth="1"/>
    <col min="10255" max="10255" width="7.140625" style="16" bestFit="1"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9" style="16" customWidth="1"/>
    <col min="10499" max="10499" width="8.42578125" style="16" customWidth="1"/>
    <col min="10500" max="10500" width="8" style="16" customWidth="1"/>
    <col min="10501" max="10501" width="8.5703125" style="16" bestFit="1" customWidth="1"/>
    <col min="10502" max="10504" width="8.42578125" style="16" customWidth="1"/>
    <col min="10505" max="10505" width="7.140625" style="16" bestFit="1" customWidth="1"/>
    <col min="10506" max="10506" width="7.140625" style="16" customWidth="1"/>
    <col min="10507" max="10508" width="7" style="16" bestFit="1" customWidth="1"/>
    <col min="10509" max="10509" width="6.85546875" style="16" bestFit="1" customWidth="1"/>
    <col min="10510" max="10510" width="7" style="16" bestFit="1" customWidth="1"/>
    <col min="10511" max="10511" width="7.140625" style="16" bestFit="1"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9" style="16" customWidth="1"/>
    <col min="10755" max="10755" width="8.42578125" style="16" customWidth="1"/>
    <col min="10756" max="10756" width="8" style="16" customWidth="1"/>
    <col min="10757" max="10757" width="8.5703125" style="16" bestFit="1" customWidth="1"/>
    <col min="10758" max="10760" width="8.42578125" style="16" customWidth="1"/>
    <col min="10761" max="10761" width="7.140625" style="16" bestFit="1" customWidth="1"/>
    <col min="10762" max="10762" width="7.140625" style="16" customWidth="1"/>
    <col min="10763" max="10764" width="7" style="16" bestFit="1" customWidth="1"/>
    <col min="10765" max="10765" width="6.85546875" style="16" bestFit="1" customWidth="1"/>
    <col min="10766" max="10766" width="7" style="16" bestFit="1" customWidth="1"/>
    <col min="10767" max="10767" width="7.140625" style="16" bestFit="1"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9" style="16" customWidth="1"/>
    <col min="11011" max="11011" width="8.42578125" style="16" customWidth="1"/>
    <col min="11012" max="11012" width="8" style="16" customWidth="1"/>
    <col min="11013" max="11013" width="8.5703125" style="16" bestFit="1" customWidth="1"/>
    <col min="11014" max="11016" width="8.42578125" style="16" customWidth="1"/>
    <col min="11017" max="11017" width="7.140625" style="16" bestFit="1" customWidth="1"/>
    <col min="11018" max="11018" width="7.140625" style="16" customWidth="1"/>
    <col min="11019" max="11020" width="7" style="16" bestFit="1" customWidth="1"/>
    <col min="11021" max="11021" width="6.85546875" style="16" bestFit="1" customWidth="1"/>
    <col min="11022" max="11022" width="7" style="16" bestFit="1" customWidth="1"/>
    <col min="11023" max="11023" width="7.140625" style="16" bestFit="1"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9" style="16" customWidth="1"/>
    <col min="11267" max="11267" width="8.42578125" style="16" customWidth="1"/>
    <col min="11268" max="11268" width="8" style="16" customWidth="1"/>
    <col min="11269" max="11269" width="8.5703125" style="16" bestFit="1" customWidth="1"/>
    <col min="11270" max="11272" width="8.42578125" style="16" customWidth="1"/>
    <col min="11273" max="11273" width="7.140625" style="16" bestFit="1" customWidth="1"/>
    <col min="11274" max="11274" width="7.140625" style="16" customWidth="1"/>
    <col min="11275" max="11276" width="7" style="16" bestFit="1" customWidth="1"/>
    <col min="11277" max="11277" width="6.85546875" style="16" bestFit="1" customWidth="1"/>
    <col min="11278" max="11278" width="7" style="16" bestFit="1" customWidth="1"/>
    <col min="11279" max="11279" width="7.140625" style="16" bestFit="1"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9" style="16" customWidth="1"/>
    <col min="11523" max="11523" width="8.42578125" style="16" customWidth="1"/>
    <col min="11524" max="11524" width="8" style="16" customWidth="1"/>
    <col min="11525" max="11525" width="8.5703125" style="16" bestFit="1" customWidth="1"/>
    <col min="11526" max="11528" width="8.42578125" style="16" customWidth="1"/>
    <col min="11529" max="11529" width="7.140625" style="16" bestFit="1" customWidth="1"/>
    <col min="11530" max="11530" width="7.140625" style="16" customWidth="1"/>
    <col min="11531" max="11532" width="7" style="16" bestFit="1" customWidth="1"/>
    <col min="11533" max="11533" width="6.85546875" style="16" bestFit="1" customWidth="1"/>
    <col min="11534" max="11534" width="7" style="16" bestFit="1" customWidth="1"/>
    <col min="11535" max="11535" width="7.140625" style="16" bestFit="1"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9" style="16" customWidth="1"/>
    <col min="11779" max="11779" width="8.42578125" style="16" customWidth="1"/>
    <col min="11780" max="11780" width="8" style="16" customWidth="1"/>
    <col min="11781" max="11781" width="8.5703125" style="16" bestFit="1" customWidth="1"/>
    <col min="11782" max="11784" width="8.42578125" style="16" customWidth="1"/>
    <col min="11785" max="11785" width="7.140625" style="16" bestFit="1" customWidth="1"/>
    <col min="11786" max="11786" width="7.140625" style="16" customWidth="1"/>
    <col min="11787" max="11788" width="7" style="16" bestFit="1" customWidth="1"/>
    <col min="11789" max="11789" width="6.85546875" style="16" bestFit="1" customWidth="1"/>
    <col min="11790" max="11790" width="7" style="16" bestFit="1" customWidth="1"/>
    <col min="11791" max="11791" width="7.140625" style="16" bestFit="1"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9" style="16" customWidth="1"/>
    <col min="12035" max="12035" width="8.42578125" style="16" customWidth="1"/>
    <col min="12036" max="12036" width="8" style="16" customWidth="1"/>
    <col min="12037" max="12037" width="8.5703125" style="16" bestFit="1" customWidth="1"/>
    <col min="12038" max="12040" width="8.42578125" style="16" customWidth="1"/>
    <col min="12041" max="12041" width="7.140625" style="16" bestFit="1" customWidth="1"/>
    <col min="12042" max="12042" width="7.140625" style="16" customWidth="1"/>
    <col min="12043" max="12044" width="7" style="16" bestFit="1" customWidth="1"/>
    <col min="12045" max="12045" width="6.85546875" style="16" bestFit="1" customWidth="1"/>
    <col min="12046" max="12046" width="7" style="16" bestFit="1" customWidth="1"/>
    <col min="12047" max="12047" width="7.140625" style="16" bestFit="1"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9" style="16" customWidth="1"/>
    <col min="12291" max="12291" width="8.42578125" style="16" customWidth="1"/>
    <col min="12292" max="12292" width="8" style="16" customWidth="1"/>
    <col min="12293" max="12293" width="8.5703125" style="16" bestFit="1" customWidth="1"/>
    <col min="12294" max="12296" width="8.42578125" style="16" customWidth="1"/>
    <col min="12297" max="12297" width="7.140625" style="16" bestFit="1" customWidth="1"/>
    <col min="12298" max="12298" width="7.140625" style="16" customWidth="1"/>
    <col min="12299" max="12300" width="7" style="16" bestFit="1" customWidth="1"/>
    <col min="12301" max="12301" width="6.85546875" style="16" bestFit="1" customWidth="1"/>
    <col min="12302" max="12302" width="7" style="16" bestFit="1" customWidth="1"/>
    <col min="12303" max="12303" width="7.140625" style="16" bestFit="1"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9" style="16" customWidth="1"/>
    <col min="12547" max="12547" width="8.42578125" style="16" customWidth="1"/>
    <col min="12548" max="12548" width="8" style="16" customWidth="1"/>
    <col min="12549" max="12549" width="8.5703125" style="16" bestFit="1" customWidth="1"/>
    <col min="12550" max="12552" width="8.42578125" style="16" customWidth="1"/>
    <col min="12553" max="12553" width="7.140625" style="16" bestFit="1" customWidth="1"/>
    <col min="12554" max="12554" width="7.140625" style="16" customWidth="1"/>
    <col min="12555" max="12556" width="7" style="16" bestFit="1" customWidth="1"/>
    <col min="12557" max="12557" width="6.85546875" style="16" bestFit="1" customWidth="1"/>
    <col min="12558" max="12558" width="7" style="16" bestFit="1" customWidth="1"/>
    <col min="12559" max="12559" width="7.140625" style="16" bestFit="1"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9" style="16" customWidth="1"/>
    <col min="12803" max="12803" width="8.42578125" style="16" customWidth="1"/>
    <col min="12804" max="12804" width="8" style="16" customWidth="1"/>
    <col min="12805" max="12805" width="8.5703125" style="16" bestFit="1" customWidth="1"/>
    <col min="12806" max="12808" width="8.42578125" style="16" customWidth="1"/>
    <col min="12809" max="12809" width="7.140625" style="16" bestFit="1" customWidth="1"/>
    <col min="12810" max="12810" width="7.140625" style="16" customWidth="1"/>
    <col min="12811" max="12812" width="7" style="16" bestFit="1" customWidth="1"/>
    <col min="12813" max="12813" width="6.85546875" style="16" bestFit="1" customWidth="1"/>
    <col min="12814" max="12814" width="7" style="16" bestFit="1" customWidth="1"/>
    <col min="12815" max="12815" width="7.140625" style="16" bestFit="1"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9" style="16" customWidth="1"/>
    <col min="13059" max="13059" width="8.42578125" style="16" customWidth="1"/>
    <col min="13060" max="13060" width="8" style="16" customWidth="1"/>
    <col min="13061" max="13061" width="8.5703125" style="16" bestFit="1" customWidth="1"/>
    <col min="13062" max="13064" width="8.42578125" style="16" customWidth="1"/>
    <col min="13065" max="13065" width="7.140625" style="16" bestFit="1" customWidth="1"/>
    <col min="13066" max="13066" width="7.140625" style="16" customWidth="1"/>
    <col min="13067" max="13068" width="7" style="16" bestFit="1" customWidth="1"/>
    <col min="13069" max="13069" width="6.85546875" style="16" bestFit="1" customWidth="1"/>
    <col min="13070" max="13070" width="7" style="16" bestFit="1" customWidth="1"/>
    <col min="13071" max="13071" width="7.140625" style="16" bestFit="1"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9" style="16" customWidth="1"/>
    <col min="13315" max="13315" width="8.42578125" style="16" customWidth="1"/>
    <col min="13316" max="13316" width="8" style="16" customWidth="1"/>
    <col min="13317" max="13317" width="8.5703125" style="16" bestFit="1" customWidth="1"/>
    <col min="13318" max="13320" width="8.42578125" style="16" customWidth="1"/>
    <col min="13321" max="13321" width="7.140625" style="16" bestFit="1" customWidth="1"/>
    <col min="13322" max="13322" width="7.140625" style="16" customWidth="1"/>
    <col min="13323" max="13324" width="7" style="16" bestFit="1" customWidth="1"/>
    <col min="13325" max="13325" width="6.85546875" style="16" bestFit="1" customWidth="1"/>
    <col min="13326" max="13326" width="7" style="16" bestFit="1" customWidth="1"/>
    <col min="13327" max="13327" width="7.140625" style="16" bestFit="1"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9" style="16" customWidth="1"/>
    <col min="13571" max="13571" width="8.42578125" style="16" customWidth="1"/>
    <col min="13572" max="13572" width="8" style="16" customWidth="1"/>
    <col min="13573" max="13573" width="8.5703125" style="16" bestFit="1" customWidth="1"/>
    <col min="13574" max="13576" width="8.42578125" style="16" customWidth="1"/>
    <col min="13577" max="13577" width="7.140625" style="16" bestFit="1" customWidth="1"/>
    <col min="13578" max="13578" width="7.140625" style="16" customWidth="1"/>
    <col min="13579" max="13580" width="7" style="16" bestFit="1" customWidth="1"/>
    <col min="13581" max="13581" width="6.85546875" style="16" bestFit="1" customWidth="1"/>
    <col min="13582" max="13582" width="7" style="16" bestFit="1" customWidth="1"/>
    <col min="13583" max="13583" width="7.140625" style="16" bestFit="1"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9" style="16" customWidth="1"/>
    <col min="13827" max="13827" width="8.42578125" style="16" customWidth="1"/>
    <col min="13828" max="13828" width="8" style="16" customWidth="1"/>
    <col min="13829" max="13829" width="8.5703125" style="16" bestFit="1" customWidth="1"/>
    <col min="13830" max="13832" width="8.42578125" style="16" customWidth="1"/>
    <col min="13833" max="13833" width="7.140625" style="16" bestFit="1" customWidth="1"/>
    <col min="13834" max="13834" width="7.140625" style="16" customWidth="1"/>
    <col min="13835" max="13836" width="7" style="16" bestFit="1" customWidth="1"/>
    <col min="13837" max="13837" width="6.85546875" style="16" bestFit="1" customWidth="1"/>
    <col min="13838" max="13838" width="7" style="16" bestFit="1" customWidth="1"/>
    <col min="13839" max="13839" width="7.140625" style="16" bestFit="1"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9" style="16" customWidth="1"/>
    <col min="14083" max="14083" width="8.42578125" style="16" customWidth="1"/>
    <col min="14084" max="14084" width="8" style="16" customWidth="1"/>
    <col min="14085" max="14085" width="8.5703125" style="16" bestFit="1" customWidth="1"/>
    <col min="14086" max="14088" width="8.42578125" style="16" customWidth="1"/>
    <col min="14089" max="14089" width="7.140625" style="16" bestFit="1" customWidth="1"/>
    <col min="14090" max="14090" width="7.140625" style="16" customWidth="1"/>
    <col min="14091" max="14092" width="7" style="16" bestFit="1" customWidth="1"/>
    <col min="14093" max="14093" width="6.85546875" style="16" bestFit="1" customWidth="1"/>
    <col min="14094" max="14094" width="7" style="16" bestFit="1" customWidth="1"/>
    <col min="14095" max="14095" width="7.140625" style="16" bestFit="1"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9" style="16" customWidth="1"/>
    <col min="14339" max="14339" width="8.42578125" style="16" customWidth="1"/>
    <col min="14340" max="14340" width="8" style="16" customWidth="1"/>
    <col min="14341" max="14341" width="8.5703125" style="16" bestFit="1" customWidth="1"/>
    <col min="14342" max="14344" width="8.42578125" style="16" customWidth="1"/>
    <col min="14345" max="14345" width="7.140625" style="16" bestFit="1" customWidth="1"/>
    <col min="14346" max="14346" width="7.140625" style="16" customWidth="1"/>
    <col min="14347" max="14348" width="7" style="16" bestFit="1" customWidth="1"/>
    <col min="14349" max="14349" width="6.85546875" style="16" bestFit="1" customWidth="1"/>
    <col min="14350" max="14350" width="7" style="16" bestFit="1" customWidth="1"/>
    <col min="14351" max="14351" width="7.140625" style="16" bestFit="1"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9" style="16" customWidth="1"/>
    <col min="14595" max="14595" width="8.42578125" style="16" customWidth="1"/>
    <col min="14596" max="14596" width="8" style="16" customWidth="1"/>
    <col min="14597" max="14597" width="8.5703125" style="16" bestFit="1" customWidth="1"/>
    <col min="14598" max="14600" width="8.42578125" style="16" customWidth="1"/>
    <col min="14601" max="14601" width="7.140625" style="16" bestFit="1" customWidth="1"/>
    <col min="14602" max="14602" width="7.140625" style="16" customWidth="1"/>
    <col min="14603" max="14604" width="7" style="16" bestFit="1" customWidth="1"/>
    <col min="14605" max="14605" width="6.85546875" style="16" bestFit="1" customWidth="1"/>
    <col min="14606" max="14606" width="7" style="16" bestFit="1" customWidth="1"/>
    <col min="14607" max="14607" width="7.140625" style="16" bestFit="1"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9" style="16" customWidth="1"/>
    <col min="14851" max="14851" width="8.42578125" style="16" customWidth="1"/>
    <col min="14852" max="14852" width="8" style="16" customWidth="1"/>
    <col min="14853" max="14853" width="8.5703125" style="16" bestFit="1" customWidth="1"/>
    <col min="14854" max="14856" width="8.42578125" style="16" customWidth="1"/>
    <col min="14857" max="14857" width="7.140625" style="16" bestFit="1" customWidth="1"/>
    <col min="14858" max="14858" width="7.140625" style="16" customWidth="1"/>
    <col min="14859" max="14860" width="7" style="16" bestFit="1" customWidth="1"/>
    <col min="14861" max="14861" width="6.85546875" style="16" bestFit="1" customWidth="1"/>
    <col min="14862" max="14862" width="7" style="16" bestFit="1" customWidth="1"/>
    <col min="14863" max="14863" width="7.140625" style="16" bestFit="1"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9" style="16" customWidth="1"/>
    <col min="15107" max="15107" width="8.42578125" style="16" customWidth="1"/>
    <col min="15108" max="15108" width="8" style="16" customWidth="1"/>
    <col min="15109" max="15109" width="8.5703125" style="16" bestFit="1" customWidth="1"/>
    <col min="15110" max="15112" width="8.42578125" style="16" customWidth="1"/>
    <col min="15113" max="15113" width="7.140625" style="16" bestFit="1" customWidth="1"/>
    <col min="15114" max="15114" width="7.140625" style="16" customWidth="1"/>
    <col min="15115" max="15116" width="7" style="16" bestFit="1" customWidth="1"/>
    <col min="15117" max="15117" width="6.85546875" style="16" bestFit="1" customWidth="1"/>
    <col min="15118" max="15118" width="7" style="16" bestFit="1" customWidth="1"/>
    <col min="15119" max="15119" width="7.140625" style="16" bestFit="1"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9" style="16" customWidth="1"/>
    <col min="15363" max="15363" width="8.42578125" style="16" customWidth="1"/>
    <col min="15364" max="15364" width="8" style="16" customWidth="1"/>
    <col min="15365" max="15365" width="8.5703125" style="16" bestFit="1" customWidth="1"/>
    <col min="15366" max="15368" width="8.42578125" style="16" customWidth="1"/>
    <col min="15369" max="15369" width="7.140625" style="16" bestFit="1" customWidth="1"/>
    <col min="15370" max="15370" width="7.140625" style="16" customWidth="1"/>
    <col min="15371" max="15372" width="7" style="16" bestFit="1" customWidth="1"/>
    <col min="15373" max="15373" width="6.85546875" style="16" bestFit="1" customWidth="1"/>
    <col min="15374" max="15374" width="7" style="16" bestFit="1" customWidth="1"/>
    <col min="15375" max="15375" width="7.140625" style="16" bestFit="1"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9" style="16" customWidth="1"/>
    <col min="15619" max="15619" width="8.42578125" style="16" customWidth="1"/>
    <col min="15620" max="15620" width="8" style="16" customWidth="1"/>
    <col min="15621" max="15621" width="8.5703125" style="16" bestFit="1" customWidth="1"/>
    <col min="15622" max="15624" width="8.42578125" style="16" customWidth="1"/>
    <col min="15625" max="15625" width="7.140625" style="16" bestFit="1" customWidth="1"/>
    <col min="15626" max="15626" width="7.140625" style="16" customWidth="1"/>
    <col min="15627" max="15628" width="7" style="16" bestFit="1" customWidth="1"/>
    <col min="15629" max="15629" width="6.85546875" style="16" bestFit="1" customWidth="1"/>
    <col min="15630" max="15630" width="7" style="16" bestFit="1" customWidth="1"/>
    <col min="15631" max="15631" width="7.140625" style="16" bestFit="1"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9" style="16" customWidth="1"/>
    <col min="15875" max="15875" width="8.42578125" style="16" customWidth="1"/>
    <col min="15876" max="15876" width="8" style="16" customWidth="1"/>
    <col min="15877" max="15877" width="8.5703125" style="16" bestFit="1" customWidth="1"/>
    <col min="15878" max="15880" width="8.42578125" style="16" customWidth="1"/>
    <col min="15881" max="15881" width="7.140625" style="16" bestFit="1" customWidth="1"/>
    <col min="15882" max="15882" width="7.140625" style="16" customWidth="1"/>
    <col min="15883" max="15884" width="7" style="16" bestFit="1" customWidth="1"/>
    <col min="15885" max="15885" width="6.85546875" style="16" bestFit="1" customWidth="1"/>
    <col min="15886" max="15886" width="7" style="16" bestFit="1" customWidth="1"/>
    <col min="15887" max="15887" width="7.140625" style="16" bestFit="1"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9" style="16" customWidth="1"/>
    <col min="16131" max="16131" width="8.42578125" style="16" customWidth="1"/>
    <col min="16132" max="16132" width="8" style="16" customWidth="1"/>
    <col min="16133" max="16133" width="8.5703125" style="16" bestFit="1" customWidth="1"/>
    <col min="16134" max="16136" width="8.42578125" style="16" customWidth="1"/>
    <col min="16137" max="16137" width="7.140625" style="16" bestFit="1" customWidth="1"/>
    <col min="16138" max="16138" width="7.140625" style="16" customWidth="1"/>
    <col min="16139" max="16140" width="7" style="16" bestFit="1" customWidth="1"/>
    <col min="16141" max="16141" width="6.85546875" style="16" bestFit="1" customWidth="1"/>
    <col min="16142" max="16142" width="7" style="16" bestFit="1" customWidth="1"/>
    <col min="16143" max="16143" width="7.140625" style="16" bestFit="1"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21" s="1" customFormat="1" x14ac:dyDescent="0.2">
      <c r="A1" s="867" t="s">
        <v>100</v>
      </c>
      <c r="B1" s="868"/>
      <c r="C1" s="868"/>
      <c r="D1" s="869"/>
      <c r="E1" s="868"/>
      <c r="F1" s="868"/>
      <c r="G1" s="867" t="s">
        <v>102</v>
      </c>
      <c r="H1" s="869"/>
      <c r="I1" s="869" t="s">
        <v>561</v>
      </c>
      <c r="J1" s="868"/>
      <c r="K1" s="868"/>
      <c r="L1" s="870"/>
      <c r="M1" s="870"/>
      <c r="N1" s="870"/>
      <c r="O1" s="870"/>
    </row>
    <row r="2" spans="1:21" s="1" customFormat="1" x14ac:dyDescent="0.2">
      <c r="A2" s="867" t="s">
        <v>103</v>
      </c>
      <c r="B2" s="868"/>
      <c r="C2" s="868"/>
      <c r="D2" s="869"/>
      <c r="E2" s="868"/>
      <c r="F2" s="868"/>
      <c r="G2" s="867" t="s">
        <v>104</v>
      </c>
      <c r="H2" s="869"/>
      <c r="I2" s="869" t="s">
        <v>105</v>
      </c>
      <c r="J2" s="868"/>
      <c r="K2" s="868"/>
      <c r="L2" s="870"/>
      <c r="M2" s="870"/>
      <c r="N2" s="870"/>
      <c r="O2" s="870"/>
    </row>
    <row r="3" spans="1:21" s="1" customFormat="1" x14ac:dyDescent="0.2">
      <c r="A3" s="867" t="s">
        <v>106</v>
      </c>
      <c r="B3" s="868"/>
      <c r="C3" s="868"/>
      <c r="D3" s="883" t="s">
        <v>805</v>
      </c>
      <c r="E3" s="868"/>
      <c r="F3" s="868"/>
      <c r="G3" s="867" t="s">
        <v>107</v>
      </c>
      <c r="H3" s="869"/>
      <c r="I3" s="869" t="s">
        <v>108</v>
      </c>
      <c r="J3" s="868"/>
      <c r="K3" s="868"/>
      <c r="L3" s="870"/>
      <c r="M3" s="870"/>
      <c r="N3" s="870"/>
      <c r="O3" s="870"/>
    </row>
    <row r="4" spans="1:21" s="1" customFormat="1" x14ac:dyDescent="0.2">
      <c r="A4" s="867" t="s">
        <v>109</v>
      </c>
      <c r="B4" s="868"/>
      <c r="C4" s="868"/>
      <c r="D4" s="869"/>
      <c r="E4" s="868"/>
      <c r="F4" s="868"/>
      <c r="G4" s="867" t="s">
        <v>110</v>
      </c>
      <c r="H4" s="869"/>
      <c r="I4" s="869" t="s">
        <v>272</v>
      </c>
      <c r="J4" s="868"/>
      <c r="K4" s="868"/>
      <c r="L4" s="870"/>
      <c r="M4" s="870"/>
      <c r="N4" s="870"/>
      <c r="O4" s="870"/>
    </row>
    <row r="5" spans="1:21" s="1" customFormat="1" x14ac:dyDescent="0.2">
      <c r="A5" s="867" t="s">
        <v>278</v>
      </c>
      <c r="B5" s="868"/>
      <c r="C5" s="868"/>
      <c r="D5" s="869" t="s">
        <v>806</v>
      </c>
      <c r="E5" s="868"/>
      <c r="F5" s="868"/>
      <c r="G5" s="867"/>
      <c r="H5" s="868"/>
      <c r="I5" s="869" t="s">
        <v>113</v>
      </c>
      <c r="J5" s="868"/>
      <c r="K5" s="868"/>
      <c r="L5" s="870"/>
      <c r="M5" s="870"/>
      <c r="N5" s="870"/>
      <c r="O5" s="870"/>
    </row>
    <row r="6" spans="1:21" s="1" customFormat="1" x14ac:dyDescent="0.2">
      <c r="A6" s="871" t="s">
        <v>114</v>
      </c>
      <c r="B6" s="872"/>
      <c r="C6" s="872"/>
      <c r="D6" s="868" t="s">
        <v>562</v>
      </c>
      <c r="E6" s="868"/>
      <c r="F6" s="868"/>
      <c r="G6" s="871" t="s">
        <v>115</v>
      </c>
      <c r="H6" s="871"/>
      <c r="I6" s="2" t="s">
        <v>116</v>
      </c>
      <c r="J6" s="888"/>
      <c r="K6" s="888"/>
      <c r="L6" s="888"/>
      <c r="M6" s="888"/>
      <c r="N6" s="888"/>
      <c r="O6" s="889"/>
    </row>
    <row r="7" spans="1:21" s="1" customFormat="1" ht="13.5" thickBot="1" x14ac:dyDescent="0.25">
      <c r="A7" s="3"/>
      <c r="B7" s="4"/>
      <c r="C7" s="5"/>
      <c r="D7" s="6"/>
      <c r="E7" s="6"/>
      <c r="F7" s="6"/>
      <c r="G7" s="6"/>
      <c r="H7" s="6"/>
      <c r="I7" s="6"/>
      <c r="J7" s="7"/>
      <c r="K7" s="8"/>
      <c r="L7" s="875" t="s">
        <v>223</v>
      </c>
      <c r="M7" s="875"/>
      <c r="N7" s="875"/>
      <c r="O7" s="875"/>
    </row>
    <row r="8" spans="1:21" s="11" customFormat="1" ht="15" x14ac:dyDescent="0.25">
      <c r="A8" s="876" t="str">
        <f>I1</f>
        <v>Mr. V.B. Shelar</v>
      </c>
      <c r="B8" s="877"/>
      <c r="C8" s="9">
        <v>43160</v>
      </c>
      <c r="D8" s="9">
        <v>43191</v>
      </c>
      <c r="E8" s="9">
        <v>43221</v>
      </c>
      <c r="F8" s="9">
        <v>43252</v>
      </c>
      <c r="G8" s="9">
        <v>43282</v>
      </c>
      <c r="H8" s="9">
        <v>43313</v>
      </c>
      <c r="I8" s="9">
        <v>43344</v>
      </c>
      <c r="J8" s="9">
        <v>43374</v>
      </c>
      <c r="K8" s="9">
        <v>43405</v>
      </c>
      <c r="L8" s="9">
        <v>43435</v>
      </c>
      <c r="M8" s="9">
        <v>43466</v>
      </c>
      <c r="N8" s="9">
        <v>43497</v>
      </c>
      <c r="O8" s="10" t="s">
        <v>117</v>
      </c>
      <c r="U8" s="296"/>
    </row>
    <row r="9" spans="1:21" ht="15" x14ac:dyDescent="0.2">
      <c r="A9" s="12"/>
      <c r="B9" s="13" t="s">
        <v>118</v>
      </c>
      <c r="C9" s="14">
        <v>34000</v>
      </c>
      <c r="D9" s="14">
        <v>34000</v>
      </c>
      <c r="E9" s="14">
        <v>34000</v>
      </c>
      <c r="F9" s="14">
        <v>34000</v>
      </c>
      <c r="G9" s="14">
        <v>35000</v>
      </c>
      <c r="H9" s="14">
        <v>35000</v>
      </c>
      <c r="I9" s="14">
        <v>35000</v>
      </c>
      <c r="J9" s="14">
        <v>35000</v>
      </c>
      <c r="K9" s="14">
        <v>35000</v>
      </c>
      <c r="L9" s="14">
        <v>35000</v>
      </c>
      <c r="M9" s="14">
        <v>35000</v>
      </c>
      <c r="N9" s="14">
        <v>35000</v>
      </c>
      <c r="O9" s="15">
        <f>SUM(C9:N9)</f>
        <v>416000</v>
      </c>
    </row>
    <row r="10" spans="1:21" ht="15" x14ac:dyDescent="0.2">
      <c r="A10" s="12"/>
      <c r="B10" s="13" t="s">
        <v>119</v>
      </c>
      <c r="C10" s="17">
        <v>0</v>
      </c>
      <c r="D10" s="17">
        <f>+C10</f>
        <v>0</v>
      </c>
      <c r="E10" s="17">
        <f t="shared" ref="E10:N25" si="0">+D10</f>
        <v>0</v>
      </c>
      <c r="F10" s="17">
        <f t="shared" si="0"/>
        <v>0</v>
      </c>
      <c r="G10" s="17">
        <f t="shared" si="0"/>
        <v>0</v>
      </c>
      <c r="H10" s="17">
        <v>0</v>
      </c>
      <c r="I10" s="17">
        <f t="shared" si="0"/>
        <v>0</v>
      </c>
      <c r="J10" s="17">
        <f t="shared" si="0"/>
        <v>0</v>
      </c>
      <c r="K10" s="17">
        <f t="shared" si="0"/>
        <v>0</v>
      </c>
      <c r="L10" s="17">
        <f t="shared" si="0"/>
        <v>0</v>
      </c>
      <c r="M10" s="17">
        <f t="shared" si="0"/>
        <v>0</v>
      </c>
      <c r="N10" s="17">
        <f t="shared" si="0"/>
        <v>0</v>
      </c>
      <c r="O10" s="18">
        <f>SUM(C10:N10)</f>
        <v>0</v>
      </c>
    </row>
    <row r="11" spans="1:21" ht="15.75" x14ac:dyDescent="0.25">
      <c r="A11" s="12"/>
      <c r="B11" s="13" t="s">
        <v>120</v>
      </c>
      <c r="C11" s="17">
        <v>1700</v>
      </c>
      <c r="D11" s="17">
        <v>2380</v>
      </c>
      <c r="E11" s="17">
        <f t="shared" si="0"/>
        <v>2380</v>
      </c>
      <c r="F11" s="17">
        <f t="shared" si="0"/>
        <v>2380</v>
      </c>
      <c r="G11" s="17">
        <v>2450</v>
      </c>
      <c r="H11" s="17">
        <v>2450</v>
      </c>
      <c r="I11" s="17">
        <v>2450</v>
      </c>
      <c r="J11" s="17">
        <v>3150</v>
      </c>
      <c r="K11" s="17">
        <f>+J11</f>
        <v>3150</v>
      </c>
      <c r="L11" s="17">
        <f>+K11</f>
        <v>3150</v>
      </c>
      <c r="M11" s="17">
        <f>+L11</f>
        <v>3150</v>
      </c>
      <c r="N11" s="17">
        <f>+M11</f>
        <v>3150</v>
      </c>
      <c r="O11" s="18">
        <f>SUM(C11:N11)</f>
        <v>31940</v>
      </c>
      <c r="T11" s="297"/>
    </row>
    <row r="12" spans="1:21" ht="15" hidden="1" x14ac:dyDescent="0.2">
      <c r="A12" s="12"/>
      <c r="B12" s="13" t="s">
        <v>121</v>
      </c>
      <c r="C12" s="17">
        <v>0</v>
      </c>
      <c r="D12" s="17">
        <f>+C12</f>
        <v>0</v>
      </c>
      <c r="E12" s="17">
        <f t="shared" si="0"/>
        <v>0</v>
      </c>
      <c r="F12" s="17">
        <f t="shared" si="0"/>
        <v>0</v>
      </c>
      <c r="G12" s="17">
        <f>+F12</f>
        <v>0</v>
      </c>
      <c r="H12" s="17">
        <v>0</v>
      </c>
      <c r="I12" s="17">
        <f t="shared" ref="I12:N13" si="1">+H12</f>
        <v>0</v>
      </c>
      <c r="J12" s="17">
        <f t="shared" si="1"/>
        <v>0</v>
      </c>
      <c r="K12" s="17">
        <f t="shared" si="1"/>
        <v>0</v>
      </c>
      <c r="L12" s="17">
        <f t="shared" si="1"/>
        <v>0</v>
      </c>
      <c r="M12" s="17">
        <f t="shared" si="1"/>
        <v>0</v>
      </c>
      <c r="N12" s="17">
        <f t="shared" si="1"/>
        <v>0</v>
      </c>
      <c r="O12" s="18">
        <f>SUM(C12:N12)</f>
        <v>0</v>
      </c>
    </row>
    <row r="13" spans="1:21" ht="15" hidden="1" x14ac:dyDescent="0.2">
      <c r="A13" s="12"/>
      <c r="B13" s="13" t="s">
        <v>122</v>
      </c>
      <c r="C13" s="17">
        <v>0</v>
      </c>
      <c r="D13" s="17">
        <f>+C13</f>
        <v>0</v>
      </c>
      <c r="E13" s="17">
        <f t="shared" si="0"/>
        <v>0</v>
      </c>
      <c r="F13" s="17">
        <f t="shared" si="0"/>
        <v>0</v>
      </c>
      <c r="G13" s="17">
        <f>+F13</f>
        <v>0</v>
      </c>
      <c r="H13" s="17">
        <v>0</v>
      </c>
      <c r="I13" s="17">
        <f t="shared" si="1"/>
        <v>0</v>
      </c>
      <c r="J13" s="17">
        <f t="shared" si="1"/>
        <v>0</v>
      </c>
      <c r="K13" s="17">
        <f t="shared" si="1"/>
        <v>0</v>
      </c>
      <c r="L13" s="17">
        <f t="shared" si="1"/>
        <v>0</v>
      </c>
      <c r="M13" s="17">
        <f t="shared" si="1"/>
        <v>0</v>
      </c>
      <c r="N13" s="17">
        <f t="shared" si="1"/>
        <v>0</v>
      </c>
      <c r="O13" s="18">
        <f t="shared" ref="O13:O36" si="2">SUM(C13:N13)</f>
        <v>0</v>
      </c>
    </row>
    <row r="14" spans="1:21" ht="15.75" x14ac:dyDescent="0.25">
      <c r="A14" s="12"/>
      <c r="B14" s="13" t="s">
        <v>123</v>
      </c>
      <c r="C14" s="17">
        <v>3780</v>
      </c>
      <c r="D14" s="17">
        <v>3852</v>
      </c>
      <c r="E14" s="17">
        <f t="shared" si="0"/>
        <v>3852</v>
      </c>
      <c r="F14" s="17">
        <f t="shared" si="0"/>
        <v>3852</v>
      </c>
      <c r="G14" s="17">
        <f>+F14</f>
        <v>3852</v>
      </c>
      <c r="H14" s="17">
        <f>+G14</f>
        <v>3852</v>
      </c>
      <c r="I14" s="17">
        <f>+H14</f>
        <v>3852</v>
      </c>
      <c r="J14" s="17">
        <v>3924</v>
      </c>
      <c r="K14" s="17">
        <f>+J14</f>
        <v>3924</v>
      </c>
      <c r="L14" s="17">
        <f>+K14</f>
        <v>3924</v>
      </c>
      <c r="M14" s="17">
        <f>+L14</f>
        <v>3924</v>
      </c>
      <c r="N14" s="17">
        <f>+M14</f>
        <v>3924</v>
      </c>
      <c r="O14" s="18">
        <f t="shared" si="2"/>
        <v>46512</v>
      </c>
      <c r="S14" s="200"/>
    </row>
    <row r="15" spans="1:21" ht="15" hidden="1" x14ac:dyDescent="0.2">
      <c r="A15" s="12"/>
      <c r="B15" s="13" t="s">
        <v>124</v>
      </c>
      <c r="C15" s="17">
        <v>0</v>
      </c>
      <c r="D15" s="17">
        <f t="shared" ref="D15:G34" si="3">+C15</f>
        <v>0</v>
      </c>
      <c r="E15" s="17">
        <f t="shared" si="0"/>
        <v>0</v>
      </c>
      <c r="F15" s="17">
        <f t="shared" si="0"/>
        <v>0</v>
      </c>
      <c r="G15" s="17">
        <f>+F15</f>
        <v>0</v>
      </c>
      <c r="H15" s="17">
        <v>0</v>
      </c>
      <c r="I15" s="17">
        <f t="shared" ref="I15:N30" si="4">+H15</f>
        <v>0</v>
      </c>
      <c r="J15" s="17">
        <f t="shared" si="4"/>
        <v>0</v>
      </c>
      <c r="K15" s="17">
        <f t="shared" si="4"/>
        <v>0</v>
      </c>
      <c r="L15" s="17">
        <f t="shared" si="4"/>
        <v>0</v>
      </c>
      <c r="M15" s="17">
        <f t="shared" si="4"/>
        <v>0</v>
      </c>
      <c r="N15" s="17">
        <f t="shared" si="4"/>
        <v>0</v>
      </c>
      <c r="O15" s="18">
        <f t="shared" si="2"/>
        <v>0</v>
      </c>
    </row>
    <row r="16" spans="1:21" ht="15.75" x14ac:dyDescent="0.25">
      <c r="A16" s="12"/>
      <c r="B16" s="13" t="s">
        <v>125</v>
      </c>
      <c r="C16" s="17">
        <v>0</v>
      </c>
      <c r="D16" s="17">
        <f t="shared" si="3"/>
        <v>0</v>
      </c>
      <c r="E16" s="17">
        <f t="shared" si="0"/>
        <v>0</v>
      </c>
      <c r="F16" s="17">
        <f t="shared" si="0"/>
        <v>0</v>
      </c>
      <c r="G16" s="17">
        <v>5000</v>
      </c>
      <c r="H16" s="17">
        <v>0</v>
      </c>
      <c r="I16" s="17">
        <f t="shared" si="4"/>
        <v>0</v>
      </c>
      <c r="J16" s="17">
        <f t="shared" si="4"/>
        <v>0</v>
      </c>
      <c r="K16" s="17">
        <f t="shared" si="4"/>
        <v>0</v>
      </c>
      <c r="L16" s="17">
        <f t="shared" si="4"/>
        <v>0</v>
      </c>
      <c r="M16" s="17">
        <f t="shared" si="4"/>
        <v>0</v>
      </c>
      <c r="N16" s="17">
        <f t="shared" si="4"/>
        <v>0</v>
      </c>
      <c r="O16" s="18">
        <f t="shared" si="2"/>
        <v>5000</v>
      </c>
      <c r="T16" s="297"/>
    </row>
    <row r="17" spans="1:20" x14ac:dyDescent="0.2">
      <c r="A17" s="12"/>
      <c r="B17" s="166" t="s">
        <v>280</v>
      </c>
      <c r="C17" s="17">
        <v>0</v>
      </c>
      <c r="D17" s="17">
        <f t="shared" si="3"/>
        <v>0</v>
      </c>
      <c r="E17" s="17">
        <f t="shared" si="0"/>
        <v>0</v>
      </c>
      <c r="F17" s="17">
        <f t="shared" si="0"/>
        <v>0</v>
      </c>
      <c r="G17" s="17">
        <f t="shared" si="0"/>
        <v>0</v>
      </c>
      <c r="H17" s="17">
        <v>0</v>
      </c>
      <c r="I17" s="17">
        <f t="shared" si="4"/>
        <v>0</v>
      </c>
      <c r="J17" s="17">
        <f t="shared" si="4"/>
        <v>0</v>
      </c>
      <c r="K17" s="17">
        <f t="shared" si="4"/>
        <v>0</v>
      </c>
      <c r="L17" s="17">
        <f t="shared" si="4"/>
        <v>0</v>
      </c>
      <c r="M17" s="17">
        <f t="shared" si="4"/>
        <v>0</v>
      </c>
      <c r="N17" s="17">
        <f t="shared" si="4"/>
        <v>0</v>
      </c>
      <c r="O17" s="18">
        <f>SUM(C17:N17)</f>
        <v>0</v>
      </c>
    </row>
    <row r="18" spans="1:20" ht="15" customHeight="1" x14ac:dyDescent="0.2">
      <c r="A18" s="12"/>
      <c r="B18" s="166" t="s">
        <v>224</v>
      </c>
      <c r="C18" s="17">
        <v>0</v>
      </c>
      <c r="D18" s="17">
        <f t="shared" si="3"/>
        <v>0</v>
      </c>
      <c r="E18" s="17">
        <f t="shared" si="0"/>
        <v>0</v>
      </c>
      <c r="F18" s="17">
        <f t="shared" si="0"/>
        <v>0</v>
      </c>
      <c r="G18" s="17">
        <f t="shared" si="0"/>
        <v>0</v>
      </c>
      <c r="H18" s="17">
        <v>0</v>
      </c>
      <c r="I18" s="17">
        <f t="shared" si="4"/>
        <v>0</v>
      </c>
      <c r="J18" s="17">
        <f t="shared" si="4"/>
        <v>0</v>
      </c>
      <c r="K18" s="17">
        <f t="shared" si="4"/>
        <v>0</v>
      </c>
      <c r="L18" s="17">
        <f t="shared" si="4"/>
        <v>0</v>
      </c>
      <c r="M18" s="17">
        <f t="shared" si="4"/>
        <v>0</v>
      </c>
      <c r="N18" s="17">
        <f t="shared" si="4"/>
        <v>0</v>
      </c>
      <c r="O18" s="18">
        <f t="shared" si="2"/>
        <v>0</v>
      </c>
    </row>
    <row r="19" spans="1:20" ht="15.75" x14ac:dyDescent="0.25">
      <c r="A19" s="12"/>
      <c r="B19" s="13" t="s">
        <v>128</v>
      </c>
      <c r="C19" s="17">
        <v>0</v>
      </c>
      <c r="D19" s="17">
        <f t="shared" si="3"/>
        <v>0</v>
      </c>
      <c r="E19" s="17">
        <f t="shared" si="0"/>
        <v>0</v>
      </c>
      <c r="F19" s="17">
        <f t="shared" si="0"/>
        <v>0</v>
      </c>
      <c r="G19" s="17">
        <f t="shared" si="0"/>
        <v>0</v>
      </c>
      <c r="H19" s="17">
        <v>0</v>
      </c>
      <c r="I19" s="17">
        <f t="shared" si="4"/>
        <v>0</v>
      </c>
      <c r="J19" s="17">
        <f t="shared" si="4"/>
        <v>0</v>
      </c>
      <c r="K19" s="17">
        <f t="shared" si="4"/>
        <v>0</v>
      </c>
      <c r="L19" s="17">
        <f t="shared" si="4"/>
        <v>0</v>
      </c>
      <c r="M19" s="17">
        <f t="shared" si="4"/>
        <v>0</v>
      </c>
      <c r="N19" s="17">
        <f t="shared" si="4"/>
        <v>0</v>
      </c>
      <c r="O19" s="18">
        <f t="shared" si="2"/>
        <v>0</v>
      </c>
      <c r="T19" s="298"/>
    </row>
    <row r="20" spans="1:20" ht="15" customHeight="1" x14ac:dyDescent="0.2">
      <c r="A20" s="12"/>
      <c r="B20" s="13" t="s">
        <v>129</v>
      </c>
      <c r="C20" s="17">
        <v>0</v>
      </c>
      <c r="D20" s="17">
        <f t="shared" si="3"/>
        <v>0</v>
      </c>
      <c r="E20" s="17">
        <f t="shared" si="0"/>
        <v>0</v>
      </c>
      <c r="F20" s="17">
        <f t="shared" si="0"/>
        <v>0</v>
      </c>
      <c r="G20" s="17">
        <f t="shared" si="0"/>
        <v>0</v>
      </c>
      <c r="H20" s="17">
        <v>0</v>
      </c>
      <c r="I20" s="17">
        <f t="shared" si="4"/>
        <v>0</v>
      </c>
      <c r="J20" s="17">
        <f t="shared" si="4"/>
        <v>0</v>
      </c>
      <c r="K20" s="17">
        <f t="shared" si="4"/>
        <v>0</v>
      </c>
      <c r="L20" s="17">
        <f t="shared" si="4"/>
        <v>0</v>
      </c>
      <c r="M20" s="17">
        <f t="shared" si="4"/>
        <v>0</v>
      </c>
      <c r="N20" s="17">
        <f t="shared" si="4"/>
        <v>0</v>
      </c>
      <c r="O20" s="18">
        <f t="shared" si="2"/>
        <v>0</v>
      </c>
    </row>
    <row r="21" spans="1:20" ht="15" hidden="1" customHeight="1" x14ac:dyDescent="0.2">
      <c r="A21" s="878" t="s">
        <v>130</v>
      </c>
      <c r="B21" s="19" t="s">
        <v>131</v>
      </c>
      <c r="C21" s="17">
        <v>0</v>
      </c>
      <c r="D21" s="17">
        <f t="shared" si="3"/>
        <v>0</v>
      </c>
      <c r="E21" s="17">
        <f t="shared" si="0"/>
        <v>0</v>
      </c>
      <c r="F21" s="17">
        <f t="shared" si="0"/>
        <v>0</v>
      </c>
      <c r="G21" s="17">
        <f t="shared" si="0"/>
        <v>0</v>
      </c>
      <c r="H21" s="17">
        <v>0</v>
      </c>
      <c r="I21" s="17">
        <f t="shared" si="4"/>
        <v>0</v>
      </c>
      <c r="J21" s="17">
        <f t="shared" si="4"/>
        <v>0</v>
      </c>
      <c r="K21" s="17">
        <f t="shared" si="4"/>
        <v>0</v>
      </c>
      <c r="L21" s="17">
        <f t="shared" si="4"/>
        <v>0</v>
      </c>
      <c r="M21" s="17">
        <f t="shared" si="4"/>
        <v>0</v>
      </c>
      <c r="N21" s="17">
        <f t="shared" si="4"/>
        <v>0</v>
      </c>
      <c r="O21" s="18">
        <f t="shared" si="2"/>
        <v>0</v>
      </c>
    </row>
    <row r="22" spans="1:20" ht="15" customHeight="1" x14ac:dyDescent="0.2">
      <c r="A22" s="879"/>
      <c r="B22" s="19" t="s">
        <v>132</v>
      </c>
      <c r="C22" s="17">
        <v>0</v>
      </c>
      <c r="D22" s="17">
        <f t="shared" si="3"/>
        <v>0</v>
      </c>
      <c r="E22" s="17">
        <f t="shared" si="0"/>
        <v>0</v>
      </c>
      <c r="F22" s="17">
        <f t="shared" si="0"/>
        <v>0</v>
      </c>
      <c r="G22" s="17">
        <f t="shared" si="0"/>
        <v>0</v>
      </c>
      <c r="H22" s="17">
        <v>0</v>
      </c>
      <c r="I22" s="17">
        <f t="shared" si="4"/>
        <v>0</v>
      </c>
      <c r="J22" s="17">
        <v>6908</v>
      </c>
      <c r="K22" s="17">
        <v>0</v>
      </c>
      <c r="L22" s="17">
        <f t="shared" si="4"/>
        <v>0</v>
      </c>
      <c r="M22" s="17">
        <f t="shared" si="4"/>
        <v>0</v>
      </c>
      <c r="N22" s="17">
        <f t="shared" si="4"/>
        <v>0</v>
      </c>
      <c r="O22" s="18">
        <f t="shared" si="2"/>
        <v>6908</v>
      </c>
    </row>
    <row r="23" spans="1:20" ht="15" hidden="1" customHeight="1" x14ac:dyDescent="0.2">
      <c r="A23" s="879"/>
      <c r="B23" s="19" t="s">
        <v>133</v>
      </c>
      <c r="C23" s="17">
        <v>0</v>
      </c>
      <c r="D23" s="17">
        <f t="shared" si="3"/>
        <v>0</v>
      </c>
      <c r="E23" s="17">
        <f t="shared" si="0"/>
        <v>0</v>
      </c>
      <c r="F23" s="17">
        <f t="shared" si="0"/>
        <v>0</v>
      </c>
      <c r="G23" s="17">
        <f t="shared" si="0"/>
        <v>0</v>
      </c>
      <c r="H23" s="17">
        <v>0</v>
      </c>
      <c r="I23" s="17">
        <f t="shared" si="4"/>
        <v>0</v>
      </c>
      <c r="J23" s="17">
        <f t="shared" si="4"/>
        <v>0</v>
      </c>
      <c r="K23" s="17">
        <f t="shared" si="4"/>
        <v>0</v>
      </c>
      <c r="L23" s="17">
        <f t="shared" si="4"/>
        <v>0</v>
      </c>
      <c r="M23" s="17">
        <f t="shared" si="4"/>
        <v>0</v>
      </c>
      <c r="N23" s="17">
        <f t="shared" si="4"/>
        <v>0</v>
      </c>
      <c r="O23" s="18">
        <f t="shared" si="2"/>
        <v>0</v>
      </c>
    </row>
    <row r="24" spans="1:20" ht="15" hidden="1" customHeight="1" x14ac:dyDescent="0.2">
      <c r="A24" s="879"/>
      <c r="B24" s="19" t="s">
        <v>134</v>
      </c>
      <c r="C24" s="17">
        <v>0</v>
      </c>
      <c r="D24" s="17">
        <f t="shared" si="3"/>
        <v>0</v>
      </c>
      <c r="E24" s="17">
        <f t="shared" si="0"/>
        <v>0</v>
      </c>
      <c r="F24" s="17">
        <f t="shared" si="0"/>
        <v>0</v>
      </c>
      <c r="G24" s="17">
        <f t="shared" si="0"/>
        <v>0</v>
      </c>
      <c r="H24" s="17">
        <v>0</v>
      </c>
      <c r="I24" s="17">
        <f t="shared" si="4"/>
        <v>0</v>
      </c>
      <c r="J24" s="17">
        <f t="shared" si="4"/>
        <v>0</v>
      </c>
      <c r="K24" s="17">
        <f t="shared" si="4"/>
        <v>0</v>
      </c>
      <c r="L24" s="17">
        <f t="shared" si="4"/>
        <v>0</v>
      </c>
      <c r="M24" s="17">
        <f t="shared" si="4"/>
        <v>0</v>
      </c>
      <c r="N24" s="17">
        <f t="shared" si="4"/>
        <v>0</v>
      </c>
      <c r="O24" s="18">
        <f t="shared" si="2"/>
        <v>0</v>
      </c>
    </row>
    <row r="25" spans="1:20" ht="15" hidden="1" customHeight="1" x14ac:dyDescent="0.2">
      <c r="A25" s="879"/>
      <c r="B25" s="19" t="s">
        <v>135</v>
      </c>
      <c r="C25" s="17">
        <v>0</v>
      </c>
      <c r="D25" s="17">
        <f t="shared" si="3"/>
        <v>0</v>
      </c>
      <c r="E25" s="17">
        <f t="shared" si="0"/>
        <v>0</v>
      </c>
      <c r="F25" s="17">
        <f t="shared" si="0"/>
        <v>0</v>
      </c>
      <c r="G25" s="17">
        <f t="shared" si="0"/>
        <v>0</v>
      </c>
      <c r="H25" s="17">
        <v>0</v>
      </c>
      <c r="I25" s="17">
        <f t="shared" si="4"/>
        <v>0</v>
      </c>
      <c r="J25" s="17">
        <f t="shared" si="4"/>
        <v>0</v>
      </c>
      <c r="K25" s="17">
        <f t="shared" si="4"/>
        <v>0</v>
      </c>
      <c r="L25" s="17">
        <f t="shared" si="4"/>
        <v>0</v>
      </c>
      <c r="M25" s="17">
        <f t="shared" si="4"/>
        <v>0</v>
      </c>
      <c r="N25" s="17">
        <f t="shared" si="4"/>
        <v>0</v>
      </c>
      <c r="O25" s="18">
        <f t="shared" si="2"/>
        <v>0</v>
      </c>
    </row>
    <row r="26" spans="1:20" ht="15" hidden="1" customHeight="1" x14ac:dyDescent="0.2">
      <c r="A26" s="879"/>
      <c r="B26" s="19" t="s">
        <v>136</v>
      </c>
      <c r="C26" s="17">
        <v>0</v>
      </c>
      <c r="D26" s="17">
        <f t="shared" si="3"/>
        <v>0</v>
      </c>
      <c r="E26" s="17">
        <f t="shared" si="3"/>
        <v>0</v>
      </c>
      <c r="F26" s="17">
        <f t="shared" si="3"/>
        <v>0</v>
      </c>
      <c r="G26" s="17">
        <f t="shared" si="3"/>
        <v>0</v>
      </c>
      <c r="H26" s="17">
        <v>0</v>
      </c>
      <c r="I26" s="17">
        <f t="shared" si="4"/>
        <v>0</v>
      </c>
      <c r="J26" s="17">
        <f t="shared" si="4"/>
        <v>0</v>
      </c>
      <c r="K26" s="17">
        <f t="shared" si="4"/>
        <v>0</v>
      </c>
      <c r="L26" s="17">
        <f t="shared" si="4"/>
        <v>0</v>
      </c>
      <c r="M26" s="17">
        <f t="shared" si="4"/>
        <v>0</v>
      </c>
      <c r="N26" s="17">
        <f t="shared" si="4"/>
        <v>0</v>
      </c>
      <c r="O26" s="18">
        <f t="shared" si="2"/>
        <v>0</v>
      </c>
    </row>
    <row r="27" spans="1:20" ht="15" hidden="1" customHeight="1" x14ac:dyDescent="0.2">
      <c r="A27" s="879"/>
      <c r="B27" s="19" t="s">
        <v>137</v>
      </c>
      <c r="C27" s="17">
        <v>0</v>
      </c>
      <c r="D27" s="17">
        <f t="shared" si="3"/>
        <v>0</v>
      </c>
      <c r="E27" s="17">
        <f t="shared" si="3"/>
        <v>0</v>
      </c>
      <c r="F27" s="17">
        <f t="shared" si="3"/>
        <v>0</v>
      </c>
      <c r="G27" s="17">
        <f t="shared" si="3"/>
        <v>0</v>
      </c>
      <c r="H27" s="17">
        <v>0</v>
      </c>
      <c r="I27" s="17">
        <f t="shared" si="4"/>
        <v>0</v>
      </c>
      <c r="J27" s="17">
        <f t="shared" si="4"/>
        <v>0</v>
      </c>
      <c r="K27" s="17">
        <f t="shared" si="4"/>
        <v>0</v>
      </c>
      <c r="L27" s="17">
        <f t="shared" si="4"/>
        <v>0</v>
      </c>
      <c r="M27" s="17">
        <f t="shared" si="4"/>
        <v>0</v>
      </c>
      <c r="N27" s="17">
        <f t="shared" si="4"/>
        <v>0</v>
      </c>
      <c r="O27" s="18">
        <f t="shared" si="2"/>
        <v>0</v>
      </c>
    </row>
    <row r="28" spans="1:20" ht="15" hidden="1" customHeight="1" x14ac:dyDescent="0.2">
      <c r="A28" s="879"/>
      <c r="B28" s="19" t="s">
        <v>138</v>
      </c>
      <c r="C28" s="17">
        <v>0</v>
      </c>
      <c r="D28" s="17">
        <f t="shared" si="3"/>
        <v>0</v>
      </c>
      <c r="E28" s="17">
        <f t="shared" si="3"/>
        <v>0</v>
      </c>
      <c r="F28" s="17">
        <f t="shared" si="3"/>
        <v>0</v>
      </c>
      <c r="G28" s="17">
        <f t="shared" si="3"/>
        <v>0</v>
      </c>
      <c r="H28" s="17">
        <v>0</v>
      </c>
      <c r="I28" s="17">
        <f t="shared" si="4"/>
        <v>0</v>
      </c>
      <c r="J28" s="17">
        <f t="shared" si="4"/>
        <v>0</v>
      </c>
      <c r="K28" s="17">
        <f t="shared" si="4"/>
        <v>0</v>
      </c>
      <c r="L28" s="17">
        <f t="shared" si="4"/>
        <v>0</v>
      </c>
      <c r="M28" s="17">
        <f t="shared" si="4"/>
        <v>0</v>
      </c>
      <c r="N28" s="17">
        <f t="shared" si="4"/>
        <v>0</v>
      </c>
      <c r="O28" s="18">
        <f t="shared" si="2"/>
        <v>0</v>
      </c>
    </row>
    <row r="29" spans="1:20" ht="15" hidden="1" customHeight="1" x14ac:dyDescent="0.2">
      <c r="A29" s="879"/>
      <c r="B29" s="19" t="s">
        <v>139</v>
      </c>
      <c r="C29" s="17">
        <v>0</v>
      </c>
      <c r="D29" s="17">
        <f t="shared" si="3"/>
        <v>0</v>
      </c>
      <c r="E29" s="17">
        <f t="shared" si="3"/>
        <v>0</v>
      </c>
      <c r="F29" s="17">
        <f t="shared" si="3"/>
        <v>0</v>
      </c>
      <c r="G29" s="17">
        <f t="shared" si="3"/>
        <v>0</v>
      </c>
      <c r="H29" s="17">
        <v>0</v>
      </c>
      <c r="I29" s="17">
        <f t="shared" si="4"/>
        <v>0</v>
      </c>
      <c r="J29" s="17">
        <f t="shared" si="4"/>
        <v>0</v>
      </c>
      <c r="K29" s="17">
        <f t="shared" si="4"/>
        <v>0</v>
      </c>
      <c r="L29" s="17">
        <f t="shared" si="4"/>
        <v>0</v>
      </c>
      <c r="M29" s="17">
        <f t="shared" si="4"/>
        <v>0</v>
      </c>
      <c r="N29" s="17">
        <f t="shared" si="4"/>
        <v>0</v>
      </c>
      <c r="O29" s="18">
        <f t="shared" si="2"/>
        <v>0</v>
      </c>
    </row>
    <row r="30" spans="1:20" ht="15" hidden="1" customHeight="1" x14ac:dyDescent="0.2">
      <c r="A30" s="879"/>
      <c r="B30" s="19" t="s">
        <v>140</v>
      </c>
      <c r="C30" s="17">
        <v>0</v>
      </c>
      <c r="D30" s="17">
        <f t="shared" si="3"/>
        <v>0</v>
      </c>
      <c r="E30" s="17">
        <f t="shared" si="3"/>
        <v>0</v>
      </c>
      <c r="F30" s="17">
        <f t="shared" si="3"/>
        <v>0</v>
      </c>
      <c r="G30" s="17">
        <f t="shared" si="3"/>
        <v>0</v>
      </c>
      <c r="H30" s="17">
        <v>0</v>
      </c>
      <c r="I30" s="17">
        <f t="shared" si="4"/>
        <v>0</v>
      </c>
      <c r="J30" s="17">
        <f t="shared" si="4"/>
        <v>0</v>
      </c>
      <c r="K30" s="17">
        <f t="shared" si="4"/>
        <v>0</v>
      </c>
      <c r="L30" s="17">
        <f t="shared" si="4"/>
        <v>0</v>
      </c>
      <c r="M30" s="17">
        <f t="shared" si="4"/>
        <v>0</v>
      </c>
      <c r="N30" s="17">
        <f t="shared" si="4"/>
        <v>0</v>
      </c>
      <c r="O30" s="18">
        <f t="shared" si="2"/>
        <v>0</v>
      </c>
    </row>
    <row r="31" spans="1:20" ht="15" customHeight="1" x14ac:dyDescent="0.2">
      <c r="A31" s="879"/>
      <c r="B31" s="167" t="s">
        <v>246</v>
      </c>
      <c r="C31" s="17">
        <v>0</v>
      </c>
      <c r="D31" s="17">
        <f t="shared" si="3"/>
        <v>0</v>
      </c>
      <c r="E31" s="17">
        <f t="shared" si="3"/>
        <v>0</v>
      </c>
      <c r="F31" s="17">
        <f t="shared" si="3"/>
        <v>0</v>
      </c>
      <c r="G31" s="17">
        <f t="shared" si="3"/>
        <v>0</v>
      </c>
      <c r="H31" s="17">
        <v>0</v>
      </c>
      <c r="I31" s="17">
        <f t="shared" ref="I31:N36" si="5">+H31</f>
        <v>0</v>
      </c>
      <c r="J31" s="17">
        <f t="shared" si="5"/>
        <v>0</v>
      </c>
      <c r="K31" s="17">
        <f t="shared" si="5"/>
        <v>0</v>
      </c>
      <c r="L31" s="17">
        <f t="shared" si="5"/>
        <v>0</v>
      </c>
      <c r="M31" s="17">
        <f t="shared" si="5"/>
        <v>0</v>
      </c>
      <c r="N31" s="17">
        <f t="shared" si="5"/>
        <v>0</v>
      </c>
      <c r="O31" s="18">
        <f t="shared" si="2"/>
        <v>0</v>
      </c>
    </row>
    <row r="32" spans="1:20" ht="15" customHeight="1" x14ac:dyDescent="0.2">
      <c r="A32" s="879"/>
      <c r="B32" s="21" t="s">
        <v>142</v>
      </c>
      <c r="C32" s="17">
        <v>0</v>
      </c>
      <c r="D32" s="17">
        <f t="shared" si="3"/>
        <v>0</v>
      </c>
      <c r="E32" s="17">
        <f t="shared" si="3"/>
        <v>0</v>
      </c>
      <c r="F32" s="17">
        <f t="shared" si="3"/>
        <v>0</v>
      </c>
      <c r="G32" s="17">
        <f t="shared" si="3"/>
        <v>0</v>
      </c>
      <c r="H32" s="17">
        <v>0</v>
      </c>
      <c r="I32" s="17">
        <f t="shared" si="5"/>
        <v>0</v>
      </c>
      <c r="J32" s="17">
        <f t="shared" si="5"/>
        <v>0</v>
      </c>
      <c r="K32" s="17">
        <f t="shared" si="5"/>
        <v>0</v>
      </c>
      <c r="L32" s="17">
        <f t="shared" si="5"/>
        <v>0</v>
      </c>
      <c r="M32" s="17">
        <f t="shared" si="5"/>
        <v>0</v>
      </c>
      <c r="N32" s="17">
        <f t="shared" si="5"/>
        <v>0</v>
      </c>
      <c r="O32" s="18">
        <f t="shared" si="2"/>
        <v>0</v>
      </c>
    </row>
    <row r="33" spans="1:17" ht="15" hidden="1" customHeight="1" x14ac:dyDescent="0.2">
      <c r="A33" s="880"/>
      <c r="B33" s="19" t="s">
        <v>226</v>
      </c>
      <c r="C33" s="17">
        <v>0</v>
      </c>
      <c r="D33" s="17">
        <f t="shared" si="3"/>
        <v>0</v>
      </c>
      <c r="E33" s="17">
        <f t="shared" si="3"/>
        <v>0</v>
      </c>
      <c r="F33" s="17">
        <f t="shared" si="3"/>
        <v>0</v>
      </c>
      <c r="G33" s="17">
        <f t="shared" si="3"/>
        <v>0</v>
      </c>
      <c r="H33" s="17">
        <v>0</v>
      </c>
      <c r="I33" s="17">
        <f t="shared" si="5"/>
        <v>0</v>
      </c>
      <c r="J33" s="17">
        <f t="shared" si="5"/>
        <v>0</v>
      </c>
      <c r="K33" s="17">
        <f t="shared" si="5"/>
        <v>0</v>
      </c>
      <c r="L33" s="17">
        <f t="shared" si="5"/>
        <v>0</v>
      </c>
      <c r="M33" s="17">
        <f t="shared" si="5"/>
        <v>0</v>
      </c>
      <c r="N33" s="17">
        <f t="shared" si="5"/>
        <v>0</v>
      </c>
      <c r="O33" s="18">
        <f t="shared" si="2"/>
        <v>0</v>
      </c>
    </row>
    <row r="34" spans="1:17" ht="15" customHeight="1" x14ac:dyDescent="0.2">
      <c r="A34" s="865" t="s">
        <v>144</v>
      </c>
      <c r="B34" s="866"/>
      <c r="C34" s="17">
        <v>0</v>
      </c>
      <c r="D34" s="17">
        <f t="shared" si="3"/>
        <v>0</v>
      </c>
      <c r="E34" s="17">
        <f t="shared" si="3"/>
        <v>0</v>
      </c>
      <c r="F34" s="17">
        <f t="shared" si="3"/>
        <v>0</v>
      </c>
      <c r="G34" s="17">
        <f t="shared" si="3"/>
        <v>0</v>
      </c>
      <c r="H34" s="17">
        <v>0</v>
      </c>
      <c r="I34" s="17">
        <f t="shared" si="5"/>
        <v>0</v>
      </c>
      <c r="J34" s="17">
        <f t="shared" si="5"/>
        <v>0</v>
      </c>
      <c r="K34" s="17">
        <f t="shared" si="5"/>
        <v>0</v>
      </c>
      <c r="L34" s="17">
        <f t="shared" si="5"/>
        <v>0</v>
      </c>
      <c r="M34" s="17">
        <f t="shared" si="5"/>
        <v>0</v>
      </c>
      <c r="N34" s="17">
        <f t="shared" si="5"/>
        <v>0</v>
      </c>
      <c r="O34" s="18">
        <f t="shared" si="2"/>
        <v>0</v>
      </c>
    </row>
    <row r="35" spans="1:17" ht="15" customHeight="1" x14ac:dyDescent="0.2">
      <c r="A35" s="865" t="s">
        <v>145</v>
      </c>
      <c r="B35" s="866"/>
      <c r="C35" s="17">
        <v>0</v>
      </c>
      <c r="D35" s="17">
        <v>216</v>
      </c>
      <c r="E35" s="17">
        <v>0</v>
      </c>
      <c r="F35" s="17">
        <f>+E35</f>
        <v>0</v>
      </c>
      <c r="G35" s="17">
        <f t="shared" ref="G35:G36" si="6">+F35</f>
        <v>0</v>
      </c>
      <c r="H35" s="17">
        <v>0</v>
      </c>
      <c r="I35" s="17">
        <f t="shared" si="5"/>
        <v>0</v>
      </c>
      <c r="J35" s="17">
        <v>216</v>
      </c>
      <c r="K35" s="17">
        <v>0</v>
      </c>
      <c r="L35" s="17">
        <f t="shared" si="5"/>
        <v>0</v>
      </c>
      <c r="M35" s="17">
        <f t="shared" si="5"/>
        <v>0</v>
      </c>
      <c r="N35" s="17">
        <f t="shared" si="5"/>
        <v>0</v>
      </c>
      <c r="O35" s="18">
        <f t="shared" si="2"/>
        <v>432</v>
      </c>
    </row>
    <row r="36" spans="1:17" ht="15" customHeight="1" x14ac:dyDescent="0.2">
      <c r="A36" s="865" t="s">
        <v>146</v>
      </c>
      <c r="B36" s="866"/>
      <c r="C36" s="17">
        <v>0</v>
      </c>
      <c r="D36" s="17">
        <v>2040</v>
      </c>
      <c r="E36" s="17">
        <v>0</v>
      </c>
      <c r="F36" s="17">
        <f>+E36</f>
        <v>0</v>
      </c>
      <c r="G36" s="17">
        <f t="shared" si="6"/>
        <v>0</v>
      </c>
      <c r="H36" s="17">
        <v>0</v>
      </c>
      <c r="I36" s="17">
        <f t="shared" si="5"/>
        <v>0</v>
      </c>
      <c r="J36" s="17">
        <v>2100</v>
      </c>
      <c r="K36" s="17">
        <v>0</v>
      </c>
      <c r="L36" s="17">
        <f t="shared" si="5"/>
        <v>0</v>
      </c>
      <c r="M36" s="17">
        <f t="shared" si="5"/>
        <v>0</v>
      </c>
      <c r="N36" s="17">
        <f t="shared" si="5"/>
        <v>0</v>
      </c>
      <c r="O36" s="18">
        <f t="shared" si="2"/>
        <v>4140</v>
      </c>
    </row>
    <row r="37" spans="1:17" ht="15" customHeight="1" x14ac:dyDescent="0.2">
      <c r="A37" s="22"/>
      <c r="B37" s="23" t="s">
        <v>147</v>
      </c>
      <c r="C37" s="24">
        <f t="shared" ref="C37:N37" si="7">SUM(C9:C36)</f>
        <v>39480</v>
      </c>
      <c r="D37" s="24">
        <f t="shared" si="7"/>
        <v>42488</v>
      </c>
      <c r="E37" s="24">
        <f t="shared" si="7"/>
        <v>40232</v>
      </c>
      <c r="F37" s="24">
        <f t="shared" si="7"/>
        <v>40232</v>
      </c>
      <c r="G37" s="24">
        <f t="shared" si="7"/>
        <v>46302</v>
      </c>
      <c r="H37" s="24">
        <f t="shared" si="7"/>
        <v>41302</v>
      </c>
      <c r="I37" s="24">
        <f t="shared" si="7"/>
        <v>41302</v>
      </c>
      <c r="J37" s="24">
        <f t="shared" si="7"/>
        <v>51298</v>
      </c>
      <c r="K37" s="24">
        <f t="shared" si="7"/>
        <v>42074</v>
      </c>
      <c r="L37" s="24">
        <f t="shared" si="7"/>
        <v>42074</v>
      </c>
      <c r="M37" s="24">
        <f t="shared" si="7"/>
        <v>42074</v>
      </c>
      <c r="N37" s="24">
        <f t="shared" si="7"/>
        <v>42074</v>
      </c>
      <c r="O37" s="25">
        <f>SUM(C37:N37)</f>
        <v>510932</v>
      </c>
    </row>
    <row r="38" spans="1:17" ht="15" customHeight="1" x14ac:dyDescent="0.25">
      <c r="A38" s="853" t="s">
        <v>148</v>
      </c>
      <c r="B38" s="27" t="s">
        <v>149</v>
      </c>
      <c r="C38" s="28">
        <v>0</v>
      </c>
      <c r="D38" s="28">
        <v>0</v>
      </c>
      <c r="E38" s="28">
        <v>0</v>
      </c>
      <c r="F38" s="28">
        <v>0</v>
      </c>
      <c r="G38" s="28">
        <v>0</v>
      </c>
      <c r="H38" s="28">
        <v>0</v>
      </c>
      <c r="I38" s="28">
        <v>0</v>
      </c>
      <c r="J38" s="28">
        <v>0</v>
      </c>
      <c r="K38" s="28">
        <v>500</v>
      </c>
      <c r="L38" s="28">
        <v>500</v>
      </c>
      <c r="M38" s="28">
        <v>680</v>
      </c>
      <c r="N38">
        <v>5215</v>
      </c>
      <c r="O38" s="18">
        <f>SUM(C38:N38)</f>
        <v>6895</v>
      </c>
      <c r="P38" s="29"/>
    </row>
    <row r="39" spans="1:17" ht="15" x14ac:dyDescent="0.2">
      <c r="A39" s="854"/>
      <c r="B39" s="27" t="s">
        <v>150</v>
      </c>
      <c r="C39" s="147">
        <v>0</v>
      </c>
      <c r="D39" s="147">
        <v>0</v>
      </c>
      <c r="E39" s="147">
        <v>0</v>
      </c>
      <c r="F39" s="147">
        <v>0</v>
      </c>
      <c r="G39" s="147">
        <v>0</v>
      </c>
      <c r="H39" s="147">
        <v>0</v>
      </c>
      <c r="I39" s="147">
        <v>0</v>
      </c>
      <c r="J39" s="147">
        <v>0</v>
      </c>
      <c r="K39" s="147">
        <v>0</v>
      </c>
      <c r="L39" s="147">
        <v>0</v>
      </c>
      <c r="M39" s="147">
        <v>0</v>
      </c>
      <c r="N39" s="147">
        <v>0</v>
      </c>
      <c r="O39" s="18">
        <f>SUM(C39:N39)</f>
        <v>0</v>
      </c>
      <c r="Q39" s="16">
        <f>+Q37+Q38</f>
        <v>0</v>
      </c>
    </row>
    <row r="40" spans="1:17" ht="15" x14ac:dyDescent="0.2">
      <c r="A40" s="854"/>
      <c r="B40" s="27" t="s">
        <v>151</v>
      </c>
      <c r="C40" s="147">
        <v>30</v>
      </c>
      <c r="D40" s="147">
        <v>30</v>
      </c>
      <c r="E40" s="147">
        <v>30</v>
      </c>
      <c r="F40" s="147">
        <v>30</v>
      </c>
      <c r="G40" s="147">
        <v>30</v>
      </c>
      <c r="H40" s="147">
        <v>30</v>
      </c>
      <c r="I40" s="147">
        <v>30</v>
      </c>
      <c r="J40" s="147">
        <v>30</v>
      </c>
      <c r="K40" s="147">
        <v>30</v>
      </c>
      <c r="L40" s="147">
        <v>30</v>
      </c>
      <c r="M40" s="147">
        <v>30</v>
      </c>
      <c r="N40" s="147">
        <v>30</v>
      </c>
      <c r="O40" s="18">
        <f t="shared" ref="O40:O51" si="8">SUM(C40:N40)</f>
        <v>360</v>
      </c>
    </row>
    <row r="41" spans="1:17" ht="30" x14ac:dyDescent="0.2">
      <c r="A41" s="854"/>
      <c r="B41" s="27" t="s">
        <v>807</v>
      </c>
      <c r="C41" s="147">
        <v>0</v>
      </c>
      <c r="D41" s="147">
        <v>0</v>
      </c>
      <c r="E41" s="147">
        <v>0</v>
      </c>
      <c r="F41" s="147">
        <v>0</v>
      </c>
      <c r="G41" s="147">
        <v>0</v>
      </c>
      <c r="H41" s="147">
        <v>0</v>
      </c>
      <c r="I41" s="147">
        <v>0</v>
      </c>
      <c r="J41" s="147">
        <v>0</v>
      </c>
      <c r="K41" s="147">
        <v>0</v>
      </c>
      <c r="L41" s="147">
        <v>0</v>
      </c>
      <c r="M41" s="147">
        <v>0</v>
      </c>
      <c r="N41" s="147">
        <v>0</v>
      </c>
      <c r="O41" s="18">
        <f t="shared" si="8"/>
        <v>0</v>
      </c>
    </row>
    <row r="42" spans="1:17" ht="15" x14ac:dyDescent="0.2">
      <c r="A42" s="854"/>
      <c r="B42" s="27" t="s">
        <v>153</v>
      </c>
      <c r="C42" s="147">
        <v>250</v>
      </c>
      <c r="D42" s="147">
        <v>250</v>
      </c>
      <c r="E42" s="147">
        <v>250</v>
      </c>
      <c r="F42" s="147">
        <v>250</v>
      </c>
      <c r="G42" s="147">
        <v>250</v>
      </c>
      <c r="H42" s="147">
        <v>250</v>
      </c>
      <c r="I42" s="147">
        <v>250</v>
      </c>
      <c r="J42" s="147">
        <v>250</v>
      </c>
      <c r="K42" s="147">
        <v>250</v>
      </c>
      <c r="L42" s="147">
        <v>250</v>
      </c>
      <c r="M42" s="147">
        <v>250</v>
      </c>
      <c r="N42" s="147">
        <v>250</v>
      </c>
      <c r="O42" s="18">
        <f t="shared" si="8"/>
        <v>3000</v>
      </c>
    </row>
    <row r="43" spans="1:17" ht="15" x14ac:dyDescent="0.2">
      <c r="A43" s="854"/>
      <c r="B43" s="27" t="s">
        <v>154</v>
      </c>
      <c r="C43" s="147">
        <v>5000</v>
      </c>
      <c r="D43" s="147">
        <v>5000</v>
      </c>
      <c r="E43" s="147">
        <v>5000</v>
      </c>
      <c r="F43" s="147">
        <v>5000</v>
      </c>
      <c r="G43" s="147">
        <v>5000</v>
      </c>
      <c r="H43" s="147">
        <v>5000</v>
      </c>
      <c r="I43" s="147">
        <v>5000</v>
      </c>
      <c r="J43" s="147">
        <v>5000</v>
      </c>
      <c r="K43" s="147">
        <v>5000</v>
      </c>
      <c r="L43" s="147">
        <v>5000</v>
      </c>
      <c r="M43" s="147">
        <v>5000</v>
      </c>
      <c r="N43" s="147">
        <v>5000</v>
      </c>
      <c r="O43" s="18">
        <f>SUM(C43:N43)</f>
        <v>60000</v>
      </c>
      <c r="P43" s="170"/>
    </row>
    <row r="44" spans="1:17" ht="15" x14ac:dyDescent="0.2">
      <c r="A44" s="854"/>
      <c r="B44" s="27" t="s">
        <v>155</v>
      </c>
      <c r="C44" s="147">
        <v>200</v>
      </c>
      <c r="D44" s="147">
        <v>200</v>
      </c>
      <c r="E44" s="147">
        <v>200</v>
      </c>
      <c r="F44" s="147">
        <v>200</v>
      </c>
      <c r="G44" s="147">
        <v>200</v>
      </c>
      <c r="H44" s="147">
        <v>200</v>
      </c>
      <c r="I44" s="147">
        <v>200</v>
      </c>
      <c r="J44" s="147">
        <v>200</v>
      </c>
      <c r="K44" s="147">
        <v>200</v>
      </c>
      <c r="L44" s="147">
        <v>200</v>
      </c>
      <c r="M44" s="147">
        <v>200</v>
      </c>
      <c r="N44" s="147">
        <v>300</v>
      </c>
      <c r="O44" s="18">
        <f t="shared" si="8"/>
        <v>2500</v>
      </c>
    </row>
    <row r="45" spans="1:17" ht="30" x14ac:dyDescent="0.2">
      <c r="A45" s="854"/>
      <c r="B45" s="27" t="s">
        <v>808</v>
      </c>
      <c r="C45" s="147">
        <v>180</v>
      </c>
      <c r="D45" s="147">
        <v>180</v>
      </c>
      <c r="E45" s="147">
        <v>186</v>
      </c>
      <c r="F45" s="147">
        <v>182</v>
      </c>
      <c r="G45" s="147">
        <v>182</v>
      </c>
      <c r="H45" s="147">
        <v>182</v>
      </c>
      <c r="I45" s="147">
        <v>182</v>
      </c>
      <c r="J45" s="147">
        <v>182</v>
      </c>
      <c r="K45" s="147">
        <v>182</v>
      </c>
      <c r="L45" s="147">
        <v>182</v>
      </c>
      <c r="M45" s="147">
        <v>182</v>
      </c>
      <c r="N45" s="147">
        <v>182</v>
      </c>
      <c r="O45" s="18">
        <f t="shared" si="8"/>
        <v>2184</v>
      </c>
    </row>
    <row r="46" spans="1:17" ht="15" x14ac:dyDescent="0.2">
      <c r="A46" s="854"/>
      <c r="B46" s="27" t="s">
        <v>157</v>
      </c>
      <c r="C46" s="147">
        <v>3970</v>
      </c>
      <c r="D46" s="147">
        <v>3970</v>
      </c>
      <c r="E46" s="147">
        <v>3970</v>
      </c>
      <c r="F46" s="147">
        <v>3970</v>
      </c>
      <c r="G46" s="147">
        <v>3970</v>
      </c>
      <c r="H46" s="147">
        <v>3970</v>
      </c>
      <c r="I46" s="147">
        <v>3970</v>
      </c>
      <c r="J46" s="147">
        <v>3970</v>
      </c>
      <c r="K46" s="147">
        <v>3970</v>
      </c>
      <c r="L46" s="147">
        <v>3970</v>
      </c>
      <c r="M46" s="147">
        <v>3970</v>
      </c>
      <c r="N46" s="147">
        <v>3970</v>
      </c>
      <c r="O46" s="18">
        <f t="shared" si="8"/>
        <v>47640</v>
      </c>
    </row>
    <row r="47" spans="1:17" ht="15" x14ac:dyDescent="0.2">
      <c r="A47" s="854"/>
      <c r="B47" s="27" t="s">
        <v>809</v>
      </c>
      <c r="C47" s="147">
        <v>1000</v>
      </c>
      <c r="D47" s="147">
        <v>0</v>
      </c>
      <c r="E47" s="147">
        <v>0</v>
      </c>
      <c r="F47" s="147">
        <v>0</v>
      </c>
      <c r="G47" s="147">
        <v>0</v>
      </c>
      <c r="H47" s="147">
        <v>0</v>
      </c>
      <c r="I47" s="147">
        <v>1000</v>
      </c>
      <c r="J47" s="147">
        <v>1000</v>
      </c>
      <c r="K47" s="147">
        <v>0</v>
      </c>
      <c r="L47" s="147">
        <v>0</v>
      </c>
      <c r="M47" s="147">
        <v>0</v>
      </c>
      <c r="N47" s="147">
        <v>0</v>
      </c>
      <c r="O47" s="18">
        <f>SUM(C47:N47)</f>
        <v>3000</v>
      </c>
    </row>
    <row r="48" spans="1:17" ht="24.75" customHeight="1" x14ac:dyDescent="0.2">
      <c r="A48" s="855"/>
      <c r="B48" s="168" t="s">
        <v>158</v>
      </c>
      <c r="C48" s="147">
        <v>1882</v>
      </c>
      <c r="D48" s="147">
        <v>1882</v>
      </c>
      <c r="E48" s="147">
        <v>1882</v>
      </c>
      <c r="F48" s="147">
        <v>1882</v>
      </c>
      <c r="G48" s="147">
        <v>1882</v>
      </c>
      <c r="H48" s="147">
        <v>1882</v>
      </c>
      <c r="I48" s="147">
        <v>1882</v>
      </c>
      <c r="J48" s="147">
        <v>1882</v>
      </c>
      <c r="K48" s="147">
        <v>1882</v>
      </c>
      <c r="L48" s="147">
        <v>1882</v>
      </c>
      <c r="M48" s="147">
        <v>1882</v>
      </c>
      <c r="N48" s="147">
        <v>1882</v>
      </c>
      <c r="O48" s="31">
        <f t="shared" si="8"/>
        <v>22584</v>
      </c>
    </row>
    <row r="49" spans="1:18" ht="25.5" x14ac:dyDescent="0.2">
      <c r="A49" s="856"/>
      <c r="B49" s="169" t="s">
        <v>810</v>
      </c>
      <c r="C49" s="293">
        <v>0</v>
      </c>
      <c r="D49" s="293">
        <f>C49</f>
        <v>0</v>
      </c>
      <c r="E49" s="293">
        <v>0</v>
      </c>
      <c r="F49" s="293">
        <v>0</v>
      </c>
      <c r="G49" s="293">
        <v>0</v>
      </c>
      <c r="H49" s="293">
        <v>0</v>
      </c>
      <c r="I49" s="293">
        <v>0</v>
      </c>
      <c r="J49" s="293">
        <v>0</v>
      </c>
      <c r="K49" s="293">
        <v>0</v>
      </c>
      <c r="L49" s="293">
        <v>0</v>
      </c>
      <c r="M49" s="293">
        <f>L49</f>
        <v>0</v>
      </c>
      <c r="N49" s="293">
        <f>M49</f>
        <v>0</v>
      </c>
      <c r="O49" s="31">
        <f t="shared" si="8"/>
        <v>0</v>
      </c>
    </row>
    <row r="50" spans="1:18" ht="15" x14ac:dyDescent="0.2">
      <c r="A50" s="857" t="s">
        <v>160</v>
      </c>
      <c r="B50" s="858"/>
      <c r="C50" s="33">
        <f t="shared" ref="C50:N50" si="9">SUM(C38:C49)</f>
        <v>12512</v>
      </c>
      <c r="D50" s="33">
        <f t="shared" si="9"/>
        <v>11512</v>
      </c>
      <c r="E50" s="33">
        <f t="shared" si="9"/>
        <v>11518</v>
      </c>
      <c r="F50" s="33">
        <f t="shared" si="9"/>
        <v>11514</v>
      </c>
      <c r="G50" s="33">
        <f t="shared" si="9"/>
        <v>11514</v>
      </c>
      <c r="H50" s="33">
        <f t="shared" si="9"/>
        <v>11514</v>
      </c>
      <c r="I50" s="33">
        <f t="shared" si="9"/>
        <v>12514</v>
      </c>
      <c r="J50" s="33">
        <f t="shared" si="9"/>
        <v>12514</v>
      </c>
      <c r="K50" s="33">
        <f t="shared" si="9"/>
        <v>12014</v>
      </c>
      <c r="L50" s="33">
        <f t="shared" si="9"/>
        <v>12014</v>
      </c>
      <c r="M50" s="33">
        <f t="shared" si="9"/>
        <v>12194</v>
      </c>
      <c r="N50" s="33">
        <f t="shared" si="9"/>
        <v>16829</v>
      </c>
      <c r="O50" s="34">
        <f t="shared" si="8"/>
        <v>148163</v>
      </c>
    </row>
    <row r="51" spans="1:18" ht="15.75" thickBot="1" x14ac:dyDescent="0.25">
      <c r="A51" s="859" t="s">
        <v>161</v>
      </c>
      <c r="B51" s="860"/>
      <c r="C51" s="35">
        <f t="shared" ref="C51:N51" si="10">C37-C50</f>
        <v>26968</v>
      </c>
      <c r="D51" s="35">
        <f t="shared" si="10"/>
        <v>30976</v>
      </c>
      <c r="E51" s="35">
        <f t="shared" si="10"/>
        <v>28714</v>
      </c>
      <c r="F51" s="35">
        <f t="shared" si="10"/>
        <v>28718</v>
      </c>
      <c r="G51" s="35">
        <f t="shared" si="10"/>
        <v>34788</v>
      </c>
      <c r="H51" s="35">
        <f t="shared" si="10"/>
        <v>29788</v>
      </c>
      <c r="I51" s="35">
        <f t="shared" si="10"/>
        <v>28788</v>
      </c>
      <c r="J51" s="35">
        <f t="shared" si="10"/>
        <v>38784</v>
      </c>
      <c r="K51" s="35">
        <f t="shared" si="10"/>
        <v>30060</v>
      </c>
      <c r="L51" s="35">
        <f t="shared" si="10"/>
        <v>30060</v>
      </c>
      <c r="M51" s="35">
        <f t="shared" si="10"/>
        <v>29880</v>
      </c>
      <c r="N51" s="35">
        <f t="shared" si="10"/>
        <v>25245</v>
      </c>
      <c r="O51" s="36">
        <f t="shared" si="8"/>
        <v>362769</v>
      </c>
      <c r="Q51" s="16">
        <f>14238+13888+4084+14799+14919+14636+16256+15881+3930+3454+17191*2+16105+15904+15681</f>
        <v>198157</v>
      </c>
    </row>
    <row r="52" spans="1:18" x14ac:dyDescent="0.2">
      <c r="G52" s="38"/>
      <c r="J52" s="295">
        <f>+J37-SUM(J22:J36)</f>
        <v>42074</v>
      </c>
    </row>
    <row r="53" spans="1:18" ht="13.5" thickBot="1" x14ac:dyDescent="0.25">
      <c r="J53" s="38">
        <f>+J52-J50</f>
        <v>29560</v>
      </c>
    </row>
    <row r="54" spans="1:18" ht="13.5" thickBot="1" x14ac:dyDescent="0.25">
      <c r="B54" s="789" t="s">
        <v>162</v>
      </c>
      <c r="C54" s="861"/>
      <c r="D54" s="861"/>
      <c r="E54" s="861"/>
      <c r="F54" s="862"/>
      <c r="G54" s="863">
        <f>O37</f>
        <v>510932</v>
      </c>
      <c r="H54" s="864"/>
    </row>
    <row r="55" spans="1:18" ht="13.5" thickBot="1" x14ac:dyDescent="0.25"/>
    <row r="56" spans="1:18" x14ac:dyDescent="0.2">
      <c r="B56" s="830" t="s">
        <v>163</v>
      </c>
      <c r="C56" s="833" t="s">
        <v>164</v>
      </c>
      <c r="D56" s="836" t="s">
        <v>811</v>
      </c>
      <c r="E56" s="837"/>
      <c r="F56" s="838"/>
      <c r="G56" s="839">
        <v>40000</v>
      </c>
      <c r="H56" s="840"/>
    </row>
    <row r="57" spans="1:18" x14ac:dyDescent="0.2">
      <c r="B57" s="831"/>
      <c r="C57" s="834"/>
      <c r="D57" s="841" t="s">
        <v>166</v>
      </c>
      <c r="E57" s="842"/>
      <c r="F57" s="843"/>
      <c r="G57" s="844">
        <f>+O44</f>
        <v>2500</v>
      </c>
      <c r="H57" s="845"/>
      <c r="I57" s="39"/>
      <c r="J57" s="846"/>
      <c r="K57" s="846"/>
      <c r="L57" s="846"/>
      <c r="M57" s="847"/>
      <c r="N57" s="847"/>
      <c r="O57" s="847"/>
    </row>
    <row r="58" spans="1:18" ht="13.5" thickBot="1" x14ac:dyDescent="0.25">
      <c r="B58" s="832"/>
      <c r="C58" s="835"/>
      <c r="D58" s="921" t="s">
        <v>167</v>
      </c>
      <c r="E58" s="849"/>
      <c r="F58" s="850"/>
      <c r="G58" s="851">
        <f>IF(O18&gt;15000,15000,+O18)</f>
        <v>0</v>
      </c>
      <c r="H58" s="852"/>
      <c r="J58" s="47"/>
      <c r="K58" s="47"/>
      <c r="L58" s="47"/>
      <c r="M58" s="47"/>
      <c r="N58" s="47"/>
      <c r="O58" s="47"/>
    </row>
    <row r="59" spans="1:18" ht="13.5" thickBot="1" x14ac:dyDescent="0.25">
      <c r="B59" s="48"/>
      <c r="J59" s="47"/>
      <c r="K59" s="47"/>
      <c r="L59" s="47"/>
      <c r="M59" s="47"/>
      <c r="N59" s="47"/>
      <c r="O59" s="47"/>
    </row>
    <row r="60" spans="1:18" ht="13.5" thickBot="1" x14ac:dyDescent="0.25">
      <c r="B60" s="789" t="s">
        <v>168</v>
      </c>
      <c r="C60" s="790"/>
      <c r="D60" s="790"/>
      <c r="E60" s="790"/>
      <c r="F60" s="791"/>
      <c r="G60" s="825">
        <f>+G54-SUM(G56:H58)</f>
        <v>468432</v>
      </c>
      <c r="H60" s="826"/>
      <c r="J60" s="827" t="s">
        <v>169</v>
      </c>
      <c r="K60" s="828"/>
      <c r="L60" s="828"/>
      <c r="M60" s="828"/>
      <c r="N60" s="828"/>
      <c r="O60" s="829"/>
    </row>
    <row r="61" spans="1:18" ht="13.5" thickBot="1" x14ac:dyDescent="0.25">
      <c r="B61" s="49"/>
      <c r="C61" s="50"/>
      <c r="D61" s="50"/>
      <c r="E61" s="50"/>
      <c r="F61" s="50"/>
      <c r="G61" s="45"/>
      <c r="H61" s="50"/>
      <c r="J61" s="129"/>
      <c r="K61" s="130"/>
      <c r="L61" s="130"/>
      <c r="M61" s="130"/>
      <c r="N61" s="130"/>
      <c r="O61" s="131"/>
    </row>
    <row r="62" spans="1:18" ht="13.5" thickBot="1" x14ac:dyDescent="0.25">
      <c r="B62" s="789" t="s">
        <v>170</v>
      </c>
      <c r="C62" s="790"/>
      <c r="D62" s="790"/>
      <c r="E62" s="790"/>
      <c r="F62" s="791"/>
      <c r="G62" s="805"/>
      <c r="H62" s="791"/>
      <c r="J62" s="129"/>
      <c r="K62" s="130"/>
      <c r="L62" s="130"/>
      <c r="M62" s="130"/>
      <c r="N62" s="130"/>
      <c r="O62" s="131"/>
    </row>
    <row r="63" spans="1:18" ht="12.75" customHeight="1" x14ac:dyDescent="0.2">
      <c r="B63" s="57" t="s">
        <v>171</v>
      </c>
      <c r="C63" s="806" t="s">
        <v>172</v>
      </c>
      <c r="D63" s="807"/>
      <c r="E63" s="807"/>
      <c r="F63" s="808"/>
      <c r="G63" s="809">
        <v>0</v>
      </c>
      <c r="H63" s="809"/>
      <c r="I63" s="58"/>
      <c r="J63" s="810" t="s">
        <v>173</v>
      </c>
      <c r="K63" s="811"/>
      <c r="L63" s="811"/>
      <c r="M63" s="811"/>
      <c r="N63" s="811"/>
      <c r="O63" s="812"/>
      <c r="Q63" s="59"/>
      <c r="R63" s="59"/>
    </row>
    <row r="64" spans="1:18" ht="13.5" thickBot="1" x14ac:dyDescent="0.25">
      <c r="D64" s="37"/>
      <c r="I64" s="58"/>
      <c r="J64" s="60" t="s">
        <v>254</v>
      </c>
      <c r="K64" s="132"/>
      <c r="L64" s="132"/>
      <c r="M64" s="133"/>
      <c r="N64" s="133"/>
      <c r="O64" s="134"/>
      <c r="Q64" s="59"/>
      <c r="R64" s="59"/>
    </row>
    <row r="65" spans="2:18" ht="13.5" thickBot="1" x14ac:dyDescent="0.25">
      <c r="B65" s="789" t="s">
        <v>175</v>
      </c>
      <c r="C65" s="790"/>
      <c r="D65" s="790"/>
      <c r="E65" s="790"/>
      <c r="F65" s="791"/>
      <c r="G65" s="805">
        <f>+G60-G63</f>
        <v>468432</v>
      </c>
      <c r="H65" s="791"/>
      <c r="I65" s="63"/>
      <c r="J65" s="75"/>
      <c r="K65" s="39"/>
      <c r="L65" s="39"/>
      <c r="M65" s="39"/>
      <c r="N65" s="39"/>
      <c r="O65" s="65"/>
      <c r="Q65" s="59"/>
      <c r="R65" s="59"/>
    </row>
    <row r="66" spans="2:18" ht="12.75" customHeight="1" x14ac:dyDescent="0.2">
      <c r="B66" s="48"/>
      <c r="C66" s="48"/>
      <c r="I66" s="63"/>
      <c r="J66" s="64"/>
      <c r="K66" s="39"/>
      <c r="L66" s="39"/>
      <c r="M66" s="39"/>
      <c r="N66" s="39"/>
      <c r="O66" s="65"/>
      <c r="Q66" s="59"/>
      <c r="R66" s="59"/>
    </row>
    <row r="67" spans="2:18" x14ac:dyDescent="0.2">
      <c r="B67" s="66" t="s">
        <v>176</v>
      </c>
      <c r="C67" s="48"/>
      <c r="I67" s="63"/>
      <c r="J67" s="67"/>
      <c r="K67" s="68"/>
      <c r="L67" s="68"/>
      <c r="M67" s="68"/>
      <c r="N67" s="68"/>
      <c r="O67" s="69"/>
      <c r="Q67" s="59"/>
      <c r="R67" s="59"/>
    </row>
    <row r="68" spans="2:18" ht="26.25" customHeight="1" thickBot="1" x14ac:dyDescent="0.25">
      <c r="B68" s="66"/>
      <c r="C68" s="48"/>
      <c r="G68" s="70" t="s">
        <v>177</v>
      </c>
      <c r="H68" s="70" t="s">
        <v>178</v>
      </c>
      <c r="I68" s="63"/>
      <c r="J68" s="810" t="s">
        <v>179</v>
      </c>
      <c r="K68" s="811"/>
      <c r="L68" s="71"/>
      <c r="M68" s="71"/>
      <c r="N68" s="71"/>
      <c r="O68" s="72"/>
      <c r="Q68" s="59"/>
      <c r="R68" s="59"/>
    </row>
    <row r="69" spans="2:18" ht="12.75" customHeight="1" x14ac:dyDescent="0.2">
      <c r="B69" s="802" t="s">
        <v>180</v>
      </c>
      <c r="C69" s="821" t="s">
        <v>181</v>
      </c>
      <c r="D69" s="823" t="s">
        <v>182</v>
      </c>
      <c r="E69" s="824"/>
      <c r="F69" s="824"/>
      <c r="G69" s="73">
        <f>+O43</f>
        <v>60000</v>
      </c>
      <c r="H69" s="74">
        <f t="shared" ref="H69:H77" si="11">+G69</f>
        <v>60000</v>
      </c>
      <c r="I69" s="63"/>
      <c r="J69" s="75" t="s">
        <v>231</v>
      </c>
      <c r="K69" s="58"/>
      <c r="L69" s="58"/>
      <c r="M69" s="58" t="s">
        <v>232</v>
      </c>
      <c r="N69" s="58" t="s">
        <v>233</v>
      </c>
      <c r="O69" s="76">
        <v>22584</v>
      </c>
      <c r="Q69" s="59"/>
      <c r="R69" s="59"/>
    </row>
    <row r="70" spans="2:18" ht="12.75" customHeight="1" x14ac:dyDescent="0.2">
      <c r="B70" s="803"/>
      <c r="C70" s="822"/>
      <c r="D70" s="782" t="s">
        <v>184</v>
      </c>
      <c r="E70" s="783"/>
      <c r="F70" s="783"/>
      <c r="G70" s="77">
        <f>+O48</f>
        <v>22584</v>
      </c>
      <c r="H70" s="78">
        <f t="shared" si="11"/>
        <v>22584</v>
      </c>
      <c r="I70" s="63"/>
      <c r="J70" s="79"/>
      <c r="K70" s="68"/>
      <c r="L70" s="68"/>
      <c r="M70" s="68"/>
      <c r="N70" s="68"/>
      <c r="O70" s="69"/>
      <c r="Q70" s="59"/>
      <c r="R70" s="59"/>
    </row>
    <row r="71" spans="2:18" ht="12.75" customHeight="1" x14ac:dyDescent="0.2">
      <c r="B71" s="803"/>
      <c r="C71" s="822"/>
      <c r="D71" s="819" t="s">
        <v>185</v>
      </c>
      <c r="E71" s="820"/>
      <c r="F71" s="820"/>
      <c r="G71" s="80">
        <f>O40</f>
        <v>360</v>
      </c>
      <c r="H71" s="78">
        <f t="shared" si="11"/>
        <v>360</v>
      </c>
      <c r="I71" s="63"/>
      <c r="J71" s="67"/>
      <c r="K71" s="68"/>
      <c r="L71" s="68"/>
      <c r="M71" s="68"/>
      <c r="N71" s="68"/>
      <c r="O71" s="69"/>
    </row>
    <row r="72" spans="2:18" x14ac:dyDescent="0.2">
      <c r="B72" s="803"/>
      <c r="C72" s="822"/>
      <c r="D72" s="782" t="s">
        <v>186</v>
      </c>
      <c r="E72" s="783"/>
      <c r="F72" s="783"/>
      <c r="G72" s="81">
        <v>0</v>
      </c>
      <c r="H72" s="78">
        <f t="shared" si="11"/>
        <v>0</v>
      </c>
      <c r="I72" s="63"/>
      <c r="J72" s="82" t="s">
        <v>187</v>
      </c>
      <c r="K72" s="71"/>
      <c r="L72" s="71"/>
      <c r="M72" s="71"/>
      <c r="N72" s="71"/>
      <c r="O72" s="72"/>
    </row>
    <row r="73" spans="2:18" ht="12.75" customHeight="1" x14ac:dyDescent="0.2">
      <c r="B73" s="803"/>
      <c r="C73" s="822"/>
      <c r="D73" s="784" t="s">
        <v>188</v>
      </c>
      <c r="E73" s="783"/>
      <c r="F73" s="783"/>
      <c r="G73" s="80">
        <v>0</v>
      </c>
      <c r="H73" s="78">
        <f t="shared" si="11"/>
        <v>0</v>
      </c>
      <c r="I73" s="63"/>
      <c r="J73" s="75" t="s">
        <v>189</v>
      </c>
      <c r="K73" s="50"/>
      <c r="L73" s="50"/>
      <c r="M73" s="50"/>
      <c r="N73" s="50"/>
      <c r="O73" s="83">
        <f>O42</f>
        <v>3000</v>
      </c>
    </row>
    <row r="74" spans="2:18" ht="14.25" customHeight="1" x14ac:dyDescent="0.2">
      <c r="B74" s="803"/>
      <c r="C74" s="822"/>
      <c r="D74" s="782" t="s">
        <v>190</v>
      </c>
      <c r="E74" s="783"/>
      <c r="F74" s="783"/>
      <c r="G74" s="84">
        <v>0</v>
      </c>
      <c r="H74" s="78">
        <f t="shared" si="11"/>
        <v>0</v>
      </c>
      <c r="I74" s="63"/>
      <c r="J74" s="75"/>
      <c r="K74" s="39"/>
      <c r="L74" s="39"/>
      <c r="M74" s="39"/>
      <c r="N74" s="39"/>
      <c r="O74" s="65"/>
    </row>
    <row r="75" spans="2:18" x14ac:dyDescent="0.2">
      <c r="B75" s="803"/>
      <c r="C75" s="822"/>
      <c r="D75" s="782" t="s">
        <v>191</v>
      </c>
      <c r="E75" s="783"/>
      <c r="F75" s="783"/>
      <c r="G75" s="81">
        <v>0</v>
      </c>
      <c r="H75" s="78">
        <f t="shared" si="11"/>
        <v>0</v>
      </c>
      <c r="I75" s="58"/>
      <c r="J75" s="137"/>
      <c r="K75" s="50"/>
      <c r="L75" s="50"/>
      <c r="M75" s="50"/>
      <c r="N75" s="50"/>
      <c r="O75" s="83"/>
    </row>
    <row r="76" spans="2:18" x14ac:dyDescent="0.2">
      <c r="B76" s="803"/>
      <c r="C76" s="88" t="s">
        <v>192</v>
      </c>
      <c r="D76" s="813" t="s">
        <v>193</v>
      </c>
      <c r="E76" s="814"/>
      <c r="F76" s="814"/>
      <c r="G76" s="80">
        <v>0</v>
      </c>
      <c r="H76" s="78">
        <f t="shared" si="11"/>
        <v>0</v>
      </c>
      <c r="I76" s="58"/>
      <c r="J76" s="85"/>
      <c r="K76" s="138"/>
      <c r="L76" s="138"/>
      <c r="M76" s="138"/>
      <c r="N76" s="138"/>
      <c r="O76" s="139"/>
    </row>
    <row r="77" spans="2:18" ht="13.5" customHeight="1" thickBot="1" x14ac:dyDescent="0.25">
      <c r="B77" s="803"/>
      <c r="C77" s="88" t="s">
        <v>194</v>
      </c>
      <c r="D77" s="815" t="s">
        <v>195</v>
      </c>
      <c r="E77" s="815"/>
      <c r="F77" s="815"/>
      <c r="G77" s="89">
        <v>0</v>
      </c>
      <c r="H77" s="90">
        <f t="shared" si="11"/>
        <v>0</v>
      </c>
      <c r="I77" s="63"/>
      <c r="J77" s="75"/>
      <c r="K77" s="68"/>
      <c r="L77" s="68"/>
      <c r="M77" s="91"/>
      <c r="N77" s="91"/>
      <c r="O77" s="92"/>
    </row>
    <row r="78" spans="2:18" ht="13.5" thickBot="1" x14ac:dyDescent="0.25">
      <c r="B78" s="803"/>
      <c r="C78" s="93"/>
      <c r="D78" s="94"/>
      <c r="E78" s="816" t="s">
        <v>117</v>
      </c>
      <c r="F78" s="817"/>
      <c r="G78" s="95">
        <f>SUM(G69:G77)</f>
        <v>82944</v>
      </c>
      <c r="H78" s="96">
        <f>IF(SUM(G69:G75)&lt;150000,SUM(G69:G75),150000)+IF(+G76&lt;20000,+G76,20000)</f>
        <v>82944</v>
      </c>
      <c r="I78" s="63"/>
      <c r="J78" s="140"/>
      <c r="K78" s="141"/>
      <c r="L78" s="141"/>
      <c r="M78" s="142"/>
      <c r="N78" s="142"/>
      <c r="O78" s="143"/>
    </row>
    <row r="79" spans="2:18" ht="12.75" customHeight="1" x14ac:dyDescent="0.2">
      <c r="B79" s="803"/>
      <c r="C79" s="100" t="s">
        <v>196</v>
      </c>
      <c r="D79" s="782" t="s">
        <v>187</v>
      </c>
      <c r="E79" s="783"/>
      <c r="F79" s="818"/>
      <c r="G79" s="73">
        <f>+O42</f>
        <v>3000</v>
      </c>
      <c r="H79" s="101">
        <f>+IF(+G79&lt;25000,+G79,25000)</f>
        <v>3000</v>
      </c>
      <c r="I79" s="87"/>
    </row>
    <row r="80" spans="2:18" x14ac:dyDescent="0.2">
      <c r="B80" s="803"/>
      <c r="C80" s="100" t="s">
        <v>197</v>
      </c>
      <c r="D80" s="784" t="s">
        <v>198</v>
      </c>
      <c r="E80" s="785"/>
      <c r="F80" s="786"/>
      <c r="G80" s="102"/>
      <c r="H80" s="103">
        <f>+IF(+G80&lt;40000,+G80,40000)</f>
        <v>0</v>
      </c>
      <c r="I80" s="63"/>
    </row>
    <row r="81" spans="2:12" x14ac:dyDescent="0.2">
      <c r="B81" s="803"/>
      <c r="C81" s="100" t="s">
        <v>199</v>
      </c>
      <c r="D81" s="784" t="s">
        <v>200</v>
      </c>
      <c r="E81" s="785"/>
      <c r="F81" s="786"/>
      <c r="G81" s="81"/>
      <c r="H81" s="104">
        <v>0</v>
      </c>
      <c r="I81" s="63"/>
      <c r="J81" s="106"/>
    </row>
    <row r="82" spans="2:12" x14ac:dyDescent="0.2">
      <c r="B82" s="803"/>
      <c r="C82" s="100" t="s">
        <v>201</v>
      </c>
      <c r="D82" s="784" t="s">
        <v>202</v>
      </c>
      <c r="E82" s="785"/>
      <c r="F82" s="786"/>
      <c r="G82" s="81"/>
      <c r="H82" s="104">
        <v>0</v>
      </c>
      <c r="I82" s="63"/>
    </row>
    <row r="83" spans="2:12" ht="13.5" thickBot="1" x14ac:dyDescent="0.25">
      <c r="B83" s="804"/>
      <c r="C83" s="100" t="s">
        <v>203</v>
      </c>
      <c r="D83" s="784" t="s">
        <v>204</v>
      </c>
      <c r="E83" s="785"/>
      <c r="F83" s="786"/>
      <c r="G83" s="102"/>
      <c r="H83" s="103">
        <f>+IF(+G83&lt;100000,+G83,10000)</f>
        <v>0</v>
      </c>
      <c r="I83" s="63"/>
    </row>
    <row r="84" spans="2:12" ht="13.5" thickBot="1" x14ac:dyDescent="0.25">
      <c r="B84" s="787" t="s">
        <v>205</v>
      </c>
      <c r="C84" s="788"/>
      <c r="D84" s="788"/>
      <c r="E84" s="788"/>
      <c r="F84" s="788"/>
      <c r="G84" s="107">
        <f>SUM(G79:G83)</f>
        <v>3000</v>
      </c>
      <c r="H84" s="108">
        <f>SUM(H78:H83)</f>
        <v>85944</v>
      </c>
    </row>
    <row r="85" spans="2:12" ht="13.5" thickBot="1" x14ac:dyDescent="0.25"/>
    <row r="86" spans="2:12" ht="13.5" thickBot="1" x14ac:dyDescent="0.25">
      <c r="B86" s="789" t="s">
        <v>206</v>
      </c>
      <c r="C86" s="790"/>
      <c r="D86" s="790"/>
      <c r="E86" s="790"/>
      <c r="F86" s="791"/>
      <c r="G86" s="792">
        <f>+G65-H84</f>
        <v>382488</v>
      </c>
      <c r="H86" s="791"/>
      <c r="J86" s="109">
        <f>C37+D37+E37+F37</f>
        <v>162432</v>
      </c>
      <c r="K86" s="16" t="s">
        <v>235</v>
      </c>
    </row>
    <row r="87" spans="2:12" x14ac:dyDescent="0.2">
      <c r="B87" s="110"/>
      <c r="F87" s="105"/>
      <c r="J87" s="109">
        <f>G37+H37+I37</f>
        <v>128906</v>
      </c>
      <c r="K87" s="16" t="s">
        <v>236</v>
      </c>
    </row>
    <row r="88" spans="2:12" x14ac:dyDescent="0.2">
      <c r="C88" s="793" t="s">
        <v>207</v>
      </c>
      <c r="D88" s="794"/>
      <c r="E88" s="111" t="s">
        <v>208</v>
      </c>
      <c r="F88" s="111" t="s">
        <v>209</v>
      </c>
      <c r="G88" s="111" t="s">
        <v>210</v>
      </c>
      <c r="H88" s="111" t="s">
        <v>211</v>
      </c>
      <c r="J88" s="109">
        <f>J37+K37+L37</f>
        <v>135446</v>
      </c>
      <c r="K88" s="47" t="s">
        <v>237</v>
      </c>
      <c r="L88" s="16">
        <f>+J92/5</f>
        <v>25688.799999999999</v>
      </c>
    </row>
    <row r="89" spans="2:12" x14ac:dyDescent="0.2">
      <c r="C89" s="795" t="str">
        <f>IF(I6="M","0          - 250000","0          -  250000")</f>
        <v>0          - 250000</v>
      </c>
      <c r="D89" s="796"/>
      <c r="E89" s="112">
        <v>0</v>
      </c>
      <c r="F89" s="113">
        <f>IF(I6="M",(IF(G86&lt;250000,G86,250000)),(IF(G86&lt;250000,G86,250000)))</f>
        <v>250000</v>
      </c>
      <c r="G89" s="113">
        <f>G86-F89</f>
        <v>132488</v>
      </c>
      <c r="H89" s="113">
        <f>E89*F89</f>
        <v>0</v>
      </c>
      <c r="J89" s="16">
        <f>M37+N37</f>
        <v>84148</v>
      </c>
      <c r="K89" s="1" t="s">
        <v>238</v>
      </c>
    </row>
    <row r="90" spans="2:12" x14ac:dyDescent="0.2">
      <c r="C90" s="795" t="str">
        <f>IF(I6="M","250001 - 500000","250001-500000")</f>
        <v>250001 - 500000</v>
      </c>
      <c r="D90" s="796"/>
      <c r="E90" s="112">
        <v>0.05</v>
      </c>
      <c r="F90" s="113">
        <f>IF(I6="M",(IF(G89&lt;250000,G89,250000)),(IF(G89&lt;250000,G89,250000)))</f>
        <v>132488</v>
      </c>
      <c r="G90" s="113">
        <f>G89-F90</f>
        <v>0</v>
      </c>
      <c r="H90" s="114">
        <f>ROUND(E90*F90,0.1)</f>
        <v>6624</v>
      </c>
      <c r="J90" s="115">
        <f>SUM(J86:J89)</f>
        <v>510932</v>
      </c>
    </row>
    <row r="91" spans="2:12" x14ac:dyDescent="0.2">
      <c r="C91" s="797" t="s">
        <v>212</v>
      </c>
      <c r="D91" s="798"/>
      <c r="E91" s="112">
        <v>0.2</v>
      </c>
      <c r="F91" s="113">
        <f>IF(G90&lt;500000,G90,500000)</f>
        <v>0</v>
      </c>
      <c r="G91" s="113">
        <f>G90-F91</f>
        <v>0</v>
      </c>
      <c r="H91" s="114">
        <f>ROUND(E91*F91,0.1)</f>
        <v>0</v>
      </c>
      <c r="J91" s="16">
        <f>+G86</f>
        <v>382488</v>
      </c>
    </row>
    <row r="92" spans="2:12" x14ac:dyDescent="0.2">
      <c r="C92" s="795" t="s">
        <v>213</v>
      </c>
      <c r="D92" s="796"/>
      <c r="E92" s="112">
        <v>0.3</v>
      </c>
      <c r="F92" s="113">
        <f>G91</f>
        <v>0</v>
      </c>
      <c r="G92" s="113">
        <f>G91-F92</f>
        <v>0</v>
      </c>
      <c r="H92" s="114">
        <f>ROUND(E92*F92,0.1)</f>
        <v>0</v>
      </c>
      <c r="J92" s="16">
        <f>+J90-J91</f>
        <v>128444</v>
      </c>
    </row>
    <row r="93" spans="2:12" ht="12.75" customHeight="1" thickBot="1" x14ac:dyDescent="0.25">
      <c r="B93" s="116"/>
      <c r="C93" s="117"/>
      <c r="D93" s="47"/>
      <c r="E93" s="47"/>
      <c r="F93" s="47"/>
      <c r="J93" s="87">
        <f>+J92/3</f>
        <v>42814.666666666664</v>
      </c>
      <c r="K93" s="118"/>
    </row>
    <row r="94" spans="2:12" ht="13.5" thickBot="1" x14ac:dyDescent="0.25">
      <c r="B94" s="799" t="s">
        <v>239</v>
      </c>
      <c r="C94" s="800"/>
      <c r="D94" s="800"/>
      <c r="E94" s="800"/>
      <c r="F94" s="801"/>
      <c r="G94" s="771">
        <f>H89+H90+H91+H92</f>
        <v>6624</v>
      </c>
      <c r="H94" s="772"/>
      <c r="J94" s="87"/>
      <c r="K94" s="87"/>
    </row>
    <row r="95" spans="2:12" ht="13.5" thickBot="1" x14ac:dyDescent="0.25">
      <c r="B95" s="119" t="s">
        <v>215</v>
      </c>
      <c r="C95" s="120"/>
      <c r="D95" s="120"/>
      <c r="E95" s="120">
        <v>0</v>
      </c>
      <c r="F95" s="120"/>
      <c r="G95" s="895">
        <f>IF(G86&lt;350000,2500,0)</f>
        <v>0</v>
      </c>
      <c r="H95" s="896">
        <f>IF(H93&lt;200000,0,IF(H93&lt;220000,((H93-200000)*10%),IF(H93&lt;=500000,2000,IF(H93&gt;=500000,0))))</f>
        <v>0</v>
      </c>
      <c r="J95" s="1"/>
      <c r="K95" s="121"/>
      <c r="L95" s="121"/>
    </row>
    <row r="96" spans="2:12" ht="13.5" thickBot="1" x14ac:dyDescent="0.25">
      <c r="B96" s="122" t="s">
        <v>216</v>
      </c>
      <c r="C96" s="123"/>
      <c r="D96" s="123"/>
      <c r="E96" s="123"/>
      <c r="F96" s="123"/>
      <c r="G96" s="771">
        <f>IF((G94-G95)&lt;0,0,(G94-G95))</f>
        <v>6624</v>
      </c>
      <c r="H96" s="772"/>
      <c r="I96" s="37"/>
    </row>
    <row r="97" spans="2:9" ht="13.5" thickBot="1" x14ac:dyDescent="0.25">
      <c r="B97" s="773" t="s">
        <v>240</v>
      </c>
      <c r="C97" s="774"/>
      <c r="D97" s="774"/>
      <c r="E97" s="774"/>
      <c r="F97" s="775"/>
      <c r="G97" s="776">
        <f>ROUND((IF(G96&gt;0,(G96*4%),0)),0)</f>
        <v>265</v>
      </c>
      <c r="H97" s="777"/>
      <c r="I97" s="37"/>
    </row>
    <row r="98" spans="2:9" ht="13.5" thickBot="1" x14ac:dyDescent="0.25">
      <c r="B98" s="778" t="s">
        <v>218</v>
      </c>
      <c r="C98" s="779"/>
      <c r="D98" s="779"/>
      <c r="E98" s="779"/>
      <c r="F98" s="779"/>
      <c r="G98" s="780">
        <f>G96+G97</f>
        <v>6889</v>
      </c>
      <c r="H98" s="781"/>
      <c r="I98" s="121"/>
    </row>
    <row r="99" spans="2:9" ht="13.5" thickBot="1" x14ac:dyDescent="0.25">
      <c r="B99" s="765" t="s">
        <v>219</v>
      </c>
      <c r="C99" s="766"/>
      <c r="D99" s="766"/>
      <c r="E99" s="766"/>
      <c r="F99" s="766"/>
      <c r="G99" s="767">
        <f>O38</f>
        <v>6895</v>
      </c>
      <c r="H99" s="768"/>
      <c r="I99" s="121"/>
    </row>
    <row r="100" spans="2:9" ht="13.5" thickBot="1" x14ac:dyDescent="0.25">
      <c r="B100" s="765" t="str">
        <f>IF(G100&gt;0,"TAX PAYABLE","TAX REFUND")</f>
        <v>TAX REFUND</v>
      </c>
      <c r="C100" s="766"/>
      <c r="D100" s="766"/>
      <c r="E100" s="766"/>
      <c r="F100" s="766"/>
      <c r="G100" s="767">
        <f>+G98-G99</f>
        <v>-6</v>
      </c>
      <c r="H100" s="768"/>
      <c r="I100" s="37"/>
    </row>
    <row r="101" spans="2:9" x14ac:dyDescent="0.2">
      <c r="C101" s="124"/>
      <c r="D101" s="45"/>
      <c r="E101" s="118"/>
      <c r="F101" s="118"/>
      <c r="G101" s="118"/>
      <c r="H101" s="118"/>
      <c r="I101" s="125"/>
    </row>
    <row r="102" spans="2:9" x14ac:dyDescent="0.2">
      <c r="C102" s="47"/>
      <c r="D102" s="50"/>
      <c r="E102" s="117"/>
      <c r="F102" s="47"/>
      <c r="G102" s="47"/>
      <c r="H102" s="47"/>
      <c r="I102" s="125"/>
    </row>
    <row r="103" spans="2:9" x14ac:dyDescent="0.2">
      <c r="C103" s="39"/>
      <c r="D103" s="126"/>
      <c r="E103" s="126"/>
      <c r="F103" s="126"/>
      <c r="G103" s="39"/>
      <c r="H103" s="39"/>
      <c r="I103" s="37"/>
    </row>
    <row r="104" spans="2:9" x14ac:dyDescent="0.2">
      <c r="C104" s="39"/>
      <c r="D104" s="126"/>
      <c r="E104" s="126"/>
      <c r="F104" s="39"/>
      <c r="G104" s="39"/>
      <c r="H104" s="39"/>
      <c r="I104" s="37"/>
    </row>
    <row r="105" spans="2:9" x14ac:dyDescent="0.2">
      <c r="C105" s="39"/>
      <c r="D105" s="126"/>
      <c r="E105" s="126"/>
      <c r="F105" s="39"/>
      <c r="G105" s="39"/>
      <c r="H105" s="39"/>
      <c r="I105" s="37"/>
    </row>
    <row r="106" spans="2:9" x14ac:dyDescent="0.2">
      <c r="C106" s="39"/>
      <c r="D106" s="39"/>
      <c r="E106" s="39"/>
      <c r="F106" s="39"/>
      <c r="G106" s="39"/>
      <c r="H106" s="39"/>
      <c r="I106" s="37"/>
    </row>
    <row r="107" spans="2:9" x14ac:dyDescent="0.2">
      <c r="C107" s="39"/>
      <c r="D107" s="39"/>
      <c r="E107" s="39"/>
      <c r="F107" s="39"/>
      <c r="G107" s="39"/>
      <c r="H107" s="39"/>
    </row>
    <row r="108" spans="2:9" x14ac:dyDescent="0.2">
      <c r="C108" s="39"/>
      <c r="D108" s="39"/>
      <c r="E108" s="39"/>
      <c r="F108" s="39"/>
      <c r="G108" s="39"/>
      <c r="H108"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9"/>
    <mergeCell ref="A50:B50"/>
    <mergeCell ref="A51:B51"/>
    <mergeCell ref="B54:F54"/>
    <mergeCell ref="G54:H54"/>
    <mergeCell ref="B60:F60"/>
    <mergeCell ref="G60:H60"/>
    <mergeCell ref="J60:O60"/>
    <mergeCell ref="B56:B58"/>
    <mergeCell ref="C56:C58"/>
    <mergeCell ref="D56:F56"/>
    <mergeCell ref="G56:H56"/>
    <mergeCell ref="D57:F57"/>
    <mergeCell ref="G57:H57"/>
    <mergeCell ref="J57:L57"/>
    <mergeCell ref="M57:O57"/>
    <mergeCell ref="D58:F58"/>
    <mergeCell ref="G58:H58"/>
    <mergeCell ref="J63:O63"/>
    <mergeCell ref="D81:F81"/>
    <mergeCell ref="J68:K68"/>
    <mergeCell ref="B65:F65"/>
    <mergeCell ref="G65:H65"/>
    <mergeCell ref="D76:F76"/>
    <mergeCell ref="D77:F77"/>
    <mergeCell ref="E78:F78"/>
    <mergeCell ref="D79:F79"/>
    <mergeCell ref="D80:F80"/>
    <mergeCell ref="D71:F71"/>
    <mergeCell ref="D72:F72"/>
    <mergeCell ref="C69:C75"/>
    <mergeCell ref="D69:F69"/>
    <mergeCell ref="D70:F70"/>
    <mergeCell ref="D74:F74"/>
    <mergeCell ref="G62:H62"/>
    <mergeCell ref="C63:F63"/>
    <mergeCell ref="G63:H63"/>
    <mergeCell ref="B62:F62"/>
    <mergeCell ref="D73:F73"/>
    <mergeCell ref="D75:F75"/>
    <mergeCell ref="G94:H94"/>
    <mergeCell ref="D82:F82"/>
    <mergeCell ref="D83:F83"/>
    <mergeCell ref="B84:F84"/>
    <mergeCell ref="B86:F86"/>
    <mergeCell ref="G86:H86"/>
    <mergeCell ref="C88:D88"/>
    <mergeCell ref="C89:D89"/>
    <mergeCell ref="C90:D90"/>
    <mergeCell ref="C91:D91"/>
    <mergeCell ref="C92:D92"/>
    <mergeCell ref="B94:F94"/>
    <mergeCell ref="B69:B83"/>
    <mergeCell ref="B100:F100"/>
    <mergeCell ref="G100:H100"/>
    <mergeCell ref="G95:H95"/>
    <mergeCell ref="G96:H96"/>
    <mergeCell ref="B97:F97"/>
    <mergeCell ref="G97:H97"/>
    <mergeCell ref="B98:F98"/>
    <mergeCell ref="G98:H98"/>
    <mergeCell ref="B99:F99"/>
    <mergeCell ref="G99:H99"/>
  </mergeCells>
  <conditionalFormatting sqref="B91:F91 B100:F100 B94:F98">
    <cfRule type="cellIs" dxfId="1103" priority="1" stopIfTrue="1" operator="equal">
      <formula>"TAX PAYABLE"</formula>
    </cfRule>
    <cfRule type="cellIs" dxfId="1102" priority="2" stopIfTrue="1" operator="equal">
      <formula>"TAX REFUND"</formula>
    </cfRule>
  </conditionalFormatting>
  <conditionalFormatting sqref="G91:H91">
    <cfRule type="cellIs" dxfId="1101" priority="3" stopIfTrue="1" operator="lessThan">
      <formula>0</formula>
    </cfRule>
    <cfRule type="cellIs" dxfId="1100" priority="4" stopIfTrue="1" operator="greaterThan">
      <formula>0</formula>
    </cfRule>
  </conditionalFormatting>
  <conditionalFormatting sqref="G100:H100">
    <cfRule type="cellIs" dxfId="1099" priority="5" stopIfTrue="1" operator="greaterThan">
      <formula>0</formula>
    </cfRule>
    <cfRule type="cellIs" dxfId="1098" priority="6" stopIfTrue="1" operator="lessThanOrEqual">
      <formula>0</formula>
    </cfRule>
  </conditionalFormatting>
  <dataValidations disablePrompts="1"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5" right="0.75" top="1" bottom="1" header="0.5" footer="0.5"/>
  <headerFooter alignWithMargins="0"/>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4"/>
  <sheetViews>
    <sheetView topLeftCell="A64" workbookViewId="0">
      <selection activeCell="G70" sqref="G70"/>
    </sheetView>
  </sheetViews>
  <sheetFormatPr defaultRowHeight="12.75" x14ac:dyDescent="0.2"/>
  <cols>
    <col min="1" max="1" width="5" style="16" customWidth="1"/>
    <col min="2" max="2" width="19.5703125" style="37" customWidth="1"/>
    <col min="3" max="3" width="8.42578125" style="16" customWidth="1"/>
    <col min="4" max="4" width="8" style="16" customWidth="1"/>
    <col min="5" max="5" width="8.5703125" style="16" bestFit="1" customWidth="1"/>
    <col min="6" max="6" width="8.28515625" style="16" customWidth="1"/>
    <col min="7" max="7" width="7.85546875" style="16" customWidth="1"/>
    <col min="8" max="8" width="8.140625" style="16" customWidth="1"/>
    <col min="9" max="13" width="7.85546875" style="16" customWidth="1"/>
    <col min="14" max="14" width="8.7109375" style="16" customWidth="1"/>
    <col min="15" max="20" width="9.140625" style="16"/>
    <col min="21" max="21" width="12.42578125" style="16" customWidth="1"/>
    <col min="22" max="22" width="9.140625" style="16"/>
    <col min="23" max="23" width="12" style="16" customWidth="1"/>
    <col min="24" max="256" width="9.140625" style="16"/>
    <col min="257" max="257" width="5" style="16" customWidth="1"/>
    <col min="258" max="258" width="19.5703125" style="16" customWidth="1"/>
    <col min="259" max="259" width="8.42578125" style="16" customWidth="1"/>
    <col min="260" max="260" width="8" style="16" customWidth="1"/>
    <col min="261" max="261" width="8.5703125" style="16" bestFit="1" customWidth="1"/>
    <col min="262" max="262" width="8.28515625" style="16" customWidth="1"/>
    <col min="263" max="263" width="7.85546875" style="16" customWidth="1"/>
    <col min="264" max="264" width="8.140625" style="16" customWidth="1"/>
    <col min="265" max="269" width="7.85546875" style="16" customWidth="1"/>
    <col min="270" max="270" width="8.7109375" style="16" customWidth="1"/>
    <col min="271" max="276" width="9.140625" style="16"/>
    <col min="277" max="277" width="12.42578125" style="16" customWidth="1"/>
    <col min="278" max="278" width="9.140625" style="16"/>
    <col min="279" max="279" width="12" style="16" customWidth="1"/>
    <col min="280" max="512" width="9.140625" style="16"/>
    <col min="513" max="513" width="5" style="16" customWidth="1"/>
    <col min="514" max="514" width="19.5703125" style="16" customWidth="1"/>
    <col min="515" max="515" width="8.42578125" style="16" customWidth="1"/>
    <col min="516" max="516" width="8" style="16" customWidth="1"/>
    <col min="517" max="517" width="8.5703125" style="16" bestFit="1" customWidth="1"/>
    <col min="518" max="518" width="8.28515625" style="16" customWidth="1"/>
    <col min="519" max="519" width="7.85546875" style="16" customWidth="1"/>
    <col min="520" max="520" width="8.140625" style="16" customWidth="1"/>
    <col min="521" max="525" width="7.85546875" style="16" customWidth="1"/>
    <col min="526" max="526" width="8.7109375" style="16" customWidth="1"/>
    <col min="527" max="532" width="9.140625" style="16"/>
    <col min="533" max="533" width="12.42578125" style="16" customWidth="1"/>
    <col min="534" max="534" width="9.140625" style="16"/>
    <col min="535" max="535" width="12" style="16" customWidth="1"/>
    <col min="536" max="768" width="9.140625" style="16"/>
    <col min="769" max="769" width="5" style="16" customWidth="1"/>
    <col min="770" max="770" width="19.5703125" style="16" customWidth="1"/>
    <col min="771" max="771" width="8.42578125" style="16" customWidth="1"/>
    <col min="772" max="772" width="8" style="16" customWidth="1"/>
    <col min="773" max="773" width="8.5703125" style="16" bestFit="1" customWidth="1"/>
    <col min="774" max="774" width="8.28515625" style="16" customWidth="1"/>
    <col min="775" max="775" width="7.85546875" style="16" customWidth="1"/>
    <col min="776" max="776" width="8.140625" style="16" customWidth="1"/>
    <col min="777" max="781" width="7.85546875" style="16" customWidth="1"/>
    <col min="782" max="782" width="8.7109375" style="16" customWidth="1"/>
    <col min="783" max="788" width="9.140625" style="16"/>
    <col min="789" max="789" width="12.42578125" style="16" customWidth="1"/>
    <col min="790" max="790" width="9.140625" style="16"/>
    <col min="791" max="791" width="12" style="16" customWidth="1"/>
    <col min="792" max="1024" width="9.140625" style="16"/>
    <col min="1025" max="1025" width="5" style="16" customWidth="1"/>
    <col min="1026" max="1026" width="19.5703125" style="16" customWidth="1"/>
    <col min="1027" max="1027" width="8.42578125" style="16" customWidth="1"/>
    <col min="1028" max="1028" width="8" style="16" customWidth="1"/>
    <col min="1029" max="1029" width="8.5703125" style="16" bestFit="1" customWidth="1"/>
    <col min="1030" max="1030" width="8.28515625" style="16" customWidth="1"/>
    <col min="1031" max="1031" width="7.85546875" style="16" customWidth="1"/>
    <col min="1032" max="1032" width="8.140625" style="16" customWidth="1"/>
    <col min="1033" max="1037" width="7.85546875" style="16" customWidth="1"/>
    <col min="1038" max="1038" width="8.7109375" style="16" customWidth="1"/>
    <col min="1039" max="1044" width="9.140625" style="16"/>
    <col min="1045" max="1045" width="12.42578125" style="16" customWidth="1"/>
    <col min="1046" max="1046" width="9.140625" style="16"/>
    <col min="1047" max="1047" width="12" style="16" customWidth="1"/>
    <col min="1048" max="1280" width="9.140625" style="16"/>
    <col min="1281" max="1281" width="5" style="16" customWidth="1"/>
    <col min="1282" max="1282" width="19.5703125" style="16" customWidth="1"/>
    <col min="1283" max="1283" width="8.42578125" style="16" customWidth="1"/>
    <col min="1284" max="1284" width="8" style="16" customWidth="1"/>
    <col min="1285" max="1285" width="8.5703125" style="16" bestFit="1" customWidth="1"/>
    <col min="1286" max="1286" width="8.28515625" style="16" customWidth="1"/>
    <col min="1287" max="1287" width="7.85546875" style="16" customWidth="1"/>
    <col min="1288" max="1288" width="8.140625" style="16" customWidth="1"/>
    <col min="1289" max="1293" width="7.85546875" style="16" customWidth="1"/>
    <col min="1294" max="1294" width="8.7109375" style="16" customWidth="1"/>
    <col min="1295" max="1300" width="9.140625" style="16"/>
    <col min="1301" max="1301" width="12.42578125" style="16" customWidth="1"/>
    <col min="1302" max="1302" width="9.140625" style="16"/>
    <col min="1303" max="1303" width="12" style="16" customWidth="1"/>
    <col min="1304" max="1536" width="9.140625" style="16"/>
    <col min="1537" max="1537" width="5" style="16" customWidth="1"/>
    <col min="1538" max="1538" width="19.5703125" style="16" customWidth="1"/>
    <col min="1539" max="1539" width="8.42578125" style="16" customWidth="1"/>
    <col min="1540" max="1540" width="8" style="16" customWidth="1"/>
    <col min="1541" max="1541" width="8.5703125" style="16" bestFit="1" customWidth="1"/>
    <col min="1542" max="1542" width="8.28515625" style="16" customWidth="1"/>
    <col min="1543" max="1543" width="7.85546875" style="16" customWidth="1"/>
    <col min="1544" max="1544" width="8.140625" style="16" customWidth="1"/>
    <col min="1545" max="1549" width="7.85546875" style="16" customWidth="1"/>
    <col min="1550" max="1550" width="8.7109375" style="16" customWidth="1"/>
    <col min="1551" max="1556" width="9.140625" style="16"/>
    <col min="1557" max="1557" width="12.42578125" style="16" customWidth="1"/>
    <col min="1558" max="1558" width="9.140625" style="16"/>
    <col min="1559" max="1559" width="12" style="16" customWidth="1"/>
    <col min="1560" max="1792" width="9.140625" style="16"/>
    <col min="1793" max="1793" width="5" style="16" customWidth="1"/>
    <col min="1794" max="1794" width="19.5703125" style="16" customWidth="1"/>
    <col min="1795" max="1795" width="8.42578125" style="16" customWidth="1"/>
    <col min="1796" max="1796" width="8" style="16" customWidth="1"/>
    <col min="1797" max="1797" width="8.5703125" style="16" bestFit="1" customWidth="1"/>
    <col min="1798" max="1798" width="8.28515625" style="16" customWidth="1"/>
    <col min="1799" max="1799" width="7.85546875" style="16" customWidth="1"/>
    <col min="1800" max="1800" width="8.140625" style="16" customWidth="1"/>
    <col min="1801" max="1805" width="7.85546875" style="16" customWidth="1"/>
    <col min="1806" max="1806" width="8.7109375" style="16" customWidth="1"/>
    <col min="1807" max="1812" width="9.140625" style="16"/>
    <col min="1813" max="1813" width="12.42578125" style="16" customWidth="1"/>
    <col min="1814" max="1814" width="9.140625" style="16"/>
    <col min="1815" max="1815" width="12" style="16" customWidth="1"/>
    <col min="1816" max="2048" width="9.140625" style="16"/>
    <col min="2049" max="2049" width="5" style="16" customWidth="1"/>
    <col min="2050" max="2050" width="19.5703125" style="16" customWidth="1"/>
    <col min="2051" max="2051" width="8.42578125" style="16" customWidth="1"/>
    <col min="2052" max="2052" width="8" style="16" customWidth="1"/>
    <col min="2053" max="2053" width="8.5703125" style="16" bestFit="1" customWidth="1"/>
    <col min="2054" max="2054" width="8.28515625" style="16" customWidth="1"/>
    <col min="2055" max="2055" width="7.85546875" style="16" customWidth="1"/>
    <col min="2056" max="2056" width="8.140625" style="16" customWidth="1"/>
    <col min="2057" max="2061" width="7.85546875" style="16" customWidth="1"/>
    <col min="2062" max="2062" width="8.7109375" style="16" customWidth="1"/>
    <col min="2063" max="2068" width="9.140625" style="16"/>
    <col min="2069" max="2069" width="12.42578125" style="16" customWidth="1"/>
    <col min="2070" max="2070" width="9.140625" style="16"/>
    <col min="2071" max="2071" width="12" style="16" customWidth="1"/>
    <col min="2072" max="2304" width="9.140625" style="16"/>
    <col min="2305" max="2305" width="5" style="16" customWidth="1"/>
    <col min="2306" max="2306" width="19.5703125" style="16" customWidth="1"/>
    <col min="2307" max="2307" width="8.42578125" style="16" customWidth="1"/>
    <col min="2308" max="2308" width="8" style="16" customWidth="1"/>
    <col min="2309" max="2309" width="8.5703125" style="16" bestFit="1" customWidth="1"/>
    <col min="2310" max="2310" width="8.28515625" style="16" customWidth="1"/>
    <col min="2311" max="2311" width="7.85546875" style="16" customWidth="1"/>
    <col min="2312" max="2312" width="8.140625" style="16" customWidth="1"/>
    <col min="2313" max="2317" width="7.85546875" style="16" customWidth="1"/>
    <col min="2318" max="2318" width="8.7109375" style="16" customWidth="1"/>
    <col min="2319" max="2324" width="9.140625" style="16"/>
    <col min="2325" max="2325" width="12.42578125" style="16" customWidth="1"/>
    <col min="2326" max="2326" width="9.140625" style="16"/>
    <col min="2327" max="2327" width="12" style="16" customWidth="1"/>
    <col min="2328" max="2560" width="9.140625" style="16"/>
    <col min="2561" max="2561" width="5" style="16" customWidth="1"/>
    <col min="2562" max="2562" width="19.5703125" style="16" customWidth="1"/>
    <col min="2563" max="2563" width="8.42578125" style="16" customWidth="1"/>
    <col min="2564" max="2564" width="8" style="16" customWidth="1"/>
    <col min="2565" max="2565" width="8.5703125" style="16" bestFit="1" customWidth="1"/>
    <col min="2566" max="2566" width="8.28515625" style="16" customWidth="1"/>
    <col min="2567" max="2567" width="7.85546875" style="16" customWidth="1"/>
    <col min="2568" max="2568" width="8.140625" style="16" customWidth="1"/>
    <col min="2569" max="2573" width="7.85546875" style="16" customWidth="1"/>
    <col min="2574" max="2574" width="8.7109375" style="16" customWidth="1"/>
    <col min="2575" max="2580" width="9.140625" style="16"/>
    <col min="2581" max="2581" width="12.42578125" style="16" customWidth="1"/>
    <col min="2582" max="2582" width="9.140625" style="16"/>
    <col min="2583" max="2583" width="12" style="16" customWidth="1"/>
    <col min="2584" max="2816" width="9.140625" style="16"/>
    <col min="2817" max="2817" width="5" style="16" customWidth="1"/>
    <col min="2818" max="2818" width="19.5703125" style="16" customWidth="1"/>
    <col min="2819" max="2819" width="8.42578125" style="16" customWidth="1"/>
    <col min="2820" max="2820" width="8" style="16" customWidth="1"/>
    <col min="2821" max="2821" width="8.5703125" style="16" bestFit="1" customWidth="1"/>
    <col min="2822" max="2822" width="8.28515625" style="16" customWidth="1"/>
    <col min="2823" max="2823" width="7.85546875" style="16" customWidth="1"/>
    <col min="2824" max="2824" width="8.140625" style="16" customWidth="1"/>
    <col min="2825" max="2829" width="7.85546875" style="16" customWidth="1"/>
    <col min="2830" max="2830" width="8.7109375" style="16" customWidth="1"/>
    <col min="2831" max="2836" width="9.140625" style="16"/>
    <col min="2837" max="2837" width="12.42578125" style="16" customWidth="1"/>
    <col min="2838" max="2838" width="9.140625" style="16"/>
    <col min="2839" max="2839" width="12" style="16" customWidth="1"/>
    <col min="2840" max="3072" width="9.140625" style="16"/>
    <col min="3073" max="3073" width="5" style="16" customWidth="1"/>
    <col min="3074" max="3074" width="19.5703125" style="16" customWidth="1"/>
    <col min="3075" max="3075" width="8.42578125" style="16" customWidth="1"/>
    <col min="3076" max="3076" width="8" style="16" customWidth="1"/>
    <col min="3077" max="3077" width="8.5703125" style="16" bestFit="1" customWidth="1"/>
    <col min="3078" max="3078" width="8.28515625" style="16" customWidth="1"/>
    <col min="3079" max="3079" width="7.85546875" style="16" customWidth="1"/>
    <col min="3080" max="3080" width="8.140625" style="16" customWidth="1"/>
    <col min="3081" max="3085" width="7.85546875" style="16" customWidth="1"/>
    <col min="3086" max="3086" width="8.7109375" style="16" customWidth="1"/>
    <col min="3087" max="3092" width="9.140625" style="16"/>
    <col min="3093" max="3093" width="12.42578125" style="16" customWidth="1"/>
    <col min="3094" max="3094" width="9.140625" style="16"/>
    <col min="3095" max="3095" width="12" style="16" customWidth="1"/>
    <col min="3096" max="3328" width="9.140625" style="16"/>
    <col min="3329" max="3329" width="5" style="16" customWidth="1"/>
    <col min="3330" max="3330" width="19.5703125" style="16" customWidth="1"/>
    <col min="3331" max="3331" width="8.42578125" style="16" customWidth="1"/>
    <col min="3332" max="3332" width="8" style="16" customWidth="1"/>
    <col min="3333" max="3333" width="8.5703125" style="16" bestFit="1" customWidth="1"/>
    <col min="3334" max="3334" width="8.28515625" style="16" customWidth="1"/>
    <col min="3335" max="3335" width="7.85546875" style="16" customWidth="1"/>
    <col min="3336" max="3336" width="8.140625" style="16" customWidth="1"/>
    <col min="3337" max="3341" width="7.85546875" style="16" customWidth="1"/>
    <col min="3342" max="3342" width="8.7109375" style="16" customWidth="1"/>
    <col min="3343" max="3348" width="9.140625" style="16"/>
    <col min="3349" max="3349" width="12.42578125" style="16" customWidth="1"/>
    <col min="3350" max="3350" width="9.140625" style="16"/>
    <col min="3351" max="3351" width="12" style="16" customWidth="1"/>
    <col min="3352" max="3584" width="9.140625" style="16"/>
    <col min="3585" max="3585" width="5" style="16" customWidth="1"/>
    <col min="3586" max="3586" width="19.5703125" style="16" customWidth="1"/>
    <col min="3587" max="3587" width="8.42578125" style="16" customWidth="1"/>
    <col min="3588" max="3588" width="8" style="16" customWidth="1"/>
    <col min="3589" max="3589" width="8.5703125" style="16" bestFit="1" customWidth="1"/>
    <col min="3590" max="3590" width="8.28515625" style="16" customWidth="1"/>
    <col min="3591" max="3591" width="7.85546875" style="16" customWidth="1"/>
    <col min="3592" max="3592" width="8.140625" style="16" customWidth="1"/>
    <col min="3593" max="3597" width="7.85546875" style="16" customWidth="1"/>
    <col min="3598" max="3598" width="8.7109375" style="16" customWidth="1"/>
    <col min="3599" max="3604" width="9.140625" style="16"/>
    <col min="3605" max="3605" width="12.42578125" style="16" customWidth="1"/>
    <col min="3606" max="3606" width="9.140625" style="16"/>
    <col min="3607" max="3607" width="12" style="16" customWidth="1"/>
    <col min="3608" max="3840" width="9.140625" style="16"/>
    <col min="3841" max="3841" width="5" style="16" customWidth="1"/>
    <col min="3842" max="3842" width="19.5703125" style="16" customWidth="1"/>
    <col min="3843" max="3843" width="8.42578125" style="16" customWidth="1"/>
    <col min="3844" max="3844" width="8" style="16" customWidth="1"/>
    <col min="3845" max="3845" width="8.5703125" style="16" bestFit="1" customWidth="1"/>
    <col min="3846" max="3846" width="8.28515625" style="16" customWidth="1"/>
    <col min="3847" max="3847" width="7.85546875" style="16" customWidth="1"/>
    <col min="3848" max="3848" width="8.140625" style="16" customWidth="1"/>
    <col min="3849" max="3853" width="7.85546875" style="16" customWidth="1"/>
    <col min="3854" max="3854" width="8.7109375" style="16" customWidth="1"/>
    <col min="3855" max="3860" width="9.140625" style="16"/>
    <col min="3861" max="3861" width="12.42578125" style="16" customWidth="1"/>
    <col min="3862" max="3862" width="9.140625" style="16"/>
    <col min="3863" max="3863" width="12" style="16" customWidth="1"/>
    <col min="3864" max="4096" width="9.140625" style="16"/>
    <col min="4097" max="4097" width="5" style="16" customWidth="1"/>
    <col min="4098" max="4098" width="19.5703125" style="16" customWidth="1"/>
    <col min="4099" max="4099" width="8.42578125" style="16" customWidth="1"/>
    <col min="4100" max="4100" width="8" style="16" customWidth="1"/>
    <col min="4101" max="4101" width="8.5703125" style="16" bestFit="1" customWidth="1"/>
    <col min="4102" max="4102" width="8.28515625" style="16" customWidth="1"/>
    <col min="4103" max="4103" width="7.85546875" style="16" customWidth="1"/>
    <col min="4104" max="4104" width="8.140625" style="16" customWidth="1"/>
    <col min="4105" max="4109" width="7.85546875" style="16" customWidth="1"/>
    <col min="4110" max="4110" width="8.7109375" style="16" customWidth="1"/>
    <col min="4111" max="4116" width="9.140625" style="16"/>
    <col min="4117" max="4117" width="12.42578125" style="16" customWidth="1"/>
    <col min="4118" max="4118" width="9.140625" style="16"/>
    <col min="4119" max="4119" width="12" style="16" customWidth="1"/>
    <col min="4120" max="4352" width="9.140625" style="16"/>
    <col min="4353" max="4353" width="5" style="16" customWidth="1"/>
    <col min="4354" max="4354" width="19.5703125" style="16" customWidth="1"/>
    <col min="4355" max="4355" width="8.42578125" style="16" customWidth="1"/>
    <col min="4356" max="4356" width="8" style="16" customWidth="1"/>
    <col min="4357" max="4357" width="8.5703125" style="16" bestFit="1" customWidth="1"/>
    <col min="4358" max="4358" width="8.28515625" style="16" customWidth="1"/>
    <col min="4359" max="4359" width="7.85546875" style="16" customWidth="1"/>
    <col min="4360" max="4360" width="8.140625" style="16" customWidth="1"/>
    <col min="4361" max="4365" width="7.85546875" style="16" customWidth="1"/>
    <col min="4366" max="4366" width="8.7109375" style="16" customWidth="1"/>
    <col min="4367" max="4372" width="9.140625" style="16"/>
    <col min="4373" max="4373" width="12.42578125" style="16" customWidth="1"/>
    <col min="4374" max="4374" width="9.140625" style="16"/>
    <col min="4375" max="4375" width="12" style="16" customWidth="1"/>
    <col min="4376" max="4608" width="9.140625" style="16"/>
    <col min="4609" max="4609" width="5" style="16" customWidth="1"/>
    <col min="4610" max="4610" width="19.5703125" style="16" customWidth="1"/>
    <col min="4611" max="4611" width="8.42578125" style="16" customWidth="1"/>
    <col min="4612" max="4612" width="8" style="16" customWidth="1"/>
    <col min="4613" max="4613" width="8.5703125" style="16" bestFit="1" customWidth="1"/>
    <col min="4614" max="4614" width="8.28515625" style="16" customWidth="1"/>
    <col min="4615" max="4615" width="7.85546875" style="16" customWidth="1"/>
    <col min="4616" max="4616" width="8.140625" style="16" customWidth="1"/>
    <col min="4617" max="4621" width="7.85546875" style="16" customWidth="1"/>
    <col min="4622" max="4622" width="8.7109375" style="16" customWidth="1"/>
    <col min="4623" max="4628" width="9.140625" style="16"/>
    <col min="4629" max="4629" width="12.42578125" style="16" customWidth="1"/>
    <col min="4630" max="4630" width="9.140625" style="16"/>
    <col min="4631" max="4631" width="12" style="16" customWidth="1"/>
    <col min="4632" max="4864" width="9.140625" style="16"/>
    <col min="4865" max="4865" width="5" style="16" customWidth="1"/>
    <col min="4866" max="4866" width="19.5703125" style="16" customWidth="1"/>
    <col min="4867" max="4867" width="8.42578125" style="16" customWidth="1"/>
    <col min="4868" max="4868" width="8" style="16" customWidth="1"/>
    <col min="4869" max="4869" width="8.5703125" style="16" bestFit="1" customWidth="1"/>
    <col min="4870" max="4870" width="8.28515625" style="16" customWidth="1"/>
    <col min="4871" max="4871" width="7.85546875" style="16" customWidth="1"/>
    <col min="4872" max="4872" width="8.140625" style="16" customWidth="1"/>
    <col min="4873" max="4877" width="7.85546875" style="16" customWidth="1"/>
    <col min="4878" max="4878" width="8.7109375" style="16" customWidth="1"/>
    <col min="4879" max="4884" width="9.140625" style="16"/>
    <col min="4885" max="4885" width="12.42578125" style="16" customWidth="1"/>
    <col min="4886" max="4886" width="9.140625" style="16"/>
    <col min="4887" max="4887" width="12" style="16" customWidth="1"/>
    <col min="4888" max="5120" width="9.140625" style="16"/>
    <col min="5121" max="5121" width="5" style="16" customWidth="1"/>
    <col min="5122" max="5122" width="19.5703125" style="16" customWidth="1"/>
    <col min="5123" max="5123" width="8.42578125" style="16" customWidth="1"/>
    <col min="5124" max="5124" width="8" style="16" customWidth="1"/>
    <col min="5125" max="5125" width="8.5703125" style="16" bestFit="1" customWidth="1"/>
    <col min="5126" max="5126" width="8.28515625" style="16" customWidth="1"/>
    <col min="5127" max="5127" width="7.85546875" style="16" customWidth="1"/>
    <col min="5128" max="5128" width="8.140625" style="16" customWidth="1"/>
    <col min="5129" max="5133" width="7.85546875" style="16" customWidth="1"/>
    <col min="5134" max="5134" width="8.7109375" style="16" customWidth="1"/>
    <col min="5135" max="5140" width="9.140625" style="16"/>
    <col min="5141" max="5141" width="12.42578125" style="16" customWidth="1"/>
    <col min="5142" max="5142" width="9.140625" style="16"/>
    <col min="5143" max="5143" width="12" style="16" customWidth="1"/>
    <col min="5144" max="5376" width="9.140625" style="16"/>
    <col min="5377" max="5377" width="5" style="16" customWidth="1"/>
    <col min="5378" max="5378" width="19.5703125" style="16" customWidth="1"/>
    <col min="5379" max="5379" width="8.42578125" style="16" customWidth="1"/>
    <col min="5380" max="5380" width="8" style="16" customWidth="1"/>
    <col min="5381" max="5381" width="8.5703125" style="16" bestFit="1" customWidth="1"/>
    <col min="5382" max="5382" width="8.28515625" style="16" customWidth="1"/>
    <col min="5383" max="5383" width="7.85546875" style="16" customWidth="1"/>
    <col min="5384" max="5384" width="8.140625" style="16" customWidth="1"/>
    <col min="5385" max="5389" width="7.85546875" style="16" customWidth="1"/>
    <col min="5390" max="5390" width="8.7109375" style="16" customWidth="1"/>
    <col min="5391" max="5396" width="9.140625" style="16"/>
    <col min="5397" max="5397" width="12.42578125" style="16" customWidth="1"/>
    <col min="5398" max="5398" width="9.140625" style="16"/>
    <col min="5399" max="5399" width="12" style="16" customWidth="1"/>
    <col min="5400" max="5632" width="9.140625" style="16"/>
    <col min="5633" max="5633" width="5" style="16" customWidth="1"/>
    <col min="5634" max="5634" width="19.5703125" style="16" customWidth="1"/>
    <col min="5635" max="5635" width="8.42578125" style="16" customWidth="1"/>
    <col min="5636" max="5636" width="8" style="16" customWidth="1"/>
    <col min="5637" max="5637" width="8.5703125" style="16" bestFit="1" customWidth="1"/>
    <col min="5638" max="5638" width="8.28515625" style="16" customWidth="1"/>
    <col min="5639" max="5639" width="7.85546875" style="16" customWidth="1"/>
    <col min="5640" max="5640" width="8.140625" style="16" customWidth="1"/>
    <col min="5641" max="5645" width="7.85546875" style="16" customWidth="1"/>
    <col min="5646" max="5646" width="8.7109375" style="16" customWidth="1"/>
    <col min="5647" max="5652" width="9.140625" style="16"/>
    <col min="5653" max="5653" width="12.42578125" style="16" customWidth="1"/>
    <col min="5654" max="5654" width="9.140625" style="16"/>
    <col min="5655" max="5655" width="12" style="16" customWidth="1"/>
    <col min="5656" max="5888" width="9.140625" style="16"/>
    <col min="5889" max="5889" width="5" style="16" customWidth="1"/>
    <col min="5890" max="5890" width="19.5703125" style="16" customWidth="1"/>
    <col min="5891" max="5891" width="8.42578125" style="16" customWidth="1"/>
    <col min="5892" max="5892" width="8" style="16" customWidth="1"/>
    <col min="5893" max="5893" width="8.5703125" style="16" bestFit="1" customWidth="1"/>
    <col min="5894" max="5894" width="8.28515625" style="16" customWidth="1"/>
    <col min="5895" max="5895" width="7.85546875" style="16" customWidth="1"/>
    <col min="5896" max="5896" width="8.140625" style="16" customWidth="1"/>
    <col min="5897" max="5901" width="7.85546875" style="16" customWidth="1"/>
    <col min="5902" max="5902" width="8.7109375" style="16" customWidth="1"/>
    <col min="5903" max="5908" width="9.140625" style="16"/>
    <col min="5909" max="5909" width="12.42578125" style="16" customWidth="1"/>
    <col min="5910" max="5910" width="9.140625" style="16"/>
    <col min="5911" max="5911" width="12" style="16" customWidth="1"/>
    <col min="5912" max="6144" width="9.140625" style="16"/>
    <col min="6145" max="6145" width="5" style="16" customWidth="1"/>
    <col min="6146" max="6146" width="19.5703125" style="16" customWidth="1"/>
    <col min="6147" max="6147" width="8.42578125" style="16" customWidth="1"/>
    <col min="6148" max="6148" width="8" style="16" customWidth="1"/>
    <col min="6149" max="6149" width="8.5703125" style="16" bestFit="1" customWidth="1"/>
    <col min="6150" max="6150" width="8.28515625" style="16" customWidth="1"/>
    <col min="6151" max="6151" width="7.85546875" style="16" customWidth="1"/>
    <col min="6152" max="6152" width="8.140625" style="16" customWidth="1"/>
    <col min="6153" max="6157" width="7.85546875" style="16" customWidth="1"/>
    <col min="6158" max="6158" width="8.7109375" style="16" customWidth="1"/>
    <col min="6159" max="6164" width="9.140625" style="16"/>
    <col min="6165" max="6165" width="12.42578125" style="16" customWidth="1"/>
    <col min="6166" max="6166" width="9.140625" style="16"/>
    <col min="6167" max="6167" width="12" style="16" customWidth="1"/>
    <col min="6168" max="6400" width="9.140625" style="16"/>
    <col min="6401" max="6401" width="5" style="16" customWidth="1"/>
    <col min="6402" max="6402" width="19.5703125" style="16" customWidth="1"/>
    <col min="6403" max="6403" width="8.42578125" style="16" customWidth="1"/>
    <col min="6404" max="6404" width="8" style="16" customWidth="1"/>
    <col min="6405" max="6405" width="8.5703125" style="16" bestFit="1" customWidth="1"/>
    <col min="6406" max="6406" width="8.28515625" style="16" customWidth="1"/>
    <col min="6407" max="6407" width="7.85546875" style="16" customWidth="1"/>
    <col min="6408" max="6408" width="8.140625" style="16" customWidth="1"/>
    <col min="6409" max="6413" width="7.85546875" style="16" customWidth="1"/>
    <col min="6414" max="6414" width="8.7109375" style="16" customWidth="1"/>
    <col min="6415" max="6420" width="9.140625" style="16"/>
    <col min="6421" max="6421" width="12.42578125" style="16" customWidth="1"/>
    <col min="6422" max="6422" width="9.140625" style="16"/>
    <col min="6423" max="6423" width="12" style="16" customWidth="1"/>
    <col min="6424" max="6656" width="9.140625" style="16"/>
    <col min="6657" max="6657" width="5" style="16" customWidth="1"/>
    <col min="6658" max="6658" width="19.5703125" style="16" customWidth="1"/>
    <col min="6659" max="6659" width="8.42578125" style="16" customWidth="1"/>
    <col min="6660" max="6660" width="8" style="16" customWidth="1"/>
    <col min="6661" max="6661" width="8.5703125" style="16" bestFit="1" customWidth="1"/>
    <col min="6662" max="6662" width="8.28515625" style="16" customWidth="1"/>
    <col min="6663" max="6663" width="7.85546875" style="16" customWidth="1"/>
    <col min="6664" max="6664" width="8.140625" style="16" customWidth="1"/>
    <col min="6665" max="6669" width="7.85546875" style="16" customWidth="1"/>
    <col min="6670" max="6670" width="8.7109375" style="16" customWidth="1"/>
    <col min="6671" max="6676" width="9.140625" style="16"/>
    <col min="6677" max="6677" width="12.42578125" style="16" customWidth="1"/>
    <col min="6678" max="6678" width="9.140625" style="16"/>
    <col min="6679" max="6679" width="12" style="16" customWidth="1"/>
    <col min="6680" max="6912" width="9.140625" style="16"/>
    <col min="6913" max="6913" width="5" style="16" customWidth="1"/>
    <col min="6914" max="6914" width="19.5703125" style="16" customWidth="1"/>
    <col min="6915" max="6915" width="8.42578125" style="16" customWidth="1"/>
    <col min="6916" max="6916" width="8" style="16" customWidth="1"/>
    <col min="6917" max="6917" width="8.5703125" style="16" bestFit="1" customWidth="1"/>
    <col min="6918" max="6918" width="8.28515625" style="16" customWidth="1"/>
    <col min="6919" max="6919" width="7.85546875" style="16" customWidth="1"/>
    <col min="6920" max="6920" width="8.140625" style="16" customWidth="1"/>
    <col min="6921" max="6925" width="7.85546875" style="16" customWidth="1"/>
    <col min="6926" max="6926" width="8.7109375" style="16" customWidth="1"/>
    <col min="6927" max="6932" width="9.140625" style="16"/>
    <col min="6933" max="6933" width="12.42578125" style="16" customWidth="1"/>
    <col min="6934" max="6934" width="9.140625" style="16"/>
    <col min="6935" max="6935" width="12" style="16" customWidth="1"/>
    <col min="6936" max="7168" width="9.140625" style="16"/>
    <col min="7169" max="7169" width="5" style="16" customWidth="1"/>
    <col min="7170" max="7170" width="19.5703125" style="16" customWidth="1"/>
    <col min="7171" max="7171" width="8.42578125" style="16" customWidth="1"/>
    <col min="7172" max="7172" width="8" style="16" customWidth="1"/>
    <col min="7173" max="7173" width="8.5703125" style="16" bestFit="1" customWidth="1"/>
    <col min="7174" max="7174" width="8.28515625" style="16" customWidth="1"/>
    <col min="7175" max="7175" width="7.85546875" style="16" customWidth="1"/>
    <col min="7176" max="7176" width="8.140625" style="16" customWidth="1"/>
    <col min="7177" max="7181" width="7.85546875" style="16" customWidth="1"/>
    <col min="7182" max="7182" width="8.7109375" style="16" customWidth="1"/>
    <col min="7183" max="7188" width="9.140625" style="16"/>
    <col min="7189" max="7189" width="12.42578125" style="16" customWidth="1"/>
    <col min="7190" max="7190" width="9.140625" style="16"/>
    <col min="7191" max="7191" width="12" style="16" customWidth="1"/>
    <col min="7192" max="7424" width="9.140625" style="16"/>
    <col min="7425" max="7425" width="5" style="16" customWidth="1"/>
    <col min="7426" max="7426" width="19.5703125" style="16" customWidth="1"/>
    <col min="7427" max="7427" width="8.42578125" style="16" customWidth="1"/>
    <col min="7428" max="7428" width="8" style="16" customWidth="1"/>
    <col min="7429" max="7429" width="8.5703125" style="16" bestFit="1" customWidth="1"/>
    <col min="7430" max="7430" width="8.28515625" style="16" customWidth="1"/>
    <col min="7431" max="7431" width="7.85546875" style="16" customWidth="1"/>
    <col min="7432" max="7432" width="8.140625" style="16" customWidth="1"/>
    <col min="7433" max="7437" width="7.85546875" style="16" customWidth="1"/>
    <col min="7438" max="7438" width="8.7109375" style="16" customWidth="1"/>
    <col min="7439" max="7444" width="9.140625" style="16"/>
    <col min="7445" max="7445" width="12.42578125" style="16" customWidth="1"/>
    <col min="7446" max="7446" width="9.140625" style="16"/>
    <col min="7447" max="7447" width="12" style="16" customWidth="1"/>
    <col min="7448" max="7680" width="9.140625" style="16"/>
    <col min="7681" max="7681" width="5" style="16" customWidth="1"/>
    <col min="7682" max="7682" width="19.5703125" style="16" customWidth="1"/>
    <col min="7683" max="7683" width="8.42578125" style="16" customWidth="1"/>
    <col min="7684" max="7684" width="8" style="16" customWidth="1"/>
    <col min="7685" max="7685" width="8.5703125" style="16" bestFit="1" customWidth="1"/>
    <col min="7686" max="7686" width="8.28515625" style="16" customWidth="1"/>
    <col min="7687" max="7687" width="7.85546875" style="16" customWidth="1"/>
    <col min="7688" max="7688" width="8.140625" style="16" customWidth="1"/>
    <col min="7689" max="7693" width="7.85546875" style="16" customWidth="1"/>
    <col min="7694" max="7694" width="8.7109375" style="16" customWidth="1"/>
    <col min="7695" max="7700" width="9.140625" style="16"/>
    <col min="7701" max="7701" width="12.42578125" style="16" customWidth="1"/>
    <col min="7702" max="7702" width="9.140625" style="16"/>
    <col min="7703" max="7703" width="12" style="16" customWidth="1"/>
    <col min="7704" max="7936" width="9.140625" style="16"/>
    <col min="7937" max="7937" width="5" style="16" customWidth="1"/>
    <col min="7938" max="7938" width="19.5703125" style="16" customWidth="1"/>
    <col min="7939" max="7939" width="8.42578125" style="16" customWidth="1"/>
    <col min="7940" max="7940" width="8" style="16" customWidth="1"/>
    <col min="7941" max="7941" width="8.5703125" style="16" bestFit="1" customWidth="1"/>
    <col min="7942" max="7942" width="8.28515625" style="16" customWidth="1"/>
    <col min="7943" max="7943" width="7.85546875" style="16" customWidth="1"/>
    <col min="7944" max="7944" width="8.140625" style="16" customWidth="1"/>
    <col min="7945" max="7949" width="7.85546875" style="16" customWidth="1"/>
    <col min="7950" max="7950" width="8.7109375" style="16" customWidth="1"/>
    <col min="7951" max="7956" width="9.140625" style="16"/>
    <col min="7957" max="7957" width="12.42578125" style="16" customWidth="1"/>
    <col min="7958" max="7958" width="9.140625" style="16"/>
    <col min="7959" max="7959" width="12" style="16" customWidth="1"/>
    <col min="7960" max="8192" width="9.140625" style="16"/>
    <col min="8193" max="8193" width="5" style="16" customWidth="1"/>
    <col min="8194" max="8194" width="19.5703125" style="16" customWidth="1"/>
    <col min="8195" max="8195" width="8.42578125" style="16" customWidth="1"/>
    <col min="8196" max="8196" width="8" style="16" customWidth="1"/>
    <col min="8197" max="8197" width="8.5703125" style="16" bestFit="1" customWidth="1"/>
    <col min="8198" max="8198" width="8.28515625" style="16" customWidth="1"/>
    <col min="8199" max="8199" width="7.85546875" style="16" customWidth="1"/>
    <col min="8200" max="8200" width="8.140625" style="16" customWidth="1"/>
    <col min="8201" max="8205" width="7.85546875" style="16" customWidth="1"/>
    <col min="8206" max="8206" width="8.7109375" style="16" customWidth="1"/>
    <col min="8207" max="8212" width="9.140625" style="16"/>
    <col min="8213" max="8213" width="12.42578125" style="16" customWidth="1"/>
    <col min="8214" max="8214" width="9.140625" style="16"/>
    <col min="8215" max="8215" width="12" style="16" customWidth="1"/>
    <col min="8216" max="8448" width="9.140625" style="16"/>
    <col min="8449" max="8449" width="5" style="16" customWidth="1"/>
    <col min="8450" max="8450" width="19.5703125" style="16" customWidth="1"/>
    <col min="8451" max="8451" width="8.42578125" style="16" customWidth="1"/>
    <col min="8452" max="8452" width="8" style="16" customWidth="1"/>
    <col min="8453" max="8453" width="8.5703125" style="16" bestFit="1" customWidth="1"/>
    <col min="8454" max="8454" width="8.28515625" style="16" customWidth="1"/>
    <col min="8455" max="8455" width="7.85546875" style="16" customWidth="1"/>
    <col min="8456" max="8456" width="8.140625" style="16" customWidth="1"/>
    <col min="8457" max="8461" width="7.85546875" style="16" customWidth="1"/>
    <col min="8462" max="8462" width="8.7109375" style="16" customWidth="1"/>
    <col min="8463" max="8468" width="9.140625" style="16"/>
    <col min="8469" max="8469" width="12.42578125" style="16" customWidth="1"/>
    <col min="8470" max="8470" width="9.140625" style="16"/>
    <col min="8471" max="8471" width="12" style="16" customWidth="1"/>
    <col min="8472" max="8704" width="9.140625" style="16"/>
    <col min="8705" max="8705" width="5" style="16" customWidth="1"/>
    <col min="8706" max="8706" width="19.5703125" style="16" customWidth="1"/>
    <col min="8707" max="8707" width="8.42578125" style="16" customWidth="1"/>
    <col min="8708" max="8708" width="8" style="16" customWidth="1"/>
    <col min="8709" max="8709" width="8.5703125" style="16" bestFit="1" customWidth="1"/>
    <col min="8710" max="8710" width="8.28515625" style="16" customWidth="1"/>
    <col min="8711" max="8711" width="7.85546875" style="16" customWidth="1"/>
    <col min="8712" max="8712" width="8.140625" style="16" customWidth="1"/>
    <col min="8713" max="8717" width="7.85546875" style="16" customWidth="1"/>
    <col min="8718" max="8718" width="8.7109375" style="16" customWidth="1"/>
    <col min="8719" max="8724" width="9.140625" style="16"/>
    <col min="8725" max="8725" width="12.42578125" style="16" customWidth="1"/>
    <col min="8726" max="8726" width="9.140625" style="16"/>
    <col min="8727" max="8727" width="12" style="16" customWidth="1"/>
    <col min="8728" max="8960" width="9.140625" style="16"/>
    <col min="8961" max="8961" width="5" style="16" customWidth="1"/>
    <col min="8962" max="8962" width="19.5703125" style="16" customWidth="1"/>
    <col min="8963" max="8963" width="8.42578125" style="16" customWidth="1"/>
    <col min="8964" max="8964" width="8" style="16" customWidth="1"/>
    <col min="8965" max="8965" width="8.5703125" style="16" bestFit="1" customWidth="1"/>
    <col min="8966" max="8966" width="8.28515625" style="16" customWidth="1"/>
    <col min="8967" max="8967" width="7.85546875" style="16" customWidth="1"/>
    <col min="8968" max="8968" width="8.140625" style="16" customWidth="1"/>
    <col min="8969" max="8973" width="7.85546875" style="16" customWidth="1"/>
    <col min="8974" max="8974" width="8.7109375" style="16" customWidth="1"/>
    <col min="8975" max="8980" width="9.140625" style="16"/>
    <col min="8981" max="8981" width="12.42578125" style="16" customWidth="1"/>
    <col min="8982" max="8982" width="9.140625" style="16"/>
    <col min="8983" max="8983" width="12" style="16" customWidth="1"/>
    <col min="8984" max="9216" width="9.140625" style="16"/>
    <col min="9217" max="9217" width="5" style="16" customWidth="1"/>
    <col min="9218" max="9218" width="19.5703125" style="16" customWidth="1"/>
    <col min="9219" max="9219" width="8.42578125" style="16" customWidth="1"/>
    <col min="9220" max="9220" width="8" style="16" customWidth="1"/>
    <col min="9221" max="9221" width="8.5703125" style="16" bestFit="1" customWidth="1"/>
    <col min="9222" max="9222" width="8.28515625" style="16" customWidth="1"/>
    <col min="9223" max="9223" width="7.85546875" style="16" customWidth="1"/>
    <col min="9224" max="9224" width="8.140625" style="16" customWidth="1"/>
    <col min="9225" max="9229" width="7.85546875" style="16" customWidth="1"/>
    <col min="9230" max="9230" width="8.7109375" style="16" customWidth="1"/>
    <col min="9231" max="9236" width="9.140625" style="16"/>
    <col min="9237" max="9237" width="12.42578125" style="16" customWidth="1"/>
    <col min="9238" max="9238" width="9.140625" style="16"/>
    <col min="9239" max="9239" width="12" style="16" customWidth="1"/>
    <col min="9240" max="9472" width="9.140625" style="16"/>
    <col min="9473" max="9473" width="5" style="16" customWidth="1"/>
    <col min="9474" max="9474" width="19.5703125" style="16" customWidth="1"/>
    <col min="9475" max="9475" width="8.42578125" style="16" customWidth="1"/>
    <col min="9476" max="9476" width="8" style="16" customWidth="1"/>
    <col min="9477" max="9477" width="8.5703125" style="16" bestFit="1" customWidth="1"/>
    <col min="9478" max="9478" width="8.28515625" style="16" customWidth="1"/>
    <col min="9479" max="9479" width="7.85546875" style="16" customWidth="1"/>
    <col min="9480" max="9480" width="8.140625" style="16" customWidth="1"/>
    <col min="9481" max="9485" width="7.85546875" style="16" customWidth="1"/>
    <col min="9486" max="9486" width="8.7109375" style="16" customWidth="1"/>
    <col min="9487" max="9492" width="9.140625" style="16"/>
    <col min="9493" max="9493" width="12.42578125" style="16" customWidth="1"/>
    <col min="9494" max="9494" width="9.140625" style="16"/>
    <col min="9495" max="9495" width="12" style="16" customWidth="1"/>
    <col min="9496" max="9728" width="9.140625" style="16"/>
    <col min="9729" max="9729" width="5" style="16" customWidth="1"/>
    <col min="9730" max="9730" width="19.5703125" style="16" customWidth="1"/>
    <col min="9731" max="9731" width="8.42578125" style="16" customWidth="1"/>
    <col min="9732" max="9732" width="8" style="16" customWidth="1"/>
    <col min="9733" max="9733" width="8.5703125" style="16" bestFit="1" customWidth="1"/>
    <col min="9734" max="9734" width="8.28515625" style="16" customWidth="1"/>
    <col min="9735" max="9735" width="7.85546875" style="16" customWidth="1"/>
    <col min="9736" max="9736" width="8.140625" style="16" customWidth="1"/>
    <col min="9737" max="9741" width="7.85546875" style="16" customWidth="1"/>
    <col min="9742" max="9742" width="8.7109375" style="16" customWidth="1"/>
    <col min="9743" max="9748" width="9.140625" style="16"/>
    <col min="9749" max="9749" width="12.42578125" style="16" customWidth="1"/>
    <col min="9750" max="9750" width="9.140625" style="16"/>
    <col min="9751" max="9751" width="12" style="16" customWidth="1"/>
    <col min="9752" max="9984" width="9.140625" style="16"/>
    <col min="9985" max="9985" width="5" style="16" customWidth="1"/>
    <col min="9986" max="9986" width="19.5703125" style="16" customWidth="1"/>
    <col min="9987" max="9987" width="8.42578125" style="16" customWidth="1"/>
    <col min="9988" max="9988" width="8" style="16" customWidth="1"/>
    <col min="9989" max="9989" width="8.5703125" style="16" bestFit="1" customWidth="1"/>
    <col min="9990" max="9990" width="8.28515625" style="16" customWidth="1"/>
    <col min="9991" max="9991" width="7.85546875" style="16" customWidth="1"/>
    <col min="9992" max="9992" width="8.140625" style="16" customWidth="1"/>
    <col min="9993" max="9997" width="7.85546875" style="16" customWidth="1"/>
    <col min="9998" max="9998" width="8.7109375" style="16" customWidth="1"/>
    <col min="9999" max="10004" width="9.140625" style="16"/>
    <col min="10005" max="10005" width="12.42578125" style="16" customWidth="1"/>
    <col min="10006" max="10006" width="9.140625" style="16"/>
    <col min="10007" max="10007" width="12" style="16" customWidth="1"/>
    <col min="10008" max="10240" width="9.140625" style="16"/>
    <col min="10241" max="10241" width="5" style="16" customWidth="1"/>
    <col min="10242" max="10242" width="19.5703125" style="16" customWidth="1"/>
    <col min="10243" max="10243" width="8.42578125" style="16" customWidth="1"/>
    <col min="10244" max="10244" width="8" style="16" customWidth="1"/>
    <col min="10245" max="10245" width="8.5703125" style="16" bestFit="1" customWidth="1"/>
    <col min="10246" max="10246" width="8.28515625" style="16" customWidth="1"/>
    <col min="10247" max="10247" width="7.85546875" style="16" customWidth="1"/>
    <col min="10248" max="10248" width="8.140625" style="16" customWidth="1"/>
    <col min="10249" max="10253" width="7.85546875" style="16" customWidth="1"/>
    <col min="10254" max="10254" width="8.7109375" style="16" customWidth="1"/>
    <col min="10255" max="10260" width="9.140625" style="16"/>
    <col min="10261" max="10261" width="12.42578125" style="16" customWidth="1"/>
    <col min="10262" max="10262" width="9.140625" style="16"/>
    <col min="10263" max="10263" width="12" style="16" customWidth="1"/>
    <col min="10264" max="10496" width="9.140625" style="16"/>
    <col min="10497" max="10497" width="5" style="16" customWidth="1"/>
    <col min="10498" max="10498" width="19.5703125" style="16" customWidth="1"/>
    <col min="10499" max="10499" width="8.42578125" style="16" customWidth="1"/>
    <col min="10500" max="10500" width="8" style="16" customWidth="1"/>
    <col min="10501" max="10501" width="8.5703125" style="16" bestFit="1" customWidth="1"/>
    <col min="10502" max="10502" width="8.28515625" style="16" customWidth="1"/>
    <col min="10503" max="10503" width="7.85546875" style="16" customWidth="1"/>
    <col min="10504" max="10504" width="8.140625" style="16" customWidth="1"/>
    <col min="10505" max="10509" width="7.85546875" style="16" customWidth="1"/>
    <col min="10510" max="10510" width="8.7109375" style="16" customWidth="1"/>
    <col min="10511" max="10516" width="9.140625" style="16"/>
    <col min="10517" max="10517" width="12.42578125" style="16" customWidth="1"/>
    <col min="10518" max="10518" width="9.140625" style="16"/>
    <col min="10519" max="10519" width="12" style="16" customWidth="1"/>
    <col min="10520" max="10752" width="9.140625" style="16"/>
    <col min="10753" max="10753" width="5" style="16" customWidth="1"/>
    <col min="10754" max="10754" width="19.5703125" style="16" customWidth="1"/>
    <col min="10755" max="10755" width="8.42578125" style="16" customWidth="1"/>
    <col min="10756" max="10756" width="8" style="16" customWidth="1"/>
    <col min="10757" max="10757" width="8.5703125" style="16" bestFit="1" customWidth="1"/>
    <col min="10758" max="10758" width="8.28515625" style="16" customWidth="1"/>
    <col min="10759" max="10759" width="7.85546875" style="16" customWidth="1"/>
    <col min="10760" max="10760" width="8.140625" style="16" customWidth="1"/>
    <col min="10761" max="10765" width="7.85546875" style="16" customWidth="1"/>
    <col min="10766" max="10766" width="8.7109375" style="16" customWidth="1"/>
    <col min="10767" max="10772" width="9.140625" style="16"/>
    <col min="10773" max="10773" width="12.42578125" style="16" customWidth="1"/>
    <col min="10774" max="10774" width="9.140625" style="16"/>
    <col min="10775" max="10775" width="12" style="16" customWidth="1"/>
    <col min="10776" max="11008" width="9.140625" style="16"/>
    <col min="11009" max="11009" width="5" style="16" customWidth="1"/>
    <col min="11010" max="11010" width="19.5703125" style="16" customWidth="1"/>
    <col min="11011" max="11011" width="8.42578125" style="16" customWidth="1"/>
    <col min="11012" max="11012" width="8" style="16" customWidth="1"/>
    <col min="11013" max="11013" width="8.5703125" style="16" bestFit="1" customWidth="1"/>
    <col min="11014" max="11014" width="8.28515625" style="16" customWidth="1"/>
    <col min="11015" max="11015" width="7.85546875" style="16" customWidth="1"/>
    <col min="11016" max="11016" width="8.140625" style="16" customWidth="1"/>
    <col min="11017" max="11021" width="7.85546875" style="16" customWidth="1"/>
    <col min="11022" max="11022" width="8.7109375" style="16" customWidth="1"/>
    <col min="11023" max="11028" width="9.140625" style="16"/>
    <col min="11029" max="11029" width="12.42578125" style="16" customWidth="1"/>
    <col min="11030" max="11030" width="9.140625" style="16"/>
    <col min="11031" max="11031" width="12" style="16" customWidth="1"/>
    <col min="11032" max="11264" width="9.140625" style="16"/>
    <col min="11265" max="11265" width="5" style="16" customWidth="1"/>
    <col min="11266" max="11266" width="19.5703125" style="16" customWidth="1"/>
    <col min="11267" max="11267" width="8.42578125" style="16" customWidth="1"/>
    <col min="11268" max="11268" width="8" style="16" customWidth="1"/>
    <col min="11269" max="11269" width="8.5703125" style="16" bestFit="1" customWidth="1"/>
    <col min="11270" max="11270" width="8.28515625" style="16" customWidth="1"/>
    <col min="11271" max="11271" width="7.85546875" style="16" customWidth="1"/>
    <col min="11272" max="11272" width="8.140625" style="16" customWidth="1"/>
    <col min="11273" max="11277" width="7.85546875" style="16" customWidth="1"/>
    <col min="11278" max="11278" width="8.7109375" style="16" customWidth="1"/>
    <col min="11279" max="11284" width="9.140625" style="16"/>
    <col min="11285" max="11285" width="12.42578125" style="16" customWidth="1"/>
    <col min="11286" max="11286" width="9.140625" style="16"/>
    <col min="11287" max="11287" width="12" style="16" customWidth="1"/>
    <col min="11288" max="11520" width="9.140625" style="16"/>
    <col min="11521" max="11521" width="5" style="16" customWidth="1"/>
    <col min="11522" max="11522" width="19.5703125" style="16" customWidth="1"/>
    <col min="11523" max="11523" width="8.42578125" style="16" customWidth="1"/>
    <col min="11524" max="11524" width="8" style="16" customWidth="1"/>
    <col min="11525" max="11525" width="8.5703125" style="16" bestFit="1" customWidth="1"/>
    <col min="11526" max="11526" width="8.28515625" style="16" customWidth="1"/>
    <col min="11527" max="11527" width="7.85546875" style="16" customWidth="1"/>
    <col min="11528" max="11528" width="8.140625" style="16" customWidth="1"/>
    <col min="11529" max="11533" width="7.85546875" style="16" customWidth="1"/>
    <col min="11534" max="11534" width="8.7109375" style="16" customWidth="1"/>
    <col min="11535" max="11540" width="9.140625" style="16"/>
    <col min="11541" max="11541" width="12.42578125" style="16" customWidth="1"/>
    <col min="11542" max="11542" width="9.140625" style="16"/>
    <col min="11543" max="11543" width="12" style="16" customWidth="1"/>
    <col min="11544" max="11776" width="9.140625" style="16"/>
    <col min="11777" max="11777" width="5" style="16" customWidth="1"/>
    <col min="11778" max="11778" width="19.5703125" style="16" customWidth="1"/>
    <col min="11779" max="11779" width="8.42578125" style="16" customWidth="1"/>
    <col min="11780" max="11780" width="8" style="16" customWidth="1"/>
    <col min="11781" max="11781" width="8.5703125" style="16" bestFit="1" customWidth="1"/>
    <col min="11782" max="11782" width="8.28515625" style="16" customWidth="1"/>
    <col min="11783" max="11783" width="7.85546875" style="16" customWidth="1"/>
    <col min="11784" max="11784" width="8.140625" style="16" customWidth="1"/>
    <col min="11785" max="11789" width="7.85546875" style="16" customWidth="1"/>
    <col min="11790" max="11790" width="8.7109375" style="16" customWidth="1"/>
    <col min="11791" max="11796" width="9.140625" style="16"/>
    <col min="11797" max="11797" width="12.42578125" style="16" customWidth="1"/>
    <col min="11798" max="11798" width="9.140625" style="16"/>
    <col min="11799" max="11799" width="12" style="16" customWidth="1"/>
    <col min="11800" max="12032" width="9.140625" style="16"/>
    <col min="12033" max="12033" width="5" style="16" customWidth="1"/>
    <col min="12034" max="12034" width="19.5703125" style="16" customWidth="1"/>
    <col min="12035" max="12035" width="8.42578125" style="16" customWidth="1"/>
    <col min="12036" max="12036" width="8" style="16" customWidth="1"/>
    <col min="12037" max="12037" width="8.5703125" style="16" bestFit="1" customWidth="1"/>
    <col min="12038" max="12038" width="8.28515625" style="16" customWidth="1"/>
    <col min="12039" max="12039" width="7.85546875" style="16" customWidth="1"/>
    <col min="12040" max="12040" width="8.140625" style="16" customWidth="1"/>
    <col min="12041" max="12045" width="7.85546875" style="16" customWidth="1"/>
    <col min="12046" max="12046" width="8.7109375" style="16" customWidth="1"/>
    <col min="12047" max="12052" width="9.140625" style="16"/>
    <col min="12053" max="12053" width="12.42578125" style="16" customWidth="1"/>
    <col min="12054" max="12054" width="9.140625" style="16"/>
    <col min="12055" max="12055" width="12" style="16" customWidth="1"/>
    <col min="12056" max="12288" width="9.140625" style="16"/>
    <col min="12289" max="12289" width="5" style="16" customWidth="1"/>
    <col min="12290" max="12290" width="19.5703125" style="16" customWidth="1"/>
    <col min="12291" max="12291" width="8.42578125" style="16" customWidth="1"/>
    <col min="12292" max="12292" width="8" style="16" customWidth="1"/>
    <col min="12293" max="12293" width="8.5703125" style="16" bestFit="1" customWidth="1"/>
    <col min="12294" max="12294" width="8.28515625" style="16" customWidth="1"/>
    <col min="12295" max="12295" width="7.85546875" style="16" customWidth="1"/>
    <col min="12296" max="12296" width="8.140625" style="16" customWidth="1"/>
    <col min="12297" max="12301" width="7.85546875" style="16" customWidth="1"/>
    <col min="12302" max="12302" width="8.7109375" style="16" customWidth="1"/>
    <col min="12303" max="12308" width="9.140625" style="16"/>
    <col min="12309" max="12309" width="12.42578125" style="16" customWidth="1"/>
    <col min="12310" max="12310" width="9.140625" style="16"/>
    <col min="12311" max="12311" width="12" style="16" customWidth="1"/>
    <col min="12312" max="12544" width="9.140625" style="16"/>
    <col min="12545" max="12545" width="5" style="16" customWidth="1"/>
    <col min="12546" max="12546" width="19.5703125" style="16" customWidth="1"/>
    <col min="12547" max="12547" width="8.42578125" style="16" customWidth="1"/>
    <col min="12548" max="12548" width="8" style="16" customWidth="1"/>
    <col min="12549" max="12549" width="8.5703125" style="16" bestFit="1" customWidth="1"/>
    <col min="12550" max="12550" width="8.28515625" style="16" customWidth="1"/>
    <col min="12551" max="12551" width="7.85546875" style="16" customWidth="1"/>
    <col min="12552" max="12552" width="8.140625" style="16" customWidth="1"/>
    <col min="12553" max="12557" width="7.85546875" style="16" customWidth="1"/>
    <col min="12558" max="12558" width="8.7109375" style="16" customWidth="1"/>
    <col min="12559" max="12564" width="9.140625" style="16"/>
    <col min="12565" max="12565" width="12.42578125" style="16" customWidth="1"/>
    <col min="12566" max="12566" width="9.140625" style="16"/>
    <col min="12567" max="12567" width="12" style="16" customWidth="1"/>
    <col min="12568" max="12800" width="9.140625" style="16"/>
    <col min="12801" max="12801" width="5" style="16" customWidth="1"/>
    <col min="12802" max="12802" width="19.5703125" style="16" customWidth="1"/>
    <col min="12803" max="12803" width="8.42578125" style="16" customWidth="1"/>
    <col min="12804" max="12804" width="8" style="16" customWidth="1"/>
    <col min="12805" max="12805" width="8.5703125" style="16" bestFit="1" customWidth="1"/>
    <col min="12806" max="12806" width="8.28515625" style="16" customWidth="1"/>
    <col min="12807" max="12807" width="7.85546875" style="16" customWidth="1"/>
    <col min="12808" max="12808" width="8.140625" style="16" customWidth="1"/>
    <col min="12809" max="12813" width="7.85546875" style="16" customWidth="1"/>
    <col min="12814" max="12814" width="8.7109375" style="16" customWidth="1"/>
    <col min="12815" max="12820" width="9.140625" style="16"/>
    <col min="12821" max="12821" width="12.42578125" style="16" customWidth="1"/>
    <col min="12822" max="12822" width="9.140625" style="16"/>
    <col min="12823" max="12823" width="12" style="16" customWidth="1"/>
    <col min="12824" max="13056" width="9.140625" style="16"/>
    <col min="13057" max="13057" width="5" style="16" customWidth="1"/>
    <col min="13058" max="13058" width="19.5703125" style="16" customWidth="1"/>
    <col min="13059" max="13059" width="8.42578125" style="16" customWidth="1"/>
    <col min="13060" max="13060" width="8" style="16" customWidth="1"/>
    <col min="13061" max="13061" width="8.5703125" style="16" bestFit="1" customWidth="1"/>
    <col min="13062" max="13062" width="8.28515625" style="16" customWidth="1"/>
    <col min="13063" max="13063" width="7.85546875" style="16" customWidth="1"/>
    <col min="13064" max="13064" width="8.140625" style="16" customWidth="1"/>
    <col min="13065" max="13069" width="7.85546875" style="16" customWidth="1"/>
    <col min="13070" max="13070" width="8.7109375" style="16" customWidth="1"/>
    <col min="13071" max="13076" width="9.140625" style="16"/>
    <col min="13077" max="13077" width="12.42578125" style="16" customWidth="1"/>
    <col min="13078" max="13078" width="9.140625" style="16"/>
    <col min="13079" max="13079" width="12" style="16" customWidth="1"/>
    <col min="13080" max="13312" width="9.140625" style="16"/>
    <col min="13313" max="13313" width="5" style="16" customWidth="1"/>
    <col min="13314" max="13314" width="19.5703125" style="16" customWidth="1"/>
    <col min="13315" max="13315" width="8.42578125" style="16" customWidth="1"/>
    <col min="13316" max="13316" width="8" style="16" customWidth="1"/>
    <col min="13317" max="13317" width="8.5703125" style="16" bestFit="1" customWidth="1"/>
    <col min="13318" max="13318" width="8.28515625" style="16" customWidth="1"/>
    <col min="13319" max="13319" width="7.85546875" style="16" customWidth="1"/>
    <col min="13320" max="13320" width="8.140625" style="16" customWidth="1"/>
    <col min="13321" max="13325" width="7.85546875" style="16" customWidth="1"/>
    <col min="13326" max="13326" width="8.7109375" style="16" customWidth="1"/>
    <col min="13327" max="13332" width="9.140625" style="16"/>
    <col min="13333" max="13333" width="12.42578125" style="16" customWidth="1"/>
    <col min="13334" max="13334" width="9.140625" style="16"/>
    <col min="13335" max="13335" width="12" style="16" customWidth="1"/>
    <col min="13336" max="13568" width="9.140625" style="16"/>
    <col min="13569" max="13569" width="5" style="16" customWidth="1"/>
    <col min="13570" max="13570" width="19.5703125" style="16" customWidth="1"/>
    <col min="13571" max="13571" width="8.42578125" style="16" customWidth="1"/>
    <col min="13572" max="13572" width="8" style="16" customWidth="1"/>
    <col min="13573" max="13573" width="8.5703125" style="16" bestFit="1" customWidth="1"/>
    <col min="13574" max="13574" width="8.28515625" style="16" customWidth="1"/>
    <col min="13575" max="13575" width="7.85546875" style="16" customWidth="1"/>
    <col min="13576" max="13576" width="8.140625" style="16" customWidth="1"/>
    <col min="13577" max="13581" width="7.85546875" style="16" customWidth="1"/>
    <col min="13582" max="13582" width="8.7109375" style="16" customWidth="1"/>
    <col min="13583" max="13588" width="9.140625" style="16"/>
    <col min="13589" max="13589" width="12.42578125" style="16" customWidth="1"/>
    <col min="13590" max="13590" width="9.140625" style="16"/>
    <col min="13591" max="13591" width="12" style="16" customWidth="1"/>
    <col min="13592" max="13824" width="9.140625" style="16"/>
    <col min="13825" max="13825" width="5" style="16" customWidth="1"/>
    <col min="13826" max="13826" width="19.5703125" style="16" customWidth="1"/>
    <col min="13827" max="13827" width="8.42578125" style="16" customWidth="1"/>
    <col min="13828" max="13828" width="8" style="16" customWidth="1"/>
    <col min="13829" max="13829" width="8.5703125" style="16" bestFit="1" customWidth="1"/>
    <col min="13830" max="13830" width="8.28515625" style="16" customWidth="1"/>
    <col min="13831" max="13831" width="7.85546875" style="16" customWidth="1"/>
    <col min="13832" max="13832" width="8.140625" style="16" customWidth="1"/>
    <col min="13833" max="13837" width="7.85546875" style="16" customWidth="1"/>
    <col min="13838" max="13838" width="8.7109375" style="16" customWidth="1"/>
    <col min="13839" max="13844" width="9.140625" style="16"/>
    <col min="13845" max="13845" width="12.42578125" style="16" customWidth="1"/>
    <col min="13846" max="13846" width="9.140625" style="16"/>
    <col min="13847" max="13847" width="12" style="16" customWidth="1"/>
    <col min="13848" max="14080" width="9.140625" style="16"/>
    <col min="14081" max="14081" width="5" style="16" customWidth="1"/>
    <col min="14082" max="14082" width="19.5703125" style="16" customWidth="1"/>
    <col min="14083" max="14083" width="8.42578125" style="16" customWidth="1"/>
    <col min="14084" max="14084" width="8" style="16" customWidth="1"/>
    <col min="14085" max="14085" width="8.5703125" style="16" bestFit="1" customWidth="1"/>
    <col min="14086" max="14086" width="8.28515625" style="16" customWidth="1"/>
    <col min="14087" max="14087" width="7.85546875" style="16" customWidth="1"/>
    <col min="14088" max="14088" width="8.140625" style="16" customWidth="1"/>
    <col min="14089" max="14093" width="7.85546875" style="16" customWidth="1"/>
    <col min="14094" max="14094" width="8.7109375" style="16" customWidth="1"/>
    <col min="14095" max="14100" width="9.140625" style="16"/>
    <col min="14101" max="14101" width="12.42578125" style="16" customWidth="1"/>
    <col min="14102" max="14102" width="9.140625" style="16"/>
    <col min="14103" max="14103" width="12" style="16" customWidth="1"/>
    <col min="14104" max="14336" width="9.140625" style="16"/>
    <col min="14337" max="14337" width="5" style="16" customWidth="1"/>
    <col min="14338" max="14338" width="19.5703125" style="16" customWidth="1"/>
    <col min="14339" max="14339" width="8.42578125" style="16" customWidth="1"/>
    <col min="14340" max="14340" width="8" style="16" customWidth="1"/>
    <col min="14341" max="14341" width="8.5703125" style="16" bestFit="1" customWidth="1"/>
    <col min="14342" max="14342" width="8.28515625" style="16" customWidth="1"/>
    <col min="14343" max="14343" width="7.85546875" style="16" customWidth="1"/>
    <col min="14344" max="14344" width="8.140625" style="16" customWidth="1"/>
    <col min="14345" max="14349" width="7.85546875" style="16" customWidth="1"/>
    <col min="14350" max="14350" width="8.7109375" style="16" customWidth="1"/>
    <col min="14351" max="14356" width="9.140625" style="16"/>
    <col min="14357" max="14357" width="12.42578125" style="16" customWidth="1"/>
    <col min="14358" max="14358" width="9.140625" style="16"/>
    <col min="14359" max="14359" width="12" style="16" customWidth="1"/>
    <col min="14360" max="14592" width="9.140625" style="16"/>
    <col min="14593" max="14593" width="5" style="16" customWidth="1"/>
    <col min="14594" max="14594" width="19.5703125" style="16" customWidth="1"/>
    <col min="14595" max="14595" width="8.42578125" style="16" customWidth="1"/>
    <col min="14596" max="14596" width="8" style="16" customWidth="1"/>
    <col min="14597" max="14597" width="8.5703125" style="16" bestFit="1" customWidth="1"/>
    <col min="14598" max="14598" width="8.28515625" style="16" customWidth="1"/>
    <col min="14599" max="14599" width="7.85546875" style="16" customWidth="1"/>
    <col min="14600" max="14600" width="8.140625" style="16" customWidth="1"/>
    <col min="14601" max="14605" width="7.85546875" style="16" customWidth="1"/>
    <col min="14606" max="14606" width="8.7109375" style="16" customWidth="1"/>
    <col min="14607" max="14612" width="9.140625" style="16"/>
    <col min="14613" max="14613" width="12.42578125" style="16" customWidth="1"/>
    <col min="14614" max="14614" width="9.140625" style="16"/>
    <col min="14615" max="14615" width="12" style="16" customWidth="1"/>
    <col min="14616" max="14848" width="9.140625" style="16"/>
    <col min="14849" max="14849" width="5" style="16" customWidth="1"/>
    <col min="14850" max="14850" width="19.5703125" style="16" customWidth="1"/>
    <col min="14851" max="14851" width="8.42578125" style="16" customWidth="1"/>
    <col min="14852" max="14852" width="8" style="16" customWidth="1"/>
    <col min="14853" max="14853" width="8.5703125" style="16" bestFit="1" customWidth="1"/>
    <col min="14854" max="14854" width="8.28515625" style="16" customWidth="1"/>
    <col min="14855" max="14855" width="7.85546875" style="16" customWidth="1"/>
    <col min="14856" max="14856" width="8.140625" style="16" customWidth="1"/>
    <col min="14857" max="14861" width="7.85546875" style="16" customWidth="1"/>
    <col min="14862" max="14862" width="8.7109375" style="16" customWidth="1"/>
    <col min="14863" max="14868" width="9.140625" style="16"/>
    <col min="14869" max="14869" width="12.42578125" style="16" customWidth="1"/>
    <col min="14870" max="14870" width="9.140625" style="16"/>
    <col min="14871" max="14871" width="12" style="16" customWidth="1"/>
    <col min="14872" max="15104" width="9.140625" style="16"/>
    <col min="15105" max="15105" width="5" style="16" customWidth="1"/>
    <col min="15106" max="15106" width="19.5703125" style="16" customWidth="1"/>
    <col min="15107" max="15107" width="8.42578125" style="16" customWidth="1"/>
    <col min="15108" max="15108" width="8" style="16" customWidth="1"/>
    <col min="15109" max="15109" width="8.5703125" style="16" bestFit="1" customWidth="1"/>
    <col min="15110" max="15110" width="8.28515625" style="16" customWidth="1"/>
    <col min="15111" max="15111" width="7.85546875" style="16" customWidth="1"/>
    <col min="15112" max="15112" width="8.140625" style="16" customWidth="1"/>
    <col min="15113" max="15117" width="7.85546875" style="16" customWidth="1"/>
    <col min="15118" max="15118" width="8.7109375" style="16" customWidth="1"/>
    <col min="15119" max="15124" width="9.140625" style="16"/>
    <col min="15125" max="15125" width="12.42578125" style="16" customWidth="1"/>
    <col min="15126" max="15126" width="9.140625" style="16"/>
    <col min="15127" max="15127" width="12" style="16" customWidth="1"/>
    <col min="15128" max="15360" width="9.140625" style="16"/>
    <col min="15361" max="15361" width="5" style="16" customWidth="1"/>
    <col min="15362" max="15362" width="19.5703125" style="16" customWidth="1"/>
    <col min="15363" max="15363" width="8.42578125" style="16" customWidth="1"/>
    <col min="15364" max="15364" width="8" style="16" customWidth="1"/>
    <col min="15365" max="15365" width="8.5703125" style="16" bestFit="1" customWidth="1"/>
    <col min="15366" max="15366" width="8.28515625" style="16" customWidth="1"/>
    <col min="15367" max="15367" width="7.85546875" style="16" customWidth="1"/>
    <col min="15368" max="15368" width="8.140625" style="16" customWidth="1"/>
    <col min="15369" max="15373" width="7.85546875" style="16" customWidth="1"/>
    <col min="15374" max="15374" width="8.7109375" style="16" customWidth="1"/>
    <col min="15375" max="15380" width="9.140625" style="16"/>
    <col min="15381" max="15381" width="12.42578125" style="16" customWidth="1"/>
    <col min="15382" max="15382" width="9.140625" style="16"/>
    <col min="15383" max="15383" width="12" style="16" customWidth="1"/>
    <col min="15384" max="15616" width="9.140625" style="16"/>
    <col min="15617" max="15617" width="5" style="16" customWidth="1"/>
    <col min="15618" max="15618" width="19.5703125" style="16" customWidth="1"/>
    <col min="15619" max="15619" width="8.42578125" style="16" customWidth="1"/>
    <col min="15620" max="15620" width="8" style="16" customWidth="1"/>
    <col min="15621" max="15621" width="8.5703125" style="16" bestFit="1" customWidth="1"/>
    <col min="15622" max="15622" width="8.28515625" style="16" customWidth="1"/>
    <col min="15623" max="15623" width="7.85546875" style="16" customWidth="1"/>
    <col min="15624" max="15624" width="8.140625" style="16" customWidth="1"/>
    <col min="15625" max="15629" width="7.85546875" style="16" customWidth="1"/>
    <col min="15630" max="15630" width="8.7109375" style="16" customWidth="1"/>
    <col min="15631" max="15636" width="9.140625" style="16"/>
    <col min="15637" max="15637" width="12.42578125" style="16" customWidth="1"/>
    <col min="15638" max="15638" width="9.140625" style="16"/>
    <col min="15639" max="15639" width="12" style="16" customWidth="1"/>
    <col min="15640" max="15872" width="9.140625" style="16"/>
    <col min="15873" max="15873" width="5" style="16" customWidth="1"/>
    <col min="15874" max="15874" width="19.5703125" style="16" customWidth="1"/>
    <col min="15875" max="15875" width="8.42578125" style="16" customWidth="1"/>
    <col min="15876" max="15876" width="8" style="16" customWidth="1"/>
    <col min="15877" max="15877" width="8.5703125" style="16" bestFit="1" customWidth="1"/>
    <col min="15878" max="15878" width="8.28515625" style="16" customWidth="1"/>
    <col min="15879" max="15879" width="7.85546875" style="16" customWidth="1"/>
    <col min="15880" max="15880" width="8.140625" style="16" customWidth="1"/>
    <col min="15881" max="15885" width="7.85546875" style="16" customWidth="1"/>
    <col min="15886" max="15886" width="8.7109375" style="16" customWidth="1"/>
    <col min="15887" max="15892" width="9.140625" style="16"/>
    <col min="15893" max="15893" width="12.42578125" style="16" customWidth="1"/>
    <col min="15894" max="15894" width="9.140625" style="16"/>
    <col min="15895" max="15895" width="12" style="16" customWidth="1"/>
    <col min="15896" max="16128" width="9.140625" style="16"/>
    <col min="16129" max="16129" width="5" style="16" customWidth="1"/>
    <col min="16130" max="16130" width="19.5703125" style="16" customWidth="1"/>
    <col min="16131" max="16131" width="8.42578125" style="16" customWidth="1"/>
    <col min="16132" max="16132" width="8" style="16" customWidth="1"/>
    <col min="16133" max="16133" width="8.5703125" style="16" bestFit="1" customWidth="1"/>
    <col min="16134" max="16134" width="8.28515625" style="16" customWidth="1"/>
    <col min="16135" max="16135" width="7.85546875" style="16" customWidth="1"/>
    <col min="16136" max="16136" width="8.140625" style="16" customWidth="1"/>
    <col min="16137" max="16141" width="7.85546875" style="16" customWidth="1"/>
    <col min="16142" max="16142" width="8.7109375" style="16" customWidth="1"/>
    <col min="16143" max="16148" width="9.140625" style="16"/>
    <col min="16149" max="16149" width="12.42578125" style="16" customWidth="1"/>
    <col min="16150" max="16150" width="9.140625" style="16"/>
    <col min="16151" max="16151" width="12" style="16" customWidth="1"/>
    <col min="16152" max="16384" width="9.140625" style="16"/>
  </cols>
  <sheetData>
    <row r="1" spans="1:17" s="1" customFormat="1" x14ac:dyDescent="0.2">
      <c r="A1" s="867" t="s">
        <v>449</v>
      </c>
      <c r="B1" s="868"/>
      <c r="C1" s="868"/>
      <c r="D1" s="869"/>
      <c r="E1" s="868"/>
      <c r="F1" s="868"/>
      <c r="G1" s="867" t="s">
        <v>102</v>
      </c>
      <c r="H1" s="869"/>
      <c r="I1" s="869" t="s">
        <v>771</v>
      </c>
      <c r="J1" s="868"/>
      <c r="K1" s="868"/>
      <c r="L1" s="870"/>
      <c r="M1" s="870"/>
      <c r="N1" s="870"/>
      <c r="O1" s="870"/>
    </row>
    <row r="2" spans="1:17" s="1" customFormat="1" x14ac:dyDescent="0.2">
      <c r="A2" s="867" t="s">
        <v>103</v>
      </c>
      <c r="B2" s="868"/>
      <c r="C2" s="868"/>
      <c r="D2" s="869"/>
      <c r="E2" s="868"/>
      <c r="F2" s="868"/>
      <c r="G2" s="867" t="s">
        <v>104</v>
      </c>
      <c r="H2" s="869"/>
      <c r="I2" s="869" t="s">
        <v>105</v>
      </c>
      <c r="J2" s="868"/>
      <c r="K2" s="868"/>
      <c r="L2" s="870"/>
      <c r="M2" s="870"/>
      <c r="N2" s="870"/>
      <c r="O2" s="870"/>
    </row>
    <row r="3" spans="1:17" s="1" customFormat="1" x14ac:dyDescent="0.2">
      <c r="A3" s="867" t="s">
        <v>106</v>
      </c>
      <c r="B3" s="868"/>
      <c r="C3" s="868"/>
      <c r="D3" s="883" t="s">
        <v>857</v>
      </c>
      <c r="E3" s="868"/>
      <c r="F3" s="868"/>
      <c r="G3" s="867" t="s">
        <v>107</v>
      </c>
      <c r="H3" s="869"/>
      <c r="I3" s="869" t="s">
        <v>108</v>
      </c>
      <c r="J3" s="868"/>
      <c r="K3" s="868"/>
      <c r="L3" s="870"/>
      <c r="M3" s="870"/>
      <c r="N3" s="870"/>
      <c r="O3" s="870"/>
    </row>
    <row r="4" spans="1:17" s="1" customFormat="1" x14ac:dyDescent="0.2">
      <c r="A4" s="867" t="s">
        <v>109</v>
      </c>
      <c r="B4" s="868"/>
      <c r="C4" s="868"/>
      <c r="D4" s="869"/>
      <c r="E4" s="868"/>
      <c r="F4" s="868"/>
      <c r="G4" s="867" t="s">
        <v>110</v>
      </c>
      <c r="H4" s="869"/>
      <c r="I4" s="869" t="s">
        <v>111</v>
      </c>
      <c r="J4" s="868"/>
      <c r="K4" s="868"/>
      <c r="L4" s="870"/>
      <c r="M4" s="870"/>
      <c r="N4" s="870"/>
      <c r="O4" s="870"/>
    </row>
    <row r="5" spans="1:17" s="1" customFormat="1" x14ac:dyDescent="0.2">
      <c r="A5" s="867" t="s">
        <v>112</v>
      </c>
      <c r="B5" s="868"/>
      <c r="C5" s="868"/>
      <c r="D5" s="869" t="s">
        <v>858</v>
      </c>
      <c r="E5" s="868"/>
      <c r="F5" s="868"/>
      <c r="G5" s="867"/>
      <c r="H5" s="868"/>
      <c r="I5" s="869" t="s">
        <v>113</v>
      </c>
      <c r="J5" s="868"/>
      <c r="K5" s="868"/>
      <c r="L5" s="870"/>
      <c r="M5" s="870"/>
      <c r="N5" s="870"/>
      <c r="O5" s="870"/>
    </row>
    <row r="6" spans="1:17" s="1" customFormat="1" x14ac:dyDescent="0.2">
      <c r="A6" s="871" t="s">
        <v>114</v>
      </c>
      <c r="B6" s="872"/>
      <c r="C6" s="872"/>
      <c r="D6" s="868" t="s">
        <v>772</v>
      </c>
      <c r="E6" s="868"/>
      <c r="F6" s="868"/>
      <c r="G6" s="871" t="s">
        <v>115</v>
      </c>
      <c r="H6" s="871"/>
      <c r="I6" s="2" t="s">
        <v>222</v>
      </c>
      <c r="J6" s="888"/>
      <c r="K6" s="888"/>
      <c r="L6" s="888"/>
      <c r="M6" s="888"/>
      <c r="N6" s="888"/>
      <c r="O6" s="889"/>
    </row>
    <row r="7" spans="1:17" s="1" customFormat="1" ht="13.5" thickBot="1" x14ac:dyDescent="0.25">
      <c r="A7" s="3"/>
      <c r="B7" s="4"/>
      <c r="C7" s="5"/>
      <c r="D7" s="6"/>
      <c r="E7" s="6"/>
      <c r="F7" s="6"/>
      <c r="G7" s="6"/>
      <c r="H7" s="6"/>
      <c r="I7" s="6"/>
      <c r="J7" s="7"/>
      <c r="K7" s="8"/>
      <c r="L7" s="875" t="s">
        <v>223</v>
      </c>
      <c r="M7" s="875"/>
      <c r="N7" s="875"/>
      <c r="O7" s="875"/>
    </row>
    <row r="8" spans="1:17" s="11" customFormat="1" x14ac:dyDescent="0.2">
      <c r="A8" s="876" t="str">
        <f>I1</f>
        <v>Ms. Shanta Rajan</v>
      </c>
      <c r="B8" s="877"/>
      <c r="C8" s="331">
        <v>43160</v>
      </c>
      <c r="D8" s="331">
        <v>43191</v>
      </c>
      <c r="E8" s="331">
        <v>43221</v>
      </c>
      <c r="F8" s="331">
        <v>43252</v>
      </c>
      <c r="G8" s="331">
        <v>43282</v>
      </c>
      <c r="H8" s="331">
        <v>43313</v>
      </c>
      <c r="I8" s="331">
        <v>43344</v>
      </c>
      <c r="J8" s="331">
        <v>43374</v>
      </c>
      <c r="K8" s="331">
        <v>43405</v>
      </c>
      <c r="L8" s="331">
        <v>43435</v>
      </c>
      <c r="M8" s="331">
        <v>43466</v>
      </c>
      <c r="N8" s="331">
        <v>43497</v>
      </c>
      <c r="O8" s="10" t="s">
        <v>117</v>
      </c>
      <c r="Q8" s="11" t="s">
        <v>116</v>
      </c>
    </row>
    <row r="9" spans="1:17" ht="15" customHeight="1" x14ac:dyDescent="0.2">
      <c r="A9" s="12"/>
      <c r="B9" s="13" t="s">
        <v>118</v>
      </c>
      <c r="C9" s="14">
        <v>52000</v>
      </c>
      <c r="D9" s="14">
        <v>52000</v>
      </c>
      <c r="E9" s="14">
        <v>52000</v>
      </c>
      <c r="F9" s="14">
        <v>52000</v>
      </c>
      <c r="G9" s="14">
        <v>53600</v>
      </c>
      <c r="H9" s="14">
        <v>53600</v>
      </c>
      <c r="I9" s="14">
        <v>53600</v>
      </c>
      <c r="J9" s="14">
        <v>53600</v>
      </c>
      <c r="K9" s="14">
        <v>53600</v>
      </c>
      <c r="L9" s="14">
        <v>53600</v>
      </c>
      <c r="M9" s="14">
        <v>53600</v>
      </c>
      <c r="N9" s="14">
        <v>53600</v>
      </c>
      <c r="O9" s="25">
        <f>SUM(C9:N9)</f>
        <v>636800</v>
      </c>
      <c r="Q9" s="16" t="s">
        <v>222</v>
      </c>
    </row>
    <row r="10" spans="1:17" ht="15" customHeight="1" x14ac:dyDescent="0.2">
      <c r="A10" s="12"/>
      <c r="B10" s="13" t="s">
        <v>119</v>
      </c>
      <c r="C10" s="17">
        <v>0</v>
      </c>
      <c r="D10" s="17">
        <f>+C10</f>
        <v>0</v>
      </c>
      <c r="E10" s="17">
        <f t="shared" ref="E10:N13" si="0">+D10</f>
        <v>0</v>
      </c>
      <c r="F10" s="17">
        <f t="shared" si="0"/>
        <v>0</v>
      </c>
      <c r="G10" s="17">
        <f t="shared" si="0"/>
        <v>0</v>
      </c>
      <c r="H10" s="17">
        <v>0</v>
      </c>
      <c r="I10" s="17">
        <f t="shared" si="0"/>
        <v>0</v>
      </c>
      <c r="J10" s="17">
        <f t="shared" si="0"/>
        <v>0</v>
      </c>
      <c r="K10" s="17">
        <f t="shared" si="0"/>
        <v>0</v>
      </c>
      <c r="L10" s="17">
        <f t="shared" si="0"/>
        <v>0</v>
      </c>
      <c r="M10" s="17">
        <f t="shared" si="0"/>
        <v>0</v>
      </c>
      <c r="N10" s="17">
        <f t="shared" si="0"/>
        <v>0</v>
      </c>
      <c r="O10" s="18">
        <f>SUM(C10:N10)</f>
        <v>0</v>
      </c>
    </row>
    <row r="11" spans="1:17" ht="15" customHeight="1" x14ac:dyDescent="0.2">
      <c r="A11" s="12"/>
      <c r="B11" s="13" t="s">
        <v>120</v>
      </c>
      <c r="C11" s="17">
        <v>2600</v>
      </c>
      <c r="D11" s="17">
        <v>3640</v>
      </c>
      <c r="E11" s="17">
        <f t="shared" si="0"/>
        <v>3640</v>
      </c>
      <c r="F11" s="17">
        <f t="shared" si="0"/>
        <v>3640</v>
      </c>
      <c r="G11" s="17">
        <v>3752</v>
      </c>
      <c r="H11" s="17">
        <v>3752</v>
      </c>
      <c r="I11" s="17">
        <v>3752</v>
      </c>
      <c r="J11" s="17">
        <v>4824</v>
      </c>
      <c r="K11" s="17">
        <f>+J11</f>
        <v>4824</v>
      </c>
      <c r="L11" s="17">
        <f>+K11</f>
        <v>4824</v>
      </c>
      <c r="M11" s="17">
        <f>+L11</f>
        <v>4824</v>
      </c>
      <c r="N11" s="17">
        <f>+M11</f>
        <v>4824</v>
      </c>
      <c r="O11" s="18">
        <f>SUM(C11:N11)</f>
        <v>48896</v>
      </c>
    </row>
    <row r="12" spans="1:17" ht="15" hidden="1" customHeight="1" x14ac:dyDescent="0.2">
      <c r="A12" s="12"/>
      <c r="B12" s="13" t="s">
        <v>121</v>
      </c>
      <c r="C12" s="17">
        <v>0</v>
      </c>
      <c r="D12" s="17">
        <f>+C12</f>
        <v>0</v>
      </c>
      <c r="E12" s="17">
        <f t="shared" si="0"/>
        <v>0</v>
      </c>
      <c r="F12" s="17">
        <f t="shared" si="0"/>
        <v>0</v>
      </c>
      <c r="G12" s="17">
        <f>+F12</f>
        <v>0</v>
      </c>
      <c r="H12" s="17">
        <v>0</v>
      </c>
      <c r="I12" s="17">
        <f t="shared" ref="I12:N13" si="1">+H12</f>
        <v>0</v>
      </c>
      <c r="J12" s="17">
        <f t="shared" si="1"/>
        <v>0</v>
      </c>
      <c r="K12" s="17">
        <f t="shared" si="1"/>
        <v>0</v>
      </c>
      <c r="L12" s="17">
        <f t="shared" si="1"/>
        <v>0</v>
      </c>
      <c r="M12" s="17">
        <f t="shared" si="1"/>
        <v>0</v>
      </c>
      <c r="N12" s="17">
        <f t="shared" si="1"/>
        <v>0</v>
      </c>
      <c r="O12" s="18">
        <f>SUM(C12:N12)</f>
        <v>0</v>
      </c>
    </row>
    <row r="13" spans="1:17" ht="15" hidden="1" customHeight="1" x14ac:dyDescent="0.2">
      <c r="A13" s="12"/>
      <c r="B13" s="13" t="s">
        <v>122</v>
      </c>
      <c r="C13" s="17">
        <v>0</v>
      </c>
      <c r="D13" s="17">
        <f>+C13</f>
        <v>0</v>
      </c>
      <c r="E13" s="17">
        <f t="shared" si="0"/>
        <v>0</v>
      </c>
      <c r="F13" s="17">
        <f t="shared" si="0"/>
        <v>0</v>
      </c>
      <c r="G13" s="17">
        <f>+F13</f>
        <v>0</v>
      </c>
      <c r="H13" s="17">
        <v>0</v>
      </c>
      <c r="I13" s="17">
        <f t="shared" si="1"/>
        <v>0</v>
      </c>
      <c r="J13" s="17">
        <f t="shared" si="1"/>
        <v>0</v>
      </c>
      <c r="K13" s="17">
        <f t="shared" si="1"/>
        <v>0</v>
      </c>
      <c r="L13" s="17">
        <f t="shared" si="1"/>
        <v>0</v>
      </c>
      <c r="M13" s="17">
        <f t="shared" si="1"/>
        <v>0</v>
      </c>
      <c r="N13" s="17">
        <f t="shared" si="1"/>
        <v>0</v>
      </c>
      <c r="O13" s="18">
        <f t="shared" ref="O13:O36" si="2">SUM(C13:N13)</f>
        <v>0</v>
      </c>
    </row>
    <row r="14" spans="1:17" ht="15" customHeight="1" x14ac:dyDescent="0.2">
      <c r="A14" s="12"/>
      <c r="B14" s="13" t="s">
        <v>123</v>
      </c>
      <c r="C14" s="17">
        <v>3780</v>
      </c>
      <c r="D14" s="17">
        <v>3852</v>
      </c>
      <c r="E14" s="17">
        <v>3852</v>
      </c>
      <c r="F14" s="17">
        <v>3852</v>
      </c>
      <c r="G14" s="17">
        <v>3852</v>
      </c>
      <c r="H14" s="17">
        <v>3852</v>
      </c>
      <c r="I14" s="17">
        <v>3852</v>
      </c>
      <c r="J14" s="17">
        <v>3924</v>
      </c>
      <c r="K14" s="17">
        <f>+J14</f>
        <v>3924</v>
      </c>
      <c r="L14" s="17">
        <f>+K14</f>
        <v>3924</v>
      </c>
      <c r="M14" s="17">
        <f>+L14</f>
        <v>3924</v>
      </c>
      <c r="N14" s="17">
        <f>+M14</f>
        <v>3924</v>
      </c>
      <c r="O14" s="18">
        <f t="shared" si="2"/>
        <v>46512</v>
      </c>
    </row>
    <row r="15" spans="1:17" ht="15" customHeight="1" x14ac:dyDescent="0.2">
      <c r="A15" s="12"/>
      <c r="B15" s="13" t="s">
        <v>124</v>
      </c>
      <c r="C15" s="17">
        <v>0</v>
      </c>
      <c r="D15" s="17">
        <f t="shared" ref="D15:G30" si="3">+C15</f>
        <v>0</v>
      </c>
      <c r="E15" s="17">
        <f t="shared" si="3"/>
        <v>0</v>
      </c>
      <c r="F15" s="17">
        <f t="shared" si="3"/>
        <v>0</v>
      </c>
      <c r="G15" s="17">
        <f t="shared" si="3"/>
        <v>0</v>
      </c>
      <c r="H15" s="17">
        <v>0</v>
      </c>
      <c r="I15" s="17">
        <f t="shared" ref="I15:N18" si="4">+H15</f>
        <v>0</v>
      </c>
      <c r="J15" s="17">
        <f t="shared" si="4"/>
        <v>0</v>
      </c>
      <c r="K15" s="17">
        <f t="shared" si="4"/>
        <v>0</v>
      </c>
      <c r="L15" s="17">
        <f t="shared" si="4"/>
        <v>0</v>
      </c>
      <c r="M15" s="17">
        <f t="shared" si="4"/>
        <v>0</v>
      </c>
      <c r="N15" s="17">
        <f t="shared" si="4"/>
        <v>0</v>
      </c>
      <c r="O15" s="18">
        <f t="shared" si="2"/>
        <v>0</v>
      </c>
    </row>
    <row r="16" spans="1:17" ht="15" hidden="1" customHeight="1" x14ac:dyDescent="0.2">
      <c r="A16" s="12"/>
      <c r="B16" s="13" t="s">
        <v>405</v>
      </c>
      <c r="C16" s="17">
        <v>0</v>
      </c>
      <c r="D16" s="17">
        <f t="shared" si="3"/>
        <v>0</v>
      </c>
      <c r="E16" s="17">
        <f t="shared" si="3"/>
        <v>0</v>
      </c>
      <c r="F16" s="17">
        <f t="shared" si="3"/>
        <v>0</v>
      </c>
      <c r="G16" s="17">
        <f t="shared" si="3"/>
        <v>0</v>
      </c>
      <c r="H16" s="17">
        <v>0</v>
      </c>
      <c r="I16" s="17">
        <f t="shared" si="4"/>
        <v>0</v>
      </c>
      <c r="J16" s="17">
        <f t="shared" si="4"/>
        <v>0</v>
      </c>
      <c r="K16" s="17">
        <f t="shared" si="4"/>
        <v>0</v>
      </c>
      <c r="L16" s="17">
        <f t="shared" si="4"/>
        <v>0</v>
      </c>
      <c r="M16" s="17">
        <f t="shared" si="4"/>
        <v>0</v>
      </c>
      <c r="N16" s="17">
        <f t="shared" si="4"/>
        <v>0</v>
      </c>
      <c r="O16" s="18">
        <f t="shared" si="2"/>
        <v>0</v>
      </c>
    </row>
    <row r="17" spans="1:15" ht="15" hidden="1" customHeight="1" x14ac:dyDescent="0.2">
      <c r="A17" s="12"/>
      <c r="B17" s="13" t="s">
        <v>126</v>
      </c>
      <c r="C17" s="17">
        <v>0</v>
      </c>
      <c r="D17" s="17">
        <f t="shared" si="3"/>
        <v>0</v>
      </c>
      <c r="E17" s="17">
        <f t="shared" si="3"/>
        <v>0</v>
      </c>
      <c r="F17" s="17">
        <f t="shared" si="3"/>
        <v>0</v>
      </c>
      <c r="G17" s="17">
        <f t="shared" si="3"/>
        <v>0</v>
      </c>
      <c r="H17" s="17">
        <v>0</v>
      </c>
      <c r="I17" s="17">
        <f t="shared" si="4"/>
        <v>0</v>
      </c>
      <c r="J17" s="17">
        <f t="shared" si="4"/>
        <v>0</v>
      </c>
      <c r="K17" s="17">
        <f t="shared" si="4"/>
        <v>0</v>
      </c>
      <c r="L17" s="17">
        <f t="shared" si="4"/>
        <v>0</v>
      </c>
      <c r="M17" s="17">
        <f t="shared" si="4"/>
        <v>0</v>
      </c>
      <c r="N17" s="17">
        <f t="shared" si="4"/>
        <v>0</v>
      </c>
      <c r="O17" s="18">
        <f t="shared" si="2"/>
        <v>0</v>
      </c>
    </row>
    <row r="18" spans="1:15" ht="15" hidden="1" customHeight="1" x14ac:dyDescent="0.2">
      <c r="A18" s="12"/>
      <c r="B18" s="13" t="s">
        <v>609</v>
      </c>
      <c r="C18" s="17">
        <v>0</v>
      </c>
      <c r="D18" s="17">
        <f t="shared" si="3"/>
        <v>0</v>
      </c>
      <c r="E18" s="17">
        <f t="shared" si="3"/>
        <v>0</v>
      </c>
      <c r="F18" s="17">
        <f t="shared" si="3"/>
        <v>0</v>
      </c>
      <c r="G18" s="17">
        <f t="shared" si="3"/>
        <v>0</v>
      </c>
      <c r="H18" s="17">
        <v>0</v>
      </c>
      <c r="I18" s="17">
        <f t="shared" si="4"/>
        <v>0</v>
      </c>
      <c r="J18" s="17">
        <f t="shared" si="4"/>
        <v>0</v>
      </c>
      <c r="K18" s="17">
        <f t="shared" si="4"/>
        <v>0</v>
      </c>
      <c r="L18" s="17">
        <f t="shared" si="4"/>
        <v>0</v>
      </c>
      <c r="M18" s="17">
        <f t="shared" si="4"/>
        <v>0</v>
      </c>
      <c r="N18" s="17">
        <f t="shared" si="4"/>
        <v>0</v>
      </c>
      <c r="O18" s="18">
        <f t="shared" si="2"/>
        <v>0</v>
      </c>
    </row>
    <row r="19" spans="1:15" ht="15" customHeight="1" x14ac:dyDescent="0.2">
      <c r="A19" s="12"/>
      <c r="B19" s="13" t="s">
        <v>128</v>
      </c>
      <c r="C19" s="17">
        <v>12480</v>
      </c>
      <c r="D19" s="17">
        <f t="shared" si="3"/>
        <v>12480</v>
      </c>
      <c r="E19" s="17">
        <f t="shared" si="3"/>
        <v>12480</v>
      </c>
      <c r="F19" s="17">
        <f t="shared" si="3"/>
        <v>12480</v>
      </c>
      <c r="G19" s="17">
        <v>12864</v>
      </c>
      <c r="H19" s="17">
        <v>12864</v>
      </c>
      <c r="I19" s="17">
        <v>12864</v>
      </c>
      <c r="J19" s="17">
        <v>12864</v>
      </c>
      <c r="K19" s="17">
        <v>12864</v>
      </c>
      <c r="L19" s="17">
        <v>12864</v>
      </c>
      <c r="M19" s="17">
        <v>12864</v>
      </c>
      <c r="N19" s="17">
        <v>12864</v>
      </c>
      <c r="O19" s="18">
        <f t="shared" si="2"/>
        <v>152832</v>
      </c>
    </row>
    <row r="20" spans="1:15" ht="15" customHeight="1" x14ac:dyDescent="0.2">
      <c r="A20" s="12"/>
      <c r="B20" s="13" t="s">
        <v>129</v>
      </c>
      <c r="C20" s="17">
        <v>0</v>
      </c>
      <c r="D20" s="17">
        <f t="shared" si="3"/>
        <v>0</v>
      </c>
      <c r="E20" s="17">
        <f t="shared" si="3"/>
        <v>0</v>
      </c>
      <c r="F20" s="17">
        <f t="shared" si="3"/>
        <v>0</v>
      </c>
      <c r="G20" s="17">
        <f t="shared" si="3"/>
        <v>0</v>
      </c>
      <c r="H20" s="17">
        <v>0</v>
      </c>
      <c r="I20" s="17">
        <f t="shared" ref="I20:N35" si="5">+H20</f>
        <v>0</v>
      </c>
      <c r="J20" s="17">
        <f t="shared" si="5"/>
        <v>0</v>
      </c>
      <c r="K20" s="17">
        <f t="shared" si="5"/>
        <v>0</v>
      </c>
      <c r="L20" s="17">
        <f t="shared" si="5"/>
        <v>0</v>
      </c>
      <c r="M20" s="17">
        <f t="shared" si="5"/>
        <v>0</v>
      </c>
      <c r="N20" s="17">
        <f t="shared" si="5"/>
        <v>0</v>
      </c>
      <c r="O20" s="18">
        <f t="shared" si="2"/>
        <v>0</v>
      </c>
    </row>
    <row r="21" spans="1:15" ht="15" hidden="1" customHeight="1" x14ac:dyDescent="0.2">
      <c r="A21" s="878" t="s">
        <v>130</v>
      </c>
      <c r="B21" s="19" t="s">
        <v>131</v>
      </c>
      <c r="C21" s="17">
        <v>0</v>
      </c>
      <c r="D21" s="17">
        <f t="shared" si="3"/>
        <v>0</v>
      </c>
      <c r="E21" s="17">
        <f t="shared" si="3"/>
        <v>0</v>
      </c>
      <c r="F21" s="17">
        <f t="shared" si="3"/>
        <v>0</v>
      </c>
      <c r="G21" s="17">
        <f t="shared" si="3"/>
        <v>0</v>
      </c>
      <c r="H21" s="17">
        <v>0</v>
      </c>
      <c r="I21" s="17">
        <f t="shared" si="5"/>
        <v>0</v>
      </c>
      <c r="J21" s="17">
        <f t="shared" si="5"/>
        <v>0</v>
      </c>
      <c r="K21" s="17">
        <f t="shared" si="5"/>
        <v>0</v>
      </c>
      <c r="L21" s="17">
        <f t="shared" si="5"/>
        <v>0</v>
      </c>
      <c r="M21" s="17">
        <f t="shared" si="5"/>
        <v>0</v>
      </c>
      <c r="N21" s="17">
        <f t="shared" si="5"/>
        <v>0</v>
      </c>
      <c r="O21" s="18">
        <f t="shared" si="2"/>
        <v>0</v>
      </c>
    </row>
    <row r="22" spans="1:15" ht="15" customHeight="1" x14ac:dyDescent="0.2">
      <c r="A22" s="879"/>
      <c r="B22" s="19" t="s">
        <v>132</v>
      </c>
      <c r="C22" s="17">
        <v>0</v>
      </c>
      <c r="D22" s="17">
        <f t="shared" si="3"/>
        <v>0</v>
      </c>
      <c r="E22" s="17">
        <f t="shared" si="3"/>
        <v>0</v>
      </c>
      <c r="F22" s="17">
        <f t="shared" si="3"/>
        <v>0</v>
      </c>
      <c r="G22" s="17">
        <f t="shared" si="3"/>
        <v>0</v>
      </c>
      <c r="H22" s="17">
        <v>0</v>
      </c>
      <c r="I22" s="17">
        <f t="shared" si="5"/>
        <v>0</v>
      </c>
      <c r="J22" s="17">
        <f t="shared" si="5"/>
        <v>0</v>
      </c>
      <c r="K22" s="17">
        <f t="shared" si="5"/>
        <v>0</v>
      </c>
      <c r="L22" s="17">
        <f t="shared" si="5"/>
        <v>0</v>
      </c>
      <c r="M22" s="17">
        <f t="shared" si="5"/>
        <v>0</v>
      </c>
      <c r="N22" s="17">
        <f t="shared" si="5"/>
        <v>0</v>
      </c>
      <c r="O22" s="18">
        <f t="shared" si="2"/>
        <v>0</v>
      </c>
    </row>
    <row r="23" spans="1:15" ht="15" hidden="1" customHeight="1" x14ac:dyDescent="0.2">
      <c r="A23" s="879"/>
      <c r="B23" s="19" t="s">
        <v>133</v>
      </c>
      <c r="C23" s="17">
        <v>0</v>
      </c>
      <c r="D23" s="17">
        <f t="shared" si="3"/>
        <v>0</v>
      </c>
      <c r="E23" s="17">
        <f t="shared" si="3"/>
        <v>0</v>
      </c>
      <c r="F23" s="17">
        <f t="shared" si="3"/>
        <v>0</v>
      </c>
      <c r="G23" s="17">
        <f t="shared" si="3"/>
        <v>0</v>
      </c>
      <c r="H23" s="17">
        <v>0</v>
      </c>
      <c r="I23" s="17">
        <f t="shared" si="5"/>
        <v>0</v>
      </c>
      <c r="J23" s="17">
        <f t="shared" si="5"/>
        <v>0</v>
      </c>
      <c r="K23" s="17">
        <f t="shared" si="5"/>
        <v>0</v>
      </c>
      <c r="L23" s="17">
        <f t="shared" si="5"/>
        <v>0</v>
      </c>
      <c r="M23" s="17">
        <f t="shared" si="5"/>
        <v>0</v>
      </c>
      <c r="N23" s="17">
        <f t="shared" si="5"/>
        <v>0</v>
      </c>
      <c r="O23" s="18">
        <f t="shared" si="2"/>
        <v>0</v>
      </c>
    </row>
    <row r="24" spans="1:15" ht="15" hidden="1" customHeight="1" x14ac:dyDescent="0.2">
      <c r="A24" s="879"/>
      <c r="B24" s="19" t="s">
        <v>134</v>
      </c>
      <c r="C24" s="17">
        <v>0</v>
      </c>
      <c r="D24" s="17">
        <f t="shared" si="3"/>
        <v>0</v>
      </c>
      <c r="E24" s="17">
        <f t="shared" si="3"/>
        <v>0</v>
      </c>
      <c r="F24" s="17">
        <f t="shared" si="3"/>
        <v>0</v>
      </c>
      <c r="G24" s="17">
        <f t="shared" si="3"/>
        <v>0</v>
      </c>
      <c r="H24" s="17">
        <v>0</v>
      </c>
      <c r="I24" s="17">
        <f t="shared" si="5"/>
        <v>0</v>
      </c>
      <c r="J24" s="17">
        <f t="shared" si="5"/>
        <v>0</v>
      </c>
      <c r="K24" s="17">
        <f t="shared" si="5"/>
        <v>0</v>
      </c>
      <c r="L24" s="17">
        <f t="shared" si="5"/>
        <v>0</v>
      </c>
      <c r="M24" s="17">
        <f t="shared" si="5"/>
        <v>0</v>
      </c>
      <c r="N24" s="17">
        <f t="shared" si="5"/>
        <v>0</v>
      </c>
      <c r="O24" s="18">
        <f t="shared" si="2"/>
        <v>0</v>
      </c>
    </row>
    <row r="25" spans="1:15" ht="15" hidden="1" customHeight="1" x14ac:dyDescent="0.2">
      <c r="A25" s="879"/>
      <c r="B25" s="19" t="s">
        <v>135</v>
      </c>
      <c r="C25" s="17">
        <v>0</v>
      </c>
      <c r="D25" s="17">
        <f t="shared" si="3"/>
        <v>0</v>
      </c>
      <c r="E25" s="17">
        <f t="shared" si="3"/>
        <v>0</v>
      </c>
      <c r="F25" s="17">
        <f t="shared" si="3"/>
        <v>0</v>
      </c>
      <c r="G25" s="17">
        <f t="shared" si="3"/>
        <v>0</v>
      </c>
      <c r="H25" s="17">
        <v>0</v>
      </c>
      <c r="I25" s="17">
        <f t="shared" si="5"/>
        <v>0</v>
      </c>
      <c r="J25" s="17">
        <f t="shared" si="5"/>
        <v>0</v>
      </c>
      <c r="K25" s="17">
        <f t="shared" si="5"/>
        <v>0</v>
      </c>
      <c r="L25" s="17">
        <f t="shared" si="5"/>
        <v>0</v>
      </c>
      <c r="M25" s="17">
        <f t="shared" si="5"/>
        <v>0</v>
      </c>
      <c r="N25" s="17">
        <f t="shared" si="5"/>
        <v>0</v>
      </c>
      <c r="O25" s="18">
        <f t="shared" si="2"/>
        <v>0</v>
      </c>
    </row>
    <row r="26" spans="1:15" ht="15" hidden="1" customHeight="1" x14ac:dyDescent="0.2">
      <c r="A26" s="879"/>
      <c r="B26" s="19" t="s">
        <v>136</v>
      </c>
      <c r="C26" s="17">
        <v>0</v>
      </c>
      <c r="D26" s="17">
        <f t="shared" si="3"/>
        <v>0</v>
      </c>
      <c r="E26" s="17">
        <f t="shared" si="3"/>
        <v>0</v>
      </c>
      <c r="F26" s="17">
        <f t="shared" si="3"/>
        <v>0</v>
      </c>
      <c r="G26" s="17">
        <f t="shared" si="3"/>
        <v>0</v>
      </c>
      <c r="H26" s="17">
        <v>0</v>
      </c>
      <c r="I26" s="17">
        <f t="shared" si="5"/>
        <v>0</v>
      </c>
      <c r="J26" s="17">
        <f t="shared" si="5"/>
        <v>0</v>
      </c>
      <c r="K26" s="17">
        <f t="shared" si="5"/>
        <v>0</v>
      </c>
      <c r="L26" s="17">
        <f t="shared" si="5"/>
        <v>0</v>
      </c>
      <c r="M26" s="17">
        <f t="shared" si="5"/>
        <v>0</v>
      </c>
      <c r="N26" s="17">
        <f t="shared" si="5"/>
        <v>0</v>
      </c>
      <c r="O26" s="18">
        <f t="shared" si="2"/>
        <v>0</v>
      </c>
    </row>
    <row r="27" spans="1:15" ht="15" hidden="1" customHeight="1" x14ac:dyDescent="0.2">
      <c r="A27" s="879"/>
      <c r="B27" s="19" t="s">
        <v>137</v>
      </c>
      <c r="C27" s="17">
        <v>0</v>
      </c>
      <c r="D27" s="17">
        <f t="shared" si="3"/>
        <v>0</v>
      </c>
      <c r="E27" s="17">
        <f t="shared" si="3"/>
        <v>0</v>
      </c>
      <c r="F27" s="17">
        <f t="shared" si="3"/>
        <v>0</v>
      </c>
      <c r="G27" s="17">
        <f t="shared" si="3"/>
        <v>0</v>
      </c>
      <c r="H27" s="17">
        <v>0</v>
      </c>
      <c r="I27" s="17">
        <f t="shared" si="5"/>
        <v>0</v>
      </c>
      <c r="J27" s="17">
        <f t="shared" si="5"/>
        <v>0</v>
      </c>
      <c r="K27" s="17">
        <f t="shared" si="5"/>
        <v>0</v>
      </c>
      <c r="L27" s="17">
        <f t="shared" si="5"/>
        <v>0</v>
      </c>
      <c r="M27" s="17">
        <f t="shared" si="5"/>
        <v>0</v>
      </c>
      <c r="N27" s="17">
        <f t="shared" si="5"/>
        <v>0</v>
      </c>
      <c r="O27" s="18">
        <f t="shared" si="2"/>
        <v>0</v>
      </c>
    </row>
    <row r="28" spans="1:15" ht="15" hidden="1" customHeight="1" x14ac:dyDescent="0.2">
      <c r="A28" s="879"/>
      <c r="B28" s="19" t="s">
        <v>138</v>
      </c>
      <c r="C28" s="17">
        <v>0</v>
      </c>
      <c r="D28" s="17">
        <f t="shared" si="3"/>
        <v>0</v>
      </c>
      <c r="E28" s="17">
        <f t="shared" si="3"/>
        <v>0</v>
      </c>
      <c r="F28" s="17">
        <f t="shared" si="3"/>
        <v>0</v>
      </c>
      <c r="G28" s="17">
        <f t="shared" si="3"/>
        <v>0</v>
      </c>
      <c r="H28" s="17">
        <v>0</v>
      </c>
      <c r="I28" s="17">
        <f t="shared" si="5"/>
        <v>0</v>
      </c>
      <c r="J28" s="17">
        <f t="shared" si="5"/>
        <v>0</v>
      </c>
      <c r="K28" s="17">
        <f t="shared" si="5"/>
        <v>0</v>
      </c>
      <c r="L28" s="17">
        <f t="shared" si="5"/>
        <v>0</v>
      </c>
      <c r="M28" s="17">
        <f t="shared" si="5"/>
        <v>0</v>
      </c>
      <c r="N28" s="17">
        <f t="shared" si="5"/>
        <v>0</v>
      </c>
      <c r="O28" s="18">
        <f t="shared" si="2"/>
        <v>0</v>
      </c>
    </row>
    <row r="29" spans="1:15" ht="15" hidden="1" customHeight="1" x14ac:dyDescent="0.2">
      <c r="A29" s="879"/>
      <c r="B29" s="19" t="s">
        <v>139</v>
      </c>
      <c r="C29" s="17">
        <v>0</v>
      </c>
      <c r="D29" s="17">
        <f t="shared" si="3"/>
        <v>0</v>
      </c>
      <c r="E29" s="17">
        <f t="shared" si="3"/>
        <v>0</v>
      </c>
      <c r="F29" s="17">
        <f t="shared" si="3"/>
        <v>0</v>
      </c>
      <c r="G29" s="17">
        <f t="shared" si="3"/>
        <v>0</v>
      </c>
      <c r="H29" s="17">
        <v>0</v>
      </c>
      <c r="I29" s="17">
        <f t="shared" si="5"/>
        <v>0</v>
      </c>
      <c r="J29" s="17">
        <f t="shared" si="5"/>
        <v>0</v>
      </c>
      <c r="K29" s="17">
        <f t="shared" si="5"/>
        <v>0</v>
      </c>
      <c r="L29" s="17">
        <f t="shared" si="5"/>
        <v>0</v>
      </c>
      <c r="M29" s="17">
        <f t="shared" si="5"/>
        <v>0</v>
      </c>
      <c r="N29" s="17">
        <f t="shared" si="5"/>
        <v>0</v>
      </c>
      <c r="O29" s="18">
        <f t="shared" si="2"/>
        <v>0</v>
      </c>
    </row>
    <row r="30" spans="1:15" ht="15" hidden="1" customHeight="1" x14ac:dyDescent="0.2">
      <c r="A30" s="879"/>
      <c r="B30" s="19" t="s">
        <v>140</v>
      </c>
      <c r="C30" s="17">
        <v>0</v>
      </c>
      <c r="D30" s="17">
        <f t="shared" si="3"/>
        <v>0</v>
      </c>
      <c r="E30" s="17">
        <f t="shared" si="3"/>
        <v>0</v>
      </c>
      <c r="F30" s="17">
        <f t="shared" si="3"/>
        <v>0</v>
      </c>
      <c r="G30" s="17">
        <f t="shared" si="3"/>
        <v>0</v>
      </c>
      <c r="H30" s="17">
        <v>0</v>
      </c>
      <c r="I30" s="17">
        <f t="shared" si="5"/>
        <v>0</v>
      </c>
      <c r="J30" s="17">
        <f t="shared" si="5"/>
        <v>0</v>
      </c>
      <c r="K30" s="17">
        <f t="shared" si="5"/>
        <v>0</v>
      </c>
      <c r="L30" s="17">
        <f t="shared" si="5"/>
        <v>0</v>
      </c>
      <c r="M30" s="17">
        <f t="shared" si="5"/>
        <v>0</v>
      </c>
      <c r="N30" s="17">
        <f t="shared" si="5"/>
        <v>0</v>
      </c>
      <c r="O30" s="18">
        <f t="shared" si="2"/>
        <v>0</v>
      </c>
    </row>
    <row r="31" spans="1:15" ht="15" customHeight="1" x14ac:dyDescent="0.2">
      <c r="A31" s="879"/>
      <c r="B31" s="19" t="s">
        <v>143</v>
      </c>
      <c r="C31" s="17">
        <v>0</v>
      </c>
      <c r="D31" s="17">
        <f t="shared" ref="D31:G36" si="6">+C31</f>
        <v>0</v>
      </c>
      <c r="E31" s="17">
        <f t="shared" si="6"/>
        <v>0</v>
      </c>
      <c r="F31" s="17">
        <f t="shared" si="6"/>
        <v>0</v>
      </c>
      <c r="G31" s="17">
        <f t="shared" si="6"/>
        <v>0</v>
      </c>
      <c r="H31" s="17">
        <v>0</v>
      </c>
      <c r="I31" s="17">
        <f t="shared" si="5"/>
        <v>0</v>
      </c>
      <c r="J31" s="17">
        <f t="shared" si="5"/>
        <v>0</v>
      </c>
      <c r="K31" s="17">
        <f t="shared" si="5"/>
        <v>0</v>
      </c>
      <c r="L31" s="17">
        <f t="shared" si="5"/>
        <v>0</v>
      </c>
      <c r="M31" s="17">
        <f t="shared" si="5"/>
        <v>0</v>
      </c>
      <c r="N31" s="17">
        <f t="shared" si="5"/>
        <v>0</v>
      </c>
      <c r="O31" s="18">
        <f t="shared" si="2"/>
        <v>0</v>
      </c>
    </row>
    <row r="32" spans="1:15" ht="15" customHeight="1" x14ac:dyDescent="0.2">
      <c r="A32" s="879"/>
      <c r="B32" s="21" t="s">
        <v>142</v>
      </c>
      <c r="C32" s="17">
        <v>0</v>
      </c>
      <c r="D32" s="17">
        <f t="shared" si="6"/>
        <v>0</v>
      </c>
      <c r="E32" s="17">
        <f t="shared" si="6"/>
        <v>0</v>
      </c>
      <c r="F32" s="17">
        <f t="shared" si="6"/>
        <v>0</v>
      </c>
      <c r="G32" s="17">
        <f t="shared" si="6"/>
        <v>0</v>
      </c>
      <c r="H32" s="17">
        <v>0</v>
      </c>
      <c r="I32" s="17">
        <f t="shared" si="5"/>
        <v>0</v>
      </c>
      <c r="J32" s="17">
        <f t="shared" si="5"/>
        <v>0</v>
      </c>
      <c r="K32" s="17">
        <f t="shared" si="5"/>
        <v>0</v>
      </c>
      <c r="L32" s="17">
        <f t="shared" si="5"/>
        <v>0</v>
      </c>
      <c r="M32" s="17">
        <f t="shared" si="5"/>
        <v>0</v>
      </c>
      <c r="N32" s="17">
        <f t="shared" si="5"/>
        <v>0</v>
      </c>
      <c r="O32" s="18">
        <f t="shared" si="2"/>
        <v>0</v>
      </c>
    </row>
    <row r="33" spans="1:16" ht="15" hidden="1" customHeight="1" x14ac:dyDescent="0.2">
      <c r="A33" s="880"/>
      <c r="B33" s="19" t="s">
        <v>226</v>
      </c>
      <c r="C33" s="17">
        <v>0</v>
      </c>
      <c r="D33" s="17">
        <f t="shared" si="6"/>
        <v>0</v>
      </c>
      <c r="E33" s="17">
        <f t="shared" si="6"/>
        <v>0</v>
      </c>
      <c r="F33" s="17">
        <f t="shared" si="6"/>
        <v>0</v>
      </c>
      <c r="G33" s="17">
        <f t="shared" si="6"/>
        <v>0</v>
      </c>
      <c r="H33" s="17">
        <v>0</v>
      </c>
      <c r="I33" s="17">
        <f t="shared" si="5"/>
        <v>0</v>
      </c>
      <c r="J33" s="17">
        <f t="shared" si="5"/>
        <v>0</v>
      </c>
      <c r="K33" s="17">
        <f t="shared" si="5"/>
        <v>0</v>
      </c>
      <c r="L33" s="17">
        <f t="shared" si="5"/>
        <v>0</v>
      </c>
      <c r="M33" s="17">
        <f t="shared" si="5"/>
        <v>0</v>
      </c>
      <c r="N33" s="17">
        <f t="shared" si="5"/>
        <v>0</v>
      </c>
      <c r="O33" s="18">
        <f t="shared" si="2"/>
        <v>0</v>
      </c>
    </row>
    <row r="34" spans="1:16" ht="15" customHeight="1" x14ac:dyDescent="0.2">
      <c r="A34" s="219"/>
      <c r="B34" s="220" t="s">
        <v>144</v>
      </c>
      <c r="C34" s="17">
        <v>0</v>
      </c>
      <c r="D34" s="17">
        <f t="shared" si="6"/>
        <v>0</v>
      </c>
      <c r="E34" s="17">
        <f t="shared" si="6"/>
        <v>0</v>
      </c>
      <c r="F34" s="17">
        <f t="shared" si="6"/>
        <v>0</v>
      </c>
      <c r="G34" s="17">
        <f t="shared" si="6"/>
        <v>0</v>
      </c>
      <c r="H34" s="17">
        <v>0</v>
      </c>
      <c r="I34" s="17">
        <f t="shared" si="5"/>
        <v>0</v>
      </c>
      <c r="J34" s="17">
        <f t="shared" si="5"/>
        <v>0</v>
      </c>
      <c r="K34" s="17">
        <f t="shared" si="5"/>
        <v>0</v>
      </c>
      <c r="L34" s="17">
        <f t="shared" si="5"/>
        <v>0</v>
      </c>
      <c r="M34" s="17">
        <f t="shared" si="5"/>
        <v>0</v>
      </c>
      <c r="N34" s="17">
        <f t="shared" si="5"/>
        <v>0</v>
      </c>
      <c r="O34" s="18">
        <f t="shared" si="2"/>
        <v>0</v>
      </c>
    </row>
    <row r="35" spans="1:16" ht="15" customHeight="1" x14ac:dyDescent="0.2">
      <c r="A35" s="865" t="s">
        <v>145</v>
      </c>
      <c r="B35" s="866"/>
      <c r="C35" s="17">
        <v>0</v>
      </c>
      <c r="D35" s="17">
        <v>216</v>
      </c>
      <c r="E35" s="17">
        <v>0</v>
      </c>
      <c r="F35" s="17">
        <f>+E35</f>
        <v>0</v>
      </c>
      <c r="G35" s="17">
        <f t="shared" si="6"/>
        <v>0</v>
      </c>
      <c r="H35" s="17">
        <v>0</v>
      </c>
      <c r="I35" s="17">
        <f t="shared" si="5"/>
        <v>0</v>
      </c>
      <c r="J35" s="17">
        <v>216</v>
      </c>
      <c r="K35" s="17">
        <v>0</v>
      </c>
      <c r="L35" s="17">
        <f t="shared" si="5"/>
        <v>0</v>
      </c>
      <c r="M35" s="17">
        <f t="shared" si="5"/>
        <v>0</v>
      </c>
      <c r="N35" s="17">
        <f t="shared" si="5"/>
        <v>0</v>
      </c>
      <c r="O35" s="18">
        <f t="shared" si="2"/>
        <v>432</v>
      </c>
    </row>
    <row r="36" spans="1:16" ht="15" customHeight="1" x14ac:dyDescent="0.2">
      <c r="A36" s="865" t="s">
        <v>146</v>
      </c>
      <c r="B36" s="866"/>
      <c r="C36" s="17">
        <v>0</v>
      </c>
      <c r="D36" s="17">
        <v>3120</v>
      </c>
      <c r="E36" s="17">
        <v>0</v>
      </c>
      <c r="F36" s="17">
        <f>+E36</f>
        <v>0</v>
      </c>
      <c r="G36" s="17">
        <f t="shared" si="6"/>
        <v>0</v>
      </c>
      <c r="H36" s="17">
        <v>0</v>
      </c>
      <c r="I36" s="17">
        <f t="shared" ref="I36:N36" si="7">+H36</f>
        <v>0</v>
      </c>
      <c r="J36" s="17">
        <v>3216</v>
      </c>
      <c r="K36" s="17">
        <v>0</v>
      </c>
      <c r="L36" s="17">
        <f t="shared" si="7"/>
        <v>0</v>
      </c>
      <c r="M36" s="17">
        <f t="shared" si="7"/>
        <v>0</v>
      </c>
      <c r="N36" s="17">
        <f t="shared" si="7"/>
        <v>0</v>
      </c>
      <c r="O36" s="18">
        <f t="shared" si="2"/>
        <v>6336</v>
      </c>
    </row>
    <row r="37" spans="1:16" ht="15" customHeight="1" x14ac:dyDescent="0.2">
      <c r="A37" s="22"/>
      <c r="B37" s="23" t="s">
        <v>147</v>
      </c>
      <c r="C37" s="24">
        <f t="shared" ref="C37:N37" si="8">SUM(C9:C36)</f>
        <v>70860</v>
      </c>
      <c r="D37" s="24">
        <f t="shared" si="8"/>
        <v>75308</v>
      </c>
      <c r="E37" s="24">
        <f t="shared" si="8"/>
        <v>71972</v>
      </c>
      <c r="F37" s="24">
        <f t="shared" si="8"/>
        <v>71972</v>
      </c>
      <c r="G37" s="24">
        <f t="shared" si="8"/>
        <v>74068</v>
      </c>
      <c r="H37" s="24">
        <f t="shared" si="8"/>
        <v>74068</v>
      </c>
      <c r="I37" s="24">
        <f t="shared" si="8"/>
        <v>74068</v>
      </c>
      <c r="J37" s="24">
        <f t="shared" si="8"/>
        <v>78644</v>
      </c>
      <c r="K37" s="24">
        <f t="shared" si="8"/>
        <v>75212</v>
      </c>
      <c r="L37" s="24">
        <f t="shared" si="8"/>
        <v>75212</v>
      </c>
      <c r="M37" s="24">
        <f t="shared" si="8"/>
        <v>75212</v>
      </c>
      <c r="N37" s="24">
        <f t="shared" si="8"/>
        <v>75212</v>
      </c>
      <c r="O37" s="25">
        <f t="shared" ref="O37:O50" si="9">SUM(C37:N37)</f>
        <v>891808</v>
      </c>
    </row>
    <row r="38" spans="1:16" ht="15" customHeight="1" x14ac:dyDescent="0.25">
      <c r="A38" s="853" t="s">
        <v>148</v>
      </c>
      <c r="B38" s="27" t="s">
        <v>149</v>
      </c>
      <c r="C38" s="147">
        <v>4000</v>
      </c>
      <c r="D38" s="147">
        <v>5000</v>
      </c>
      <c r="E38" s="147">
        <v>4000</v>
      </c>
      <c r="F38" s="147">
        <v>4000</v>
      </c>
      <c r="G38" s="147">
        <v>4000</v>
      </c>
      <c r="H38" s="147">
        <v>4000</v>
      </c>
      <c r="I38" s="147">
        <v>4000</v>
      </c>
      <c r="J38" s="147">
        <v>4000</v>
      </c>
      <c r="K38" s="147">
        <v>5000</v>
      </c>
      <c r="L38" s="147">
        <v>5400</v>
      </c>
      <c r="M38" s="147">
        <v>5270</v>
      </c>
      <c r="N38">
        <v>5795</v>
      </c>
      <c r="O38" s="18">
        <f t="shared" si="9"/>
        <v>54465</v>
      </c>
      <c r="P38" s="29"/>
    </row>
    <row r="39" spans="1:16" ht="15" customHeight="1" x14ac:dyDescent="0.2">
      <c r="A39" s="854"/>
      <c r="B39" s="27" t="s">
        <v>150</v>
      </c>
      <c r="C39" s="147">
        <v>0</v>
      </c>
      <c r="D39" s="147">
        <v>0</v>
      </c>
      <c r="E39" s="147">
        <v>0</v>
      </c>
      <c r="F39" s="147">
        <v>0</v>
      </c>
      <c r="G39" s="147">
        <v>0</v>
      </c>
      <c r="H39" s="147">
        <v>0</v>
      </c>
      <c r="I39" s="147">
        <v>0</v>
      </c>
      <c r="J39" s="147">
        <v>0</v>
      </c>
      <c r="K39" s="147">
        <v>0</v>
      </c>
      <c r="L39" s="147">
        <v>0</v>
      </c>
      <c r="M39" s="147">
        <v>0</v>
      </c>
      <c r="N39" s="147">
        <v>0</v>
      </c>
      <c r="O39" s="18">
        <f t="shared" si="9"/>
        <v>0</v>
      </c>
    </row>
    <row r="40" spans="1:16" ht="15" customHeight="1" x14ac:dyDescent="0.2">
      <c r="A40" s="854"/>
      <c r="B40" s="27" t="s">
        <v>151</v>
      </c>
      <c r="C40" s="147">
        <v>30</v>
      </c>
      <c r="D40" s="147">
        <v>30</v>
      </c>
      <c r="E40" s="147">
        <v>30</v>
      </c>
      <c r="F40" s="147">
        <v>30</v>
      </c>
      <c r="G40" s="147">
        <v>30</v>
      </c>
      <c r="H40" s="147">
        <v>30</v>
      </c>
      <c r="I40" s="147">
        <v>30</v>
      </c>
      <c r="J40" s="147">
        <v>30</v>
      </c>
      <c r="K40" s="147">
        <v>30</v>
      </c>
      <c r="L40" s="147">
        <v>30</v>
      </c>
      <c r="M40" s="147">
        <v>30</v>
      </c>
      <c r="N40" s="147">
        <v>30</v>
      </c>
      <c r="O40" s="18">
        <f t="shared" si="9"/>
        <v>360</v>
      </c>
    </row>
    <row r="41" spans="1:16" ht="15" customHeight="1" x14ac:dyDescent="0.2">
      <c r="A41" s="854"/>
      <c r="B41" s="27" t="s">
        <v>152</v>
      </c>
      <c r="C41" s="147">
        <v>0</v>
      </c>
      <c r="D41" s="147">
        <v>0</v>
      </c>
      <c r="E41" s="147">
        <v>0</v>
      </c>
      <c r="F41" s="147">
        <v>0</v>
      </c>
      <c r="G41" s="147">
        <v>0</v>
      </c>
      <c r="H41" s="147">
        <v>0</v>
      </c>
      <c r="I41" s="147">
        <v>0</v>
      </c>
      <c r="J41" s="147">
        <v>0</v>
      </c>
      <c r="K41" s="147">
        <v>0</v>
      </c>
      <c r="L41" s="147">
        <v>0</v>
      </c>
      <c r="M41" s="147">
        <v>0</v>
      </c>
      <c r="N41" s="147">
        <v>0</v>
      </c>
      <c r="O41" s="18">
        <f t="shared" si="9"/>
        <v>0</v>
      </c>
    </row>
    <row r="42" spans="1:16" ht="15" customHeight="1" x14ac:dyDescent="0.2">
      <c r="A42" s="854"/>
      <c r="B42" s="27" t="s">
        <v>153</v>
      </c>
      <c r="C42" s="147">
        <v>0</v>
      </c>
      <c r="D42" s="147">
        <v>0</v>
      </c>
      <c r="E42" s="147">
        <v>0</v>
      </c>
      <c r="F42" s="147">
        <v>0</v>
      </c>
      <c r="G42" s="147">
        <v>0</v>
      </c>
      <c r="H42" s="147">
        <v>0</v>
      </c>
      <c r="I42" s="147">
        <v>0</v>
      </c>
      <c r="J42" s="147">
        <v>0</v>
      </c>
      <c r="K42" s="147">
        <v>0</v>
      </c>
      <c r="L42" s="147">
        <v>0</v>
      </c>
      <c r="M42" s="147">
        <v>0</v>
      </c>
      <c r="N42" s="147">
        <v>0</v>
      </c>
      <c r="O42" s="18">
        <f t="shared" si="9"/>
        <v>0</v>
      </c>
    </row>
    <row r="43" spans="1:16" ht="15" customHeight="1" x14ac:dyDescent="0.2">
      <c r="A43" s="854"/>
      <c r="B43" s="27" t="s">
        <v>154</v>
      </c>
      <c r="C43" s="147">
        <v>15000</v>
      </c>
      <c r="D43" s="147">
        <v>15000</v>
      </c>
      <c r="E43" s="147">
        <v>15000</v>
      </c>
      <c r="F43" s="147">
        <v>15000</v>
      </c>
      <c r="G43" s="147">
        <v>15000</v>
      </c>
      <c r="H43" s="147">
        <v>15000</v>
      </c>
      <c r="I43" s="147">
        <v>15000</v>
      </c>
      <c r="J43" s="147">
        <v>15000</v>
      </c>
      <c r="K43" s="147">
        <v>15000</v>
      </c>
      <c r="L43" s="147">
        <v>15000</v>
      </c>
      <c r="M43" s="147">
        <v>15000</v>
      </c>
      <c r="N43" s="147">
        <v>15000</v>
      </c>
      <c r="O43" s="18">
        <f t="shared" si="9"/>
        <v>180000</v>
      </c>
    </row>
    <row r="44" spans="1:16" ht="15" customHeight="1" x14ac:dyDescent="0.2">
      <c r="A44" s="854"/>
      <c r="B44" s="27" t="s">
        <v>155</v>
      </c>
      <c r="C44" s="147">
        <v>200</v>
      </c>
      <c r="D44" s="147">
        <v>200</v>
      </c>
      <c r="E44" s="147">
        <v>200</v>
      </c>
      <c r="F44" s="147">
        <v>200</v>
      </c>
      <c r="G44" s="147">
        <v>200</v>
      </c>
      <c r="H44" s="147">
        <v>200</v>
      </c>
      <c r="I44" s="147">
        <v>200</v>
      </c>
      <c r="J44" s="147">
        <v>200</v>
      </c>
      <c r="K44" s="147">
        <v>200</v>
      </c>
      <c r="L44" s="147">
        <v>200</v>
      </c>
      <c r="M44" s="147">
        <v>200</v>
      </c>
      <c r="N44" s="147">
        <v>300</v>
      </c>
      <c r="O44" s="18">
        <f t="shared" si="9"/>
        <v>2500</v>
      </c>
    </row>
    <row r="45" spans="1:16" ht="15" customHeight="1" x14ac:dyDescent="0.2">
      <c r="A45" s="854"/>
      <c r="B45" s="27" t="s">
        <v>156</v>
      </c>
      <c r="C45" s="147">
        <v>0</v>
      </c>
      <c r="D45" s="147">
        <v>0</v>
      </c>
      <c r="E45" s="147">
        <v>0</v>
      </c>
      <c r="F45" s="147">
        <v>0</v>
      </c>
      <c r="G45" s="147">
        <v>0</v>
      </c>
      <c r="H45" s="147">
        <v>0</v>
      </c>
      <c r="I45" s="147">
        <v>0</v>
      </c>
      <c r="J45" s="147">
        <v>0</v>
      </c>
      <c r="K45" s="147">
        <v>0</v>
      </c>
      <c r="L45" s="147">
        <v>0</v>
      </c>
      <c r="M45" s="147">
        <v>0</v>
      </c>
      <c r="N45" s="147">
        <v>0</v>
      </c>
      <c r="O45" s="18">
        <f t="shared" si="9"/>
        <v>0</v>
      </c>
    </row>
    <row r="46" spans="1:16" ht="15" customHeight="1" x14ac:dyDescent="0.2">
      <c r="A46" s="854"/>
      <c r="B46" s="27" t="s">
        <v>157</v>
      </c>
      <c r="C46" s="147">
        <v>0</v>
      </c>
      <c r="D46" s="147">
        <v>0</v>
      </c>
      <c r="E46" s="147">
        <v>0</v>
      </c>
      <c r="F46" s="147">
        <v>0</v>
      </c>
      <c r="G46" s="147">
        <v>0</v>
      </c>
      <c r="H46" s="147">
        <v>0</v>
      </c>
      <c r="I46" s="147">
        <v>0</v>
      </c>
      <c r="J46" s="147">
        <v>0</v>
      </c>
      <c r="K46" s="147">
        <v>0</v>
      </c>
      <c r="L46" s="147">
        <v>0</v>
      </c>
      <c r="M46" s="147">
        <v>0</v>
      </c>
      <c r="N46" s="147">
        <v>0</v>
      </c>
      <c r="O46" s="18">
        <f t="shared" si="9"/>
        <v>0</v>
      </c>
    </row>
    <row r="47" spans="1:16" ht="28.5" customHeight="1" x14ac:dyDescent="0.2">
      <c r="A47" s="855"/>
      <c r="B47" s="30" t="s">
        <v>158</v>
      </c>
      <c r="C47" s="147">
        <v>0</v>
      </c>
      <c r="D47" s="147">
        <v>0</v>
      </c>
      <c r="E47" s="147">
        <v>0</v>
      </c>
      <c r="F47" s="147">
        <v>0</v>
      </c>
      <c r="G47" s="147">
        <v>0</v>
      </c>
      <c r="H47" s="147">
        <v>0</v>
      </c>
      <c r="I47" s="147">
        <v>0</v>
      </c>
      <c r="J47" s="147">
        <v>0</v>
      </c>
      <c r="K47" s="147">
        <v>0</v>
      </c>
      <c r="L47" s="147">
        <v>0</v>
      </c>
      <c r="M47" s="147">
        <v>0</v>
      </c>
      <c r="N47" s="147">
        <v>0</v>
      </c>
      <c r="O47" s="31">
        <f t="shared" si="9"/>
        <v>0</v>
      </c>
    </row>
    <row r="48" spans="1:16" ht="15" x14ac:dyDescent="0.2">
      <c r="A48" s="856"/>
      <c r="B48" s="127" t="s">
        <v>859</v>
      </c>
      <c r="C48" s="147">
        <v>0</v>
      </c>
      <c r="D48" s="147">
        <v>0</v>
      </c>
      <c r="E48" s="147">
        <v>0</v>
      </c>
      <c r="F48" s="147">
        <v>0</v>
      </c>
      <c r="G48" s="147">
        <v>0</v>
      </c>
      <c r="H48" s="147">
        <v>0</v>
      </c>
      <c r="I48" s="147">
        <v>0</v>
      </c>
      <c r="J48" s="147">
        <v>0</v>
      </c>
      <c r="K48" s="147">
        <v>0</v>
      </c>
      <c r="L48" s="147">
        <v>0</v>
      </c>
      <c r="M48" s="147">
        <v>0</v>
      </c>
      <c r="N48" s="147">
        <v>0</v>
      </c>
      <c r="O48" s="31">
        <f t="shared" si="9"/>
        <v>0</v>
      </c>
    </row>
    <row r="49" spans="1:19" ht="15" x14ac:dyDescent="0.2">
      <c r="A49" s="857" t="s">
        <v>160</v>
      </c>
      <c r="B49" s="858"/>
      <c r="C49" s="33">
        <f t="shared" ref="C49:N49" si="10">SUM(C38:C48)</f>
        <v>19230</v>
      </c>
      <c r="D49" s="33">
        <f t="shared" si="10"/>
        <v>20230</v>
      </c>
      <c r="E49" s="33">
        <f t="shared" si="10"/>
        <v>19230</v>
      </c>
      <c r="F49" s="33">
        <f t="shared" si="10"/>
        <v>19230</v>
      </c>
      <c r="G49" s="33">
        <f t="shared" si="10"/>
        <v>19230</v>
      </c>
      <c r="H49" s="33">
        <f t="shared" si="10"/>
        <v>19230</v>
      </c>
      <c r="I49" s="33">
        <f t="shared" si="10"/>
        <v>19230</v>
      </c>
      <c r="J49" s="33">
        <f t="shared" si="10"/>
        <v>19230</v>
      </c>
      <c r="K49" s="33">
        <f t="shared" si="10"/>
        <v>20230</v>
      </c>
      <c r="L49" s="33">
        <f t="shared" si="10"/>
        <v>20630</v>
      </c>
      <c r="M49" s="33">
        <f>SUM(M38:M48)</f>
        <v>20500</v>
      </c>
      <c r="N49" s="33">
        <f t="shared" si="10"/>
        <v>21125</v>
      </c>
      <c r="O49" s="34">
        <f t="shared" si="9"/>
        <v>237325</v>
      </c>
    </row>
    <row r="50" spans="1:19" ht="15.75" thickBot="1" x14ac:dyDescent="0.25">
      <c r="A50" s="859" t="s">
        <v>161</v>
      </c>
      <c r="B50" s="860"/>
      <c r="C50" s="35">
        <f t="shared" ref="C50:N50" si="11">C37-C49</f>
        <v>51630</v>
      </c>
      <c r="D50" s="35">
        <f t="shared" si="11"/>
        <v>55078</v>
      </c>
      <c r="E50" s="35">
        <f t="shared" si="11"/>
        <v>52742</v>
      </c>
      <c r="F50" s="35">
        <f t="shared" si="11"/>
        <v>52742</v>
      </c>
      <c r="G50" s="35">
        <f t="shared" si="11"/>
        <v>54838</v>
      </c>
      <c r="H50" s="35">
        <f t="shared" si="11"/>
        <v>54838</v>
      </c>
      <c r="I50" s="35">
        <f t="shared" si="11"/>
        <v>54838</v>
      </c>
      <c r="J50" s="35">
        <f t="shared" si="11"/>
        <v>59414</v>
      </c>
      <c r="K50" s="35">
        <f t="shared" si="11"/>
        <v>54982</v>
      </c>
      <c r="L50" s="35">
        <f t="shared" si="11"/>
        <v>54582</v>
      </c>
      <c r="M50" s="35">
        <f t="shared" si="11"/>
        <v>54712</v>
      </c>
      <c r="N50" s="35">
        <f t="shared" si="11"/>
        <v>54087</v>
      </c>
      <c r="O50" s="36">
        <f t="shared" si="9"/>
        <v>654483</v>
      </c>
    </row>
    <row r="51" spans="1:19" x14ac:dyDescent="0.2">
      <c r="G51" s="38"/>
      <c r="J51" s="300">
        <f>+J37-SUM(J22:J36)</f>
        <v>75212</v>
      </c>
      <c r="Q51" s="38"/>
    </row>
    <row r="52" spans="1:19" ht="13.5" thickBot="1" x14ac:dyDescent="0.25">
      <c r="J52" s="38">
        <f>+J51-J49</f>
        <v>55982</v>
      </c>
      <c r="Q52" s="38"/>
    </row>
    <row r="53" spans="1:19" ht="13.5" thickBot="1" x14ac:dyDescent="0.25">
      <c r="B53" s="789" t="s">
        <v>162</v>
      </c>
      <c r="C53" s="861"/>
      <c r="D53" s="861"/>
      <c r="E53" s="861"/>
      <c r="F53" s="862"/>
      <c r="G53" s="863">
        <f>O37</f>
        <v>891808</v>
      </c>
      <c r="H53" s="864"/>
    </row>
    <row r="54" spans="1:19" ht="13.5" thickBot="1" x14ac:dyDescent="0.25"/>
    <row r="55" spans="1:19" x14ac:dyDescent="0.2">
      <c r="B55" s="830" t="s">
        <v>163</v>
      </c>
      <c r="C55" s="833" t="s">
        <v>164</v>
      </c>
      <c r="D55" s="836" t="s">
        <v>811</v>
      </c>
      <c r="E55" s="837"/>
      <c r="F55" s="838"/>
      <c r="G55" s="839">
        <v>40000</v>
      </c>
      <c r="H55" s="840"/>
    </row>
    <row r="56" spans="1:19" x14ac:dyDescent="0.2">
      <c r="B56" s="831"/>
      <c r="C56" s="834"/>
      <c r="D56" s="841" t="s">
        <v>166</v>
      </c>
      <c r="E56" s="842"/>
      <c r="F56" s="843"/>
      <c r="G56" s="844">
        <f>+O44</f>
        <v>2500</v>
      </c>
      <c r="H56" s="845"/>
      <c r="I56" s="39"/>
      <c r="J56" s="846"/>
      <c r="K56" s="846"/>
      <c r="L56" s="846"/>
      <c r="M56" s="847"/>
      <c r="N56" s="847"/>
      <c r="O56" s="847"/>
    </row>
    <row r="57" spans="1:19" ht="13.5" thickBot="1" x14ac:dyDescent="0.25">
      <c r="B57" s="832"/>
      <c r="C57" s="835"/>
      <c r="D57" s="848" t="s">
        <v>266</v>
      </c>
      <c r="E57" s="849"/>
      <c r="F57" s="850"/>
      <c r="G57" s="851">
        <v>0</v>
      </c>
      <c r="H57" s="852"/>
      <c r="J57" s="47"/>
      <c r="K57" s="47"/>
      <c r="L57" s="47"/>
      <c r="M57" s="47"/>
      <c r="N57" s="47"/>
      <c r="O57" s="47"/>
    </row>
    <row r="58" spans="1:19" ht="13.5" thickBot="1" x14ac:dyDescent="0.25">
      <c r="B58" s="48"/>
      <c r="J58" s="47"/>
      <c r="K58" s="47"/>
      <c r="L58" s="47"/>
      <c r="M58" s="47"/>
      <c r="N58" s="47"/>
      <c r="O58" s="47"/>
    </row>
    <row r="59" spans="1:19" ht="13.5" thickBot="1" x14ac:dyDescent="0.25">
      <c r="B59" s="789" t="s">
        <v>168</v>
      </c>
      <c r="C59" s="790"/>
      <c r="D59" s="790"/>
      <c r="E59" s="790"/>
      <c r="F59" s="791"/>
      <c r="G59" s="825">
        <f>+G53-SUM(G55:H57)</f>
        <v>849308</v>
      </c>
      <c r="H59" s="826"/>
      <c r="J59" s="827" t="s">
        <v>169</v>
      </c>
      <c r="K59" s="828"/>
      <c r="L59" s="828"/>
      <c r="M59" s="828"/>
      <c r="N59" s="828"/>
      <c r="O59" s="829"/>
    </row>
    <row r="60" spans="1:19" ht="13.5" thickBot="1" x14ac:dyDescent="0.25">
      <c r="B60" s="49"/>
      <c r="C60" s="50"/>
      <c r="D60" s="50"/>
      <c r="E60" s="50"/>
      <c r="F60" s="50"/>
      <c r="G60" s="45"/>
      <c r="H60" s="50"/>
      <c r="J60" s="129"/>
      <c r="K60" s="130"/>
      <c r="L60" s="130"/>
      <c r="M60" s="130"/>
      <c r="N60" s="130"/>
      <c r="O60" s="131"/>
    </row>
    <row r="61" spans="1:19" ht="13.5" thickBot="1" x14ac:dyDescent="0.25">
      <c r="B61" s="789" t="s">
        <v>170</v>
      </c>
      <c r="C61" s="790"/>
      <c r="D61" s="790"/>
      <c r="E61" s="790"/>
      <c r="F61" s="791"/>
      <c r="G61" s="805"/>
      <c r="H61" s="791"/>
      <c r="J61" s="129"/>
      <c r="K61" s="130"/>
      <c r="L61" s="130"/>
      <c r="M61" s="130"/>
      <c r="N61" s="130"/>
      <c r="O61" s="131"/>
    </row>
    <row r="62" spans="1:19" ht="12.75" customHeight="1" x14ac:dyDescent="0.2">
      <c r="B62" s="57" t="s">
        <v>171</v>
      </c>
      <c r="C62" s="806" t="s">
        <v>172</v>
      </c>
      <c r="D62" s="807"/>
      <c r="E62" s="807"/>
      <c r="F62" s="808"/>
      <c r="G62" s="809">
        <v>0</v>
      </c>
      <c r="H62" s="809"/>
      <c r="I62" s="58"/>
      <c r="J62" s="810" t="s">
        <v>173</v>
      </c>
      <c r="K62" s="811"/>
      <c r="L62" s="811"/>
      <c r="M62" s="811"/>
      <c r="N62" s="811"/>
      <c r="O62" s="812"/>
      <c r="Q62" s="59"/>
      <c r="R62" s="59"/>
      <c r="S62" s="59"/>
    </row>
    <row r="63" spans="1:19" ht="13.5" thickBot="1" x14ac:dyDescent="0.25">
      <c r="D63" s="37"/>
      <c r="I63" s="58"/>
      <c r="J63" s="60" t="s">
        <v>360</v>
      </c>
      <c r="K63" s="132"/>
      <c r="L63" s="132"/>
      <c r="M63" s="133"/>
      <c r="N63" s="133"/>
      <c r="O63" s="134"/>
      <c r="Q63" s="59"/>
      <c r="R63" s="59"/>
      <c r="S63" s="59"/>
    </row>
    <row r="64" spans="1:19" ht="13.5" thickBot="1" x14ac:dyDescent="0.25">
      <c r="B64" s="789" t="s">
        <v>175</v>
      </c>
      <c r="C64" s="790"/>
      <c r="D64" s="790"/>
      <c r="E64" s="790"/>
      <c r="F64" s="791"/>
      <c r="G64" s="805">
        <f>+G59-G62</f>
        <v>849308</v>
      </c>
      <c r="H64" s="791"/>
      <c r="I64" s="63"/>
      <c r="J64" s="64"/>
      <c r="K64" s="39"/>
      <c r="L64" s="39"/>
      <c r="M64" s="39"/>
      <c r="N64" s="39"/>
      <c r="O64" s="65"/>
      <c r="Q64" s="59"/>
      <c r="R64" s="59"/>
      <c r="S64" s="59"/>
    </row>
    <row r="65" spans="2:19" ht="12.75" customHeight="1" x14ac:dyDescent="0.2">
      <c r="B65" s="48"/>
      <c r="C65" s="48"/>
      <c r="I65" s="63"/>
      <c r="J65" s="64"/>
      <c r="K65" s="39"/>
      <c r="L65" s="39"/>
      <c r="M65" s="39"/>
      <c r="N65" s="39"/>
      <c r="O65" s="65"/>
      <c r="Q65" s="59"/>
      <c r="R65" s="59"/>
      <c r="S65" s="59"/>
    </row>
    <row r="66" spans="2:19" x14ac:dyDescent="0.2">
      <c r="B66" s="66" t="s">
        <v>176</v>
      </c>
      <c r="C66" s="48"/>
      <c r="I66" s="63"/>
      <c r="J66" s="67"/>
      <c r="K66" s="68"/>
      <c r="L66" s="68"/>
      <c r="M66" s="68"/>
      <c r="N66" s="68"/>
      <c r="O66" s="69"/>
      <c r="Q66" s="59"/>
      <c r="R66" s="59"/>
      <c r="S66" s="59"/>
    </row>
    <row r="67" spans="2:19" ht="27.75" customHeight="1" thickBot="1" x14ac:dyDescent="0.25">
      <c r="B67" s="66"/>
      <c r="C67" s="48"/>
      <c r="G67" s="70" t="s">
        <v>177</v>
      </c>
      <c r="H67" s="70" t="s">
        <v>178</v>
      </c>
      <c r="I67" s="63"/>
      <c r="J67" s="810" t="s">
        <v>179</v>
      </c>
      <c r="K67" s="811"/>
      <c r="L67" s="71"/>
      <c r="M67" s="71"/>
      <c r="N67" s="71"/>
      <c r="O67" s="72"/>
      <c r="Q67" s="59"/>
      <c r="R67" s="59"/>
      <c r="S67" s="59"/>
    </row>
    <row r="68" spans="2:19" ht="12.75" customHeight="1" x14ac:dyDescent="0.2">
      <c r="B68" s="802" t="s">
        <v>180</v>
      </c>
      <c r="C68" s="821" t="s">
        <v>181</v>
      </c>
      <c r="D68" s="823" t="s">
        <v>182</v>
      </c>
      <c r="E68" s="824"/>
      <c r="F68" s="824"/>
      <c r="G68" s="73">
        <f>+O43</f>
        <v>180000</v>
      </c>
      <c r="H68" s="74">
        <f>+G68</f>
        <v>180000</v>
      </c>
      <c r="I68" s="63"/>
      <c r="J68" s="75" t="s">
        <v>183</v>
      </c>
      <c r="K68" s="58"/>
      <c r="L68" s="58"/>
      <c r="M68" s="58"/>
      <c r="N68" s="58"/>
      <c r="O68" s="76"/>
      <c r="Q68" s="59"/>
      <c r="R68" s="59"/>
      <c r="S68" s="59"/>
    </row>
    <row r="69" spans="2:19" ht="12.75" customHeight="1" x14ac:dyDescent="0.2">
      <c r="B69" s="803"/>
      <c r="C69" s="822"/>
      <c r="D69" s="782" t="s">
        <v>184</v>
      </c>
      <c r="E69" s="783"/>
      <c r="F69" s="783"/>
      <c r="G69" s="77">
        <f>+O47</f>
        <v>0</v>
      </c>
      <c r="H69" s="78">
        <f t="shared" ref="H69:H75" si="12">+G69</f>
        <v>0</v>
      </c>
      <c r="I69" s="63"/>
      <c r="J69" s="79"/>
      <c r="K69" s="68"/>
      <c r="L69" s="68"/>
      <c r="M69" s="68"/>
      <c r="N69" s="68"/>
      <c r="O69" s="69"/>
      <c r="Q69" s="59"/>
      <c r="R69" s="59"/>
      <c r="S69" s="59"/>
    </row>
    <row r="70" spans="2:19" ht="12.75" customHeight="1" x14ac:dyDescent="0.2">
      <c r="B70" s="803"/>
      <c r="C70" s="822"/>
      <c r="D70" s="819" t="s">
        <v>185</v>
      </c>
      <c r="E70" s="820"/>
      <c r="F70" s="820"/>
      <c r="G70" s="80">
        <f>O40</f>
        <v>360</v>
      </c>
      <c r="H70" s="78">
        <f t="shared" si="12"/>
        <v>360</v>
      </c>
      <c r="I70" s="63"/>
      <c r="J70" s="67"/>
      <c r="K70" s="68"/>
      <c r="L70" s="68"/>
      <c r="M70" s="68"/>
      <c r="N70" s="68"/>
      <c r="O70" s="69"/>
    </row>
    <row r="71" spans="2:19" x14ac:dyDescent="0.2">
      <c r="B71" s="803"/>
      <c r="C71" s="822"/>
      <c r="D71" s="782" t="s">
        <v>186</v>
      </c>
      <c r="E71" s="783"/>
      <c r="F71" s="783"/>
      <c r="G71" s="81">
        <v>0</v>
      </c>
      <c r="H71" s="78">
        <f t="shared" si="12"/>
        <v>0</v>
      </c>
      <c r="I71" s="63"/>
      <c r="J71" s="82" t="s">
        <v>187</v>
      </c>
      <c r="K71" s="71"/>
      <c r="L71" s="71"/>
      <c r="M71" s="71"/>
      <c r="N71" s="71"/>
      <c r="O71" s="72"/>
    </row>
    <row r="72" spans="2:19" ht="12.75" customHeight="1" x14ac:dyDescent="0.2">
      <c r="B72" s="803"/>
      <c r="C72" s="822"/>
      <c r="D72" s="784" t="s">
        <v>188</v>
      </c>
      <c r="E72" s="783"/>
      <c r="F72" s="783"/>
      <c r="G72" s="80">
        <v>0</v>
      </c>
      <c r="H72" s="78">
        <f t="shared" si="12"/>
        <v>0</v>
      </c>
      <c r="I72" s="63"/>
      <c r="J72" s="75" t="s">
        <v>189</v>
      </c>
      <c r="K72" s="50"/>
      <c r="L72" s="50"/>
      <c r="M72" s="50"/>
      <c r="N72" s="50"/>
      <c r="O72" s="83">
        <v>0</v>
      </c>
    </row>
    <row r="73" spans="2:19" ht="14.25" customHeight="1" x14ac:dyDescent="0.2">
      <c r="B73" s="803"/>
      <c r="C73" s="822"/>
      <c r="D73" s="782" t="s">
        <v>190</v>
      </c>
      <c r="E73" s="783"/>
      <c r="F73" s="783"/>
      <c r="G73" s="84">
        <v>0</v>
      </c>
      <c r="H73" s="78">
        <f t="shared" si="12"/>
        <v>0</v>
      </c>
      <c r="I73" s="63"/>
      <c r="J73" s="64"/>
      <c r="K73" s="39"/>
      <c r="L73" s="39"/>
      <c r="M73" s="39"/>
      <c r="N73" s="39"/>
      <c r="O73" s="65"/>
    </row>
    <row r="74" spans="2:19" x14ac:dyDescent="0.2">
      <c r="B74" s="803"/>
      <c r="C74" s="822"/>
      <c r="D74" s="782" t="s">
        <v>191</v>
      </c>
      <c r="E74" s="783"/>
      <c r="F74" s="783"/>
      <c r="G74" s="81">
        <v>0</v>
      </c>
      <c r="H74" s="78">
        <f t="shared" si="12"/>
        <v>0</v>
      </c>
      <c r="I74" s="58"/>
      <c r="J74" s="150"/>
      <c r="K74" s="50"/>
      <c r="L74" s="50"/>
      <c r="M74" s="50"/>
      <c r="N74" s="50"/>
      <c r="O74" s="83"/>
    </row>
    <row r="75" spans="2:19" x14ac:dyDescent="0.2">
      <c r="B75" s="803"/>
      <c r="C75" s="88" t="s">
        <v>192</v>
      </c>
      <c r="D75" s="813" t="s">
        <v>193</v>
      </c>
      <c r="E75" s="814"/>
      <c r="F75" s="814"/>
      <c r="G75" s="80">
        <v>0</v>
      </c>
      <c r="H75" s="78">
        <f t="shared" si="12"/>
        <v>0</v>
      </c>
      <c r="I75" s="58"/>
      <c r="J75" s="79"/>
      <c r="K75" s="39"/>
      <c r="L75" s="39"/>
      <c r="M75" s="39"/>
      <c r="N75" s="39"/>
      <c r="O75" s="65"/>
    </row>
    <row r="76" spans="2:19" ht="13.5" customHeight="1" thickBot="1" x14ac:dyDescent="0.25">
      <c r="B76" s="803"/>
      <c r="C76" s="88" t="s">
        <v>194</v>
      </c>
      <c r="D76" s="815" t="s">
        <v>195</v>
      </c>
      <c r="E76" s="815"/>
      <c r="F76" s="815"/>
      <c r="G76" s="89">
        <v>0</v>
      </c>
      <c r="H76" s="90">
        <f>+G76</f>
        <v>0</v>
      </c>
      <c r="I76" s="63"/>
      <c r="J76" s="67"/>
      <c r="K76" s="68"/>
      <c r="L76" s="68"/>
      <c r="M76" s="91"/>
      <c r="N76" s="91"/>
      <c r="O76" s="92"/>
    </row>
    <row r="77" spans="2:19" ht="13.5" thickBot="1" x14ac:dyDescent="0.25">
      <c r="B77" s="803"/>
      <c r="C77" s="93"/>
      <c r="D77" s="94"/>
      <c r="E77" s="816" t="s">
        <v>117</v>
      </c>
      <c r="F77" s="817"/>
      <c r="G77" s="95">
        <f>SUM(G68:G76)</f>
        <v>180360</v>
      </c>
      <c r="H77" s="96">
        <f>IF(SUM(G68:G74)&lt;150000,SUM(G68:G74),150000)+IF(+G75&lt;20000,+G75,20000)</f>
        <v>150000</v>
      </c>
      <c r="I77" s="63"/>
      <c r="J77" s="140"/>
      <c r="K77" s="141"/>
      <c r="L77" s="141"/>
      <c r="M77" s="142"/>
      <c r="N77" s="142"/>
      <c r="O77" s="143"/>
    </row>
    <row r="78" spans="2:19" ht="12.75" customHeight="1" x14ac:dyDescent="0.2">
      <c r="B78" s="803"/>
      <c r="C78" s="100" t="s">
        <v>196</v>
      </c>
      <c r="D78" s="782" t="s">
        <v>187</v>
      </c>
      <c r="E78" s="783"/>
      <c r="F78" s="818"/>
      <c r="G78" s="73">
        <f>+O42</f>
        <v>0</v>
      </c>
      <c r="H78" s="221">
        <f>+IF(+G78&lt;25000,+G78,25000)</f>
        <v>0</v>
      </c>
      <c r="I78" s="87"/>
    </row>
    <row r="79" spans="2:19" x14ac:dyDescent="0.2">
      <c r="B79" s="803"/>
      <c r="C79" s="100" t="s">
        <v>197</v>
      </c>
      <c r="D79" s="784" t="s">
        <v>198</v>
      </c>
      <c r="E79" s="785"/>
      <c r="F79" s="786"/>
      <c r="G79" s="102"/>
      <c r="H79" s="222">
        <f>+IF(+G79&lt;40000,+G79,40000)</f>
        <v>0</v>
      </c>
      <c r="I79" s="63"/>
    </row>
    <row r="80" spans="2:19" x14ac:dyDescent="0.2">
      <c r="B80" s="803"/>
      <c r="C80" s="100" t="s">
        <v>199</v>
      </c>
      <c r="D80" s="784" t="s">
        <v>200</v>
      </c>
      <c r="E80" s="785"/>
      <c r="F80" s="786"/>
      <c r="G80" s="81"/>
      <c r="H80" s="104">
        <v>0</v>
      </c>
      <c r="I80" s="63"/>
      <c r="J80" s="106"/>
    </row>
    <row r="81" spans="2:12" x14ac:dyDescent="0.2">
      <c r="B81" s="803"/>
      <c r="C81" s="100" t="s">
        <v>201</v>
      </c>
      <c r="D81" s="784" t="s">
        <v>202</v>
      </c>
      <c r="E81" s="785"/>
      <c r="F81" s="786"/>
      <c r="G81" s="81"/>
      <c r="H81" s="104">
        <v>0</v>
      </c>
      <c r="I81" s="63"/>
    </row>
    <row r="82" spans="2:12" ht="13.5" thickBot="1" x14ac:dyDescent="0.25">
      <c r="B82" s="804"/>
      <c r="C82" s="100" t="s">
        <v>203</v>
      </c>
      <c r="D82" s="784" t="s">
        <v>204</v>
      </c>
      <c r="E82" s="785"/>
      <c r="F82" s="786"/>
      <c r="G82" s="102"/>
      <c r="H82" s="222">
        <f>+IF(+G82&lt;100000,+G82,10000)</f>
        <v>0</v>
      </c>
      <c r="I82" s="63"/>
    </row>
    <row r="83" spans="2:12" ht="13.5" thickBot="1" x14ac:dyDescent="0.25">
      <c r="B83" s="787" t="s">
        <v>205</v>
      </c>
      <c r="C83" s="788"/>
      <c r="D83" s="788"/>
      <c r="E83" s="788"/>
      <c r="F83" s="788"/>
      <c r="G83" s="107">
        <f>SUM(G78:G82)</f>
        <v>0</v>
      </c>
      <c r="H83" s="108">
        <f>SUM(H77:H82)</f>
        <v>150000</v>
      </c>
    </row>
    <row r="84" spans="2:12" ht="13.5" thickBot="1" x14ac:dyDescent="0.25"/>
    <row r="85" spans="2:12" ht="13.5" thickBot="1" x14ac:dyDescent="0.25">
      <c r="B85" s="789" t="s">
        <v>206</v>
      </c>
      <c r="C85" s="790"/>
      <c r="D85" s="790"/>
      <c r="E85" s="790"/>
      <c r="F85" s="791"/>
      <c r="G85" s="1055">
        <f>ROUND(+G64-H83,-1)</f>
        <v>699310</v>
      </c>
      <c r="H85" s="1056"/>
      <c r="J85" s="109">
        <f>C37+D37+E37+F37</f>
        <v>290112</v>
      </c>
      <c r="K85" s="16" t="s">
        <v>235</v>
      </c>
    </row>
    <row r="86" spans="2:12" x14ac:dyDescent="0.2">
      <c r="B86" s="110"/>
      <c r="F86" s="105"/>
      <c r="J86" s="109">
        <f>G37+H37+I37</f>
        <v>222204</v>
      </c>
      <c r="K86" s="16" t="s">
        <v>236</v>
      </c>
    </row>
    <row r="87" spans="2:12" x14ac:dyDescent="0.2">
      <c r="C87" s="793" t="s">
        <v>207</v>
      </c>
      <c r="D87" s="794"/>
      <c r="E87" s="111" t="s">
        <v>208</v>
      </c>
      <c r="F87" s="111" t="s">
        <v>209</v>
      </c>
      <c r="G87" s="111" t="s">
        <v>210</v>
      </c>
      <c r="H87" s="111" t="s">
        <v>211</v>
      </c>
      <c r="J87" s="109">
        <f>J37+K37+L37</f>
        <v>229068</v>
      </c>
      <c r="K87" s="47" t="s">
        <v>237</v>
      </c>
      <c r="L87" s="16">
        <f>+J87/3</f>
        <v>76356</v>
      </c>
    </row>
    <row r="88" spans="2:12" x14ac:dyDescent="0.2">
      <c r="C88" s="795" t="str">
        <f>IF(I6="M","0          - 250000","0          -  250000")</f>
        <v>0          -  250000</v>
      </c>
      <c r="D88" s="796"/>
      <c r="E88" s="112">
        <v>0</v>
      </c>
      <c r="F88" s="113">
        <f>IF(I6="M",(IF(G85&lt;250000,G85,250000)),(IF(G85&lt;250000,G85,250000)))</f>
        <v>250000</v>
      </c>
      <c r="G88" s="113">
        <f>G85-F88</f>
        <v>449310</v>
      </c>
      <c r="H88" s="113">
        <f>E88*F88</f>
        <v>0</v>
      </c>
      <c r="J88" s="16">
        <f>M37+N37</f>
        <v>150424</v>
      </c>
      <c r="K88" s="1" t="s">
        <v>238</v>
      </c>
      <c r="L88" s="16">
        <f>+J88/2</f>
        <v>75212</v>
      </c>
    </row>
    <row r="89" spans="2:12" x14ac:dyDescent="0.2">
      <c r="C89" s="795" t="str">
        <f>IF(I6="M","250001 - 500000","250001-500000")</f>
        <v>250001-500000</v>
      </c>
      <c r="D89" s="796"/>
      <c r="E89" s="112">
        <v>0.05</v>
      </c>
      <c r="F89" s="113">
        <f>IF(I6="M",(IF(G88&lt;250000,G88,250000)),(IF(G88&lt;250000,G88,250000)))</f>
        <v>250000</v>
      </c>
      <c r="G89" s="113">
        <f>G88-F89</f>
        <v>199310</v>
      </c>
      <c r="H89" s="114">
        <f>ROUND(E89*F89,0.1)</f>
        <v>12500</v>
      </c>
      <c r="J89" s="115">
        <f>SUM(J85:J88)</f>
        <v>891808</v>
      </c>
    </row>
    <row r="90" spans="2:12" x14ac:dyDescent="0.2">
      <c r="C90" s="797" t="s">
        <v>212</v>
      </c>
      <c r="D90" s="798"/>
      <c r="E90" s="112">
        <v>0.2</v>
      </c>
      <c r="F90" s="113">
        <f>IF(G89&lt;500000,G89,500000)</f>
        <v>199310</v>
      </c>
      <c r="G90" s="113">
        <f>G89-F90</f>
        <v>0</v>
      </c>
      <c r="H90" s="114">
        <f>ROUND(E90*F90,0.1)</f>
        <v>39862</v>
      </c>
      <c r="J90" s="16">
        <f>+G85</f>
        <v>699310</v>
      </c>
    </row>
    <row r="91" spans="2:12" x14ac:dyDescent="0.2">
      <c r="C91" s="795" t="s">
        <v>213</v>
      </c>
      <c r="D91" s="796"/>
      <c r="E91" s="112">
        <v>0.3</v>
      </c>
      <c r="F91" s="113">
        <f>G90</f>
        <v>0</v>
      </c>
      <c r="G91" s="113">
        <f>G90-F91</f>
        <v>0</v>
      </c>
      <c r="H91" s="114">
        <f>ROUND(E91*F91,0.1)</f>
        <v>0</v>
      </c>
      <c r="J91" s="16">
        <f>+J89-J90</f>
        <v>192498</v>
      </c>
      <c r="K91" s="1"/>
    </row>
    <row r="92" spans="2:12" ht="12.75" customHeight="1" thickBot="1" x14ac:dyDescent="0.25">
      <c r="B92" s="116"/>
      <c r="C92" s="117"/>
      <c r="D92" s="47"/>
      <c r="E92" s="47"/>
      <c r="F92" s="47"/>
      <c r="J92" s="87"/>
      <c r="K92" s="118"/>
    </row>
    <row r="93" spans="2:12" ht="14.25" customHeight="1" thickBot="1" x14ac:dyDescent="0.25">
      <c r="B93" s="799" t="s">
        <v>239</v>
      </c>
      <c r="C93" s="800"/>
      <c r="D93" s="800"/>
      <c r="E93" s="800"/>
      <c r="F93" s="801"/>
      <c r="G93" s="771">
        <f>H88+H89+H90+H91</f>
        <v>52362</v>
      </c>
      <c r="H93" s="772"/>
    </row>
    <row r="94" spans="2:12" ht="14.25" customHeight="1" thickBot="1" x14ac:dyDescent="0.25">
      <c r="B94" s="119" t="s">
        <v>215</v>
      </c>
      <c r="C94" s="120"/>
      <c r="D94" s="120"/>
      <c r="E94" s="120"/>
      <c r="F94" s="120"/>
      <c r="G94" s="884">
        <f>IF((G64&lt;500000),5000,0)</f>
        <v>0</v>
      </c>
      <c r="H94" s="885">
        <f>IF(H92&lt;200000,0,IF(H92&lt;220000,((H92-200000)*10%),IF(H92&lt;=500000,2000,IF(H92&gt;=500000,0))))</f>
        <v>0</v>
      </c>
    </row>
    <row r="95" spans="2:12" ht="14.25" customHeight="1" thickBot="1" x14ac:dyDescent="0.25">
      <c r="B95" s="122" t="s">
        <v>216</v>
      </c>
      <c r="C95" s="123"/>
      <c r="D95" s="123"/>
      <c r="E95" s="123"/>
      <c r="F95" s="123"/>
      <c r="G95" s="771">
        <f>IF((G93-G94)&lt;0,0,(G93-G94))</f>
        <v>52362</v>
      </c>
      <c r="H95" s="772"/>
    </row>
    <row r="96" spans="2:12" ht="14.25" customHeight="1" thickBot="1" x14ac:dyDescent="0.25">
      <c r="B96" s="773" t="s">
        <v>240</v>
      </c>
      <c r="C96" s="774"/>
      <c r="D96" s="774"/>
      <c r="E96" s="774"/>
      <c r="F96" s="775"/>
      <c r="G96" s="776">
        <f>ROUND((IF(G95&gt;0,(G95*4%),0)),0)</f>
        <v>2094</v>
      </c>
      <c r="H96" s="777"/>
    </row>
    <row r="97" spans="2:8" ht="14.25" customHeight="1" thickBot="1" x14ac:dyDescent="0.25">
      <c r="B97" s="778" t="s">
        <v>218</v>
      </c>
      <c r="C97" s="779"/>
      <c r="D97" s="779"/>
      <c r="E97" s="779"/>
      <c r="F97" s="779"/>
      <c r="G97" s="780">
        <f>+G95+G96</f>
        <v>54456</v>
      </c>
      <c r="H97" s="781"/>
    </row>
    <row r="98" spans="2:8" ht="13.5" thickBot="1" x14ac:dyDescent="0.25">
      <c r="B98" s="765" t="s">
        <v>219</v>
      </c>
      <c r="C98" s="766"/>
      <c r="D98" s="766"/>
      <c r="E98" s="766"/>
      <c r="F98" s="766"/>
      <c r="G98" s="767">
        <f>O38</f>
        <v>54465</v>
      </c>
      <c r="H98" s="768"/>
    </row>
    <row r="99" spans="2:8" ht="13.5" thickBot="1" x14ac:dyDescent="0.25">
      <c r="B99" s="765" t="str">
        <f>IF(G99&gt;0,"TAX PAYABLE","TAX REFUND")</f>
        <v>TAX REFUND</v>
      </c>
      <c r="C99" s="766"/>
      <c r="D99" s="766"/>
      <c r="E99" s="766"/>
      <c r="F99" s="766"/>
      <c r="G99" s="767">
        <f>+G97-G98</f>
        <v>-9</v>
      </c>
      <c r="H99" s="768"/>
    </row>
    <row r="100" spans="2:8" x14ac:dyDescent="0.2">
      <c r="C100" s="39"/>
      <c r="D100" s="126"/>
      <c r="E100" s="126"/>
      <c r="F100" s="39"/>
      <c r="G100" s="39"/>
      <c r="H100" s="39"/>
    </row>
    <row r="101" spans="2:8" x14ac:dyDescent="0.2">
      <c r="C101" s="39"/>
      <c r="D101" s="126"/>
      <c r="E101" s="126"/>
      <c r="F101" s="39"/>
      <c r="G101" s="39"/>
      <c r="H101" s="39"/>
    </row>
    <row r="102" spans="2:8" x14ac:dyDescent="0.2">
      <c r="C102" s="39"/>
      <c r="D102" s="39"/>
      <c r="E102" s="39"/>
      <c r="F102" s="39"/>
      <c r="G102" s="39"/>
      <c r="H102" s="39"/>
    </row>
    <row r="103" spans="2:8" x14ac:dyDescent="0.2">
      <c r="C103" s="39"/>
      <c r="D103" s="39"/>
      <c r="E103" s="39"/>
      <c r="F103" s="39"/>
      <c r="G103" s="39"/>
      <c r="H103" s="39"/>
    </row>
    <row r="104" spans="2:8" x14ac:dyDescent="0.2">
      <c r="C104" s="39"/>
      <c r="D104" s="39"/>
      <c r="E104" s="39"/>
      <c r="F104" s="39"/>
      <c r="G104" s="39"/>
      <c r="H104" s="39"/>
    </row>
  </sheetData>
  <mergeCells count="92">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8:A48"/>
    <mergeCell ref="A5:C5"/>
    <mergeCell ref="D5:F5"/>
    <mergeCell ref="G5:H5"/>
    <mergeCell ref="I5:O5"/>
    <mergeCell ref="A6:C6"/>
    <mergeCell ref="D6:F6"/>
    <mergeCell ref="G6:H6"/>
    <mergeCell ref="J6:O6"/>
    <mergeCell ref="L7:O7"/>
    <mergeCell ref="A8:B8"/>
    <mergeCell ref="A21:A33"/>
    <mergeCell ref="A35:B35"/>
    <mergeCell ref="A36:B36"/>
    <mergeCell ref="A49:B49"/>
    <mergeCell ref="A50:B50"/>
    <mergeCell ref="B53:F53"/>
    <mergeCell ref="G53:H53"/>
    <mergeCell ref="B55:B57"/>
    <mergeCell ref="C55:C57"/>
    <mergeCell ref="D55:F55"/>
    <mergeCell ref="G55:H55"/>
    <mergeCell ref="D56:F56"/>
    <mergeCell ref="G56:H56"/>
    <mergeCell ref="B64:F64"/>
    <mergeCell ref="G64:H64"/>
    <mergeCell ref="J56:L56"/>
    <mergeCell ref="M56:O56"/>
    <mergeCell ref="D57:F57"/>
    <mergeCell ref="G57:H57"/>
    <mergeCell ref="B59:F59"/>
    <mergeCell ref="G59:H59"/>
    <mergeCell ref="J59:O59"/>
    <mergeCell ref="B61:F61"/>
    <mergeCell ref="G61:H61"/>
    <mergeCell ref="C62:F62"/>
    <mergeCell ref="G62:H62"/>
    <mergeCell ref="J62:O62"/>
    <mergeCell ref="D80:F80"/>
    <mergeCell ref="J67:K67"/>
    <mergeCell ref="B68:B82"/>
    <mergeCell ref="C68:C74"/>
    <mergeCell ref="D68:F68"/>
    <mergeCell ref="D69:F69"/>
    <mergeCell ref="D70:F70"/>
    <mergeCell ref="D71:F71"/>
    <mergeCell ref="D72:F72"/>
    <mergeCell ref="D73:F73"/>
    <mergeCell ref="D74:F74"/>
    <mergeCell ref="D75:F75"/>
    <mergeCell ref="D76:F76"/>
    <mergeCell ref="E77:F77"/>
    <mergeCell ref="D78:F78"/>
    <mergeCell ref="D79:F79"/>
    <mergeCell ref="G93:H93"/>
    <mergeCell ref="D81:F81"/>
    <mergeCell ref="D82:F82"/>
    <mergeCell ref="B83:F83"/>
    <mergeCell ref="B85:F85"/>
    <mergeCell ref="G85:H85"/>
    <mergeCell ref="C87:D87"/>
    <mergeCell ref="C88:D88"/>
    <mergeCell ref="C89:D89"/>
    <mergeCell ref="C90:D90"/>
    <mergeCell ref="C91:D91"/>
    <mergeCell ref="B93:F93"/>
    <mergeCell ref="B98:F98"/>
    <mergeCell ref="G98:H98"/>
    <mergeCell ref="B99:F99"/>
    <mergeCell ref="G99:H99"/>
    <mergeCell ref="G94:H94"/>
    <mergeCell ref="G95:H95"/>
    <mergeCell ref="B96:F96"/>
    <mergeCell ref="G96:H96"/>
    <mergeCell ref="B97:F97"/>
    <mergeCell ref="G97:H97"/>
  </mergeCells>
  <conditionalFormatting sqref="B90:F90">
    <cfRule type="cellIs" dxfId="1097" priority="121" stopIfTrue="1" operator="equal">
      <formula>"TAX PAYABLE"</formula>
    </cfRule>
    <cfRule type="cellIs" dxfId="1096" priority="122" stopIfTrue="1" operator="equal">
      <formula>"TAX REFUND"</formula>
    </cfRule>
  </conditionalFormatting>
  <conditionalFormatting sqref="G90:H90">
    <cfRule type="cellIs" dxfId="1095" priority="123" stopIfTrue="1" operator="lessThan">
      <formula>0</formula>
    </cfRule>
    <cfRule type="cellIs" dxfId="1094" priority="124" stopIfTrue="1" operator="greaterThan">
      <formula>0</formula>
    </cfRule>
  </conditionalFormatting>
  <conditionalFormatting sqref="C90:F90">
    <cfRule type="cellIs" dxfId="1093" priority="119" stopIfTrue="1" operator="equal">
      <formula>"TAX PAYABLE"</formula>
    </cfRule>
    <cfRule type="cellIs" dxfId="1092" priority="120" stopIfTrue="1" operator="equal">
      <formula>"TAX REFUND"</formula>
    </cfRule>
  </conditionalFormatting>
  <conditionalFormatting sqref="G90:H90">
    <cfRule type="cellIs" dxfId="1091" priority="117" stopIfTrue="1" operator="lessThan">
      <formula>0</formula>
    </cfRule>
    <cfRule type="cellIs" dxfId="1090" priority="118" stopIfTrue="1" operator="greaterThan">
      <formula>0</formula>
    </cfRule>
  </conditionalFormatting>
  <conditionalFormatting sqref="B97:F97">
    <cfRule type="cellIs" dxfId="1089" priority="115" stopIfTrue="1" operator="equal">
      <formula>"TAX PAYABLE"</formula>
    </cfRule>
    <cfRule type="cellIs" dxfId="1088" priority="116" stopIfTrue="1" operator="equal">
      <formula>"TAX REFUND"</formula>
    </cfRule>
  </conditionalFormatting>
  <conditionalFormatting sqref="B90:F90">
    <cfRule type="cellIs" dxfId="1087" priority="113" stopIfTrue="1" operator="equal">
      <formula>"TAX PAYABLE"</formula>
    </cfRule>
    <cfRule type="cellIs" dxfId="1086" priority="114" stopIfTrue="1" operator="equal">
      <formula>"TAX REFUND"</formula>
    </cfRule>
  </conditionalFormatting>
  <conditionalFormatting sqref="G90:H90">
    <cfRule type="cellIs" dxfId="1085" priority="111" stopIfTrue="1" operator="lessThan">
      <formula>0</formula>
    </cfRule>
    <cfRule type="cellIs" dxfId="1084" priority="112" stopIfTrue="1" operator="greaterThan">
      <formula>0</formula>
    </cfRule>
  </conditionalFormatting>
  <conditionalFormatting sqref="B90:F90">
    <cfRule type="cellIs" dxfId="1083" priority="109" stopIfTrue="1" operator="equal">
      <formula>"TAX PAYABLE"</formula>
    </cfRule>
    <cfRule type="cellIs" dxfId="1082" priority="110" stopIfTrue="1" operator="equal">
      <formula>"TAX REFUND"</formula>
    </cfRule>
  </conditionalFormatting>
  <conditionalFormatting sqref="G90:H90">
    <cfRule type="cellIs" dxfId="1081" priority="107" stopIfTrue="1" operator="lessThan">
      <formula>0</formula>
    </cfRule>
    <cfRule type="cellIs" dxfId="1080" priority="108" stopIfTrue="1" operator="greaterThan">
      <formula>0</formula>
    </cfRule>
  </conditionalFormatting>
  <conditionalFormatting sqref="B90:F90">
    <cfRule type="cellIs" dxfId="1079" priority="105" stopIfTrue="1" operator="equal">
      <formula>"TAX PAYABLE"</formula>
    </cfRule>
    <cfRule type="cellIs" dxfId="1078" priority="106" stopIfTrue="1" operator="equal">
      <formula>"TAX REFUND"</formula>
    </cfRule>
  </conditionalFormatting>
  <conditionalFormatting sqref="G90:H90">
    <cfRule type="cellIs" dxfId="1077" priority="103" stopIfTrue="1" operator="lessThan">
      <formula>0</formula>
    </cfRule>
    <cfRule type="cellIs" dxfId="1076" priority="104" stopIfTrue="1" operator="greaterThan">
      <formula>0</formula>
    </cfRule>
  </conditionalFormatting>
  <conditionalFormatting sqref="C90:F90">
    <cfRule type="cellIs" dxfId="1075" priority="101" stopIfTrue="1" operator="equal">
      <formula>"TAX PAYABLE"</formula>
    </cfRule>
    <cfRule type="cellIs" dxfId="1074" priority="102" stopIfTrue="1" operator="equal">
      <formula>"TAX REFUND"</formula>
    </cfRule>
  </conditionalFormatting>
  <conditionalFormatting sqref="G90:H90">
    <cfRule type="cellIs" dxfId="1073" priority="99" stopIfTrue="1" operator="lessThan">
      <formula>0</formula>
    </cfRule>
    <cfRule type="cellIs" dxfId="1072" priority="100" stopIfTrue="1" operator="greaterThan">
      <formula>0</formula>
    </cfRule>
  </conditionalFormatting>
  <conditionalFormatting sqref="B97:F97">
    <cfRule type="cellIs" dxfId="1071" priority="97" stopIfTrue="1" operator="equal">
      <formula>"TAX PAYABLE"</formula>
    </cfRule>
    <cfRule type="cellIs" dxfId="1070" priority="98" stopIfTrue="1" operator="equal">
      <formula>"TAX REFUND"</formula>
    </cfRule>
  </conditionalFormatting>
  <conditionalFormatting sqref="B99:F99 B93:F96">
    <cfRule type="cellIs" dxfId="1069" priority="95" stopIfTrue="1" operator="equal">
      <formula>"TAX PAYABLE"</formula>
    </cfRule>
    <cfRule type="cellIs" dxfId="1068" priority="96" stopIfTrue="1" operator="equal">
      <formula>"TAX REFUND"</formula>
    </cfRule>
  </conditionalFormatting>
  <conditionalFormatting sqref="G99:H99">
    <cfRule type="cellIs" dxfId="1067" priority="93" stopIfTrue="1" operator="greaterThan">
      <formula>0</formula>
    </cfRule>
    <cfRule type="cellIs" dxfId="1066" priority="94" stopIfTrue="1" operator="lessThanOrEqual">
      <formula>0</formula>
    </cfRule>
  </conditionalFormatting>
  <conditionalFormatting sqref="B93:F94">
    <cfRule type="cellIs" dxfId="1065" priority="91" stopIfTrue="1" operator="equal">
      <formula>"TAX PAYABLE"</formula>
    </cfRule>
    <cfRule type="cellIs" dxfId="1064" priority="92" stopIfTrue="1" operator="equal">
      <formula>"TAX REFUND"</formula>
    </cfRule>
  </conditionalFormatting>
  <conditionalFormatting sqref="B93:F93">
    <cfRule type="cellIs" dxfId="1063" priority="89" stopIfTrue="1" operator="equal">
      <formula>"TAX PAYABLE"</formula>
    </cfRule>
    <cfRule type="cellIs" dxfId="1062" priority="90" stopIfTrue="1" operator="equal">
      <formula>"TAX REFUND"</formula>
    </cfRule>
  </conditionalFormatting>
  <conditionalFormatting sqref="B93:F94">
    <cfRule type="cellIs" dxfId="1061" priority="87" stopIfTrue="1" operator="equal">
      <formula>"TAX PAYABLE"</formula>
    </cfRule>
    <cfRule type="cellIs" dxfId="1060" priority="88" stopIfTrue="1" operator="equal">
      <formula>"TAX REFUND"</formula>
    </cfRule>
  </conditionalFormatting>
  <conditionalFormatting sqref="B93:F94">
    <cfRule type="cellIs" dxfId="1059" priority="85" stopIfTrue="1" operator="equal">
      <formula>"TAX PAYABLE"</formula>
    </cfRule>
    <cfRule type="cellIs" dxfId="1058" priority="86" stopIfTrue="1" operator="equal">
      <formula>"TAX REFUND"</formula>
    </cfRule>
  </conditionalFormatting>
  <conditionalFormatting sqref="B93:F94">
    <cfRule type="cellIs" dxfId="1057" priority="83" stopIfTrue="1" operator="equal">
      <formula>"TAX PAYABLE"</formula>
    </cfRule>
    <cfRule type="cellIs" dxfId="1056" priority="84" stopIfTrue="1" operator="equal">
      <formula>"TAX REFUND"</formula>
    </cfRule>
  </conditionalFormatting>
  <conditionalFormatting sqref="B97:F97">
    <cfRule type="cellIs" dxfId="1055" priority="81" stopIfTrue="1" operator="equal">
      <formula>"TAX PAYABLE"</formula>
    </cfRule>
    <cfRule type="cellIs" dxfId="1054" priority="82" stopIfTrue="1" operator="equal">
      <formula>"TAX REFUND"</formula>
    </cfRule>
  </conditionalFormatting>
  <conditionalFormatting sqref="B93:F93">
    <cfRule type="cellIs" dxfId="1053" priority="79" stopIfTrue="1" operator="equal">
      <formula>"TAX PAYABLE"</formula>
    </cfRule>
    <cfRule type="cellIs" dxfId="1052" priority="80" stopIfTrue="1" operator="equal">
      <formula>"TAX REFUND"</formula>
    </cfRule>
  </conditionalFormatting>
  <conditionalFormatting sqref="B93:F94">
    <cfRule type="cellIs" dxfId="1051" priority="77" stopIfTrue="1" operator="equal">
      <formula>"TAX PAYABLE"</formula>
    </cfRule>
    <cfRule type="cellIs" dxfId="1050" priority="78" stopIfTrue="1" operator="equal">
      <formula>"TAX REFUND"</formula>
    </cfRule>
  </conditionalFormatting>
  <conditionalFormatting sqref="B93:F94">
    <cfRule type="cellIs" dxfId="1049" priority="75" stopIfTrue="1" operator="equal">
      <formula>"TAX PAYABLE"</formula>
    </cfRule>
    <cfRule type="cellIs" dxfId="1048" priority="76" stopIfTrue="1" operator="equal">
      <formula>"TAX REFUND"</formula>
    </cfRule>
  </conditionalFormatting>
  <conditionalFormatting sqref="B93:F94">
    <cfRule type="cellIs" dxfId="1047" priority="73" stopIfTrue="1" operator="equal">
      <formula>"TAX PAYABLE"</formula>
    </cfRule>
    <cfRule type="cellIs" dxfId="1046" priority="74" stopIfTrue="1" operator="equal">
      <formula>"TAX REFUND"</formula>
    </cfRule>
  </conditionalFormatting>
  <conditionalFormatting sqref="B97:F97">
    <cfRule type="cellIs" dxfId="1045" priority="71" stopIfTrue="1" operator="equal">
      <formula>"TAX PAYABLE"</formula>
    </cfRule>
    <cfRule type="cellIs" dxfId="1044" priority="72" stopIfTrue="1" operator="equal">
      <formula>"TAX REFUND"</formula>
    </cfRule>
  </conditionalFormatting>
  <conditionalFormatting sqref="B93:F94 B99:F99">
    <cfRule type="cellIs" dxfId="1043" priority="69" stopIfTrue="1" operator="equal">
      <formula>"TAX PAYABLE"</formula>
    </cfRule>
    <cfRule type="cellIs" dxfId="1042" priority="70" stopIfTrue="1" operator="equal">
      <formula>"TAX REFUND"</formula>
    </cfRule>
  </conditionalFormatting>
  <conditionalFormatting sqref="G99:H99">
    <cfRule type="cellIs" dxfId="1041" priority="67" stopIfTrue="1" operator="greaterThan">
      <formula>0</formula>
    </cfRule>
    <cfRule type="cellIs" dxfId="1040" priority="68" stopIfTrue="1" operator="lessThanOrEqual">
      <formula>0</formula>
    </cfRule>
  </conditionalFormatting>
  <conditionalFormatting sqref="B99:F99 B93:F96">
    <cfRule type="cellIs" dxfId="1039" priority="65" stopIfTrue="1" operator="equal">
      <formula>"TAX PAYABLE"</formula>
    </cfRule>
    <cfRule type="cellIs" dxfId="1038" priority="66" stopIfTrue="1" operator="equal">
      <formula>"TAX REFUND"</formula>
    </cfRule>
  </conditionalFormatting>
  <conditionalFormatting sqref="G99:H99">
    <cfRule type="cellIs" dxfId="1037" priority="63" stopIfTrue="1" operator="greaterThan">
      <formula>0</formula>
    </cfRule>
    <cfRule type="cellIs" dxfId="1036" priority="64" stopIfTrue="1" operator="lessThanOrEqual">
      <formula>0</formula>
    </cfRule>
  </conditionalFormatting>
  <conditionalFormatting sqref="B90:F90">
    <cfRule type="cellIs" dxfId="1035" priority="61" stopIfTrue="1" operator="equal">
      <formula>"TAX PAYABLE"</formula>
    </cfRule>
    <cfRule type="cellIs" dxfId="1034" priority="62" stopIfTrue="1" operator="equal">
      <formula>"TAX REFUND"</formula>
    </cfRule>
  </conditionalFormatting>
  <conditionalFormatting sqref="B94:F94">
    <cfRule type="cellIs" dxfId="1033" priority="59" stopIfTrue="1" operator="equal">
      <formula>"TAX PAYABLE"</formula>
    </cfRule>
    <cfRule type="cellIs" dxfId="1032" priority="60" stopIfTrue="1" operator="equal">
      <formula>"TAX REFUND"</formula>
    </cfRule>
  </conditionalFormatting>
  <conditionalFormatting sqref="B94:F94">
    <cfRule type="cellIs" dxfId="1031" priority="57" stopIfTrue="1" operator="equal">
      <formula>"TAX PAYABLE"</formula>
    </cfRule>
    <cfRule type="cellIs" dxfId="1030" priority="58" stopIfTrue="1" operator="equal">
      <formula>"TAX REFUND"</formula>
    </cfRule>
  </conditionalFormatting>
  <conditionalFormatting sqref="B94:F94">
    <cfRule type="cellIs" dxfId="1029" priority="55" stopIfTrue="1" operator="equal">
      <formula>"TAX PAYABLE"</formula>
    </cfRule>
    <cfRule type="cellIs" dxfId="1028" priority="56" stopIfTrue="1" operator="equal">
      <formula>"TAX REFUND"</formula>
    </cfRule>
  </conditionalFormatting>
  <conditionalFormatting sqref="B94:F94">
    <cfRule type="cellIs" dxfId="1027" priority="53" stopIfTrue="1" operator="equal">
      <formula>"TAX PAYABLE"</formula>
    </cfRule>
    <cfRule type="cellIs" dxfId="1026" priority="54" stopIfTrue="1" operator="equal">
      <formula>"TAX REFUND"</formula>
    </cfRule>
  </conditionalFormatting>
  <conditionalFormatting sqref="B94:F94">
    <cfRule type="cellIs" dxfId="1025" priority="51" stopIfTrue="1" operator="equal">
      <formula>"TAX PAYABLE"</formula>
    </cfRule>
    <cfRule type="cellIs" dxfId="1024" priority="52" stopIfTrue="1" operator="equal">
      <formula>"TAX REFUND"</formula>
    </cfRule>
  </conditionalFormatting>
  <conditionalFormatting sqref="B94:F94">
    <cfRule type="cellIs" dxfId="1023" priority="49" stopIfTrue="1" operator="equal">
      <formula>"TAX PAYABLE"</formula>
    </cfRule>
    <cfRule type="cellIs" dxfId="1022" priority="50" stopIfTrue="1" operator="equal">
      <formula>"TAX REFUND"</formula>
    </cfRule>
  </conditionalFormatting>
  <conditionalFormatting sqref="B94:F94">
    <cfRule type="cellIs" dxfId="1021" priority="47" stopIfTrue="1" operator="equal">
      <formula>"TAX PAYABLE"</formula>
    </cfRule>
    <cfRule type="cellIs" dxfId="1020" priority="48" stopIfTrue="1" operator="equal">
      <formula>"TAX REFUND"</formula>
    </cfRule>
  </conditionalFormatting>
  <conditionalFormatting sqref="B94:F94">
    <cfRule type="cellIs" dxfId="1019" priority="45" stopIfTrue="1" operator="equal">
      <formula>"TAX PAYABLE"</formula>
    </cfRule>
    <cfRule type="cellIs" dxfId="1018" priority="46" stopIfTrue="1" operator="equal">
      <formula>"TAX REFUND"</formula>
    </cfRule>
  </conditionalFormatting>
  <conditionalFormatting sqref="B94:F94">
    <cfRule type="cellIs" dxfId="1017" priority="43" stopIfTrue="1" operator="equal">
      <formula>"TAX PAYABLE"</formula>
    </cfRule>
    <cfRule type="cellIs" dxfId="1016" priority="44" stopIfTrue="1" operator="equal">
      <formula>"TAX REFUND"</formula>
    </cfRule>
  </conditionalFormatting>
  <conditionalFormatting sqref="B94:F94">
    <cfRule type="cellIs" dxfId="1015" priority="41" stopIfTrue="1" operator="equal">
      <formula>"TAX PAYABLE"</formula>
    </cfRule>
    <cfRule type="cellIs" dxfId="1014" priority="42" stopIfTrue="1" operator="equal">
      <formula>"TAX REFUND"</formula>
    </cfRule>
  </conditionalFormatting>
  <conditionalFormatting sqref="B94:F94">
    <cfRule type="cellIs" dxfId="1013" priority="39" stopIfTrue="1" operator="equal">
      <formula>"TAX PAYABLE"</formula>
    </cfRule>
    <cfRule type="cellIs" dxfId="1012" priority="40" stopIfTrue="1" operator="equal">
      <formula>"TAX REFUND"</formula>
    </cfRule>
  </conditionalFormatting>
  <conditionalFormatting sqref="B94:F94">
    <cfRule type="cellIs" dxfId="1011" priority="37" stopIfTrue="1" operator="equal">
      <formula>"TAX PAYABLE"</formula>
    </cfRule>
    <cfRule type="cellIs" dxfId="1010" priority="38" stopIfTrue="1" operator="equal">
      <formula>"TAX REFUND"</formula>
    </cfRule>
  </conditionalFormatting>
  <conditionalFormatting sqref="B94:F94">
    <cfRule type="cellIs" dxfId="1009" priority="35" stopIfTrue="1" operator="equal">
      <formula>"TAX PAYABLE"</formula>
    </cfRule>
    <cfRule type="cellIs" dxfId="1008" priority="36" stopIfTrue="1" operator="equal">
      <formula>"TAX REFUND"</formula>
    </cfRule>
  </conditionalFormatting>
  <conditionalFormatting sqref="B94:F94">
    <cfRule type="cellIs" dxfId="1007" priority="33" stopIfTrue="1" operator="equal">
      <formula>"TAX PAYABLE"</formula>
    </cfRule>
    <cfRule type="cellIs" dxfId="1006" priority="34" stopIfTrue="1" operator="equal">
      <formula>"TAX REFUND"</formula>
    </cfRule>
  </conditionalFormatting>
  <conditionalFormatting sqref="B94:F94">
    <cfRule type="cellIs" dxfId="1005" priority="31" stopIfTrue="1" operator="equal">
      <formula>"TAX PAYABLE"</formula>
    </cfRule>
    <cfRule type="cellIs" dxfId="1004" priority="32" stopIfTrue="1" operator="equal">
      <formula>"TAX REFUND"</formula>
    </cfRule>
  </conditionalFormatting>
  <conditionalFormatting sqref="B94:F94">
    <cfRule type="cellIs" dxfId="1003" priority="29" stopIfTrue="1" operator="equal">
      <formula>"TAX PAYABLE"</formula>
    </cfRule>
    <cfRule type="cellIs" dxfId="1002" priority="30" stopIfTrue="1" operator="equal">
      <formula>"TAX REFUND"</formula>
    </cfRule>
  </conditionalFormatting>
  <conditionalFormatting sqref="B94:F94">
    <cfRule type="cellIs" dxfId="1001" priority="27" stopIfTrue="1" operator="equal">
      <formula>"TAX PAYABLE"</formula>
    </cfRule>
    <cfRule type="cellIs" dxfId="1000" priority="28" stopIfTrue="1" operator="equal">
      <formula>"TAX REFUND"</formula>
    </cfRule>
  </conditionalFormatting>
  <conditionalFormatting sqref="B94:F94">
    <cfRule type="cellIs" dxfId="999" priority="25" stopIfTrue="1" operator="equal">
      <formula>"TAX PAYABLE"</formula>
    </cfRule>
    <cfRule type="cellIs" dxfId="998" priority="26" stopIfTrue="1" operator="equal">
      <formula>"TAX REFUND"</formula>
    </cfRule>
  </conditionalFormatting>
  <conditionalFormatting sqref="B94:F94">
    <cfRule type="cellIs" dxfId="997" priority="23" stopIfTrue="1" operator="equal">
      <formula>"TAX PAYABLE"</formula>
    </cfRule>
    <cfRule type="cellIs" dxfId="996" priority="24" stopIfTrue="1" operator="equal">
      <formula>"TAX REFUND"</formula>
    </cfRule>
  </conditionalFormatting>
  <conditionalFormatting sqref="B94:F94">
    <cfRule type="cellIs" dxfId="995" priority="21" stopIfTrue="1" operator="equal">
      <formula>"TAX PAYABLE"</formula>
    </cfRule>
    <cfRule type="cellIs" dxfId="994" priority="22" stopIfTrue="1" operator="equal">
      <formula>"TAX REFUND"</formula>
    </cfRule>
  </conditionalFormatting>
  <conditionalFormatting sqref="B94:F94">
    <cfRule type="cellIs" dxfId="993" priority="19" stopIfTrue="1" operator="equal">
      <formula>"TAX PAYABLE"</formula>
    </cfRule>
    <cfRule type="cellIs" dxfId="992" priority="20" stopIfTrue="1" operator="equal">
      <formula>"TAX REFUND"</formula>
    </cfRule>
  </conditionalFormatting>
  <conditionalFormatting sqref="B94:F94">
    <cfRule type="cellIs" dxfId="991" priority="17" stopIfTrue="1" operator="equal">
      <formula>"TAX PAYABLE"</formula>
    </cfRule>
    <cfRule type="cellIs" dxfId="990" priority="18" stopIfTrue="1" operator="equal">
      <formula>"TAX REFUND"</formula>
    </cfRule>
  </conditionalFormatting>
  <conditionalFormatting sqref="B94:F94">
    <cfRule type="cellIs" dxfId="989" priority="15" stopIfTrue="1" operator="equal">
      <formula>"TAX PAYABLE"</formula>
    </cfRule>
    <cfRule type="cellIs" dxfId="988" priority="16" stopIfTrue="1" operator="equal">
      <formula>"TAX REFUND"</formula>
    </cfRule>
  </conditionalFormatting>
  <conditionalFormatting sqref="B94:F94">
    <cfRule type="cellIs" dxfId="987" priority="13" stopIfTrue="1" operator="equal">
      <formula>"TAX PAYABLE"</formula>
    </cfRule>
    <cfRule type="cellIs" dxfId="986" priority="14" stopIfTrue="1" operator="equal">
      <formula>"TAX REFUND"</formula>
    </cfRule>
  </conditionalFormatting>
  <conditionalFormatting sqref="B94:F94">
    <cfRule type="cellIs" dxfId="985" priority="11" stopIfTrue="1" operator="equal">
      <formula>"TAX PAYABLE"</formula>
    </cfRule>
    <cfRule type="cellIs" dxfId="984" priority="12" stopIfTrue="1" operator="equal">
      <formula>"TAX REFUND"</formula>
    </cfRule>
  </conditionalFormatting>
  <conditionalFormatting sqref="B94:F94">
    <cfRule type="cellIs" dxfId="983" priority="9" stopIfTrue="1" operator="equal">
      <formula>"TAX PAYABLE"</formula>
    </cfRule>
    <cfRule type="cellIs" dxfId="982" priority="10" stopIfTrue="1" operator="equal">
      <formula>"TAX REFUND"</formula>
    </cfRule>
  </conditionalFormatting>
  <conditionalFormatting sqref="B94:F94">
    <cfRule type="cellIs" dxfId="981" priority="7" stopIfTrue="1" operator="equal">
      <formula>"TAX PAYABLE"</formula>
    </cfRule>
    <cfRule type="cellIs" dxfId="980" priority="8" stopIfTrue="1" operator="equal">
      <formula>"TAX REFUND"</formula>
    </cfRule>
  </conditionalFormatting>
  <conditionalFormatting sqref="B94:F94">
    <cfRule type="cellIs" dxfId="979" priority="5" stopIfTrue="1" operator="equal">
      <formula>"TAX PAYABLE"</formula>
    </cfRule>
    <cfRule type="cellIs" dxfId="978" priority="6" stopIfTrue="1" operator="equal">
      <formula>"TAX REFUND"</formula>
    </cfRule>
  </conditionalFormatting>
  <conditionalFormatting sqref="B94:F94">
    <cfRule type="cellIs" dxfId="977" priority="3" stopIfTrue="1" operator="equal">
      <formula>"TAX PAYABLE"</formula>
    </cfRule>
    <cfRule type="cellIs" dxfId="976" priority="4" stopIfTrue="1" operator="equal">
      <formula>"TAX REFUND"</formula>
    </cfRule>
  </conditionalFormatting>
  <conditionalFormatting sqref="B94:F94">
    <cfRule type="cellIs" dxfId="975" priority="1" stopIfTrue="1" operator="equal">
      <formula>"TAX PAYABLE"</formula>
    </cfRule>
    <cfRule type="cellIs" dxfId="974" priority="2" stopIfTrue="1" operator="equal">
      <formula>"TAX REFUND"</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$Q$8:$Q$9</formula1>
    </dataValidation>
  </dataValidations>
  <pageMargins left="0.7" right="0.7" top="0.75" bottom="0.75" header="0.3" footer="0.3"/>
  <pageSetup paperSize="5" orientation="landscape" horizontalDpi="300" verticalDpi="300" r:id="rId1"/>
  <headerFooter alignWithMargins="0"/>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08"/>
  <sheetViews>
    <sheetView topLeftCell="A62" workbookViewId="0">
      <selection activeCell="G78" sqref="G78"/>
    </sheetView>
  </sheetViews>
  <sheetFormatPr defaultRowHeight="12.75" x14ac:dyDescent="0.2"/>
  <cols>
    <col min="1" max="1" width="5" style="504" customWidth="1"/>
    <col min="2" max="2" width="19.42578125" style="527" customWidth="1"/>
    <col min="3" max="3" width="10.7109375" style="504" bestFit="1" customWidth="1"/>
    <col min="4" max="4" width="7" style="504" bestFit="1" customWidth="1"/>
    <col min="5" max="5" width="8.5703125" style="504" bestFit="1" customWidth="1"/>
    <col min="6" max="6" width="9.28515625" style="504" bestFit="1" customWidth="1"/>
    <col min="7" max="7" width="10.42578125" style="504" bestFit="1" customWidth="1"/>
    <col min="8" max="8" width="10.28515625" style="504" bestFit="1" customWidth="1"/>
    <col min="9" max="9" width="7.140625" style="504" bestFit="1" customWidth="1"/>
    <col min="10" max="10" width="7" style="504" customWidth="1"/>
    <col min="11" max="11" width="8" style="504" bestFit="1" customWidth="1"/>
    <col min="12" max="12" width="7" style="504" bestFit="1" customWidth="1"/>
    <col min="13" max="13" width="6.85546875" style="504" bestFit="1" customWidth="1"/>
    <col min="14" max="14" width="7" style="504" bestFit="1" customWidth="1"/>
    <col min="15" max="15" width="8.85546875" style="504" customWidth="1"/>
    <col min="16" max="19" width="9.140625" style="504"/>
    <col min="20" max="20" width="12.42578125" style="504" customWidth="1"/>
    <col min="21" max="21" width="9.140625" style="504"/>
    <col min="22" max="22" width="12" style="504" customWidth="1"/>
    <col min="23" max="256" width="9.140625" style="504"/>
    <col min="257" max="257" width="5" style="504" customWidth="1"/>
    <col min="258" max="258" width="19.42578125" style="504" customWidth="1"/>
    <col min="259" max="259" width="10.7109375" style="504" bestFit="1" customWidth="1"/>
    <col min="260" max="260" width="7" style="504" bestFit="1" customWidth="1"/>
    <col min="261" max="261" width="8.5703125" style="504" bestFit="1" customWidth="1"/>
    <col min="262" max="262" width="9.28515625" style="504" bestFit="1" customWidth="1"/>
    <col min="263" max="263" width="10.42578125" style="504" bestFit="1" customWidth="1"/>
    <col min="264" max="264" width="10.28515625" style="504" bestFit="1" customWidth="1"/>
    <col min="265" max="265" width="7.140625" style="504" bestFit="1" customWidth="1"/>
    <col min="266" max="266" width="7" style="504" customWidth="1"/>
    <col min="267" max="267" width="8" style="504" bestFit="1" customWidth="1"/>
    <col min="268" max="268" width="7" style="504" bestFit="1" customWidth="1"/>
    <col min="269" max="269" width="6.85546875" style="504" bestFit="1" customWidth="1"/>
    <col min="270" max="270" width="7" style="504" bestFit="1" customWidth="1"/>
    <col min="271" max="271" width="8.85546875" style="504" customWidth="1"/>
    <col min="272" max="275" width="9.140625" style="504"/>
    <col min="276" max="276" width="12.42578125" style="504" customWidth="1"/>
    <col min="277" max="277" width="9.140625" style="504"/>
    <col min="278" max="278" width="12" style="504" customWidth="1"/>
    <col min="279" max="512" width="9.140625" style="504"/>
    <col min="513" max="513" width="5" style="504" customWidth="1"/>
    <col min="514" max="514" width="19.42578125" style="504" customWidth="1"/>
    <col min="515" max="515" width="10.7109375" style="504" bestFit="1" customWidth="1"/>
    <col min="516" max="516" width="7" style="504" bestFit="1" customWidth="1"/>
    <col min="517" max="517" width="8.5703125" style="504" bestFit="1" customWidth="1"/>
    <col min="518" max="518" width="9.28515625" style="504" bestFit="1" customWidth="1"/>
    <col min="519" max="519" width="10.42578125" style="504" bestFit="1" customWidth="1"/>
    <col min="520" max="520" width="10.28515625" style="504" bestFit="1" customWidth="1"/>
    <col min="521" max="521" width="7.140625" style="504" bestFit="1" customWidth="1"/>
    <col min="522" max="522" width="7" style="504" customWidth="1"/>
    <col min="523" max="523" width="8" style="504" bestFit="1" customWidth="1"/>
    <col min="524" max="524" width="7" style="504" bestFit="1" customWidth="1"/>
    <col min="525" max="525" width="6.85546875" style="504" bestFit="1" customWidth="1"/>
    <col min="526" max="526" width="7" style="504" bestFit="1" customWidth="1"/>
    <col min="527" max="527" width="8.85546875" style="504" customWidth="1"/>
    <col min="528" max="531" width="9.140625" style="504"/>
    <col min="532" max="532" width="12.42578125" style="504" customWidth="1"/>
    <col min="533" max="533" width="9.140625" style="504"/>
    <col min="534" max="534" width="12" style="504" customWidth="1"/>
    <col min="535" max="768" width="9.140625" style="504"/>
    <col min="769" max="769" width="5" style="504" customWidth="1"/>
    <col min="770" max="770" width="19.42578125" style="504" customWidth="1"/>
    <col min="771" max="771" width="10.7109375" style="504" bestFit="1" customWidth="1"/>
    <col min="772" max="772" width="7" style="504" bestFit="1" customWidth="1"/>
    <col min="773" max="773" width="8.5703125" style="504" bestFit="1" customWidth="1"/>
    <col min="774" max="774" width="9.28515625" style="504" bestFit="1" customWidth="1"/>
    <col min="775" max="775" width="10.42578125" style="504" bestFit="1" customWidth="1"/>
    <col min="776" max="776" width="10.28515625" style="504" bestFit="1" customWidth="1"/>
    <col min="777" max="777" width="7.140625" style="504" bestFit="1" customWidth="1"/>
    <col min="778" max="778" width="7" style="504" customWidth="1"/>
    <col min="779" max="779" width="8" style="504" bestFit="1" customWidth="1"/>
    <col min="780" max="780" width="7" style="504" bestFit="1" customWidth="1"/>
    <col min="781" max="781" width="6.85546875" style="504" bestFit="1" customWidth="1"/>
    <col min="782" max="782" width="7" style="504" bestFit="1" customWidth="1"/>
    <col min="783" max="783" width="8.85546875" style="504" customWidth="1"/>
    <col min="784" max="787" width="9.140625" style="504"/>
    <col min="788" max="788" width="12.42578125" style="504" customWidth="1"/>
    <col min="789" max="789" width="9.140625" style="504"/>
    <col min="790" max="790" width="12" style="504" customWidth="1"/>
    <col min="791" max="1024" width="9.140625" style="504"/>
    <col min="1025" max="1025" width="5" style="504" customWidth="1"/>
    <col min="1026" max="1026" width="19.42578125" style="504" customWidth="1"/>
    <col min="1027" max="1027" width="10.7109375" style="504" bestFit="1" customWidth="1"/>
    <col min="1028" max="1028" width="7" style="504" bestFit="1" customWidth="1"/>
    <col min="1029" max="1029" width="8.5703125" style="504" bestFit="1" customWidth="1"/>
    <col min="1030" max="1030" width="9.28515625" style="504" bestFit="1" customWidth="1"/>
    <col min="1031" max="1031" width="10.42578125" style="504" bestFit="1" customWidth="1"/>
    <col min="1032" max="1032" width="10.28515625" style="504" bestFit="1" customWidth="1"/>
    <col min="1033" max="1033" width="7.140625" style="504" bestFit="1" customWidth="1"/>
    <col min="1034" max="1034" width="7" style="504" customWidth="1"/>
    <col min="1035" max="1035" width="8" style="504" bestFit="1" customWidth="1"/>
    <col min="1036" max="1036" width="7" style="504" bestFit="1" customWidth="1"/>
    <col min="1037" max="1037" width="6.85546875" style="504" bestFit="1" customWidth="1"/>
    <col min="1038" max="1038" width="7" style="504" bestFit="1" customWidth="1"/>
    <col min="1039" max="1039" width="8.85546875" style="504" customWidth="1"/>
    <col min="1040" max="1043" width="9.140625" style="504"/>
    <col min="1044" max="1044" width="12.42578125" style="504" customWidth="1"/>
    <col min="1045" max="1045" width="9.140625" style="504"/>
    <col min="1046" max="1046" width="12" style="504" customWidth="1"/>
    <col min="1047" max="1280" width="9.140625" style="504"/>
    <col min="1281" max="1281" width="5" style="504" customWidth="1"/>
    <col min="1282" max="1282" width="19.42578125" style="504" customWidth="1"/>
    <col min="1283" max="1283" width="10.7109375" style="504" bestFit="1" customWidth="1"/>
    <col min="1284" max="1284" width="7" style="504" bestFit="1" customWidth="1"/>
    <col min="1285" max="1285" width="8.5703125" style="504" bestFit="1" customWidth="1"/>
    <col min="1286" max="1286" width="9.28515625" style="504" bestFit="1" customWidth="1"/>
    <col min="1287" max="1287" width="10.42578125" style="504" bestFit="1" customWidth="1"/>
    <col min="1288" max="1288" width="10.28515625" style="504" bestFit="1" customWidth="1"/>
    <col min="1289" max="1289" width="7.140625" style="504" bestFit="1" customWidth="1"/>
    <col min="1290" max="1290" width="7" style="504" customWidth="1"/>
    <col min="1291" max="1291" width="8" style="504" bestFit="1" customWidth="1"/>
    <col min="1292" max="1292" width="7" style="504" bestFit="1" customWidth="1"/>
    <col min="1293" max="1293" width="6.85546875" style="504" bestFit="1" customWidth="1"/>
    <col min="1294" max="1294" width="7" style="504" bestFit="1" customWidth="1"/>
    <col min="1295" max="1295" width="8.85546875" style="504" customWidth="1"/>
    <col min="1296" max="1299" width="9.140625" style="504"/>
    <col min="1300" max="1300" width="12.42578125" style="504" customWidth="1"/>
    <col min="1301" max="1301" width="9.140625" style="504"/>
    <col min="1302" max="1302" width="12" style="504" customWidth="1"/>
    <col min="1303" max="1536" width="9.140625" style="504"/>
    <col min="1537" max="1537" width="5" style="504" customWidth="1"/>
    <col min="1538" max="1538" width="19.42578125" style="504" customWidth="1"/>
    <col min="1539" max="1539" width="10.7109375" style="504" bestFit="1" customWidth="1"/>
    <col min="1540" max="1540" width="7" style="504" bestFit="1" customWidth="1"/>
    <col min="1541" max="1541" width="8.5703125" style="504" bestFit="1" customWidth="1"/>
    <col min="1542" max="1542" width="9.28515625" style="504" bestFit="1" customWidth="1"/>
    <col min="1543" max="1543" width="10.42578125" style="504" bestFit="1" customWidth="1"/>
    <col min="1544" max="1544" width="10.28515625" style="504" bestFit="1" customWidth="1"/>
    <col min="1545" max="1545" width="7.140625" style="504" bestFit="1" customWidth="1"/>
    <col min="1546" max="1546" width="7" style="504" customWidth="1"/>
    <col min="1547" max="1547" width="8" style="504" bestFit="1" customWidth="1"/>
    <col min="1548" max="1548" width="7" style="504" bestFit="1" customWidth="1"/>
    <col min="1549" max="1549" width="6.85546875" style="504" bestFit="1" customWidth="1"/>
    <col min="1550" max="1550" width="7" style="504" bestFit="1" customWidth="1"/>
    <col min="1551" max="1551" width="8.85546875" style="504" customWidth="1"/>
    <col min="1552" max="1555" width="9.140625" style="504"/>
    <col min="1556" max="1556" width="12.42578125" style="504" customWidth="1"/>
    <col min="1557" max="1557" width="9.140625" style="504"/>
    <col min="1558" max="1558" width="12" style="504" customWidth="1"/>
    <col min="1559" max="1792" width="9.140625" style="504"/>
    <col min="1793" max="1793" width="5" style="504" customWidth="1"/>
    <col min="1794" max="1794" width="19.42578125" style="504" customWidth="1"/>
    <col min="1795" max="1795" width="10.7109375" style="504" bestFit="1" customWidth="1"/>
    <col min="1796" max="1796" width="7" style="504" bestFit="1" customWidth="1"/>
    <col min="1797" max="1797" width="8.5703125" style="504" bestFit="1" customWidth="1"/>
    <col min="1798" max="1798" width="9.28515625" style="504" bestFit="1" customWidth="1"/>
    <col min="1799" max="1799" width="10.42578125" style="504" bestFit="1" customWidth="1"/>
    <col min="1800" max="1800" width="10.28515625" style="504" bestFit="1" customWidth="1"/>
    <col min="1801" max="1801" width="7.140625" style="504" bestFit="1" customWidth="1"/>
    <col min="1802" max="1802" width="7" style="504" customWidth="1"/>
    <col min="1803" max="1803" width="8" style="504" bestFit="1" customWidth="1"/>
    <col min="1804" max="1804" width="7" style="504" bestFit="1" customWidth="1"/>
    <col min="1805" max="1805" width="6.85546875" style="504" bestFit="1" customWidth="1"/>
    <col min="1806" max="1806" width="7" style="504" bestFit="1" customWidth="1"/>
    <col min="1807" max="1807" width="8.85546875" style="504" customWidth="1"/>
    <col min="1808" max="1811" width="9.140625" style="504"/>
    <col min="1812" max="1812" width="12.42578125" style="504" customWidth="1"/>
    <col min="1813" max="1813" width="9.140625" style="504"/>
    <col min="1814" max="1814" width="12" style="504" customWidth="1"/>
    <col min="1815" max="2048" width="9.140625" style="504"/>
    <col min="2049" max="2049" width="5" style="504" customWidth="1"/>
    <col min="2050" max="2050" width="19.42578125" style="504" customWidth="1"/>
    <col min="2051" max="2051" width="10.7109375" style="504" bestFit="1" customWidth="1"/>
    <col min="2052" max="2052" width="7" style="504" bestFit="1" customWidth="1"/>
    <col min="2053" max="2053" width="8.5703125" style="504" bestFit="1" customWidth="1"/>
    <col min="2054" max="2054" width="9.28515625" style="504" bestFit="1" customWidth="1"/>
    <col min="2055" max="2055" width="10.42578125" style="504" bestFit="1" customWidth="1"/>
    <col min="2056" max="2056" width="10.28515625" style="504" bestFit="1" customWidth="1"/>
    <col min="2057" max="2057" width="7.140625" style="504" bestFit="1" customWidth="1"/>
    <col min="2058" max="2058" width="7" style="504" customWidth="1"/>
    <col min="2059" max="2059" width="8" style="504" bestFit="1" customWidth="1"/>
    <col min="2060" max="2060" width="7" style="504" bestFit="1" customWidth="1"/>
    <col min="2061" max="2061" width="6.85546875" style="504" bestFit="1" customWidth="1"/>
    <col min="2062" max="2062" width="7" style="504" bestFit="1" customWidth="1"/>
    <col min="2063" max="2063" width="8.85546875" style="504" customWidth="1"/>
    <col min="2064" max="2067" width="9.140625" style="504"/>
    <col min="2068" max="2068" width="12.42578125" style="504" customWidth="1"/>
    <col min="2069" max="2069" width="9.140625" style="504"/>
    <col min="2070" max="2070" width="12" style="504" customWidth="1"/>
    <col min="2071" max="2304" width="9.140625" style="504"/>
    <col min="2305" max="2305" width="5" style="504" customWidth="1"/>
    <col min="2306" max="2306" width="19.42578125" style="504" customWidth="1"/>
    <col min="2307" max="2307" width="10.7109375" style="504" bestFit="1" customWidth="1"/>
    <col min="2308" max="2308" width="7" style="504" bestFit="1" customWidth="1"/>
    <col min="2309" max="2309" width="8.5703125" style="504" bestFit="1" customWidth="1"/>
    <col min="2310" max="2310" width="9.28515625" style="504" bestFit="1" customWidth="1"/>
    <col min="2311" max="2311" width="10.42578125" style="504" bestFit="1" customWidth="1"/>
    <col min="2312" max="2312" width="10.28515625" style="504" bestFit="1" customWidth="1"/>
    <col min="2313" max="2313" width="7.140625" style="504" bestFit="1" customWidth="1"/>
    <col min="2314" max="2314" width="7" style="504" customWidth="1"/>
    <col min="2315" max="2315" width="8" style="504" bestFit="1" customWidth="1"/>
    <col min="2316" max="2316" width="7" style="504" bestFit="1" customWidth="1"/>
    <col min="2317" max="2317" width="6.85546875" style="504" bestFit="1" customWidth="1"/>
    <col min="2318" max="2318" width="7" style="504" bestFit="1" customWidth="1"/>
    <col min="2319" max="2319" width="8.85546875" style="504" customWidth="1"/>
    <col min="2320" max="2323" width="9.140625" style="504"/>
    <col min="2324" max="2324" width="12.42578125" style="504" customWidth="1"/>
    <col min="2325" max="2325" width="9.140625" style="504"/>
    <col min="2326" max="2326" width="12" style="504" customWidth="1"/>
    <col min="2327" max="2560" width="9.140625" style="504"/>
    <col min="2561" max="2561" width="5" style="504" customWidth="1"/>
    <col min="2562" max="2562" width="19.42578125" style="504" customWidth="1"/>
    <col min="2563" max="2563" width="10.7109375" style="504" bestFit="1" customWidth="1"/>
    <col min="2564" max="2564" width="7" style="504" bestFit="1" customWidth="1"/>
    <col min="2565" max="2565" width="8.5703125" style="504" bestFit="1" customWidth="1"/>
    <col min="2566" max="2566" width="9.28515625" style="504" bestFit="1" customWidth="1"/>
    <col min="2567" max="2567" width="10.42578125" style="504" bestFit="1" customWidth="1"/>
    <col min="2568" max="2568" width="10.28515625" style="504" bestFit="1" customWidth="1"/>
    <col min="2569" max="2569" width="7.140625" style="504" bestFit="1" customWidth="1"/>
    <col min="2570" max="2570" width="7" style="504" customWidth="1"/>
    <col min="2571" max="2571" width="8" style="504" bestFit="1" customWidth="1"/>
    <col min="2572" max="2572" width="7" style="504" bestFit="1" customWidth="1"/>
    <col min="2573" max="2573" width="6.85546875" style="504" bestFit="1" customWidth="1"/>
    <col min="2574" max="2574" width="7" style="504" bestFit="1" customWidth="1"/>
    <col min="2575" max="2575" width="8.85546875" style="504" customWidth="1"/>
    <col min="2576" max="2579" width="9.140625" style="504"/>
    <col min="2580" max="2580" width="12.42578125" style="504" customWidth="1"/>
    <col min="2581" max="2581" width="9.140625" style="504"/>
    <col min="2582" max="2582" width="12" style="504" customWidth="1"/>
    <col min="2583" max="2816" width="9.140625" style="504"/>
    <col min="2817" max="2817" width="5" style="504" customWidth="1"/>
    <col min="2818" max="2818" width="19.42578125" style="504" customWidth="1"/>
    <col min="2819" max="2819" width="10.7109375" style="504" bestFit="1" customWidth="1"/>
    <col min="2820" max="2820" width="7" style="504" bestFit="1" customWidth="1"/>
    <col min="2821" max="2821" width="8.5703125" style="504" bestFit="1" customWidth="1"/>
    <col min="2822" max="2822" width="9.28515625" style="504" bestFit="1" customWidth="1"/>
    <col min="2823" max="2823" width="10.42578125" style="504" bestFit="1" customWidth="1"/>
    <col min="2824" max="2824" width="10.28515625" style="504" bestFit="1" customWidth="1"/>
    <col min="2825" max="2825" width="7.140625" style="504" bestFit="1" customWidth="1"/>
    <col min="2826" max="2826" width="7" style="504" customWidth="1"/>
    <col min="2827" max="2827" width="8" style="504" bestFit="1" customWidth="1"/>
    <col min="2828" max="2828" width="7" style="504" bestFit="1" customWidth="1"/>
    <col min="2829" max="2829" width="6.85546875" style="504" bestFit="1" customWidth="1"/>
    <col min="2830" max="2830" width="7" style="504" bestFit="1" customWidth="1"/>
    <col min="2831" max="2831" width="8.85546875" style="504" customWidth="1"/>
    <col min="2832" max="2835" width="9.140625" style="504"/>
    <col min="2836" max="2836" width="12.42578125" style="504" customWidth="1"/>
    <col min="2837" max="2837" width="9.140625" style="504"/>
    <col min="2838" max="2838" width="12" style="504" customWidth="1"/>
    <col min="2839" max="3072" width="9.140625" style="504"/>
    <col min="3073" max="3073" width="5" style="504" customWidth="1"/>
    <col min="3074" max="3074" width="19.42578125" style="504" customWidth="1"/>
    <col min="3075" max="3075" width="10.7109375" style="504" bestFit="1" customWidth="1"/>
    <col min="3076" max="3076" width="7" style="504" bestFit="1" customWidth="1"/>
    <col min="3077" max="3077" width="8.5703125" style="504" bestFit="1" customWidth="1"/>
    <col min="3078" max="3078" width="9.28515625" style="504" bestFit="1" customWidth="1"/>
    <col min="3079" max="3079" width="10.42578125" style="504" bestFit="1" customWidth="1"/>
    <col min="3080" max="3080" width="10.28515625" style="504" bestFit="1" customWidth="1"/>
    <col min="3081" max="3081" width="7.140625" style="504" bestFit="1" customWidth="1"/>
    <col min="3082" max="3082" width="7" style="504" customWidth="1"/>
    <col min="3083" max="3083" width="8" style="504" bestFit="1" customWidth="1"/>
    <col min="3084" max="3084" width="7" style="504" bestFit="1" customWidth="1"/>
    <col min="3085" max="3085" width="6.85546875" style="504" bestFit="1" customWidth="1"/>
    <col min="3086" max="3086" width="7" style="504" bestFit="1" customWidth="1"/>
    <col min="3087" max="3087" width="8.85546875" style="504" customWidth="1"/>
    <col min="3088" max="3091" width="9.140625" style="504"/>
    <col min="3092" max="3092" width="12.42578125" style="504" customWidth="1"/>
    <col min="3093" max="3093" width="9.140625" style="504"/>
    <col min="3094" max="3094" width="12" style="504" customWidth="1"/>
    <col min="3095" max="3328" width="9.140625" style="504"/>
    <col min="3329" max="3329" width="5" style="504" customWidth="1"/>
    <col min="3330" max="3330" width="19.42578125" style="504" customWidth="1"/>
    <col min="3331" max="3331" width="10.7109375" style="504" bestFit="1" customWidth="1"/>
    <col min="3332" max="3332" width="7" style="504" bestFit="1" customWidth="1"/>
    <col min="3333" max="3333" width="8.5703125" style="504" bestFit="1" customWidth="1"/>
    <col min="3334" max="3334" width="9.28515625" style="504" bestFit="1" customWidth="1"/>
    <col min="3335" max="3335" width="10.42578125" style="504" bestFit="1" customWidth="1"/>
    <col min="3336" max="3336" width="10.28515625" style="504" bestFit="1" customWidth="1"/>
    <col min="3337" max="3337" width="7.140625" style="504" bestFit="1" customWidth="1"/>
    <col min="3338" max="3338" width="7" style="504" customWidth="1"/>
    <col min="3339" max="3339" width="8" style="504" bestFit="1" customWidth="1"/>
    <col min="3340" max="3340" width="7" style="504" bestFit="1" customWidth="1"/>
    <col min="3341" max="3341" width="6.85546875" style="504" bestFit="1" customWidth="1"/>
    <col min="3342" max="3342" width="7" style="504" bestFit="1" customWidth="1"/>
    <col min="3343" max="3343" width="8.85546875" style="504" customWidth="1"/>
    <col min="3344" max="3347" width="9.140625" style="504"/>
    <col min="3348" max="3348" width="12.42578125" style="504" customWidth="1"/>
    <col min="3349" max="3349" width="9.140625" style="504"/>
    <col min="3350" max="3350" width="12" style="504" customWidth="1"/>
    <col min="3351" max="3584" width="9.140625" style="504"/>
    <col min="3585" max="3585" width="5" style="504" customWidth="1"/>
    <col min="3586" max="3586" width="19.42578125" style="504" customWidth="1"/>
    <col min="3587" max="3587" width="10.7109375" style="504" bestFit="1" customWidth="1"/>
    <col min="3588" max="3588" width="7" style="504" bestFit="1" customWidth="1"/>
    <col min="3589" max="3589" width="8.5703125" style="504" bestFit="1" customWidth="1"/>
    <col min="3590" max="3590" width="9.28515625" style="504" bestFit="1" customWidth="1"/>
    <col min="3591" max="3591" width="10.42578125" style="504" bestFit="1" customWidth="1"/>
    <col min="3592" max="3592" width="10.28515625" style="504" bestFit="1" customWidth="1"/>
    <col min="3593" max="3593" width="7.140625" style="504" bestFit="1" customWidth="1"/>
    <col min="3594" max="3594" width="7" style="504" customWidth="1"/>
    <col min="3595" max="3595" width="8" style="504" bestFit="1" customWidth="1"/>
    <col min="3596" max="3596" width="7" style="504" bestFit="1" customWidth="1"/>
    <col min="3597" max="3597" width="6.85546875" style="504" bestFit="1" customWidth="1"/>
    <col min="3598" max="3598" width="7" style="504" bestFit="1" customWidth="1"/>
    <col min="3599" max="3599" width="8.85546875" style="504" customWidth="1"/>
    <col min="3600" max="3603" width="9.140625" style="504"/>
    <col min="3604" max="3604" width="12.42578125" style="504" customWidth="1"/>
    <col min="3605" max="3605" width="9.140625" style="504"/>
    <col min="3606" max="3606" width="12" style="504" customWidth="1"/>
    <col min="3607" max="3840" width="9.140625" style="504"/>
    <col min="3841" max="3841" width="5" style="504" customWidth="1"/>
    <col min="3842" max="3842" width="19.42578125" style="504" customWidth="1"/>
    <col min="3843" max="3843" width="10.7109375" style="504" bestFit="1" customWidth="1"/>
    <col min="3844" max="3844" width="7" style="504" bestFit="1" customWidth="1"/>
    <col min="3845" max="3845" width="8.5703125" style="504" bestFit="1" customWidth="1"/>
    <col min="3846" max="3846" width="9.28515625" style="504" bestFit="1" customWidth="1"/>
    <col min="3847" max="3847" width="10.42578125" style="504" bestFit="1" customWidth="1"/>
    <col min="3848" max="3848" width="10.28515625" style="504" bestFit="1" customWidth="1"/>
    <col min="3849" max="3849" width="7.140625" style="504" bestFit="1" customWidth="1"/>
    <col min="3850" max="3850" width="7" style="504" customWidth="1"/>
    <col min="3851" max="3851" width="8" style="504" bestFit="1" customWidth="1"/>
    <col min="3852" max="3852" width="7" style="504" bestFit="1" customWidth="1"/>
    <col min="3853" max="3853" width="6.85546875" style="504" bestFit="1" customWidth="1"/>
    <col min="3854" max="3854" width="7" style="504" bestFit="1" customWidth="1"/>
    <col min="3855" max="3855" width="8.85546875" style="504" customWidth="1"/>
    <col min="3856" max="3859" width="9.140625" style="504"/>
    <col min="3860" max="3860" width="12.42578125" style="504" customWidth="1"/>
    <col min="3861" max="3861" width="9.140625" style="504"/>
    <col min="3862" max="3862" width="12" style="504" customWidth="1"/>
    <col min="3863" max="4096" width="9.140625" style="504"/>
    <col min="4097" max="4097" width="5" style="504" customWidth="1"/>
    <col min="4098" max="4098" width="19.42578125" style="504" customWidth="1"/>
    <col min="4099" max="4099" width="10.7109375" style="504" bestFit="1" customWidth="1"/>
    <col min="4100" max="4100" width="7" style="504" bestFit="1" customWidth="1"/>
    <col min="4101" max="4101" width="8.5703125" style="504" bestFit="1" customWidth="1"/>
    <col min="4102" max="4102" width="9.28515625" style="504" bestFit="1" customWidth="1"/>
    <col min="4103" max="4103" width="10.42578125" style="504" bestFit="1" customWidth="1"/>
    <col min="4104" max="4104" width="10.28515625" style="504" bestFit="1" customWidth="1"/>
    <col min="4105" max="4105" width="7.140625" style="504" bestFit="1" customWidth="1"/>
    <col min="4106" max="4106" width="7" style="504" customWidth="1"/>
    <col min="4107" max="4107" width="8" style="504" bestFit="1" customWidth="1"/>
    <col min="4108" max="4108" width="7" style="504" bestFit="1" customWidth="1"/>
    <col min="4109" max="4109" width="6.85546875" style="504" bestFit="1" customWidth="1"/>
    <col min="4110" max="4110" width="7" style="504" bestFit="1" customWidth="1"/>
    <col min="4111" max="4111" width="8.85546875" style="504" customWidth="1"/>
    <col min="4112" max="4115" width="9.140625" style="504"/>
    <col min="4116" max="4116" width="12.42578125" style="504" customWidth="1"/>
    <col min="4117" max="4117" width="9.140625" style="504"/>
    <col min="4118" max="4118" width="12" style="504" customWidth="1"/>
    <col min="4119" max="4352" width="9.140625" style="504"/>
    <col min="4353" max="4353" width="5" style="504" customWidth="1"/>
    <col min="4354" max="4354" width="19.42578125" style="504" customWidth="1"/>
    <col min="4355" max="4355" width="10.7109375" style="504" bestFit="1" customWidth="1"/>
    <col min="4356" max="4356" width="7" style="504" bestFit="1" customWidth="1"/>
    <col min="4357" max="4357" width="8.5703125" style="504" bestFit="1" customWidth="1"/>
    <col min="4358" max="4358" width="9.28515625" style="504" bestFit="1" customWidth="1"/>
    <col min="4359" max="4359" width="10.42578125" style="504" bestFit="1" customWidth="1"/>
    <col min="4360" max="4360" width="10.28515625" style="504" bestFit="1" customWidth="1"/>
    <col min="4361" max="4361" width="7.140625" style="504" bestFit="1" customWidth="1"/>
    <col min="4362" max="4362" width="7" style="504" customWidth="1"/>
    <col min="4363" max="4363" width="8" style="504" bestFit="1" customWidth="1"/>
    <col min="4364" max="4364" width="7" style="504" bestFit="1" customWidth="1"/>
    <col min="4365" max="4365" width="6.85546875" style="504" bestFit="1" customWidth="1"/>
    <col min="4366" max="4366" width="7" style="504" bestFit="1" customWidth="1"/>
    <col min="4367" max="4367" width="8.85546875" style="504" customWidth="1"/>
    <col min="4368" max="4371" width="9.140625" style="504"/>
    <col min="4372" max="4372" width="12.42578125" style="504" customWidth="1"/>
    <col min="4373" max="4373" width="9.140625" style="504"/>
    <col min="4374" max="4374" width="12" style="504" customWidth="1"/>
    <col min="4375" max="4608" width="9.140625" style="504"/>
    <col min="4609" max="4609" width="5" style="504" customWidth="1"/>
    <col min="4610" max="4610" width="19.42578125" style="504" customWidth="1"/>
    <col min="4611" max="4611" width="10.7109375" style="504" bestFit="1" customWidth="1"/>
    <col min="4612" max="4612" width="7" style="504" bestFit="1" customWidth="1"/>
    <col min="4613" max="4613" width="8.5703125" style="504" bestFit="1" customWidth="1"/>
    <col min="4614" max="4614" width="9.28515625" style="504" bestFit="1" customWidth="1"/>
    <col min="4615" max="4615" width="10.42578125" style="504" bestFit="1" customWidth="1"/>
    <col min="4616" max="4616" width="10.28515625" style="504" bestFit="1" customWidth="1"/>
    <col min="4617" max="4617" width="7.140625" style="504" bestFit="1" customWidth="1"/>
    <col min="4618" max="4618" width="7" style="504" customWidth="1"/>
    <col min="4619" max="4619" width="8" style="504" bestFit="1" customWidth="1"/>
    <col min="4620" max="4620" width="7" style="504" bestFit="1" customWidth="1"/>
    <col min="4621" max="4621" width="6.85546875" style="504" bestFit="1" customWidth="1"/>
    <col min="4622" max="4622" width="7" style="504" bestFit="1" customWidth="1"/>
    <col min="4623" max="4623" width="8.85546875" style="504" customWidth="1"/>
    <col min="4624" max="4627" width="9.140625" style="504"/>
    <col min="4628" max="4628" width="12.42578125" style="504" customWidth="1"/>
    <col min="4629" max="4629" width="9.140625" style="504"/>
    <col min="4630" max="4630" width="12" style="504" customWidth="1"/>
    <col min="4631" max="4864" width="9.140625" style="504"/>
    <col min="4865" max="4865" width="5" style="504" customWidth="1"/>
    <col min="4866" max="4866" width="19.42578125" style="504" customWidth="1"/>
    <col min="4867" max="4867" width="10.7109375" style="504" bestFit="1" customWidth="1"/>
    <col min="4868" max="4868" width="7" style="504" bestFit="1" customWidth="1"/>
    <col min="4869" max="4869" width="8.5703125" style="504" bestFit="1" customWidth="1"/>
    <col min="4870" max="4870" width="9.28515625" style="504" bestFit="1" customWidth="1"/>
    <col min="4871" max="4871" width="10.42578125" style="504" bestFit="1" customWidth="1"/>
    <col min="4872" max="4872" width="10.28515625" style="504" bestFit="1" customWidth="1"/>
    <col min="4873" max="4873" width="7.140625" style="504" bestFit="1" customWidth="1"/>
    <col min="4874" max="4874" width="7" style="504" customWidth="1"/>
    <col min="4875" max="4875" width="8" style="504" bestFit="1" customWidth="1"/>
    <col min="4876" max="4876" width="7" style="504" bestFit="1" customWidth="1"/>
    <col min="4877" max="4877" width="6.85546875" style="504" bestFit="1" customWidth="1"/>
    <col min="4878" max="4878" width="7" style="504" bestFit="1" customWidth="1"/>
    <col min="4879" max="4879" width="8.85546875" style="504" customWidth="1"/>
    <col min="4880" max="4883" width="9.140625" style="504"/>
    <col min="4884" max="4884" width="12.42578125" style="504" customWidth="1"/>
    <col min="4885" max="4885" width="9.140625" style="504"/>
    <col min="4886" max="4886" width="12" style="504" customWidth="1"/>
    <col min="4887" max="5120" width="9.140625" style="504"/>
    <col min="5121" max="5121" width="5" style="504" customWidth="1"/>
    <col min="5122" max="5122" width="19.42578125" style="504" customWidth="1"/>
    <col min="5123" max="5123" width="10.7109375" style="504" bestFit="1" customWidth="1"/>
    <col min="5124" max="5124" width="7" style="504" bestFit="1" customWidth="1"/>
    <col min="5125" max="5125" width="8.5703125" style="504" bestFit="1" customWidth="1"/>
    <col min="5126" max="5126" width="9.28515625" style="504" bestFit="1" customWidth="1"/>
    <col min="5127" max="5127" width="10.42578125" style="504" bestFit="1" customWidth="1"/>
    <col min="5128" max="5128" width="10.28515625" style="504" bestFit="1" customWidth="1"/>
    <col min="5129" max="5129" width="7.140625" style="504" bestFit="1" customWidth="1"/>
    <col min="5130" max="5130" width="7" style="504" customWidth="1"/>
    <col min="5131" max="5131" width="8" style="504" bestFit="1" customWidth="1"/>
    <col min="5132" max="5132" width="7" style="504" bestFit="1" customWidth="1"/>
    <col min="5133" max="5133" width="6.85546875" style="504" bestFit="1" customWidth="1"/>
    <col min="5134" max="5134" width="7" style="504" bestFit="1" customWidth="1"/>
    <col min="5135" max="5135" width="8.85546875" style="504" customWidth="1"/>
    <col min="5136" max="5139" width="9.140625" style="504"/>
    <col min="5140" max="5140" width="12.42578125" style="504" customWidth="1"/>
    <col min="5141" max="5141" width="9.140625" style="504"/>
    <col min="5142" max="5142" width="12" style="504" customWidth="1"/>
    <col min="5143" max="5376" width="9.140625" style="504"/>
    <col min="5377" max="5377" width="5" style="504" customWidth="1"/>
    <col min="5378" max="5378" width="19.42578125" style="504" customWidth="1"/>
    <col min="5379" max="5379" width="10.7109375" style="504" bestFit="1" customWidth="1"/>
    <col min="5380" max="5380" width="7" style="504" bestFit="1" customWidth="1"/>
    <col min="5381" max="5381" width="8.5703125" style="504" bestFit="1" customWidth="1"/>
    <col min="5382" max="5382" width="9.28515625" style="504" bestFit="1" customWidth="1"/>
    <col min="5383" max="5383" width="10.42578125" style="504" bestFit="1" customWidth="1"/>
    <col min="5384" max="5384" width="10.28515625" style="504" bestFit="1" customWidth="1"/>
    <col min="5385" max="5385" width="7.140625" style="504" bestFit="1" customWidth="1"/>
    <col min="5386" max="5386" width="7" style="504" customWidth="1"/>
    <col min="5387" max="5387" width="8" style="504" bestFit="1" customWidth="1"/>
    <col min="5388" max="5388" width="7" style="504" bestFit="1" customWidth="1"/>
    <col min="5389" max="5389" width="6.85546875" style="504" bestFit="1" customWidth="1"/>
    <col min="5390" max="5390" width="7" style="504" bestFit="1" customWidth="1"/>
    <col min="5391" max="5391" width="8.85546875" style="504" customWidth="1"/>
    <col min="5392" max="5395" width="9.140625" style="504"/>
    <col min="5396" max="5396" width="12.42578125" style="504" customWidth="1"/>
    <col min="5397" max="5397" width="9.140625" style="504"/>
    <col min="5398" max="5398" width="12" style="504" customWidth="1"/>
    <col min="5399" max="5632" width="9.140625" style="504"/>
    <col min="5633" max="5633" width="5" style="504" customWidth="1"/>
    <col min="5634" max="5634" width="19.42578125" style="504" customWidth="1"/>
    <col min="5635" max="5635" width="10.7109375" style="504" bestFit="1" customWidth="1"/>
    <col min="5636" max="5636" width="7" style="504" bestFit="1" customWidth="1"/>
    <col min="5637" max="5637" width="8.5703125" style="504" bestFit="1" customWidth="1"/>
    <col min="5638" max="5638" width="9.28515625" style="504" bestFit="1" customWidth="1"/>
    <col min="5639" max="5639" width="10.42578125" style="504" bestFit="1" customWidth="1"/>
    <col min="5640" max="5640" width="10.28515625" style="504" bestFit="1" customWidth="1"/>
    <col min="5641" max="5641" width="7.140625" style="504" bestFit="1" customWidth="1"/>
    <col min="5642" max="5642" width="7" style="504" customWidth="1"/>
    <col min="5643" max="5643" width="8" style="504" bestFit="1" customWidth="1"/>
    <col min="5644" max="5644" width="7" style="504" bestFit="1" customWidth="1"/>
    <col min="5645" max="5645" width="6.85546875" style="504" bestFit="1" customWidth="1"/>
    <col min="5646" max="5646" width="7" style="504" bestFit="1" customWidth="1"/>
    <col min="5647" max="5647" width="8.85546875" style="504" customWidth="1"/>
    <col min="5648" max="5651" width="9.140625" style="504"/>
    <col min="5652" max="5652" width="12.42578125" style="504" customWidth="1"/>
    <col min="5653" max="5653" width="9.140625" style="504"/>
    <col min="5654" max="5654" width="12" style="504" customWidth="1"/>
    <col min="5655" max="5888" width="9.140625" style="504"/>
    <col min="5889" max="5889" width="5" style="504" customWidth="1"/>
    <col min="5890" max="5890" width="19.42578125" style="504" customWidth="1"/>
    <col min="5891" max="5891" width="10.7109375" style="504" bestFit="1" customWidth="1"/>
    <col min="5892" max="5892" width="7" style="504" bestFit="1" customWidth="1"/>
    <col min="5893" max="5893" width="8.5703125" style="504" bestFit="1" customWidth="1"/>
    <col min="5894" max="5894" width="9.28515625" style="504" bestFit="1" customWidth="1"/>
    <col min="5895" max="5895" width="10.42578125" style="504" bestFit="1" customWidth="1"/>
    <col min="5896" max="5896" width="10.28515625" style="504" bestFit="1" customWidth="1"/>
    <col min="5897" max="5897" width="7.140625" style="504" bestFit="1" customWidth="1"/>
    <col min="5898" max="5898" width="7" style="504" customWidth="1"/>
    <col min="5899" max="5899" width="8" style="504" bestFit="1" customWidth="1"/>
    <col min="5900" max="5900" width="7" style="504" bestFit="1" customWidth="1"/>
    <col min="5901" max="5901" width="6.85546875" style="504" bestFit="1" customWidth="1"/>
    <col min="5902" max="5902" width="7" style="504" bestFit="1" customWidth="1"/>
    <col min="5903" max="5903" width="8.85546875" style="504" customWidth="1"/>
    <col min="5904" max="5907" width="9.140625" style="504"/>
    <col min="5908" max="5908" width="12.42578125" style="504" customWidth="1"/>
    <col min="5909" max="5909" width="9.140625" style="504"/>
    <col min="5910" max="5910" width="12" style="504" customWidth="1"/>
    <col min="5911" max="6144" width="9.140625" style="504"/>
    <col min="6145" max="6145" width="5" style="504" customWidth="1"/>
    <col min="6146" max="6146" width="19.42578125" style="504" customWidth="1"/>
    <col min="6147" max="6147" width="10.7109375" style="504" bestFit="1" customWidth="1"/>
    <col min="6148" max="6148" width="7" style="504" bestFit="1" customWidth="1"/>
    <col min="6149" max="6149" width="8.5703125" style="504" bestFit="1" customWidth="1"/>
    <col min="6150" max="6150" width="9.28515625" style="504" bestFit="1" customWidth="1"/>
    <col min="6151" max="6151" width="10.42578125" style="504" bestFit="1" customWidth="1"/>
    <col min="6152" max="6152" width="10.28515625" style="504" bestFit="1" customWidth="1"/>
    <col min="6153" max="6153" width="7.140625" style="504" bestFit="1" customWidth="1"/>
    <col min="6154" max="6154" width="7" style="504" customWidth="1"/>
    <col min="6155" max="6155" width="8" style="504" bestFit="1" customWidth="1"/>
    <col min="6156" max="6156" width="7" style="504" bestFit="1" customWidth="1"/>
    <col min="6157" max="6157" width="6.85546875" style="504" bestFit="1" customWidth="1"/>
    <col min="6158" max="6158" width="7" style="504" bestFit="1" customWidth="1"/>
    <col min="6159" max="6159" width="8.85546875" style="504" customWidth="1"/>
    <col min="6160" max="6163" width="9.140625" style="504"/>
    <col min="6164" max="6164" width="12.42578125" style="504" customWidth="1"/>
    <col min="6165" max="6165" width="9.140625" style="504"/>
    <col min="6166" max="6166" width="12" style="504" customWidth="1"/>
    <col min="6167" max="6400" width="9.140625" style="504"/>
    <col min="6401" max="6401" width="5" style="504" customWidth="1"/>
    <col min="6402" max="6402" width="19.42578125" style="504" customWidth="1"/>
    <col min="6403" max="6403" width="10.7109375" style="504" bestFit="1" customWidth="1"/>
    <col min="6404" max="6404" width="7" style="504" bestFit="1" customWidth="1"/>
    <col min="6405" max="6405" width="8.5703125" style="504" bestFit="1" customWidth="1"/>
    <col min="6406" max="6406" width="9.28515625" style="504" bestFit="1" customWidth="1"/>
    <col min="6407" max="6407" width="10.42578125" style="504" bestFit="1" customWidth="1"/>
    <col min="6408" max="6408" width="10.28515625" style="504" bestFit="1" customWidth="1"/>
    <col min="6409" max="6409" width="7.140625" style="504" bestFit="1" customWidth="1"/>
    <col min="6410" max="6410" width="7" style="504" customWidth="1"/>
    <col min="6411" max="6411" width="8" style="504" bestFit="1" customWidth="1"/>
    <col min="6412" max="6412" width="7" style="504" bestFit="1" customWidth="1"/>
    <col min="6413" max="6413" width="6.85546875" style="504" bestFit="1" customWidth="1"/>
    <col min="6414" max="6414" width="7" style="504" bestFit="1" customWidth="1"/>
    <col min="6415" max="6415" width="8.85546875" style="504" customWidth="1"/>
    <col min="6416" max="6419" width="9.140625" style="504"/>
    <col min="6420" max="6420" width="12.42578125" style="504" customWidth="1"/>
    <col min="6421" max="6421" width="9.140625" style="504"/>
    <col min="6422" max="6422" width="12" style="504" customWidth="1"/>
    <col min="6423" max="6656" width="9.140625" style="504"/>
    <col min="6657" max="6657" width="5" style="504" customWidth="1"/>
    <col min="6658" max="6658" width="19.42578125" style="504" customWidth="1"/>
    <col min="6659" max="6659" width="10.7109375" style="504" bestFit="1" customWidth="1"/>
    <col min="6660" max="6660" width="7" style="504" bestFit="1" customWidth="1"/>
    <col min="6661" max="6661" width="8.5703125" style="504" bestFit="1" customWidth="1"/>
    <col min="6662" max="6662" width="9.28515625" style="504" bestFit="1" customWidth="1"/>
    <col min="6663" max="6663" width="10.42578125" style="504" bestFit="1" customWidth="1"/>
    <col min="6664" max="6664" width="10.28515625" style="504" bestFit="1" customWidth="1"/>
    <col min="6665" max="6665" width="7.140625" style="504" bestFit="1" customWidth="1"/>
    <col min="6666" max="6666" width="7" style="504" customWidth="1"/>
    <col min="6667" max="6667" width="8" style="504" bestFit="1" customWidth="1"/>
    <col min="6668" max="6668" width="7" style="504" bestFit="1" customWidth="1"/>
    <col min="6669" max="6669" width="6.85546875" style="504" bestFit="1" customWidth="1"/>
    <col min="6670" max="6670" width="7" style="504" bestFit="1" customWidth="1"/>
    <col min="6671" max="6671" width="8.85546875" style="504" customWidth="1"/>
    <col min="6672" max="6675" width="9.140625" style="504"/>
    <col min="6676" max="6676" width="12.42578125" style="504" customWidth="1"/>
    <col min="6677" max="6677" width="9.140625" style="504"/>
    <col min="6678" max="6678" width="12" style="504" customWidth="1"/>
    <col min="6679" max="6912" width="9.140625" style="504"/>
    <col min="6913" max="6913" width="5" style="504" customWidth="1"/>
    <col min="6914" max="6914" width="19.42578125" style="504" customWidth="1"/>
    <col min="6915" max="6915" width="10.7109375" style="504" bestFit="1" customWidth="1"/>
    <col min="6916" max="6916" width="7" style="504" bestFit="1" customWidth="1"/>
    <col min="6917" max="6917" width="8.5703125" style="504" bestFit="1" customWidth="1"/>
    <col min="6918" max="6918" width="9.28515625" style="504" bestFit="1" customWidth="1"/>
    <col min="6919" max="6919" width="10.42578125" style="504" bestFit="1" customWidth="1"/>
    <col min="6920" max="6920" width="10.28515625" style="504" bestFit="1" customWidth="1"/>
    <col min="6921" max="6921" width="7.140625" style="504" bestFit="1" customWidth="1"/>
    <col min="6922" max="6922" width="7" style="504" customWidth="1"/>
    <col min="6923" max="6923" width="8" style="504" bestFit="1" customWidth="1"/>
    <col min="6924" max="6924" width="7" style="504" bestFit="1" customWidth="1"/>
    <col min="6925" max="6925" width="6.85546875" style="504" bestFit="1" customWidth="1"/>
    <col min="6926" max="6926" width="7" style="504" bestFit="1" customWidth="1"/>
    <col min="6927" max="6927" width="8.85546875" style="504" customWidth="1"/>
    <col min="6928" max="6931" width="9.140625" style="504"/>
    <col min="6932" max="6932" width="12.42578125" style="504" customWidth="1"/>
    <col min="6933" max="6933" width="9.140625" style="504"/>
    <col min="6934" max="6934" width="12" style="504" customWidth="1"/>
    <col min="6935" max="7168" width="9.140625" style="504"/>
    <col min="7169" max="7169" width="5" style="504" customWidth="1"/>
    <col min="7170" max="7170" width="19.42578125" style="504" customWidth="1"/>
    <col min="7171" max="7171" width="10.7109375" style="504" bestFit="1" customWidth="1"/>
    <col min="7172" max="7172" width="7" style="504" bestFit="1" customWidth="1"/>
    <col min="7173" max="7173" width="8.5703125" style="504" bestFit="1" customWidth="1"/>
    <col min="7174" max="7174" width="9.28515625" style="504" bestFit="1" customWidth="1"/>
    <col min="7175" max="7175" width="10.42578125" style="504" bestFit="1" customWidth="1"/>
    <col min="7176" max="7176" width="10.28515625" style="504" bestFit="1" customWidth="1"/>
    <col min="7177" max="7177" width="7.140625" style="504" bestFit="1" customWidth="1"/>
    <col min="7178" max="7178" width="7" style="504" customWidth="1"/>
    <col min="7179" max="7179" width="8" style="504" bestFit="1" customWidth="1"/>
    <col min="7180" max="7180" width="7" style="504" bestFit="1" customWidth="1"/>
    <col min="7181" max="7181" width="6.85546875" style="504" bestFit="1" customWidth="1"/>
    <col min="7182" max="7182" width="7" style="504" bestFit="1" customWidth="1"/>
    <col min="7183" max="7183" width="8.85546875" style="504" customWidth="1"/>
    <col min="7184" max="7187" width="9.140625" style="504"/>
    <col min="7188" max="7188" width="12.42578125" style="504" customWidth="1"/>
    <col min="7189" max="7189" width="9.140625" style="504"/>
    <col min="7190" max="7190" width="12" style="504" customWidth="1"/>
    <col min="7191" max="7424" width="9.140625" style="504"/>
    <col min="7425" max="7425" width="5" style="504" customWidth="1"/>
    <col min="7426" max="7426" width="19.42578125" style="504" customWidth="1"/>
    <col min="7427" max="7427" width="10.7109375" style="504" bestFit="1" customWidth="1"/>
    <col min="7428" max="7428" width="7" style="504" bestFit="1" customWidth="1"/>
    <col min="7429" max="7429" width="8.5703125" style="504" bestFit="1" customWidth="1"/>
    <col min="7430" max="7430" width="9.28515625" style="504" bestFit="1" customWidth="1"/>
    <col min="7431" max="7431" width="10.42578125" style="504" bestFit="1" customWidth="1"/>
    <col min="7432" max="7432" width="10.28515625" style="504" bestFit="1" customWidth="1"/>
    <col min="7433" max="7433" width="7.140625" style="504" bestFit="1" customWidth="1"/>
    <col min="7434" max="7434" width="7" style="504" customWidth="1"/>
    <col min="7435" max="7435" width="8" style="504" bestFit="1" customWidth="1"/>
    <col min="7436" max="7436" width="7" style="504" bestFit="1" customWidth="1"/>
    <col min="7437" max="7437" width="6.85546875" style="504" bestFit="1" customWidth="1"/>
    <col min="7438" max="7438" width="7" style="504" bestFit="1" customWidth="1"/>
    <col min="7439" max="7439" width="8.85546875" style="504" customWidth="1"/>
    <col min="7440" max="7443" width="9.140625" style="504"/>
    <col min="7444" max="7444" width="12.42578125" style="504" customWidth="1"/>
    <col min="7445" max="7445" width="9.140625" style="504"/>
    <col min="7446" max="7446" width="12" style="504" customWidth="1"/>
    <col min="7447" max="7680" width="9.140625" style="504"/>
    <col min="7681" max="7681" width="5" style="504" customWidth="1"/>
    <col min="7682" max="7682" width="19.42578125" style="504" customWidth="1"/>
    <col min="7683" max="7683" width="10.7109375" style="504" bestFit="1" customWidth="1"/>
    <col min="7684" max="7684" width="7" style="504" bestFit="1" customWidth="1"/>
    <col min="7685" max="7685" width="8.5703125" style="504" bestFit="1" customWidth="1"/>
    <col min="7686" max="7686" width="9.28515625" style="504" bestFit="1" customWidth="1"/>
    <col min="7687" max="7687" width="10.42578125" style="504" bestFit="1" customWidth="1"/>
    <col min="7688" max="7688" width="10.28515625" style="504" bestFit="1" customWidth="1"/>
    <col min="7689" max="7689" width="7.140625" style="504" bestFit="1" customWidth="1"/>
    <col min="7690" max="7690" width="7" style="504" customWidth="1"/>
    <col min="7691" max="7691" width="8" style="504" bestFit="1" customWidth="1"/>
    <col min="7692" max="7692" width="7" style="504" bestFit="1" customWidth="1"/>
    <col min="7693" max="7693" width="6.85546875" style="504" bestFit="1" customWidth="1"/>
    <col min="7694" max="7694" width="7" style="504" bestFit="1" customWidth="1"/>
    <col min="7695" max="7695" width="8.85546875" style="504" customWidth="1"/>
    <col min="7696" max="7699" width="9.140625" style="504"/>
    <col min="7700" max="7700" width="12.42578125" style="504" customWidth="1"/>
    <col min="7701" max="7701" width="9.140625" style="504"/>
    <col min="7702" max="7702" width="12" style="504" customWidth="1"/>
    <col min="7703" max="7936" width="9.140625" style="504"/>
    <col min="7937" max="7937" width="5" style="504" customWidth="1"/>
    <col min="7938" max="7938" width="19.42578125" style="504" customWidth="1"/>
    <col min="7939" max="7939" width="10.7109375" style="504" bestFit="1" customWidth="1"/>
    <col min="7940" max="7940" width="7" style="504" bestFit="1" customWidth="1"/>
    <col min="7941" max="7941" width="8.5703125" style="504" bestFit="1" customWidth="1"/>
    <col min="7942" max="7942" width="9.28515625" style="504" bestFit="1" customWidth="1"/>
    <col min="7943" max="7943" width="10.42578125" style="504" bestFit="1" customWidth="1"/>
    <col min="7944" max="7944" width="10.28515625" style="504" bestFit="1" customWidth="1"/>
    <col min="7945" max="7945" width="7.140625" style="504" bestFit="1" customWidth="1"/>
    <col min="7946" max="7946" width="7" style="504" customWidth="1"/>
    <col min="7947" max="7947" width="8" style="504" bestFit="1" customWidth="1"/>
    <col min="7948" max="7948" width="7" style="504" bestFit="1" customWidth="1"/>
    <col min="7949" max="7949" width="6.85546875" style="504" bestFit="1" customWidth="1"/>
    <col min="7950" max="7950" width="7" style="504" bestFit="1" customWidth="1"/>
    <col min="7951" max="7951" width="8.85546875" style="504" customWidth="1"/>
    <col min="7952" max="7955" width="9.140625" style="504"/>
    <col min="7956" max="7956" width="12.42578125" style="504" customWidth="1"/>
    <col min="7957" max="7957" width="9.140625" style="504"/>
    <col min="7958" max="7958" width="12" style="504" customWidth="1"/>
    <col min="7959" max="8192" width="9.140625" style="504"/>
    <col min="8193" max="8193" width="5" style="504" customWidth="1"/>
    <col min="8194" max="8194" width="19.42578125" style="504" customWidth="1"/>
    <col min="8195" max="8195" width="10.7109375" style="504" bestFit="1" customWidth="1"/>
    <col min="8196" max="8196" width="7" style="504" bestFit="1" customWidth="1"/>
    <col min="8197" max="8197" width="8.5703125" style="504" bestFit="1" customWidth="1"/>
    <col min="8198" max="8198" width="9.28515625" style="504" bestFit="1" customWidth="1"/>
    <col min="8199" max="8199" width="10.42578125" style="504" bestFit="1" customWidth="1"/>
    <col min="8200" max="8200" width="10.28515625" style="504" bestFit="1" customWidth="1"/>
    <col min="8201" max="8201" width="7.140625" style="504" bestFit="1" customWidth="1"/>
    <col min="8202" max="8202" width="7" style="504" customWidth="1"/>
    <col min="8203" max="8203" width="8" style="504" bestFit="1" customWidth="1"/>
    <col min="8204" max="8204" width="7" style="504" bestFit="1" customWidth="1"/>
    <col min="8205" max="8205" width="6.85546875" style="504" bestFit="1" customWidth="1"/>
    <col min="8206" max="8206" width="7" style="504" bestFit="1" customWidth="1"/>
    <col min="8207" max="8207" width="8.85546875" style="504" customWidth="1"/>
    <col min="8208" max="8211" width="9.140625" style="504"/>
    <col min="8212" max="8212" width="12.42578125" style="504" customWidth="1"/>
    <col min="8213" max="8213" width="9.140625" style="504"/>
    <col min="8214" max="8214" width="12" style="504" customWidth="1"/>
    <col min="8215" max="8448" width="9.140625" style="504"/>
    <col min="8449" max="8449" width="5" style="504" customWidth="1"/>
    <col min="8450" max="8450" width="19.42578125" style="504" customWidth="1"/>
    <col min="8451" max="8451" width="10.7109375" style="504" bestFit="1" customWidth="1"/>
    <col min="8452" max="8452" width="7" style="504" bestFit="1" customWidth="1"/>
    <col min="8453" max="8453" width="8.5703125" style="504" bestFit="1" customWidth="1"/>
    <col min="8454" max="8454" width="9.28515625" style="504" bestFit="1" customWidth="1"/>
    <col min="8455" max="8455" width="10.42578125" style="504" bestFit="1" customWidth="1"/>
    <col min="8456" max="8456" width="10.28515625" style="504" bestFit="1" customWidth="1"/>
    <col min="8457" max="8457" width="7.140625" style="504" bestFit="1" customWidth="1"/>
    <col min="8458" max="8458" width="7" style="504" customWidth="1"/>
    <col min="8459" max="8459" width="8" style="504" bestFit="1" customWidth="1"/>
    <col min="8460" max="8460" width="7" style="504" bestFit="1" customWidth="1"/>
    <col min="8461" max="8461" width="6.85546875" style="504" bestFit="1" customWidth="1"/>
    <col min="8462" max="8462" width="7" style="504" bestFit="1" customWidth="1"/>
    <col min="8463" max="8463" width="8.85546875" style="504" customWidth="1"/>
    <col min="8464" max="8467" width="9.140625" style="504"/>
    <col min="8468" max="8468" width="12.42578125" style="504" customWidth="1"/>
    <col min="8469" max="8469" width="9.140625" style="504"/>
    <col min="8470" max="8470" width="12" style="504" customWidth="1"/>
    <col min="8471" max="8704" width="9.140625" style="504"/>
    <col min="8705" max="8705" width="5" style="504" customWidth="1"/>
    <col min="8706" max="8706" width="19.42578125" style="504" customWidth="1"/>
    <col min="8707" max="8707" width="10.7109375" style="504" bestFit="1" customWidth="1"/>
    <col min="8708" max="8708" width="7" style="504" bestFit="1" customWidth="1"/>
    <col min="8709" max="8709" width="8.5703125" style="504" bestFit="1" customWidth="1"/>
    <col min="8710" max="8710" width="9.28515625" style="504" bestFit="1" customWidth="1"/>
    <col min="8711" max="8711" width="10.42578125" style="504" bestFit="1" customWidth="1"/>
    <col min="8712" max="8712" width="10.28515625" style="504" bestFit="1" customWidth="1"/>
    <col min="8713" max="8713" width="7.140625" style="504" bestFit="1" customWidth="1"/>
    <col min="8714" max="8714" width="7" style="504" customWidth="1"/>
    <col min="8715" max="8715" width="8" style="504" bestFit="1" customWidth="1"/>
    <col min="8716" max="8716" width="7" style="504" bestFit="1" customWidth="1"/>
    <col min="8717" max="8717" width="6.85546875" style="504" bestFit="1" customWidth="1"/>
    <col min="8718" max="8718" width="7" style="504" bestFit="1" customWidth="1"/>
    <col min="8719" max="8719" width="8.85546875" style="504" customWidth="1"/>
    <col min="8720" max="8723" width="9.140625" style="504"/>
    <col min="8724" max="8724" width="12.42578125" style="504" customWidth="1"/>
    <col min="8725" max="8725" width="9.140625" style="504"/>
    <col min="8726" max="8726" width="12" style="504" customWidth="1"/>
    <col min="8727" max="8960" width="9.140625" style="504"/>
    <col min="8961" max="8961" width="5" style="504" customWidth="1"/>
    <col min="8962" max="8962" width="19.42578125" style="504" customWidth="1"/>
    <col min="8963" max="8963" width="10.7109375" style="504" bestFit="1" customWidth="1"/>
    <col min="8964" max="8964" width="7" style="504" bestFit="1" customWidth="1"/>
    <col min="8965" max="8965" width="8.5703125" style="504" bestFit="1" customWidth="1"/>
    <col min="8966" max="8966" width="9.28515625" style="504" bestFit="1" customWidth="1"/>
    <col min="8967" max="8967" width="10.42578125" style="504" bestFit="1" customWidth="1"/>
    <col min="8968" max="8968" width="10.28515625" style="504" bestFit="1" customWidth="1"/>
    <col min="8969" max="8969" width="7.140625" style="504" bestFit="1" customWidth="1"/>
    <col min="8970" max="8970" width="7" style="504" customWidth="1"/>
    <col min="8971" max="8971" width="8" style="504" bestFit="1" customWidth="1"/>
    <col min="8972" max="8972" width="7" style="504" bestFit="1" customWidth="1"/>
    <col min="8973" max="8973" width="6.85546875" style="504" bestFit="1" customWidth="1"/>
    <col min="8974" max="8974" width="7" style="504" bestFit="1" customWidth="1"/>
    <col min="8975" max="8975" width="8.85546875" style="504" customWidth="1"/>
    <col min="8976" max="8979" width="9.140625" style="504"/>
    <col min="8980" max="8980" width="12.42578125" style="504" customWidth="1"/>
    <col min="8981" max="8981" width="9.140625" style="504"/>
    <col min="8982" max="8982" width="12" style="504" customWidth="1"/>
    <col min="8983" max="9216" width="9.140625" style="504"/>
    <col min="9217" max="9217" width="5" style="504" customWidth="1"/>
    <col min="9218" max="9218" width="19.42578125" style="504" customWidth="1"/>
    <col min="9219" max="9219" width="10.7109375" style="504" bestFit="1" customWidth="1"/>
    <col min="9220" max="9220" width="7" style="504" bestFit="1" customWidth="1"/>
    <col min="9221" max="9221" width="8.5703125" style="504" bestFit="1" customWidth="1"/>
    <col min="9222" max="9222" width="9.28515625" style="504" bestFit="1" customWidth="1"/>
    <col min="9223" max="9223" width="10.42578125" style="504" bestFit="1" customWidth="1"/>
    <col min="9224" max="9224" width="10.28515625" style="504" bestFit="1" customWidth="1"/>
    <col min="9225" max="9225" width="7.140625" style="504" bestFit="1" customWidth="1"/>
    <col min="9226" max="9226" width="7" style="504" customWidth="1"/>
    <col min="9227" max="9227" width="8" style="504" bestFit="1" customWidth="1"/>
    <col min="9228" max="9228" width="7" style="504" bestFit="1" customWidth="1"/>
    <col min="9229" max="9229" width="6.85546875" style="504" bestFit="1" customWidth="1"/>
    <col min="9230" max="9230" width="7" style="504" bestFit="1" customWidth="1"/>
    <col min="9231" max="9231" width="8.85546875" style="504" customWidth="1"/>
    <col min="9232" max="9235" width="9.140625" style="504"/>
    <col min="9236" max="9236" width="12.42578125" style="504" customWidth="1"/>
    <col min="9237" max="9237" width="9.140625" style="504"/>
    <col min="9238" max="9238" width="12" style="504" customWidth="1"/>
    <col min="9239" max="9472" width="9.140625" style="504"/>
    <col min="9473" max="9473" width="5" style="504" customWidth="1"/>
    <col min="9474" max="9474" width="19.42578125" style="504" customWidth="1"/>
    <col min="9475" max="9475" width="10.7109375" style="504" bestFit="1" customWidth="1"/>
    <col min="9476" max="9476" width="7" style="504" bestFit="1" customWidth="1"/>
    <col min="9477" max="9477" width="8.5703125" style="504" bestFit="1" customWidth="1"/>
    <col min="9478" max="9478" width="9.28515625" style="504" bestFit="1" customWidth="1"/>
    <col min="9479" max="9479" width="10.42578125" style="504" bestFit="1" customWidth="1"/>
    <col min="9480" max="9480" width="10.28515625" style="504" bestFit="1" customWidth="1"/>
    <col min="9481" max="9481" width="7.140625" style="504" bestFit="1" customWidth="1"/>
    <col min="9482" max="9482" width="7" style="504" customWidth="1"/>
    <col min="9483" max="9483" width="8" style="504" bestFit="1" customWidth="1"/>
    <col min="9484" max="9484" width="7" style="504" bestFit="1" customWidth="1"/>
    <col min="9485" max="9485" width="6.85546875" style="504" bestFit="1" customWidth="1"/>
    <col min="9486" max="9486" width="7" style="504" bestFit="1" customWidth="1"/>
    <col min="9487" max="9487" width="8.85546875" style="504" customWidth="1"/>
    <col min="9488" max="9491" width="9.140625" style="504"/>
    <col min="9492" max="9492" width="12.42578125" style="504" customWidth="1"/>
    <col min="9493" max="9493" width="9.140625" style="504"/>
    <col min="9494" max="9494" width="12" style="504" customWidth="1"/>
    <col min="9495" max="9728" width="9.140625" style="504"/>
    <col min="9729" max="9729" width="5" style="504" customWidth="1"/>
    <col min="9730" max="9730" width="19.42578125" style="504" customWidth="1"/>
    <col min="9731" max="9731" width="10.7109375" style="504" bestFit="1" customWidth="1"/>
    <col min="9732" max="9732" width="7" style="504" bestFit="1" customWidth="1"/>
    <col min="9733" max="9733" width="8.5703125" style="504" bestFit="1" customWidth="1"/>
    <col min="9734" max="9734" width="9.28515625" style="504" bestFit="1" customWidth="1"/>
    <col min="9735" max="9735" width="10.42578125" style="504" bestFit="1" customWidth="1"/>
    <col min="9736" max="9736" width="10.28515625" style="504" bestFit="1" customWidth="1"/>
    <col min="9737" max="9737" width="7.140625" style="504" bestFit="1" customWidth="1"/>
    <col min="9738" max="9738" width="7" style="504" customWidth="1"/>
    <col min="9739" max="9739" width="8" style="504" bestFit="1" customWidth="1"/>
    <col min="9740" max="9740" width="7" style="504" bestFit="1" customWidth="1"/>
    <col min="9741" max="9741" width="6.85546875" style="504" bestFit="1" customWidth="1"/>
    <col min="9742" max="9742" width="7" style="504" bestFit="1" customWidth="1"/>
    <col min="9743" max="9743" width="8.85546875" style="504" customWidth="1"/>
    <col min="9744" max="9747" width="9.140625" style="504"/>
    <col min="9748" max="9748" width="12.42578125" style="504" customWidth="1"/>
    <col min="9749" max="9749" width="9.140625" style="504"/>
    <col min="9750" max="9750" width="12" style="504" customWidth="1"/>
    <col min="9751" max="9984" width="9.140625" style="504"/>
    <col min="9985" max="9985" width="5" style="504" customWidth="1"/>
    <col min="9986" max="9986" width="19.42578125" style="504" customWidth="1"/>
    <col min="9987" max="9987" width="10.7109375" style="504" bestFit="1" customWidth="1"/>
    <col min="9988" max="9988" width="7" style="504" bestFit="1" customWidth="1"/>
    <col min="9989" max="9989" width="8.5703125" style="504" bestFit="1" customWidth="1"/>
    <col min="9990" max="9990" width="9.28515625" style="504" bestFit="1" customWidth="1"/>
    <col min="9991" max="9991" width="10.42578125" style="504" bestFit="1" customWidth="1"/>
    <col min="9992" max="9992" width="10.28515625" style="504" bestFit="1" customWidth="1"/>
    <col min="9993" max="9993" width="7.140625" style="504" bestFit="1" customWidth="1"/>
    <col min="9994" max="9994" width="7" style="504" customWidth="1"/>
    <col min="9995" max="9995" width="8" style="504" bestFit="1" customWidth="1"/>
    <col min="9996" max="9996" width="7" style="504" bestFit="1" customWidth="1"/>
    <col min="9997" max="9997" width="6.85546875" style="504" bestFit="1" customWidth="1"/>
    <col min="9998" max="9998" width="7" style="504" bestFit="1" customWidth="1"/>
    <col min="9999" max="9999" width="8.85546875" style="504" customWidth="1"/>
    <col min="10000" max="10003" width="9.140625" style="504"/>
    <col min="10004" max="10004" width="12.42578125" style="504" customWidth="1"/>
    <col min="10005" max="10005" width="9.140625" style="504"/>
    <col min="10006" max="10006" width="12" style="504" customWidth="1"/>
    <col min="10007" max="10240" width="9.140625" style="504"/>
    <col min="10241" max="10241" width="5" style="504" customWidth="1"/>
    <col min="10242" max="10242" width="19.42578125" style="504" customWidth="1"/>
    <col min="10243" max="10243" width="10.7109375" style="504" bestFit="1" customWidth="1"/>
    <col min="10244" max="10244" width="7" style="504" bestFit="1" customWidth="1"/>
    <col min="10245" max="10245" width="8.5703125" style="504" bestFit="1" customWidth="1"/>
    <col min="10246" max="10246" width="9.28515625" style="504" bestFit="1" customWidth="1"/>
    <col min="10247" max="10247" width="10.42578125" style="504" bestFit="1" customWidth="1"/>
    <col min="10248" max="10248" width="10.28515625" style="504" bestFit="1" customWidth="1"/>
    <col min="10249" max="10249" width="7.140625" style="504" bestFit="1" customWidth="1"/>
    <col min="10250" max="10250" width="7" style="504" customWidth="1"/>
    <col min="10251" max="10251" width="8" style="504" bestFit="1" customWidth="1"/>
    <col min="10252" max="10252" width="7" style="504" bestFit="1" customWidth="1"/>
    <col min="10253" max="10253" width="6.85546875" style="504" bestFit="1" customWidth="1"/>
    <col min="10254" max="10254" width="7" style="504" bestFit="1" customWidth="1"/>
    <col min="10255" max="10255" width="8.85546875" style="504" customWidth="1"/>
    <col min="10256" max="10259" width="9.140625" style="504"/>
    <col min="10260" max="10260" width="12.42578125" style="504" customWidth="1"/>
    <col min="10261" max="10261" width="9.140625" style="504"/>
    <col min="10262" max="10262" width="12" style="504" customWidth="1"/>
    <col min="10263" max="10496" width="9.140625" style="504"/>
    <col min="10497" max="10497" width="5" style="504" customWidth="1"/>
    <col min="10498" max="10498" width="19.42578125" style="504" customWidth="1"/>
    <col min="10499" max="10499" width="10.7109375" style="504" bestFit="1" customWidth="1"/>
    <col min="10500" max="10500" width="7" style="504" bestFit="1" customWidth="1"/>
    <col min="10501" max="10501" width="8.5703125" style="504" bestFit="1" customWidth="1"/>
    <col min="10502" max="10502" width="9.28515625" style="504" bestFit="1" customWidth="1"/>
    <col min="10503" max="10503" width="10.42578125" style="504" bestFit="1" customWidth="1"/>
    <col min="10504" max="10504" width="10.28515625" style="504" bestFit="1" customWidth="1"/>
    <col min="10505" max="10505" width="7.140625" style="504" bestFit="1" customWidth="1"/>
    <col min="10506" max="10506" width="7" style="504" customWidth="1"/>
    <col min="10507" max="10507" width="8" style="504" bestFit="1" customWidth="1"/>
    <col min="10508" max="10508" width="7" style="504" bestFit="1" customWidth="1"/>
    <col min="10509" max="10509" width="6.85546875" style="504" bestFit="1" customWidth="1"/>
    <col min="10510" max="10510" width="7" style="504" bestFit="1" customWidth="1"/>
    <col min="10511" max="10511" width="8.85546875" style="504" customWidth="1"/>
    <col min="10512" max="10515" width="9.140625" style="504"/>
    <col min="10516" max="10516" width="12.42578125" style="504" customWidth="1"/>
    <col min="10517" max="10517" width="9.140625" style="504"/>
    <col min="10518" max="10518" width="12" style="504" customWidth="1"/>
    <col min="10519" max="10752" width="9.140625" style="504"/>
    <col min="10753" max="10753" width="5" style="504" customWidth="1"/>
    <col min="10754" max="10754" width="19.42578125" style="504" customWidth="1"/>
    <col min="10755" max="10755" width="10.7109375" style="504" bestFit="1" customWidth="1"/>
    <col min="10756" max="10756" width="7" style="504" bestFit="1" customWidth="1"/>
    <col min="10757" max="10757" width="8.5703125" style="504" bestFit="1" customWidth="1"/>
    <col min="10758" max="10758" width="9.28515625" style="504" bestFit="1" customWidth="1"/>
    <col min="10759" max="10759" width="10.42578125" style="504" bestFit="1" customWidth="1"/>
    <col min="10760" max="10760" width="10.28515625" style="504" bestFit="1" customWidth="1"/>
    <col min="10761" max="10761" width="7.140625" style="504" bestFit="1" customWidth="1"/>
    <col min="10762" max="10762" width="7" style="504" customWidth="1"/>
    <col min="10763" max="10763" width="8" style="504" bestFit="1" customWidth="1"/>
    <col min="10764" max="10764" width="7" style="504" bestFit="1" customWidth="1"/>
    <col min="10765" max="10765" width="6.85546875" style="504" bestFit="1" customWidth="1"/>
    <col min="10766" max="10766" width="7" style="504" bestFit="1" customWidth="1"/>
    <col min="10767" max="10767" width="8.85546875" style="504" customWidth="1"/>
    <col min="10768" max="10771" width="9.140625" style="504"/>
    <col min="10772" max="10772" width="12.42578125" style="504" customWidth="1"/>
    <col min="10773" max="10773" width="9.140625" style="504"/>
    <col min="10774" max="10774" width="12" style="504" customWidth="1"/>
    <col min="10775" max="11008" width="9.140625" style="504"/>
    <col min="11009" max="11009" width="5" style="504" customWidth="1"/>
    <col min="11010" max="11010" width="19.42578125" style="504" customWidth="1"/>
    <col min="11011" max="11011" width="10.7109375" style="504" bestFit="1" customWidth="1"/>
    <col min="11012" max="11012" width="7" style="504" bestFit="1" customWidth="1"/>
    <col min="11013" max="11013" width="8.5703125" style="504" bestFit="1" customWidth="1"/>
    <col min="11014" max="11014" width="9.28515625" style="504" bestFit="1" customWidth="1"/>
    <col min="11015" max="11015" width="10.42578125" style="504" bestFit="1" customWidth="1"/>
    <col min="11016" max="11016" width="10.28515625" style="504" bestFit="1" customWidth="1"/>
    <col min="11017" max="11017" width="7.140625" style="504" bestFit="1" customWidth="1"/>
    <col min="11018" max="11018" width="7" style="504" customWidth="1"/>
    <col min="11019" max="11019" width="8" style="504" bestFit="1" customWidth="1"/>
    <col min="11020" max="11020" width="7" style="504" bestFit="1" customWidth="1"/>
    <col min="11021" max="11021" width="6.85546875" style="504" bestFit="1" customWidth="1"/>
    <col min="11022" max="11022" width="7" style="504" bestFit="1" customWidth="1"/>
    <col min="11023" max="11023" width="8.85546875" style="504" customWidth="1"/>
    <col min="11024" max="11027" width="9.140625" style="504"/>
    <col min="11028" max="11028" width="12.42578125" style="504" customWidth="1"/>
    <col min="11029" max="11029" width="9.140625" style="504"/>
    <col min="11030" max="11030" width="12" style="504" customWidth="1"/>
    <col min="11031" max="11264" width="9.140625" style="504"/>
    <col min="11265" max="11265" width="5" style="504" customWidth="1"/>
    <col min="11266" max="11266" width="19.42578125" style="504" customWidth="1"/>
    <col min="11267" max="11267" width="10.7109375" style="504" bestFit="1" customWidth="1"/>
    <col min="11268" max="11268" width="7" style="504" bestFit="1" customWidth="1"/>
    <col min="11269" max="11269" width="8.5703125" style="504" bestFit="1" customWidth="1"/>
    <col min="11270" max="11270" width="9.28515625" style="504" bestFit="1" customWidth="1"/>
    <col min="11271" max="11271" width="10.42578125" style="504" bestFit="1" customWidth="1"/>
    <col min="11272" max="11272" width="10.28515625" style="504" bestFit="1" customWidth="1"/>
    <col min="11273" max="11273" width="7.140625" style="504" bestFit="1" customWidth="1"/>
    <col min="11274" max="11274" width="7" style="504" customWidth="1"/>
    <col min="11275" max="11275" width="8" style="504" bestFit="1" customWidth="1"/>
    <col min="11276" max="11276" width="7" style="504" bestFit="1" customWidth="1"/>
    <col min="11277" max="11277" width="6.85546875" style="504" bestFit="1" customWidth="1"/>
    <col min="11278" max="11278" width="7" style="504" bestFit="1" customWidth="1"/>
    <col min="11279" max="11279" width="8.85546875" style="504" customWidth="1"/>
    <col min="11280" max="11283" width="9.140625" style="504"/>
    <col min="11284" max="11284" width="12.42578125" style="504" customWidth="1"/>
    <col min="11285" max="11285" width="9.140625" style="504"/>
    <col min="11286" max="11286" width="12" style="504" customWidth="1"/>
    <col min="11287" max="11520" width="9.140625" style="504"/>
    <col min="11521" max="11521" width="5" style="504" customWidth="1"/>
    <col min="11522" max="11522" width="19.42578125" style="504" customWidth="1"/>
    <col min="11523" max="11523" width="10.7109375" style="504" bestFit="1" customWidth="1"/>
    <col min="11524" max="11524" width="7" style="504" bestFit="1" customWidth="1"/>
    <col min="11525" max="11525" width="8.5703125" style="504" bestFit="1" customWidth="1"/>
    <col min="11526" max="11526" width="9.28515625" style="504" bestFit="1" customWidth="1"/>
    <col min="11527" max="11527" width="10.42578125" style="504" bestFit="1" customWidth="1"/>
    <col min="11528" max="11528" width="10.28515625" style="504" bestFit="1" customWidth="1"/>
    <col min="11529" max="11529" width="7.140625" style="504" bestFit="1" customWidth="1"/>
    <col min="11530" max="11530" width="7" style="504" customWidth="1"/>
    <col min="11531" max="11531" width="8" style="504" bestFit="1" customWidth="1"/>
    <col min="11532" max="11532" width="7" style="504" bestFit="1" customWidth="1"/>
    <col min="11533" max="11533" width="6.85546875" style="504" bestFit="1" customWidth="1"/>
    <col min="11534" max="11534" width="7" style="504" bestFit="1" customWidth="1"/>
    <col min="11535" max="11535" width="8.85546875" style="504" customWidth="1"/>
    <col min="11536" max="11539" width="9.140625" style="504"/>
    <col min="11540" max="11540" width="12.42578125" style="504" customWidth="1"/>
    <col min="11541" max="11541" width="9.140625" style="504"/>
    <col min="11542" max="11542" width="12" style="504" customWidth="1"/>
    <col min="11543" max="11776" width="9.140625" style="504"/>
    <col min="11777" max="11777" width="5" style="504" customWidth="1"/>
    <col min="11778" max="11778" width="19.42578125" style="504" customWidth="1"/>
    <col min="11779" max="11779" width="10.7109375" style="504" bestFit="1" customWidth="1"/>
    <col min="11780" max="11780" width="7" style="504" bestFit="1" customWidth="1"/>
    <col min="11781" max="11781" width="8.5703125" style="504" bestFit="1" customWidth="1"/>
    <col min="11782" max="11782" width="9.28515625" style="504" bestFit="1" customWidth="1"/>
    <col min="11783" max="11783" width="10.42578125" style="504" bestFit="1" customWidth="1"/>
    <col min="11784" max="11784" width="10.28515625" style="504" bestFit="1" customWidth="1"/>
    <col min="11785" max="11785" width="7.140625" style="504" bestFit="1" customWidth="1"/>
    <col min="11786" max="11786" width="7" style="504" customWidth="1"/>
    <col min="11787" max="11787" width="8" style="504" bestFit="1" customWidth="1"/>
    <col min="11788" max="11788" width="7" style="504" bestFit="1" customWidth="1"/>
    <col min="11789" max="11789" width="6.85546875" style="504" bestFit="1" customWidth="1"/>
    <col min="11790" max="11790" width="7" style="504" bestFit="1" customWidth="1"/>
    <col min="11791" max="11791" width="8.85546875" style="504" customWidth="1"/>
    <col min="11792" max="11795" width="9.140625" style="504"/>
    <col min="11796" max="11796" width="12.42578125" style="504" customWidth="1"/>
    <col min="11797" max="11797" width="9.140625" style="504"/>
    <col min="11798" max="11798" width="12" style="504" customWidth="1"/>
    <col min="11799" max="12032" width="9.140625" style="504"/>
    <col min="12033" max="12033" width="5" style="504" customWidth="1"/>
    <col min="12034" max="12034" width="19.42578125" style="504" customWidth="1"/>
    <col min="12035" max="12035" width="10.7109375" style="504" bestFit="1" customWidth="1"/>
    <col min="12036" max="12036" width="7" style="504" bestFit="1" customWidth="1"/>
    <col min="12037" max="12037" width="8.5703125" style="504" bestFit="1" customWidth="1"/>
    <col min="12038" max="12038" width="9.28515625" style="504" bestFit="1" customWidth="1"/>
    <col min="12039" max="12039" width="10.42578125" style="504" bestFit="1" customWidth="1"/>
    <col min="12040" max="12040" width="10.28515625" style="504" bestFit="1" customWidth="1"/>
    <col min="12041" max="12041" width="7.140625" style="504" bestFit="1" customWidth="1"/>
    <col min="12042" max="12042" width="7" style="504" customWidth="1"/>
    <col min="12043" max="12043" width="8" style="504" bestFit="1" customWidth="1"/>
    <col min="12044" max="12044" width="7" style="504" bestFit="1" customWidth="1"/>
    <col min="12045" max="12045" width="6.85546875" style="504" bestFit="1" customWidth="1"/>
    <col min="12046" max="12046" width="7" style="504" bestFit="1" customWidth="1"/>
    <col min="12047" max="12047" width="8.85546875" style="504" customWidth="1"/>
    <col min="12048" max="12051" width="9.140625" style="504"/>
    <col min="12052" max="12052" width="12.42578125" style="504" customWidth="1"/>
    <col min="12053" max="12053" width="9.140625" style="504"/>
    <col min="12054" max="12054" width="12" style="504" customWidth="1"/>
    <col min="12055" max="12288" width="9.140625" style="504"/>
    <col min="12289" max="12289" width="5" style="504" customWidth="1"/>
    <col min="12290" max="12290" width="19.42578125" style="504" customWidth="1"/>
    <col min="12291" max="12291" width="10.7109375" style="504" bestFit="1" customWidth="1"/>
    <col min="12292" max="12292" width="7" style="504" bestFit="1" customWidth="1"/>
    <col min="12293" max="12293" width="8.5703125" style="504" bestFit="1" customWidth="1"/>
    <col min="12294" max="12294" width="9.28515625" style="504" bestFit="1" customWidth="1"/>
    <col min="12295" max="12295" width="10.42578125" style="504" bestFit="1" customWidth="1"/>
    <col min="12296" max="12296" width="10.28515625" style="504" bestFit="1" customWidth="1"/>
    <col min="12297" max="12297" width="7.140625" style="504" bestFit="1" customWidth="1"/>
    <col min="12298" max="12298" width="7" style="504" customWidth="1"/>
    <col min="12299" max="12299" width="8" style="504" bestFit="1" customWidth="1"/>
    <col min="12300" max="12300" width="7" style="504" bestFit="1" customWidth="1"/>
    <col min="12301" max="12301" width="6.85546875" style="504" bestFit="1" customWidth="1"/>
    <col min="12302" max="12302" width="7" style="504" bestFit="1" customWidth="1"/>
    <col min="12303" max="12303" width="8.85546875" style="504" customWidth="1"/>
    <col min="12304" max="12307" width="9.140625" style="504"/>
    <col min="12308" max="12308" width="12.42578125" style="504" customWidth="1"/>
    <col min="12309" max="12309" width="9.140625" style="504"/>
    <col min="12310" max="12310" width="12" style="504" customWidth="1"/>
    <col min="12311" max="12544" width="9.140625" style="504"/>
    <col min="12545" max="12545" width="5" style="504" customWidth="1"/>
    <col min="12546" max="12546" width="19.42578125" style="504" customWidth="1"/>
    <col min="12547" max="12547" width="10.7109375" style="504" bestFit="1" customWidth="1"/>
    <col min="12548" max="12548" width="7" style="504" bestFit="1" customWidth="1"/>
    <col min="12549" max="12549" width="8.5703125" style="504" bestFit="1" customWidth="1"/>
    <col min="12550" max="12550" width="9.28515625" style="504" bestFit="1" customWidth="1"/>
    <col min="12551" max="12551" width="10.42578125" style="504" bestFit="1" customWidth="1"/>
    <col min="12552" max="12552" width="10.28515625" style="504" bestFit="1" customWidth="1"/>
    <col min="12553" max="12553" width="7.140625" style="504" bestFit="1" customWidth="1"/>
    <col min="12554" max="12554" width="7" style="504" customWidth="1"/>
    <col min="12555" max="12555" width="8" style="504" bestFit="1" customWidth="1"/>
    <col min="12556" max="12556" width="7" style="504" bestFit="1" customWidth="1"/>
    <col min="12557" max="12557" width="6.85546875" style="504" bestFit="1" customWidth="1"/>
    <col min="12558" max="12558" width="7" style="504" bestFit="1" customWidth="1"/>
    <col min="12559" max="12559" width="8.85546875" style="504" customWidth="1"/>
    <col min="12560" max="12563" width="9.140625" style="504"/>
    <col min="12564" max="12564" width="12.42578125" style="504" customWidth="1"/>
    <col min="12565" max="12565" width="9.140625" style="504"/>
    <col min="12566" max="12566" width="12" style="504" customWidth="1"/>
    <col min="12567" max="12800" width="9.140625" style="504"/>
    <col min="12801" max="12801" width="5" style="504" customWidth="1"/>
    <col min="12802" max="12802" width="19.42578125" style="504" customWidth="1"/>
    <col min="12803" max="12803" width="10.7109375" style="504" bestFit="1" customWidth="1"/>
    <col min="12804" max="12804" width="7" style="504" bestFit="1" customWidth="1"/>
    <col min="12805" max="12805" width="8.5703125" style="504" bestFit="1" customWidth="1"/>
    <col min="12806" max="12806" width="9.28515625" style="504" bestFit="1" customWidth="1"/>
    <col min="12807" max="12807" width="10.42578125" style="504" bestFit="1" customWidth="1"/>
    <col min="12808" max="12808" width="10.28515625" style="504" bestFit="1" customWidth="1"/>
    <col min="12809" max="12809" width="7.140625" style="504" bestFit="1" customWidth="1"/>
    <col min="12810" max="12810" width="7" style="504" customWidth="1"/>
    <col min="12811" max="12811" width="8" style="504" bestFit="1" customWidth="1"/>
    <col min="12812" max="12812" width="7" style="504" bestFit="1" customWidth="1"/>
    <col min="12813" max="12813" width="6.85546875" style="504" bestFit="1" customWidth="1"/>
    <col min="12814" max="12814" width="7" style="504" bestFit="1" customWidth="1"/>
    <col min="12815" max="12815" width="8.85546875" style="504" customWidth="1"/>
    <col min="12816" max="12819" width="9.140625" style="504"/>
    <col min="12820" max="12820" width="12.42578125" style="504" customWidth="1"/>
    <col min="12821" max="12821" width="9.140625" style="504"/>
    <col min="12822" max="12822" width="12" style="504" customWidth="1"/>
    <col min="12823" max="13056" width="9.140625" style="504"/>
    <col min="13057" max="13057" width="5" style="504" customWidth="1"/>
    <col min="13058" max="13058" width="19.42578125" style="504" customWidth="1"/>
    <col min="13059" max="13059" width="10.7109375" style="504" bestFit="1" customWidth="1"/>
    <col min="13060" max="13060" width="7" style="504" bestFit="1" customWidth="1"/>
    <col min="13061" max="13061" width="8.5703125" style="504" bestFit="1" customWidth="1"/>
    <col min="13062" max="13062" width="9.28515625" style="504" bestFit="1" customWidth="1"/>
    <col min="13063" max="13063" width="10.42578125" style="504" bestFit="1" customWidth="1"/>
    <col min="13064" max="13064" width="10.28515625" style="504" bestFit="1" customWidth="1"/>
    <col min="13065" max="13065" width="7.140625" style="504" bestFit="1" customWidth="1"/>
    <col min="13066" max="13066" width="7" style="504" customWidth="1"/>
    <col min="13067" max="13067" width="8" style="504" bestFit="1" customWidth="1"/>
    <col min="13068" max="13068" width="7" style="504" bestFit="1" customWidth="1"/>
    <col min="13069" max="13069" width="6.85546875" style="504" bestFit="1" customWidth="1"/>
    <col min="13070" max="13070" width="7" style="504" bestFit="1" customWidth="1"/>
    <col min="13071" max="13071" width="8.85546875" style="504" customWidth="1"/>
    <col min="13072" max="13075" width="9.140625" style="504"/>
    <col min="13076" max="13076" width="12.42578125" style="504" customWidth="1"/>
    <col min="13077" max="13077" width="9.140625" style="504"/>
    <col min="13078" max="13078" width="12" style="504" customWidth="1"/>
    <col min="13079" max="13312" width="9.140625" style="504"/>
    <col min="13313" max="13313" width="5" style="504" customWidth="1"/>
    <col min="13314" max="13314" width="19.42578125" style="504" customWidth="1"/>
    <col min="13315" max="13315" width="10.7109375" style="504" bestFit="1" customWidth="1"/>
    <col min="13316" max="13316" width="7" style="504" bestFit="1" customWidth="1"/>
    <col min="13317" max="13317" width="8.5703125" style="504" bestFit="1" customWidth="1"/>
    <col min="13318" max="13318" width="9.28515625" style="504" bestFit="1" customWidth="1"/>
    <col min="13319" max="13319" width="10.42578125" style="504" bestFit="1" customWidth="1"/>
    <col min="13320" max="13320" width="10.28515625" style="504" bestFit="1" customWidth="1"/>
    <col min="13321" max="13321" width="7.140625" style="504" bestFit="1" customWidth="1"/>
    <col min="13322" max="13322" width="7" style="504" customWidth="1"/>
    <col min="13323" max="13323" width="8" style="504" bestFit="1" customWidth="1"/>
    <col min="13324" max="13324" width="7" style="504" bestFit="1" customWidth="1"/>
    <col min="13325" max="13325" width="6.85546875" style="504" bestFit="1" customWidth="1"/>
    <col min="13326" max="13326" width="7" style="504" bestFit="1" customWidth="1"/>
    <col min="13327" max="13327" width="8.85546875" style="504" customWidth="1"/>
    <col min="13328" max="13331" width="9.140625" style="504"/>
    <col min="13332" max="13332" width="12.42578125" style="504" customWidth="1"/>
    <col min="13333" max="13333" width="9.140625" style="504"/>
    <col min="13334" max="13334" width="12" style="504" customWidth="1"/>
    <col min="13335" max="13568" width="9.140625" style="504"/>
    <col min="13569" max="13569" width="5" style="504" customWidth="1"/>
    <col min="13570" max="13570" width="19.42578125" style="504" customWidth="1"/>
    <col min="13571" max="13571" width="10.7109375" style="504" bestFit="1" customWidth="1"/>
    <col min="13572" max="13572" width="7" style="504" bestFit="1" customWidth="1"/>
    <col min="13573" max="13573" width="8.5703125" style="504" bestFit="1" customWidth="1"/>
    <col min="13574" max="13574" width="9.28515625" style="504" bestFit="1" customWidth="1"/>
    <col min="13575" max="13575" width="10.42578125" style="504" bestFit="1" customWidth="1"/>
    <col min="13576" max="13576" width="10.28515625" style="504" bestFit="1" customWidth="1"/>
    <col min="13577" max="13577" width="7.140625" style="504" bestFit="1" customWidth="1"/>
    <col min="13578" max="13578" width="7" style="504" customWidth="1"/>
    <col min="13579" max="13579" width="8" style="504" bestFit="1" customWidth="1"/>
    <col min="13580" max="13580" width="7" style="504" bestFit="1" customWidth="1"/>
    <col min="13581" max="13581" width="6.85546875" style="504" bestFit="1" customWidth="1"/>
    <col min="13582" max="13582" width="7" style="504" bestFit="1" customWidth="1"/>
    <col min="13583" max="13583" width="8.85546875" style="504" customWidth="1"/>
    <col min="13584" max="13587" width="9.140625" style="504"/>
    <col min="13588" max="13588" width="12.42578125" style="504" customWidth="1"/>
    <col min="13589" max="13589" width="9.140625" style="504"/>
    <col min="13590" max="13590" width="12" style="504" customWidth="1"/>
    <col min="13591" max="13824" width="9.140625" style="504"/>
    <col min="13825" max="13825" width="5" style="504" customWidth="1"/>
    <col min="13826" max="13826" width="19.42578125" style="504" customWidth="1"/>
    <col min="13827" max="13827" width="10.7109375" style="504" bestFit="1" customWidth="1"/>
    <col min="13828" max="13828" width="7" style="504" bestFit="1" customWidth="1"/>
    <col min="13829" max="13829" width="8.5703125" style="504" bestFit="1" customWidth="1"/>
    <col min="13830" max="13830" width="9.28515625" style="504" bestFit="1" customWidth="1"/>
    <col min="13831" max="13831" width="10.42578125" style="504" bestFit="1" customWidth="1"/>
    <col min="13832" max="13832" width="10.28515625" style="504" bestFit="1" customWidth="1"/>
    <col min="13833" max="13833" width="7.140625" style="504" bestFit="1" customWidth="1"/>
    <col min="13834" max="13834" width="7" style="504" customWidth="1"/>
    <col min="13835" max="13835" width="8" style="504" bestFit="1" customWidth="1"/>
    <col min="13836" max="13836" width="7" style="504" bestFit="1" customWidth="1"/>
    <col min="13837" max="13837" width="6.85546875" style="504" bestFit="1" customWidth="1"/>
    <col min="13838" max="13838" width="7" style="504" bestFit="1" customWidth="1"/>
    <col min="13839" max="13839" width="8.85546875" style="504" customWidth="1"/>
    <col min="13840" max="13843" width="9.140625" style="504"/>
    <col min="13844" max="13844" width="12.42578125" style="504" customWidth="1"/>
    <col min="13845" max="13845" width="9.140625" style="504"/>
    <col min="13846" max="13846" width="12" style="504" customWidth="1"/>
    <col min="13847" max="14080" width="9.140625" style="504"/>
    <col min="14081" max="14081" width="5" style="504" customWidth="1"/>
    <col min="14082" max="14082" width="19.42578125" style="504" customWidth="1"/>
    <col min="14083" max="14083" width="10.7109375" style="504" bestFit="1" customWidth="1"/>
    <col min="14084" max="14084" width="7" style="504" bestFit="1" customWidth="1"/>
    <col min="14085" max="14085" width="8.5703125" style="504" bestFit="1" customWidth="1"/>
    <col min="14086" max="14086" width="9.28515625" style="504" bestFit="1" customWidth="1"/>
    <col min="14087" max="14087" width="10.42578125" style="504" bestFit="1" customWidth="1"/>
    <col min="14088" max="14088" width="10.28515625" style="504" bestFit="1" customWidth="1"/>
    <col min="14089" max="14089" width="7.140625" style="504" bestFit="1" customWidth="1"/>
    <col min="14090" max="14090" width="7" style="504" customWidth="1"/>
    <col min="14091" max="14091" width="8" style="504" bestFit="1" customWidth="1"/>
    <col min="14092" max="14092" width="7" style="504" bestFit="1" customWidth="1"/>
    <col min="14093" max="14093" width="6.85546875" style="504" bestFit="1" customWidth="1"/>
    <col min="14094" max="14094" width="7" style="504" bestFit="1" customWidth="1"/>
    <col min="14095" max="14095" width="8.85546875" style="504" customWidth="1"/>
    <col min="14096" max="14099" width="9.140625" style="504"/>
    <col min="14100" max="14100" width="12.42578125" style="504" customWidth="1"/>
    <col min="14101" max="14101" width="9.140625" style="504"/>
    <col min="14102" max="14102" width="12" style="504" customWidth="1"/>
    <col min="14103" max="14336" width="9.140625" style="504"/>
    <col min="14337" max="14337" width="5" style="504" customWidth="1"/>
    <col min="14338" max="14338" width="19.42578125" style="504" customWidth="1"/>
    <col min="14339" max="14339" width="10.7109375" style="504" bestFit="1" customWidth="1"/>
    <col min="14340" max="14340" width="7" style="504" bestFit="1" customWidth="1"/>
    <col min="14341" max="14341" width="8.5703125" style="504" bestFit="1" customWidth="1"/>
    <col min="14342" max="14342" width="9.28515625" style="504" bestFit="1" customWidth="1"/>
    <col min="14343" max="14343" width="10.42578125" style="504" bestFit="1" customWidth="1"/>
    <col min="14344" max="14344" width="10.28515625" style="504" bestFit="1" customWidth="1"/>
    <col min="14345" max="14345" width="7.140625" style="504" bestFit="1" customWidth="1"/>
    <col min="14346" max="14346" width="7" style="504" customWidth="1"/>
    <col min="14347" max="14347" width="8" style="504" bestFit="1" customWidth="1"/>
    <col min="14348" max="14348" width="7" style="504" bestFit="1" customWidth="1"/>
    <col min="14349" max="14349" width="6.85546875" style="504" bestFit="1" customWidth="1"/>
    <col min="14350" max="14350" width="7" style="504" bestFit="1" customWidth="1"/>
    <col min="14351" max="14351" width="8.85546875" style="504" customWidth="1"/>
    <col min="14352" max="14355" width="9.140625" style="504"/>
    <col min="14356" max="14356" width="12.42578125" style="504" customWidth="1"/>
    <col min="14357" max="14357" width="9.140625" style="504"/>
    <col min="14358" max="14358" width="12" style="504" customWidth="1"/>
    <col min="14359" max="14592" width="9.140625" style="504"/>
    <col min="14593" max="14593" width="5" style="504" customWidth="1"/>
    <col min="14594" max="14594" width="19.42578125" style="504" customWidth="1"/>
    <col min="14595" max="14595" width="10.7109375" style="504" bestFit="1" customWidth="1"/>
    <col min="14596" max="14596" width="7" style="504" bestFit="1" customWidth="1"/>
    <col min="14597" max="14597" width="8.5703125" style="504" bestFit="1" customWidth="1"/>
    <col min="14598" max="14598" width="9.28515625" style="504" bestFit="1" customWidth="1"/>
    <col min="14599" max="14599" width="10.42578125" style="504" bestFit="1" customWidth="1"/>
    <col min="14600" max="14600" width="10.28515625" style="504" bestFit="1" customWidth="1"/>
    <col min="14601" max="14601" width="7.140625" style="504" bestFit="1" customWidth="1"/>
    <col min="14602" max="14602" width="7" style="504" customWidth="1"/>
    <col min="14603" max="14603" width="8" style="504" bestFit="1" customWidth="1"/>
    <col min="14604" max="14604" width="7" style="504" bestFit="1" customWidth="1"/>
    <col min="14605" max="14605" width="6.85546875" style="504" bestFit="1" customWidth="1"/>
    <col min="14606" max="14606" width="7" style="504" bestFit="1" customWidth="1"/>
    <col min="14607" max="14607" width="8.85546875" style="504" customWidth="1"/>
    <col min="14608" max="14611" width="9.140625" style="504"/>
    <col min="14612" max="14612" width="12.42578125" style="504" customWidth="1"/>
    <col min="14613" max="14613" width="9.140625" style="504"/>
    <col min="14614" max="14614" width="12" style="504" customWidth="1"/>
    <col min="14615" max="14848" width="9.140625" style="504"/>
    <col min="14849" max="14849" width="5" style="504" customWidth="1"/>
    <col min="14850" max="14850" width="19.42578125" style="504" customWidth="1"/>
    <col min="14851" max="14851" width="10.7109375" style="504" bestFit="1" customWidth="1"/>
    <col min="14852" max="14852" width="7" style="504" bestFit="1" customWidth="1"/>
    <col min="14853" max="14853" width="8.5703125" style="504" bestFit="1" customWidth="1"/>
    <col min="14854" max="14854" width="9.28515625" style="504" bestFit="1" customWidth="1"/>
    <col min="14855" max="14855" width="10.42578125" style="504" bestFit="1" customWidth="1"/>
    <col min="14856" max="14856" width="10.28515625" style="504" bestFit="1" customWidth="1"/>
    <col min="14857" max="14857" width="7.140625" style="504" bestFit="1" customWidth="1"/>
    <col min="14858" max="14858" width="7" style="504" customWidth="1"/>
    <col min="14859" max="14859" width="8" style="504" bestFit="1" customWidth="1"/>
    <col min="14860" max="14860" width="7" style="504" bestFit="1" customWidth="1"/>
    <col min="14861" max="14861" width="6.85546875" style="504" bestFit="1" customWidth="1"/>
    <col min="14862" max="14862" width="7" style="504" bestFit="1" customWidth="1"/>
    <col min="14863" max="14863" width="8.85546875" style="504" customWidth="1"/>
    <col min="14864" max="14867" width="9.140625" style="504"/>
    <col min="14868" max="14868" width="12.42578125" style="504" customWidth="1"/>
    <col min="14869" max="14869" width="9.140625" style="504"/>
    <col min="14870" max="14870" width="12" style="504" customWidth="1"/>
    <col min="14871" max="15104" width="9.140625" style="504"/>
    <col min="15105" max="15105" width="5" style="504" customWidth="1"/>
    <col min="15106" max="15106" width="19.42578125" style="504" customWidth="1"/>
    <col min="15107" max="15107" width="10.7109375" style="504" bestFit="1" customWidth="1"/>
    <col min="15108" max="15108" width="7" style="504" bestFit="1" customWidth="1"/>
    <col min="15109" max="15109" width="8.5703125" style="504" bestFit="1" customWidth="1"/>
    <col min="15110" max="15110" width="9.28515625" style="504" bestFit="1" customWidth="1"/>
    <col min="15111" max="15111" width="10.42578125" style="504" bestFit="1" customWidth="1"/>
    <col min="15112" max="15112" width="10.28515625" style="504" bestFit="1" customWidth="1"/>
    <col min="15113" max="15113" width="7.140625" style="504" bestFit="1" customWidth="1"/>
    <col min="15114" max="15114" width="7" style="504" customWidth="1"/>
    <col min="15115" max="15115" width="8" style="504" bestFit="1" customWidth="1"/>
    <col min="15116" max="15116" width="7" style="504" bestFit="1" customWidth="1"/>
    <col min="15117" max="15117" width="6.85546875" style="504" bestFit="1" customWidth="1"/>
    <col min="15118" max="15118" width="7" style="504" bestFit="1" customWidth="1"/>
    <col min="15119" max="15119" width="8.85546875" style="504" customWidth="1"/>
    <col min="15120" max="15123" width="9.140625" style="504"/>
    <col min="15124" max="15124" width="12.42578125" style="504" customWidth="1"/>
    <col min="15125" max="15125" width="9.140625" style="504"/>
    <col min="15126" max="15126" width="12" style="504" customWidth="1"/>
    <col min="15127" max="15360" width="9.140625" style="504"/>
    <col min="15361" max="15361" width="5" style="504" customWidth="1"/>
    <col min="15362" max="15362" width="19.42578125" style="504" customWidth="1"/>
    <col min="15363" max="15363" width="10.7109375" style="504" bestFit="1" customWidth="1"/>
    <col min="15364" max="15364" width="7" style="504" bestFit="1" customWidth="1"/>
    <col min="15365" max="15365" width="8.5703125" style="504" bestFit="1" customWidth="1"/>
    <col min="15366" max="15366" width="9.28515625" style="504" bestFit="1" customWidth="1"/>
    <col min="15367" max="15367" width="10.42578125" style="504" bestFit="1" customWidth="1"/>
    <col min="15368" max="15368" width="10.28515625" style="504" bestFit="1" customWidth="1"/>
    <col min="15369" max="15369" width="7.140625" style="504" bestFit="1" customWidth="1"/>
    <col min="15370" max="15370" width="7" style="504" customWidth="1"/>
    <col min="15371" max="15371" width="8" style="504" bestFit="1" customWidth="1"/>
    <col min="15372" max="15372" width="7" style="504" bestFit="1" customWidth="1"/>
    <col min="15373" max="15373" width="6.85546875" style="504" bestFit="1" customWidth="1"/>
    <col min="15374" max="15374" width="7" style="504" bestFit="1" customWidth="1"/>
    <col min="15375" max="15375" width="8.85546875" style="504" customWidth="1"/>
    <col min="15376" max="15379" width="9.140625" style="504"/>
    <col min="15380" max="15380" width="12.42578125" style="504" customWidth="1"/>
    <col min="15381" max="15381" width="9.140625" style="504"/>
    <col min="15382" max="15382" width="12" style="504" customWidth="1"/>
    <col min="15383" max="15616" width="9.140625" style="504"/>
    <col min="15617" max="15617" width="5" style="504" customWidth="1"/>
    <col min="15618" max="15618" width="19.42578125" style="504" customWidth="1"/>
    <col min="15619" max="15619" width="10.7109375" style="504" bestFit="1" customWidth="1"/>
    <col min="15620" max="15620" width="7" style="504" bestFit="1" customWidth="1"/>
    <col min="15621" max="15621" width="8.5703125" style="504" bestFit="1" customWidth="1"/>
    <col min="15622" max="15622" width="9.28515625" style="504" bestFit="1" customWidth="1"/>
    <col min="15623" max="15623" width="10.42578125" style="504" bestFit="1" customWidth="1"/>
    <col min="15624" max="15624" width="10.28515625" style="504" bestFit="1" customWidth="1"/>
    <col min="15625" max="15625" width="7.140625" style="504" bestFit="1" customWidth="1"/>
    <col min="15626" max="15626" width="7" style="504" customWidth="1"/>
    <col min="15627" max="15627" width="8" style="504" bestFit="1" customWidth="1"/>
    <col min="15628" max="15628" width="7" style="504" bestFit="1" customWidth="1"/>
    <col min="15629" max="15629" width="6.85546875" style="504" bestFit="1" customWidth="1"/>
    <col min="15630" max="15630" width="7" style="504" bestFit="1" customWidth="1"/>
    <col min="15631" max="15631" width="8.85546875" style="504" customWidth="1"/>
    <col min="15632" max="15635" width="9.140625" style="504"/>
    <col min="15636" max="15636" width="12.42578125" style="504" customWidth="1"/>
    <col min="15637" max="15637" width="9.140625" style="504"/>
    <col min="15638" max="15638" width="12" style="504" customWidth="1"/>
    <col min="15639" max="15872" width="9.140625" style="504"/>
    <col min="15873" max="15873" width="5" style="504" customWidth="1"/>
    <col min="15874" max="15874" width="19.42578125" style="504" customWidth="1"/>
    <col min="15875" max="15875" width="10.7109375" style="504" bestFit="1" customWidth="1"/>
    <col min="15876" max="15876" width="7" style="504" bestFit="1" customWidth="1"/>
    <col min="15877" max="15877" width="8.5703125" style="504" bestFit="1" customWidth="1"/>
    <col min="15878" max="15878" width="9.28515625" style="504" bestFit="1" customWidth="1"/>
    <col min="15879" max="15879" width="10.42578125" style="504" bestFit="1" customWidth="1"/>
    <col min="15880" max="15880" width="10.28515625" style="504" bestFit="1" customWidth="1"/>
    <col min="15881" max="15881" width="7.140625" style="504" bestFit="1" customWidth="1"/>
    <col min="15882" max="15882" width="7" style="504" customWidth="1"/>
    <col min="15883" max="15883" width="8" style="504" bestFit="1" customWidth="1"/>
    <col min="15884" max="15884" width="7" style="504" bestFit="1" customWidth="1"/>
    <col min="15885" max="15885" width="6.85546875" style="504" bestFit="1" customWidth="1"/>
    <col min="15886" max="15886" width="7" style="504" bestFit="1" customWidth="1"/>
    <col min="15887" max="15887" width="8.85546875" style="504" customWidth="1"/>
    <col min="15888" max="15891" width="9.140625" style="504"/>
    <col min="15892" max="15892" width="12.42578125" style="504" customWidth="1"/>
    <col min="15893" max="15893" width="9.140625" style="504"/>
    <col min="15894" max="15894" width="12" style="504" customWidth="1"/>
    <col min="15895" max="16128" width="9.140625" style="504"/>
    <col min="16129" max="16129" width="5" style="504" customWidth="1"/>
    <col min="16130" max="16130" width="19.42578125" style="504" customWidth="1"/>
    <col min="16131" max="16131" width="10.7109375" style="504" bestFit="1" customWidth="1"/>
    <col min="16132" max="16132" width="7" style="504" bestFit="1" customWidth="1"/>
    <col min="16133" max="16133" width="8.5703125" style="504" bestFit="1" customWidth="1"/>
    <col min="16134" max="16134" width="9.28515625" style="504" bestFit="1" customWidth="1"/>
    <col min="16135" max="16135" width="10.42578125" style="504" bestFit="1" customWidth="1"/>
    <col min="16136" max="16136" width="10.28515625" style="504" bestFit="1" customWidth="1"/>
    <col min="16137" max="16137" width="7.140625" style="504" bestFit="1" customWidth="1"/>
    <col min="16138" max="16138" width="7" style="504" customWidth="1"/>
    <col min="16139" max="16139" width="8" style="504" bestFit="1" customWidth="1"/>
    <col min="16140" max="16140" width="7" style="504" bestFit="1" customWidth="1"/>
    <col min="16141" max="16141" width="6.85546875" style="504" bestFit="1" customWidth="1"/>
    <col min="16142" max="16142" width="7" style="504" bestFit="1" customWidth="1"/>
    <col min="16143" max="16143" width="8.85546875" style="504" customWidth="1"/>
    <col min="16144" max="16147" width="9.140625" style="504"/>
    <col min="16148" max="16148" width="12.42578125" style="504" customWidth="1"/>
    <col min="16149" max="16149" width="9.140625" style="504"/>
    <col min="16150" max="16150" width="12" style="504" customWidth="1"/>
    <col min="16151" max="16384" width="9.140625" style="504"/>
  </cols>
  <sheetData>
    <row r="1" spans="1:15" s="490" customFormat="1" x14ac:dyDescent="0.2">
      <c r="A1" s="1045" t="s">
        <v>100</v>
      </c>
      <c r="B1" s="1039"/>
      <c r="C1" s="1039"/>
      <c r="D1" s="1038"/>
      <c r="E1" s="1039"/>
      <c r="F1" s="1039"/>
      <c r="G1" s="1045" t="s">
        <v>102</v>
      </c>
      <c r="H1" s="1038"/>
      <c r="I1" s="1038" t="s">
        <v>558</v>
      </c>
      <c r="J1" s="1039"/>
      <c r="K1" s="1039"/>
      <c r="L1" s="1040"/>
      <c r="M1" s="1040"/>
      <c r="N1" s="1040"/>
      <c r="O1" s="1040"/>
    </row>
    <row r="2" spans="1:15" s="490" customFormat="1" x14ac:dyDescent="0.2">
      <c r="A2" s="1045" t="s">
        <v>103</v>
      </c>
      <c r="B2" s="1039"/>
      <c r="C2" s="1039"/>
      <c r="D2" s="1038" t="s">
        <v>798</v>
      </c>
      <c r="E2" s="1039"/>
      <c r="F2" s="1039"/>
      <c r="G2" s="1045" t="s">
        <v>104</v>
      </c>
      <c r="H2" s="1038"/>
      <c r="I2" s="1038" t="s">
        <v>105</v>
      </c>
      <c r="J2" s="1039"/>
      <c r="K2" s="1039"/>
      <c r="L2" s="1040"/>
      <c r="M2" s="1040"/>
      <c r="N2" s="1040"/>
      <c r="O2" s="1040"/>
    </row>
    <row r="3" spans="1:15" s="490" customFormat="1" x14ac:dyDescent="0.2">
      <c r="A3" s="1045" t="s">
        <v>106</v>
      </c>
      <c r="B3" s="1039"/>
      <c r="C3" s="1039"/>
      <c r="D3" s="1046" t="s">
        <v>799</v>
      </c>
      <c r="E3" s="1039"/>
      <c r="F3" s="1039"/>
      <c r="G3" s="1045" t="s">
        <v>107</v>
      </c>
      <c r="H3" s="1038"/>
      <c r="I3" s="1038" t="s">
        <v>108</v>
      </c>
      <c r="J3" s="1039"/>
      <c r="K3" s="1039"/>
      <c r="L3" s="1040"/>
      <c r="M3" s="1040"/>
      <c r="N3" s="1040"/>
      <c r="O3" s="1040"/>
    </row>
    <row r="4" spans="1:15" s="490" customFormat="1" x14ac:dyDescent="0.2">
      <c r="A4" s="1045" t="s">
        <v>476</v>
      </c>
      <c r="B4" s="1039"/>
      <c r="C4" s="1039"/>
      <c r="D4" s="1038" t="s">
        <v>800</v>
      </c>
      <c r="E4" s="1039"/>
      <c r="F4" s="1039"/>
      <c r="G4" s="1045" t="s">
        <v>110</v>
      </c>
      <c r="H4" s="1038"/>
      <c r="I4" s="1038" t="s">
        <v>645</v>
      </c>
      <c r="J4" s="1039"/>
      <c r="K4" s="1039"/>
      <c r="L4" s="1040"/>
      <c r="M4" s="1040"/>
      <c r="N4" s="1040"/>
      <c r="O4" s="1040"/>
    </row>
    <row r="5" spans="1:15" s="490" customFormat="1" x14ac:dyDescent="0.2">
      <c r="A5" s="1045" t="s">
        <v>112</v>
      </c>
      <c r="B5" s="1039"/>
      <c r="C5" s="1039"/>
      <c r="D5" s="1038"/>
      <c r="E5" s="1039"/>
      <c r="F5" s="1039"/>
      <c r="G5" s="1045"/>
      <c r="H5" s="1039"/>
      <c r="I5" s="1038" t="s">
        <v>113</v>
      </c>
      <c r="J5" s="1039"/>
      <c r="K5" s="1039"/>
      <c r="L5" s="1040"/>
      <c r="M5" s="1040"/>
      <c r="N5" s="1040"/>
      <c r="O5" s="1040"/>
    </row>
    <row r="6" spans="1:15" s="490" customFormat="1" x14ac:dyDescent="0.2">
      <c r="A6" s="1041" t="s">
        <v>114</v>
      </c>
      <c r="B6" s="1042"/>
      <c r="C6" s="1042"/>
      <c r="D6" s="1039" t="s">
        <v>559</v>
      </c>
      <c r="E6" s="1039"/>
      <c r="F6" s="1039"/>
      <c r="G6" s="1041" t="s">
        <v>115</v>
      </c>
      <c r="H6" s="1041"/>
      <c r="I6" s="491" t="s">
        <v>116</v>
      </c>
      <c r="J6" s="1043"/>
      <c r="K6" s="1043"/>
      <c r="L6" s="1043"/>
      <c r="M6" s="1043"/>
      <c r="N6" s="1043"/>
      <c r="O6" s="1044"/>
    </row>
    <row r="7" spans="1:15" s="490" customFormat="1" ht="13.5" thickBot="1" x14ac:dyDescent="0.25">
      <c r="A7" s="492"/>
      <c r="B7" s="493"/>
      <c r="C7" s="494"/>
      <c r="D7" s="495"/>
      <c r="E7" s="495"/>
      <c r="F7" s="495"/>
      <c r="G7" s="495"/>
      <c r="H7" s="495"/>
      <c r="I7" s="495"/>
      <c r="J7" s="496"/>
      <c r="K7" s="661"/>
      <c r="L7" s="1030" t="s">
        <v>223</v>
      </c>
      <c r="M7" s="1030"/>
      <c r="N7" s="1030"/>
      <c r="O7" s="1030"/>
    </row>
    <row r="8" spans="1:15" s="499" customFormat="1" x14ac:dyDescent="0.2">
      <c r="A8" s="1031" t="str">
        <f>I1</f>
        <v>Mr. K.A. Baikar</v>
      </c>
      <c r="B8" s="1032"/>
      <c r="C8" s="334">
        <v>43160</v>
      </c>
      <c r="D8" s="334">
        <v>43191</v>
      </c>
      <c r="E8" s="334">
        <v>43221</v>
      </c>
      <c r="F8" s="334">
        <v>43252</v>
      </c>
      <c r="G8" s="334">
        <v>43282</v>
      </c>
      <c r="H8" s="334">
        <v>43313</v>
      </c>
      <c r="I8" s="334">
        <v>43344</v>
      </c>
      <c r="J8" s="334">
        <v>43374</v>
      </c>
      <c r="K8" s="334">
        <v>43405</v>
      </c>
      <c r="L8" s="334">
        <v>43435</v>
      </c>
      <c r="M8" s="334">
        <v>43466</v>
      </c>
      <c r="N8" s="334">
        <v>43497</v>
      </c>
      <c r="O8" s="498" t="s">
        <v>117</v>
      </c>
    </row>
    <row r="9" spans="1:15" ht="15" x14ac:dyDescent="0.2">
      <c r="A9" s="500"/>
      <c r="B9" s="501" t="s">
        <v>118</v>
      </c>
      <c r="C9" s="502">
        <v>50500</v>
      </c>
      <c r="D9" s="502">
        <f t="shared" ref="D9:F10" si="0">+C9</f>
        <v>50500</v>
      </c>
      <c r="E9" s="502">
        <f t="shared" si="0"/>
        <v>50500</v>
      </c>
      <c r="F9" s="502">
        <f t="shared" si="0"/>
        <v>50500</v>
      </c>
      <c r="G9" s="502">
        <v>52000</v>
      </c>
      <c r="H9" s="502">
        <v>52000</v>
      </c>
      <c r="I9" s="502">
        <v>52000</v>
      </c>
      <c r="J9" s="502">
        <v>52000</v>
      </c>
      <c r="K9" s="502">
        <v>52000</v>
      </c>
      <c r="L9" s="502">
        <v>52000</v>
      </c>
      <c r="M9" s="502">
        <v>52000</v>
      </c>
      <c r="N9" s="502">
        <v>52000</v>
      </c>
      <c r="O9" s="503">
        <f t="shared" ref="O9:O50" si="1">SUM(C9:N9)</f>
        <v>618000</v>
      </c>
    </row>
    <row r="10" spans="1:15" ht="15" x14ac:dyDescent="0.2">
      <c r="A10" s="500"/>
      <c r="B10" s="501" t="s">
        <v>119</v>
      </c>
      <c r="C10" s="505">
        <v>0</v>
      </c>
      <c r="D10" s="505">
        <f t="shared" si="0"/>
        <v>0</v>
      </c>
      <c r="E10" s="505">
        <f t="shared" si="0"/>
        <v>0</v>
      </c>
      <c r="F10" s="505">
        <f t="shared" si="0"/>
        <v>0</v>
      </c>
      <c r="G10" s="505">
        <v>0</v>
      </c>
      <c r="H10" s="505">
        <v>0</v>
      </c>
      <c r="I10" s="505">
        <f>+H10</f>
        <v>0</v>
      </c>
      <c r="J10" s="505">
        <f>+I10</f>
        <v>0</v>
      </c>
      <c r="K10" s="505">
        <f>+J10</f>
        <v>0</v>
      </c>
      <c r="L10" s="505">
        <f>+K10</f>
        <v>0</v>
      </c>
      <c r="M10" s="505">
        <v>0</v>
      </c>
      <c r="N10" s="505">
        <f>+M10</f>
        <v>0</v>
      </c>
      <c r="O10" s="506">
        <f t="shared" si="1"/>
        <v>0</v>
      </c>
    </row>
    <row r="11" spans="1:15" ht="15" x14ac:dyDescent="0.2">
      <c r="A11" s="500"/>
      <c r="B11" s="501" t="s">
        <v>120</v>
      </c>
      <c r="C11" s="508">
        <v>2525</v>
      </c>
      <c r="D11" s="508">
        <v>3535</v>
      </c>
      <c r="E11" s="508">
        <v>3535</v>
      </c>
      <c r="F11" s="508">
        <v>3535</v>
      </c>
      <c r="G11" s="508">
        <v>3640</v>
      </c>
      <c r="H11" s="508">
        <v>3640</v>
      </c>
      <c r="I11" s="508">
        <v>3640</v>
      </c>
      <c r="J11" s="508">
        <v>4680</v>
      </c>
      <c r="K11" s="508">
        <v>4680</v>
      </c>
      <c r="L11" s="508">
        <v>4680</v>
      </c>
      <c r="M11" s="508">
        <v>4680</v>
      </c>
      <c r="N11" s="508">
        <v>4680</v>
      </c>
      <c r="O11" s="506">
        <f t="shared" si="1"/>
        <v>47450</v>
      </c>
    </row>
    <row r="12" spans="1:15" ht="15" hidden="1" x14ac:dyDescent="0.2">
      <c r="A12" s="500"/>
      <c r="B12" s="501" t="s">
        <v>121</v>
      </c>
      <c r="C12" s="508">
        <v>0</v>
      </c>
      <c r="D12" s="505">
        <v>0</v>
      </c>
      <c r="E12" s="505">
        <v>0</v>
      </c>
      <c r="F12" s="505">
        <v>0</v>
      </c>
      <c r="G12" s="505">
        <v>0</v>
      </c>
      <c r="H12" s="505">
        <v>0</v>
      </c>
      <c r="I12" s="505">
        <v>0</v>
      </c>
      <c r="J12" s="505">
        <v>0</v>
      </c>
      <c r="K12" s="505">
        <v>0</v>
      </c>
      <c r="L12" s="505">
        <v>0</v>
      </c>
      <c r="M12" s="505">
        <v>0</v>
      </c>
      <c r="N12" s="505">
        <v>0</v>
      </c>
      <c r="O12" s="506">
        <f t="shared" si="1"/>
        <v>0</v>
      </c>
    </row>
    <row r="13" spans="1:15" ht="15" hidden="1" x14ac:dyDescent="0.2">
      <c r="A13" s="500"/>
      <c r="B13" s="501" t="s">
        <v>122</v>
      </c>
      <c r="C13" s="505">
        <v>0</v>
      </c>
      <c r="D13" s="505">
        <v>0</v>
      </c>
      <c r="E13" s="505">
        <v>0</v>
      </c>
      <c r="F13" s="505">
        <v>0</v>
      </c>
      <c r="G13" s="505">
        <v>0</v>
      </c>
      <c r="H13" s="505">
        <v>0</v>
      </c>
      <c r="I13" s="505">
        <v>0</v>
      </c>
      <c r="J13" s="505">
        <v>0</v>
      </c>
      <c r="K13" s="505">
        <v>0</v>
      </c>
      <c r="L13" s="505">
        <v>0</v>
      </c>
      <c r="M13" s="505">
        <v>0</v>
      </c>
      <c r="N13" s="505">
        <v>0</v>
      </c>
      <c r="O13" s="506">
        <f t="shared" si="1"/>
        <v>0</v>
      </c>
    </row>
    <row r="14" spans="1:15" ht="15" x14ac:dyDescent="0.2">
      <c r="A14" s="500"/>
      <c r="B14" s="501" t="s">
        <v>123</v>
      </c>
      <c r="C14" s="508">
        <v>3780</v>
      </c>
      <c r="D14" s="508">
        <v>3852</v>
      </c>
      <c r="E14" s="508">
        <v>3852</v>
      </c>
      <c r="F14" s="508">
        <v>3852</v>
      </c>
      <c r="G14" s="508">
        <v>3852</v>
      </c>
      <c r="H14" s="508">
        <v>3852</v>
      </c>
      <c r="I14" s="508">
        <v>3852</v>
      </c>
      <c r="J14" s="508">
        <v>3924</v>
      </c>
      <c r="K14" s="508">
        <v>3924</v>
      </c>
      <c r="L14" s="508">
        <v>3924</v>
      </c>
      <c r="M14" s="508">
        <v>3924</v>
      </c>
      <c r="N14" s="508">
        <v>3924</v>
      </c>
      <c r="O14" s="506">
        <f t="shared" si="1"/>
        <v>46512</v>
      </c>
    </row>
    <row r="15" spans="1:15" ht="15" hidden="1" x14ac:dyDescent="0.2">
      <c r="A15" s="500"/>
      <c r="B15" s="501" t="s">
        <v>124</v>
      </c>
      <c r="C15" s="505">
        <v>0</v>
      </c>
      <c r="D15" s="505">
        <v>0</v>
      </c>
      <c r="E15" s="505">
        <v>0</v>
      </c>
      <c r="F15" s="505">
        <v>0</v>
      </c>
      <c r="G15" s="505">
        <v>0</v>
      </c>
      <c r="H15" s="505">
        <v>0</v>
      </c>
      <c r="I15" s="505">
        <v>0</v>
      </c>
      <c r="J15" s="508">
        <v>0</v>
      </c>
      <c r="K15" s="508">
        <v>0</v>
      </c>
      <c r="L15" s="508">
        <v>0</v>
      </c>
      <c r="M15" s="508">
        <v>0</v>
      </c>
      <c r="N15" s="508">
        <v>0</v>
      </c>
      <c r="O15" s="506">
        <f t="shared" si="1"/>
        <v>0</v>
      </c>
    </row>
    <row r="16" spans="1:15" ht="15" hidden="1" x14ac:dyDescent="0.2">
      <c r="A16" s="500"/>
      <c r="B16" s="501" t="s">
        <v>125</v>
      </c>
      <c r="C16" s="505">
        <v>0</v>
      </c>
      <c r="D16" s="505">
        <f t="shared" ref="D16:N16" si="2">+C16</f>
        <v>0</v>
      </c>
      <c r="E16" s="505">
        <f t="shared" si="2"/>
        <v>0</v>
      </c>
      <c r="F16" s="505">
        <f t="shared" si="2"/>
        <v>0</v>
      </c>
      <c r="G16" s="505">
        <f t="shared" si="2"/>
        <v>0</v>
      </c>
      <c r="H16" s="505">
        <f t="shared" si="2"/>
        <v>0</v>
      </c>
      <c r="I16" s="505">
        <f t="shared" si="2"/>
        <v>0</v>
      </c>
      <c r="J16" s="505">
        <f t="shared" si="2"/>
        <v>0</v>
      </c>
      <c r="K16" s="505">
        <f t="shared" si="2"/>
        <v>0</v>
      </c>
      <c r="L16" s="505">
        <f t="shared" si="2"/>
        <v>0</v>
      </c>
      <c r="M16" s="505">
        <f t="shared" si="2"/>
        <v>0</v>
      </c>
      <c r="N16" s="505">
        <f t="shared" si="2"/>
        <v>0</v>
      </c>
      <c r="O16" s="506">
        <f t="shared" si="1"/>
        <v>0</v>
      </c>
    </row>
    <row r="17" spans="1:15" ht="15" customHeight="1" x14ac:dyDescent="0.2">
      <c r="A17" s="500"/>
      <c r="B17" s="646" t="s">
        <v>280</v>
      </c>
      <c r="C17" s="505">
        <v>0</v>
      </c>
      <c r="D17" s="505">
        <v>0</v>
      </c>
      <c r="E17" s="505">
        <v>0</v>
      </c>
      <c r="F17" s="505">
        <v>0</v>
      </c>
      <c r="G17" s="505">
        <v>0</v>
      </c>
      <c r="H17" s="505">
        <v>0</v>
      </c>
      <c r="I17" s="505">
        <v>0</v>
      </c>
      <c r="J17" s="508">
        <v>0</v>
      </c>
      <c r="K17" s="508">
        <v>0</v>
      </c>
      <c r="L17" s="508">
        <v>0</v>
      </c>
      <c r="M17" s="508">
        <v>0</v>
      </c>
      <c r="N17" s="508">
        <v>0</v>
      </c>
      <c r="O17" s="506">
        <f t="shared" si="1"/>
        <v>0</v>
      </c>
    </row>
    <row r="18" spans="1:15" ht="15" x14ac:dyDescent="0.2">
      <c r="A18" s="500"/>
      <c r="B18" s="501" t="s">
        <v>458</v>
      </c>
      <c r="C18" s="505">
        <v>0</v>
      </c>
      <c r="D18" s="505">
        <v>0</v>
      </c>
      <c r="E18" s="505">
        <v>0</v>
      </c>
      <c r="F18" s="505">
        <v>0</v>
      </c>
      <c r="G18" s="505">
        <v>0</v>
      </c>
      <c r="H18" s="505">
        <v>0</v>
      </c>
      <c r="I18" s="505">
        <v>0</v>
      </c>
      <c r="J18" s="508">
        <v>0</v>
      </c>
      <c r="K18" s="508">
        <v>0</v>
      </c>
      <c r="L18" s="508">
        <v>0</v>
      </c>
      <c r="M18" s="508">
        <v>0</v>
      </c>
      <c r="N18" s="508">
        <v>0</v>
      </c>
      <c r="O18" s="506">
        <f t="shared" si="1"/>
        <v>0</v>
      </c>
    </row>
    <row r="19" spans="1:15" ht="15" x14ac:dyDescent="0.2">
      <c r="A19" s="500"/>
      <c r="B19" s="501" t="s">
        <v>128</v>
      </c>
      <c r="C19" s="508">
        <v>12120</v>
      </c>
      <c r="D19" s="508">
        <v>12120</v>
      </c>
      <c r="E19" s="508">
        <v>12120</v>
      </c>
      <c r="F19" s="508">
        <v>12120</v>
      </c>
      <c r="G19" s="508">
        <v>12480</v>
      </c>
      <c r="H19" s="508">
        <v>12480</v>
      </c>
      <c r="I19" s="508">
        <v>12480</v>
      </c>
      <c r="J19" s="508">
        <v>12480</v>
      </c>
      <c r="K19" s="508">
        <v>12480</v>
      </c>
      <c r="L19" s="508">
        <v>12480</v>
      </c>
      <c r="M19" s="508">
        <v>12480</v>
      </c>
      <c r="N19" s="508">
        <v>12480</v>
      </c>
      <c r="O19" s="506">
        <f t="shared" si="1"/>
        <v>148320</v>
      </c>
    </row>
    <row r="20" spans="1:15" ht="15" customHeight="1" x14ac:dyDescent="0.2">
      <c r="A20" s="500"/>
      <c r="B20" s="501" t="s">
        <v>129</v>
      </c>
      <c r="C20" s="512">
        <v>0</v>
      </c>
      <c r="D20" s="512">
        <v>0</v>
      </c>
      <c r="E20" s="512">
        <v>0</v>
      </c>
      <c r="F20" s="512">
        <v>0</v>
      </c>
      <c r="G20" s="512">
        <v>0</v>
      </c>
      <c r="H20" s="512">
        <v>0</v>
      </c>
      <c r="I20" s="512">
        <v>0</v>
      </c>
      <c r="J20" s="508">
        <v>0</v>
      </c>
      <c r="K20" s="508">
        <v>0</v>
      </c>
      <c r="L20" s="508">
        <v>0</v>
      </c>
      <c r="M20" s="508">
        <v>0</v>
      </c>
      <c r="N20" s="508">
        <v>0</v>
      </c>
      <c r="O20" s="506">
        <f t="shared" si="1"/>
        <v>0</v>
      </c>
    </row>
    <row r="21" spans="1:15" ht="15" hidden="1" customHeight="1" x14ac:dyDescent="0.2">
      <c r="A21" s="1033" t="s">
        <v>130</v>
      </c>
      <c r="B21" s="507" t="s">
        <v>131</v>
      </c>
      <c r="C21" s="508">
        <v>0</v>
      </c>
      <c r="D21" s="508">
        <v>0</v>
      </c>
      <c r="E21" s="508">
        <v>0</v>
      </c>
      <c r="F21" s="508">
        <v>0</v>
      </c>
      <c r="G21" s="508">
        <v>0</v>
      </c>
      <c r="H21" s="508">
        <v>0</v>
      </c>
      <c r="I21" s="508">
        <v>0</v>
      </c>
      <c r="J21" s="508">
        <v>0</v>
      </c>
      <c r="K21" s="508">
        <v>0</v>
      </c>
      <c r="L21" s="508">
        <v>0</v>
      </c>
      <c r="M21" s="508">
        <v>0</v>
      </c>
      <c r="N21" s="508">
        <v>0</v>
      </c>
      <c r="O21" s="506">
        <f t="shared" si="1"/>
        <v>0</v>
      </c>
    </row>
    <row r="22" spans="1:15" ht="15" customHeight="1" x14ac:dyDescent="0.2">
      <c r="A22" s="1034"/>
      <c r="B22" s="507" t="s">
        <v>132</v>
      </c>
      <c r="C22" s="512">
        <v>0</v>
      </c>
      <c r="D22" s="512">
        <v>0</v>
      </c>
      <c r="E22" s="512">
        <v>0</v>
      </c>
      <c r="F22" s="512">
        <v>0</v>
      </c>
      <c r="G22" s="512">
        <v>0</v>
      </c>
      <c r="H22" s="512">
        <v>0</v>
      </c>
      <c r="I22" s="512">
        <v>0</v>
      </c>
      <c r="J22" s="512">
        <v>6908</v>
      </c>
      <c r="K22" s="512">
        <v>0</v>
      </c>
      <c r="L22" s="512">
        <v>0</v>
      </c>
      <c r="M22" s="512">
        <v>0</v>
      </c>
      <c r="N22" s="512">
        <v>0</v>
      </c>
      <c r="O22" s="506">
        <f t="shared" si="1"/>
        <v>6908</v>
      </c>
    </row>
    <row r="23" spans="1:15" ht="15" hidden="1" customHeight="1" x14ac:dyDescent="0.2">
      <c r="A23" s="1034"/>
      <c r="B23" s="507" t="s">
        <v>133</v>
      </c>
      <c r="C23" s="512">
        <v>0</v>
      </c>
      <c r="D23" s="512">
        <v>0</v>
      </c>
      <c r="E23" s="512">
        <v>0</v>
      </c>
      <c r="F23" s="512">
        <v>0</v>
      </c>
      <c r="G23" s="512">
        <v>0</v>
      </c>
      <c r="H23" s="512">
        <v>0</v>
      </c>
      <c r="I23" s="512">
        <v>0</v>
      </c>
      <c r="J23" s="512">
        <v>0</v>
      </c>
      <c r="K23" s="512">
        <v>0</v>
      </c>
      <c r="L23" s="512">
        <v>0</v>
      </c>
      <c r="M23" s="512">
        <v>0</v>
      </c>
      <c r="N23" s="512">
        <v>0</v>
      </c>
      <c r="O23" s="506">
        <f t="shared" si="1"/>
        <v>0</v>
      </c>
    </row>
    <row r="24" spans="1:15" ht="15" hidden="1" customHeight="1" x14ac:dyDescent="0.2">
      <c r="A24" s="1034"/>
      <c r="B24" s="507" t="s">
        <v>134</v>
      </c>
      <c r="C24" s="512">
        <v>0</v>
      </c>
      <c r="D24" s="512">
        <v>0</v>
      </c>
      <c r="E24" s="512">
        <v>0</v>
      </c>
      <c r="F24" s="512">
        <v>0</v>
      </c>
      <c r="G24" s="512">
        <v>0</v>
      </c>
      <c r="H24" s="512">
        <v>0</v>
      </c>
      <c r="I24" s="512">
        <v>0</v>
      </c>
      <c r="J24" s="512">
        <v>0</v>
      </c>
      <c r="K24" s="512">
        <v>0</v>
      </c>
      <c r="L24" s="512">
        <v>0</v>
      </c>
      <c r="M24" s="512">
        <v>0</v>
      </c>
      <c r="N24" s="512">
        <v>0</v>
      </c>
      <c r="O24" s="506">
        <f t="shared" si="1"/>
        <v>0</v>
      </c>
    </row>
    <row r="25" spans="1:15" ht="15" hidden="1" customHeight="1" x14ac:dyDescent="0.2">
      <c r="A25" s="1034"/>
      <c r="B25" s="507" t="s">
        <v>135</v>
      </c>
      <c r="C25" s="512">
        <v>0</v>
      </c>
      <c r="D25" s="512">
        <v>0</v>
      </c>
      <c r="E25" s="512">
        <v>0</v>
      </c>
      <c r="F25" s="512">
        <v>0</v>
      </c>
      <c r="G25" s="512">
        <v>0</v>
      </c>
      <c r="H25" s="512">
        <v>0</v>
      </c>
      <c r="I25" s="512">
        <v>0</v>
      </c>
      <c r="J25" s="512">
        <v>0</v>
      </c>
      <c r="K25" s="512">
        <v>0</v>
      </c>
      <c r="L25" s="512">
        <v>0</v>
      </c>
      <c r="M25" s="512">
        <v>0</v>
      </c>
      <c r="N25" s="512">
        <v>0</v>
      </c>
      <c r="O25" s="506">
        <f t="shared" si="1"/>
        <v>0</v>
      </c>
    </row>
    <row r="26" spans="1:15" ht="15" hidden="1" customHeight="1" x14ac:dyDescent="0.2">
      <c r="A26" s="1034"/>
      <c r="B26" s="507" t="s">
        <v>136</v>
      </c>
      <c r="C26" s="512">
        <v>0</v>
      </c>
      <c r="D26" s="512">
        <v>0</v>
      </c>
      <c r="E26" s="512">
        <v>0</v>
      </c>
      <c r="F26" s="512">
        <v>0</v>
      </c>
      <c r="G26" s="512">
        <v>0</v>
      </c>
      <c r="H26" s="512">
        <v>0</v>
      </c>
      <c r="I26" s="512">
        <v>0</v>
      </c>
      <c r="J26" s="512">
        <v>0</v>
      </c>
      <c r="K26" s="512">
        <v>0</v>
      </c>
      <c r="L26" s="512">
        <v>0</v>
      </c>
      <c r="M26" s="512">
        <v>0</v>
      </c>
      <c r="N26" s="512">
        <v>0</v>
      </c>
      <c r="O26" s="506">
        <f t="shared" si="1"/>
        <v>0</v>
      </c>
    </row>
    <row r="27" spans="1:15" ht="15" hidden="1" customHeight="1" x14ac:dyDescent="0.2">
      <c r="A27" s="1034"/>
      <c r="B27" s="507" t="s">
        <v>137</v>
      </c>
      <c r="C27" s="512">
        <v>0</v>
      </c>
      <c r="D27" s="512">
        <v>0</v>
      </c>
      <c r="E27" s="512">
        <v>0</v>
      </c>
      <c r="F27" s="512">
        <v>0</v>
      </c>
      <c r="G27" s="512">
        <v>0</v>
      </c>
      <c r="H27" s="512">
        <v>0</v>
      </c>
      <c r="I27" s="512">
        <v>0</v>
      </c>
      <c r="J27" s="512">
        <v>0</v>
      </c>
      <c r="K27" s="512">
        <v>0</v>
      </c>
      <c r="L27" s="512">
        <v>0</v>
      </c>
      <c r="M27" s="512">
        <v>0</v>
      </c>
      <c r="N27" s="512">
        <v>0</v>
      </c>
      <c r="O27" s="506">
        <f t="shared" si="1"/>
        <v>0</v>
      </c>
    </row>
    <row r="28" spans="1:15" ht="15" hidden="1" customHeight="1" x14ac:dyDescent="0.2">
      <c r="A28" s="1034"/>
      <c r="B28" s="507" t="s">
        <v>138</v>
      </c>
      <c r="C28" s="512">
        <v>0</v>
      </c>
      <c r="D28" s="512">
        <v>0</v>
      </c>
      <c r="E28" s="512">
        <v>0</v>
      </c>
      <c r="F28" s="512">
        <v>0</v>
      </c>
      <c r="G28" s="512">
        <v>0</v>
      </c>
      <c r="H28" s="512">
        <v>0</v>
      </c>
      <c r="I28" s="512">
        <v>0</v>
      </c>
      <c r="J28" s="512">
        <v>0</v>
      </c>
      <c r="K28" s="512">
        <v>0</v>
      </c>
      <c r="L28" s="512">
        <v>0</v>
      </c>
      <c r="M28" s="512">
        <v>0</v>
      </c>
      <c r="N28" s="512">
        <v>0</v>
      </c>
      <c r="O28" s="506">
        <f t="shared" si="1"/>
        <v>0</v>
      </c>
    </row>
    <row r="29" spans="1:15" ht="15" hidden="1" customHeight="1" x14ac:dyDescent="0.2">
      <c r="A29" s="1034"/>
      <c r="B29" s="507" t="s">
        <v>139</v>
      </c>
      <c r="C29" s="512">
        <v>0</v>
      </c>
      <c r="D29" s="512">
        <v>0</v>
      </c>
      <c r="E29" s="512">
        <v>0</v>
      </c>
      <c r="F29" s="512">
        <v>0</v>
      </c>
      <c r="G29" s="512">
        <v>0</v>
      </c>
      <c r="H29" s="512">
        <v>0</v>
      </c>
      <c r="I29" s="512">
        <v>0</v>
      </c>
      <c r="J29" s="512">
        <v>0</v>
      </c>
      <c r="K29" s="512">
        <v>0</v>
      </c>
      <c r="L29" s="512">
        <v>0</v>
      </c>
      <c r="M29" s="512">
        <v>0</v>
      </c>
      <c r="N29" s="512">
        <v>0</v>
      </c>
      <c r="O29" s="506">
        <f t="shared" si="1"/>
        <v>0</v>
      </c>
    </row>
    <row r="30" spans="1:15" ht="15" hidden="1" customHeight="1" x14ac:dyDescent="0.2">
      <c r="A30" s="1034"/>
      <c r="B30" s="507" t="s">
        <v>140</v>
      </c>
      <c r="C30" s="512">
        <v>0</v>
      </c>
      <c r="D30" s="512">
        <v>0</v>
      </c>
      <c r="E30" s="512">
        <v>0</v>
      </c>
      <c r="F30" s="512">
        <v>0</v>
      </c>
      <c r="G30" s="512">
        <v>0</v>
      </c>
      <c r="H30" s="512">
        <v>0</v>
      </c>
      <c r="I30" s="512">
        <v>0</v>
      </c>
      <c r="J30" s="512">
        <v>0</v>
      </c>
      <c r="K30" s="512">
        <v>0</v>
      </c>
      <c r="L30" s="512">
        <v>0</v>
      </c>
      <c r="M30" s="512">
        <v>0</v>
      </c>
      <c r="N30" s="512">
        <v>0</v>
      </c>
      <c r="O30" s="506">
        <f t="shared" si="1"/>
        <v>0</v>
      </c>
    </row>
    <row r="31" spans="1:15" ht="15" hidden="1" customHeight="1" x14ac:dyDescent="0.2">
      <c r="A31" s="1034"/>
      <c r="B31" s="507" t="s">
        <v>225</v>
      </c>
      <c r="C31" s="512">
        <v>0</v>
      </c>
      <c r="D31" s="512">
        <v>0</v>
      </c>
      <c r="E31" s="512">
        <v>0</v>
      </c>
      <c r="F31" s="512">
        <v>0</v>
      </c>
      <c r="G31" s="512">
        <v>0</v>
      </c>
      <c r="H31" s="512">
        <v>0</v>
      </c>
      <c r="I31" s="512">
        <v>0</v>
      </c>
      <c r="J31" s="512">
        <v>0</v>
      </c>
      <c r="K31" s="512">
        <v>0</v>
      </c>
      <c r="L31" s="512">
        <v>0</v>
      </c>
      <c r="M31" s="512">
        <v>0</v>
      </c>
      <c r="N31" s="512">
        <v>0</v>
      </c>
      <c r="O31" s="506">
        <f t="shared" si="1"/>
        <v>0</v>
      </c>
    </row>
    <row r="32" spans="1:15" ht="15" customHeight="1" x14ac:dyDescent="0.2">
      <c r="A32" s="1034"/>
      <c r="B32" s="511" t="s">
        <v>142</v>
      </c>
      <c r="C32" s="512">
        <v>0</v>
      </c>
      <c r="D32" s="512">
        <v>689434</v>
      </c>
      <c r="E32" s="512">
        <v>0</v>
      </c>
      <c r="F32" s="512">
        <v>0</v>
      </c>
      <c r="G32" s="512">
        <v>0</v>
      </c>
      <c r="H32" s="512">
        <v>0</v>
      </c>
      <c r="I32" s="512">
        <v>0</v>
      </c>
      <c r="J32" s="512">
        <v>0</v>
      </c>
      <c r="K32" s="512">
        <v>0</v>
      </c>
      <c r="L32" s="512">
        <v>0</v>
      </c>
      <c r="M32" s="512">
        <v>0</v>
      </c>
      <c r="N32" s="512">
        <v>0</v>
      </c>
      <c r="O32" s="506">
        <f t="shared" si="1"/>
        <v>689434</v>
      </c>
    </row>
    <row r="33" spans="1:17" ht="15" hidden="1" customHeight="1" x14ac:dyDescent="0.2">
      <c r="A33" s="1035"/>
      <c r="B33" s="507" t="s">
        <v>226</v>
      </c>
      <c r="C33" s="512">
        <v>0</v>
      </c>
      <c r="D33" s="512">
        <v>0</v>
      </c>
      <c r="E33" s="512">
        <v>0</v>
      </c>
      <c r="F33" s="512">
        <v>0</v>
      </c>
      <c r="G33" s="512">
        <v>0</v>
      </c>
      <c r="H33" s="512">
        <v>0</v>
      </c>
      <c r="I33" s="512">
        <v>0</v>
      </c>
      <c r="J33" s="512">
        <v>0</v>
      </c>
      <c r="K33" s="512">
        <v>0</v>
      </c>
      <c r="L33" s="512">
        <v>0</v>
      </c>
      <c r="M33" s="512">
        <v>0</v>
      </c>
      <c r="N33" s="512">
        <v>0</v>
      </c>
      <c r="O33" s="506">
        <f t="shared" si="1"/>
        <v>0</v>
      </c>
    </row>
    <row r="34" spans="1:17" ht="15" customHeight="1" x14ac:dyDescent="0.2">
      <c r="A34" s="1036" t="s">
        <v>144</v>
      </c>
      <c r="B34" s="1037"/>
      <c r="C34" s="512">
        <v>0</v>
      </c>
      <c r="D34" s="512">
        <v>0</v>
      </c>
      <c r="E34" s="512">
        <v>0</v>
      </c>
      <c r="F34" s="512">
        <v>0</v>
      </c>
      <c r="G34" s="512">
        <v>0</v>
      </c>
      <c r="H34" s="512">
        <v>0</v>
      </c>
      <c r="I34" s="512">
        <v>0</v>
      </c>
      <c r="J34" s="512">
        <v>0</v>
      </c>
      <c r="K34" s="512">
        <v>0</v>
      </c>
      <c r="L34" s="512">
        <v>0</v>
      </c>
      <c r="M34" s="512">
        <v>0</v>
      </c>
      <c r="N34" s="512">
        <v>0</v>
      </c>
      <c r="O34" s="506">
        <f t="shared" si="1"/>
        <v>0</v>
      </c>
    </row>
    <row r="35" spans="1:17" ht="15" customHeight="1" x14ac:dyDescent="0.2">
      <c r="A35" s="1036" t="s">
        <v>145</v>
      </c>
      <c r="B35" s="1037"/>
      <c r="C35" s="512">
        <v>0</v>
      </c>
      <c r="D35" s="512">
        <v>216</v>
      </c>
      <c r="E35" s="512">
        <v>0</v>
      </c>
      <c r="F35" s="512">
        <v>0</v>
      </c>
      <c r="G35" s="512">
        <v>0</v>
      </c>
      <c r="H35" s="512">
        <v>0</v>
      </c>
      <c r="I35" s="512">
        <v>0</v>
      </c>
      <c r="J35" s="512">
        <v>216</v>
      </c>
      <c r="K35" s="512">
        <v>0</v>
      </c>
      <c r="L35" s="512">
        <v>0</v>
      </c>
      <c r="M35" s="512">
        <v>0</v>
      </c>
      <c r="N35" s="512">
        <v>0</v>
      </c>
      <c r="O35" s="506">
        <f t="shared" si="1"/>
        <v>432</v>
      </c>
    </row>
    <row r="36" spans="1:17" ht="15" customHeight="1" x14ac:dyDescent="0.2">
      <c r="A36" s="1036" t="s">
        <v>146</v>
      </c>
      <c r="B36" s="1037"/>
      <c r="C36" s="512">
        <v>0</v>
      </c>
      <c r="D36" s="512">
        <v>3030</v>
      </c>
      <c r="E36" s="512">
        <v>0</v>
      </c>
      <c r="F36" s="512">
        <v>0</v>
      </c>
      <c r="G36" s="512">
        <v>0</v>
      </c>
      <c r="H36" s="512">
        <v>0</v>
      </c>
      <c r="I36" s="512">
        <v>0</v>
      </c>
      <c r="J36" s="512">
        <v>3120</v>
      </c>
      <c r="K36" s="512">
        <v>0</v>
      </c>
      <c r="L36" s="512">
        <v>0</v>
      </c>
      <c r="M36" s="512">
        <v>0</v>
      </c>
      <c r="N36" s="512">
        <v>0</v>
      </c>
      <c r="O36" s="506">
        <f t="shared" si="1"/>
        <v>6150</v>
      </c>
    </row>
    <row r="37" spans="1:17" ht="15" customHeight="1" x14ac:dyDescent="0.2">
      <c r="A37" s="513"/>
      <c r="B37" s="514" t="s">
        <v>147</v>
      </c>
      <c r="C37" s="515">
        <f t="shared" ref="C37:N37" si="3">SUM(C9:C36)</f>
        <v>68925</v>
      </c>
      <c r="D37" s="515">
        <f t="shared" si="3"/>
        <v>762687</v>
      </c>
      <c r="E37" s="515">
        <f t="shared" si="3"/>
        <v>70007</v>
      </c>
      <c r="F37" s="515">
        <f t="shared" si="3"/>
        <v>70007</v>
      </c>
      <c r="G37" s="515">
        <f t="shared" si="3"/>
        <v>71972</v>
      </c>
      <c r="H37" s="515">
        <f t="shared" si="3"/>
        <v>71972</v>
      </c>
      <c r="I37" s="515">
        <f t="shared" si="3"/>
        <v>71972</v>
      </c>
      <c r="J37" s="515">
        <f t="shared" si="3"/>
        <v>83328</v>
      </c>
      <c r="K37" s="515">
        <f t="shared" si="3"/>
        <v>73084</v>
      </c>
      <c r="L37" s="515">
        <f t="shared" si="3"/>
        <v>73084</v>
      </c>
      <c r="M37" s="515">
        <f t="shared" si="3"/>
        <v>73084</v>
      </c>
      <c r="N37" s="515">
        <f t="shared" si="3"/>
        <v>73084</v>
      </c>
      <c r="O37" s="516">
        <f t="shared" si="1"/>
        <v>1563206</v>
      </c>
      <c r="Q37" s="504">
        <f>28709*2+4624+29865*2+30684*3+4452+3454+32168*3+24971+33950*2</f>
        <v>411105</v>
      </c>
    </row>
    <row r="38" spans="1:17" ht="15" customHeight="1" x14ac:dyDescent="0.2">
      <c r="A38" s="995" t="s">
        <v>148</v>
      </c>
      <c r="B38" s="517" t="s">
        <v>149</v>
      </c>
      <c r="C38" s="508">
        <v>2400</v>
      </c>
      <c r="D38" s="508">
        <v>71943</v>
      </c>
      <c r="E38" s="508">
        <v>2500</v>
      </c>
      <c r="F38" s="508">
        <v>2500</v>
      </c>
      <c r="G38" s="508">
        <v>2500</v>
      </c>
      <c r="H38" s="508">
        <v>2500</v>
      </c>
      <c r="I38" s="508">
        <v>2500</v>
      </c>
      <c r="J38" s="508">
        <v>2500</v>
      </c>
      <c r="K38" s="508">
        <v>0</v>
      </c>
      <c r="L38" s="508">
        <v>5000</v>
      </c>
      <c r="M38" s="508">
        <v>0</v>
      </c>
      <c r="N38" s="508">
        <v>0</v>
      </c>
      <c r="O38" s="506">
        <f t="shared" si="1"/>
        <v>94343</v>
      </c>
      <c r="P38" s="518"/>
    </row>
    <row r="39" spans="1:17" ht="15" x14ac:dyDescent="0.2">
      <c r="A39" s="996"/>
      <c r="B39" s="517" t="s">
        <v>150</v>
      </c>
      <c r="C39" s="508">
        <v>0</v>
      </c>
      <c r="D39" s="508">
        <v>0</v>
      </c>
      <c r="E39" s="508">
        <v>0</v>
      </c>
      <c r="F39" s="508">
        <v>0</v>
      </c>
      <c r="G39" s="508">
        <v>0</v>
      </c>
      <c r="H39" s="508">
        <v>0</v>
      </c>
      <c r="I39" s="508">
        <v>0</v>
      </c>
      <c r="J39" s="508">
        <v>0</v>
      </c>
      <c r="K39" s="508">
        <v>0</v>
      </c>
      <c r="L39" s="508">
        <v>0</v>
      </c>
      <c r="M39" s="508">
        <v>0</v>
      </c>
      <c r="N39" s="508">
        <v>0</v>
      </c>
      <c r="O39" s="506">
        <f t="shared" si="1"/>
        <v>0</v>
      </c>
    </row>
    <row r="40" spans="1:17" ht="15" x14ac:dyDescent="0.2">
      <c r="A40" s="996"/>
      <c r="B40" s="517" t="s">
        <v>151</v>
      </c>
      <c r="C40" s="508">
        <v>30</v>
      </c>
      <c r="D40" s="508">
        <f t="shared" ref="D40:N41" si="4">C40</f>
        <v>30</v>
      </c>
      <c r="E40" s="508">
        <f t="shared" si="4"/>
        <v>30</v>
      </c>
      <c r="F40" s="508">
        <f t="shared" si="4"/>
        <v>30</v>
      </c>
      <c r="G40" s="508">
        <f t="shared" si="4"/>
        <v>30</v>
      </c>
      <c r="H40" s="508">
        <f t="shared" si="4"/>
        <v>30</v>
      </c>
      <c r="I40" s="508">
        <f t="shared" si="4"/>
        <v>30</v>
      </c>
      <c r="J40" s="508">
        <f t="shared" si="4"/>
        <v>30</v>
      </c>
      <c r="K40" s="508">
        <f t="shared" si="4"/>
        <v>30</v>
      </c>
      <c r="L40" s="508">
        <f t="shared" si="4"/>
        <v>30</v>
      </c>
      <c r="M40" s="508">
        <f t="shared" si="4"/>
        <v>30</v>
      </c>
      <c r="N40" s="508">
        <f t="shared" si="4"/>
        <v>30</v>
      </c>
      <c r="O40" s="506">
        <f t="shared" si="1"/>
        <v>360</v>
      </c>
    </row>
    <row r="41" spans="1:17" ht="15" x14ac:dyDescent="0.2">
      <c r="A41" s="996"/>
      <c r="B41" s="517" t="s">
        <v>152</v>
      </c>
      <c r="C41" s="508">
        <v>0</v>
      </c>
      <c r="D41" s="508">
        <f t="shared" si="4"/>
        <v>0</v>
      </c>
      <c r="E41" s="508">
        <f t="shared" si="4"/>
        <v>0</v>
      </c>
      <c r="F41" s="508">
        <f t="shared" si="4"/>
        <v>0</v>
      </c>
      <c r="G41" s="508">
        <f t="shared" si="4"/>
        <v>0</v>
      </c>
      <c r="H41" s="508">
        <f t="shared" si="4"/>
        <v>0</v>
      </c>
      <c r="I41" s="508">
        <f t="shared" si="4"/>
        <v>0</v>
      </c>
      <c r="J41" s="508">
        <f t="shared" si="4"/>
        <v>0</v>
      </c>
      <c r="K41" s="508">
        <f t="shared" si="4"/>
        <v>0</v>
      </c>
      <c r="L41" s="508">
        <f t="shared" si="4"/>
        <v>0</v>
      </c>
      <c r="M41" s="508">
        <f t="shared" si="4"/>
        <v>0</v>
      </c>
      <c r="N41" s="508">
        <f t="shared" si="4"/>
        <v>0</v>
      </c>
      <c r="O41" s="506">
        <f t="shared" si="1"/>
        <v>0</v>
      </c>
    </row>
    <row r="42" spans="1:17" ht="15" x14ac:dyDescent="0.2">
      <c r="A42" s="996"/>
      <c r="B42" s="517" t="s">
        <v>153</v>
      </c>
      <c r="C42" s="512">
        <v>250</v>
      </c>
      <c r="D42" s="512">
        <v>250</v>
      </c>
      <c r="E42" s="512">
        <v>250</v>
      </c>
      <c r="F42" s="512">
        <v>250</v>
      </c>
      <c r="G42" s="512">
        <v>250</v>
      </c>
      <c r="H42" s="512">
        <v>450</v>
      </c>
      <c r="I42" s="512">
        <v>450</v>
      </c>
      <c r="J42" s="512">
        <v>450</v>
      </c>
      <c r="K42" s="512">
        <v>450</v>
      </c>
      <c r="L42" s="512">
        <v>450</v>
      </c>
      <c r="M42" s="512">
        <v>450</v>
      </c>
      <c r="N42" s="512">
        <v>450</v>
      </c>
      <c r="O42" s="506">
        <f t="shared" si="1"/>
        <v>4400</v>
      </c>
    </row>
    <row r="43" spans="1:17" ht="15" x14ac:dyDescent="0.2">
      <c r="A43" s="996"/>
      <c r="B43" s="517" t="s">
        <v>154</v>
      </c>
      <c r="C43" s="512">
        <v>14500</v>
      </c>
      <c r="D43" s="512">
        <f t="shared" ref="D43:L47" si="5">C43</f>
        <v>14500</v>
      </c>
      <c r="E43" s="512">
        <f t="shared" si="5"/>
        <v>14500</v>
      </c>
      <c r="F43" s="512">
        <f t="shared" si="5"/>
        <v>14500</v>
      </c>
      <c r="G43" s="512">
        <f t="shared" si="5"/>
        <v>14500</v>
      </c>
      <c r="H43" s="512">
        <f t="shared" si="5"/>
        <v>14500</v>
      </c>
      <c r="I43" s="512">
        <f t="shared" si="5"/>
        <v>14500</v>
      </c>
      <c r="J43" s="512">
        <f t="shared" si="5"/>
        <v>14500</v>
      </c>
      <c r="K43" s="512">
        <f t="shared" si="5"/>
        <v>14500</v>
      </c>
      <c r="L43" s="512">
        <f t="shared" si="5"/>
        <v>14500</v>
      </c>
      <c r="M43" s="512">
        <v>14500</v>
      </c>
      <c r="N43" s="512">
        <f>M43</f>
        <v>14500</v>
      </c>
      <c r="O43" s="506">
        <f t="shared" si="1"/>
        <v>174000</v>
      </c>
    </row>
    <row r="44" spans="1:17" ht="15" x14ac:dyDescent="0.2">
      <c r="A44" s="996"/>
      <c r="B44" s="517" t="s">
        <v>155</v>
      </c>
      <c r="C44" s="512">
        <v>200</v>
      </c>
      <c r="D44" s="512">
        <f t="shared" si="5"/>
        <v>200</v>
      </c>
      <c r="E44" s="512">
        <f t="shared" si="5"/>
        <v>200</v>
      </c>
      <c r="F44" s="512">
        <f t="shared" si="5"/>
        <v>200</v>
      </c>
      <c r="G44" s="512">
        <f t="shared" si="5"/>
        <v>200</v>
      </c>
      <c r="H44" s="512">
        <f t="shared" si="5"/>
        <v>200</v>
      </c>
      <c r="I44" s="512">
        <f t="shared" si="5"/>
        <v>200</v>
      </c>
      <c r="J44" s="512">
        <f t="shared" si="5"/>
        <v>200</v>
      </c>
      <c r="K44" s="512">
        <f t="shared" si="5"/>
        <v>200</v>
      </c>
      <c r="L44" s="512">
        <f t="shared" si="5"/>
        <v>200</v>
      </c>
      <c r="M44" s="512">
        <f>L44</f>
        <v>200</v>
      </c>
      <c r="N44" s="512">
        <v>300</v>
      </c>
      <c r="O44" s="506">
        <f t="shared" si="1"/>
        <v>2500</v>
      </c>
    </row>
    <row r="45" spans="1:17" ht="15" x14ac:dyDescent="0.2">
      <c r="A45" s="996"/>
      <c r="B45" s="517" t="s">
        <v>156</v>
      </c>
      <c r="C45" s="512">
        <v>0</v>
      </c>
      <c r="D45" s="512">
        <f t="shared" si="5"/>
        <v>0</v>
      </c>
      <c r="E45" s="512">
        <f t="shared" si="5"/>
        <v>0</v>
      </c>
      <c r="F45" s="512">
        <f t="shared" si="5"/>
        <v>0</v>
      </c>
      <c r="G45" s="512">
        <f t="shared" si="5"/>
        <v>0</v>
      </c>
      <c r="H45" s="512">
        <f t="shared" si="5"/>
        <v>0</v>
      </c>
      <c r="I45" s="512">
        <f t="shared" si="5"/>
        <v>0</v>
      </c>
      <c r="J45" s="512">
        <f t="shared" si="5"/>
        <v>0</v>
      </c>
      <c r="K45" s="512">
        <f t="shared" si="5"/>
        <v>0</v>
      </c>
      <c r="L45" s="512">
        <f t="shared" si="5"/>
        <v>0</v>
      </c>
      <c r="M45" s="512">
        <f>L45</f>
        <v>0</v>
      </c>
      <c r="N45" s="512">
        <f>M45</f>
        <v>0</v>
      </c>
      <c r="O45" s="506">
        <f t="shared" si="1"/>
        <v>0</v>
      </c>
    </row>
    <row r="46" spans="1:17" ht="15" x14ac:dyDescent="0.2">
      <c r="A46" s="996"/>
      <c r="B46" s="517" t="s">
        <v>157</v>
      </c>
      <c r="C46" s="512">
        <v>0</v>
      </c>
      <c r="D46" s="512">
        <f t="shared" si="5"/>
        <v>0</v>
      </c>
      <c r="E46" s="512">
        <f t="shared" si="5"/>
        <v>0</v>
      </c>
      <c r="F46" s="512">
        <f t="shared" si="5"/>
        <v>0</v>
      </c>
      <c r="G46" s="512">
        <f t="shared" si="5"/>
        <v>0</v>
      </c>
      <c r="H46" s="512">
        <f t="shared" si="5"/>
        <v>0</v>
      </c>
      <c r="I46" s="512">
        <f t="shared" si="5"/>
        <v>0</v>
      </c>
      <c r="J46" s="512">
        <f t="shared" si="5"/>
        <v>0</v>
      </c>
      <c r="K46" s="512">
        <f t="shared" si="5"/>
        <v>0</v>
      </c>
      <c r="L46" s="512">
        <f t="shared" si="5"/>
        <v>0</v>
      </c>
      <c r="M46" s="512">
        <f>L46</f>
        <v>0</v>
      </c>
      <c r="N46" s="512">
        <f>M46</f>
        <v>0</v>
      </c>
      <c r="O46" s="506">
        <f t="shared" si="1"/>
        <v>0</v>
      </c>
    </row>
    <row r="47" spans="1:17" ht="28.5" customHeight="1" x14ac:dyDescent="0.2">
      <c r="A47" s="997"/>
      <c r="B47" s="520" t="s">
        <v>158</v>
      </c>
      <c r="C47" s="647">
        <v>0</v>
      </c>
      <c r="D47" s="647">
        <f t="shared" si="5"/>
        <v>0</v>
      </c>
      <c r="E47" s="647">
        <f t="shared" si="5"/>
        <v>0</v>
      </c>
      <c r="F47" s="647">
        <f t="shared" si="5"/>
        <v>0</v>
      </c>
      <c r="G47" s="647">
        <f t="shared" si="5"/>
        <v>0</v>
      </c>
      <c r="H47" s="647">
        <f t="shared" si="5"/>
        <v>0</v>
      </c>
      <c r="I47" s="647">
        <f t="shared" si="5"/>
        <v>0</v>
      </c>
      <c r="J47" s="647">
        <f t="shared" si="5"/>
        <v>0</v>
      </c>
      <c r="K47" s="647">
        <f t="shared" si="5"/>
        <v>0</v>
      </c>
      <c r="L47" s="647">
        <f t="shared" si="5"/>
        <v>0</v>
      </c>
      <c r="M47" s="647">
        <f>L47</f>
        <v>0</v>
      </c>
      <c r="N47" s="647">
        <f>M47</f>
        <v>0</v>
      </c>
      <c r="O47" s="521">
        <f t="shared" si="1"/>
        <v>0</v>
      </c>
    </row>
    <row r="48" spans="1:17" ht="15" x14ac:dyDescent="0.2">
      <c r="A48" s="998"/>
      <c r="B48" s="522" t="s">
        <v>801</v>
      </c>
      <c r="C48" s="648">
        <v>0</v>
      </c>
      <c r="D48" s="648">
        <f>C48</f>
        <v>0</v>
      </c>
      <c r="E48" s="648">
        <v>0</v>
      </c>
      <c r="F48" s="648">
        <v>0</v>
      </c>
      <c r="G48" s="648">
        <f>F48</f>
        <v>0</v>
      </c>
      <c r="H48" s="648">
        <v>0</v>
      </c>
      <c r="I48" s="648">
        <v>0</v>
      </c>
      <c r="J48" s="648">
        <v>0</v>
      </c>
      <c r="K48" s="648">
        <v>0</v>
      </c>
      <c r="L48" s="648">
        <v>0</v>
      </c>
      <c r="M48" s="648">
        <f>L48</f>
        <v>0</v>
      </c>
      <c r="N48" s="648">
        <f>M48</f>
        <v>0</v>
      </c>
      <c r="O48" s="521">
        <f t="shared" si="1"/>
        <v>0</v>
      </c>
    </row>
    <row r="49" spans="1:18" ht="15" x14ac:dyDescent="0.2">
      <c r="A49" s="999" t="s">
        <v>160</v>
      </c>
      <c r="B49" s="1000"/>
      <c r="C49" s="523">
        <f t="shared" ref="C49:N49" si="6">SUM(C38:C48)</f>
        <v>17380</v>
      </c>
      <c r="D49" s="523">
        <f t="shared" si="6"/>
        <v>86923</v>
      </c>
      <c r="E49" s="523">
        <f t="shared" si="6"/>
        <v>17480</v>
      </c>
      <c r="F49" s="523">
        <f t="shared" si="6"/>
        <v>17480</v>
      </c>
      <c r="G49" s="523">
        <f t="shared" si="6"/>
        <v>17480</v>
      </c>
      <c r="H49" s="523">
        <f t="shared" si="6"/>
        <v>17680</v>
      </c>
      <c r="I49" s="523">
        <f t="shared" si="6"/>
        <v>17680</v>
      </c>
      <c r="J49" s="523">
        <f t="shared" si="6"/>
        <v>17680</v>
      </c>
      <c r="K49" s="523">
        <f t="shared" si="6"/>
        <v>15180</v>
      </c>
      <c r="L49" s="523">
        <f t="shared" si="6"/>
        <v>20180</v>
      </c>
      <c r="M49" s="523">
        <f t="shared" si="6"/>
        <v>15180</v>
      </c>
      <c r="N49" s="523">
        <f t="shared" si="6"/>
        <v>15280</v>
      </c>
      <c r="O49" s="524">
        <f t="shared" si="1"/>
        <v>275603</v>
      </c>
    </row>
    <row r="50" spans="1:18" ht="15.75" thickBot="1" x14ac:dyDescent="0.25">
      <c r="A50" s="1001" t="s">
        <v>161</v>
      </c>
      <c r="B50" s="1002"/>
      <c r="C50" s="525">
        <f t="shared" ref="C50:N50" si="7">C37-C49</f>
        <v>51545</v>
      </c>
      <c r="D50" s="525">
        <f t="shared" si="7"/>
        <v>675764</v>
      </c>
      <c r="E50" s="525">
        <f t="shared" si="7"/>
        <v>52527</v>
      </c>
      <c r="F50" s="525">
        <f t="shared" si="7"/>
        <v>52527</v>
      </c>
      <c r="G50" s="525">
        <f t="shared" si="7"/>
        <v>54492</v>
      </c>
      <c r="H50" s="525">
        <f t="shared" si="7"/>
        <v>54292</v>
      </c>
      <c r="I50" s="525">
        <f t="shared" si="7"/>
        <v>54292</v>
      </c>
      <c r="J50" s="525">
        <f t="shared" si="7"/>
        <v>65648</v>
      </c>
      <c r="K50" s="525">
        <f t="shared" si="7"/>
        <v>57904</v>
      </c>
      <c r="L50" s="525">
        <f t="shared" si="7"/>
        <v>52904</v>
      </c>
      <c r="M50" s="525">
        <f t="shared" si="7"/>
        <v>57904</v>
      </c>
      <c r="N50" s="525">
        <f t="shared" si="7"/>
        <v>57804</v>
      </c>
      <c r="O50" s="526">
        <f t="shared" si="1"/>
        <v>1287603</v>
      </c>
      <c r="Q50" s="504">
        <f>21469*2+4624+22515+22635+23454*3+4452+3454+24938*3+24971+26720+26520</f>
        <v>324005</v>
      </c>
    </row>
    <row r="51" spans="1:18" x14ac:dyDescent="0.2">
      <c r="J51" s="128">
        <f>+J37-SUM(J22:J36)</f>
        <v>73084</v>
      </c>
      <c r="M51" s="504">
        <f>24971+26720</f>
        <v>51691</v>
      </c>
      <c r="Q51" s="528">
        <f>+Q50-O50</f>
        <v>-963598</v>
      </c>
    </row>
    <row r="52" spans="1:18" ht="13.5" thickBot="1" x14ac:dyDescent="0.25">
      <c r="J52" s="528">
        <f>+J51-J49</f>
        <v>55404</v>
      </c>
    </row>
    <row r="53" spans="1:18" ht="13.5" thickBot="1" x14ac:dyDescent="0.25">
      <c r="B53" s="955" t="s">
        <v>162</v>
      </c>
      <c r="C53" s="1003"/>
      <c r="D53" s="1003"/>
      <c r="E53" s="1003"/>
      <c r="F53" s="1004"/>
      <c r="G53" s="1005">
        <f>O37</f>
        <v>1563206</v>
      </c>
      <c r="H53" s="1006"/>
    </row>
    <row r="54" spans="1:18" ht="13.5" thickBot="1" x14ac:dyDescent="0.25"/>
    <row r="55" spans="1:18" x14ac:dyDescent="0.2">
      <c r="B55" s="1007" t="s">
        <v>163</v>
      </c>
      <c r="C55" s="1010" t="s">
        <v>164</v>
      </c>
      <c r="D55" s="1013" t="s">
        <v>425</v>
      </c>
      <c r="E55" s="1014"/>
      <c r="F55" s="1015"/>
      <c r="G55" s="1016">
        <v>40000</v>
      </c>
      <c r="H55" s="1017"/>
    </row>
    <row r="56" spans="1:18" x14ac:dyDescent="0.2">
      <c r="B56" s="1008"/>
      <c r="C56" s="1011"/>
      <c r="D56" s="1018" t="s">
        <v>166</v>
      </c>
      <c r="E56" s="1019"/>
      <c r="F56" s="1020"/>
      <c r="G56" s="1021">
        <f>+O44</f>
        <v>2500</v>
      </c>
      <c r="H56" s="1022"/>
      <c r="I56" s="529"/>
      <c r="J56" s="1090"/>
      <c r="K56" s="1090"/>
      <c r="L56" s="1090"/>
      <c r="M56" s="1091"/>
      <c r="N56" s="1091"/>
      <c r="O56" s="1091"/>
    </row>
    <row r="57" spans="1:18" ht="13.5" thickBot="1" x14ac:dyDescent="0.25">
      <c r="B57" s="1009"/>
      <c r="C57" s="1012"/>
      <c r="D57" s="1023" t="s">
        <v>266</v>
      </c>
      <c r="E57" s="1024"/>
      <c r="F57" s="1025"/>
      <c r="G57" s="1026">
        <v>0</v>
      </c>
      <c r="H57" s="1027"/>
      <c r="J57" s="531"/>
      <c r="K57" s="531"/>
      <c r="L57" s="531"/>
      <c r="M57" s="531"/>
      <c r="N57" s="531"/>
      <c r="O57" s="531"/>
    </row>
    <row r="58" spans="1:18" ht="13.5" thickBot="1" x14ac:dyDescent="0.25">
      <c r="B58" s="532"/>
      <c r="J58" s="531"/>
      <c r="K58" s="531"/>
      <c r="L58" s="531"/>
      <c r="M58" s="531"/>
      <c r="N58" s="531"/>
      <c r="O58" s="531"/>
    </row>
    <row r="59" spans="1:18" ht="13.5" thickBot="1" x14ac:dyDescent="0.25">
      <c r="B59" s="955" t="s">
        <v>168</v>
      </c>
      <c r="C59" s="956"/>
      <c r="D59" s="956"/>
      <c r="E59" s="956"/>
      <c r="F59" s="957"/>
      <c r="G59" s="1028">
        <f>+G53-SUM(G55:H57)</f>
        <v>1520706</v>
      </c>
      <c r="H59" s="1029"/>
      <c r="J59" s="992" t="s">
        <v>169</v>
      </c>
      <c r="K59" s="993"/>
      <c r="L59" s="993"/>
      <c r="M59" s="993"/>
      <c r="N59" s="993"/>
      <c r="O59" s="994"/>
    </row>
    <row r="60" spans="1:18" ht="13.5" thickBot="1" x14ac:dyDescent="0.25">
      <c r="B60" s="533"/>
      <c r="C60" s="534"/>
      <c r="D60" s="534"/>
      <c r="E60" s="534"/>
      <c r="F60" s="534"/>
      <c r="G60" s="656"/>
      <c r="H60" s="534"/>
      <c r="J60" s="658"/>
      <c r="K60" s="659"/>
      <c r="L60" s="659"/>
      <c r="M60" s="659"/>
      <c r="N60" s="659"/>
      <c r="O60" s="660"/>
    </row>
    <row r="61" spans="1:18" ht="13.5" thickBot="1" x14ac:dyDescent="0.25">
      <c r="B61" s="955" t="s">
        <v>170</v>
      </c>
      <c r="C61" s="956"/>
      <c r="D61" s="956"/>
      <c r="E61" s="956"/>
      <c r="F61" s="957"/>
      <c r="G61" s="1047"/>
      <c r="H61" s="957"/>
      <c r="J61" s="658"/>
      <c r="K61" s="659"/>
      <c r="L61" s="659"/>
      <c r="M61" s="659"/>
      <c r="N61" s="659"/>
      <c r="O61" s="660"/>
    </row>
    <row r="62" spans="1:18" ht="12.75" customHeight="1" x14ac:dyDescent="0.2">
      <c r="B62" s="538" t="s">
        <v>171</v>
      </c>
      <c r="C62" s="977" t="s">
        <v>172</v>
      </c>
      <c r="D62" s="978"/>
      <c r="E62" s="978"/>
      <c r="F62" s="979"/>
      <c r="G62" s="980">
        <v>69634</v>
      </c>
      <c r="H62" s="980"/>
      <c r="I62" s="539"/>
      <c r="J62" s="981" t="s">
        <v>173</v>
      </c>
      <c r="K62" s="982"/>
      <c r="L62" s="982"/>
      <c r="M62" s="982"/>
      <c r="N62" s="982"/>
      <c r="O62" s="983"/>
      <c r="Q62" s="540"/>
      <c r="R62" s="540"/>
    </row>
    <row r="63" spans="1:18" ht="13.5" thickBot="1" x14ac:dyDescent="0.25">
      <c r="D63" s="527"/>
      <c r="I63" s="539"/>
      <c r="J63" s="541" t="s">
        <v>802</v>
      </c>
      <c r="K63" s="631"/>
      <c r="L63" s="631"/>
      <c r="M63" s="632"/>
      <c r="N63" s="632" t="s">
        <v>313</v>
      </c>
      <c r="O63" s="633">
        <v>69634</v>
      </c>
      <c r="Q63" s="540"/>
      <c r="R63" s="540"/>
    </row>
    <row r="64" spans="1:18" ht="13.5" thickBot="1" x14ac:dyDescent="0.25">
      <c r="B64" s="955" t="s">
        <v>175</v>
      </c>
      <c r="C64" s="956"/>
      <c r="D64" s="956"/>
      <c r="E64" s="956"/>
      <c r="F64" s="957"/>
      <c r="G64" s="1047">
        <f>+G59-G62</f>
        <v>1451072</v>
      </c>
      <c r="H64" s="957"/>
      <c r="I64" s="544"/>
      <c r="J64" s="545"/>
      <c r="K64" s="529"/>
      <c r="L64" s="529"/>
      <c r="M64" s="529"/>
      <c r="N64" s="529" t="s">
        <v>315</v>
      </c>
      <c r="O64" s="546">
        <v>84997</v>
      </c>
      <c r="Q64" s="540"/>
      <c r="R64" s="540"/>
    </row>
    <row r="65" spans="2:18" ht="12.75" customHeight="1" x14ac:dyDescent="0.2">
      <c r="B65" s="532"/>
      <c r="C65" s="532"/>
      <c r="I65" s="544"/>
      <c r="J65" s="547"/>
      <c r="K65" s="529"/>
      <c r="L65" s="529"/>
      <c r="M65" s="529"/>
      <c r="N65" s="529"/>
      <c r="O65" s="546"/>
      <c r="Q65" s="540"/>
      <c r="R65" s="540"/>
    </row>
    <row r="66" spans="2:18" x14ac:dyDescent="0.2">
      <c r="B66" s="548" t="s">
        <v>176</v>
      </c>
      <c r="C66" s="532"/>
      <c r="I66" s="544"/>
      <c r="J66" s="549"/>
      <c r="K66" s="550"/>
      <c r="L66" s="550"/>
      <c r="M66" s="550"/>
      <c r="N66" s="550"/>
      <c r="O66" s="551"/>
      <c r="Q66" s="540"/>
      <c r="R66" s="540"/>
    </row>
    <row r="67" spans="2:18" ht="26.25" customHeight="1" thickBot="1" x14ac:dyDescent="0.25">
      <c r="B67" s="548"/>
      <c r="C67" s="532"/>
      <c r="G67" s="552" t="s">
        <v>177</v>
      </c>
      <c r="H67" s="552" t="s">
        <v>178</v>
      </c>
      <c r="I67" s="544"/>
      <c r="J67" s="981" t="s">
        <v>179</v>
      </c>
      <c r="K67" s="982"/>
      <c r="L67" s="553"/>
      <c r="M67" s="553"/>
      <c r="N67" s="553"/>
      <c r="O67" s="554"/>
      <c r="Q67" s="540"/>
      <c r="R67" s="540"/>
    </row>
    <row r="68" spans="2:18" ht="12.75" customHeight="1" x14ac:dyDescent="0.2">
      <c r="B68" s="968" t="s">
        <v>180</v>
      </c>
      <c r="C68" s="971" t="s">
        <v>181</v>
      </c>
      <c r="D68" s="973" t="s">
        <v>182</v>
      </c>
      <c r="E68" s="974"/>
      <c r="F68" s="974"/>
      <c r="G68" s="555">
        <f>+O43</f>
        <v>174000</v>
      </c>
      <c r="H68" s="556">
        <f t="shared" ref="H68:H76" si="8">+G68</f>
        <v>174000</v>
      </c>
      <c r="I68" s="544"/>
      <c r="J68" s="545" t="s">
        <v>803</v>
      </c>
      <c r="K68" s="539"/>
      <c r="L68" s="539"/>
      <c r="M68" s="539"/>
      <c r="N68" s="539"/>
      <c r="O68" s="558">
        <v>8775</v>
      </c>
      <c r="Q68" s="540"/>
      <c r="R68" s="540"/>
    </row>
    <row r="69" spans="2:18" ht="12.75" customHeight="1" x14ac:dyDescent="0.2">
      <c r="B69" s="969"/>
      <c r="C69" s="972"/>
      <c r="D69" s="975" t="s">
        <v>184</v>
      </c>
      <c r="E69" s="976"/>
      <c r="F69" s="976"/>
      <c r="G69" s="559">
        <v>34337</v>
      </c>
      <c r="H69" s="560">
        <f t="shared" si="8"/>
        <v>34337</v>
      </c>
      <c r="I69" s="544"/>
      <c r="J69" s="619" t="s">
        <v>804</v>
      </c>
      <c r="K69" s="550"/>
      <c r="L69" s="550"/>
      <c r="M69" s="550"/>
      <c r="N69" s="550"/>
      <c r="O69" s="562">
        <v>25562</v>
      </c>
      <c r="Q69" s="540"/>
      <c r="R69" s="540"/>
    </row>
    <row r="70" spans="2:18" ht="12.75" customHeight="1" x14ac:dyDescent="0.2">
      <c r="B70" s="969"/>
      <c r="C70" s="972"/>
      <c r="D70" s="990" t="s">
        <v>185</v>
      </c>
      <c r="E70" s="991"/>
      <c r="F70" s="991"/>
      <c r="G70" s="654">
        <f>O40</f>
        <v>360</v>
      </c>
      <c r="H70" s="560">
        <f t="shared" si="8"/>
        <v>360</v>
      </c>
      <c r="I70" s="544"/>
      <c r="J70" s="549"/>
      <c r="K70" s="550"/>
      <c r="L70" s="550"/>
      <c r="M70" s="550"/>
      <c r="N70" s="550"/>
      <c r="O70" s="551"/>
    </row>
    <row r="71" spans="2:18" x14ac:dyDescent="0.2">
      <c r="B71" s="969"/>
      <c r="C71" s="972"/>
      <c r="D71" s="975" t="s">
        <v>186</v>
      </c>
      <c r="E71" s="976"/>
      <c r="F71" s="976"/>
      <c r="G71" s="565">
        <v>0</v>
      </c>
      <c r="H71" s="560">
        <f t="shared" si="8"/>
        <v>0</v>
      </c>
      <c r="I71" s="544"/>
      <c r="J71" s="572" t="s">
        <v>187</v>
      </c>
      <c r="K71" s="553"/>
      <c r="L71" s="553"/>
      <c r="M71" s="553"/>
      <c r="N71" s="553"/>
      <c r="O71" s="554"/>
    </row>
    <row r="72" spans="2:18" ht="12.75" customHeight="1" x14ac:dyDescent="0.2">
      <c r="B72" s="969"/>
      <c r="C72" s="972"/>
      <c r="D72" s="950" t="s">
        <v>188</v>
      </c>
      <c r="E72" s="976"/>
      <c r="F72" s="976"/>
      <c r="G72" s="654">
        <v>0</v>
      </c>
      <c r="H72" s="560">
        <f t="shared" si="8"/>
        <v>0</v>
      </c>
      <c r="I72" s="544"/>
      <c r="J72" s="545" t="s">
        <v>189</v>
      </c>
      <c r="K72" s="534"/>
      <c r="L72" s="534"/>
      <c r="M72" s="534"/>
      <c r="N72" s="534"/>
      <c r="O72" s="570">
        <f>O42</f>
        <v>4400</v>
      </c>
    </row>
    <row r="73" spans="2:18" ht="14.25" customHeight="1" x14ac:dyDescent="0.2">
      <c r="B73" s="969"/>
      <c r="C73" s="972"/>
      <c r="D73" s="975" t="s">
        <v>190</v>
      </c>
      <c r="E73" s="976"/>
      <c r="F73" s="976"/>
      <c r="G73" s="568">
        <v>0</v>
      </c>
      <c r="H73" s="560">
        <f t="shared" si="8"/>
        <v>0</v>
      </c>
      <c r="I73" s="544"/>
      <c r="J73" s="545"/>
      <c r="K73" s="529"/>
      <c r="L73" s="529"/>
      <c r="M73" s="529"/>
      <c r="N73" s="529"/>
      <c r="O73" s="546"/>
    </row>
    <row r="74" spans="2:18" x14ac:dyDescent="0.2">
      <c r="B74" s="969"/>
      <c r="C74" s="972"/>
      <c r="D74" s="975" t="s">
        <v>191</v>
      </c>
      <c r="E74" s="976"/>
      <c r="F74" s="976"/>
      <c r="G74" s="565">
        <v>84997</v>
      </c>
      <c r="H74" s="560">
        <f t="shared" si="8"/>
        <v>84997</v>
      </c>
      <c r="I74" s="539"/>
      <c r="J74" s="649"/>
      <c r="K74" s="534"/>
      <c r="L74" s="534"/>
      <c r="M74" s="534"/>
      <c r="N74" s="534"/>
      <c r="O74" s="570"/>
    </row>
    <row r="75" spans="2:18" x14ac:dyDescent="0.2">
      <c r="B75" s="969"/>
      <c r="C75" s="571" t="s">
        <v>192</v>
      </c>
      <c r="D75" s="984" t="s">
        <v>193</v>
      </c>
      <c r="E75" s="985"/>
      <c r="F75" s="985"/>
      <c r="G75" s="654">
        <v>0</v>
      </c>
      <c r="H75" s="560">
        <f t="shared" si="8"/>
        <v>0</v>
      </c>
      <c r="I75" s="539"/>
      <c r="J75" s="635"/>
      <c r="K75" s="650"/>
      <c r="L75" s="650"/>
      <c r="M75" s="650"/>
      <c r="N75" s="650"/>
      <c r="O75" s="651"/>
    </row>
    <row r="76" spans="2:18" ht="13.5" customHeight="1" thickBot="1" x14ac:dyDescent="0.25">
      <c r="B76" s="969"/>
      <c r="C76" s="571" t="s">
        <v>194</v>
      </c>
      <c r="D76" s="986" t="s">
        <v>195</v>
      </c>
      <c r="E76" s="986"/>
      <c r="F76" s="986"/>
      <c r="G76" s="573">
        <v>0</v>
      </c>
      <c r="H76" s="574">
        <f t="shared" si="8"/>
        <v>0</v>
      </c>
      <c r="I76" s="544"/>
      <c r="J76" s="545"/>
      <c r="K76" s="550"/>
      <c r="L76" s="550"/>
      <c r="M76" s="620"/>
      <c r="N76" s="620"/>
      <c r="O76" s="621"/>
    </row>
    <row r="77" spans="2:18" ht="13.5" thickBot="1" x14ac:dyDescent="0.25">
      <c r="B77" s="969"/>
      <c r="C77" s="575"/>
      <c r="D77" s="576"/>
      <c r="E77" s="987" t="s">
        <v>117</v>
      </c>
      <c r="F77" s="988"/>
      <c r="G77" s="577">
        <f>SUM(G68:G76)</f>
        <v>293694</v>
      </c>
      <c r="H77" s="578">
        <f>IF(SUM(G68:G74)&lt;150000,SUM(G68:G74),150000)+IF(+G75&lt;20000,+G75,20000)</f>
        <v>150000</v>
      </c>
      <c r="I77" s="544"/>
      <c r="J77" s="579"/>
      <c r="K77" s="580"/>
      <c r="L77" s="580"/>
      <c r="M77" s="581"/>
      <c r="N77" s="581"/>
      <c r="O77" s="582"/>
    </row>
    <row r="78" spans="2:18" ht="12.75" customHeight="1" x14ac:dyDescent="0.2">
      <c r="B78" s="969"/>
      <c r="C78" s="583" t="s">
        <v>196</v>
      </c>
      <c r="D78" s="975" t="s">
        <v>187</v>
      </c>
      <c r="E78" s="976"/>
      <c r="F78" s="989"/>
      <c r="G78" s="555">
        <v>18518</v>
      </c>
      <c r="H78" s="584">
        <f>+IF(+G78&lt;25000,+G78,25000)</f>
        <v>18518</v>
      </c>
      <c r="I78" s="585"/>
    </row>
    <row r="79" spans="2:18" x14ac:dyDescent="0.2">
      <c r="B79" s="969"/>
      <c r="C79" s="583" t="s">
        <v>197</v>
      </c>
      <c r="D79" s="950" t="s">
        <v>198</v>
      </c>
      <c r="E79" s="951"/>
      <c r="F79" s="952"/>
      <c r="G79" s="586"/>
      <c r="H79" s="587">
        <f>+IF(+G79&lt;40000,+G79,40000)</f>
        <v>0</v>
      </c>
      <c r="I79" s="544"/>
    </row>
    <row r="80" spans="2:18" x14ac:dyDescent="0.2">
      <c r="B80" s="969"/>
      <c r="C80" s="583" t="s">
        <v>199</v>
      </c>
      <c r="D80" s="950" t="s">
        <v>200</v>
      </c>
      <c r="E80" s="951"/>
      <c r="F80" s="952"/>
      <c r="G80" s="565"/>
      <c r="H80" s="588">
        <v>0</v>
      </c>
      <c r="I80" s="544"/>
      <c r="J80" s="590"/>
    </row>
    <row r="81" spans="2:13" x14ac:dyDescent="0.2">
      <c r="B81" s="969"/>
      <c r="C81" s="583" t="s">
        <v>201</v>
      </c>
      <c r="D81" s="950" t="s">
        <v>202</v>
      </c>
      <c r="E81" s="951"/>
      <c r="F81" s="952"/>
      <c r="G81" s="565"/>
      <c r="H81" s="588">
        <v>0</v>
      </c>
      <c r="I81" s="544"/>
    </row>
    <row r="82" spans="2:13" ht="13.5" thickBot="1" x14ac:dyDescent="0.25">
      <c r="B82" s="970"/>
      <c r="C82" s="583" t="s">
        <v>203</v>
      </c>
      <c r="D82" s="950" t="s">
        <v>204</v>
      </c>
      <c r="E82" s="951"/>
      <c r="F82" s="952"/>
      <c r="G82" s="586"/>
      <c r="H82" s="587">
        <f>+IF(+G82&lt;100000,+G82,10000)</f>
        <v>0</v>
      </c>
      <c r="I82" s="544"/>
    </row>
    <row r="83" spans="2:13" ht="13.5" thickBot="1" x14ac:dyDescent="0.25">
      <c r="B83" s="953" t="s">
        <v>205</v>
      </c>
      <c r="C83" s="954"/>
      <c r="D83" s="954"/>
      <c r="E83" s="954"/>
      <c r="F83" s="954"/>
      <c r="G83" s="591">
        <f>SUM(G78:G82)</f>
        <v>18518</v>
      </c>
      <c r="H83" s="592">
        <f>SUM(H77:H82)</f>
        <v>168518</v>
      </c>
    </row>
    <row r="84" spans="2:13" ht="13.5" thickBot="1" x14ac:dyDescent="0.25">
      <c r="J84" s="585"/>
      <c r="K84" s="585"/>
      <c r="L84" s="585"/>
      <c r="M84" s="585"/>
    </row>
    <row r="85" spans="2:13" ht="13.5" thickBot="1" x14ac:dyDescent="0.25">
      <c r="B85" s="955" t="s">
        <v>206</v>
      </c>
      <c r="C85" s="956"/>
      <c r="D85" s="956"/>
      <c r="E85" s="956"/>
      <c r="F85" s="957"/>
      <c r="G85" s="958">
        <f>+G64-H83</f>
        <v>1282554</v>
      </c>
      <c r="H85" s="957"/>
      <c r="J85" s="605">
        <f>C37+D37+E37+F37</f>
        <v>971626</v>
      </c>
      <c r="K85" s="504" t="s">
        <v>235</v>
      </c>
      <c r="L85" s="585"/>
      <c r="M85" s="585"/>
    </row>
    <row r="86" spans="2:13" x14ac:dyDescent="0.2">
      <c r="B86" s="594"/>
      <c r="F86" s="593"/>
      <c r="J86" s="605">
        <f>G37+H37+I37</f>
        <v>215916</v>
      </c>
      <c r="K86" s="504" t="s">
        <v>236</v>
      </c>
      <c r="L86" s="585"/>
      <c r="M86" s="585"/>
    </row>
    <row r="87" spans="2:13" x14ac:dyDescent="0.2">
      <c r="C87" s="959" t="s">
        <v>207</v>
      </c>
      <c r="D87" s="960"/>
      <c r="E87" s="595" t="s">
        <v>208</v>
      </c>
      <c r="F87" s="595" t="s">
        <v>209</v>
      </c>
      <c r="G87" s="595" t="s">
        <v>210</v>
      </c>
      <c r="H87" s="595" t="s">
        <v>211</v>
      </c>
      <c r="J87" s="605">
        <f>J37+K37+L37</f>
        <v>229496</v>
      </c>
      <c r="K87" s="531" t="s">
        <v>237</v>
      </c>
      <c r="L87" s="585"/>
      <c r="M87" s="585"/>
    </row>
    <row r="88" spans="2:13" x14ac:dyDescent="0.2">
      <c r="C88" s="961" t="str">
        <f>IF(I6="M","0          - 250000","0          -  250000")</f>
        <v>0          - 250000</v>
      </c>
      <c r="D88" s="962"/>
      <c r="E88" s="597">
        <v>0</v>
      </c>
      <c r="F88" s="598">
        <f>IF(I6="M",(IF(G85&lt;250000,G85,250000)),(IF(G85&lt;250000,G85,250000)))</f>
        <v>250000</v>
      </c>
      <c r="G88" s="598">
        <f>G85-F88</f>
        <v>1032554</v>
      </c>
      <c r="H88" s="598">
        <f>E88*F88</f>
        <v>0</v>
      </c>
      <c r="J88" s="504">
        <f>M37+N37</f>
        <v>146168</v>
      </c>
      <c r="K88" s="490" t="s">
        <v>238</v>
      </c>
      <c r="L88" s="585"/>
      <c r="M88" s="585"/>
    </row>
    <row r="89" spans="2:13" x14ac:dyDescent="0.2">
      <c r="C89" s="961" t="str">
        <f>IF(I6="M","250001 - 500000","250001-500000")</f>
        <v>250001 - 500000</v>
      </c>
      <c r="D89" s="962"/>
      <c r="E89" s="597">
        <v>0.05</v>
      </c>
      <c r="F89" s="598">
        <f>IF(I6="M",(IF(G88&lt;250000,G88,250000)),(IF(G88&lt;250000,G88,250000)))</f>
        <v>250000</v>
      </c>
      <c r="G89" s="598">
        <f>G88-F89</f>
        <v>782554</v>
      </c>
      <c r="H89" s="600">
        <f>ROUND(E89*F89,0.1)</f>
        <v>12500</v>
      </c>
      <c r="J89" s="601">
        <f>SUM(J85:J88)</f>
        <v>1563206</v>
      </c>
      <c r="L89" s="585"/>
      <c r="M89" s="585"/>
    </row>
    <row r="90" spans="2:13" x14ac:dyDescent="0.2">
      <c r="C90" s="963" t="s">
        <v>212</v>
      </c>
      <c r="D90" s="964"/>
      <c r="E90" s="597">
        <v>0.2</v>
      </c>
      <c r="F90" s="598">
        <f>IF(G89&lt;500000,G89,500000)</f>
        <v>500000</v>
      </c>
      <c r="G90" s="598">
        <f>G89-F90</f>
        <v>282554</v>
      </c>
      <c r="H90" s="600">
        <f>ROUND(E90*F90,0.1)</f>
        <v>100000</v>
      </c>
      <c r="J90" s="504">
        <f>+G85</f>
        <v>1282554</v>
      </c>
      <c r="L90" s="585"/>
      <c r="M90" s="585"/>
    </row>
    <row r="91" spans="2:13" x14ac:dyDescent="0.2">
      <c r="C91" s="961" t="s">
        <v>213</v>
      </c>
      <c r="D91" s="962"/>
      <c r="E91" s="597">
        <v>0.3</v>
      </c>
      <c r="F91" s="598">
        <f>G90</f>
        <v>282554</v>
      </c>
      <c r="G91" s="598">
        <f>G90-F91</f>
        <v>0</v>
      </c>
      <c r="H91" s="600">
        <f>ROUND(E91*F91,0.1)</f>
        <v>84766</v>
      </c>
      <c r="J91" s="504">
        <f>+J89-J90</f>
        <v>280652</v>
      </c>
      <c r="L91" s="585"/>
      <c r="M91" s="585"/>
    </row>
    <row r="92" spans="2:13" ht="12.75" customHeight="1" thickBot="1" x14ac:dyDescent="0.25">
      <c r="B92" s="602"/>
      <c r="C92" s="603"/>
      <c r="D92" s="531"/>
      <c r="E92" s="531"/>
      <c r="F92" s="531"/>
      <c r="J92" s="585"/>
      <c r="K92" s="604"/>
      <c r="L92" s="585"/>
      <c r="M92" s="585"/>
    </row>
    <row r="93" spans="2:13" ht="13.5" thickBot="1" x14ac:dyDescent="0.25">
      <c r="B93" s="965" t="s">
        <v>239</v>
      </c>
      <c r="C93" s="966"/>
      <c r="D93" s="966"/>
      <c r="E93" s="966"/>
      <c r="F93" s="967"/>
      <c r="G93" s="943">
        <f>H88+H89+H90+H91</f>
        <v>197266</v>
      </c>
      <c r="H93" s="944"/>
      <c r="J93" s="585"/>
      <c r="K93" s="585"/>
      <c r="L93" s="585"/>
      <c r="M93" s="585"/>
    </row>
    <row r="94" spans="2:13" ht="13.5" thickBot="1" x14ac:dyDescent="0.25">
      <c r="B94" s="606" t="s">
        <v>1354</v>
      </c>
      <c r="C94" s="607"/>
      <c r="D94" s="607"/>
      <c r="E94" s="607"/>
      <c r="F94" s="607"/>
      <c r="G94" s="652"/>
      <c r="H94" s="653">
        <v>122268</v>
      </c>
    </row>
    <row r="95" spans="2:13" ht="13.5" thickBot="1" x14ac:dyDescent="0.25">
      <c r="B95" s="606" t="s">
        <v>215</v>
      </c>
      <c r="C95" s="607"/>
      <c r="D95" s="607"/>
      <c r="E95" s="607"/>
      <c r="F95" s="607"/>
      <c r="G95" s="941">
        <f>IF((G64&lt;500000),5000,0)</f>
        <v>0</v>
      </c>
      <c r="H95" s="942">
        <f>IF(H92&lt;200000,0,IF(H92&lt;220000,((H92-200000)*10%),IF(H92&lt;=500000,2000,IF(H92&gt;=500000,0))))</f>
        <v>0</v>
      </c>
      <c r="J95" s="490"/>
      <c r="K95" s="610"/>
      <c r="L95" s="610"/>
    </row>
    <row r="96" spans="2:13" ht="13.5" thickBot="1" x14ac:dyDescent="0.25">
      <c r="B96" s="611" t="s">
        <v>216</v>
      </c>
      <c r="C96" s="612"/>
      <c r="D96" s="612"/>
      <c r="E96" s="612"/>
      <c r="F96" s="612"/>
      <c r="G96" s="943">
        <f>IF((G93-H94-G95)&lt;0,0,(G93-H94-G95))</f>
        <v>74998</v>
      </c>
      <c r="H96" s="944"/>
      <c r="I96" s="527"/>
    </row>
    <row r="97" spans="2:9" ht="13.5" thickBot="1" x14ac:dyDescent="0.25">
      <c r="B97" s="945" t="s">
        <v>473</v>
      </c>
      <c r="C97" s="946"/>
      <c r="D97" s="946"/>
      <c r="E97" s="946"/>
      <c r="F97" s="947"/>
      <c r="G97" s="948">
        <f>ROUND((IF(G96&gt;0,(G96*4%),0)),0)</f>
        <v>3000</v>
      </c>
      <c r="H97" s="949"/>
      <c r="I97" s="527"/>
    </row>
    <row r="98" spans="2:9" ht="13.5" thickBot="1" x14ac:dyDescent="0.25">
      <c r="B98" s="933" t="s">
        <v>218</v>
      </c>
      <c r="C98" s="934"/>
      <c r="D98" s="934"/>
      <c r="E98" s="934"/>
      <c r="F98" s="934"/>
      <c r="G98" s="935">
        <f>G96+G97</f>
        <v>77998</v>
      </c>
      <c r="H98" s="936"/>
      <c r="I98" s="610"/>
    </row>
    <row r="99" spans="2:9" ht="13.5" thickBot="1" x14ac:dyDescent="0.25">
      <c r="B99" s="937" t="s">
        <v>219</v>
      </c>
      <c r="C99" s="938"/>
      <c r="D99" s="938"/>
      <c r="E99" s="938"/>
      <c r="F99" s="938"/>
      <c r="G99" s="939">
        <f>O38</f>
        <v>94343</v>
      </c>
      <c r="H99" s="940"/>
      <c r="I99" s="610"/>
    </row>
    <row r="100" spans="2:9" ht="13.5" thickBot="1" x14ac:dyDescent="0.25">
      <c r="B100" s="937" t="str">
        <f>IF(G100&gt;0,"TAX PAYABLE","TAX REFUND")</f>
        <v>TAX REFUND</v>
      </c>
      <c r="C100" s="938"/>
      <c r="D100" s="938"/>
      <c r="E100" s="938"/>
      <c r="F100" s="938"/>
      <c r="G100" s="939">
        <f>+G98-G99</f>
        <v>-16345</v>
      </c>
      <c r="H100" s="940"/>
      <c r="I100" s="527"/>
    </row>
    <row r="101" spans="2:9" x14ac:dyDescent="0.2">
      <c r="C101" s="613"/>
      <c r="D101" s="656"/>
      <c r="E101" s="604"/>
      <c r="F101" s="604"/>
      <c r="G101" s="604"/>
      <c r="H101" s="604"/>
      <c r="I101" s="614"/>
    </row>
    <row r="102" spans="2:9" x14ac:dyDescent="0.2">
      <c r="C102" s="531"/>
      <c r="D102" s="534"/>
      <c r="E102" s="603"/>
      <c r="F102" s="531"/>
      <c r="G102" s="531"/>
      <c r="H102" s="531"/>
      <c r="I102" s="614"/>
    </row>
    <row r="103" spans="2:9" x14ac:dyDescent="0.2">
      <c r="C103" s="529"/>
      <c r="D103" s="615"/>
      <c r="E103" s="615"/>
      <c r="F103" s="615"/>
      <c r="G103" s="529"/>
      <c r="H103" s="529"/>
      <c r="I103" s="527"/>
    </row>
    <row r="104" spans="2:9" x14ac:dyDescent="0.2">
      <c r="C104" s="529"/>
      <c r="D104" s="615"/>
      <c r="E104" s="615"/>
      <c r="F104" s="529"/>
      <c r="G104" s="529"/>
      <c r="H104" s="529"/>
      <c r="I104" s="527"/>
    </row>
    <row r="105" spans="2:9" x14ac:dyDescent="0.2">
      <c r="C105" s="529"/>
      <c r="D105" s="615"/>
      <c r="E105" s="615"/>
      <c r="F105" s="529"/>
      <c r="G105" s="529"/>
      <c r="H105" s="529"/>
      <c r="I105" s="527"/>
    </row>
    <row r="106" spans="2:9" x14ac:dyDescent="0.2">
      <c r="C106" s="529"/>
      <c r="D106" s="529"/>
      <c r="E106" s="529"/>
      <c r="F106" s="529"/>
      <c r="G106" s="529"/>
      <c r="H106" s="529"/>
      <c r="I106" s="527"/>
    </row>
    <row r="107" spans="2:9" x14ac:dyDescent="0.2">
      <c r="C107" s="529"/>
      <c r="D107" s="529"/>
      <c r="E107" s="529"/>
      <c r="F107" s="529"/>
      <c r="G107" s="529"/>
      <c r="H107" s="529"/>
    </row>
    <row r="108" spans="2:9" x14ac:dyDescent="0.2">
      <c r="C108" s="529"/>
      <c r="D108" s="529"/>
      <c r="E108" s="529"/>
      <c r="F108" s="529"/>
      <c r="G108" s="529"/>
      <c r="H108" s="529"/>
    </row>
  </sheetData>
  <mergeCells count="93">
    <mergeCell ref="B100:F100"/>
    <mergeCell ref="G100:H100"/>
    <mergeCell ref="A1:C1"/>
    <mergeCell ref="D1:F1"/>
    <mergeCell ref="G1:H1"/>
    <mergeCell ref="A3:C3"/>
    <mergeCell ref="D3:F3"/>
    <mergeCell ref="G3:H3"/>
    <mergeCell ref="A36:B36"/>
    <mergeCell ref="A5:C5"/>
    <mergeCell ref="D5:F5"/>
    <mergeCell ref="G5:H5"/>
    <mergeCell ref="A38:A48"/>
    <mergeCell ref="A49:B49"/>
    <mergeCell ref="A50:B50"/>
    <mergeCell ref="B53:F53"/>
    <mergeCell ref="I1:O1"/>
    <mergeCell ref="A2:C2"/>
    <mergeCell ref="D2:F2"/>
    <mergeCell ref="G2:H2"/>
    <mergeCell ref="I2:O2"/>
    <mergeCell ref="I3:O3"/>
    <mergeCell ref="A4:C4"/>
    <mergeCell ref="D4:F4"/>
    <mergeCell ref="G4:H4"/>
    <mergeCell ref="I4:O4"/>
    <mergeCell ref="I5:O5"/>
    <mergeCell ref="A6:C6"/>
    <mergeCell ref="D6:F6"/>
    <mergeCell ref="G6:H6"/>
    <mergeCell ref="J6:O6"/>
    <mergeCell ref="L7:O7"/>
    <mergeCell ref="A8:B8"/>
    <mergeCell ref="A21:A33"/>
    <mergeCell ref="A34:B34"/>
    <mergeCell ref="A35:B35"/>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5:H95"/>
    <mergeCell ref="G96:H96"/>
    <mergeCell ref="B97:F97"/>
    <mergeCell ref="G97:H97"/>
    <mergeCell ref="B98:F98"/>
    <mergeCell ref="G98:H98"/>
  </mergeCells>
  <conditionalFormatting sqref="B90:F90 B100:F100 B93:F98">
    <cfRule type="cellIs" dxfId="973" priority="1" stopIfTrue="1" operator="equal">
      <formula>"TAX PAYABLE"</formula>
    </cfRule>
    <cfRule type="cellIs" dxfId="972" priority="2" stopIfTrue="1" operator="equal">
      <formula>"TAX REFUND"</formula>
    </cfRule>
  </conditionalFormatting>
  <conditionalFormatting sqref="G90:H90">
    <cfRule type="cellIs" dxfId="971" priority="3" stopIfTrue="1" operator="lessThan">
      <formula>0</formula>
    </cfRule>
    <cfRule type="cellIs" dxfId="970" priority="4" stopIfTrue="1" operator="greaterThan">
      <formula>0</formula>
    </cfRule>
  </conditionalFormatting>
  <conditionalFormatting sqref="G100:H100">
    <cfRule type="cellIs" dxfId="969" priority="5" stopIfTrue="1" operator="greaterThan">
      <formula>0</formula>
    </cfRule>
    <cfRule type="cellIs" dxfId="968" priority="6"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hyperlinks>
    <hyperlink ref="G95" r:id="rId1" display="=@round(IF(G85&lt;200000,0,IF(G85&lt;220000,((G85-200000)*10%),IF(G85&lt;=500000,2000,IF(G85&gt;=500000,0)))),.1)"/>
  </hyperlinks>
  <pageMargins left="0.75" right="0.75" top="1" bottom="1" header="0.5" footer="0.5"/>
  <headerFooter alignWithMargins="0"/>
  <legacyDrawing r:id="rId2"/>
</worksheet>
</file>

<file path=xl/worksheets/sheet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103"/>
  <sheetViews>
    <sheetView topLeftCell="A62" workbookViewId="0">
      <selection activeCell="G68" sqref="G68"/>
    </sheetView>
  </sheetViews>
  <sheetFormatPr defaultRowHeight="12.75" x14ac:dyDescent="0.2"/>
  <cols>
    <col min="1" max="1" width="5" style="16" customWidth="1"/>
    <col min="2" max="2" width="19.140625" style="37" customWidth="1"/>
    <col min="3" max="3" width="10" style="16" customWidth="1"/>
    <col min="4" max="4" width="7.28515625" style="16" customWidth="1"/>
    <col min="5" max="5" width="8.5703125" style="16" bestFit="1" customWidth="1"/>
    <col min="6" max="6" width="9.28515625" style="16" bestFit="1" customWidth="1"/>
    <col min="7" max="7" width="8.28515625" style="16" customWidth="1"/>
    <col min="8" max="8" width="9.42578125" style="16" customWidth="1"/>
    <col min="9" max="9" width="10.140625" style="16" customWidth="1"/>
    <col min="10" max="10" width="9.5703125" style="16" customWidth="1"/>
    <col min="11" max="11" width="9" style="16" customWidth="1"/>
    <col min="12" max="12" width="9.5703125" style="16" customWidth="1"/>
    <col min="13" max="13" width="8.7109375" style="16" customWidth="1"/>
    <col min="14" max="14" width="8.42578125" style="16" customWidth="1"/>
    <col min="15" max="15" width="7.140625" style="16" bestFit="1" customWidth="1"/>
    <col min="16" max="20" width="9.140625" style="16"/>
    <col min="21" max="21" width="12.42578125" style="16" customWidth="1"/>
    <col min="22" max="22" width="9.140625" style="16"/>
    <col min="23" max="23" width="12" style="16" customWidth="1"/>
    <col min="24" max="256" width="9.140625" style="16"/>
    <col min="257" max="257" width="5" style="16" customWidth="1"/>
    <col min="258" max="258" width="19.140625" style="16" customWidth="1"/>
    <col min="259" max="259" width="10" style="16" customWidth="1"/>
    <col min="260" max="260" width="7.28515625" style="16" customWidth="1"/>
    <col min="261" max="261" width="8.5703125" style="16" bestFit="1" customWidth="1"/>
    <col min="262" max="262" width="9.28515625" style="16" bestFit="1" customWidth="1"/>
    <col min="263" max="263" width="8.28515625" style="16" customWidth="1"/>
    <col min="264" max="264" width="9.42578125" style="16" customWidth="1"/>
    <col min="265" max="265" width="10.140625" style="16" customWidth="1"/>
    <col min="266" max="266" width="9.5703125" style="16" customWidth="1"/>
    <col min="267" max="267" width="9" style="16" customWidth="1"/>
    <col min="268" max="268" width="9.5703125" style="16" customWidth="1"/>
    <col min="269" max="269" width="8.7109375" style="16" customWidth="1"/>
    <col min="270" max="270" width="8.42578125" style="16" customWidth="1"/>
    <col min="271" max="271" width="7.140625" style="16" bestFit="1" customWidth="1"/>
    <col min="272" max="276" width="9.140625" style="16"/>
    <col min="277" max="277" width="12.42578125" style="16" customWidth="1"/>
    <col min="278" max="278" width="9.140625" style="16"/>
    <col min="279" max="279" width="12" style="16" customWidth="1"/>
    <col min="280" max="512" width="9.140625" style="16"/>
    <col min="513" max="513" width="5" style="16" customWidth="1"/>
    <col min="514" max="514" width="19.140625" style="16" customWidth="1"/>
    <col min="515" max="515" width="10" style="16" customWidth="1"/>
    <col min="516" max="516" width="7.28515625" style="16" customWidth="1"/>
    <col min="517" max="517" width="8.5703125" style="16" bestFit="1" customWidth="1"/>
    <col min="518" max="518" width="9.28515625" style="16" bestFit="1" customWidth="1"/>
    <col min="519" max="519" width="8.28515625" style="16" customWidth="1"/>
    <col min="520" max="520" width="9.42578125" style="16" customWidth="1"/>
    <col min="521" max="521" width="10.140625" style="16" customWidth="1"/>
    <col min="522" max="522" width="9.5703125" style="16" customWidth="1"/>
    <col min="523" max="523" width="9" style="16" customWidth="1"/>
    <col min="524" max="524" width="9.5703125" style="16" customWidth="1"/>
    <col min="525" max="525" width="8.7109375" style="16" customWidth="1"/>
    <col min="526" max="526" width="8.42578125" style="16" customWidth="1"/>
    <col min="527" max="527" width="7.140625" style="16" bestFit="1" customWidth="1"/>
    <col min="528" max="532" width="9.140625" style="16"/>
    <col min="533" max="533" width="12.42578125" style="16" customWidth="1"/>
    <col min="534" max="534" width="9.140625" style="16"/>
    <col min="535" max="535" width="12" style="16" customWidth="1"/>
    <col min="536" max="768" width="9.140625" style="16"/>
    <col min="769" max="769" width="5" style="16" customWidth="1"/>
    <col min="770" max="770" width="19.140625" style="16" customWidth="1"/>
    <col min="771" max="771" width="10" style="16" customWidth="1"/>
    <col min="772" max="772" width="7.28515625" style="16" customWidth="1"/>
    <col min="773" max="773" width="8.5703125" style="16" bestFit="1" customWidth="1"/>
    <col min="774" max="774" width="9.28515625" style="16" bestFit="1" customWidth="1"/>
    <col min="775" max="775" width="8.28515625" style="16" customWidth="1"/>
    <col min="776" max="776" width="9.42578125" style="16" customWidth="1"/>
    <col min="777" max="777" width="10.140625" style="16" customWidth="1"/>
    <col min="778" max="778" width="9.5703125" style="16" customWidth="1"/>
    <col min="779" max="779" width="9" style="16" customWidth="1"/>
    <col min="780" max="780" width="9.5703125" style="16" customWidth="1"/>
    <col min="781" max="781" width="8.7109375" style="16" customWidth="1"/>
    <col min="782" max="782" width="8.42578125" style="16" customWidth="1"/>
    <col min="783" max="783" width="7.140625" style="16" bestFit="1" customWidth="1"/>
    <col min="784" max="788" width="9.140625" style="16"/>
    <col min="789" max="789" width="12.42578125" style="16" customWidth="1"/>
    <col min="790" max="790" width="9.140625" style="16"/>
    <col min="791" max="791" width="12" style="16" customWidth="1"/>
    <col min="792" max="1024" width="9.140625" style="16"/>
    <col min="1025" max="1025" width="5" style="16" customWidth="1"/>
    <col min="1026" max="1026" width="19.140625" style="16" customWidth="1"/>
    <col min="1027" max="1027" width="10" style="16" customWidth="1"/>
    <col min="1028" max="1028" width="7.28515625" style="16" customWidth="1"/>
    <col min="1029" max="1029" width="8.5703125" style="16" bestFit="1" customWidth="1"/>
    <col min="1030" max="1030" width="9.28515625" style="16" bestFit="1" customWidth="1"/>
    <col min="1031" max="1031" width="8.28515625" style="16" customWidth="1"/>
    <col min="1032" max="1032" width="9.42578125" style="16" customWidth="1"/>
    <col min="1033" max="1033" width="10.140625" style="16" customWidth="1"/>
    <col min="1034" max="1034" width="9.5703125" style="16" customWidth="1"/>
    <col min="1035" max="1035" width="9" style="16" customWidth="1"/>
    <col min="1036" max="1036" width="9.5703125" style="16" customWidth="1"/>
    <col min="1037" max="1037" width="8.7109375" style="16" customWidth="1"/>
    <col min="1038" max="1038" width="8.42578125" style="16" customWidth="1"/>
    <col min="1039" max="1039" width="7.140625" style="16" bestFit="1" customWidth="1"/>
    <col min="1040" max="1044" width="9.140625" style="16"/>
    <col min="1045" max="1045" width="12.42578125" style="16" customWidth="1"/>
    <col min="1046" max="1046" width="9.140625" style="16"/>
    <col min="1047" max="1047" width="12" style="16" customWidth="1"/>
    <col min="1048" max="1280" width="9.140625" style="16"/>
    <col min="1281" max="1281" width="5" style="16" customWidth="1"/>
    <col min="1282" max="1282" width="19.140625" style="16" customWidth="1"/>
    <col min="1283" max="1283" width="10" style="16" customWidth="1"/>
    <col min="1284" max="1284" width="7.28515625" style="16" customWidth="1"/>
    <col min="1285" max="1285" width="8.5703125" style="16" bestFit="1" customWidth="1"/>
    <col min="1286" max="1286" width="9.28515625" style="16" bestFit="1" customWidth="1"/>
    <col min="1287" max="1287" width="8.28515625" style="16" customWidth="1"/>
    <col min="1288" max="1288" width="9.42578125" style="16" customWidth="1"/>
    <col min="1289" max="1289" width="10.140625" style="16" customWidth="1"/>
    <col min="1290" max="1290" width="9.5703125" style="16" customWidth="1"/>
    <col min="1291" max="1291" width="9" style="16" customWidth="1"/>
    <col min="1292" max="1292" width="9.5703125" style="16" customWidth="1"/>
    <col min="1293" max="1293" width="8.7109375" style="16" customWidth="1"/>
    <col min="1294" max="1294" width="8.42578125" style="16" customWidth="1"/>
    <col min="1295" max="1295" width="7.140625" style="16" bestFit="1" customWidth="1"/>
    <col min="1296" max="1300" width="9.140625" style="16"/>
    <col min="1301" max="1301" width="12.42578125" style="16" customWidth="1"/>
    <col min="1302" max="1302" width="9.140625" style="16"/>
    <col min="1303" max="1303" width="12" style="16" customWidth="1"/>
    <col min="1304" max="1536" width="9.140625" style="16"/>
    <col min="1537" max="1537" width="5" style="16" customWidth="1"/>
    <col min="1538" max="1538" width="19.140625" style="16" customWidth="1"/>
    <col min="1539" max="1539" width="10" style="16" customWidth="1"/>
    <col min="1540" max="1540" width="7.28515625" style="16" customWidth="1"/>
    <col min="1541" max="1541" width="8.5703125" style="16" bestFit="1" customWidth="1"/>
    <col min="1542" max="1542" width="9.28515625" style="16" bestFit="1" customWidth="1"/>
    <col min="1543" max="1543" width="8.28515625" style="16" customWidth="1"/>
    <col min="1544" max="1544" width="9.42578125" style="16" customWidth="1"/>
    <col min="1545" max="1545" width="10.140625" style="16" customWidth="1"/>
    <col min="1546" max="1546" width="9.5703125" style="16" customWidth="1"/>
    <col min="1547" max="1547" width="9" style="16" customWidth="1"/>
    <col min="1548" max="1548" width="9.5703125" style="16" customWidth="1"/>
    <col min="1549" max="1549" width="8.7109375" style="16" customWidth="1"/>
    <col min="1550" max="1550" width="8.42578125" style="16" customWidth="1"/>
    <col min="1551" max="1551" width="7.140625" style="16" bestFit="1" customWidth="1"/>
    <col min="1552" max="1556" width="9.140625" style="16"/>
    <col min="1557" max="1557" width="12.42578125" style="16" customWidth="1"/>
    <col min="1558" max="1558" width="9.140625" style="16"/>
    <col min="1559" max="1559" width="12" style="16" customWidth="1"/>
    <col min="1560" max="1792" width="9.140625" style="16"/>
    <col min="1793" max="1793" width="5" style="16" customWidth="1"/>
    <col min="1794" max="1794" width="19.140625" style="16" customWidth="1"/>
    <col min="1795" max="1795" width="10" style="16" customWidth="1"/>
    <col min="1796" max="1796" width="7.28515625" style="16" customWidth="1"/>
    <col min="1797" max="1797" width="8.5703125" style="16" bestFit="1" customWidth="1"/>
    <col min="1798" max="1798" width="9.28515625" style="16" bestFit="1" customWidth="1"/>
    <col min="1799" max="1799" width="8.28515625" style="16" customWidth="1"/>
    <col min="1800" max="1800" width="9.42578125" style="16" customWidth="1"/>
    <col min="1801" max="1801" width="10.140625" style="16" customWidth="1"/>
    <col min="1802" max="1802" width="9.5703125" style="16" customWidth="1"/>
    <col min="1803" max="1803" width="9" style="16" customWidth="1"/>
    <col min="1804" max="1804" width="9.5703125" style="16" customWidth="1"/>
    <col min="1805" max="1805" width="8.7109375" style="16" customWidth="1"/>
    <col min="1806" max="1806" width="8.42578125" style="16" customWidth="1"/>
    <col min="1807" max="1807" width="7.140625" style="16" bestFit="1" customWidth="1"/>
    <col min="1808" max="1812" width="9.140625" style="16"/>
    <col min="1813" max="1813" width="12.42578125" style="16" customWidth="1"/>
    <col min="1814" max="1814" width="9.140625" style="16"/>
    <col min="1815" max="1815" width="12" style="16" customWidth="1"/>
    <col min="1816" max="2048" width="9.140625" style="16"/>
    <col min="2049" max="2049" width="5" style="16" customWidth="1"/>
    <col min="2050" max="2050" width="19.140625" style="16" customWidth="1"/>
    <col min="2051" max="2051" width="10" style="16" customWidth="1"/>
    <col min="2052" max="2052" width="7.28515625" style="16" customWidth="1"/>
    <col min="2053" max="2053" width="8.5703125" style="16" bestFit="1" customWidth="1"/>
    <col min="2054" max="2054" width="9.28515625" style="16" bestFit="1" customWidth="1"/>
    <col min="2055" max="2055" width="8.28515625" style="16" customWidth="1"/>
    <col min="2056" max="2056" width="9.42578125" style="16" customWidth="1"/>
    <col min="2057" max="2057" width="10.140625" style="16" customWidth="1"/>
    <col min="2058" max="2058" width="9.5703125" style="16" customWidth="1"/>
    <col min="2059" max="2059" width="9" style="16" customWidth="1"/>
    <col min="2060" max="2060" width="9.5703125" style="16" customWidth="1"/>
    <col min="2061" max="2061" width="8.7109375" style="16" customWidth="1"/>
    <col min="2062" max="2062" width="8.42578125" style="16" customWidth="1"/>
    <col min="2063" max="2063" width="7.140625" style="16" bestFit="1" customWidth="1"/>
    <col min="2064" max="2068" width="9.140625" style="16"/>
    <col min="2069" max="2069" width="12.42578125" style="16" customWidth="1"/>
    <col min="2070" max="2070" width="9.140625" style="16"/>
    <col min="2071" max="2071" width="12" style="16" customWidth="1"/>
    <col min="2072" max="2304" width="9.140625" style="16"/>
    <col min="2305" max="2305" width="5" style="16" customWidth="1"/>
    <col min="2306" max="2306" width="19.140625" style="16" customWidth="1"/>
    <col min="2307" max="2307" width="10" style="16" customWidth="1"/>
    <col min="2308" max="2308" width="7.28515625" style="16" customWidth="1"/>
    <col min="2309" max="2309" width="8.5703125" style="16" bestFit="1" customWidth="1"/>
    <col min="2310" max="2310" width="9.28515625" style="16" bestFit="1" customWidth="1"/>
    <col min="2311" max="2311" width="8.28515625" style="16" customWidth="1"/>
    <col min="2312" max="2312" width="9.42578125" style="16" customWidth="1"/>
    <col min="2313" max="2313" width="10.140625" style="16" customWidth="1"/>
    <col min="2314" max="2314" width="9.5703125" style="16" customWidth="1"/>
    <col min="2315" max="2315" width="9" style="16" customWidth="1"/>
    <col min="2316" max="2316" width="9.5703125" style="16" customWidth="1"/>
    <col min="2317" max="2317" width="8.7109375" style="16" customWidth="1"/>
    <col min="2318" max="2318" width="8.42578125" style="16" customWidth="1"/>
    <col min="2319" max="2319" width="7.140625" style="16" bestFit="1" customWidth="1"/>
    <col min="2320" max="2324" width="9.140625" style="16"/>
    <col min="2325" max="2325" width="12.42578125" style="16" customWidth="1"/>
    <col min="2326" max="2326" width="9.140625" style="16"/>
    <col min="2327" max="2327" width="12" style="16" customWidth="1"/>
    <col min="2328" max="2560" width="9.140625" style="16"/>
    <col min="2561" max="2561" width="5" style="16" customWidth="1"/>
    <col min="2562" max="2562" width="19.140625" style="16" customWidth="1"/>
    <col min="2563" max="2563" width="10" style="16" customWidth="1"/>
    <col min="2564" max="2564" width="7.28515625" style="16" customWidth="1"/>
    <col min="2565" max="2565" width="8.5703125" style="16" bestFit="1" customWidth="1"/>
    <col min="2566" max="2566" width="9.28515625" style="16" bestFit="1" customWidth="1"/>
    <col min="2567" max="2567" width="8.28515625" style="16" customWidth="1"/>
    <col min="2568" max="2568" width="9.42578125" style="16" customWidth="1"/>
    <col min="2569" max="2569" width="10.140625" style="16" customWidth="1"/>
    <col min="2570" max="2570" width="9.5703125" style="16" customWidth="1"/>
    <col min="2571" max="2571" width="9" style="16" customWidth="1"/>
    <col min="2572" max="2572" width="9.5703125" style="16" customWidth="1"/>
    <col min="2573" max="2573" width="8.7109375" style="16" customWidth="1"/>
    <col min="2574" max="2574" width="8.42578125" style="16" customWidth="1"/>
    <col min="2575" max="2575" width="7.140625" style="16" bestFit="1" customWidth="1"/>
    <col min="2576" max="2580" width="9.140625" style="16"/>
    <col min="2581" max="2581" width="12.42578125" style="16" customWidth="1"/>
    <col min="2582" max="2582" width="9.140625" style="16"/>
    <col min="2583" max="2583" width="12" style="16" customWidth="1"/>
    <col min="2584" max="2816" width="9.140625" style="16"/>
    <col min="2817" max="2817" width="5" style="16" customWidth="1"/>
    <col min="2818" max="2818" width="19.140625" style="16" customWidth="1"/>
    <col min="2819" max="2819" width="10" style="16" customWidth="1"/>
    <col min="2820" max="2820" width="7.28515625" style="16" customWidth="1"/>
    <col min="2821" max="2821" width="8.5703125" style="16" bestFit="1" customWidth="1"/>
    <col min="2822" max="2822" width="9.28515625" style="16" bestFit="1" customWidth="1"/>
    <col min="2823" max="2823" width="8.28515625" style="16" customWidth="1"/>
    <col min="2824" max="2824" width="9.42578125" style="16" customWidth="1"/>
    <col min="2825" max="2825" width="10.140625" style="16" customWidth="1"/>
    <col min="2826" max="2826" width="9.5703125" style="16" customWidth="1"/>
    <col min="2827" max="2827" width="9" style="16" customWidth="1"/>
    <col min="2828" max="2828" width="9.5703125" style="16" customWidth="1"/>
    <col min="2829" max="2829" width="8.7109375" style="16" customWidth="1"/>
    <col min="2830" max="2830" width="8.42578125" style="16" customWidth="1"/>
    <col min="2831" max="2831" width="7.140625" style="16" bestFit="1" customWidth="1"/>
    <col min="2832" max="2836" width="9.140625" style="16"/>
    <col min="2837" max="2837" width="12.42578125" style="16" customWidth="1"/>
    <col min="2838" max="2838" width="9.140625" style="16"/>
    <col min="2839" max="2839" width="12" style="16" customWidth="1"/>
    <col min="2840" max="3072" width="9.140625" style="16"/>
    <col min="3073" max="3073" width="5" style="16" customWidth="1"/>
    <col min="3074" max="3074" width="19.140625" style="16" customWidth="1"/>
    <col min="3075" max="3075" width="10" style="16" customWidth="1"/>
    <col min="3076" max="3076" width="7.28515625" style="16" customWidth="1"/>
    <col min="3077" max="3077" width="8.5703125" style="16" bestFit="1" customWidth="1"/>
    <col min="3078" max="3078" width="9.28515625" style="16" bestFit="1" customWidth="1"/>
    <col min="3079" max="3079" width="8.28515625" style="16" customWidth="1"/>
    <col min="3080" max="3080" width="9.42578125" style="16" customWidth="1"/>
    <col min="3081" max="3081" width="10.140625" style="16" customWidth="1"/>
    <col min="3082" max="3082" width="9.5703125" style="16" customWidth="1"/>
    <col min="3083" max="3083" width="9" style="16" customWidth="1"/>
    <col min="3084" max="3084" width="9.5703125" style="16" customWidth="1"/>
    <col min="3085" max="3085" width="8.7109375" style="16" customWidth="1"/>
    <col min="3086" max="3086" width="8.42578125" style="16" customWidth="1"/>
    <col min="3087" max="3087" width="7.140625" style="16" bestFit="1" customWidth="1"/>
    <col min="3088" max="3092" width="9.140625" style="16"/>
    <col min="3093" max="3093" width="12.42578125" style="16" customWidth="1"/>
    <col min="3094" max="3094" width="9.140625" style="16"/>
    <col min="3095" max="3095" width="12" style="16" customWidth="1"/>
    <col min="3096" max="3328" width="9.140625" style="16"/>
    <col min="3329" max="3329" width="5" style="16" customWidth="1"/>
    <col min="3330" max="3330" width="19.140625" style="16" customWidth="1"/>
    <col min="3331" max="3331" width="10" style="16" customWidth="1"/>
    <col min="3332" max="3332" width="7.28515625" style="16" customWidth="1"/>
    <col min="3333" max="3333" width="8.5703125" style="16" bestFit="1" customWidth="1"/>
    <col min="3334" max="3334" width="9.28515625" style="16" bestFit="1" customWidth="1"/>
    <col min="3335" max="3335" width="8.28515625" style="16" customWidth="1"/>
    <col min="3336" max="3336" width="9.42578125" style="16" customWidth="1"/>
    <col min="3337" max="3337" width="10.140625" style="16" customWidth="1"/>
    <col min="3338" max="3338" width="9.5703125" style="16" customWidth="1"/>
    <col min="3339" max="3339" width="9" style="16" customWidth="1"/>
    <col min="3340" max="3340" width="9.5703125" style="16" customWidth="1"/>
    <col min="3341" max="3341" width="8.7109375" style="16" customWidth="1"/>
    <col min="3342" max="3342" width="8.42578125" style="16" customWidth="1"/>
    <col min="3343" max="3343" width="7.140625" style="16" bestFit="1" customWidth="1"/>
    <col min="3344" max="3348" width="9.140625" style="16"/>
    <col min="3349" max="3349" width="12.42578125" style="16" customWidth="1"/>
    <col min="3350" max="3350" width="9.140625" style="16"/>
    <col min="3351" max="3351" width="12" style="16" customWidth="1"/>
    <col min="3352" max="3584" width="9.140625" style="16"/>
    <col min="3585" max="3585" width="5" style="16" customWidth="1"/>
    <col min="3586" max="3586" width="19.140625" style="16" customWidth="1"/>
    <col min="3587" max="3587" width="10" style="16" customWidth="1"/>
    <col min="3588" max="3588" width="7.28515625" style="16" customWidth="1"/>
    <col min="3589" max="3589" width="8.5703125" style="16" bestFit="1" customWidth="1"/>
    <col min="3590" max="3590" width="9.28515625" style="16" bestFit="1" customWidth="1"/>
    <col min="3591" max="3591" width="8.28515625" style="16" customWidth="1"/>
    <col min="3592" max="3592" width="9.42578125" style="16" customWidth="1"/>
    <col min="3593" max="3593" width="10.140625" style="16" customWidth="1"/>
    <col min="3594" max="3594" width="9.5703125" style="16" customWidth="1"/>
    <col min="3595" max="3595" width="9" style="16" customWidth="1"/>
    <col min="3596" max="3596" width="9.5703125" style="16" customWidth="1"/>
    <col min="3597" max="3597" width="8.7109375" style="16" customWidth="1"/>
    <col min="3598" max="3598" width="8.42578125" style="16" customWidth="1"/>
    <col min="3599" max="3599" width="7.140625" style="16" bestFit="1" customWidth="1"/>
    <col min="3600" max="3604" width="9.140625" style="16"/>
    <col min="3605" max="3605" width="12.42578125" style="16" customWidth="1"/>
    <col min="3606" max="3606" width="9.140625" style="16"/>
    <col min="3607" max="3607" width="12" style="16" customWidth="1"/>
    <col min="3608" max="3840" width="9.140625" style="16"/>
    <col min="3841" max="3841" width="5" style="16" customWidth="1"/>
    <col min="3842" max="3842" width="19.140625" style="16" customWidth="1"/>
    <col min="3843" max="3843" width="10" style="16" customWidth="1"/>
    <col min="3844" max="3844" width="7.28515625" style="16" customWidth="1"/>
    <col min="3845" max="3845" width="8.5703125" style="16" bestFit="1" customWidth="1"/>
    <col min="3846" max="3846" width="9.28515625" style="16" bestFit="1" customWidth="1"/>
    <col min="3847" max="3847" width="8.28515625" style="16" customWidth="1"/>
    <col min="3848" max="3848" width="9.42578125" style="16" customWidth="1"/>
    <col min="3849" max="3849" width="10.140625" style="16" customWidth="1"/>
    <col min="3850" max="3850" width="9.5703125" style="16" customWidth="1"/>
    <col min="3851" max="3851" width="9" style="16" customWidth="1"/>
    <col min="3852" max="3852" width="9.5703125" style="16" customWidth="1"/>
    <col min="3853" max="3853" width="8.7109375" style="16" customWidth="1"/>
    <col min="3854" max="3854" width="8.42578125" style="16" customWidth="1"/>
    <col min="3855" max="3855" width="7.140625" style="16" bestFit="1" customWidth="1"/>
    <col min="3856" max="3860" width="9.140625" style="16"/>
    <col min="3861" max="3861" width="12.42578125" style="16" customWidth="1"/>
    <col min="3862" max="3862" width="9.140625" style="16"/>
    <col min="3863" max="3863" width="12" style="16" customWidth="1"/>
    <col min="3864" max="4096" width="9.140625" style="16"/>
    <col min="4097" max="4097" width="5" style="16" customWidth="1"/>
    <col min="4098" max="4098" width="19.140625" style="16" customWidth="1"/>
    <col min="4099" max="4099" width="10" style="16" customWidth="1"/>
    <col min="4100" max="4100" width="7.28515625" style="16" customWidth="1"/>
    <col min="4101" max="4101" width="8.5703125" style="16" bestFit="1" customWidth="1"/>
    <col min="4102" max="4102" width="9.28515625" style="16" bestFit="1" customWidth="1"/>
    <col min="4103" max="4103" width="8.28515625" style="16" customWidth="1"/>
    <col min="4104" max="4104" width="9.42578125" style="16" customWidth="1"/>
    <col min="4105" max="4105" width="10.140625" style="16" customWidth="1"/>
    <col min="4106" max="4106" width="9.5703125" style="16" customWidth="1"/>
    <col min="4107" max="4107" width="9" style="16" customWidth="1"/>
    <col min="4108" max="4108" width="9.5703125" style="16" customWidth="1"/>
    <col min="4109" max="4109" width="8.7109375" style="16" customWidth="1"/>
    <col min="4110" max="4110" width="8.42578125" style="16" customWidth="1"/>
    <col min="4111" max="4111" width="7.140625" style="16" bestFit="1" customWidth="1"/>
    <col min="4112" max="4116" width="9.140625" style="16"/>
    <col min="4117" max="4117" width="12.42578125" style="16" customWidth="1"/>
    <col min="4118" max="4118" width="9.140625" style="16"/>
    <col min="4119" max="4119" width="12" style="16" customWidth="1"/>
    <col min="4120" max="4352" width="9.140625" style="16"/>
    <col min="4353" max="4353" width="5" style="16" customWidth="1"/>
    <col min="4354" max="4354" width="19.140625" style="16" customWidth="1"/>
    <col min="4355" max="4355" width="10" style="16" customWidth="1"/>
    <col min="4356" max="4356" width="7.28515625" style="16" customWidth="1"/>
    <col min="4357" max="4357" width="8.5703125" style="16" bestFit="1" customWidth="1"/>
    <col min="4358" max="4358" width="9.28515625" style="16" bestFit="1" customWidth="1"/>
    <col min="4359" max="4359" width="8.28515625" style="16" customWidth="1"/>
    <col min="4360" max="4360" width="9.42578125" style="16" customWidth="1"/>
    <col min="4361" max="4361" width="10.140625" style="16" customWidth="1"/>
    <col min="4362" max="4362" width="9.5703125" style="16" customWidth="1"/>
    <col min="4363" max="4363" width="9" style="16" customWidth="1"/>
    <col min="4364" max="4364" width="9.5703125" style="16" customWidth="1"/>
    <col min="4365" max="4365" width="8.7109375" style="16" customWidth="1"/>
    <col min="4366" max="4366" width="8.42578125" style="16" customWidth="1"/>
    <col min="4367" max="4367" width="7.140625" style="16" bestFit="1" customWidth="1"/>
    <col min="4368" max="4372" width="9.140625" style="16"/>
    <col min="4373" max="4373" width="12.42578125" style="16" customWidth="1"/>
    <col min="4374" max="4374" width="9.140625" style="16"/>
    <col min="4375" max="4375" width="12" style="16" customWidth="1"/>
    <col min="4376" max="4608" width="9.140625" style="16"/>
    <col min="4609" max="4609" width="5" style="16" customWidth="1"/>
    <col min="4610" max="4610" width="19.140625" style="16" customWidth="1"/>
    <col min="4611" max="4611" width="10" style="16" customWidth="1"/>
    <col min="4612" max="4612" width="7.28515625" style="16" customWidth="1"/>
    <col min="4613" max="4613" width="8.5703125" style="16" bestFit="1" customWidth="1"/>
    <col min="4614" max="4614" width="9.28515625" style="16" bestFit="1" customWidth="1"/>
    <col min="4615" max="4615" width="8.28515625" style="16" customWidth="1"/>
    <col min="4616" max="4616" width="9.42578125" style="16" customWidth="1"/>
    <col min="4617" max="4617" width="10.140625" style="16" customWidth="1"/>
    <col min="4618" max="4618" width="9.5703125" style="16" customWidth="1"/>
    <col min="4619" max="4619" width="9" style="16" customWidth="1"/>
    <col min="4620" max="4620" width="9.5703125" style="16" customWidth="1"/>
    <col min="4621" max="4621" width="8.7109375" style="16" customWidth="1"/>
    <col min="4622" max="4622" width="8.42578125" style="16" customWidth="1"/>
    <col min="4623" max="4623" width="7.140625" style="16" bestFit="1" customWidth="1"/>
    <col min="4624" max="4628" width="9.140625" style="16"/>
    <col min="4629" max="4629" width="12.42578125" style="16" customWidth="1"/>
    <col min="4630" max="4630" width="9.140625" style="16"/>
    <col min="4631" max="4631" width="12" style="16" customWidth="1"/>
    <col min="4632" max="4864" width="9.140625" style="16"/>
    <col min="4865" max="4865" width="5" style="16" customWidth="1"/>
    <col min="4866" max="4866" width="19.140625" style="16" customWidth="1"/>
    <col min="4867" max="4867" width="10" style="16" customWidth="1"/>
    <col min="4868" max="4868" width="7.28515625" style="16" customWidth="1"/>
    <col min="4869" max="4869" width="8.5703125" style="16" bestFit="1" customWidth="1"/>
    <col min="4870" max="4870" width="9.28515625" style="16" bestFit="1" customWidth="1"/>
    <col min="4871" max="4871" width="8.28515625" style="16" customWidth="1"/>
    <col min="4872" max="4872" width="9.42578125" style="16" customWidth="1"/>
    <col min="4873" max="4873" width="10.140625" style="16" customWidth="1"/>
    <col min="4874" max="4874" width="9.5703125" style="16" customWidth="1"/>
    <col min="4875" max="4875" width="9" style="16" customWidth="1"/>
    <col min="4876" max="4876" width="9.5703125" style="16" customWidth="1"/>
    <col min="4877" max="4877" width="8.7109375" style="16" customWidth="1"/>
    <col min="4878" max="4878" width="8.42578125" style="16" customWidth="1"/>
    <col min="4879" max="4879" width="7.140625" style="16" bestFit="1" customWidth="1"/>
    <col min="4880" max="4884" width="9.140625" style="16"/>
    <col min="4885" max="4885" width="12.42578125" style="16" customWidth="1"/>
    <col min="4886" max="4886" width="9.140625" style="16"/>
    <col min="4887" max="4887" width="12" style="16" customWidth="1"/>
    <col min="4888" max="5120" width="9.140625" style="16"/>
    <col min="5121" max="5121" width="5" style="16" customWidth="1"/>
    <col min="5122" max="5122" width="19.140625" style="16" customWidth="1"/>
    <col min="5123" max="5123" width="10" style="16" customWidth="1"/>
    <col min="5124" max="5124" width="7.28515625" style="16" customWidth="1"/>
    <col min="5125" max="5125" width="8.5703125" style="16" bestFit="1" customWidth="1"/>
    <col min="5126" max="5126" width="9.28515625" style="16" bestFit="1" customWidth="1"/>
    <col min="5127" max="5127" width="8.28515625" style="16" customWidth="1"/>
    <col min="5128" max="5128" width="9.42578125" style="16" customWidth="1"/>
    <col min="5129" max="5129" width="10.140625" style="16" customWidth="1"/>
    <col min="5130" max="5130" width="9.5703125" style="16" customWidth="1"/>
    <col min="5131" max="5131" width="9" style="16" customWidth="1"/>
    <col min="5132" max="5132" width="9.5703125" style="16" customWidth="1"/>
    <col min="5133" max="5133" width="8.7109375" style="16" customWidth="1"/>
    <col min="5134" max="5134" width="8.42578125" style="16" customWidth="1"/>
    <col min="5135" max="5135" width="7.140625" style="16" bestFit="1" customWidth="1"/>
    <col min="5136" max="5140" width="9.140625" style="16"/>
    <col min="5141" max="5141" width="12.42578125" style="16" customWidth="1"/>
    <col min="5142" max="5142" width="9.140625" style="16"/>
    <col min="5143" max="5143" width="12" style="16" customWidth="1"/>
    <col min="5144" max="5376" width="9.140625" style="16"/>
    <col min="5377" max="5377" width="5" style="16" customWidth="1"/>
    <col min="5378" max="5378" width="19.140625" style="16" customWidth="1"/>
    <col min="5379" max="5379" width="10" style="16" customWidth="1"/>
    <col min="5380" max="5380" width="7.28515625" style="16" customWidth="1"/>
    <col min="5381" max="5381" width="8.5703125" style="16" bestFit="1" customWidth="1"/>
    <col min="5382" max="5382" width="9.28515625" style="16" bestFit="1" customWidth="1"/>
    <col min="5383" max="5383" width="8.28515625" style="16" customWidth="1"/>
    <col min="5384" max="5384" width="9.42578125" style="16" customWidth="1"/>
    <col min="5385" max="5385" width="10.140625" style="16" customWidth="1"/>
    <col min="5386" max="5386" width="9.5703125" style="16" customWidth="1"/>
    <col min="5387" max="5387" width="9" style="16" customWidth="1"/>
    <col min="5388" max="5388" width="9.5703125" style="16" customWidth="1"/>
    <col min="5389" max="5389" width="8.7109375" style="16" customWidth="1"/>
    <col min="5390" max="5390" width="8.42578125" style="16" customWidth="1"/>
    <col min="5391" max="5391" width="7.140625" style="16" bestFit="1" customWidth="1"/>
    <col min="5392" max="5396" width="9.140625" style="16"/>
    <col min="5397" max="5397" width="12.42578125" style="16" customWidth="1"/>
    <col min="5398" max="5398" width="9.140625" style="16"/>
    <col min="5399" max="5399" width="12" style="16" customWidth="1"/>
    <col min="5400" max="5632" width="9.140625" style="16"/>
    <col min="5633" max="5633" width="5" style="16" customWidth="1"/>
    <col min="5634" max="5634" width="19.140625" style="16" customWidth="1"/>
    <col min="5635" max="5635" width="10" style="16" customWidth="1"/>
    <col min="5636" max="5636" width="7.28515625" style="16" customWidth="1"/>
    <col min="5637" max="5637" width="8.5703125" style="16" bestFit="1" customWidth="1"/>
    <col min="5638" max="5638" width="9.28515625" style="16" bestFit="1" customWidth="1"/>
    <col min="5639" max="5639" width="8.28515625" style="16" customWidth="1"/>
    <col min="5640" max="5640" width="9.42578125" style="16" customWidth="1"/>
    <col min="5641" max="5641" width="10.140625" style="16" customWidth="1"/>
    <col min="5642" max="5642" width="9.5703125" style="16" customWidth="1"/>
    <col min="5643" max="5643" width="9" style="16" customWidth="1"/>
    <col min="5644" max="5644" width="9.5703125" style="16" customWidth="1"/>
    <col min="5645" max="5645" width="8.7109375" style="16" customWidth="1"/>
    <col min="5646" max="5646" width="8.42578125" style="16" customWidth="1"/>
    <col min="5647" max="5647" width="7.140625" style="16" bestFit="1" customWidth="1"/>
    <col min="5648" max="5652" width="9.140625" style="16"/>
    <col min="5653" max="5653" width="12.42578125" style="16" customWidth="1"/>
    <col min="5654" max="5654" width="9.140625" style="16"/>
    <col min="5655" max="5655" width="12" style="16" customWidth="1"/>
    <col min="5656" max="5888" width="9.140625" style="16"/>
    <col min="5889" max="5889" width="5" style="16" customWidth="1"/>
    <col min="5890" max="5890" width="19.140625" style="16" customWidth="1"/>
    <col min="5891" max="5891" width="10" style="16" customWidth="1"/>
    <col min="5892" max="5892" width="7.28515625" style="16" customWidth="1"/>
    <col min="5893" max="5893" width="8.5703125" style="16" bestFit="1" customWidth="1"/>
    <col min="5894" max="5894" width="9.28515625" style="16" bestFit="1" customWidth="1"/>
    <col min="5895" max="5895" width="8.28515625" style="16" customWidth="1"/>
    <col min="5896" max="5896" width="9.42578125" style="16" customWidth="1"/>
    <col min="5897" max="5897" width="10.140625" style="16" customWidth="1"/>
    <col min="5898" max="5898" width="9.5703125" style="16" customWidth="1"/>
    <col min="5899" max="5899" width="9" style="16" customWidth="1"/>
    <col min="5900" max="5900" width="9.5703125" style="16" customWidth="1"/>
    <col min="5901" max="5901" width="8.7109375" style="16" customWidth="1"/>
    <col min="5902" max="5902" width="8.42578125" style="16" customWidth="1"/>
    <col min="5903" max="5903" width="7.140625" style="16" bestFit="1" customWidth="1"/>
    <col min="5904" max="5908" width="9.140625" style="16"/>
    <col min="5909" max="5909" width="12.42578125" style="16" customWidth="1"/>
    <col min="5910" max="5910" width="9.140625" style="16"/>
    <col min="5911" max="5911" width="12" style="16" customWidth="1"/>
    <col min="5912" max="6144" width="9.140625" style="16"/>
    <col min="6145" max="6145" width="5" style="16" customWidth="1"/>
    <col min="6146" max="6146" width="19.140625" style="16" customWidth="1"/>
    <col min="6147" max="6147" width="10" style="16" customWidth="1"/>
    <col min="6148" max="6148" width="7.28515625" style="16" customWidth="1"/>
    <col min="6149" max="6149" width="8.5703125" style="16" bestFit="1" customWidth="1"/>
    <col min="6150" max="6150" width="9.28515625" style="16" bestFit="1" customWidth="1"/>
    <col min="6151" max="6151" width="8.28515625" style="16" customWidth="1"/>
    <col min="6152" max="6152" width="9.42578125" style="16" customWidth="1"/>
    <col min="6153" max="6153" width="10.140625" style="16" customWidth="1"/>
    <col min="6154" max="6154" width="9.5703125" style="16" customWidth="1"/>
    <col min="6155" max="6155" width="9" style="16" customWidth="1"/>
    <col min="6156" max="6156" width="9.5703125" style="16" customWidth="1"/>
    <col min="6157" max="6157" width="8.7109375" style="16" customWidth="1"/>
    <col min="6158" max="6158" width="8.42578125" style="16" customWidth="1"/>
    <col min="6159" max="6159" width="7.140625" style="16" bestFit="1" customWidth="1"/>
    <col min="6160" max="6164" width="9.140625" style="16"/>
    <col min="6165" max="6165" width="12.42578125" style="16" customWidth="1"/>
    <col min="6166" max="6166" width="9.140625" style="16"/>
    <col min="6167" max="6167" width="12" style="16" customWidth="1"/>
    <col min="6168" max="6400" width="9.140625" style="16"/>
    <col min="6401" max="6401" width="5" style="16" customWidth="1"/>
    <col min="6402" max="6402" width="19.140625" style="16" customWidth="1"/>
    <col min="6403" max="6403" width="10" style="16" customWidth="1"/>
    <col min="6404" max="6404" width="7.28515625" style="16" customWidth="1"/>
    <col min="6405" max="6405" width="8.5703125" style="16" bestFit="1" customWidth="1"/>
    <col min="6406" max="6406" width="9.28515625" style="16" bestFit="1" customWidth="1"/>
    <col min="6407" max="6407" width="8.28515625" style="16" customWidth="1"/>
    <col min="6408" max="6408" width="9.42578125" style="16" customWidth="1"/>
    <col min="6409" max="6409" width="10.140625" style="16" customWidth="1"/>
    <col min="6410" max="6410" width="9.5703125" style="16" customWidth="1"/>
    <col min="6411" max="6411" width="9" style="16" customWidth="1"/>
    <col min="6412" max="6412" width="9.5703125" style="16" customWidth="1"/>
    <col min="6413" max="6413" width="8.7109375" style="16" customWidth="1"/>
    <col min="6414" max="6414" width="8.42578125" style="16" customWidth="1"/>
    <col min="6415" max="6415" width="7.140625" style="16" bestFit="1" customWidth="1"/>
    <col min="6416" max="6420" width="9.140625" style="16"/>
    <col min="6421" max="6421" width="12.42578125" style="16" customWidth="1"/>
    <col min="6422" max="6422" width="9.140625" style="16"/>
    <col min="6423" max="6423" width="12" style="16" customWidth="1"/>
    <col min="6424" max="6656" width="9.140625" style="16"/>
    <col min="6657" max="6657" width="5" style="16" customWidth="1"/>
    <col min="6658" max="6658" width="19.140625" style="16" customWidth="1"/>
    <col min="6659" max="6659" width="10" style="16" customWidth="1"/>
    <col min="6660" max="6660" width="7.28515625" style="16" customWidth="1"/>
    <col min="6661" max="6661" width="8.5703125" style="16" bestFit="1" customWidth="1"/>
    <col min="6662" max="6662" width="9.28515625" style="16" bestFit="1" customWidth="1"/>
    <col min="6663" max="6663" width="8.28515625" style="16" customWidth="1"/>
    <col min="6664" max="6664" width="9.42578125" style="16" customWidth="1"/>
    <col min="6665" max="6665" width="10.140625" style="16" customWidth="1"/>
    <col min="6666" max="6666" width="9.5703125" style="16" customWidth="1"/>
    <col min="6667" max="6667" width="9" style="16" customWidth="1"/>
    <col min="6668" max="6668" width="9.5703125" style="16" customWidth="1"/>
    <col min="6669" max="6669" width="8.7109375" style="16" customWidth="1"/>
    <col min="6670" max="6670" width="8.42578125" style="16" customWidth="1"/>
    <col min="6671" max="6671" width="7.140625" style="16" bestFit="1" customWidth="1"/>
    <col min="6672" max="6676" width="9.140625" style="16"/>
    <col min="6677" max="6677" width="12.42578125" style="16" customWidth="1"/>
    <col min="6678" max="6678" width="9.140625" style="16"/>
    <col min="6679" max="6679" width="12" style="16" customWidth="1"/>
    <col min="6680" max="6912" width="9.140625" style="16"/>
    <col min="6913" max="6913" width="5" style="16" customWidth="1"/>
    <col min="6914" max="6914" width="19.140625" style="16" customWidth="1"/>
    <col min="6915" max="6915" width="10" style="16" customWidth="1"/>
    <col min="6916" max="6916" width="7.28515625" style="16" customWidth="1"/>
    <col min="6917" max="6917" width="8.5703125" style="16" bestFit="1" customWidth="1"/>
    <col min="6918" max="6918" width="9.28515625" style="16" bestFit="1" customWidth="1"/>
    <col min="6919" max="6919" width="8.28515625" style="16" customWidth="1"/>
    <col min="6920" max="6920" width="9.42578125" style="16" customWidth="1"/>
    <col min="6921" max="6921" width="10.140625" style="16" customWidth="1"/>
    <col min="6922" max="6922" width="9.5703125" style="16" customWidth="1"/>
    <col min="6923" max="6923" width="9" style="16" customWidth="1"/>
    <col min="6924" max="6924" width="9.5703125" style="16" customWidth="1"/>
    <col min="6925" max="6925" width="8.7109375" style="16" customWidth="1"/>
    <col min="6926" max="6926" width="8.42578125" style="16" customWidth="1"/>
    <col min="6927" max="6927" width="7.140625" style="16" bestFit="1" customWidth="1"/>
    <col min="6928" max="6932" width="9.140625" style="16"/>
    <col min="6933" max="6933" width="12.42578125" style="16" customWidth="1"/>
    <col min="6934" max="6934" width="9.140625" style="16"/>
    <col min="6935" max="6935" width="12" style="16" customWidth="1"/>
    <col min="6936" max="7168" width="9.140625" style="16"/>
    <col min="7169" max="7169" width="5" style="16" customWidth="1"/>
    <col min="7170" max="7170" width="19.140625" style="16" customWidth="1"/>
    <col min="7171" max="7171" width="10" style="16" customWidth="1"/>
    <col min="7172" max="7172" width="7.28515625" style="16" customWidth="1"/>
    <col min="7173" max="7173" width="8.5703125" style="16" bestFit="1" customWidth="1"/>
    <col min="7174" max="7174" width="9.28515625" style="16" bestFit="1" customWidth="1"/>
    <col min="7175" max="7175" width="8.28515625" style="16" customWidth="1"/>
    <col min="7176" max="7176" width="9.42578125" style="16" customWidth="1"/>
    <col min="7177" max="7177" width="10.140625" style="16" customWidth="1"/>
    <col min="7178" max="7178" width="9.5703125" style="16" customWidth="1"/>
    <col min="7179" max="7179" width="9" style="16" customWidth="1"/>
    <col min="7180" max="7180" width="9.5703125" style="16" customWidth="1"/>
    <col min="7181" max="7181" width="8.7109375" style="16" customWidth="1"/>
    <col min="7182" max="7182" width="8.42578125" style="16" customWidth="1"/>
    <col min="7183" max="7183" width="7.140625" style="16" bestFit="1" customWidth="1"/>
    <col min="7184" max="7188" width="9.140625" style="16"/>
    <col min="7189" max="7189" width="12.42578125" style="16" customWidth="1"/>
    <col min="7190" max="7190" width="9.140625" style="16"/>
    <col min="7191" max="7191" width="12" style="16" customWidth="1"/>
    <col min="7192" max="7424" width="9.140625" style="16"/>
    <col min="7425" max="7425" width="5" style="16" customWidth="1"/>
    <col min="7426" max="7426" width="19.140625" style="16" customWidth="1"/>
    <col min="7427" max="7427" width="10" style="16" customWidth="1"/>
    <col min="7428" max="7428" width="7.28515625" style="16" customWidth="1"/>
    <col min="7429" max="7429" width="8.5703125" style="16" bestFit="1" customWidth="1"/>
    <col min="7430" max="7430" width="9.28515625" style="16" bestFit="1" customWidth="1"/>
    <col min="7431" max="7431" width="8.28515625" style="16" customWidth="1"/>
    <col min="7432" max="7432" width="9.42578125" style="16" customWidth="1"/>
    <col min="7433" max="7433" width="10.140625" style="16" customWidth="1"/>
    <col min="7434" max="7434" width="9.5703125" style="16" customWidth="1"/>
    <col min="7435" max="7435" width="9" style="16" customWidth="1"/>
    <col min="7436" max="7436" width="9.5703125" style="16" customWidth="1"/>
    <col min="7437" max="7437" width="8.7109375" style="16" customWidth="1"/>
    <col min="7438" max="7438" width="8.42578125" style="16" customWidth="1"/>
    <col min="7439" max="7439" width="7.140625" style="16" bestFit="1" customWidth="1"/>
    <col min="7440" max="7444" width="9.140625" style="16"/>
    <col min="7445" max="7445" width="12.42578125" style="16" customWidth="1"/>
    <col min="7446" max="7446" width="9.140625" style="16"/>
    <col min="7447" max="7447" width="12" style="16" customWidth="1"/>
    <col min="7448" max="7680" width="9.140625" style="16"/>
    <col min="7681" max="7681" width="5" style="16" customWidth="1"/>
    <col min="7682" max="7682" width="19.140625" style="16" customWidth="1"/>
    <col min="7683" max="7683" width="10" style="16" customWidth="1"/>
    <col min="7684" max="7684" width="7.28515625" style="16" customWidth="1"/>
    <col min="7685" max="7685" width="8.5703125" style="16" bestFit="1" customWidth="1"/>
    <col min="7686" max="7686" width="9.28515625" style="16" bestFit="1" customWidth="1"/>
    <col min="7687" max="7687" width="8.28515625" style="16" customWidth="1"/>
    <col min="7688" max="7688" width="9.42578125" style="16" customWidth="1"/>
    <col min="7689" max="7689" width="10.140625" style="16" customWidth="1"/>
    <col min="7690" max="7690" width="9.5703125" style="16" customWidth="1"/>
    <col min="7691" max="7691" width="9" style="16" customWidth="1"/>
    <col min="7692" max="7692" width="9.5703125" style="16" customWidth="1"/>
    <col min="7693" max="7693" width="8.7109375" style="16" customWidth="1"/>
    <col min="7694" max="7694" width="8.42578125" style="16" customWidth="1"/>
    <col min="7695" max="7695" width="7.140625" style="16" bestFit="1" customWidth="1"/>
    <col min="7696" max="7700" width="9.140625" style="16"/>
    <col min="7701" max="7701" width="12.42578125" style="16" customWidth="1"/>
    <col min="7702" max="7702" width="9.140625" style="16"/>
    <col min="7703" max="7703" width="12" style="16" customWidth="1"/>
    <col min="7704" max="7936" width="9.140625" style="16"/>
    <col min="7937" max="7937" width="5" style="16" customWidth="1"/>
    <col min="7938" max="7938" width="19.140625" style="16" customWidth="1"/>
    <col min="7939" max="7939" width="10" style="16" customWidth="1"/>
    <col min="7940" max="7940" width="7.28515625" style="16" customWidth="1"/>
    <col min="7941" max="7941" width="8.5703125" style="16" bestFit="1" customWidth="1"/>
    <col min="7942" max="7942" width="9.28515625" style="16" bestFit="1" customWidth="1"/>
    <col min="7943" max="7943" width="8.28515625" style="16" customWidth="1"/>
    <col min="7944" max="7944" width="9.42578125" style="16" customWidth="1"/>
    <col min="7945" max="7945" width="10.140625" style="16" customWidth="1"/>
    <col min="7946" max="7946" width="9.5703125" style="16" customWidth="1"/>
    <col min="7947" max="7947" width="9" style="16" customWidth="1"/>
    <col min="7948" max="7948" width="9.5703125" style="16" customWidth="1"/>
    <col min="7949" max="7949" width="8.7109375" style="16" customWidth="1"/>
    <col min="7950" max="7950" width="8.42578125" style="16" customWidth="1"/>
    <col min="7951" max="7951" width="7.140625" style="16" bestFit="1" customWidth="1"/>
    <col min="7952" max="7956" width="9.140625" style="16"/>
    <col min="7957" max="7957" width="12.42578125" style="16" customWidth="1"/>
    <col min="7958" max="7958" width="9.140625" style="16"/>
    <col min="7959" max="7959" width="12" style="16" customWidth="1"/>
    <col min="7960" max="8192" width="9.140625" style="16"/>
    <col min="8193" max="8193" width="5" style="16" customWidth="1"/>
    <col min="8194" max="8194" width="19.140625" style="16" customWidth="1"/>
    <col min="8195" max="8195" width="10" style="16" customWidth="1"/>
    <col min="8196" max="8196" width="7.28515625" style="16" customWidth="1"/>
    <col min="8197" max="8197" width="8.5703125" style="16" bestFit="1" customWidth="1"/>
    <col min="8198" max="8198" width="9.28515625" style="16" bestFit="1" customWidth="1"/>
    <col min="8199" max="8199" width="8.28515625" style="16" customWidth="1"/>
    <col min="8200" max="8200" width="9.42578125" style="16" customWidth="1"/>
    <col min="8201" max="8201" width="10.140625" style="16" customWidth="1"/>
    <col min="8202" max="8202" width="9.5703125" style="16" customWidth="1"/>
    <col min="8203" max="8203" width="9" style="16" customWidth="1"/>
    <col min="8204" max="8204" width="9.5703125" style="16" customWidth="1"/>
    <col min="8205" max="8205" width="8.7109375" style="16" customWidth="1"/>
    <col min="8206" max="8206" width="8.42578125" style="16" customWidth="1"/>
    <col min="8207" max="8207" width="7.140625" style="16" bestFit="1" customWidth="1"/>
    <col min="8208" max="8212" width="9.140625" style="16"/>
    <col min="8213" max="8213" width="12.42578125" style="16" customWidth="1"/>
    <col min="8214" max="8214" width="9.140625" style="16"/>
    <col min="8215" max="8215" width="12" style="16" customWidth="1"/>
    <col min="8216" max="8448" width="9.140625" style="16"/>
    <col min="8449" max="8449" width="5" style="16" customWidth="1"/>
    <col min="8450" max="8450" width="19.140625" style="16" customWidth="1"/>
    <col min="8451" max="8451" width="10" style="16" customWidth="1"/>
    <col min="8452" max="8452" width="7.28515625" style="16" customWidth="1"/>
    <col min="8453" max="8453" width="8.5703125" style="16" bestFit="1" customWidth="1"/>
    <col min="8454" max="8454" width="9.28515625" style="16" bestFit="1" customWidth="1"/>
    <col min="8455" max="8455" width="8.28515625" style="16" customWidth="1"/>
    <col min="8456" max="8456" width="9.42578125" style="16" customWidth="1"/>
    <col min="8457" max="8457" width="10.140625" style="16" customWidth="1"/>
    <col min="8458" max="8458" width="9.5703125" style="16" customWidth="1"/>
    <col min="8459" max="8459" width="9" style="16" customWidth="1"/>
    <col min="8460" max="8460" width="9.5703125" style="16" customWidth="1"/>
    <col min="8461" max="8461" width="8.7109375" style="16" customWidth="1"/>
    <col min="8462" max="8462" width="8.42578125" style="16" customWidth="1"/>
    <col min="8463" max="8463" width="7.140625" style="16" bestFit="1" customWidth="1"/>
    <col min="8464" max="8468" width="9.140625" style="16"/>
    <col min="8469" max="8469" width="12.42578125" style="16" customWidth="1"/>
    <col min="8470" max="8470" width="9.140625" style="16"/>
    <col min="8471" max="8471" width="12" style="16" customWidth="1"/>
    <col min="8472" max="8704" width="9.140625" style="16"/>
    <col min="8705" max="8705" width="5" style="16" customWidth="1"/>
    <col min="8706" max="8706" width="19.140625" style="16" customWidth="1"/>
    <col min="8707" max="8707" width="10" style="16" customWidth="1"/>
    <col min="8708" max="8708" width="7.28515625" style="16" customWidth="1"/>
    <col min="8709" max="8709" width="8.5703125" style="16" bestFit="1" customWidth="1"/>
    <col min="8710" max="8710" width="9.28515625" style="16" bestFit="1" customWidth="1"/>
    <col min="8711" max="8711" width="8.28515625" style="16" customWidth="1"/>
    <col min="8712" max="8712" width="9.42578125" style="16" customWidth="1"/>
    <col min="8713" max="8713" width="10.140625" style="16" customWidth="1"/>
    <col min="8714" max="8714" width="9.5703125" style="16" customWidth="1"/>
    <col min="8715" max="8715" width="9" style="16" customWidth="1"/>
    <col min="8716" max="8716" width="9.5703125" style="16" customWidth="1"/>
    <col min="8717" max="8717" width="8.7109375" style="16" customWidth="1"/>
    <col min="8718" max="8718" width="8.42578125" style="16" customWidth="1"/>
    <col min="8719" max="8719" width="7.140625" style="16" bestFit="1" customWidth="1"/>
    <col min="8720" max="8724" width="9.140625" style="16"/>
    <col min="8725" max="8725" width="12.42578125" style="16" customWidth="1"/>
    <col min="8726" max="8726" width="9.140625" style="16"/>
    <col min="8727" max="8727" width="12" style="16" customWidth="1"/>
    <col min="8728" max="8960" width="9.140625" style="16"/>
    <col min="8961" max="8961" width="5" style="16" customWidth="1"/>
    <col min="8962" max="8962" width="19.140625" style="16" customWidth="1"/>
    <col min="8963" max="8963" width="10" style="16" customWidth="1"/>
    <col min="8964" max="8964" width="7.28515625" style="16" customWidth="1"/>
    <col min="8965" max="8965" width="8.5703125" style="16" bestFit="1" customWidth="1"/>
    <col min="8966" max="8966" width="9.28515625" style="16" bestFit="1" customWidth="1"/>
    <col min="8967" max="8967" width="8.28515625" style="16" customWidth="1"/>
    <col min="8968" max="8968" width="9.42578125" style="16" customWidth="1"/>
    <col min="8969" max="8969" width="10.140625" style="16" customWidth="1"/>
    <col min="8970" max="8970" width="9.5703125" style="16" customWidth="1"/>
    <col min="8971" max="8971" width="9" style="16" customWidth="1"/>
    <col min="8972" max="8972" width="9.5703125" style="16" customWidth="1"/>
    <col min="8973" max="8973" width="8.7109375" style="16" customWidth="1"/>
    <col min="8974" max="8974" width="8.42578125" style="16" customWidth="1"/>
    <col min="8975" max="8975" width="7.140625" style="16" bestFit="1" customWidth="1"/>
    <col min="8976" max="8980" width="9.140625" style="16"/>
    <col min="8981" max="8981" width="12.42578125" style="16" customWidth="1"/>
    <col min="8982" max="8982" width="9.140625" style="16"/>
    <col min="8983" max="8983" width="12" style="16" customWidth="1"/>
    <col min="8984" max="9216" width="9.140625" style="16"/>
    <col min="9217" max="9217" width="5" style="16" customWidth="1"/>
    <col min="9218" max="9218" width="19.140625" style="16" customWidth="1"/>
    <col min="9219" max="9219" width="10" style="16" customWidth="1"/>
    <col min="9220" max="9220" width="7.28515625" style="16" customWidth="1"/>
    <col min="9221" max="9221" width="8.5703125" style="16" bestFit="1" customWidth="1"/>
    <col min="9222" max="9222" width="9.28515625" style="16" bestFit="1" customWidth="1"/>
    <col min="9223" max="9223" width="8.28515625" style="16" customWidth="1"/>
    <col min="9224" max="9224" width="9.42578125" style="16" customWidth="1"/>
    <col min="9225" max="9225" width="10.140625" style="16" customWidth="1"/>
    <col min="9226" max="9226" width="9.5703125" style="16" customWidth="1"/>
    <col min="9227" max="9227" width="9" style="16" customWidth="1"/>
    <col min="9228" max="9228" width="9.5703125" style="16" customWidth="1"/>
    <col min="9229" max="9229" width="8.7109375" style="16" customWidth="1"/>
    <col min="9230" max="9230" width="8.42578125" style="16" customWidth="1"/>
    <col min="9231" max="9231" width="7.140625" style="16" bestFit="1" customWidth="1"/>
    <col min="9232" max="9236" width="9.140625" style="16"/>
    <col min="9237" max="9237" width="12.42578125" style="16" customWidth="1"/>
    <col min="9238" max="9238" width="9.140625" style="16"/>
    <col min="9239" max="9239" width="12" style="16" customWidth="1"/>
    <col min="9240" max="9472" width="9.140625" style="16"/>
    <col min="9473" max="9473" width="5" style="16" customWidth="1"/>
    <col min="9474" max="9474" width="19.140625" style="16" customWidth="1"/>
    <col min="9475" max="9475" width="10" style="16" customWidth="1"/>
    <col min="9476" max="9476" width="7.28515625" style="16" customWidth="1"/>
    <col min="9477" max="9477" width="8.5703125" style="16" bestFit="1" customWidth="1"/>
    <col min="9478" max="9478" width="9.28515625" style="16" bestFit="1" customWidth="1"/>
    <col min="9479" max="9479" width="8.28515625" style="16" customWidth="1"/>
    <col min="9480" max="9480" width="9.42578125" style="16" customWidth="1"/>
    <col min="9481" max="9481" width="10.140625" style="16" customWidth="1"/>
    <col min="9482" max="9482" width="9.5703125" style="16" customWidth="1"/>
    <col min="9483" max="9483" width="9" style="16" customWidth="1"/>
    <col min="9484" max="9484" width="9.5703125" style="16" customWidth="1"/>
    <col min="9485" max="9485" width="8.7109375" style="16" customWidth="1"/>
    <col min="9486" max="9486" width="8.42578125" style="16" customWidth="1"/>
    <col min="9487" max="9487" width="7.140625" style="16" bestFit="1" customWidth="1"/>
    <col min="9488" max="9492" width="9.140625" style="16"/>
    <col min="9493" max="9493" width="12.42578125" style="16" customWidth="1"/>
    <col min="9494" max="9494" width="9.140625" style="16"/>
    <col min="9495" max="9495" width="12" style="16" customWidth="1"/>
    <col min="9496" max="9728" width="9.140625" style="16"/>
    <col min="9729" max="9729" width="5" style="16" customWidth="1"/>
    <col min="9730" max="9730" width="19.140625" style="16" customWidth="1"/>
    <col min="9731" max="9731" width="10" style="16" customWidth="1"/>
    <col min="9732" max="9732" width="7.28515625" style="16" customWidth="1"/>
    <col min="9733" max="9733" width="8.5703125" style="16" bestFit="1" customWidth="1"/>
    <col min="9734" max="9734" width="9.28515625" style="16" bestFit="1" customWidth="1"/>
    <col min="9735" max="9735" width="8.28515625" style="16" customWidth="1"/>
    <col min="9736" max="9736" width="9.42578125" style="16" customWidth="1"/>
    <col min="9737" max="9737" width="10.140625" style="16" customWidth="1"/>
    <col min="9738" max="9738" width="9.5703125" style="16" customWidth="1"/>
    <col min="9739" max="9739" width="9" style="16" customWidth="1"/>
    <col min="9740" max="9740" width="9.5703125" style="16" customWidth="1"/>
    <col min="9741" max="9741" width="8.7109375" style="16" customWidth="1"/>
    <col min="9742" max="9742" width="8.42578125" style="16" customWidth="1"/>
    <col min="9743" max="9743" width="7.140625" style="16" bestFit="1" customWidth="1"/>
    <col min="9744" max="9748" width="9.140625" style="16"/>
    <col min="9749" max="9749" width="12.42578125" style="16" customWidth="1"/>
    <col min="9750" max="9750" width="9.140625" style="16"/>
    <col min="9751" max="9751" width="12" style="16" customWidth="1"/>
    <col min="9752" max="9984" width="9.140625" style="16"/>
    <col min="9985" max="9985" width="5" style="16" customWidth="1"/>
    <col min="9986" max="9986" width="19.140625" style="16" customWidth="1"/>
    <col min="9987" max="9987" width="10" style="16" customWidth="1"/>
    <col min="9988" max="9988" width="7.28515625" style="16" customWidth="1"/>
    <col min="9989" max="9989" width="8.5703125" style="16" bestFit="1" customWidth="1"/>
    <col min="9990" max="9990" width="9.28515625" style="16" bestFit="1" customWidth="1"/>
    <col min="9991" max="9991" width="8.28515625" style="16" customWidth="1"/>
    <col min="9992" max="9992" width="9.42578125" style="16" customWidth="1"/>
    <col min="9993" max="9993" width="10.140625" style="16" customWidth="1"/>
    <col min="9994" max="9994" width="9.5703125" style="16" customWidth="1"/>
    <col min="9995" max="9995" width="9" style="16" customWidth="1"/>
    <col min="9996" max="9996" width="9.5703125" style="16" customWidth="1"/>
    <col min="9997" max="9997" width="8.7109375" style="16" customWidth="1"/>
    <col min="9998" max="9998" width="8.42578125" style="16" customWidth="1"/>
    <col min="9999" max="9999" width="7.140625" style="16" bestFit="1" customWidth="1"/>
    <col min="10000" max="10004" width="9.140625" style="16"/>
    <col min="10005" max="10005" width="12.42578125" style="16" customWidth="1"/>
    <col min="10006" max="10006" width="9.140625" style="16"/>
    <col min="10007" max="10007" width="12" style="16" customWidth="1"/>
    <col min="10008" max="10240" width="9.140625" style="16"/>
    <col min="10241" max="10241" width="5" style="16" customWidth="1"/>
    <col min="10242" max="10242" width="19.140625" style="16" customWidth="1"/>
    <col min="10243" max="10243" width="10" style="16" customWidth="1"/>
    <col min="10244" max="10244" width="7.28515625" style="16" customWidth="1"/>
    <col min="10245" max="10245" width="8.5703125" style="16" bestFit="1" customWidth="1"/>
    <col min="10246" max="10246" width="9.28515625" style="16" bestFit="1" customWidth="1"/>
    <col min="10247" max="10247" width="8.28515625" style="16" customWidth="1"/>
    <col min="10248" max="10248" width="9.42578125" style="16" customWidth="1"/>
    <col min="10249" max="10249" width="10.140625" style="16" customWidth="1"/>
    <col min="10250" max="10250" width="9.5703125" style="16" customWidth="1"/>
    <col min="10251" max="10251" width="9" style="16" customWidth="1"/>
    <col min="10252" max="10252" width="9.5703125" style="16" customWidth="1"/>
    <col min="10253" max="10253" width="8.7109375" style="16" customWidth="1"/>
    <col min="10254" max="10254" width="8.42578125" style="16" customWidth="1"/>
    <col min="10255" max="10255" width="7.140625" style="16" bestFit="1" customWidth="1"/>
    <col min="10256" max="10260" width="9.140625" style="16"/>
    <col min="10261" max="10261" width="12.42578125" style="16" customWidth="1"/>
    <col min="10262" max="10262" width="9.140625" style="16"/>
    <col min="10263" max="10263" width="12" style="16" customWidth="1"/>
    <col min="10264" max="10496" width="9.140625" style="16"/>
    <col min="10497" max="10497" width="5" style="16" customWidth="1"/>
    <col min="10498" max="10498" width="19.140625" style="16" customWidth="1"/>
    <col min="10499" max="10499" width="10" style="16" customWidth="1"/>
    <col min="10500" max="10500" width="7.28515625" style="16" customWidth="1"/>
    <col min="10501" max="10501" width="8.5703125" style="16" bestFit="1" customWidth="1"/>
    <col min="10502" max="10502" width="9.28515625" style="16" bestFit="1" customWidth="1"/>
    <col min="10503" max="10503" width="8.28515625" style="16" customWidth="1"/>
    <col min="10504" max="10504" width="9.42578125" style="16" customWidth="1"/>
    <col min="10505" max="10505" width="10.140625" style="16" customWidth="1"/>
    <col min="10506" max="10506" width="9.5703125" style="16" customWidth="1"/>
    <col min="10507" max="10507" width="9" style="16" customWidth="1"/>
    <col min="10508" max="10508" width="9.5703125" style="16" customWidth="1"/>
    <col min="10509" max="10509" width="8.7109375" style="16" customWidth="1"/>
    <col min="10510" max="10510" width="8.42578125" style="16" customWidth="1"/>
    <col min="10511" max="10511" width="7.140625" style="16" bestFit="1" customWidth="1"/>
    <col min="10512" max="10516" width="9.140625" style="16"/>
    <col min="10517" max="10517" width="12.42578125" style="16" customWidth="1"/>
    <col min="10518" max="10518" width="9.140625" style="16"/>
    <col min="10519" max="10519" width="12" style="16" customWidth="1"/>
    <col min="10520" max="10752" width="9.140625" style="16"/>
    <col min="10753" max="10753" width="5" style="16" customWidth="1"/>
    <col min="10754" max="10754" width="19.140625" style="16" customWidth="1"/>
    <col min="10755" max="10755" width="10" style="16" customWidth="1"/>
    <col min="10756" max="10756" width="7.28515625" style="16" customWidth="1"/>
    <col min="10757" max="10757" width="8.5703125" style="16" bestFit="1" customWidth="1"/>
    <col min="10758" max="10758" width="9.28515625" style="16" bestFit="1" customWidth="1"/>
    <col min="10759" max="10759" width="8.28515625" style="16" customWidth="1"/>
    <col min="10760" max="10760" width="9.42578125" style="16" customWidth="1"/>
    <col min="10761" max="10761" width="10.140625" style="16" customWidth="1"/>
    <col min="10762" max="10762" width="9.5703125" style="16" customWidth="1"/>
    <col min="10763" max="10763" width="9" style="16" customWidth="1"/>
    <col min="10764" max="10764" width="9.5703125" style="16" customWidth="1"/>
    <col min="10765" max="10765" width="8.7109375" style="16" customWidth="1"/>
    <col min="10766" max="10766" width="8.42578125" style="16" customWidth="1"/>
    <col min="10767" max="10767" width="7.140625" style="16" bestFit="1" customWidth="1"/>
    <col min="10768" max="10772" width="9.140625" style="16"/>
    <col min="10773" max="10773" width="12.42578125" style="16" customWidth="1"/>
    <col min="10774" max="10774" width="9.140625" style="16"/>
    <col min="10775" max="10775" width="12" style="16" customWidth="1"/>
    <col min="10776" max="11008" width="9.140625" style="16"/>
    <col min="11009" max="11009" width="5" style="16" customWidth="1"/>
    <col min="11010" max="11010" width="19.140625" style="16" customWidth="1"/>
    <col min="11011" max="11011" width="10" style="16" customWidth="1"/>
    <col min="11012" max="11012" width="7.28515625" style="16" customWidth="1"/>
    <col min="11013" max="11013" width="8.5703125" style="16" bestFit="1" customWidth="1"/>
    <col min="11014" max="11014" width="9.28515625" style="16" bestFit="1" customWidth="1"/>
    <col min="11015" max="11015" width="8.28515625" style="16" customWidth="1"/>
    <col min="11016" max="11016" width="9.42578125" style="16" customWidth="1"/>
    <col min="11017" max="11017" width="10.140625" style="16" customWidth="1"/>
    <col min="11018" max="11018" width="9.5703125" style="16" customWidth="1"/>
    <col min="11019" max="11019" width="9" style="16" customWidth="1"/>
    <col min="11020" max="11020" width="9.5703125" style="16" customWidth="1"/>
    <col min="11021" max="11021" width="8.7109375" style="16" customWidth="1"/>
    <col min="11022" max="11022" width="8.42578125" style="16" customWidth="1"/>
    <col min="11023" max="11023" width="7.140625" style="16" bestFit="1" customWidth="1"/>
    <col min="11024" max="11028" width="9.140625" style="16"/>
    <col min="11029" max="11029" width="12.42578125" style="16" customWidth="1"/>
    <col min="11030" max="11030" width="9.140625" style="16"/>
    <col min="11031" max="11031" width="12" style="16" customWidth="1"/>
    <col min="11032" max="11264" width="9.140625" style="16"/>
    <col min="11265" max="11265" width="5" style="16" customWidth="1"/>
    <col min="11266" max="11266" width="19.140625" style="16" customWidth="1"/>
    <col min="11267" max="11267" width="10" style="16" customWidth="1"/>
    <col min="11268" max="11268" width="7.28515625" style="16" customWidth="1"/>
    <col min="11269" max="11269" width="8.5703125" style="16" bestFit="1" customWidth="1"/>
    <col min="11270" max="11270" width="9.28515625" style="16" bestFit="1" customWidth="1"/>
    <col min="11271" max="11271" width="8.28515625" style="16" customWidth="1"/>
    <col min="11272" max="11272" width="9.42578125" style="16" customWidth="1"/>
    <col min="11273" max="11273" width="10.140625" style="16" customWidth="1"/>
    <col min="11274" max="11274" width="9.5703125" style="16" customWidth="1"/>
    <col min="11275" max="11275" width="9" style="16" customWidth="1"/>
    <col min="11276" max="11276" width="9.5703125" style="16" customWidth="1"/>
    <col min="11277" max="11277" width="8.7109375" style="16" customWidth="1"/>
    <col min="11278" max="11278" width="8.42578125" style="16" customWidth="1"/>
    <col min="11279" max="11279" width="7.140625" style="16" bestFit="1" customWidth="1"/>
    <col min="11280" max="11284" width="9.140625" style="16"/>
    <col min="11285" max="11285" width="12.42578125" style="16" customWidth="1"/>
    <col min="11286" max="11286" width="9.140625" style="16"/>
    <col min="11287" max="11287" width="12" style="16" customWidth="1"/>
    <col min="11288" max="11520" width="9.140625" style="16"/>
    <col min="11521" max="11521" width="5" style="16" customWidth="1"/>
    <col min="11522" max="11522" width="19.140625" style="16" customWidth="1"/>
    <col min="11523" max="11523" width="10" style="16" customWidth="1"/>
    <col min="11524" max="11524" width="7.28515625" style="16" customWidth="1"/>
    <col min="11525" max="11525" width="8.5703125" style="16" bestFit="1" customWidth="1"/>
    <col min="11526" max="11526" width="9.28515625" style="16" bestFit="1" customWidth="1"/>
    <col min="11527" max="11527" width="8.28515625" style="16" customWidth="1"/>
    <col min="11528" max="11528" width="9.42578125" style="16" customWidth="1"/>
    <col min="11529" max="11529" width="10.140625" style="16" customWidth="1"/>
    <col min="11530" max="11530" width="9.5703125" style="16" customWidth="1"/>
    <col min="11531" max="11531" width="9" style="16" customWidth="1"/>
    <col min="11532" max="11532" width="9.5703125" style="16" customWidth="1"/>
    <col min="11533" max="11533" width="8.7109375" style="16" customWidth="1"/>
    <col min="11534" max="11534" width="8.42578125" style="16" customWidth="1"/>
    <col min="11535" max="11535" width="7.140625" style="16" bestFit="1" customWidth="1"/>
    <col min="11536" max="11540" width="9.140625" style="16"/>
    <col min="11541" max="11541" width="12.42578125" style="16" customWidth="1"/>
    <col min="11542" max="11542" width="9.140625" style="16"/>
    <col min="11543" max="11543" width="12" style="16" customWidth="1"/>
    <col min="11544" max="11776" width="9.140625" style="16"/>
    <col min="11777" max="11777" width="5" style="16" customWidth="1"/>
    <col min="11778" max="11778" width="19.140625" style="16" customWidth="1"/>
    <col min="11779" max="11779" width="10" style="16" customWidth="1"/>
    <col min="11780" max="11780" width="7.28515625" style="16" customWidth="1"/>
    <col min="11781" max="11781" width="8.5703125" style="16" bestFit="1" customWidth="1"/>
    <col min="11782" max="11782" width="9.28515625" style="16" bestFit="1" customWidth="1"/>
    <col min="11783" max="11783" width="8.28515625" style="16" customWidth="1"/>
    <col min="11784" max="11784" width="9.42578125" style="16" customWidth="1"/>
    <col min="11785" max="11785" width="10.140625" style="16" customWidth="1"/>
    <col min="11786" max="11786" width="9.5703125" style="16" customWidth="1"/>
    <col min="11787" max="11787" width="9" style="16" customWidth="1"/>
    <col min="11788" max="11788" width="9.5703125" style="16" customWidth="1"/>
    <col min="11789" max="11789" width="8.7109375" style="16" customWidth="1"/>
    <col min="11790" max="11790" width="8.42578125" style="16" customWidth="1"/>
    <col min="11791" max="11791" width="7.140625" style="16" bestFit="1" customWidth="1"/>
    <col min="11792" max="11796" width="9.140625" style="16"/>
    <col min="11797" max="11797" width="12.42578125" style="16" customWidth="1"/>
    <col min="11798" max="11798" width="9.140625" style="16"/>
    <col min="11799" max="11799" width="12" style="16" customWidth="1"/>
    <col min="11800" max="12032" width="9.140625" style="16"/>
    <col min="12033" max="12033" width="5" style="16" customWidth="1"/>
    <col min="12034" max="12034" width="19.140625" style="16" customWidth="1"/>
    <col min="12035" max="12035" width="10" style="16" customWidth="1"/>
    <col min="12036" max="12036" width="7.28515625" style="16" customWidth="1"/>
    <col min="12037" max="12037" width="8.5703125" style="16" bestFit="1" customWidth="1"/>
    <col min="12038" max="12038" width="9.28515625" style="16" bestFit="1" customWidth="1"/>
    <col min="12039" max="12039" width="8.28515625" style="16" customWidth="1"/>
    <col min="12040" max="12040" width="9.42578125" style="16" customWidth="1"/>
    <col min="12041" max="12041" width="10.140625" style="16" customWidth="1"/>
    <col min="12042" max="12042" width="9.5703125" style="16" customWidth="1"/>
    <col min="12043" max="12043" width="9" style="16" customWidth="1"/>
    <col min="12044" max="12044" width="9.5703125" style="16" customWidth="1"/>
    <col min="12045" max="12045" width="8.7109375" style="16" customWidth="1"/>
    <col min="12046" max="12046" width="8.42578125" style="16" customWidth="1"/>
    <col min="12047" max="12047" width="7.140625" style="16" bestFit="1" customWidth="1"/>
    <col min="12048" max="12052" width="9.140625" style="16"/>
    <col min="12053" max="12053" width="12.42578125" style="16" customWidth="1"/>
    <col min="12054" max="12054" width="9.140625" style="16"/>
    <col min="12055" max="12055" width="12" style="16" customWidth="1"/>
    <col min="12056" max="12288" width="9.140625" style="16"/>
    <col min="12289" max="12289" width="5" style="16" customWidth="1"/>
    <col min="12290" max="12290" width="19.140625" style="16" customWidth="1"/>
    <col min="12291" max="12291" width="10" style="16" customWidth="1"/>
    <col min="12292" max="12292" width="7.28515625" style="16" customWidth="1"/>
    <col min="12293" max="12293" width="8.5703125" style="16" bestFit="1" customWidth="1"/>
    <col min="12294" max="12294" width="9.28515625" style="16" bestFit="1" customWidth="1"/>
    <col min="12295" max="12295" width="8.28515625" style="16" customWidth="1"/>
    <col min="12296" max="12296" width="9.42578125" style="16" customWidth="1"/>
    <col min="12297" max="12297" width="10.140625" style="16" customWidth="1"/>
    <col min="12298" max="12298" width="9.5703125" style="16" customWidth="1"/>
    <col min="12299" max="12299" width="9" style="16" customWidth="1"/>
    <col min="12300" max="12300" width="9.5703125" style="16" customWidth="1"/>
    <col min="12301" max="12301" width="8.7109375" style="16" customWidth="1"/>
    <col min="12302" max="12302" width="8.42578125" style="16" customWidth="1"/>
    <col min="12303" max="12303" width="7.140625" style="16" bestFit="1" customWidth="1"/>
    <col min="12304" max="12308" width="9.140625" style="16"/>
    <col min="12309" max="12309" width="12.42578125" style="16" customWidth="1"/>
    <col min="12310" max="12310" width="9.140625" style="16"/>
    <col min="12311" max="12311" width="12" style="16" customWidth="1"/>
    <col min="12312" max="12544" width="9.140625" style="16"/>
    <col min="12545" max="12545" width="5" style="16" customWidth="1"/>
    <col min="12546" max="12546" width="19.140625" style="16" customWidth="1"/>
    <col min="12547" max="12547" width="10" style="16" customWidth="1"/>
    <col min="12548" max="12548" width="7.28515625" style="16" customWidth="1"/>
    <col min="12549" max="12549" width="8.5703125" style="16" bestFit="1" customWidth="1"/>
    <col min="12550" max="12550" width="9.28515625" style="16" bestFit="1" customWidth="1"/>
    <col min="12551" max="12551" width="8.28515625" style="16" customWidth="1"/>
    <col min="12552" max="12552" width="9.42578125" style="16" customWidth="1"/>
    <col min="12553" max="12553" width="10.140625" style="16" customWidth="1"/>
    <col min="12554" max="12554" width="9.5703125" style="16" customWidth="1"/>
    <col min="12555" max="12555" width="9" style="16" customWidth="1"/>
    <col min="12556" max="12556" width="9.5703125" style="16" customWidth="1"/>
    <col min="12557" max="12557" width="8.7109375" style="16" customWidth="1"/>
    <col min="12558" max="12558" width="8.42578125" style="16" customWidth="1"/>
    <col min="12559" max="12559" width="7.140625" style="16" bestFit="1" customWidth="1"/>
    <col min="12560" max="12564" width="9.140625" style="16"/>
    <col min="12565" max="12565" width="12.42578125" style="16" customWidth="1"/>
    <col min="12566" max="12566" width="9.140625" style="16"/>
    <col min="12567" max="12567" width="12" style="16" customWidth="1"/>
    <col min="12568" max="12800" width="9.140625" style="16"/>
    <col min="12801" max="12801" width="5" style="16" customWidth="1"/>
    <col min="12802" max="12802" width="19.140625" style="16" customWidth="1"/>
    <col min="12803" max="12803" width="10" style="16" customWidth="1"/>
    <col min="12804" max="12804" width="7.28515625" style="16" customWidth="1"/>
    <col min="12805" max="12805" width="8.5703125" style="16" bestFit="1" customWidth="1"/>
    <col min="12806" max="12806" width="9.28515625" style="16" bestFit="1" customWidth="1"/>
    <col min="12807" max="12807" width="8.28515625" style="16" customWidth="1"/>
    <col min="12808" max="12808" width="9.42578125" style="16" customWidth="1"/>
    <col min="12809" max="12809" width="10.140625" style="16" customWidth="1"/>
    <col min="12810" max="12810" width="9.5703125" style="16" customWidth="1"/>
    <col min="12811" max="12811" width="9" style="16" customWidth="1"/>
    <col min="12812" max="12812" width="9.5703125" style="16" customWidth="1"/>
    <col min="12813" max="12813" width="8.7109375" style="16" customWidth="1"/>
    <col min="12814" max="12814" width="8.42578125" style="16" customWidth="1"/>
    <col min="12815" max="12815" width="7.140625" style="16" bestFit="1" customWidth="1"/>
    <col min="12816" max="12820" width="9.140625" style="16"/>
    <col min="12821" max="12821" width="12.42578125" style="16" customWidth="1"/>
    <col min="12822" max="12822" width="9.140625" style="16"/>
    <col min="12823" max="12823" width="12" style="16" customWidth="1"/>
    <col min="12824" max="13056" width="9.140625" style="16"/>
    <col min="13057" max="13057" width="5" style="16" customWidth="1"/>
    <col min="13058" max="13058" width="19.140625" style="16" customWidth="1"/>
    <col min="13059" max="13059" width="10" style="16" customWidth="1"/>
    <col min="13060" max="13060" width="7.28515625" style="16" customWidth="1"/>
    <col min="13061" max="13061" width="8.5703125" style="16" bestFit="1" customWidth="1"/>
    <col min="13062" max="13062" width="9.28515625" style="16" bestFit="1" customWidth="1"/>
    <col min="13063" max="13063" width="8.28515625" style="16" customWidth="1"/>
    <col min="13064" max="13064" width="9.42578125" style="16" customWidth="1"/>
    <col min="13065" max="13065" width="10.140625" style="16" customWidth="1"/>
    <col min="13066" max="13066" width="9.5703125" style="16" customWidth="1"/>
    <col min="13067" max="13067" width="9" style="16" customWidth="1"/>
    <col min="13068" max="13068" width="9.5703125" style="16" customWidth="1"/>
    <col min="13069" max="13069" width="8.7109375" style="16" customWidth="1"/>
    <col min="13070" max="13070" width="8.42578125" style="16" customWidth="1"/>
    <col min="13071" max="13071" width="7.140625" style="16" bestFit="1" customWidth="1"/>
    <col min="13072" max="13076" width="9.140625" style="16"/>
    <col min="13077" max="13077" width="12.42578125" style="16" customWidth="1"/>
    <col min="13078" max="13078" width="9.140625" style="16"/>
    <col min="13079" max="13079" width="12" style="16" customWidth="1"/>
    <col min="13080" max="13312" width="9.140625" style="16"/>
    <col min="13313" max="13313" width="5" style="16" customWidth="1"/>
    <col min="13314" max="13314" width="19.140625" style="16" customWidth="1"/>
    <col min="13315" max="13315" width="10" style="16" customWidth="1"/>
    <col min="13316" max="13316" width="7.28515625" style="16" customWidth="1"/>
    <col min="13317" max="13317" width="8.5703125" style="16" bestFit="1" customWidth="1"/>
    <col min="13318" max="13318" width="9.28515625" style="16" bestFit="1" customWidth="1"/>
    <col min="13319" max="13319" width="8.28515625" style="16" customWidth="1"/>
    <col min="13320" max="13320" width="9.42578125" style="16" customWidth="1"/>
    <col min="13321" max="13321" width="10.140625" style="16" customWidth="1"/>
    <col min="13322" max="13322" width="9.5703125" style="16" customWidth="1"/>
    <col min="13323" max="13323" width="9" style="16" customWidth="1"/>
    <col min="13324" max="13324" width="9.5703125" style="16" customWidth="1"/>
    <col min="13325" max="13325" width="8.7109375" style="16" customWidth="1"/>
    <col min="13326" max="13326" width="8.42578125" style="16" customWidth="1"/>
    <col min="13327" max="13327" width="7.140625" style="16" bestFit="1" customWidth="1"/>
    <col min="13328" max="13332" width="9.140625" style="16"/>
    <col min="13333" max="13333" width="12.42578125" style="16" customWidth="1"/>
    <col min="13334" max="13334" width="9.140625" style="16"/>
    <col min="13335" max="13335" width="12" style="16" customWidth="1"/>
    <col min="13336" max="13568" width="9.140625" style="16"/>
    <col min="13569" max="13569" width="5" style="16" customWidth="1"/>
    <col min="13570" max="13570" width="19.140625" style="16" customWidth="1"/>
    <col min="13571" max="13571" width="10" style="16" customWidth="1"/>
    <col min="13572" max="13572" width="7.28515625" style="16" customWidth="1"/>
    <col min="13573" max="13573" width="8.5703125" style="16" bestFit="1" customWidth="1"/>
    <col min="13574" max="13574" width="9.28515625" style="16" bestFit="1" customWidth="1"/>
    <col min="13575" max="13575" width="8.28515625" style="16" customWidth="1"/>
    <col min="13576" max="13576" width="9.42578125" style="16" customWidth="1"/>
    <col min="13577" max="13577" width="10.140625" style="16" customWidth="1"/>
    <col min="13578" max="13578" width="9.5703125" style="16" customWidth="1"/>
    <col min="13579" max="13579" width="9" style="16" customWidth="1"/>
    <col min="13580" max="13580" width="9.5703125" style="16" customWidth="1"/>
    <col min="13581" max="13581" width="8.7109375" style="16" customWidth="1"/>
    <col min="13582" max="13582" width="8.42578125" style="16" customWidth="1"/>
    <col min="13583" max="13583" width="7.140625" style="16" bestFit="1" customWidth="1"/>
    <col min="13584" max="13588" width="9.140625" style="16"/>
    <col min="13589" max="13589" width="12.42578125" style="16" customWidth="1"/>
    <col min="13590" max="13590" width="9.140625" style="16"/>
    <col min="13591" max="13591" width="12" style="16" customWidth="1"/>
    <col min="13592" max="13824" width="9.140625" style="16"/>
    <col min="13825" max="13825" width="5" style="16" customWidth="1"/>
    <col min="13826" max="13826" width="19.140625" style="16" customWidth="1"/>
    <col min="13827" max="13827" width="10" style="16" customWidth="1"/>
    <col min="13828" max="13828" width="7.28515625" style="16" customWidth="1"/>
    <col min="13829" max="13829" width="8.5703125" style="16" bestFit="1" customWidth="1"/>
    <col min="13830" max="13830" width="9.28515625" style="16" bestFit="1" customWidth="1"/>
    <col min="13831" max="13831" width="8.28515625" style="16" customWidth="1"/>
    <col min="13832" max="13832" width="9.42578125" style="16" customWidth="1"/>
    <col min="13833" max="13833" width="10.140625" style="16" customWidth="1"/>
    <col min="13834" max="13834" width="9.5703125" style="16" customWidth="1"/>
    <col min="13835" max="13835" width="9" style="16" customWidth="1"/>
    <col min="13836" max="13836" width="9.5703125" style="16" customWidth="1"/>
    <col min="13837" max="13837" width="8.7109375" style="16" customWidth="1"/>
    <col min="13838" max="13838" width="8.42578125" style="16" customWidth="1"/>
    <col min="13839" max="13839" width="7.140625" style="16" bestFit="1" customWidth="1"/>
    <col min="13840" max="13844" width="9.140625" style="16"/>
    <col min="13845" max="13845" width="12.42578125" style="16" customWidth="1"/>
    <col min="13846" max="13846" width="9.140625" style="16"/>
    <col min="13847" max="13847" width="12" style="16" customWidth="1"/>
    <col min="13848" max="14080" width="9.140625" style="16"/>
    <col min="14081" max="14081" width="5" style="16" customWidth="1"/>
    <col min="14082" max="14082" width="19.140625" style="16" customWidth="1"/>
    <col min="14083" max="14083" width="10" style="16" customWidth="1"/>
    <col min="14084" max="14084" width="7.28515625" style="16" customWidth="1"/>
    <col min="14085" max="14085" width="8.5703125" style="16" bestFit="1" customWidth="1"/>
    <col min="14086" max="14086" width="9.28515625" style="16" bestFit="1" customWidth="1"/>
    <col min="14087" max="14087" width="8.28515625" style="16" customWidth="1"/>
    <col min="14088" max="14088" width="9.42578125" style="16" customWidth="1"/>
    <col min="14089" max="14089" width="10.140625" style="16" customWidth="1"/>
    <col min="14090" max="14090" width="9.5703125" style="16" customWidth="1"/>
    <col min="14091" max="14091" width="9" style="16" customWidth="1"/>
    <col min="14092" max="14092" width="9.5703125" style="16" customWidth="1"/>
    <col min="14093" max="14093" width="8.7109375" style="16" customWidth="1"/>
    <col min="14094" max="14094" width="8.42578125" style="16" customWidth="1"/>
    <col min="14095" max="14095" width="7.140625" style="16" bestFit="1" customWidth="1"/>
    <col min="14096" max="14100" width="9.140625" style="16"/>
    <col min="14101" max="14101" width="12.42578125" style="16" customWidth="1"/>
    <col min="14102" max="14102" width="9.140625" style="16"/>
    <col min="14103" max="14103" width="12" style="16" customWidth="1"/>
    <col min="14104" max="14336" width="9.140625" style="16"/>
    <col min="14337" max="14337" width="5" style="16" customWidth="1"/>
    <col min="14338" max="14338" width="19.140625" style="16" customWidth="1"/>
    <col min="14339" max="14339" width="10" style="16" customWidth="1"/>
    <col min="14340" max="14340" width="7.28515625" style="16" customWidth="1"/>
    <col min="14341" max="14341" width="8.5703125" style="16" bestFit="1" customWidth="1"/>
    <col min="14342" max="14342" width="9.28515625" style="16" bestFit="1" customWidth="1"/>
    <col min="14343" max="14343" width="8.28515625" style="16" customWidth="1"/>
    <col min="14344" max="14344" width="9.42578125" style="16" customWidth="1"/>
    <col min="14345" max="14345" width="10.140625" style="16" customWidth="1"/>
    <col min="14346" max="14346" width="9.5703125" style="16" customWidth="1"/>
    <col min="14347" max="14347" width="9" style="16" customWidth="1"/>
    <col min="14348" max="14348" width="9.5703125" style="16" customWidth="1"/>
    <col min="14349" max="14349" width="8.7109375" style="16" customWidth="1"/>
    <col min="14350" max="14350" width="8.42578125" style="16" customWidth="1"/>
    <col min="14351" max="14351" width="7.140625" style="16" bestFit="1" customWidth="1"/>
    <col min="14352" max="14356" width="9.140625" style="16"/>
    <col min="14357" max="14357" width="12.42578125" style="16" customWidth="1"/>
    <col min="14358" max="14358" width="9.140625" style="16"/>
    <col min="14359" max="14359" width="12" style="16" customWidth="1"/>
    <col min="14360" max="14592" width="9.140625" style="16"/>
    <col min="14593" max="14593" width="5" style="16" customWidth="1"/>
    <col min="14594" max="14594" width="19.140625" style="16" customWidth="1"/>
    <col min="14595" max="14595" width="10" style="16" customWidth="1"/>
    <col min="14596" max="14596" width="7.28515625" style="16" customWidth="1"/>
    <col min="14597" max="14597" width="8.5703125" style="16" bestFit="1" customWidth="1"/>
    <col min="14598" max="14598" width="9.28515625" style="16" bestFit="1" customWidth="1"/>
    <col min="14599" max="14599" width="8.28515625" style="16" customWidth="1"/>
    <col min="14600" max="14600" width="9.42578125" style="16" customWidth="1"/>
    <col min="14601" max="14601" width="10.140625" style="16" customWidth="1"/>
    <col min="14602" max="14602" width="9.5703125" style="16" customWidth="1"/>
    <col min="14603" max="14603" width="9" style="16" customWidth="1"/>
    <col min="14604" max="14604" width="9.5703125" style="16" customWidth="1"/>
    <col min="14605" max="14605" width="8.7109375" style="16" customWidth="1"/>
    <col min="14606" max="14606" width="8.42578125" style="16" customWidth="1"/>
    <col min="14607" max="14607" width="7.140625" style="16" bestFit="1" customWidth="1"/>
    <col min="14608" max="14612" width="9.140625" style="16"/>
    <col min="14613" max="14613" width="12.42578125" style="16" customWidth="1"/>
    <col min="14614" max="14614" width="9.140625" style="16"/>
    <col min="14615" max="14615" width="12" style="16" customWidth="1"/>
    <col min="14616" max="14848" width="9.140625" style="16"/>
    <col min="14849" max="14849" width="5" style="16" customWidth="1"/>
    <col min="14850" max="14850" width="19.140625" style="16" customWidth="1"/>
    <col min="14851" max="14851" width="10" style="16" customWidth="1"/>
    <col min="14852" max="14852" width="7.28515625" style="16" customWidth="1"/>
    <col min="14853" max="14853" width="8.5703125" style="16" bestFit="1" customWidth="1"/>
    <col min="14854" max="14854" width="9.28515625" style="16" bestFit="1" customWidth="1"/>
    <col min="14855" max="14855" width="8.28515625" style="16" customWidth="1"/>
    <col min="14856" max="14856" width="9.42578125" style="16" customWidth="1"/>
    <col min="14857" max="14857" width="10.140625" style="16" customWidth="1"/>
    <col min="14858" max="14858" width="9.5703125" style="16" customWidth="1"/>
    <col min="14859" max="14859" width="9" style="16" customWidth="1"/>
    <col min="14860" max="14860" width="9.5703125" style="16" customWidth="1"/>
    <col min="14861" max="14861" width="8.7109375" style="16" customWidth="1"/>
    <col min="14862" max="14862" width="8.42578125" style="16" customWidth="1"/>
    <col min="14863" max="14863" width="7.140625" style="16" bestFit="1" customWidth="1"/>
    <col min="14864" max="14868" width="9.140625" style="16"/>
    <col min="14869" max="14869" width="12.42578125" style="16" customWidth="1"/>
    <col min="14870" max="14870" width="9.140625" style="16"/>
    <col min="14871" max="14871" width="12" style="16" customWidth="1"/>
    <col min="14872" max="15104" width="9.140625" style="16"/>
    <col min="15105" max="15105" width="5" style="16" customWidth="1"/>
    <col min="15106" max="15106" width="19.140625" style="16" customWidth="1"/>
    <col min="15107" max="15107" width="10" style="16" customWidth="1"/>
    <col min="15108" max="15108" width="7.28515625" style="16" customWidth="1"/>
    <col min="15109" max="15109" width="8.5703125" style="16" bestFit="1" customWidth="1"/>
    <col min="15110" max="15110" width="9.28515625" style="16" bestFit="1" customWidth="1"/>
    <col min="15111" max="15111" width="8.28515625" style="16" customWidth="1"/>
    <col min="15112" max="15112" width="9.42578125" style="16" customWidth="1"/>
    <col min="15113" max="15113" width="10.140625" style="16" customWidth="1"/>
    <col min="15114" max="15114" width="9.5703125" style="16" customWidth="1"/>
    <col min="15115" max="15115" width="9" style="16" customWidth="1"/>
    <col min="15116" max="15116" width="9.5703125" style="16" customWidth="1"/>
    <col min="15117" max="15117" width="8.7109375" style="16" customWidth="1"/>
    <col min="15118" max="15118" width="8.42578125" style="16" customWidth="1"/>
    <col min="15119" max="15119" width="7.140625" style="16" bestFit="1" customWidth="1"/>
    <col min="15120" max="15124" width="9.140625" style="16"/>
    <col min="15125" max="15125" width="12.42578125" style="16" customWidth="1"/>
    <col min="15126" max="15126" width="9.140625" style="16"/>
    <col min="15127" max="15127" width="12" style="16" customWidth="1"/>
    <col min="15128" max="15360" width="9.140625" style="16"/>
    <col min="15361" max="15361" width="5" style="16" customWidth="1"/>
    <col min="15362" max="15362" width="19.140625" style="16" customWidth="1"/>
    <col min="15363" max="15363" width="10" style="16" customWidth="1"/>
    <col min="15364" max="15364" width="7.28515625" style="16" customWidth="1"/>
    <col min="15365" max="15365" width="8.5703125" style="16" bestFit="1" customWidth="1"/>
    <col min="15366" max="15366" width="9.28515625" style="16" bestFit="1" customWidth="1"/>
    <col min="15367" max="15367" width="8.28515625" style="16" customWidth="1"/>
    <col min="15368" max="15368" width="9.42578125" style="16" customWidth="1"/>
    <col min="15369" max="15369" width="10.140625" style="16" customWidth="1"/>
    <col min="15370" max="15370" width="9.5703125" style="16" customWidth="1"/>
    <col min="15371" max="15371" width="9" style="16" customWidth="1"/>
    <col min="15372" max="15372" width="9.5703125" style="16" customWidth="1"/>
    <col min="15373" max="15373" width="8.7109375" style="16" customWidth="1"/>
    <col min="15374" max="15374" width="8.42578125" style="16" customWidth="1"/>
    <col min="15375" max="15375" width="7.140625" style="16" bestFit="1" customWidth="1"/>
    <col min="15376" max="15380" width="9.140625" style="16"/>
    <col min="15381" max="15381" width="12.42578125" style="16" customWidth="1"/>
    <col min="15382" max="15382" width="9.140625" style="16"/>
    <col min="15383" max="15383" width="12" style="16" customWidth="1"/>
    <col min="15384" max="15616" width="9.140625" style="16"/>
    <col min="15617" max="15617" width="5" style="16" customWidth="1"/>
    <col min="15618" max="15618" width="19.140625" style="16" customWidth="1"/>
    <col min="15619" max="15619" width="10" style="16" customWidth="1"/>
    <col min="15620" max="15620" width="7.28515625" style="16" customWidth="1"/>
    <col min="15621" max="15621" width="8.5703125" style="16" bestFit="1" customWidth="1"/>
    <col min="15622" max="15622" width="9.28515625" style="16" bestFit="1" customWidth="1"/>
    <col min="15623" max="15623" width="8.28515625" style="16" customWidth="1"/>
    <col min="15624" max="15624" width="9.42578125" style="16" customWidth="1"/>
    <col min="15625" max="15625" width="10.140625" style="16" customWidth="1"/>
    <col min="15626" max="15626" width="9.5703125" style="16" customWidth="1"/>
    <col min="15627" max="15627" width="9" style="16" customWidth="1"/>
    <col min="15628" max="15628" width="9.5703125" style="16" customWidth="1"/>
    <col min="15629" max="15629" width="8.7109375" style="16" customWidth="1"/>
    <col min="15630" max="15630" width="8.42578125" style="16" customWidth="1"/>
    <col min="15631" max="15631" width="7.140625" style="16" bestFit="1" customWidth="1"/>
    <col min="15632" max="15636" width="9.140625" style="16"/>
    <col min="15637" max="15637" width="12.42578125" style="16" customWidth="1"/>
    <col min="15638" max="15638" width="9.140625" style="16"/>
    <col min="15639" max="15639" width="12" style="16" customWidth="1"/>
    <col min="15640" max="15872" width="9.140625" style="16"/>
    <col min="15873" max="15873" width="5" style="16" customWidth="1"/>
    <col min="15874" max="15874" width="19.140625" style="16" customWidth="1"/>
    <col min="15875" max="15875" width="10" style="16" customWidth="1"/>
    <col min="15876" max="15876" width="7.28515625" style="16" customWidth="1"/>
    <col min="15877" max="15877" width="8.5703125" style="16" bestFit="1" customWidth="1"/>
    <col min="15878" max="15878" width="9.28515625" style="16" bestFit="1" customWidth="1"/>
    <col min="15879" max="15879" width="8.28515625" style="16" customWidth="1"/>
    <col min="15880" max="15880" width="9.42578125" style="16" customWidth="1"/>
    <col min="15881" max="15881" width="10.140625" style="16" customWidth="1"/>
    <col min="15882" max="15882" width="9.5703125" style="16" customWidth="1"/>
    <col min="15883" max="15883" width="9" style="16" customWidth="1"/>
    <col min="15884" max="15884" width="9.5703125" style="16" customWidth="1"/>
    <col min="15885" max="15885" width="8.7109375" style="16" customWidth="1"/>
    <col min="15886" max="15886" width="8.42578125" style="16" customWidth="1"/>
    <col min="15887" max="15887" width="7.140625" style="16" bestFit="1" customWidth="1"/>
    <col min="15888" max="15892" width="9.140625" style="16"/>
    <col min="15893" max="15893" width="12.42578125" style="16" customWidth="1"/>
    <col min="15894" max="15894" width="9.140625" style="16"/>
    <col min="15895" max="15895" width="12" style="16" customWidth="1"/>
    <col min="15896" max="16128" width="9.140625" style="16"/>
    <col min="16129" max="16129" width="5" style="16" customWidth="1"/>
    <col min="16130" max="16130" width="19.140625" style="16" customWidth="1"/>
    <col min="16131" max="16131" width="10" style="16" customWidth="1"/>
    <col min="16132" max="16132" width="7.28515625" style="16" customWidth="1"/>
    <col min="16133" max="16133" width="8.5703125" style="16" bestFit="1" customWidth="1"/>
    <col min="16134" max="16134" width="9.28515625" style="16" bestFit="1" customWidth="1"/>
    <col min="16135" max="16135" width="8.28515625" style="16" customWidth="1"/>
    <col min="16136" max="16136" width="9.42578125" style="16" customWidth="1"/>
    <col min="16137" max="16137" width="10.140625" style="16" customWidth="1"/>
    <col min="16138" max="16138" width="9.5703125" style="16" customWidth="1"/>
    <col min="16139" max="16139" width="9" style="16" customWidth="1"/>
    <col min="16140" max="16140" width="9.5703125" style="16" customWidth="1"/>
    <col min="16141" max="16141" width="8.7109375" style="16" customWidth="1"/>
    <col min="16142" max="16142" width="8.42578125" style="16" customWidth="1"/>
    <col min="16143" max="16143" width="7.140625" style="16" bestFit="1" customWidth="1"/>
    <col min="16144" max="16148" width="9.140625" style="16"/>
    <col min="16149" max="16149" width="12.42578125" style="16" customWidth="1"/>
    <col min="16150" max="16150" width="9.140625" style="16"/>
    <col min="16151" max="16151" width="12" style="16" customWidth="1"/>
    <col min="16152" max="16384" width="9.140625" style="16"/>
  </cols>
  <sheetData>
    <row r="1" spans="1:17" s="1" customFormat="1" x14ac:dyDescent="0.2">
      <c r="A1" s="867" t="s">
        <v>449</v>
      </c>
      <c r="B1" s="868"/>
      <c r="C1" s="868"/>
      <c r="D1" s="869"/>
      <c r="E1" s="868"/>
      <c r="F1" s="868"/>
      <c r="G1" s="867" t="s">
        <v>102</v>
      </c>
      <c r="H1" s="869"/>
      <c r="I1" s="869" t="s">
        <v>776</v>
      </c>
      <c r="J1" s="868"/>
      <c r="K1" s="868"/>
      <c r="L1" s="870"/>
      <c r="M1" s="870"/>
      <c r="N1" s="870"/>
      <c r="O1" s="870"/>
    </row>
    <row r="2" spans="1:17" s="1" customFormat="1" x14ac:dyDescent="0.2">
      <c r="A2" s="867" t="s">
        <v>103</v>
      </c>
      <c r="B2" s="868"/>
      <c r="C2" s="868"/>
      <c r="D2" s="869"/>
      <c r="E2" s="868"/>
      <c r="F2" s="868"/>
      <c r="G2" s="867" t="s">
        <v>104</v>
      </c>
      <c r="H2" s="869"/>
      <c r="I2" s="869" t="s">
        <v>105</v>
      </c>
      <c r="J2" s="868"/>
      <c r="K2" s="868"/>
      <c r="L2" s="870"/>
      <c r="M2" s="870"/>
      <c r="N2" s="870"/>
      <c r="O2" s="870"/>
    </row>
    <row r="3" spans="1:17" s="1" customFormat="1" x14ac:dyDescent="0.2">
      <c r="A3" s="867" t="s">
        <v>106</v>
      </c>
      <c r="B3" s="868"/>
      <c r="C3" s="868"/>
      <c r="D3" s="881">
        <v>26343</v>
      </c>
      <c r="E3" s="882"/>
      <c r="F3" s="882"/>
      <c r="G3" s="867" t="s">
        <v>107</v>
      </c>
      <c r="H3" s="869"/>
      <c r="I3" s="869" t="s">
        <v>108</v>
      </c>
      <c r="J3" s="868"/>
      <c r="K3" s="868"/>
      <c r="L3" s="870"/>
      <c r="M3" s="870"/>
      <c r="N3" s="870"/>
      <c r="O3" s="870"/>
    </row>
    <row r="4" spans="1:17" s="1" customFormat="1" x14ac:dyDescent="0.2">
      <c r="A4" s="867" t="s">
        <v>476</v>
      </c>
      <c r="B4" s="868"/>
      <c r="C4" s="868"/>
      <c r="D4" s="869" t="s">
        <v>831</v>
      </c>
      <c r="E4" s="868"/>
      <c r="F4" s="868"/>
      <c r="G4" s="867" t="s">
        <v>110</v>
      </c>
      <c r="H4" s="869"/>
      <c r="I4" s="869" t="s">
        <v>404</v>
      </c>
      <c r="J4" s="868"/>
      <c r="K4" s="868"/>
      <c r="L4" s="870"/>
      <c r="M4" s="870"/>
      <c r="N4" s="870"/>
      <c r="O4" s="870"/>
    </row>
    <row r="5" spans="1:17" s="1" customFormat="1" x14ac:dyDescent="0.2">
      <c r="A5" s="867" t="s">
        <v>112</v>
      </c>
      <c r="B5" s="868"/>
      <c r="C5" s="868"/>
      <c r="D5" s="869" t="s">
        <v>832</v>
      </c>
      <c r="E5" s="868"/>
      <c r="F5" s="868"/>
      <c r="G5" s="867"/>
      <c r="H5" s="868"/>
      <c r="I5" s="869" t="s">
        <v>113</v>
      </c>
      <c r="J5" s="868"/>
      <c r="K5" s="868"/>
      <c r="L5" s="870"/>
      <c r="M5" s="870"/>
      <c r="N5" s="870"/>
      <c r="O5" s="870"/>
    </row>
    <row r="6" spans="1:17" s="1" customFormat="1" x14ac:dyDescent="0.2">
      <c r="A6" s="871" t="s">
        <v>114</v>
      </c>
      <c r="B6" s="872"/>
      <c r="C6" s="872"/>
      <c r="D6" s="868" t="s">
        <v>777</v>
      </c>
      <c r="E6" s="868"/>
      <c r="F6" s="868"/>
      <c r="G6" s="871" t="s">
        <v>115</v>
      </c>
      <c r="H6" s="871"/>
      <c r="I6" s="2" t="s">
        <v>222</v>
      </c>
      <c r="J6" s="888"/>
      <c r="K6" s="888"/>
      <c r="L6" s="888"/>
      <c r="M6" s="888"/>
      <c r="N6" s="888"/>
      <c r="O6" s="889"/>
    </row>
    <row r="7" spans="1:17" s="1" customFormat="1" ht="13.5" thickBot="1" x14ac:dyDescent="0.25">
      <c r="A7" s="3"/>
      <c r="B7" s="4"/>
      <c r="C7" s="5"/>
      <c r="D7" s="6"/>
      <c r="E7" s="6"/>
      <c r="F7" s="6"/>
      <c r="G7" s="6"/>
      <c r="H7" s="6"/>
      <c r="I7" s="6"/>
      <c r="J7" s="7"/>
      <c r="K7" s="8"/>
      <c r="L7" s="875" t="s">
        <v>223</v>
      </c>
      <c r="M7" s="875"/>
      <c r="N7" s="875"/>
      <c r="O7" s="875"/>
    </row>
    <row r="8" spans="1:17" s="11" customFormat="1" x14ac:dyDescent="0.2">
      <c r="A8" s="876" t="str">
        <f>I1</f>
        <v>Ms. Jyoti P. Sawant</v>
      </c>
      <c r="B8" s="877"/>
      <c r="C8" s="314">
        <v>43160</v>
      </c>
      <c r="D8" s="314">
        <v>43191</v>
      </c>
      <c r="E8" s="314">
        <v>43221</v>
      </c>
      <c r="F8" s="314">
        <v>43252</v>
      </c>
      <c r="G8" s="314">
        <v>43282</v>
      </c>
      <c r="H8" s="314">
        <v>43313</v>
      </c>
      <c r="I8" s="314">
        <v>43344</v>
      </c>
      <c r="J8" s="314">
        <v>43374</v>
      </c>
      <c r="K8" s="314">
        <v>43405</v>
      </c>
      <c r="L8" s="314">
        <v>43435</v>
      </c>
      <c r="M8" s="314">
        <v>43466</v>
      </c>
      <c r="N8" s="314">
        <v>43497</v>
      </c>
      <c r="O8" s="10" t="s">
        <v>117</v>
      </c>
      <c r="Q8" s="11" t="s">
        <v>116</v>
      </c>
    </row>
    <row r="9" spans="1:17" ht="15" customHeight="1" x14ac:dyDescent="0.2">
      <c r="A9" s="12"/>
      <c r="B9" s="13" t="s">
        <v>118</v>
      </c>
      <c r="C9" s="14">
        <v>52000</v>
      </c>
      <c r="D9" s="14">
        <f>+C9</f>
        <v>52000</v>
      </c>
      <c r="E9" s="14">
        <f>+D9</f>
        <v>52000</v>
      </c>
      <c r="F9" s="14">
        <f>+E9</f>
        <v>52000</v>
      </c>
      <c r="G9" s="14">
        <v>55200</v>
      </c>
      <c r="H9" s="14">
        <v>55200</v>
      </c>
      <c r="I9" s="14">
        <v>55200</v>
      </c>
      <c r="J9" s="14">
        <v>55200</v>
      </c>
      <c r="K9" s="14">
        <v>55200</v>
      </c>
      <c r="L9" s="14">
        <v>55200</v>
      </c>
      <c r="M9" s="14">
        <v>55200</v>
      </c>
      <c r="N9" s="14">
        <v>55200</v>
      </c>
      <c r="O9" s="15">
        <f>SUM(C9:N9)</f>
        <v>649600</v>
      </c>
      <c r="Q9" s="16" t="s">
        <v>222</v>
      </c>
    </row>
    <row r="10" spans="1:17" ht="15" customHeight="1" x14ac:dyDescent="0.2">
      <c r="A10" s="12"/>
      <c r="B10" s="13" t="s">
        <v>119</v>
      </c>
      <c r="C10" s="17">
        <v>0</v>
      </c>
      <c r="D10" s="17">
        <f>+C10</f>
        <v>0</v>
      </c>
      <c r="E10" s="17">
        <f t="shared" ref="E10:N10" si="0">+D10</f>
        <v>0</v>
      </c>
      <c r="F10" s="17">
        <f t="shared" si="0"/>
        <v>0</v>
      </c>
      <c r="G10" s="17">
        <f t="shared" si="0"/>
        <v>0</v>
      </c>
      <c r="H10" s="17">
        <v>0</v>
      </c>
      <c r="I10" s="17">
        <f t="shared" si="0"/>
        <v>0</v>
      </c>
      <c r="J10" s="17">
        <f t="shared" si="0"/>
        <v>0</v>
      </c>
      <c r="K10" s="17">
        <f t="shared" si="0"/>
        <v>0</v>
      </c>
      <c r="L10" s="17">
        <f t="shared" si="0"/>
        <v>0</v>
      </c>
      <c r="M10" s="17">
        <f t="shared" si="0"/>
        <v>0</v>
      </c>
      <c r="N10" s="17">
        <f t="shared" si="0"/>
        <v>0</v>
      </c>
      <c r="O10" s="18">
        <f>SUM(C10:N10)</f>
        <v>0</v>
      </c>
    </row>
    <row r="11" spans="1:17" ht="15" customHeight="1" x14ac:dyDescent="0.2">
      <c r="A11" s="12"/>
      <c r="B11" s="13" t="s">
        <v>120</v>
      </c>
      <c r="C11" s="147">
        <v>2600</v>
      </c>
      <c r="D11" s="147">
        <v>3640</v>
      </c>
      <c r="E11" s="147">
        <v>3640</v>
      </c>
      <c r="F11" s="147">
        <v>3640</v>
      </c>
      <c r="G11" s="147">
        <v>3864</v>
      </c>
      <c r="H11" s="147">
        <v>3864</v>
      </c>
      <c r="I11" s="147">
        <v>3864</v>
      </c>
      <c r="J11" s="147">
        <v>4968</v>
      </c>
      <c r="K11" s="147">
        <v>4968</v>
      </c>
      <c r="L11" s="147">
        <v>4968</v>
      </c>
      <c r="M11" s="147">
        <v>4968</v>
      </c>
      <c r="N11" s="147">
        <v>4968</v>
      </c>
      <c r="O11" s="18">
        <f>SUM(C11:N11)</f>
        <v>49952</v>
      </c>
    </row>
    <row r="12" spans="1:17" ht="15" hidden="1" customHeight="1" x14ac:dyDescent="0.2">
      <c r="A12" s="12"/>
      <c r="B12" s="13" t="s">
        <v>121</v>
      </c>
      <c r="C12" s="147">
        <v>0</v>
      </c>
      <c r="D12" s="17">
        <v>0</v>
      </c>
      <c r="E12" s="17">
        <f t="shared" ref="E12:J12" si="1">+D12</f>
        <v>0</v>
      </c>
      <c r="F12" s="17">
        <f t="shared" si="1"/>
        <v>0</v>
      </c>
      <c r="G12" s="17">
        <f t="shared" si="1"/>
        <v>0</v>
      </c>
      <c r="H12" s="17">
        <f t="shared" si="1"/>
        <v>0</v>
      </c>
      <c r="I12" s="17">
        <v>0</v>
      </c>
      <c r="J12" s="17">
        <f t="shared" si="1"/>
        <v>0</v>
      </c>
      <c r="K12" s="17">
        <f>+J12</f>
        <v>0</v>
      </c>
      <c r="L12" s="17">
        <f>+K12</f>
        <v>0</v>
      </c>
      <c r="M12" s="17">
        <f>+L12</f>
        <v>0</v>
      </c>
      <c r="N12" s="17">
        <f>+M12</f>
        <v>0</v>
      </c>
      <c r="O12" s="18">
        <f>SUM(C12:N12)</f>
        <v>0</v>
      </c>
    </row>
    <row r="13" spans="1:17" ht="15" hidden="1" customHeight="1" x14ac:dyDescent="0.2">
      <c r="A13" s="12"/>
      <c r="B13" s="13" t="s">
        <v>122</v>
      </c>
      <c r="C13" s="17">
        <v>0</v>
      </c>
      <c r="D13" s="17">
        <v>0</v>
      </c>
      <c r="E13" s="17">
        <v>0</v>
      </c>
      <c r="F13" s="17">
        <v>0</v>
      </c>
      <c r="G13" s="17">
        <v>0</v>
      </c>
      <c r="H13" s="17">
        <v>0</v>
      </c>
      <c r="I13" s="17">
        <v>0</v>
      </c>
      <c r="J13" s="147">
        <v>0</v>
      </c>
      <c r="K13" s="147">
        <v>0</v>
      </c>
      <c r="L13" s="147">
        <v>0</v>
      </c>
      <c r="M13" s="147">
        <v>0</v>
      </c>
      <c r="N13" s="147">
        <v>0</v>
      </c>
      <c r="O13" s="18">
        <f t="shared" ref="O13:O36" si="2">SUM(C13:N13)</f>
        <v>0</v>
      </c>
    </row>
    <row r="14" spans="1:17" ht="15" customHeight="1" x14ac:dyDescent="0.2">
      <c r="A14" s="12"/>
      <c r="B14" s="13" t="s">
        <v>123</v>
      </c>
      <c r="C14" s="147">
        <v>3780</v>
      </c>
      <c r="D14" s="147">
        <v>3852</v>
      </c>
      <c r="E14" s="147">
        <v>3852</v>
      </c>
      <c r="F14" s="147">
        <v>3852</v>
      </c>
      <c r="G14" s="147">
        <v>3852</v>
      </c>
      <c r="H14" s="147">
        <v>3852</v>
      </c>
      <c r="I14" s="147">
        <v>3852</v>
      </c>
      <c r="J14" s="147">
        <v>3924</v>
      </c>
      <c r="K14" s="147">
        <v>3924</v>
      </c>
      <c r="L14" s="147">
        <v>3924</v>
      </c>
      <c r="M14" s="147">
        <v>3924</v>
      </c>
      <c r="N14" s="147">
        <v>3924</v>
      </c>
      <c r="O14" s="18">
        <f t="shared" si="2"/>
        <v>46512</v>
      </c>
    </row>
    <row r="15" spans="1:17" ht="15" hidden="1" customHeight="1" x14ac:dyDescent="0.2">
      <c r="A15" s="12"/>
      <c r="B15" s="13" t="s">
        <v>124</v>
      </c>
      <c r="C15" s="17">
        <v>0</v>
      </c>
      <c r="D15" s="17">
        <v>0</v>
      </c>
      <c r="E15" s="17">
        <v>0</v>
      </c>
      <c r="F15" s="17">
        <v>0</v>
      </c>
      <c r="G15" s="17">
        <v>0</v>
      </c>
      <c r="H15" s="17">
        <v>0</v>
      </c>
      <c r="I15" s="17">
        <v>0</v>
      </c>
      <c r="J15" s="147">
        <v>0</v>
      </c>
      <c r="K15" s="147">
        <v>0</v>
      </c>
      <c r="L15" s="147">
        <v>0</v>
      </c>
      <c r="M15" s="147">
        <v>0</v>
      </c>
      <c r="N15" s="147">
        <v>0</v>
      </c>
      <c r="O15" s="18">
        <f t="shared" si="2"/>
        <v>0</v>
      </c>
    </row>
    <row r="16" spans="1:17" ht="15" hidden="1" customHeight="1" x14ac:dyDescent="0.2">
      <c r="A16" s="12"/>
      <c r="B16" s="13" t="s">
        <v>405</v>
      </c>
      <c r="C16" s="17">
        <v>0</v>
      </c>
      <c r="D16" s="17">
        <v>0</v>
      </c>
      <c r="E16" s="17">
        <v>0</v>
      </c>
      <c r="F16" s="17">
        <v>0</v>
      </c>
      <c r="G16" s="17">
        <v>0</v>
      </c>
      <c r="H16" s="17">
        <v>0</v>
      </c>
      <c r="I16" s="17">
        <v>0</v>
      </c>
      <c r="J16" s="147">
        <v>0</v>
      </c>
      <c r="K16" s="147">
        <v>0</v>
      </c>
      <c r="L16" s="147">
        <v>0</v>
      </c>
      <c r="M16" s="147">
        <v>0</v>
      </c>
      <c r="N16" s="147">
        <v>0</v>
      </c>
      <c r="O16" s="18">
        <f t="shared" si="2"/>
        <v>0</v>
      </c>
    </row>
    <row r="17" spans="1:15" ht="15" hidden="1" customHeight="1" x14ac:dyDescent="0.2">
      <c r="A17" s="12"/>
      <c r="B17" s="180" t="s">
        <v>280</v>
      </c>
      <c r="C17" s="17">
        <v>0</v>
      </c>
      <c r="D17" s="17">
        <v>0</v>
      </c>
      <c r="E17" s="17">
        <v>0</v>
      </c>
      <c r="F17" s="17">
        <v>0</v>
      </c>
      <c r="G17" s="17">
        <v>0</v>
      </c>
      <c r="H17" s="17">
        <v>0</v>
      </c>
      <c r="I17" s="17">
        <v>0</v>
      </c>
      <c r="J17" s="147">
        <v>0</v>
      </c>
      <c r="K17" s="147">
        <v>0</v>
      </c>
      <c r="L17" s="147">
        <v>0</v>
      </c>
      <c r="M17" s="147">
        <v>0</v>
      </c>
      <c r="N17" s="147">
        <v>0</v>
      </c>
      <c r="O17" s="18">
        <f t="shared" si="2"/>
        <v>0</v>
      </c>
    </row>
    <row r="18" spans="1:15" ht="15" hidden="1" customHeight="1" x14ac:dyDescent="0.2">
      <c r="A18" s="12"/>
      <c r="B18" s="13" t="s">
        <v>609</v>
      </c>
      <c r="C18" s="17">
        <v>0</v>
      </c>
      <c r="D18" s="17">
        <v>0</v>
      </c>
      <c r="E18" s="17">
        <v>0</v>
      </c>
      <c r="F18" s="17">
        <v>0</v>
      </c>
      <c r="G18" s="17">
        <v>0</v>
      </c>
      <c r="H18" s="17">
        <v>0</v>
      </c>
      <c r="I18" s="17">
        <v>0</v>
      </c>
      <c r="J18" s="147">
        <v>0</v>
      </c>
      <c r="K18" s="147">
        <v>0</v>
      </c>
      <c r="L18" s="147">
        <v>0</v>
      </c>
      <c r="M18" s="147">
        <v>0</v>
      </c>
      <c r="N18" s="147">
        <v>0</v>
      </c>
      <c r="O18" s="18">
        <f t="shared" si="2"/>
        <v>0</v>
      </c>
    </row>
    <row r="19" spans="1:15" ht="15" customHeight="1" x14ac:dyDescent="0.2">
      <c r="A19" s="12"/>
      <c r="B19" s="13" t="s">
        <v>128</v>
      </c>
      <c r="C19" s="147">
        <v>12480</v>
      </c>
      <c r="D19" s="147">
        <v>12480</v>
      </c>
      <c r="E19" s="147">
        <v>12480</v>
      </c>
      <c r="F19" s="147">
        <v>12480</v>
      </c>
      <c r="G19" s="147">
        <v>13248</v>
      </c>
      <c r="H19" s="147">
        <v>13248</v>
      </c>
      <c r="I19" s="147">
        <v>13248</v>
      </c>
      <c r="J19" s="147">
        <v>13248</v>
      </c>
      <c r="K19" s="147">
        <v>13248</v>
      </c>
      <c r="L19" s="147">
        <v>13248</v>
      </c>
      <c r="M19" s="147">
        <v>13248</v>
      </c>
      <c r="N19" s="147">
        <v>13248</v>
      </c>
      <c r="O19" s="18">
        <f t="shared" si="2"/>
        <v>155904</v>
      </c>
    </row>
    <row r="20" spans="1:15" ht="15" customHeight="1" x14ac:dyDescent="0.2">
      <c r="A20" s="12"/>
      <c r="B20" s="13" t="s">
        <v>129</v>
      </c>
      <c r="C20" s="28">
        <v>0</v>
      </c>
      <c r="D20" s="28">
        <v>0</v>
      </c>
      <c r="E20" s="28">
        <v>0</v>
      </c>
      <c r="F20" s="28">
        <v>0</v>
      </c>
      <c r="G20" s="28">
        <v>0</v>
      </c>
      <c r="H20" s="28">
        <v>0</v>
      </c>
      <c r="I20" s="28">
        <v>0</v>
      </c>
      <c r="J20" s="28">
        <v>0</v>
      </c>
      <c r="K20" s="28">
        <v>0</v>
      </c>
      <c r="L20" s="28">
        <v>0</v>
      </c>
      <c r="M20" s="28">
        <v>0</v>
      </c>
      <c r="N20" s="147">
        <v>0</v>
      </c>
      <c r="O20" s="18">
        <f t="shared" si="2"/>
        <v>0</v>
      </c>
    </row>
    <row r="21" spans="1:15" ht="15" hidden="1" customHeight="1" x14ac:dyDescent="0.2">
      <c r="A21" s="878" t="s">
        <v>130</v>
      </c>
      <c r="B21" s="19" t="s">
        <v>131</v>
      </c>
      <c r="C21" s="28">
        <v>0</v>
      </c>
      <c r="D21" s="28">
        <v>0</v>
      </c>
      <c r="E21" s="28">
        <v>0</v>
      </c>
      <c r="F21" s="28">
        <v>0</v>
      </c>
      <c r="G21" s="28">
        <v>0</v>
      </c>
      <c r="H21" s="28">
        <v>0</v>
      </c>
      <c r="I21" s="28">
        <v>0</v>
      </c>
      <c r="J21" s="28">
        <v>0</v>
      </c>
      <c r="K21" s="28">
        <v>0</v>
      </c>
      <c r="L21" s="28">
        <v>0</v>
      </c>
      <c r="M21" s="28">
        <v>0</v>
      </c>
      <c r="N21" s="147">
        <v>0</v>
      </c>
      <c r="O21" s="18">
        <f t="shared" si="2"/>
        <v>0</v>
      </c>
    </row>
    <row r="22" spans="1:15" ht="15" customHeight="1" x14ac:dyDescent="0.2">
      <c r="A22" s="879"/>
      <c r="B22" s="19" t="s">
        <v>132</v>
      </c>
      <c r="C22" s="28">
        <v>0</v>
      </c>
      <c r="D22" s="28">
        <v>0</v>
      </c>
      <c r="E22" s="28">
        <v>0</v>
      </c>
      <c r="F22" s="28">
        <v>0</v>
      </c>
      <c r="G22" s="28">
        <v>0</v>
      </c>
      <c r="H22" s="28">
        <v>0</v>
      </c>
      <c r="I22" s="28">
        <v>0</v>
      </c>
      <c r="J22" s="28">
        <v>6908</v>
      </c>
      <c r="K22" s="28">
        <v>0</v>
      </c>
      <c r="L22" s="28">
        <v>0</v>
      </c>
      <c r="M22" s="28">
        <v>0</v>
      </c>
      <c r="N22" s="147">
        <v>0</v>
      </c>
      <c r="O22" s="18">
        <f t="shared" si="2"/>
        <v>6908</v>
      </c>
    </row>
    <row r="23" spans="1:15" ht="15" hidden="1" customHeight="1" x14ac:dyDescent="0.2">
      <c r="A23" s="879"/>
      <c r="B23" s="19" t="s">
        <v>133</v>
      </c>
      <c r="C23" s="28">
        <v>0</v>
      </c>
      <c r="D23" s="28">
        <v>0</v>
      </c>
      <c r="E23" s="28">
        <v>0</v>
      </c>
      <c r="F23" s="28">
        <v>0</v>
      </c>
      <c r="G23" s="28">
        <v>0</v>
      </c>
      <c r="H23" s="28">
        <v>0</v>
      </c>
      <c r="I23" s="28">
        <v>0</v>
      </c>
      <c r="J23" s="28">
        <v>0</v>
      </c>
      <c r="K23" s="28">
        <v>0</v>
      </c>
      <c r="L23" s="28">
        <v>0</v>
      </c>
      <c r="M23" s="28">
        <v>0</v>
      </c>
      <c r="N23" s="147">
        <v>0</v>
      </c>
      <c r="O23" s="18">
        <f t="shared" si="2"/>
        <v>0</v>
      </c>
    </row>
    <row r="24" spans="1:15" ht="15" hidden="1" customHeight="1" x14ac:dyDescent="0.2">
      <c r="A24" s="879"/>
      <c r="B24" s="19" t="s">
        <v>134</v>
      </c>
      <c r="C24" s="28">
        <v>0</v>
      </c>
      <c r="D24" s="28">
        <v>0</v>
      </c>
      <c r="E24" s="28">
        <v>0</v>
      </c>
      <c r="F24" s="28">
        <v>0</v>
      </c>
      <c r="G24" s="28">
        <v>0</v>
      </c>
      <c r="H24" s="28">
        <v>0</v>
      </c>
      <c r="I24" s="28">
        <v>0</v>
      </c>
      <c r="J24" s="28">
        <v>0</v>
      </c>
      <c r="K24" s="28">
        <v>0</v>
      </c>
      <c r="L24" s="28">
        <v>0</v>
      </c>
      <c r="M24" s="28">
        <v>0</v>
      </c>
      <c r="N24" s="147">
        <v>0</v>
      </c>
      <c r="O24" s="18">
        <f t="shared" si="2"/>
        <v>0</v>
      </c>
    </row>
    <row r="25" spans="1:15" ht="15" hidden="1" customHeight="1" x14ac:dyDescent="0.2">
      <c r="A25" s="879"/>
      <c r="B25" s="19" t="s">
        <v>135</v>
      </c>
      <c r="C25" s="28">
        <v>0</v>
      </c>
      <c r="D25" s="28">
        <v>0</v>
      </c>
      <c r="E25" s="28">
        <v>0</v>
      </c>
      <c r="F25" s="28">
        <v>0</v>
      </c>
      <c r="G25" s="28">
        <v>0</v>
      </c>
      <c r="H25" s="28">
        <v>0</v>
      </c>
      <c r="I25" s="28">
        <v>0</v>
      </c>
      <c r="J25" s="28">
        <v>0</v>
      </c>
      <c r="K25" s="28">
        <v>0</v>
      </c>
      <c r="L25" s="28">
        <v>0</v>
      </c>
      <c r="M25" s="28">
        <v>0</v>
      </c>
      <c r="N25" s="147">
        <v>0</v>
      </c>
      <c r="O25" s="18">
        <f t="shared" si="2"/>
        <v>0</v>
      </c>
    </row>
    <row r="26" spans="1:15" ht="15" hidden="1" customHeight="1" x14ac:dyDescent="0.2">
      <c r="A26" s="879"/>
      <c r="B26" s="19" t="s">
        <v>136</v>
      </c>
      <c r="C26" s="28">
        <v>0</v>
      </c>
      <c r="D26" s="28">
        <v>0</v>
      </c>
      <c r="E26" s="28">
        <v>0</v>
      </c>
      <c r="F26" s="28">
        <v>0</v>
      </c>
      <c r="G26" s="28">
        <v>0</v>
      </c>
      <c r="H26" s="28">
        <v>0</v>
      </c>
      <c r="I26" s="28">
        <v>0</v>
      </c>
      <c r="J26" s="28">
        <v>0</v>
      </c>
      <c r="K26" s="28">
        <v>0</v>
      </c>
      <c r="L26" s="28">
        <v>0</v>
      </c>
      <c r="M26" s="28">
        <v>0</v>
      </c>
      <c r="N26" s="147">
        <v>0</v>
      </c>
      <c r="O26" s="18">
        <f t="shared" si="2"/>
        <v>0</v>
      </c>
    </row>
    <row r="27" spans="1:15" ht="15" hidden="1" customHeight="1" x14ac:dyDescent="0.2">
      <c r="A27" s="879"/>
      <c r="B27" s="19" t="s">
        <v>137</v>
      </c>
      <c r="C27" s="28">
        <v>0</v>
      </c>
      <c r="D27" s="28">
        <v>0</v>
      </c>
      <c r="E27" s="28">
        <v>0</v>
      </c>
      <c r="F27" s="28">
        <v>0</v>
      </c>
      <c r="G27" s="28">
        <v>0</v>
      </c>
      <c r="H27" s="28">
        <v>0</v>
      </c>
      <c r="I27" s="28">
        <v>0</v>
      </c>
      <c r="J27" s="28">
        <v>0</v>
      </c>
      <c r="K27" s="28">
        <v>0</v>
      </c>
      <c r="L27" s="28">
        <v>0</v>
      </c>
      <c r="M27" s="28">
        <v>0</v>
      </c>
      <c r="N27" s="147">
        <v>0</v>
      </c>
      <c r="O27" s="18">
        <f t="shared" si="2"/>
        <v>0</v>
      </c>
    </row>
    <row r="28" spans="1:15" ht="15" hidden="1" customHeight="1" x14ac:dyDescent="0.2">
      <c r="A28" s="879"/>
      <c r="B28" s="19" t="s">
        <v>138</v>
      </c>
      <c r="C28" s="28">
        <v>0</v>
      </c>
      <c r="D28" s="28">
        <v>0</v>
      </c>
      <c r="E28" s="28">
        <v>0</v>
      </c>
      <c r="F28" s="28">
        <v>0</v>
      </c>
      <c r="G28" s="28">
        <v>0</v>
      </c>
      <c r="H28" s="28">
        <v>0</v>
      </c>
      <c r="I28" s="28">
        <v>0</v>
      </c>
      <c r="J28" s="28">
        <v>0</v>
      </c>
      <c r="K28" s="28">
        <v>0</v>
      </c>
      <c r="L28" s="28">
        <v>0</v>
      </c>
      <c r="M28" s="28">
        <v>0</v>
      </c>
      <c r="N28" s="147">
        <v>0</v>
      </c>
      <c r="O28" s="18">
        <f t="shared" si="2"/>
        <v>0</v>
      </c>
    </row>
    <row r="29" spans="1:15" ht="15" hidden="1" customHeight="1" x14ac:dyDescent="0.2">
      <c r="A29" s="879"/>
      <c r="B29" s="19" t="s">
        <v>139</v>
      </c>
      <c r="C29" s="28">
        <v>0</v>
      </c>
      <c r="D29" s="28">
        <v>0</v>
      </c>
      <c r="E29" s="28">
        <v>0</v>
      </c>
      <c r="F29" s="28">
        <v>0</v>
      </c>
      <c r="G29" s="28">
        <v>0</v>
      </c>
      <c r="H29" s="28">
        <v>0</v>
      </c>
      <c r="I29" s="28">
        <v>0</v>
      </c>
      <c r="J29" s="28">
        <v>0</v>
      </c>
      <c r="K29" s="28">
        <v>0</v>
      </c>
      <c r="L29" s="28">
        <v>0</v>
      </c>
      <c r="M29" s="28">
        <v>0</v>
      </c>
      <c r="N29" s="147">
        <v>0</v>
      </c>
      <c r="O29" s="18">
        <f t="shared" si="2"/>
        <v>0</v>
      </c>
    </row>
    <row r="30" spans="1:15" ht="15" hidden="1" customHeight="1" x14ac:dyDescent="0.2">
      <c r="A30" s="879"/>
      <c r="B30" s="19" t="s">
        <v>140</v>
      </c>
      <c r="C30" s="28">
        <v>0</v>
      </c>
      <c r="D30" s="28">
        <v>0</v>
      </c>
      <c r="E30" s="28">
        <v>0</v>
      </c>
      <c r="F30" s="28">
        <v>0</v>
      </c>
      <c r="G30" s="28">
        <v>0</v>
      </c>
      <c r="H30" s="28">
        <v>0</v>
      </c>
      <c r="I30" s="28">
        <v>0</v>
      </c>
      <c r="J30" s="28">
        <v>0</v>
      </c>
      <c r="K30" s="28">
        <v>0</v>
      </c>
      <c r="L30" s="28">
        <v>0</v>
      </c>
      <c r="M30" s="28">
        <v>0</v>
      </c>
      <c r="N30" s="147">
        <v>0</v>
      </c>
      <c r="O30" s="18">
        <f t="shared" si="2"/>
        <v>0</v>
      </c>
    </row>
    <row r="31" spans="1:15" ht="15" hidden="1" customHeight="1" x14ac:dyDescent="0.2">
      <c r="A31" s="879"/>
      <c r="B31" s="19" t="s">
        <v>225</v>
      </c>
      <c r="C31" s="28">
        <v>0</v>
      </c>
      <c r="D31" s="28">
        <v>0</v>
      </c>
      <c r="E31" s="28">
        <v>0</v>
      </c>
      <c r="F31" s="28">
        <v>0</v>
      </c>
      <c r="G31" s="28">
        <v>0</v>
      </c>
      <c r="H31" s="28">
        <v>0</v>
      </c>
      <c r="I31" s="28">
        <v>0</v>
      </c>
      <c r="J31" s="28">
        <v>0</v>
      </c>
      <c r="K31" s="28">
        <v>0</v>
      </c>
      <c r="L31" s="28">
        <v>0</v>
      </c>
      <c r="M31" s="28">
        <v>0</v>
      </c>
      <c r="N31" s="147">
        <v>0</v>
      </c>
      <c r="O31" s="18">
        <f t="shared" si="2"/>
        <v>0</v>
      </c>
    </row>
    <row r="32" spans="1:15" ht="15" customHeight="1" x14ac:dyDescent="0.2">
      <c r="A32" s="879"/>
      <c r="B32" s="21" t="s">
        <v>142</v>
      </c>
      <c r="C32" s="28">
        <v>0</v>
      </c>
      <c r="D32" s="28">
        <v>0</v>
      </c>
      <c r="E32" s="28">
        <v>0</v>
      </c>
      <c r="F32" s="28">
        <v>0</v>
      </c>
      <c r="G32" s="28">
        <v>0</v>
      </c>
      <c r="H32" s="28">
        <v>0</v>
      </c>
      <c r="I32" s="28">
        <v>0</v>
      </c>
      <c r="J32" s="28">
        <v>0</v>
      </c>
      <c r="K32" s="28">
        <v>0</v>
      </c>
      <c r="L32" s="28">
        <v>0</v>
      </c>
      <c r="M32" s="28">
        <v>0</v>
      </c>
      <c r="N32" s="147">
        <v>0</v>
      </c>
      <c r="O32" s="18">
        <f t="shared" si="2"/>
        <v>0</v>
      </c>
    </row>
    <row r="33" spans="1:16" ht="15" customHeight="1" x14ac:dyDescent="0.2">
      <c r="A33" s="880"/>
      <c r="B33" s="19" t="s">
        <v>280</v>
      </c>
      <c r="C33" s="28">
        <v>0</v>
      </c>
      <c r="D33" s="28">
        <v>0</v>
      </c>
      <c r="E33" s="28">
        <v>0</v>
      </c>
      <c r="F33" s="28">
        <v>0</v>
      </c>
      <c r="G33" s="28">
        <v>0</v>
      </c>
      <c r="H33" s="28">
        <v>0</v>
      </c>
      <c r="I33" s="28">
        <v>3943</v>
      </c>
      <c r="J33" s="28">
        <v>3943</v>
      </c>
      <c r="K33" s="28">
        <v>3943</v>
      </c>
      <c r="L33" s="28">
        <v>3943</v>
      </c>
      <c r="M33" s="28">
        <v>0</v>
      </c>
      <c r="N33" s="147">
        <v>0</v>
      </c>
      <c r="O33" s="18">
        <f t="shared" si="2"/>
        <v>15772</v>
      </c>
    </row>
    <row r="34" spans="1:16" ht="15" customHeight="1" x14ac:dyDescent="0.2">
      <c r="A34" s="219"/>
      <c r="B34" s="220" t="s">
        <v>144</v>
      </c>
      <c r="C34" s="28">
        <v>0</v>
      </c>
      <c r="D34" s="28">
        <v>0</v>
      </c>
      <c r="E34" s="28">
        <v>0</v>
      </c>
      <c r="F34" s="28">
        <v>0</v>
      </c>
      <c r="G34" s="28">
        <v>0</v>
      </c>
      <c r="H34" s="28">
        <v>0</v>
      </c>
      <c r="I34" s="28">
        <v>0</v>
      </c>
      <c r="J34" s="28">
        <v>0</v>
      </c>
      <c r="K34" s="28">
        <v>0</v>
      </c>
      <c r="L34" s="28">
        <v>0</v>
      </c>
      <c r="M34" s="28">
        <v>0</v>
      </c>
      <c r="N34" s="147">
        <v>0</v>
      </c>
      <c r="O34" s="18">
        <f t="shared" si="2"/>
        <v>0</v>
      </c>
    </row>
    <row r="35" spans="1:16" ht="15" customHeight="1" x14ac:dyDescent="0.2">
      <c r="A35" s="865" t="s">
        <v>145</v>
      </c>
      <c r="B35" s="866"/>
      <c r="C35" s="28">
        <v>0</v>
      </c>
      <c r="D35" s="28">
        <v>216</v>
      </c>
      <c r="E35" s="28">
        <v>0</v>
      </c>
      <c r="F35" s="28">
        <v>0</v>
      </c>
      <c r="G35" s="28">
        <v>0</v>
      </c>
      <c r="H35" s="28">
        <v>0</v>
      </c>
      <c r="I35" s="28">
        <v>0</v>
      </c>
      <c r="J35" s="28">
        <v>216</v>
      </c>
      <c r="K35" s="28">
        <v>0</v>
      </c>
      <c r="L35" s="28">
        <v>0</v>
      </c>
      <c r="M35" s="28">
        <v>0</v>
      </c>
      <c r="N35" s="28">
        <v>0</v>
      </c>
      <c r="O35" s="18">
        <f t="shared" si="2"/>
        <v>432</v>
      </c>
    </row>
    <row r="36" spans="1:16" ht="15" customHeight="1" x14ac:dyDescent="0.2">
      <c r="A36" s="865" t="s">
        <v>146</v>
      </c>
      <c r="B36" s="866"/>
      <c r="C36" s="28">
        <v>0</v>
      </c>
      <c r="D36" s="28">
        <v>3120</v>
      </c>
      <c r="E36" s="28">
        <v>0</v>
      </c>
      <c r="F36" s="28">
        <v>0</v>
      </c>
      <c r="G36" s="28">
        <v>0</v>
      </c>
      <c r="H36" s="28">
        <v>0</v>
      </c>
      <c r="I36" s="28">
        <v>0</v>
      </c>
      <c r="J36" s="28">
        <v>3312</v>
      </c>
      <c r="K36" s="28">
        <v>0</v>
      </c>
      <c r="L36" s="28">
        <v>0</v>
      </c>
      <c r="M36" s="28">
        <v>0</v>
      </c>
      <c r="N36" s="39"/>
      <c r="O36" s="18">
        <f t="shared" si="2"/>
        <v>6432</v>
      </c>
    </row>
    <row r="37" spans="1:16" ht="15" customHeight="1" x14ac:dyDescent="0.2">
      <c r="A37" s="22"/>
      <c r="B37" s="23" t="s">
        <v>147</v>
      </c>
      <c r="C37" s="24">
        <f t="shared" ref="C37:N37" si="3">SUM(C9:C36)</f>
        <v>70860</v>
      </c>
      <c r="D37" s="24">
        <f t="shared" si="3"/>
        <v>75308</v>
      </c>
      <c r="E37" s="24">
        <f t="shared" si="3"/>
        <v>71972</v>
      </c>
      <c r="F37" s="24">
        <f t="shared" si="3"/>
        <v>71972</v>
      </c>
      <c r="G37" s="24">
        <f t="shared" si="3"/>
        <v>76164</v>
      </c>
      <c r="H37" s="24">
        <f t="shared" si="3"/>
        <v>76164</v>
      </c>
      <c r="I37" s="24">
        <f t="shared" si="3"/>
        <v>80107</v>
      </c>
      <c r="J37" s="24">
        <f t="shared" si="3"/>
        <v>91719</v>
      </c>
      <c r="K37" s="24">
        <f t="shared" si="3"/>
        <v>81283</v>
      </c>
      <c r="L37" s="24">
        <f t="shared" si="3"/>
        <v>81283</v>
      </c>
      <c r="M37" s="24">
        <f t="shared" si="3"/>
        <v>77340</v>
      </c>
      <c r="N37" s="24">
        <f t="shared" si="3"/>
        <v>77340</v>
      </c>
      <c r="O37" s="25">
        <f t="shared" ref="O37:O50" si="4">SUM(C37:N37)</f>
        <v>931512</v>
      </c>
    </row>
    <row r="38" spans="1:16" ht="15" customHeight="1" x14ac:dyDescent="0.25">
      <c r="A38" s="853" t="s">
        <v>148</v>
      </c>
      <c r="B38" s="27" t="s">
        <v>149</v>
      </c>
      <c r="C38" s="147">
        <v>3300</v>
      </c>
      <c r="D38" s="147">
        <v>3000</v>
      </c>
      <c r="E38" s="147">
        <v>3000</v>
      </c>
      <c r="F38" s="147">
        <v>3000</v>
      </c>
      <c r="G38" s="147">
        <v>3000</v>
      </c>
      <c r="H38" s="147">
        <v>3000</v>
      </c>
      <c r="I38" s="147">
        <v>3000</v>
      </c>
      <c r="J38" s="147">
        <v>3000</v>
      </c>
      <c r="K38" s="147">
        <v>10000</v>
      </c>
      <c r="L38" s="147">
        <v>9275</v>
      </c>
      <c r="M38" s="147">
        <v>9275</v>
      </c>
      <c r="N38">
        <v>9870</v>
      </c>
      <c r="O38" s="18">
        <f t="shared" si="4"/>
        <v>62720</v>
      </c>
      <c r="P38" s="29"/>
    </row>
    <row r="39" spans="1:16" ht="15" customHeight="1" x14ac:dyDescent="0.2">
      <c r="A39" s="854"/>
      <c r="B39" s="27" t="s">
        <v>150</v>
      </c>
      <c r="C39" s="147">
        <v>0</v>
      </c>
      <c r="D39" s="147">
        <v>0</v>
      </c>
      <c r="E39" s="147">
        <v>0</v>
      </c>
      <c r="F39" s="147">
        <v>0</v>
      </c>
      <c r="G39" s="147">
        <v>0</v>
      </c>
      <c r="H39" s="147">
        <v>0</v>
      </c>
      <c r="I39" s="147">
        <v>0</v>
      </c>
      <c r="J39" s="147">
        <v>0</v>
      </c>
      <c r="K39" s="147">
        <v>0</v>
      </c>
      <c r="L39" s="147">
        <v>0</v>
      </c>
      <c r="M39" s="147">
        <v>0</v>
      </c>
      <c r="N39" s="147">
        <v>0</v>
      </c>
      <c r="O39" s="18">
        <f t="shared" si="4"/>
        <v>0</v>
      </c>
    </row>
    <row r="40" spans="1:16" ht="15" customHeight="1" x14ac:dyDescent="0.2">
      <c r="A40" s="854"/>
      <c r="B40" s="27" t="s">
        <v>151</v>
      </c>
      <c r="C40" s="147">
        <v>60</v>
      </c>
      <c r="D40" s="147">
        <f>C40</f>
        <v>60</v>
      </c>
      <c r="E40" s="147">
        <f t="shared" ref="E40:N47" si="5">D40</f>
        <v>60</v>
      </c>
      <c r="F40" s="147">
        <f t="shared" si="5"/>
        <v>60</v>
      </c>
      <c r="G40" s="147">
        <f t="shared" si="5"/>
        <v>60</v>
      </c>
      <c r="H40" s="147">
        <f t="shared" si="5"/>
        <v>60</v>
      </c>
      <c r="I40" s="147">
        <f t="shared" si="5"/>
        <v>60</v>
      </c>
      <c r="J40" s="147">
        <f>+I40</f>
        <v>60</v>
      </c>
      <c r="K40" s="147">
        <f t="shared" si="5"/>
        <v>60</v>
      </c>
      <c r="L40" s="147">
        <f t="shared" si="5"/>
        <v>60</v>
      </c>
      <c r="M40" s="147">
        <f t="shared" si="5"/>
        <v>60</v>
      </c>
      <c r="N40" s="147">
        <f t="shared" si="5"/>
        <v>60</v>
      </c>
      <c r="O40" s="18">
        <f t="shared" si="4"/>
        <v>720</v>
      </c>
    </row>
    <row r="41" spans="1:16" ht="15" customHeight="1" x14ac:dyDescent="0.2">
      <c r="A41" s="854"/>
      <c r="B41" s="27" t="s">
        <v>152</v>
      </c>
      <c r="C41" s="147">
        <v>0</v>
      </c>
      <c r="D41" s="147">
        <f t="shared" ref="D41:D47" si="6">C41</f>
        <v>0</v>
      </c>
      <c r="E41" s="147">
        <f t="shared" si="5"/>
        <v>0</v>
      </c>
      <c r="F41" s="147">
        <f t="shared" si="5"/>
        <v>0</v>
      </c>
      <c r="G41" s="147">
        <f t="shared" si="5"/>
        <v>0</v>
      </c>
      <c r="H41" s="147">
        <f t="shared" si="5"/>
        <v>0</v>
      </c>
      <c r="I41" s="147">
        <f t="shared" si="5"/>
        <v>0</v>
      </c>
      <c r="J41" s="147">
        <f t="shared" ref="J41:J47" si="7">+I41</f>
        <v>0</v>
      </c>
      <c r="K41" s="147">
        <f t="shared" si="5"/>
        <v>0</v>
      </c>
      <c r="L41" s="147">
        <f t="shared" si="5"/>
        <v>0</v>
      </c>
      <c r="M41" s="147">
        <f t="shared" si="5"/>
        <v>0</v>
      </c>
      <c r="N41" s="147">
        <f t="shared" si="5"/>
        <v>0</v>
      </c>
      <c r="O41" s="18">
        <f t="shared" si="4"/>
        <v>0</v>
      </c>
    </row>
    <row r="42" spans="1:16" ht="15" customHeight="1" x14ac:dyDescent="0.2">
      <c r="A42" s="854"/>
      <c r="B42" s="27" t="s">
        <v>153</v>
      </c>
      <c r="C42" s="28">
        <v>0</v>
      </c>
      <c r="D42" s="147">
        <f t="shared" si="6"/>
        <v>0</v>
      </c>
      <c r="E42" s="147">
        <f t="shared" si="5"/>
        <v>0</v>
      </c>
      <c r="F42" s="147">
        <f t="shared" si="5"/>
        <v>0</v>
      </c>
      <c r="G42" s="147">
        <f t="shared" si="5"/>
        <v>0</v>
      </c>
      <c r="H42" s="147">
        <f t="shared" si="5"/>
        <v>0</v>
      </c>
      <c r="I42" s="147">
        <f t="shared" si="5"/>
        <v>0</v>
      </c>
      <c r="J42" s="147">
        <f t="shared" si="7"/>
        <v>0</v>
      </c>
      <c r="K42" s="147">
        <f t="shared" si="5"/>
        <v>0</v>
      </c>
      <c r="L42" s="147">
        <f t="shared" si="5"/>
        <v>0</v>
      </c>
      <c r="M42" s="147">
        <f t="shared" si="5"/>
        <v>0</v>
      </c>
      <c r="N42" s="147">
        <f t="shared" si="5"/>
        <v>0</v>
      </c>
      <c r="O42" s="18">
        <f t="shared" si="4"/>
        <v>0</v>
      </c>
    </row>
    <row r="43" spans="1:16" ht="15" customHeight="1" x14ac:dyDescent="0.2">
      <c r="A43" s="854"/>
      <c r="B43" s="27" t="s">
        <v>154</v>
      </c>
      <c r="C43" s="28">
        <v>17000</v>
      </c>
      <c r="D43" s="147">
        <f t="shared" si="6"/>
        <v>17000</v>
      </c>
      <c r="E43" s="147">
        <f t="shared" si="5"/>
        <v>17000</v>
      </c>
      <c r="F43" s="147">
        <f t="shared" si="5"/>
        <v>17000</v>
      </c>
      <c r="G43" s="147">
        <f t="shared" si="5"/>
        <v>17000</v>
      </c>
      <c r="H43" s="147">
        <f t="shared" si="5"/>
        <v>17000</v>
      </c>
      <c r="I43" s="147">
        <f t="shared" si="5"/>
        <v>17000</v>
      </c>
      <c r="J43" s="147">
        <f t="shared" si="7"/>
        <v>17000</v>
      </c>
      <c r="K43" s="147">
        <f t="shared" si="5"/>
        <v>17000</v>
      </c>
      <c r="L43" s="147">
        <f t="shared" si="5"/>
        <v>17000</v>
      </c>
      <c r="M43" s="147">
        <f t="shared" si="5"/>
        <v>17000</v>
      </c>
      <c r="N43" s="147">
        <f t="shared" si="5"/>
        <v>17000</v>
      </c>
      <c r="O43" s="18">
        <f t="shared" si="4"/>
        <v>204000</v>
      </c>
    </row>
    <row r="44" spans="1:16" ht="15" customHeight="1" x14ac:dyDescent="0.2">
      <c r="A44" s="854"/>
      <c r="B44" s="27" t="s">
        <v>155</v>
      </c>
      <c r="C44" s="28">
        <v>200</v>
      </c>
      <c r="D44" s="147">
        <f t="shared" si="6"/>
        <v>200</v>
      </c>
      <c r="E44" s="147">
        <f t="shared" si="5"/>
        <v>200</v>
      </c>
      <c r="F44" s="147">
        <f t="shared" si="5"/>
        <v>200</v>
      </c>
      <c r="G44" s="147">
        <f t="shared" si="5"/>
        <v>200</v>
      </c>
      <c r="H44" s="147">
        <f t="shared" si="5"/>
        <v>200</v>
      </c>
      <c r="I44" s="147">
        <f t="shared" si="5"/>
        <v>200</v>
      </c>
      <c r="J44" s="147">
        <f t="shared" si="7"/>
        <v>200</v>
      </c>
      <c r="K44" s="147">
        <f t="shared" si="5"/>
        <v>200</v>
      </c>
      <c r="L44" s="147">
        <f t="shared" si="5"/>
        <v>200</v>
      </c>
      <c r="M44" s="147">
        <f t="shared" si="5"/>
        <v>200</v>
      </c>
      <c r="N44" s="147">
        <v>300</v>
      </c>
      <c r="O44" s="18">
        <f t="shared" si="4"/>
        <v>2500</v>
      </c>
    </row>
    <row r="45" spans="1:16" ht="15" customHeight="1" x14ac:dyDescent="0.2">
      <c r="A45" s="854"/>
      <c r="B45" s="27" t="s">
        <v>156</v>
      </c>
      <c r="C45" s="28">
        <v>0</v>
      </c>
      <c r="D45" s="147">
        <f t="shared" si="6"/>
        <v>0</v>
      </c>
      <c r="E45" s="147">
        <f t="shared" si="5"/>
        <v>0</v>
      </c>
      <c r="F45" s="147">
        <f t="shared" si="5"/>
        <v>0</v>
      </c>
      <c r="G45" s="147">
        <f t="shared" si="5"/>
        <v>0</v>
      </c>
      <c r="H45" s="147">
        <f t="shared" si="5"/>
        <v>0</v>
      </c>
      <c r="I45" s="147">
        <f t="shared" si="5"/>
        <v>0</v>
      </c>
      <c r="J45" s="147">
        <f t="shared" si="7"/>
        <v>0</v>
      </c>
      <c r="K45" s="147">
        <f t="shared" si="5"/>
        <v>0</v>
      </c>
      <c r="L45" s="147">
        <f t="shared" si="5"/>
        <v>0</v>
      </c>
      <c r="M45" s="147">
        <f t="shared" si="5"/>
        <v>0</v>
      </c>
      <c r="N45" s="147">
        <f t="shared" si="5"/>
        <v>0</v>
      </c>
      <c r="O45" s="18">
        <f t="shared" si="4"/>
        <v>0</v>
      </c>
    </row>
    <row r="46" spans="1:16" ht="15" customHeight="1" x14ac:dyDescent="0.2">
      <c r="A46" s="854"/>
      <c r="B46" s="27" t="s">
        <v>157</v>
      </c>
      <c r="C46" s="28">
        <v>0</v>
      </c>
      <c r="D46" s="147">
        <f t="shared" si="6"/>
        <v>0</v>
      </c>
      <c r="E46" s="147">
        <f t="shared" si="5"/>
        <v>0</v>
      </c>
      <c r="F46" s="147">
        <f t="shared" si="5"/>
        <v>0</v>
      </c>
      <c r="G46" s="147">
        <f t="shared" si="5"/>
        <v>0</v>
      </c>
      <c r="H46" s="147">
        <f t="shared" si="5"/>
        <v>0</v>
      </c>
      <c r="I46" s="147">
        <f t="shared" si="5"/>
        <v>0</v>
      </c>
      <c r="J46" s="147">
        <f t="shared" si="7"/>
        <v>0</v>
      </c>
      <c r="K46" s="147">
        <f t="shared" si="5"/>
        <v>0</v>
      </c>
      <c r="L46" s="147">
        <f t="shared" si="5"/>
        <v>0</v>
      </c>
      <c r="M46" s="147">
        <f t="shared" si="5"/>
        <v>0</v>
      </c>
      <c r="N46" s="147">
        <f t="shared" si="5"/>
        <v>0</v>
      </c>
      <c r="O46" s="18">
        <f t="shared" si="4"/>
        <v>0</v>
      </c>
    </row>
    <row r="47" spans="1:16" ht="28.5" customHeight="1" x14ac:dyDescent="0.2">
      <c r="A47" s="855"/>
      <c r="B47" s="30" t="s">
        <v>158</v>
      </c>
      <c r="C47" s="256">
        <v>0</v>
      </c>
      <c r="D47" s="315">
        <f t="shared" si="6"/>
        <v>0</v>
      </c>
      <c r="E47" s="315">
        <f t="shared" si="5"/>
        <v>0</v>
      </c>
      <c r="F47" s="315">
        <f t="shared" si="5"/>
        <v>0</v>
      </c>
      <c r="G47" s="315">
        <f t="shared" si="5"/>
        <v>0</v>
      </c>
      <c r="H47" s="315">
        <f t="shared" si="5"/>
        <v>0</v>
      </c>
      <c r="I47" s="315">
        <f t="shared" si="5"/>
        <v>0</v>
      </c>
      <c r="J47" s="315">
        <f t="shared" si="7"/>
        <v>0</v>
      </c>
      <c r="K47" s="315">
        <f t="shared" si="5"/>
        <v>0</v>
      </c>
      <c r="L47" s="315">
        <f t="shared" si="5"/>
        <v>0</v>
      </c>
      <c r="M47" s="315">
        <f t="shared" si="5"/>
        <v>0</v>
      </c>
      <c r="N47" s="315">
        <f t="shared" si="5"/>
        <v>0</v>
      </c>
      <c r="O47" s="31">
        <f t="shared" si="4"/>
        <v>0</v>
      </c>
    </row>
    <row r="48" spans="1:16" ht="15" x14ac:dyDescent="0.2">
      <c r="A48" s="856"/>
      <c r="B48" s="127" t="s">
        <v>479</v>
      </c>
      <c r="C48" s="293">
        <v>0</v>
      </c>
      <c r="D48" s="147">
        <v>0</v>
      </c>
      <c r="E48" s="147">
        <v>0</v>
      </c>
      <c r="F48" s="147">
        <v>0</v>
      </c>
      <c r="G48" s="147">
        <f>F48</f>
        <v>0</v>
      </c>
      <c r="H48" s="147">
        <f>G48</f>
        <v>0</v>
      </c>
      <c r="I48" s="147">
        <f>H48</f>
        <v>0</v>
      </c>
      <c r="J48" s="147">
        <f>+I48</f>
        <v>0</v>
      </c>
      <c r="K48" s="147">
        <f>J48</f>
        <v>0</v>
      </c>
      <c r="L48" s="147">
        <f>K48</f>
        <v>0</v>
      </c>
      <c r="M48" s="147">
        <f>L48</f>
        <v>0</v>
      </c>
      <c r="N48" s="147">
        <f>M48</f>
        <v>0</v>
      </c>
      <c r="O48" s="31">
        <f t="shared" si="4"/>
        <v>0</v>
      </c>
    </row>
    <row r="49" spans="1:19" ht="15" x14ac:dyDescent="0.2">
      <c r="A49" s="857" t="s">
        <v>160</v>
      </c>
      <c r="B49" s="858"/>
      <c r="C49" s="33">
        <f t="shared" ref="C49:N49" si="8">SUM(C38:C48)</f>
        <v>20560</v>
      </c>
      <c r="D49" s="33">
        <f t="shared" si="8"/>
        <v>20260</v>
      </c>
      <c r="E49" s="33">
        <f t="shared" si="8"/>
        <v>20260</v>
      </c>
      <c r="F49" s="33">
        <f t="shared" si="8"/>
        <v>20260</v>
      </c>
      <c r="G49" s="33">
        <f t="shared" si="8"/>
        <v>20260</v>
      </c>
      <c r="H49" s="33">
        <f t="shared" si="8"/>
        <v>20260</v>
      </c>
      <c r="I49" s="33">
        <f t="shared" si="8"/>
        <v>20260</v>
      </c>
      <c r="J49" s="33">
        <f t="shared" si="8"/>
        <v>20260</v>
      </c>
      <c r="K49" s="33">
        <f t="shared" si="8"/>
        <v>27260</v>
      </c>
      <c r="L49" s="33">
        <f t="shared" si="8"/>
        <v>26535</v>
      </c>
      <c r="M49" s="33">
        <f t="shared" si="8"/>
        <v>26535</v>
      </c>
      <c r="N49" s="33">
        <f t="shared" si="8"/>
        <v>27230</v>
      </c>
      <c r="O49" s="34">
        <f t="shared" si="4"/>
        <v>269940</v>
      </c>
    </row>
    <row r="50" spans="1:19" ht="15.75" thickBot="1" x14ac:dyDescent="0.25">
      <c r="A50" s="859" t="s">
        <v>161</v>
      </c>
      <c r="B50" s="860"/>
      <c r="C50" s="35">
        <f t="shared" ref="C50:N50" si="9">C37-C49</f>
        <v>50300</v>
      </c>
      <c r="D50" s="35">
        <f t="shared" si="9"/>
        <v>55048</v>
      </c>
      <c r="E50" s="35">
        <f t="shared" si="9"/>
        <v>51712</v>
      </c>
      <c r="F50" s="35">
        <f t="shared" si="9"/>
        <v>51712</v>
      </c>
      <c r="G50" s="35">
        <f t="shared" si="9"/>
        <v>55904</v>
      </c>
      <c r="H50" s="35">
        <f t="shared" si="9"/>
        <v>55904</v>
      </c>
      <c r="I50" s="35">
        <f t="shared" si="9"/>
        <v>59847</v>
      </c>
      <c r="J50" s="35">
        <f t="shared" si="9"/>
        <v>71459</v>
      </c>
      <c r="K50" s="35">
        <f t="shared" si="9"/>
        <v>54023</v>
      </c>
      <c r="L50" s="35">
        <f t="shared" si="9"/>
        <v>54748</v>
      </c>
      <c r="M50" s="35">
        <f t="shared" si="9"/>
        <v>50805</v>
      </c>
      <c r="N50" s="35">
        <f t="shared" si="9"/>
        <v>50110</v>
      </c>
      <c r="O50" s="36">
        <f t="shared" si="4"/>
        <v>661572</v>
      </c>
    </row>
    <row r="51" spans="1:19" x14ac:dyDescent="0.2">
      <c r="J51" s="300">
        <f>+J37-SUM(J22:J36)</f>
        <v>77340</v>
      </c>
      <c r="Q51" s="38"/>
    </row>
    <row r="52" spans="1:19" ht="13.5" thickBot="1" x14ac:dyDescent="0.25">
      <c r="J52" s="38">
        <f>+J51-J49</f>
        <v>57080</v>
      </c>
    </row>
    <row r="53" spans="1:19" ht="13.5" thickBot="1" x14ac:dyDescent="0.25">
      <c r="B53" s="789" t="s">
        <v>162</v>
      </c>
      <c r="C53" s="861"/>
      <c r="D53" s="861"/>
      <c r="E53" s="861"/>
      <c r="F53" s="862"/>
      <c r="G53" s="863">
        <f>O37</f>
        <v>931512</v>
      </c>
      <c r="H53" s="864"/>
    </row>
    <row r="54" spans="1:19" ht="13.5" thickBot="1" x14ac:dyDescent="0.25"/>
    <row r="55" spans="1:19" x14ac:dyDescent="0.2">
      <c r="B55" s="830" t="s">
        <v>163</v>
      </c>
      <c r="C55" s="833" t="s">
        <v>164</v>
      </c>
      <c r="D55" s="836" t="s">
        <v>811</v>
      </c>
      <c r="E55" s="837"/>
      <c r="F55" s="838"/>
      <c r="G55" s="839">
        <v>40000</v>
      </c>
      <c r="H55" s="840"/>
    </row>
    <row r="56" spans="1:19" x14ac:dyDescent="0.2">
      <c r="B56" s="831"/>
      <c r="C56" s="834"/>
      <c r="D56" s="841" t="s">
        <v>166</v>
      </c>
      <c r="E56" s="842"/>
      <c r="F56" s="843"/>
      <c r="G56" s="844">
        <f>+O44</f>
        <v>2500</v>
      </c>
      <c r="H56" s="845"/>
      <c r="I56" s="39"/>
      <c r="J56" s="846"/>
      <c r="K56" s="846"/>
      <c r="L56" s="846"/>
      <c r="M56" s="847"/>
      <c r="N56" s="847"/>
      <c r="O56" s="847"/>
    </row>
    <row r="57" spans="1:19" ht="13.5" thickBot="1" x14ac:dyDescent="0.25">
      <c r="B57" s="832"/>
      <c r="C57" s="835"/>
      <c r="D57" s="848" t="s">
        <v>266</v>
      </c>
      <c r="E57" s="849"/>
      <c r="F57" s="850"/>
      <c r="G57" s="851">
        <v>0</v>
      </c>
      <c r="H57" s="852"/>
      <c r="J57" s="47"/>
      <c r="K57" s="47"/>
      <c r="L57" s="47"/>
      <c r="M57" s="47"/>
      <c r="N57" s="47"/>
      <c r="O57" s="47"/>
    </row>
    <row r="58" spans="1:19" ht="13.5" thickBot="1" x14ac:dyDescent="0.25">
      <c r="B58" s="48"/>
      <c r="J58" s="47"/>
      <c r="K58" s="47"/>
      <c r="L58" s="47"/>
      <c r="M58" s="47"/>
      <c r="N58" s="47"/>
      <c r="O58" s="47"/>
    </row>
    <row r="59" spans="1:19" ht="13.5" thickBot="1" x14ac:dyDescent="0.25">
      <c r="B59" s="789" t="s">
        <v>168</v>
      </c>
      <c r="C59" s="790"/>
      <c r="D59" s="790"/>
      <c r="E59" s="790"/>
      <c r="F59" s="791"/>
      <c r="G59" s="825">
        <f>+G53-SUM(G55:H57)</f>
        <v>889012</v>
      </c>
      <c r="H59" s="826"/>
      <c r="J59" s="827" t="s">
        <v>169</v>
      </c>
      <c r="K59" s="828"/>
      <c r="L59" s="828"/>
      <c r="M59" s="828"/>
      <c r="N59" s="828"/>
      <c r="O59" s="829"/>
    </row>
    <row r="60" spans="1:19" ht="13.5" thickBot="1" x14ac:dyDescent="0.25">
      <c r="B60" s="49"/>
      <c r="C60" s="50"/>
      <c r="D60" s="50"/>
      <c r="E60" s="50"/>
      <c r="F60" s="50"/>
      <c r="G60" s="45"/>
      <c r="H60" s="50"/>
      <c r="J60" s="129"/>
      <c r="K60" s="130"/>
      <c r="L60" s="130"/>
      <c r="M60" s="130"/>
      <c r="N60" s="130"/>
      <c r="O60" s="131"/>
    </row>
    <row r="61" spans="1:19" ht="13.5" thickBot="1" x14ac:dyDescent="0.25">
      <c r="B61" s="789" t="s">
        <v>170</v>
      </c>
      <c r="C61" s="790"/>
      <c r="D61" s="790"/>
      <c r="E61" s="790"/>
      <c r="F61" s="791"/>
      <c r="G61" s="805"/>
      <c r="H61" s="791"/>
      <c r="J61" s="129"/>
      <c r="K61" s="130"/>
      <c r="L61" s="130"/>
      <c r="M61" s="130"/>
      <c r="N61" s="130"/>
      <c r="O61" s="131"/>
    </row>
    <row r="62" spans="1:19" ht="12.75" customHeight="1" x14ac:dyDescent="0.2">
      <c r="B62" s="57" t="s">
        <v>171</v>
      </c>
      <c r="C62" s="806" t="s">
        <v>172</v>
      </c>
      <c r="D62" s="807"/>
      <c r="E62" s="807"/>
      <c r="F62" s="808"/>
      <c r="G62" s="809">
        <v>0</v>
      </c>
      <c r="H62" s="809"/>
      <c r="I62" s="58"/>
      <c r="J62" s="810" t="s">
        <v>173</v>
      </c>
      <c r="K62" s="811"/>
      <c r="L62" s="811"/>
      <c r="M62" s="811"/>
      <c r="N62" s="811"/>
      <c r="O62" s="812"/>
      <c r="Q62" s="59"/>
      <c r="R62" s="59"/>
      <c r="S62" s="59"/>
    </row>
    <row r="63" spans="1:19" ht="13.5" thickBot="1" x14ac:dyDescent="0.25">
      <c r="D63" s="37"/>
      <c r="I63" s="58"/>
      <c r="J63" s="60" t="s">
        <v>833</v>
      </c>
      <c r="K63" s="132"/>
      <c r="L63" s="132"/>
      <c r="M63" s="133"/>
      <c r="N63" s="133"/>
      <c r="O63" s="134"/>
      <c r="Q63" s="59"/>
      <c r="R63" s="59"/>
      <c r="S63" s="59"/>
    </row>
    <row r="64" spans="1:19" ht="13.5" thickBot="1" x14ac:dyDescent="0.25">
      <c r="B64" s="789" t="s">
        <v>175</v>
      </c>
      <c r="C64" s="790"/>
      <c r="D64" s="790"/>
      <c r="E64" s="790"/>
      <c r="F64" s="791"/>
      <c r="G64" s="805">
        <f>+G59-G62</f>
        <v>889012</v>
      </c>
      <c r="H64" s="791"/>
      <c r="I64" s="63"/>
      <c r="J64" s="75" t="s">
        <v>834</v>
      </c>
      <c r="K64" s="39"/>
      <c r="L64" s="39"/>
      <c r="M64" s="39"/>
      <c r="N64" s="39"/>
      <c r="O64" s="65"/>
      <c r="Q64" s="59"/>
      <c r="R64" s="59"/>
      <c r="S64" s="59"/>
    </row>
    <row r="65" spans="2:19" ht="12.75" customHeight="1" x14ac:dyDescent="0.2">
      <c r="B65" s="48"/>
      <c r="C65" s="48"/>
      <c r="I65" s="63"/>
      <c r="J65" s="64"/>
      <c r="K65" s="39"/>
      <c r="L65" s="39"/>
      <c r="M65" s="39"/>
      <c r="N65" s="39"/>
      <c r="O65" s="65"/>
      <c r="Q65" s="59"/>
      <c r="R65" s="59"/>
      <c r="S65" s="59"/>
    </row>
    <row r="66" spans="2:19" x14ac:dyDescent="0.2">
      <c r="B66" s="66" t="s">
        <v>176</v>
      </c>
      <c r="C66" s="48"/>
      <c r="I66" s="63"/>
      <c r="J66" s="67"/>
      <c r="K66" s="68"/>
      <c r="L66" s="68"/>
      <c r="M66" s="68"/>
      <c r="N66" s="68"/>
      <c r="O66" s="69"/>
      <c r="Q66" s="59"/>
      <c r="R66" s="59"/>
      <c r="S66" s="59"/>
    </row>
    <row r="67" spans="2:19" ht="27" customHeight="1" thickBot="1" x14ac:dyDescent="0.25">
      <c r="B67" s="66"/>
      <c r="C67" s="48"/>
      <c r="G67" s="70" t="s">
        <v>177</v>
      </c>
      <c r="H67" s="70" t="s">
        <v>178</v>
      </c>
      <c r="I67" s="63"/>
      <c r="J67" s="810" t="s">
        <v>179</v>
      </c>
      <c r="K67" s="811"/>
      <c r="L67" s="71"/>
      <c r="M67" s="71"/>
      <c r="N67" s="71"/>
      <c r="O67" s="72"/>
      <c r="Q67" s="59"/>
      <c r="R67" s="59"/>
      <c r="S67" s="59"/>
    </row>
    <row r="68" spans="2:19" ht="12.75" customHeight="1" x14ac:dyDescent="0.2">
      <c r="B68" s="802" t="s">
        <v>180</v>
      </c>
      <c r="C68" s="821" t="s">
        <v>181</v>
      </c>
      <c r="D68" s="823" t="s">
        <v>182</v>
      </c>
      <c r="E68" s="824"/>
      <c r="F68" s="824"/>
      <c r="G68" s="73">
        <f>+O43</f>
        <v>204000</v>
      </c>
      <c r="H68" s="74">
        <f>+G68</f>
        <v>204000</v>
      </c>
      <c r="I68" s="63"/>
      <c r="J68" s="75" t="s">
        <v>183</v>
      </c>
      <c r="K68" s="58"/>
      <c r="L68" s="58"/>
      <c r="M68" s="58"/>
      <c r="N68" s="58"/>
      <c r="O68" s="76"/>
      <c r="Q68" s="59"/>
      <c r="R68" s="59"/>
      <c r="S68" s="59"/>
    </row>
    <row r="69" spans="2:19" ht="12.75" customHeight="1" x14ac:dyDescent="0.2">
      <c r="B69" s="803"/>
      <c r="C69" s="822"/>
      <c r="D69" s="782" t="s">
        <v>184</v>
      </c>
      <c r="E69" s="783"/>
      <c r="F69" s="783"/>
      <c r="G69" s="77">
        <f>+O47</f>
        <v>0</v>
      </c>
      <c r="H69" s="78">
        <f t="shared" ref="H69:H75" si="10">+G69</f>
        <v>0</v>
      </c>
      <c r="I69" s="63"/>
      <c r="J69" s="79"/>
      <c r="K69" s="68"/>
      <c r="L69" s="68"/>
      <c r="M69" s="68"/>
      <c r="N69" s="68"/>
      <c r="O69" s="69"/>
      <c r="Q69" s="59"/>
      <c r="R69" s="59"/>
      <c r="S69" s="59"/>
    </row>
    <row r="70" spans="2:19" ht="12.75" customHeight="1" x14ac:dyDescent="0.2">
      <c r="B70" s="803"/>
      <c r="C70" s="822"/>
      <c r="D70" s="819" t="s">
        <v>185</v>
      </c>
      <c r="E70" s="820"/>
      <c r="F70" s="820"/>
      <c r="G70" s="80">
        <f>O40</f>
        <v>720</v>
      </c>
      <c r="H70" s="78">
        <f t="shared" si="10"/>
        <v>720</v>
      </c>
      <c r="I70" s="63"/>
      <c r="J70" s="67"/>
      <c r="K70" s="68"/>
      <c r="L70" s="68"/>
      <c r="M70" s="68"/>
      <c r="N70" s="68"/>
      <c r="O70" s="69"/>
    </row>
    <row r="71" spans="2:19" x14ac:dyDescent="0.2">
      <c r="B71" s="803"/>
      <c r="C71" s="822"/>
      <c r="D71" s="782" t="s">
        <v>186</v>
      </c>
      <c r="E71" s="783"/>
      <c r="F71" s="783"/>
      <c r="G71" s="81">
        <v>0</v>
      </c>
      <c r="H71" s="78">
        <f t="shared" si="10"/>
        <v>0</v>
      </c>
      <c r="I71" s="63"/>
      <c r="J71" s="82" t="s">
        <v>187</v>
      </c>
      <c r="K71" s="71"/>
      <c r="L71" s="71"/>
      <c r="M71" s="71"/>
      <c r="N71" s="71"/>
      <c r="O71" s="72"/>
    </row>
    <row r="72" spans="2:19" ht="12.75" customHeight="1" x14ac:dyDescent="0.2">
      <c r="B72" s="803"/>
      <c r="C72" s="822"/>
      <c r="D72" s="784" t="s">
        <v>188</v>
      </c>
      <c r="E72" s="783"/>
      <c r="F72" s="783"/>
      <c r="G72" s="80">
        <v>0</v>
      </c>
      <c r="H72" s="78">
        <f t="shared" si="10"/>
        <v>0</v>
      </c>
      <c r="I72" s="63"/>
      <c r="J72" s="75" t="s">
        <v>189</v>
      </c>
      <c r="K72" s="50"/>
      <c r="L72" s="50"/>
      <c r="M72" s="50"/>
      <c r="N72" s="50"/>
      <c r="O72" s="83">
        <v>0</v>
      </c>
    </row>
    <row r="73" spans="2:19" ht="14.25" customHeight="1" x14ac:dyDescent="0.2">
      <c r="B73" s="803"/>
      <c r="C73" s="822"/>
      <c r="D73" s="782" t="s">
        <v>190</v>
      </c>
      <c r="E73" s="783"/>
      <c r="F73" s="783"/>
      <c r="G73" s="84">
        <v>0</v>
      </c>
      <c r="H73" s="78">
        <f t="shared" si="10"/>
        <v>0</v>
      </c>
      <c r="I73" s="63"/>
      <c r="J73" s="64"/>
      <c r="K73" s="39"/>
      <c r="L73" s="39"/>
      <c r="M73" s="39"/>
      <c r="N73" s="39"/>
      <c r="O73" s="65"/>
    </row>
    <row r="74" spans="2:19" x14ac:dyDescent="0.2">
      <c r="B74" s="803"/>
      <c r="C74" s="822"/>
      <c r="D74" s="782" t="s">
        <v>191</v>
      </c>
      <c r="E74" s="783"/>
      <c r="F74" s="783"/>
      <c r="G74" s="81">
        <v>0</v>
      </c>
      <c r="H74" s="78">
        <f t="shared" si="10"/>
        <v>0</v>
      </c>
      <c r="I74" s="58"/>
      <c r="J74" s="150"/>
      <c r="K74" s="50"/>
      <c r="L74" s="50"/>
      <c r="M74" s="50"/>
      <c r="N74" s="50"/>
      <c r="O74" s="83"/>
    </row>
    <row r="75" spans="2:19" x14ac:dyDescent="0.2">
      <c r="B75" s="803"/>
      <c r="C75" s="88" t="s">
        <v>192</v>
      </c>
      <c r="D75" s="813" t="s">
        <v>193</v>
      </c>
      <c r="E75" s="814"/>
      <c r="F75" s="814"/>
      <c r="G75" s="80">
        <v>0</v>
      </c>
      <c r="H75" s="78">
        <f t="shared" si="10"/>
        <v>0</v>
      </c>
      <c r="I75" s="58"/>
      <c r="J75" s="79"/>
      <c r="K75" s="39"/>
      <c r="L75" s="39"/>
      <c r="M75" s="39"/>
      <c r="N75" s="39"/>
      <c r="O75" s="65"/>
    </row>
    <row r="76" spans="2:19" ht="13.5" customHeight="1" thickBot="1" x14ac:dyDescent="0.25">
      <c r="B76" s="803"/>
      <c r="C76" s="88" t="s">
        <v>194</v>
      </c>
      <c r="D76" s="815" t="s">
        <v>195</v>
      </c>
      <c r="E76" s="815"/>
      <c r="F76" s="815"/>
      <c r="G76" s="89">
        <v>0</v>
      </c>
      <c r="H76" s="90">
        <f>+G76</f>
        <v>0</v>
      </c>
      <c r="I76" s="63"/>
      <c r="J76" s="67"/>
      <c r="K76" s="68"/>
      <c r="L76" s="68"/>
      <c r="M76" s="91"/>
      <c r="N76" s="91"/>
      <c r="O76" s="92"/>
    </row>
    <row r="77" spans="2:19" ht="13.5" thickBot="1" x14ac:dyDescent="0.25">
      <c r="B77" s="803"/>
      <c r="C77" s="93"/>
      <c r="D77" s="94"/>
      <c r="E77" s="816" t="s">
        <v>117</v>
      </c>
      <c r="F77" s="817"/>
      <c r="G77" s="95">
        <f>SUM(G68:G76)</f>
        <v>204720</v>
      </c>
      <c r="H77" s="96">
        <f>IF(SUM(G68:G74)&lt;150000,SUM(G68:G74),150000)+IF(+G75&lt;20000,+G75,20000)</f>
        <v>150000</v>
      </c>
      <c r="I77" s="63"/>
      <c r="J77" s="140"/>
      <c r="K77" s="141"/>
      <c r="L77" s="141"/>
      <c r="M77" s="142"/>
      <c r="N77" s="142"/>
      <c r="O77" s="143"/>
    </row>
    <row r="78" spans="2:19" ht="12.75" customHeight="1" x14ac:dyDescent="0.2">
      <c r="B78" s="803"/>
      <c r="C78" s="100" t="s">
        <v>196</v>
      </c>
      <c r="D78" s="782" t="s">
        <v>187</v>
      </c>
      <c r="E78" s="783"/>
      <c r="F78" s="818"/>
      <c r="G78" s="73">
        <f>+O42</f>
        <v>0</v>
      </c>
      <c r="H78" s="221">
        <f>+IF(+G78&lt;25000,+G78,25000)</f>
        <v>0</v>
      </c>
      <c r="I78" s="87"/>
    </row>
    <row r="79" spans="2:19" x14ac:dyDescent="0.2">
      <c r="B79" s="803"/>
      <c r="C79" s="100" t="s">
        <v>197</v>
      </c>
      <c r="D79" s="784" t="s">
        <v>198</v>
      </c>
      <c r="E79" s="785"/>
      <c r="F79" s="786"/>
      <c r="G79" s="102"/>
      <c r="H79" s="222">
        <f>+IF(+G79&lt;40000,+G79,40000)</f>
        <v>0</v>
      </c>
      <c r="I79" s="63"/>
    </row>
    <row r="80" spans="2:19" x14ac:dyDescent="0.2">
      <c r="B80" s="803"/>
      <c r="C80" s="100" t="s">
        <v>199</v>
      </c>
      <c r="D80" s="784" t="s">
        <v>200</v>
      </c>
      <c r="E80" s="785"/>
      <c r="F80" s="786"/>
      <c r="G80" s="81"/>
      <c r="H80" s="104">
        <v>0</v>
      </c>
      <c r="I80" s="63"/>
      <c r="J80" s="172"/>
      <c r="K80" s="172"/>
    </row>
    <row r="81" spans="2:12" x14ac:dyDescent="0.2">
      <c r="B81" s="803"/>
      <c r="C81" s="100" t="s">
        <v>201</v>
      </c>
      <c r="D81" s="784" t="s">
        <v>202</v>
      </c>
      <c r="E81" s="785"/>
      <c r="F81" s="786"/>
      <c r="G81" s="81"/>
      <c r="H81" s="104">
        <v>0</v>
      </c>
      <c r="I81" s="63"/>
    </row>
    <row r="82" spans="2:12" ht="13.5" thickBot="1" x14ac:dyDescent="0.25">
      <c r="B82" s="804"/>
      <c r="C82" s="100" t="s">
        <v>203</v>
      </c>
      <c r="D82" s="784" t="s">
        <v>204</v>
      </c>
      <c r="E82" s="785"/>
      <c r="F82" s="786"/>
      <c r="G82" s="102"/>
      <c r="H82" s="222">
        <f>+IF(+G82&lt;100000,+G82,10000)</f>
        <v>0</v>
      </c>
      <c r="I82" s="63"/>
      <c r="J82" s="106"/>
    </row>
    <row r="83" spans="2:12" ht="13.5" thickBot="1" x14ac:dyDescent="0.25">
      <c r="B83" s="787" t="s">
        <v>205</v>
      </c>
      <c r="C83" s="788"/>
      <c r="D83" s="788"/>
      <c r="E83" s="788"/>
      <c r="F83" s="788"/>
      <c r="G83" s="107">
        <f>SUM(G78:G82)</f>
        <v>0</v>
      </c>
      <c r="H83" s="108">
        <f>SUM(H77:H82)</f>
        <v>150000</v>
      </c>
    </row>
    <row r="84" spans="2:12" ht="13.5" thickBot="1" x14ac:dyDescent="0.25"/>
    <row r="85" spans="2:12" ht="13.5" thickBot="1" x14ac:dyDescent="0.25">
      <c r="B85" s="789" t="s">
        <v>206</v>
      </c>
      <c r="C85" s="790"/>
      <c r="D85" s="790"/>
      <c r="E85" s="790"/>
      <c r="F85" s="791"/>
      <c r="G85" s="1055">
        <f>ROUND(+G64-H83,-1)</f>
        <v>739010</v>
      </c>
      <c r="H85" s="1056"/>
      <c r="J85" s="109">
        <f>C37+D37+E37+F37</f>
        <v>290112</v>
      </c>
      <c r="K85" s="16" t="s">
        <v>235</v>
      </c>
    </row>
    <row r="86" spans="2:12" x14ac:dyDescent="0.2">
      <c r="B86" s="110"/>
      <c r="F86" s="105"/>
      <c r="J86" s="109">
        <f>G37+H37+I37</f>
        <v>232435</v>
      </c>
      <c r="K86" s="16" t="s">
        <v>236</v>
      </c>
    </row>
    <row r="87" spans="2:12" x14ac:dyDescent="0.2">
      <c r="C87" s="793" t="s">
        <v>207</v>
      </c>
      <c r="D87" s="794"/>
      <c r="E87" s="111" t="s">
        <v>208</v>
      </c>
      <c r="F87" s="111" t="s">
        <v>209</v>
      </c>
      <c r="G87" s="111" t="s">
        <v>210</v>
      </c>
      <c r="H87" s="111" t="s">
        <v>211</v>
      </c>
      <c r="J87" s="109">
        <f>J37+K37+L37</f>
        <v>254285</v>
      </c>
      <c r="K87" s="47" t="s">
        <v>237</v>
      </c>
    </row>
    <row r="88" spans="2:12" x14ac:dyDescent="0.2">
      <c r="C88" s="795" t="str">
        <f>IF(I6="M","0          - 250000","0          -  250000")</f>
        <v>0          -  250000</v>
      </c>
      <c r="D88" s="796"/>
      <c r="E88" s="112">
        <v>0</v>
      </c>
      <c r="F88" s="113">
        <f>IF(I6="M",(IF(G85&lt;250000,G85,250000)),(IF(G85&lt;250000,G85,250000)))</f>
        <v>250000</v>
      </c>
      <c r="G88" s="113">
        <f>G85-F88</f>
        <v>489010</v>
      </c>
      <c r="H88" s="113">
        <f>E88*F88</f>
        <v>0</v>
      </c>
      <c r="J88" s="16">
        <f>M37+N37</f>
        <v>154680</v>
      </c>
      <c r="K88" s="1" t="s">
        <v>238</v>
      </c>
      <c r="L88" s="16">
        <f>+J88/2</f>
        <v>77340</v>
      </c>
    </row>
    <row r="89" spans="2:12" x14ac:dyDescent="0.2">
      <c r="C89" s="795" t="str">
        <f>IF(I6="M","250001 - 500000","250001-500000")</f>
        <v>250001-500000</v>
      </c>
      <c r="D89" s="796"/>
      <c r="E89" s="112">
        <v>0.05</v>
      </c>
      <c r="F89" s="113">
        <f>IF(I6="M",(IF(G88&lt;250000,G88,250000)),(IF(G88&lt;250000,G88,250000)))</f>
        <v>250000</v>
      </c>
      <c r="G89" s="113">
        <f>G88-F89</f>
        <v>239010</v>
      </c>
      <c r="H89" s="114">
        <f>ROUND(E89*F89,0.1)</f>
        <v>12500</v>
      </c>
      <c r="J89" s="115">
        <f>SUM(J85:J88)</f>
        <v>931512</v>
      </c>
    </row>
    <row r="90" spans="2:12" x14ac:dyDescent="0.2">
      <c r="C90" s="797" t="s">
        <v>212</v>
      </c>
      <c r="D90" s="798"/>
      <c r="E90" s="112">
        <v>0.2</v>
      </c>
      <c r="F90" s="113">
        <f>IF(G89&lt;500000,G89,500000)</f>
        <v>239010</v>
      </c>
      <c r="G90" s="113">
        <f>G89-F90</f>
        <v>0</v>
      </c>
      <c r="H90" s="114">
        <f>ROUND(E90*F90,0.1)</f>
        <v>47802</v>
      </c>
      <c r="J90" s="16">
        <f>+G85</f>
        <v>739010</v>
      </c>
    </row>
    <row r="91" spans="2:12" x14ac:dyDescent="0.2">
      <c r="C91" s="795" t="s">
        <v>213</v>
      </c>
      <c r="D91" s="796"/>
      <c r="E91" s="112">
        <v>0.3</v>
      </c>
      <c r="F91" s="113">
        <f>G90</f>
        <v>0</v>
      </c>
      <c r="G91" s="113">
        <f>G90-F91</f>
        <v>0</v>
      </c>
      <c r="H91" s="114">
        <f>ROUND(E91*F91,0.1)</f>
        <v>0</v>
      </c>
      <c r="J91" s="16">
        <f>+J89-J90</f>
        <v>192502</v>
      </c>
      <c r="K91" s="1"/>
    </row>
    <row r="92" spans="2:12" ht="12.75" customHeight="1" thickBot="1" x14ac:dyDescent="0.25">
      <c r="B92" s="116"/>
      <c r="C92" s="117"/>
      <c r="D92" s="47"/>
      <c r="E92" s="47"/>
      <c r="F92" s="47"/>
      <c r="J92" s="87"/>
      <c r="K92" s="118"/>
    </row>
    <row r="93" spans="2:12" ht="14.25" customHeight="1" thickBot="1" x14ac:dyDescent="0.25">
      <c r="B93" s="799" t="s">
        <v>239</v>
      </c>
      <c r="C93" s="800"/>
      <c r="D93" s="800"/>
      <c r="E93" s="800"/>
      <c r="F93" s="801"/>
      <c r="G93" s="771">
        <f>H88+H89+H90+H91</f>
        <v>60302</v>
      </c>
      <c r="H93" s="772"/>
    </row>
    <row r="94" spans="2:12" ht="14.25" customHeight="1" thickBot="1" x14ac:dyDescent="0.25">
      <c r="B94" s="119" t="s">
        <v>215</v>
      </c>
      <c r="C94" s="120"/>
      <c r="D94" s="120"/>
      <c r="E94" s="120"/>
      <c r="F94" s="120"/>
      <c r="G94" s="884">
        <f>IF((G64&lt;500000),5000,0)</f>
        <v>0</v>
      </c>
      <c r="H94" s="885">
        <f>IF(H92&lt;200000,0,IF(H92&lt;220000,((H92-200000)*10%),IF(H92&lt;=500000,2000,IF(H92&gt;=500000,0))))</f>
        <v>0</v>
      </c>
    </row>
    <row r="95" spans="2:12" ht="14.25" customHeight="1" thickBot="1" x14ac:dyDescent="0.25">
      <c r="B95" s="122" t="s">
        <v>216</v>
      </c>
      <c r="C95" s="123"/>
      <c r="D95" s="123"/>
      <c r="E95" s="123"/>
      <c r="F95" s="123"/>
      <c r="G95" s="771">
        <f>IF((G93-G94)&lt;0,0,(G93-G94))</f>
        <v>60302</v>
      </c>
      <c r="H95" s="772"/>
    </row>
    <row r="96" spans="2:12" ht="14.25" customHeight="1" thickBot="1" x14ac:dyDescent="0.25">
      <c r="B96" s="773" t="s">
        <v>240</v>
      </c>
      <c r="C96" s="774"/>
      <c r="D96" s="774"/>
      <c r="E96" s="774"/>
      <c r="F96" s="775"/>
      <c r="G96" s="776">
        <f>ROUND((IF(G95&gt;0,(G95*4%),0)),0)</f>
        <v>2412</v>
      </c>
      <c r="H96" s="777"/>
    </row>
    <row r="97" spans="2:8" ht="14.25" customHeight="1" thickBot="1" x14ac:dyDescent="0.25">
      <c r="B97" s="778" t="s">
        <v>218</v>
      </c>
      <c r="C97" s="779"/>
      <c r="D97" s="779"/>
      <c r="E97" s="779"/>
      <c r="F97" s="779"/>
      <c r="G97" s="780">
        <f>+G95+G96</f>
        <v>62714</v>
      </c>
      <c r="H97" s="781"/>
    </row>
    <row r="98" spans="2:8" ht="13.5" thickBot="1" x14ac:dyDescent="0.25">
      <c r="B98" s="765" t="s">
        <v>219</v>
      </c>
      <c r="C98" s="766"/>
      <c r="D98" s="766"/>
      <c r="E98" s="766"/>
      <c r="F98" s="766"/>
      <c r="G98" s="767">
        <f>O38</f>
        <v>62720</v>
      </c>
      <c r="H98" s="768"/>
    </row>
    <row r="99" spans="2:8" ht="13.5" thickBot="1" x14ac:dyDescent="0.25">
      <c r="B99" s="765" t="str">
        <f>IF(G99&gt;0,"TAX PAYABLE","TAX REFUND")</f>
        <v>TAX REFUND</v>
      </c>
      <c r="C99" s="766"/>
      <c r="D99" s="766"/>
      <c r="E99" s="766"/>
      <c r="F99" s="766"/>
      <c r="G99" s="767">
        <f>+G97-G98</f>
        <v>-6</v>
      </c>
      <c r="H99" s="768"/>
    </row>
    <row r="100" spans="2:8" x14ac:dyDescent="0.2">
      <c r="C100" s="39"/>
      <c r="D100" s="126"/>
      <c r="E100" s="126"/>
      <c r="F100" s="39"/>
      <c r="G100" s="39"/>
      <c r="H100" s="39"/>
    </row>
    <row r="101" spans="2:8" x14ac:dyDescent="0.2">
      <c r="C101" s="39"/>
      <c r="D101" s="39"/>
      <c r="E101" s="39"/>
      <c r="F101" s="39"/>
      <c r="G101" s="39"/>
      <c r="H101" s="39"/>
    </row>
    <row r="102" spans="2:8" x14ac:dyDescent="0.2">
      <c r="C102" s="39"/>
      <c r="D102" s="39"/>
      <c r="E102" s="39"/>
      <c r="F102" s="39"/>
      <c r="G102" s="39"/>
      <c r="H102" s="39"/>
    </row>
    <row r="103" spans="2:8" x14ac:dyDescent="0.2">
      <c r="C103" s="39"/>
      <c r="D103" s="39"/>
      <c r="E103" s="39"/>
      <c r="F103" s="39"/>
      <c r="G103" s="39"/>
      <c r="H103" s="39"/>
    </row>
  </sheetData>
  <mergeCells count="92">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8:A48"/>
    <mergeCell ref="A5:C5"/>
    <mergeCell ref="D5:F5"/>
    <mergeCell ref="G5:H5"/>
    <mergeCell ref="I5:O5"/>
    <mergeCell ref="A6:C6"/>
    <mergeCell ref="D6:F6"/>
    <mergeCell ref="G6:H6"/>
    <mergeCell ref="J6:O6"/>
    <mergeCell ref="L7:O7"/>
    <mergeCell ref="A8:B8"/>
    <mergeCell ref="A21:A33"/>
    <mergeCell ref="A35:B35"/>
    <mergeCell ref="A36:B36"/>
    <mergeCell ref="A49:B49"/>
    <mergeCell ref="A50:B50"/>
    <mergeCell ref="B53:F53"/>
    <mergeCell ref="G53:H53"/>
    <mergeCell ref="B55:B57"/>
    <mergeCell ref="C55:C57"/>
    <mergeCell ref="D55:F55"/>
    <mergeCell ref="G55:H55"/>
    <mergeCell ref="D56:F56"/>
    <mergeCell ref="G56:H56"/>
    <mergeCell ref="B64:F64"/>
    <mergeCell ref="G64:H64"/>
    <mergeCell ref="J56:L56"/>
    <mergeCell ref="M56:O56"/>
    <mergeCell ref="D57:F57"/>
    <mergeCell ref="G57:H57"/>
    <mergeCell ref="B59:F59"/>
    <mergeCell ref="G59:H59"/>
    <mergeCell ref="J59:O59"/>
    <mergeCell ref="B61:F61"/>
    <mergeCell ref="G61:H61"/>
    <mergeCell ref="C62:F62"/>
    <mergeCell ref="G62:H62"/>
    <mergeCell ref="J62:O62"/>
    <mergeCell ref="D80:F80"/>
    <mergeCell ref="J67:K67"/>
    <mergeCell ref="B68:B82"/>
    <mergeCell ref="C68:C74"/>
    <mergeCell ref="D68:F68"/>
    <mergeCell ref="D69:F69"/>
    <mergeCell ref="D70:F70"/>
    <mergeCell ref="D71:F71"/>
    <mergeCell ref="D72:F72"/>
    <mergeCell ref="D73:F73"/>
    <mergeCell ref="D74:F74"/>
    <mergeCell ref="D75:F75"/>
    <mergeCell ref="D76:F76"/>
    <mergeCell ref="E77:F77"/>
    <mergeCell ref="D78:F78"/>
    <mergeCell ref="D79:F79"/>
    <mergeCell ref="G93:H93"/>
    <mergeCell ref="D81:F81"/>
    <mergeCell ref="D82:F82"/>
    <mergeCell ref="B83:F83"/>
    <mergeCell ref="B85:F85"/>
    <mergeCell ref="G85:H85"/>
    <mergeCell ref="C87:D87"/>
    <mergeCell ref="C88:D88"/>
    <mergeCell ref="C89:D89"/>
    <mergeCell ref="C90:D90"/>
    <mergeCell ref="C91:D91"/>
    <mergeCell ref="B93:F93"/>
    <mergeCell ref="B98:F98"/>
    <mergeCell ref="G98:H98"/>
    <mergeCell ref="B99:F99"/>
    <mergeCell ref="G99:H99"/>
    <mergeCell ref="G94:H94"/>
    <mergeCell ref="G95:H95"/>
    <mergeCell ref="B96:F96"/>
    <mergeCell ref="G96:H96"/>
    <mergeCell ref="B97:F97"/>
    <mergeCell ref="G97:H97"/>
  </mergeCells>
  <conditionalFormatting sqref="B90:F90">
    <cfRule type="cellIs" dxfId="967" priority="199" stopIfTrue="1" operator="equal">
      <formula>"TAX PAYABLE"</formula>
    </cfRule>
    <cfRule type="cellIs" dxfId="966" priority="200" stopIfTrue="1" operator="equal">
      <formula>"TAX REFUND"</formula>
    </cfRule>
  </conditionalFormatting>
  <conditionalFormatting sqref="G90:H90">
    <cfRule type="cellIs" dxfId="965" priority="201" stopIfTrue="1" operator="lessThan">
      <formula>0</formula>
    </cfRule>
    <cfRule type="cellIs" dxfId="964" priority="202" stopIfTrue="1" operator="greaterThan">
      <formula>0</formula>
    </cfRule>
  </conditionalFormatting>
  <conditionalFormatting sqref="B90:F90">
    <cfRule type="cellIs" dxfId="963" priority="197" stopIfTrue="1" operator="equal">
      <formula>"TAX PAYABLE"</formula>
    </cfRule>
    <cfRule type="cellIs" dxfId="962" priority="198" stopIfTrue="1" operator="equal">
      <formula>"TAX REFUND"</formula>
    </cfRule>
  </conditionalFormatting>
  <conditionalFormatting sqref="G90:H90">
    <cfRule type="cellIs" dxfId="961" priority="195" stopIfTrue="1" operator="lessThan">
      <formula>0</formula>
    </cfRule>
    <cfRule type="cellIs" dxfId="960" priority="196" stopIfTrue="1" operator="greaterThan">
      <formula>0</formula>
    </cfRule>
  </conditionalFormatting>
  <conditionalFormatting sqref="C90:F90">
    <cfRule type="cellIs" dxfId="959" priority="193" stopIfTrue="1" operator="equal">
      <formula>"TAX PAYABLE"</formula>
    </cfRule>
    <cfRule type="cellIs" dxfId="958" priority="194" stopIfTrue="1" operator="equal">
      <formula>"TAX REFUND"</formula>
    </cfRule>
  </conditionalFormatting>
  <conditionalFormatting sqref="G90:H90">
    <cfRule type="cellIs" dxfId="957" priority="191" stopIfTrue="1" operator="lessThan">
      <formula>0</formula>
    </cfRule>
    <cfRule type="cellIs" dxfId="956" priority="192" stopIfTrue="1" operator="greaterThan">
      <formula>0</formula>
    </cfRule>
  </conditionalFormatting>
  <conditionalFormatting sqref="B97:F97">
    <cfRule type="cellIs" dxfId="955" priority="189" stopIfTrue="1" operator="equal">
      <formula>"TAX PAYABLE"</formula>
    </cfRule>
    <cfRule type="cellIs" dxfId="954" priority="190" stopIfTrue="1" operator="equal">
      <formula>"TAX REFUND"</formula>
    </cfRule>
  </conditionalFormatting>
  <conditionalFormatting sqref="B99:F99 B93:F96">
    <cfRule type="cellIs" dxfId="953" priority="187" stopIfTrue="1" operator="equal">
      <formula>"TAX PAYABLE"</formula>
    </cfRule>
    <cfRule type="cellIs" dxfId="952" priority="188" stopIfTrue="1" operator="equal">
      <formula>"TAX REFUND"</formula>
    </cfRule>
  </conditionalFormatting>
  <conditionalFormatting sqref="G99:H99">
    <cfRule type="cellIs" dxfId="951" priority="185" stopIfTrue="1" operator="greaterThan">
      <formula>0</formula>
    </cfRule>
    <cfRule type="cellIs" dxfId="950" priority="186" stopIfTrue="1" operator="lessThanOrEqual">
      <formula>0</formula>
    </cfRule>
  </conditionalFormatting>
  <conditionalFormatting sqref="B93:F94">
    <cfRule type="cellIs" dxfId="949" priority="183" stopIfTrue="1" operator="equal">
      <formula>"TAX PAYABLE"</formula>
    </cfRule>
    <cfRule type="cellIs" dxfId="948" priority="184" stopIfTrue="1" operator="equal">
      <formula>"TAX REFUND"</formula>
    </cfRule>
  </conditionalFormatting>
  <conditionalFormatting sqref="B93:F93">
    <cfRule type="cellIs" dxfId="947" priority="181" stopIfTrue="1" operator="equal">
      <formula>"TAX PAYABLE"</formula>
    </cfRule>
    <cfRule type="cellIs" dxfId="946" priority="182" stopIfTrue="1" operator="equal">
      <formula>"TAX REFUND"</formula>
    </cfRule>
  </conditionalFormatting>
  <conditionalFormatting sqref="B93:F94">
    <cfRule type="cellIs" dxfId="945" priority="179" stopIfTrue="1" operator="equal">
      <formula>"TAX PAYABLE"</formula>
    </cfRule>
    <cfRule type="cellIs" dxfId="944" priority="180" stopIfTrue="1" operator="equal">
      <formula>"TAX REFUND"</formula>
    </cfRule>
  </conditionalFormatting>
  <conditionalFormatting sqref="B93:F94">
    <cfRule type="cellIs" dxfId="943" priority="177" stopIfTrue="1" operator="equal">
      <formula>"TAX PAYABLE"</formula>
    </cfRule>
    <cfRule type="cellIs" dxfId="942" priority="178" stopIfTrue="1" operator="equal">
      <formula>"TAX REFUND"</formula>
    </cfRule>
  </conditionalFormatting>
  <conditionalFormatting sqref="B93:F94">
    <cfRule type="cellIs" dxfId="941" priority="175" stopIfTrue="1" operator="equal">
      <formula>"TAX PAYABLE"</formula>
    </cfRule>
    <cfRule type="cellIs" dxfId="940" priority="176" stopIfTrue="1" operator="equal">
      <formula>"TAX REFUND"</formula>
    </cfRule>
  </conditionalFormatting>
  <conditionalFormatting sqref="B97:F97">
    <cfRule type="cellIs" dxfId="939" priority="173" stopIfTrue="1" operator="equal">
      <formula>"TAX PAYABLE"</formula>
    </cfRule>
    <cfRule type="cellIs" dxfId="938" priority="174" stopIfTrue="1" operator="equal">
      <formula>"TAX REFUND"</formula>
    </cfRule>
  </conditionalFormatting>
  <conditionalFormatting sqref="B93:F93">
    <cfRule type="cellIs" dxfId="937" priority="171" stopIfTrue="1" operator="equal">
      <formula>"TAX PAYABLE"</formula>
    </cfRule>
    <cfRule type="cellIs" dxfId="936" priority="172" stopIfTrue="1" operator="equal">
      <formula>"TAX REFUND"</formula>
    </cfRule>
  </conditionalFormatting>
  <conditionalFormatting sqref="B93:F94">
    <cfRule type="cellIs" dxfId="935" priority="169" stopIfTrue="1" operator="equal">
      <formula>"TAX PAYABLE"</formula>
    </cfRule>
    <cfRule type="cellIs" dxfId="934" priority="170" stopIfTrue="1" operator="equal">
      <formula>"TAX REFUND"</formula>
    </cfRule>
  </conditionalFormatting>
  <conditionalFormatting sqref="B93:F94">
    <cfRule type="cellIs" dxfId="933" priority="167" stopIfTrue="1" operator="equal">
      <formula>"TAX PAYABLE"</formula>
    </cfRule>
    <cfRule type="cellIs" dxfId="932" priority="168" stopIfTrue="1" operator="equal">
      <formula>"TAX REFUND"</formula>
    </cfRule>
  </conditionalFormatting>
  <conditionalFormatting sqref="B93:F94">
    <cfRule type="cellIs" dxfId="931" priority="165" stopIfTrue="1" operator="equal">
      <formula>"TAX PAYABLE"</formula>
    </cfRule>
    <cfRule type="cellIs" dxfId="930" priority="166" stopIfTrue="1" operator="equal">
      <formula>"TAX REFUND"</formula>
    </cfRule>
  </conditionalFormatting>
  <conditionalFormatting sqref="B97:F97">
    <cfRule type="cellIs" dxfId="929" priority="163" stopIfTrue="1" operator="equal">
      <formula>"TAX PAYABLE"</formula>
    </cfRule>
    <cfRule type="cellIs" dxfId="928" priority="164" stopIfTrue="1" operator="equal">
      <formula>"TAX REFUND"</formula>
    </cfRule>
  </conditionalFormatting>
  <conditionalFormatting sqref="B93:F94 B99:F99">
    <cfRule type="cellIs" dxfId="927" priority="161" stopIfTrue="1" operator="equal">
      <formula>"TAX PAYABLE"</formula>
    </cfRule>
    <cfRule type="cellIs" dxfId="926" priority="162" stopIfTrue="1" operator="equal">
      <formula>"TAX REFUND"</formula>
    </cfRule>
  </conditionalFormatting>
  <conditionalFormatting sqref="G99:H99">
    <cfRule type="cellIs" dxfId="925" priority="159" stopIfTrue="1" operator="greaterThan">
      <formula>0</formula>
    </cfRule>
    <cfRule type="cellIs" dxfId="924" priority="160" stopIfTrue="1" operator="lessThanOrEqual">
      <formula>0</formula>
    </cfRule>
  </conditionalFormatting>
  <conditionalFormatting sqref="B99:F99 B93:F96">
    <cfRule type="cellIs" dxfId="923" priority="157" stopIfTrue="1" operator="equal">
      <formula>"TAX PAYABLE"</formula>
    </cfRule>
    <cfRule type="cellIs" dxfId="922" priority="158" stopIfTrue="1" operator="equal">
      <formula>"TAX REFUND"</formula>
    </cfRule>
  </conditionalFormatting>
  <conditionalFormatting sqref="G99:H99">
    <cfRule type="cellIs" dxfId="921" priority="155" stopIfTrue="1" operator="greaterThan">
      <formula>0</formula>
    </cfRule>
    <cfRule type="cellIs" dxfId="920" priority="156" stopIfTrue="1" operator="lessThanOrEqual">
      <formula>0</formula>
    </cfRule>
  </conditionalFormatting>
  <conditionalFormatting sqref="B90:F90">
    <cfRule type="cellIs" dxfId="919" priority="153" stopIfTrue="1" operator="equal">
      <formula>"TAX PAYABLE"</formula>
    </cfRule>
    <cfRule type="cellIs" dxfId="918" priority="154" stopIfTrue="1" operator="equal">
      <formula>"TAX REFUND"</formula>
    </cfRule>
  </conditionalFormatting>
  <conditionalFormatting sqref="G90:H90">
    <cfRule type="cellIs" dxfId="917" priority="151" stopIfTrue="1" operator="lessThan">
      <formula>0</formula>
    </cfRule>
    <cfRule type="cellIs" dxfId="916" priority="152" stopIfTrue="1" operator="greaterThan">
      <formula>0</formula>
    </cfRule>
  </conditionalFormatting>
  <conditionalFormatting sqref="B90:F90">
    <cfRule type="cellIs" dxfId="915" priority="149" stopIfTrue="1" operator="equal">
      <formula>"TAX PAYABLE"</formula>
    </cfRule>
    <cfRule type="cellIs" dxfId="914" priority="150" stopIfTrue="1" operator="equal">
      <formula>"TAX REFUND"</formula>
    </cfRule>
  </conditionalFormatting>
  <conditionalFormatting sqref="G90:H90">
    <cfRule type="cellIs" dxfId="913" priority="147" stopIfTrue="1" operator="lessThan">
      <formula>0</formula>
    </cfRule>
    <cfRule type="cellIs" dxfId="912" priority="148" stopIfTrue="1" operator="greaterThan">
      <formula>0</formula>
    </cfRule>
  </conditionalFormatting>
  <conditionalFormatting sqref="B90:F90">
    <cfRule type="cellIs" dxfId="911" priority="145" stopIfTrue="1" operator="equal">
      <formula>"TAX PAYABLE"</formula>
    </cfRule>
    <cfRule type="cellIs" dxfId="910" priority="146" stopIfTrue="1" operator="equal">
      <formula>"TAX REFUND"</formula>
    </cfRule>
  </conditionalFormatting>
  <conditionalFormatting sqref="G90:H90">
    <cfRule type="cellIs" dxfId="909" priority="143" stopIfTrue="1" operator="lessThan">
      <formula>0</formula>
    </cfRule>
    <cfRule type="cellIs" dxfId="908" priority="144" stopIfTrue="1" operator="greaterThan">
      <formula>0</formula>
    </cfRule>
  </conditionalFormatting>
  <conditionalFormatting sqref="C90:F90">
    <cfRule type="cellIs" dxfId="907" priority="141" stopIfTrue="1" operator="equal">
      <formula>"TAX PAYABLE"</formula>
    </cfRule>
    <cfRule type="cellIs" dxfId="906" priority="142" stopIfTrue="1" operator="equal">
      <formula>"TAX REFUND"</formula>
    </cfRule>
  </conditionalFormatting>
  <conditionalFormatting sqref="G90:H90">
    <cfRule type="cellIs" dxfId="905" priority="139" stopIfTrue="1" operator="lessThan">
      <formula>0</formula>
    </cfRule>
    <cfRule type="cellIs" dxfId="904" priority="140" stopIfTrue="1" operator="greaterThan">
      <formula>0</formula>
    </cfRule>
  </conditionalFormatting>
  <conditionalFormatting sqref="B97:F97">
    <cfRule type="cellIs" dxfId="903" priority="137" stopIfTrue="1" operator="equal">
      <formula>"TAX PAYABLE"</formula>
    </cfRule>
    <cfRule type="cellIs" dxfId="902" priority="138" stopIfTrue="1" operator="equal">
      <formula>"TAX REFUND"</formula>
    </cfRule>
  </conditionalFormatting>
  <conditionalFormatting sqref="B99:F99 B93:F96">
    <cfRule type="cellIs" dxfId="901" priority="135" stopIfTrue="1" operator="equal">
      <formula>"TAX PAYABLE"</formula>
    </cfRule>
    <cfRule type="cellIs" dxfId="900" priority="136" stopIfTrue="1" operator="equal">
      <formula>"TAX REFUND"</formula>
    </cfRule>
  </conditionalFormatting>
  <conditionalFormatting sqref="G99:H99">
    <cfRule type="cellIs" dxfId="899" priority="133" stopIfTrue="1" operator="greaterThan">
      <formula>0</formula>
    </cfRule>
    <cfRule type="cellIs" dxfId="898" priority="134" stopIfTrue="1" operator="lessThanOrEqual">
      <formula>0</formula>
    </cfRule>
  </conditionalFormatting>
  <conditionalFormatting sqref="B93:F94">
    <cfRule type="cellIs" dxfId="897" priority="131" stopIfTrue="1" operator="equal">
      <formula>"TAX PAYABLE"</formula>
    </cfRule>
    <cfRule type="cellIs" dxfId="896" priority="132" stopIfTrue="1" operator="equal">
      <formula>"TAX REFUND"</formula>
    </cfRule>
  </conditionalFormatting>
  <conditionalFormatting sqref="B93:F93">
    <cfRule type="cellIs" dxfId="895" priority="129" stopIfTrue="1" operator="equal">
      <formula>"TAX PAYABLE"</formula>
    </cfRule>
    <cfRule type="cellIs" dxfId="894" priority="130" stopIfTrue="1" operator="equal">
      <formula>"TAX REFUND"</formula>
    </cfRule>
  </conditionalFormatting>
  <conditionalFormatting sqref="B93:F94">
    <cfRule type="cellIs" dxfId="893" priority="127" stopIfTrue="1" operator="equal">
      <formula>"TAX PAYABLE"</formula>
    </cfRule>
    <cfRule type="cellIs" dxfId="892" priority="128" stopIfTrue="1" operator="equal">
      <formula>"TAX REFUND"</formula>
    </cfRule>
  </conditionalFormatting>
  <conditionalFormatting sqref="B93:F94">
    <cfRule type="cellIs" dxfId="891" priority="125" stopIfTrue="1" operator="equal">
      <formula>"TAX PAYABLE"</formula>
    </cfRule>
    <cfRule type="cellIs" dxfId="890" priority="126" stopIfTrue="1" operator="equal">
      <formula>"TAX REFUND"</formula>
    </cfRule>
  </conditionalFormatting>
  <conditionalFormatting sqref="B93:F94">
    <cfRule type="cellIs" dxfId="889" priority="123" stopIfTrue="1" operator="equal">
      <formula>"TAX PAYABLE"</formula>
    </cfRule>
    <cfRule type="cellIs" dxfId="888" priority="124" stopIfTrue="1" operator="equal">
      <formula>"TAX REFUND"</formula>
    </cfRule>
  </conditionalFormatting>
  <conditionalFormatting sqref="B97:F97">
    <cfRule type="cellIs" dxfId="887" priority="121" stopIfTrue="1" operator="equal">
      <formula>"TAX PAYABLE"</formula>
    </cfRule>
    <cfRule type="cellIs" dxfId="886" priority="122" stopIfTrue="1" operator="equal">
      <formula>"TAX REFUND"</formula>
    </cfRule>
  </conditionalFormatting>
  <conditionalFormatting sqref="B93:F93">
    <cfRule type="cellIs" dxfId="885" priority="119" stopIfTrue="1" operator="equal">
      <formula>"TAX PAYABLE"</formula>
    </cfRule>
    <cfRule type="cellIs" dxfId="884" priority="120" stopIfTrue="1" operator="equal">
      <formula>"TAX REFUND"</formula>
    </cfRule>
  </conditionalFormatting>
  <conditionalFormatting sqref="B93:F94">
    <cfRule type="cellIs" dxfId="883" priority="117" stopIfTrue="1" operator="equal">
      <formula>"TAX PAYABLE"</formula>
    </cfRule>
    <cfRule type="cellIs" dxfId="882" priority="118" stopIfTrue="1" operator="equal">
      <formula>"TAX REFUND"</formula>
    </cfRule>
  </conditionalFormatting>
  <conditionalFormatting sqref="B93:F94">
    <cfRule type="cellIs" dxfId="881" priority="115" stopIfTrue="1" operator="equal">
      <formula>"TAX PAYABLE"</formula>
    </cfRule>
    <cfRule type="cellIs" dxfId="880" priority="116" stopIfTrue="1" operator="equal">
      <formula>"TAX REFUND"</formula>
    </cfRule>
  </conditionalFormatting>
  <conditionalFormatting sqref="B93:F94">
    <cfRule type="cellIs" dxfId="879" priority="113" stopIfTrue="1" operator="equal">
      <formula>"TAX PAYABLE"</formula>
    </cfRule>
    <cfRule type="cellIs" dxfId="878" priority="114" stopIfTrue="1" operator="equal">
      <formula>"TAX REFUND"</formula>
    </cfRule>
  </conditionalFormatting>
  <conditionalFormatting sqref="B97:F97">
    <cfRule type="cellIs" dxfId="877" priority="111" stopIfTrue="1" operator="equal">
      <formula>"TAX PAYABLE"</formula>
    </cfRule>
    <cfRule type="cellIs" dxfId="876" priority="112" stopIfTrue="1" operator="equal">
      <formula>"TAX REFUND"</formula>
    </cfRule>
  </conditionalFormatting>
  <conditionalFormatting sqref="B93:F94 B99:F99">
    <cfRule type="cellIs" dxfId="875" priority="109" stopIfTrue="1" operator="equal">
      <formula>"TAX PAYABLE"</formula>
    </cfRule>
    <cfRule type="cellIs" dxfId="874" priority="110" stopIfTrue="1" operator="equal">
      <formula>"TAX REFUND"</formula>
    </cfRule>
  </conditionalFormatting>
  <conditionalFormatting sqref="G99:H99">
    <cfRule type="cellIs" dxfId="873" priority="107" stopIfTrue="1" operator="greaterThan">
      <formula>0</formula>
    </cfRule>
    <cfRule type="cellIs" dxfId="872" priority="108" stopIfTrue="1" operator="lessThanOrEqual">
      <formula>0</formula>
    </cfRule>
  </conditionalFormatting>
  <conditionalFormatting sqref="B99:F99 B93:F96">
    <cfRule type="cellIs" dxfId="871" priority="105" stopIfTrue="1" operator="equal">
      <formula>"TAX PAYABLE"</formula>
    </cfRule>
    <cfRule type="cellIs" dxfId="870" priority="106" stopIfTrue="1" operator="equal">
      <formula>"TAX REFUND"</formula>
    </cfRule>
  </conditionalFormatting>
  <conditionalFormatting sqref="G99:H99">
    <cfRule type="cellIs" dxfId="869" priority="103" stopIfTrue="1" operator="greaterThan">
      <formula>0</formula>
    </cfRule>
    <cfRule type="cellIs" dxfId="868" priority="104" stopIfTrue="1" operator="lessThanOrEqual">
      <formula>0</formula>
    </cfRule>
  </conditionalFormatting>
  <conditionalFormatting sqref="B90:F90">
    <cfRule type="cellIs" dxfId="867" priority="101" stopIfTrue="1" operator="equal">
      <formula>"TAX PAYABLE"</formula>
    </cfRule>
    <cfRule type="cellIs" dxfId="866" priority="102" stopIfTrue="1" operator="equal">
      <formula>"TAX REFUND"</formula>
    </cfRule>
  </conditionalFormatting>
  <conditionalFormatting sqref="B94:F94">
    <cfRule type="cellIs" dxfId="865" priority="99" stopIfTrue="1" operator="equal">
      <formula>"TAX PAYABLE"</formula>
    </cfRule>
    <cfRule type="cellIs" dxfId="864" priority="100" stopIfTrue="1" operator="equal">
      <formula>"TAX REFUND"</formula>
    </cfRule>
  </conditionalFormatting>
  <conditionalFormatting sqref="B94:F94">
    <cfRule type="cellIs" dxfId="863" priority="97" stopIfTrue="1" operator="equal">
      <formula>"TAX PAYABLE"</formula>
    </cfRule>
    <cfRule type="cellIs" dxfId="862" priority="98" stopIfTrue="1" operator="equal">
      <formula>"TAX REFUND"</formula>
    </cfRule>
  </conditionalFormatting>
  <conditionalFormatting sqref="B94:F94">
    <cfRule type="cellIs" dxfId="861" priority="95" stopIfTrue="1" operator="equal">
      <formula>"TAX PAYABLE"</formula>
    </cfRule>
    <cfRule type="cellIs" dxfId="860" priority="96" stopIfTrue="1" operator="equal">
      <formula>"TAX REFUND"</formula>
    </cfRule>
  </conditionalFormatting>
  <conditionalFormatting sqref="B94:F94">
    <cfRule type="cellIs" dxfId="859" priority="93" stopIfTrue="1" operator="equal">
      <formula>"TAX PAYABLE"</formula>
    </cfRule>
    <cfRule type="cellIs" dxfId="858" priority="94" stopIfTrue="1" operator="equal">
      <formula>"TAX REFUND"</formula>
    </cfRule>
  </conditionalFormatting>
  <conditionalFormatting sqref="B94:F94">
    <cfRule type="cellIs" dxfId="857" priority="91" stopIfTrue="1" operator="equal">
      <formula>"TAX PAYABLE"</formula>
    </cfRule>
    <cfRule type="cellIs" dxfId="856" priority="92" stopIfTrue="1" operator="equal">
      <formula>"TAX REFUND"</formula>
    </cfRule>
  </conditionalFormatting>
  <conditionalFormatting sqref="B94:F94">
    <cfRule type="cellIs" dxfId="855" priority="89" stopIfTrue="1" operator="equal">
      <formula>"TAX PAYABLE"</formula>
    </cfRule>
    <cfRule type="cellIs" dxfId="854" priority="90" stopIfTrue="1" operator="equal">
      <formula>"TAX REFUND"</formula>
    </cfRule>
  </conditionalFormatting>
  <conditionalFormatting sqref="B94:F94">
    <cfRule type="cellIs" dxfId="853" priority="87" stopIfTrue="1" operator="equal">
      <formula>"TAX PAYABLE"</formula>
    </cfRule>
    <cfRule type="cellIs" dxfId="852" priority="88" stopIfTrue="1" operator="equal">
      <formula>"TAX REFUND"</formula>
    </cfRule>
  </conditionalFormatting>
  <conditionalFormatting sqref="B94:F94">
    <cfRule type="cellIs" dxfId="851" priority="85" stopIfTrue="1" operator="equal">
      <formula>"TAX PAYABLE"</formula>
    </cfRule>
    <cfRule type="cellIs" dxfId="850" priority="86" stopIfTrue="1" operator="equal">
      <formula>"TAX REFUND"</formula>
    </cfRule>
  </conditionalFormatting>
  <conditionalFormatting sqref="B94:F94">
    <cfRule type="cellIs" dxfId="849" priority="83" stopIfTrue="1" operator="equal">
      <formula>"TAX PAYABLE"</formula>
    </cfRule>
    <cfRule type="cellIs" dxfId="848" priority="84" stopIfTrue="1" operator="equal">
      <formula>"TAX REFUND"</formula>
    </cfRule>
  </conditionalFormatting>
  <conditionalFormatting sqref="B94:F94">
    <cfRule type="cellIs" dxfId="847" priority="81" stopIfTrue="1" operator="equal">
      <formula>"TAX PAYABLE"</formula>
    </cfRule>
    <cfRule type="cellIs" dxfId="846" priority="82" stopIfTrue="1" operator="equal">
      <formula>"TAX REFUND"</formula>
    </cfRule>
  </conditionalFormatting>
  <conditionalFormatting sqref="B94:F94">
    <cfRule type="cellIs" dxfId="845" priority="79" stopIfTrue="1" operator="equal">
      <formula>"TAX PAYABLE"</formula>
    </cfRule>
    <cfRule type="cellIs" dxfId="844" priority="80" stopIfTrue="1" operator="equal">
      <formula>"TAX REFUND"</formula>
    </cfRule>
  </conditionalFormatting>
  <conditionalFormatting sqref="B94:F94">
    <cfRule type="cellIs" dxfId="843" priority="77" stopIfTrue="1" operator="equal">
      <formula>"TAX PAYABLE"</formula>
    </cfRule>
    <cfRule type="cellIs" dxfId="842" priority="78" stopIfTrue="1" operator="equal">
      <formula>"TAX REFUND"</formula>
    </cfRule>
  </conditionalFormatting>
  <conditionalFormatting sqref="B94:F94">
    <cfRule type="cellIs" dxfId="841" priority="75" stopIfTrue="1" operator="equal">
      <formula>"TAX PAYABLE"</formula>
    </cfRule>
    <cfRule type="cellIs" dxfId="840" priority="76" stopIfTrue="1" operator="equal">
      <formula>"TAX REFUND"</formula>
    </cfRule>
  </conditionalFormatting>
  <conditionalFormatting sqref="B94:F94">
    <cfRule type="cellIs" dxfId="839" priority="73" stopIfTrue="1" operator="equal">
      <formula>"TAX PAYABLE"</formula>
    </cfRule>
    <cfRule type="cellIs" dxfId="838" priority="74" stopIfTrue="1" operator="equal">
      <formula>"TAX REFUND"</formula>
    </cfRule>
  </conditionalFormatting>
  <conditionalFormatting sqref="B94:F94">
    <cfRule type="cellIs" dxfId="837" priority="71" stopIfTrue="1" operator="equal">
      <formula>"TAX PAYABLE"</formula>
    </cfRule>
    <cfRule type="cellIs" dxfId="836" priority="72" stopIfTrue="1" operator="equal">
      <formula>"TAX REFUND"</formula>
    </cfRule>
  </conditionalFormatting>
  <conditionalFormatting sqref="B94:F94">
    <cfRule type="cellIs" dxfId="835" priority="69" stopIfTrue="1" operator="equal">
      <formula>"TAX PAYABLE"</formula>
    </cfRule>
    <cfRule type="cellIs" dxfId="834" priority="70" stopIfTrue="1" operator="equal">
      <formula>"TAX REFUND"</formula>
    </cfRule>
  </conditionalFormatting>
  <conditionalFormatting sqref="B94:F94">
    <cfRule type="cellIs" dxfId="833" priority="67" stopIfTrue="1" operator="equal">
      <formula>"TAX PAYABLE"</formula>
    </cfRule>
    <cfRule type="cellIs" dxfId="832" priority="68" stopIfTrue="1" operator="equal">
      <formula>"TAX REFUND"</formula>
    </cfRule>
  </conditionalFormatting>
  <conditionalFormatting sqref="B94:F94">
    <cfRule type="cellIs" dxfId="831" priority="65" stopIfTrue="1" operator="equal">
      <formula>"TAX PAYABLE"</formula>
    </cfRule>
    <cfRule type="cellIs" dxfId="830" priority="66" stopIfTrue="1" operator="equal">
      <formula>"TAX REFUND"</formula>
    </cfRule>
  </conditionalFormatting>
  <conditionalFormatting sqref="B94:F94">
    <cfRule type="cellIs" dxfId="829" priority="63" stopIfTrue="1" operator="equal">
      <formula>"TAX PAYABLE"</formula>
    </cfRule>
    <cfRule type="cellIs" dxfId="828" priority="64" stopIfTrue="1" operator="equal">
      <formula>"TAX REFUND"</formula>
    </cfRule>
  </conditionalFormatting>
  <conditionalFormatting sqref="B94:F94">
    <cfRule type="cellIs" dxfId="827" priority="61" stopIfTrue="1" operator="equal">
      <formula>"TAX PAYABLE"</formula>
    </cfRule>
    <cfRule type="cellIs" dxfId="826" priority="62" stopIfTrue="1" operator="equal">
      <formula>"TAX REFUND"</formula>
    </cfRule>
  </conditionalFormatting>
  <conditionalFormatting sqref="B94:F94">
    <cfRule type="cellIs" dxfId="825" priority="59" stopIfTrue="1" operator="equal">
      <formula>"TAX PAYABLE"</formula>
    </cfRule>
    <cfRule type="cellIs" dxfId="824" priority="60" stopIfTrue="1" operator="equal">
      <formula>"TAX REFUND"</formula>
    </cfRule>
  </conditionalFormatting>
  <conditionalFormatting sqref="B94:F94">
    <cfRule type="cellIs" dxfId="823" priority="57" stopIfTrue="1" operator="equal">
      <formula>"TAX PAYABLE"</formula>
    </cfRule>
    <cfRule type="cellIs" dxfId="822" priority="58" stopIfTrue="1" operator="equal">
      <formula>"TAX REFUND"</formula>
    </cfRule>
  </conditionalFormatting>
  <conditionalFormatting sqref="B94:F94">
    <cfRule type="cellIs" dxfId="821" priority="55" stopIfTrue="1" operator="equal">
      <formula>"TAX PAYABLE"</formula>
    </cfRule>
    <cfRule type="cellIs" dxfId="820" priority="56" stopIfTrue="1" operator="equal">
      <formula>"TAX REFUND"</formula>
    </cfRule>
  </conditionalFormatting>
  <conditionalFormatting sqref="B94:F94">
    <cfRule type="cellIs" dxfId="819" priority="53" stopIfTrue="1" operator="equal">
      <formula>"TAX PAYABLE"</formula>
    </cfRule>
    <cfRule type="cellIs" dxfId="818" priority="54" stopIfTrue="1" operator="equal">
      <formula>"TAX REFUND"</formula>
    </cfRule>
  </conditionalFormatting>
  <conditionalFormatting sqref="B94:F94">
    <cfRule type="cellIs" dxfId="817" priority="51" stopIfTrue="1" operator="equal">
      <formula>"TAX PAYABLE"</formula>
    </cfRule>
    <cfRule type="cellIs" dxfId="816" priority="52" stopIfTrue="1" operator="equal">
      <formula>"TAX REFUND"</formula>
    </cfRule>
  </conditionalFormatting>
  <conditionalFormatting sqref="B94:F94">
    <cfRule type="cellIs" dxfId="815" priority="49" stopIfTrue="1" operator="equal">
      <formula>"TAX PAYABLE"</formula>
    </cfRule>
    <cfRule type="cellIs" dxfId="814" priority="50" stopIfTrue="1" operator="equal">
      <formula>"TAX REFUND"</formula>
    </cfRule>
  </conditionalFormatting>
  <conditionalFormatting sqref="B94:F94">
    <cfRule type="cellIs" dxfId="813" priority="47" stopIfTrue="1" operator="equal">
      <formula>"TAX PAYABLE"</formula>
    </cfRule>
    <cfRule type="cellIs" dxfId="812" priority="48" stopIfTrue="1" operator="equal">
      <formula>"TAX REFUND"</formula>
    </cfRule>
  </conditionalFormatting>
  <conditionalFormatting sqref="B94:F94">
    <cfRule type="cellIs" dxfId="811" priority="45" stopIfTrue="1" operator="equal">
      <formula>"TAX PAYABLE"</formula>
    </cfRule>
    <cfRule type="cellIs" dxfId="810" priority="46" stopIfTrue="1" operator="equal">
      <formula>"TAX REFUND"</formula>
    </cfRule>
  </conditionalFormatting>
  <conditionalFormatting sqref="B94:F94">
    <cfRule type="cellIs" dxfId="809" priority="43" stopIfTrue="1" operator="equal">
      <formula>"TAX PAYABLE"</formula>
    </cfRule>
    <cfRule type="cellIs" dxfId="808" priority="44" stopIfTrue="1" operator="equal">
      <formula>"TAX REFUND"</formula>
    </cfRule>
  </conditionalFormatting>
  <conditionalFormatting sqref="B94:F94">
    <cfRule type="cellIs" dxfId="807" priority="41" stopIfTrue="1" operator="equal">
      <formula>"TAX PAYABLE"</formula>
    </cfRule>
    <cfRule type="cellIs" dxfId="806" priority="42" stopIfTrue="1" operator="equal">
      <formula>"TAX REFUND"</formula>
    </cfRule>
  </conditionalFormatting>
  <conditionalFormatting sqref="B94:F94">
    <cfRule type="cellIs" dxfId="805" priority="39" stopIfTrue="1" operator="equal">
      <formula>"TAX PAYABLE"</formula>
    </cfRule>
    <cfRule type="cellIs" dxfId="804" priority="40" stopIfTrue="1" operator="equal">
      <formula>"TAX REFUND"</formula>
    </cfRule>
  </conditionalFormatting>
  <conditionalFormatting sqref="B94:F94">
    <cfRule type="cellIs" dxfId="803" priority="37" stopIfTrue="1" operator="equal">
      <formula>"TAX PAYABLE"</formula>
    </cfRule>
    <cfRule type="cellIs" dxfId="802" priority="38" stopIfTrue="1" operator="equal">
      <formula>"TAX REFUND"</formula>
    </cfRule>
  </conditionalFormatting>
  <conditionalFormatting sqref="B94:F94">
    <cfRule type="cellIs" dxfId="801" priority="35" stopIfTrue="1" operator="equal">
      <formula>"TAX PAYABLE"</formula>
    </cfRule>
    <cfRule type="cellIs" dxfId="800" priority="36" stopIfTrue="1" operator="equal">
      <formula>"TAX REFUND"</formula>
    </cfRule>
  </conditionalFormatting>
  <conditionalFormatting sqref="B94:F94">
    <cfRule type="cellIs" dxfId="799" priority="33" stopIfTrue="1" operator="equal">
      <formula>"TAX PAYABLE"</formula>
    </cfRule>
    <cfRule type="cellIs" dxfId="798" priority="34" stopIfTrue="1" operator="equal">
      <formula>"TAX REFUND"</formula>
    </cfRule>
  </conditionalFormatting>
  <conditionalFormatting sqref="B94:F94">
    <cfRule type="cellIs" dxfId="797" priority="31" stopIfTrue="1" operator="equal">
      <formula>"TAX PAYABLE"</formula>
    </cfRule>
    <cfRule type="cellIs" dxfId="796" priority="32" stopIfTrue="1" operator="equal">
      <formula>"TAX REFUND"</formula>
    </cfRule>
  </conditionalFormatting>
  <conditionalFormatting sqref="B94:F94">
    <cfRule type="cellIs" dxfId="795" priority="29" stopIfTrue="1" operator="equal">
      <formula>"TAX PAYABLE"</formula>
    </cfRule>
    <cfRule type="cellIs" dxfId="794" priority="30" stopIfTrue="1" operator="equal">
      <formula>"TAX REFUND"</formula>
    </cfRule>
  </conditionalFormatting>
  <conditionalFormatting sqref="B94:F94">
    <cfRule type="cellIs" dxfId="793" priority="27" stopIfTrue="1" operator="equal">
      <formula>"TAX PAYABLE"</formula>
    </cfRule>
    <cfRule type="cellIs" dxfId="792" priority="28" stopIfTrue="1" operator="equal">
      <formula>"TAX REFUND"</formula>
    </cfRule>
  </conditionalFormatting>
  <conditionalFormatting sqref="B94:F94">
    <cfRule type="cellIs" dxfId="791" priority="25" stopIfTrue="1" operator="equal">
      <formula>"TAX PAYABLE"</formula>
    </cfRule>
    <cfRule type="cellIs" dxfId="790" priority="26" stopIfTrue="1" operator="equal">
      <formula>"TAX REFUND"</formula>
    </cfRule>
  </conditionalFormatting>
  <conditionalFormatting sqref="B94:F94">
    <cfRule type="cellIs" dxfId="789" priority="23" stopIfTrue="1" operator="equal">
      <formula>"TAX PAYABLE"</formula>
    </cfRule>
    <cfRule type="cellIs" dxfId="788" priority="24" stopIfTrue="1" operator="equal">
      <formula>"TAX REFUND"</formula>
    </cfRule>
  </conditionalFormatting>
  <conditionalFormatting sqref="B94:F94">
    <cfRule type="cellIs" dxfId="787" priority="21" stopIfTrue="1" operator="equal">
      <formula>"TAX PAYABLE"</formula>
    </cfRule>
    <cfRule type="cellIs" dxfId="786" priority="22" stopIfTrue="1" operator="equal">
      <formula>"TAX REFUND"</formula>
    </cfRule>
  </conditionalFormatting>
  <conditionalFormatting sqref="B94:F94">
    <cfRule type="cellIs" dxfId="785" priority="19" stopIfTrue="1" operator="equal">
      <formula>"TAX PAYABLE"</formula>
    </cfRule>
    <cfRule type="cellIs" dxfId="784" priority="20" stopIfTrue="1" operator="equal">
      <formula>"TAX REFUND"</formula>
    </cfRule>
  </conditionalFormatting>
  <conditionalFormatting sqref="B94:F94">
    <cfRule type="cellIs" dxfId="783" priority="17" stopIfTrue="1" operator="equal">
      <formula>"TAX PAYABLE"</formula>
    </cfRule>
    <cfRule type="cellIs" dxfId="782" priority="18" stopIfTrue="1" operator="equal">
      <formula>"TAX REFUND"</formula>
    </cfRule>
  </conditionalFormatting>
  <conditionalFormatting sqref="B94:F94">
    <cfRule type="cellIs" dxfId="781" priority="15" stopIfTrue="1" operator="equal">
      <formula>"TAX PAYABLE"</formula>
    </cfRule>
    <cfRule type="cellIs" dxfId="780" priority="16" stopIfTrue="1" operator="equal">
      <formula>"TAX REFUND"</formula>
    </cfRule>
  </conditionalFormatting>
  <conditionalFormatting sqref="B94:F94">
    <cfRule type="cellIs" dxfId="779" priority="13" stopIfTrue="1" operator="equal">
      <formula>"TAX PAYABLE"</formula>
    </cfRule>
    <cfRule type="cellIs" dxfId="778" priority="14" stopIfTrue="1" operator="equal">
      <formula>"TAX REFUND"</formula>
    </cfRule>
  </conditionalFormatting>
  <conditionalFormatting sqref="B94:F94">
    <cfRule type="cellIs" dxfId="777" priority="11" stopIfTrue="1" operator="equal">
      <formula>"TAX PAYABLE"</formula>
    </cfRule>
    <cfRule type="cellIs" dxfId="776" priority="12" stopIfTrue="1" operator="equal">
      <formula>"TAX REFUND"</formula>
    </cfRule>
  </conditionalFormatting>
  <conditionalFormatting sqref="B94:F94">
    <cfRule type="cellIs" dxfId="775" priority="9" stopIfTrue="1" operator="equal">
      <formula>"TAX PAYABLE"</formula>
    </cfRule>
    <cfRule type="cellIs" dxfId="774" priority="10" stopIfTrue="1" operator="equal">
      <formula>"TAX REFUND"</formula>
    </cfRule>
  </conditionalFormatting>
  <conditionalFormatting sqref="B94:F94">
    <cfRule type="cellIs" dxfId="773" priority="7" stopIfTrue="1" operator="equal">
      <formula>"TAX PAYABLE"</formula>
    </cfRule>
    <cfRule type="cellIs" dxfId="772" priority="8" stopIfTrue="1" operator="equal">
      <formula>"TAX REFUND"</formula>
    </cfRule>
  </conditionalFormatting>
  <conditionalFormatting sqref="B94:F94">
    <cfRule type="cellIs" dxfId="771" priority="5" stopIfTrue="1" operator="equal">
      <formula>"TAX PAYABLE"</formula>
    </cfRule>
    <cfRule type="cellIs" dxfId="770" priority="6" stopIfTrue="1" operator="equal">
      <formula>"TAX REFUND"</formula>
    </cfRule>
  </conditionalFormatting>
  <conditionalFormatting sqref="B94:F94">
    <cfRule type="cellIs" dxfId="769" priority="3" stopIfTrue="1" operator="equal">
      <formula>"TAX PAYABLE"</formula>
    </cfRule>
    <cfRule type="cellIs" dxfId="768" priority="4" stopIfTrue="1" operator="equal">
      <formula>"TAX REFUND"</formula>
    </cfRule>
  </conditionalFormatting>
  <conditionalFormatting sqref="B94:F94">
    <cfRule type="cellIs" dxfId="767" priority="1" stopIfTrue="1" operator="equal">
      <formula>"TAX PAYABLE"</formula>
    </cfRule>
    <cfRule type="cellIs" dxfId="766" priority="2" stopIfTrue="1" operator="equal">
      <formula>"TAX REFUND"</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$Q$8:$Q$9</formula1>
    </dataValidation>
  </dataValidations>
  <pageMargins left="0.7" right="0.7" top="0.75" bottom="0.75" header="0.3" footer="0.3"/>
  <pageSetup paperSize="5" orientation="landscape" horizontalDpi="300" verticalDpi="300" r:id="rId1"/>
  <headerFooter alignWithMargins="0"/>
  <legacyDrawing r:id="rId2"/>
</worksheet>
</file>

<file path=xl/worksheets/sheet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103"/>
  <sheetViews>
    <sheetView topLeftCell="A61" workbookViewId="0">
      <selection activeCell="G73" sqref="G73"/>
    </sheetView>
  </sheetViews>
  <sheetFormatPr defaultRowHeight="12.75" x14ac:dyDescent="0.2"/>
  <cols>
    <col min="1" max="1" width="5" style="16" customWidth="1"/>
    <col min="2" max="2" width="19.42578125" style="37" customWidth="1"/>
    <col min="3" max="3" width="9.140625" style="16"/>
    <col min="4" max="4" width="8.42578125" style="16" customWidth="1"/>
    <col min="5" max="5" width="7.85546875" style="16" customWidth="1"/>
    <col min="6" max="6" width="8.5703125" style="16" customWidth="1"/>
    <col min="7" max="13" width="8.42578125" style="16" customWidth="1"/>
    <col min="14" max="14" width="8.5703125" style="16" customWidth="1"/>
    <col min="15" max="15" width="7.140625" style="16" bestFit="1" customWidth="1"/>
    <col min="16" max="20" width="9.140625" style="16"/>
    <col min="21" max="21" width="12.42578125" style="16" customWidth="1"/>
    <col min="22" max="22" width="9.140625" style="16"/>
    <col min="23" max="23" width="12" style="16" customWidth="1"/>
    <col min="24" max="256" width="9.140625" style="16"/>
    <col min="257" max="257" width="5" style="16" customWidth="1"/>
    <col min="258" max="258" width="19.42578125" style="16" customWidth="1"/>
    <col min="259" max="259" width="9.140625" style="16"/>
    <col min="260" max="260" width="8.42578125" style="16" customWidth="1"/>
    <col min="261" max="261" width="7.85546875" style="16" customWidth="1"/>
    <col min="262" max="262" width="8.5703125" style="16" customWidth="1"/>
    <col min="263" max="269" width="8.42578125" style="16" customWidth="1"/>
    <col min="270" max="270" width="8.5703125" style="16" customWidth="1"/>
    <col min="271" max="271" width="7.140625" style="16" bestFit="1" customWidth="1"/>
    <col min="272" max="276" width="9.140625" style="16"/>
    <col min="277" max="277" width="12.42578125" style="16" customWidth="1"/>
    <col min="278" max="278" width="9.140625" style="16"/>
    <col min="279" max="279" width="12" style="16" customWidth="1"/>
    <col min="280" max="512" width="9.140625" style="16"/>
    <col min="513" max="513" width="5" style="16" customWidth="1"/>
    <col min="514" max="514" width="19.42578125" style="16" customWidth="1"/>
    <col min="515" max="515" width="9.140625" style="16"/>
    <col min="516" max="516" width="8.42578125" style="16" customWidth="1"/>
    <col min="517" max="517" width="7.85546875" style="16" customWidth="1"/>
    <col min="518" max="518" width="8.5703125" style="16" customWidth="1"/>
    <col min="519" max="525" width="8.42578125" style="16" customWidth="1"/>
    <col min="526" max="526" width="8.5703125" style="16" customWidth="1"/>
    <col min="527" max="527" width="7.140625" style="16" bestFit="1" customWidth="1"/>
    <col min="528" max="532" width="9.140625" style="16"/>
    <col min="533" max="533" width="12.42578125" style="16" customWidth="1"/>
    <col min="534" max="534" width="9.140625" style="16"/>
    <col min="535" max="535" width="12" style="16" customWidth="1"/>
    <col min="536" max="768" width="9.140625" style="16"/>
    <col min="769" max="769" width="5" style="16" customWidth="1"/>
    <col min="770" max="770" width="19.42578125" style="16" customWidth="1"/>
    <col min="771" max="771" width="9.140625" style="16"/>
    <col min="772" max="772" width="8.42578125" style="16" customWidth="1"/>
    <col min="773" max="773" width="7.85546875" style="16" customWidth="1"/>
    <col min="774" max="774" width="8.5703125" style="16" customWidth="1"/>
    <col min="775" max="781" width="8.42578125" style="16" customWidth="1"/>
    <col min="782" max="782" width="8.5703125" style="16" customWidth="1"/>
    <col min="783" max="783" width="7.140625" style="16" bestFit="1" customWidth="1"/>
    <col min="784" max="788" width="9.140625" style="16"/>
    <col min="789" max="789" width="12.42578125" style="16" customWidth="1"/>
    <col min="790" max="790" width="9.140625" style="16"/>
    <col min="791" max="791" width="12" style="16" customWidth="1"/>
    <col min="792" max="1024" width="9.140625" style="16"/>
    <col min="1025" max="1025" width="5" style="16" customWidth="1"/>
    <col min="1026" max="1026" width="19.42578125" style="16" customWidth="1"/>
    <col min="1027" max="1027" width="9.140625" style="16"/>
    <col min="1028" max="1028" width="8.42578125" style="16" customWidth="1"/>
    <col min="1029" max="1029" width="7.85546875" style="16" customWidth="1"/>
    <col min="1030" max="1030" width="8.5703125" style="16" customWidth="1"/>
    <col min="1031" max="1037" width="8.42578125" style="16" customWidth="1"/>
    <col min="1038" max="1038" width="8.5703125" style="16" customWidth="1"/>
    <col min="1039" max="1039" width="7.140625" style="16" bestFit="1" customWidth="1"/>
    <col min="1040" max="1044" width="9.140625" style="16"/>
    <col min="1045" max="1045" width="12.42578125" style="16" customWidth="1"/>
    <col min="1046" max="1046" width="9.140625" style="16"/>
    <col min="1047" max="1047" width="12" style="16" customWidth="1"/>
    <col min="1048" max="1280" width="9.140625" style="16"/>
    <col min="1281" max="1281" width="5" style="16" customWidth="1"/>
    <col min="1282" max="1282" width="19.42578125" style="16" customWidth="1"/>
    <col min="1283" max="1283" width="9.140625" style="16"/>
    <col min="1284" max="1284" width="8.42578125" style="16" customWidth="1"/>
    <col min="1285" max="1285" width="7.85546875" style="16" customWidth="1"/>
    <col min="1286" max="1286" width="8.5703125" style="16" customWidth="1"/>
    <col min="1287" max="1293" width="8.42578125" style="16" customWidth="1"/>
    <col min="1294" max="1294" width="8.5703125" style="16" customWidth="1"/>
    <col min="1295" max="1295" width="7.140625" style="16" bestFit="1" customWidth="1"/>
    <col min="1296" max="1300" width="9.140625" style="16"/>
    <col min="1301" max="1301" width="12.42578125" style="16" customWidth="1"/>
    <col min="1302" max="1302" width="9.140625" style="16"/>
    <col min="1303" max="1303" width="12" style="16" customWidth="1"/>
    <col min="1304" max="1536" width="9.140625" style="16"/>
    <col min="1537" max="1537" width="5" style="16" customWidth="1"/>
    <col min="1538" max="1538" width="19.42578125" style="16" customWidth="1"/>
    <col min="1539" max="1539" width="9.140625" style="16"/>
    <col min="1540" max="1540" width="8.42578125" style="16" customWidth="1"/>
    <col min="1541" max="1541" width="7.85546875" style="16" customWidth="1"/>
    <col min="1542" max="1542" width="8.5703125" style="16" customWidth="1"/>
    <col min="1543" max="1549" width="8.42578125" style="16" customWidth="1"/>
    <col min="1550" max="1550" width="8.5703125" style="16" customWidth="1"/>
    <col min="1551" max="1551" width="7.140625" style="16" bestFit="1" customWidth="1"/>
    <col min="1552" max="1556" width="9.140625" style="16"/>
    <col min="1557" max="1557" width="12.42578125" style="16" customWidth="1"/>
    <col min="1558" max="1558" width="9.140625" style="16"/>
    <col min="1559" max="1559" width="12" style="16" customWidth="1"/>
    <col min="1560" max="1792" width="9.140625" style="16"/>
    <col min="1793" max="1793" width="5" style="16" customWidth="1"/>
    <col min="1794" max="1794" width="19.42578125" style="16" customWidth="1"/>
    <col min="1795" max="1795" width="9.140625" style="16"/>
    <col min="1796" max="1796" width="8.42578125" style="16" customWidth="1"/>
    <col min="1797" max="1797" width="7.85546875" style="16" customWidth="1"/>
    <col min="1798" max="1798" width="8.5703125" style="16" customWidth="1"/>
    <col min="1799" max="1805" width="8.42578125" style="16" customWidth="1"/>
    <col min="1806" max="1806" width="8.5703125" style="16" customWidth="1"/>
    <col min="1807" max="1807" width="7.140625" style="16" bestFit="1" customWidth="1"/>
    <col min="1808" max="1812" width="9.140625" style="16"/>
    <col min="1813" max="1813" width="12.42578125" style="16" customWidth="1"/>
    <col min="1814" max="1814" width="9.140625" style="16"/>
    <col min="1815" max="1815" width="12" style="16" customWidth="1"/>
    <col min="1816" max="2048" width="9.140625" style="16"/>
    <col min="2049" max="2049" width="5" style="16" customWidth="1"/>
    <col min="2050" max="2050" width="19.42578125" style="16" customWidth="1"/>
    <col min="2051" max="2051" width="9.140625" style="16"/>
    <col min="2052" max="2052" width="8.42578125" style="16" customWidth="1"/>
    <col min="2053" max="2053" width="7.85546875" style="16" customWidth="1"/>
    <col min="2054" max="2054" width="8.5703125" style="16" customWidth="1"/>
    <col min="2055" max="2061" width="8.42578125" style="16" customWidth="1"/>
    <col min="2062" max="2062" width="8.5703125" style="16" customWidth="1"/>
    <col min="2063" max="2063" width="7.140625" style="16" bestFit="1" customWidth="1"/>
    <col min="2064" max="2068" width="9.140625" style="16"/>
    <col min="2069" max="2069" width="12.42578125" style="16" customWidth="1"/>
    <col min="2070" max="2070" width="9.140625" style="16"/>
    <col min="2071" max="2071" width="12" style="16" customWidth="1"/>
    <col min="2072" max="2304" width="9.140625" style="16"/>
    <col min="2305" max="2305" width="5" style="16" customWidth="1"/>
    <col min="2306" max="2306" width="19.42578125" style="16" customWidth="1"/>
    <col min="2307" max="2307" width="9.140625" style="16"/>
    <col min="2308" max="2308" width="8.42578125" style="16" customWidth="1"/>
    <col min="2309" max="2309" width="7.85546875" style="16" customWidth="1"/>
    <col min="2310" max="2310" width="8.5703125" style="16" customWidth="1"/>
    <col min="2311" max="2317" width="8.42578125" style="16" customWidth="1"/>
    <col min="2318" max="2318" width="8.5703125" style="16" customWidth="1"/>
    <col min="2319" max="2319" width="7.140625" style="16" bestFit="1" customWidth="1"/>
    <col min="2320" max="2324" width="9.140625" style="16"/>
    <col min="2325" max="2325" width="12.42578125" style="16" customWidth="1"/>
    <col min="2326" max="2326" width="9.140625" style="16"/>
    <col min="2327" max="2327" width="12" style="16" customWidth="1"/>
    <col min="2328" max="2560" width="9.140625" style="16"/>
    <col min="2561" max="2561" width="5" style="16" customWidth="1"/>
    <col min="2562" max="2562" width="19.42578125" style="16" customWidth="1"/>
    <col min="2563" max="2563" width="9.140625" style="16"/>
    <col min="2564" max="2564" width="8.42578125" style="16" customWidth="1"/>
    <col min="2565" max="2565" width="7.85546875" style="16" customWidth="1"/>
    <col min="2566" max="2566" width="8.5703125" style="16" customWidth="1"/>
    <col min="2567" max="2573" width="8.42578125" style="16" customWidth="1"/>
    <col min="2574" max="2574" width="8.5703125" style="16" customWidth="1"/>
    <col min="2575" max="2575" width="7.140625" style="16" bestFit="1" customWidth="1"/>
    <col min="2576" max="2580" width="9.140625" style="16"/>
    <col min="2581" max="2581" width="12.42578125" style="16" customWidth="1"/>
    <col min="2582" max="2582" width="9.140625" style="16"/>
    <col min="2583" max="2583" width="12" style="16" customWidth="1"/>
    <col min="2584" max="2816" width="9.140625" style="16"/>
    <col min="2817" max="2817" width="5" style="16" customWidth="1"/>
    <col min="2818" max="2818" width="19.42578125" style="16" customWidth="1"/>
    <col min="2819" max="2819" width="9.140625" style="16"/>
    <col min="2820" max="2820" width="8.42578125" style="16" customWidth="1"/>
    <col min="2821" max="2821" width="7.85546875" style="16" customWidth="1"/>
    <col min="2822" max="2822" width="8.5703125" style="16" customWidth="1"/>
    <col min="2823" max="2829" width="8.42578125" style="16" customWidth="1"/>
    <col min="2830" max="2830" width="8.5703125" style="16" customWidth="1"/>
    <col min="2831" max="2831" width="7.140625" style="16" bestFit="1" customWidth="1"/>
    <col min="2832" max="2836" width="9.140625" style="16"/>
    <col min="2837" max="2837" width="12.42578125" style="16" customWidth="1"/>
    <col min="2838" max="2838" width="9.140625" style="16"/>
    <col min="2839" max="2839" width="12" style="16" customWidth="1"/>
    <col min="2840" max="3072" width="9.140625" style="16"/>
    <col min="3073" max="3073" width="5" style="16" customWidth="1"/>
    <col min="3074" max="3074" width="19.42578125" style="16" customWidth="1"/>
    <col min="3075" max="3075" width="9.140625" style="16"/>
    <col min="3076" max="3076" width="8.42578125" style="16" customWidth="1"/>
    <col min="3077" max="3077" width="7.85546875" style="16" customWidth="1"/>
    <col min="3078" max="3078" width="8.5703125" style="16" customWidth="1"/>
    <col min="3079" max="3085" width="8.42578125" style="16" customWidth="1"/>
    <col min="3086" max="3086" width="8.5703125" style="16" customWidth="1"/>
    <col min="3087" max="3087" width="7.140625" style="16" bestFit="1" customWidth="1"/>
    <col min="3088" max="3092" width="9.140625" style="16"/>
    <col min="3093" max="3093" width="12.42578125" style="16" customWidth="1"/>
    <col min="3094" max="3094" width="9.140625" style="16"/>
    <col min="3095" max="3095" width="12" style="16" customWidth="1"/>
    <col min="3096" max="3328" width="9.140625" style="16"/>
    <col min="3329" max="3329" width="5" style="16" customWidth="1"/>
    <col min="3330" max="3330" width="19.42578125" style="16" customWidth="1"/>
    <col min="3331" max="3331" width="9.140625" style="16"/>
    <col min="3332" max="3332" width="8.42578125" style="16" customWidth="1"/>
    <col min="3333" max="3333" width="7.85546875" style="16" customWidth="1"/>
    <col min="3334" max="3334" width="8.5703125" style="16" customWidth="1"/>
    <col min="3335" max="3341" width="8.42578125" style="16" customWidth="1"/>
    <col min="3342" max="3342" width="8.5703125" style="16" customWidth="1"/>
    <col min="3343" max="3343" width="7.140625" style="16" bestFit="1" customWidth="1"/>
    <col min="3344" max="3348" width="9.140625" style="16"/>
    <col min="3349" max="3349" width="12.42578125" style="16" customWidth="1"/>
    <col min="3350" max="3350" width="9.140625" style="16"/>
    <col min="3351" max="3351" width="12" style="16" customWidth="1"/>
    <col min="3352" max="3584" width="9.140625" style="16"/>
    <col min="3585" max="3585" width="5" style="16" customWidth="1"/>
    <col min="3586" max="3586" width="19.42578125" style="16" customWidth="1"/>
    <col min="3587" max="3587" width="9.140625" style="16"/>
    <col min="3588" max="3588" width="8.42578125" style="16" customWidth="1"/>
    <col min="3589" max="3589" width="7.85546875" style="16" customWidth="1"/>
    <col min="3590" max="3590" width="8.5703125" style="16" customWidth="1"/>
    <col min="3591" max="3597" width="8.42578125" style="16" customWidth="1"/>
    <col min="3598" max="3598" width="8.5703125" style="16" customWidth="1"/>
    <col min="3599" max="3599" width="7.140625" style="16" bestFit="1" customWidth="1"/>
    <col min="3600" max="3604" width="9.140625" style="16"/>
    <col min="3605" max="3605" width="12.42578125" style="16" customWidth="1"/>
    <col min="3606" max="3606" width="9.140625" style="16"/>
    <col min="3607" max="3607" width="12" style="16" customWidth="1"/>
    <col min="3608" max="3840" width="9.140625" style="16"/>
    <col min="3841" max="3841" width="5" style="16" customWidth="1"/>
    <col min="3842" max="3842" width="19.42578125" style="16" customWidth="1"/>
    <col min="3843" max="3843" width="9.140625" style="16"/>
    <col min="3844" max="3844" width="8.42578125" style="16" customWidth="1"/>
    <col min="3845" max="3845" width="7.85546875" style="16" customWidth="1"/>
    <col min="3846" max="3846" width="8.5703125" style="16" customWidth="1"/>
    <col min="3847" max="3853" width="8.42578125" style="16" customWidth="1"/>
    <col min="3854" max="3854" width="8.5703125" style="16" customWidth="1"/>
    <col min="3855" max="3855" width="7.140625" style="16" bestFit="1" customWidth="1"/>
    <col min="3856" max="3860" width="9.140625" style="16"/>
    <col min="3861" max="3861" width="12.42578125" style="16" customWidth="1"/>
    <col min="3862" max="3862" width="9.140625" style="16"/>
    <col min="3863" max="3863" width="12" style="16" customWidth="1"/>
    <col min="3864" max="4096" width="9.140625" style="16"/>
    <col min="4097" max="4097" width="5" style="16" customWidth="1"/>
    <col min="4098" max="4098" width="19.42578125" style="16" customWidth="1"/>
    <col min="4099" max="4099" width="9.140625" style="16"/>
    <col min="4100" max="4100" width="8.42578125" style="16" customWidth="1"/>
    <col min="4101" max="4101" width="7.85546875" style="16" customWidth="1"/>
    <col min="4102" max="4102" width="8.5703125" style="16" customWidth="1"/>
    <col min="4103" max="4109" width="8.42578125" style="16" customWidth="1"/>
    <col min="4110" max="4110" width="8.5703125" style="16" customWidth="1"/>
    <col min="4111" max="4111" width="7.140625" style="16" bestFit="1" customWidth="1"/>
    <col min="4112" max="4116" width="9.140625" style="16"/>
    <col min="4117" max="4117" width="12.42578125" style="16" customWidth="1"/>
    <col min="4118" max="4118" width="9.140625" style="16"/>
    <col min="4119" max="4119" width="12" style="16" customWidth="1"/>
    <col min="4120" max="4352" width="9.140625" style="16"/>
    <col min="4353" max="4353" width="5" style="16" customWidth="1"/>
    <col min="4354" max="4354" width="19.42578125" style="16" customWidth="1"/>
    <col min="4355" max="4355" width="9.140625" style="16"/>
    <col min="4356" max="4356" width="8.42578125" style="16" customWidth="1"/>
    <col min="4357" max="4357" width="7.85546875" style="16" customWidth="1"/>
    <col min="4358" max="4358" width="8.5703125" style="16" customWidth="1"/>
    <col min="4359" max="4365" width="8.42578125" style="16" customWidth="1"/>
    <col min="4366" max="4366" width="8.5703125" style="16" customWidth="1"/>
    <col min="4367" max="4367" width="7.140625" style="16" bestFit="1" customWidth="1"/>
    <col min="4368" max="4372" width="9.140625" style="16"/>
    <col min="4373" max="4373" width="12.42578125" style="16" customWidth="1"/>
    <col min="4374" max="4374" width="9.140625" style="16"/>
    <col min="4375" max="4375" width="12" style="16" customWidth="1"/>
    <col min="4376" max="4608" width="9.140625" style="16"/>
    <col min="4609" max="4609" width="5" style="16" customWidth="1"/>
    <col min="4610" max="4610" width="19.42578125" style="16" customWidth="1"/>
    <col min="4611" max="4611" width="9.140625" style="16"/>
    <col min="4612" max="4612" width="8.42578125" style="16" customWidth="1"/>
    <col min="4613" max="4613" width="7.85546875" style="16" customWidth="1"/>
    <col min="4614" max="4614" width="8.5703125" style="16" customWidth="1"/>
    <col min="4615" max="4621" width="8.42578125" style="16" customWidth="1"/>
    <col min="4622" max="4622" width="8.5703125" style="16" customWidth="1"/>
    <col min="4623" max="4623" width="7.140625" style="16" bestFit="1" customWidth="1"/>
    <col min="4624" max="4628" width="9.140625" style="16"/>
    <col min="4629" max="4629" width="12.42578125" style="16" customWidth="1"/>
    <col min="4630" max="4630" width="9.140625" style="16"/>
    <col min="4631" max="4631" width="12" style="16" customWidth="1"/>
    <col min="4632" max="4864" width="9.140625" style="16"/>
    <col min="4865" max="4865" width="5" style="16" customWidth="1"/>
    <col min="4866" max="4866" width="19.42578125" style="16" customWidth="1"/>
    <col min="4867" max="4867" width="9.140625" style="16"/>
    <col min="4868" max="4868" width="8.42578125" style="16" customWidth="1"/>
    <col min="4869" max="4869" width="7.85546875" style="16" customWidth="1"/>
    <col min="4870" max="4870" width="8.5703125" style="16" customWidth="1"/>
    <col min="4871" max="4877" width="8.42578125" style="16" customWidth="1"/>
    <col min="4878" max="4878" width="8.5703125" style="16" customWidth="1"/>
    <col min="4879" max="4879" width="7.140625" style="16" bestFit="1" customWidth="1"/>
    <col min="4880" max="4884" width="9.140625" style="16"/>
    <col min="4885" max="4885" width="12.42578125" style="16" customWidth="1"/>
    <col min="4886" max="4886" width="9.140625" style="16"/>
    <col min="4887" max="4887" width="12" style="16" customWidth="1"/>
    <col min="4888" max="5120" width="9.140625" style="16"/>
    <col min="5121" max="5121" width="5" style="16" customWidth="1"/>
    <col min="5122" max="5122" width="19.42578125" style="16" customWidth="1"/>
    <col min="5123" max="5123" width="9.140625" style="16"/>
    <col min="5124" max="5124" width="8.42578125" style="16" customWidth="1"/>
    <col min="5125" max="5125" width="7.85546875" style="16" customWidth="1"/>
    <col min="5126" max="5126" width="8.5703125" style="16" customWidth="1"/>
    <col min="5127" max="5133" width="8.42578125" style="16" customWidth="1"/>
    <col min="5134" max="5134" width="8.5703125" style="16" customWidth="1"/>
    <col min="5135" max="5135" width="7.140625" style="16" bestFit="1" customWidth="1"/>
    <col min="5136" max="5140" width="9.140625" style="16"/>
    <col min="5141" max="5141" width="12.42578125" style="16" customWidth="1"/>
    <col min="5142" max="5142" width="9.140625" style="16"/>
    <col min="5143" max="5143" width="12" style="16" customWidth="1"/>
    <col min="5144" max="5376" width="9.140625" style="16"/>
    <col min="5377" max="5377" width="5" style="16" customWidth="1"/>
    <col min="5378" max="5378" width="19.42578125" style="16" customWidth="1"/>
    <col min="5379" max="5379" width="9.140625" style="16"/>
    <col min="5380" max="5380" width="8.42578125" style="16" customWidth="1"/>
    <col min="5381" max="5381" width="7.85546875" style="16" customWidth="1"/>
    <col min="5382" max="5382" width="8.5703125" style="16" customWidth="1"/>
    <col min="5383" max="5389" width="8.42578125" style="16" customWidth="1"/>
    <col min="5390" max="5390" width="8.5703125" style="16" customWidth="1"/>
    <col min="5391" max="5391" width="7.140625" style="16" bestFit="1" customWidth="1"/>
    <col min="5392" max="5396" width="9.140625" style="16"/>
    <col min="5397" max="5397" width="12.42578125" style="16" customWidth="1"/>
    <col min="5398" max="5398" width="9.140625" style="16"/>
    <col min="5399" max="5399" width="12" style="16" customWidth="1"/>
    <col min="5400" max="5632" width="9.140625" style="16"/>
    <col min="5633" max="5633" width="5" style="16" customWidth="1"/>
    <col min="5634" max="5634" width="19.42578125" style="16" customWidth="1"/>
    <col min="5635" max="5635" width="9.140625" style="16"/>
    <col min="5636" max="5636" width="8.42578125" style="16" customWidth="1"/>
    <col min="5637" max="5637" width="7.85546875" style="16" customWidth="1"/>
    <col min="5638" max="5638" width="8.5703125" style="16" customWidth="1"/>
    <col min="5639" max="5645" width="8.42578125" style="16" customWidth="1"/>
    <col min="5646" max="5646" width="8.5703125" style="16" customWidth="1"/>
    <col min="5647" max="5647" width="7.140625" style="16" bestFit="1" customWidth="1"/>
    <col min="5648" max="5652" width="9.140625" style="16"/>
    <col min="5653" max="5653" width="12.42578125" style="16" customWidth="1"/>
    <col min="5654" max="5654" width="9.140625" style="16"/>
    <col min="5655" max="5655" width="12" style="16" customWidth="1"/>
    <col min="5656" max="5888" width="9.140625" style="16"/>
    <col min="5889" max="5889" width="5" style="16" customWidth="1"/>
    <col min="5890" max="5890" width="19.42578125" style="16" customWidth="1"/>
    <col min="5891" max="5891" width="9.140625" style="16"/>
    <col min="5892" max="5892" width="8.42578125" style="16" customWidth="1"/>
    <col min="5893" max="5893" width="7.85546875" style="16" customWidth="1"/>
    <col min="5894" max="5894" width="8.5703125" style="16" customWidth="1"/>
    <col min="5895" max="5901" width="8.42578125" style="16" customWidth="1"/>
    <col min="5902" max="5902" width="8.5703125" style="16" customWidth="1"/>
    <col min="5903" max="5903" width="7.140625" style="16" bestFit="1" customWidth="1"/>
    <col min="5904" max="5908" width="9.140625" style="16"/>
    <col min="5909" max="5909" width="12.42578125" style="16" customWidth="1"/>
    <col min="5910" max="5910" width="9.140625" style="16"/>
    <col min="5911" max="5911" width="12" style="16" customWidth="1"/>
    <col min="5912" max="6144" width="9.140625" style="16"/>
    <col min="6145" max="6145" width="5" style="16" customWidth="1"/>
    <col min="6146" max="6146" width="19.42578125" style="16" customWidth="1"/>
    <col min="6147" max="6147" width="9.140625" style="16"/>
    <col min="6148" max="6148" width="8.42578125" style="16" customWidth="1"/>
    <col min="6149" max="6149" width="7.85546875" style="16" customWidth="1"/>
    <col min="6150" max="6150" width="8.5703125" style="16" customWidth="1"/>
    <col min="6151" max="6157" width="8.42578125" style="16" customWidth="1"/>
    <col min="6158" max="6158" width="8.5703125" style="16" customWidth="1"/>
    <col min="6159" max="6159" width="7.140625" style="16" bestFit="1" customWidth="1"/>
    <col min="6160" max="6164" width="9.140625" style="16"/>
    <col min="6165" max="6165" width="12.42578125" style="16" customWidth="1"/>
    <col min="6166" max="6166" width="9.140625" style="16"/>
    <col min="6167" max="6167" width="12" style="16" customWidth="1"/>
    <col min="6168" max="6400" width="9.140625" style="16"/>
    <col min="6401" max="6401" width="5" style="16" customWidth="1"/>
    <col min="6402" max="6402" width="19.42578125" style="16" customWidth="1"/>
    <col min="6403" max="6403" width="9.140625" style="16"/>
    <col min="6404" max="6404" width="8.42578125" style="16" customWidth="1"/>
    <col min="6405" max="6405" width="7.85546875" style="16" customWidth="1"/>
    <col min="6406" max="6406" width="8.5703125" style="16" customWidth="1"/>
    <col min="6407" max="6413" width="8.42578125" style="16" customWidth="1"/>
    <col min="6414" max="6414" width="8.5703125" style="16" customWidth="1"/>
    <col min="6415" max="6415" width="7.140625" style="16" bestFit="1" customWidth="1"/>
    <col min="6416" max="6420" width="9.140625" style="16"/>
    <col min="6421" max="6421" width="12.42578125" style="16" customWidth="1"/>
    <col min="6422" max="6422" width="9.140625" style="16"/>
    <col min="6423" max="6423" width="12" style="16" customWidth="1"/>
    <col min="6424" max="6656" width="9.140625" style="16"/>
    <col min="6657" max="6657" width="5" style="16" customWidth="1"/>
    <col min="6658" max="6658" width="19.42578125" style="16" customWidth="1"/>
    <col min="6659" max="6659" width="9.140625" style="16"/>
    <col min="6660" max="6660" width="8.42578125" style="16" customWidth="1"/>
    <col min="6661" max="6661" width="7.85546875" style="16" customWidth="1"/>
    <col min="6662" max="6662" width="8.5703125" style="16" customWidth="1"/>
    <col min="6663" max="6669" width="8.42578125" style="16" customWidth="1"/>
    <col min="6670" max="6670" width="8.5703125" style="16" customWidth="1"/>
    <col min="6671" max="6671" width="7.140625" style="16" bestFit="1" customWidth="1"/>
    <col min="6672" max="6676" width="9.140625" style="16"/>
    <col min="6677" max="6677" width="12.42578125" style="16" customWidth="1"/>
    <col min="6678" max="6678" width="9.140625" style="16"/>
    <col min="6679" max="6679" width="12" style="16" customWidth="1"/>
    <col min="6680" max="6912" width="9.140625" style="16"/>
    <col min="6913" max="6913" width="5" style="16" customWidth="1"/>
    <col min="6914" max="6914" width="19.42578125" style="16" customWidth="1"/>
    <col min="6915" max="6915" width="9.140625" style="16"/>
    <col min="6916" max="6916" width="8.42578125" style="16" customWidth="1"/>
    <col min="6917" max="6917" width="7.85546875" style="16" customWidth="1"/>
    <col min="6918" max="6918" width="8.5703125" style="16" customWidth="1"/>
    <col min="6919" max="6925" width="8.42578125" style="16" customWidth="1"/>
    <col min="6926" max="6926" width="8.5703125" style="16" customWidth="1"/>
    <col min="6927" max="6927" width="7.140625" style="16" bestFit="1" customWidth="1"/>
    <col min="6928" max="6932" width="9.140625" style="16"/>
    <col min="6933" max="6933" width="12.42578125" style="16" customWidth="1"/>
    <col min="6934" max="6934" width="9.140625" style="16"/>
    <col min="6935" max="6935" width="12" style="16" customWidth="1"/>
    <col min="6936" max="7168" width="9.140625" style="16"/>
    <col min="7169" max="7169" width="5" style="16" customWidth="1"/>
    <col min="7170" max="7170" width="19.42578125" style="16" customWidth="1"/>
    <col min="7171" max="7171" width="9.140625" style="16"/>
    <col min="7172" max="7172" width="8.42578125" style="16" customWidth="1"/>
    <col min="7173" max="7173" width="7.85546875" style="16" customWidth="1"/>
    <col min="7174" max="7174" width="8.5703125" style="16" customWidth="1"/>
    <col min="7175" max="7181" width="8.42578125" style="16" customWidth="1"/>
    <col min="7182" max="7182" width="8.5703125" style="16" customWidth="1"/>
    <col min="7183" max="7183" width="7.140625" style="16" bestFit="1" customWidth="1"/>
    <col min="7184" max="7188" width="9.140625" style="16"/>
    <col min="7189" max="7189" width="12.42578125" style="16" customWidth="1"/>
    <col min="7190" max="7190" width="9.140625" style="16"/>
    <col min="7191" max="7191" width="12" style="16" customWidth="1"/>
    <col min="7192" max="7424" width="9.140625" style="16"/>
    <col min="7425" max="7425" width="5" style="16" customWidth="1"/>
    <col min="7426" max="7426" width="19.42578125" style="16" customWidth="1"/>
    <col min="7427" max="7427" width="9.140625" style="16"/>
    <col min="7428" max="7428" width="8.42578125" style="16" customWidth="1"/>
    <col min="7429" max="7429" width="7.85546875" style="16" customWidth="1"/>
    <col min="7430" max="7430" width="8.5703125" style="16" customWidth="1"/>
    <col min="7431" max="7437" width="8.42578125" style="16" customWidth="1"/>
    <col min="7438" max="7438" width="8.5703125" style="16" customWidth="1"/>
    <col min="7439" max="7439" width="7.140625" style="16" bestFit="1" customWidth="1"/>
    <col min="7440" max="7444" width="9.140625" style="16"/>
    <col min="7445" max="7445" width="12.42578125" style="16" customWidth="1"/>
    <col min="7446" max="7446" width="9.140625" style="16"/>
    <col min="7447" max="7447" width="12" style="16" customWidth="1"/>
    <col min="7448" max="7680" width="9.140625" style="16"/>
    <col min="7681" max="7681" width="5" style="16" customWidth="1"/>
    <col min="7682" max="7682" width="19.42578125" style="16" customWidth="1"/>
    <col min="7683" max="7683" width="9.140625" style="16"/>
    <col min="7684" max="7684" width="8.42578125" style="16" customWidth="1"/>
    <col min="7685" max="7685" width="7.85546875" style="16" customWidth="1"/>
    <col min="7686" max="7686" width="8.5703125" style="16" customWidth="1"/>
    <col min="7687" max="7693" width="8.42578125" style="16" customWidth="1"/>
    <col min="7694" max="7694" width="8.5703125" style="16" customWidth="1"/>
    <col min="7695" max="7695" width="7.140625" style="16" bestFit="1" customWidth="1"/>
    <col min="7696" max="7700" width="9.140625" style="16"/>
    <col min="7701" max="7701" width="12.42578125" style="16" customWidth="1"/>
    <col min="7702" max="7702" width="9.140625" style="16"/>
    <col min="7703" max="7703" width="12" style="16" customWidth="1"/>
    <col min="7704" max="7936" width="9.140625" style="16"/>
    <col min="7937" max="7937" width="5" style="16" customWidth="1"/>
    <col min="7938" max="7938" width="19.42578125" style="16" customWidth="1"/>
    <col min="7939" max="7939" width="9.140625" style="16"/>
    <col min="7940" max="7940" width="8.42578125" style="16" customWidth="1"/>
    <col min="7941" max="7941" width="7.85546875" style="16" customWidth="1"/>
    <col min="7942" max="7942" width="8.5703125" style="16" customWidth="1"/>
    <col min="7943" max="7949" width="8.42578125" style="16" customWidth="1"/>
    <col min="7950" max="7950" width="8.5703125" style="16" customWidth="1"/>
    <col min="7951" max="7951" width="7.140625" style="16" bestFit="1" customWidth="1"/>
    <col min="7952" max="7956" width="9.140625" style="16"/>
    <col min="7957" max="7957" width="12.42578125" style="16" customWidth="1"/>
    <col min="7958" max="7958" width="9.140625" style="16"/>
    <col min="7959" max="7959" width="12" style="16" customWidth="1"/>
    <col min="7960" max="8192" width="9.140625" style="16"/>
    <col min="8193" max="8193" width="5" style="16" customWidth="1"/>
    <col min="8194" max="8194" width="19.42578125" style="16" customWidth="1"/>
    <col min="8195" max="8195" width="9.140625" style="16"/>
    <col min="8196" max="8196" width="8.42578125" style="16" customWidth="1"/>
    <col min="8197" max="8197" width="7.85546875" style="16" customWidth="1"/>
    <col min="8198" max="8198" width="8.5703125" style="16" customWidth="1"/>
    <col min="8199" max="8205" width="8.42578125" style="16" customWidth="1"/>
    <col min="8206" max="8206" width="8.5703125" style="16" customWidth="1"/>
    <col min="8207" max="8207" width="7.140625" style="16" bestFit="1" customWidth="1"/>
    <col min="8208" max="8212" width="9.140625" style="16"/>
    <col min="8213" max="8213" width="12.42578125" style="16" customWidth="1"/>
    <col min="8214" max="8214" width="9.140625" style="16"/>
    <col min="8215" max="8215" width="12" style="16" customWidth="1"/>
    <col min="8216" max="8448" width="9.140625" style="16"/>
    <col min="8449" max="8449" width="5" style="16" customWidth="1"/>
    <col min="8450" max="8450" width="19.42578125" style="16" customWidth="1"/>
    <col min="8451" max="8451" width="9.140625" style="16"/>
    <col min="8452" max="8452" width="8.42578125" style="16" customWidth="1"/>
    <col min="8453" max="8453" width="7.85546875" style="16" customWidth="1"/>
    <col min="8454" max="8454" width="8.5703125" style="16" customWidth="1"/>
    <col min="8455" max="8461" width="8.42578125" style="16" customWidth="1"/>
    <col min="8462" max="8462" width="8.5703125" style="16" customWidth="1"/>
    <col min="8463" max="8463" width="7.140625" style="16" bestFit="1" customWidth="1"/>
    <col min="8464" max="8468" width="9.140625" style="16"/>
    <col min="8469" max="8469" width="12.42578125" style="16" customWidth="1"/>
    <col min="8470" max="8470" width="9.140625" style="16"/>
    <col min="8471" max="8471" width="12" style="16" customWidth="1"/>
    <col min="8472" max="8704" width="9.140625" style="16"/>
    <col min="8705" max="8705" width="5" style="16" customWidth="1"/>
    <col min="8706" max="8706" width="19.42578125" style="16" customWidth="1"/>
    <col min="8707" max="8707" width="9.140625" style="16"/>
    <col min="8708" max="8708" width="8.42578125" style="16" customWidth="1"/>
    <col min="8709" max="8709" width="7.85546875" style="16" customWidth="1"/>
    <col min="8710" max="8710" width="8.5703125" style="16" customWidth="1"/>
    <col min="8711" max="8717" width="8.42578125" style="16" customWidth="1"/>
    <col min="8718" max="8718" width="8.5703125" style="16" customWidth="1"/>
    <col min="8719" max="8719" width="7.140625" style="16" bestFit="1" customWidth="1"/>
    <col min="8720" max="8724" width="9.140625" style="16"/>
    <col min="8725" max="8725" width="12.42578125" style="16" customWidth="1"/>
    <col min="8726" max="8726" width="9.140625" style="16"/>
    <col min="8727" max="8727" width="12" style="16" customWidth="1"/>
    <col min="8728" max="8960" width="9.140625" style="16"/>
    <col min="8961" max="8961" width="5" style="16" customWidth="1"/>
    <col min="8962" max="8962" width="19.42578125" style="16" customWidth="1"/>
    <col min="8963" max="8963" width="9.140625" style="16"/>
    <col min="8964" max="8964" width="8.42578125" style="16" customWidth="1"/>
    <col min="8965" max="8965" width="7.85546875" style="16" customWidth="1"/>
    <col min="8966" max="8966" width="8.5703125" style="16" customWidth="1"/>
    <col min="8967" max="8973" width="8.42578125" style="16" customWidth="1"/>
    <col min="8974" max="8974" width="8.5703125" style="16" customWidth="1"/>
    <col min="8975" max="8975" width="7.140625" style="16" bestFit="1" customWidth="1"/>
    <col min="8976" max="8980" width="9.140625" style="16"/>
    <col min="8981" max="8981" width="12.42578125" style="16" customWidth="1"/>
    <col min="8982" max="8982" width="9.140625" style="16"/>
    <col min="8983" max="8983" width="12" style="16" customWidth="1"/>
    <col min="8984" max="9216" width="9.140625" style="16"/>
    <col min="9217" max="9217" width="5" style="16" customWidth="1"/>
    <col min="9218" max="9218" width="19.42578125" style="16" customWidth="1"/>
    <col min="9219" max="9219" width="9.140625" style="16"/>
    <col min="9220" max="9220" width="8.42578125" style="16" customWidth="1"/>
    <col min="9221" max="9221" width="7.85546875" style="16" customWidth="1"/>
    <col min="9222" max="9222" width="8.5703125" style="16" customWidth="1"/>
    <col min="9223" max="9229" width="8.42578125" style="16" customWidth="1"/>
    <col min="9230" max="9230" width="8.5703125" style="16" customWidth="1"/>
    <col min="9231" max="9231" width="7.140625" style="16" bestFit="1" customWidth="1"/>
    <col min="9232" max="9236" width="9.140625" style="16"/>
    <col min="9237" max="9237" width="12.42578125" style="16" customWidth="1"/>
    <col min="9238" max="9238" width="9.140625" style="16"/>
    <col min="9239" max="9239" width="12" style="16" customWidth="1"/>
    <col min="9240" max="9472" width="9.140625" style="16"/>
    <col min="9473" max="9473" width="5" style="16" customWidth="1"/>
    <col min="9474" max="9474" width="19.42578125" style="16" customWidth="1"/>
    <col min="9475" max="9475" width="9.140625" style="16"/>
    <col min="9476" max="9476" width="8.42578125" style="16" customWidth="1"/>
    <col min="9477" max="9477" width="7.85546875" style="16" customWidth="1"/>
    <col min="9478" max="9478" width="8.5703125" style="16" customWidth="1"/>
    <col min="9479" max="9485" width="8.42578125" style="16" customWidth="1"/>
    <col min="9486" max="9486" width="8.5703125" style="16" customWidth="1"/>
    <col min="9487" max="9487" width="7.140625" style="16" bestFit="1" customWidth="1"/>
    <col min="9488" max="9492" width="9.140625" style="16"/>
    <col min="9493" max="9493" width="12.42578125" style="16" customWidth="1"/>
    <col min="9494" max="9494" width="9.140625" style="16"/>
    <col min="9495" max="9495" width="12" style="16" customWidth="1"/>
    <col min="9496" max="9728" width="9.140625" style="16"/>
    <col min="9729" max="9729" width="5" style="16" customWidth="1"/>
    <col min="9730" max="9730" width="19.42578125" style="16" customWidth="1"/>
    <col min="9731" max="9731" width="9.140625" style="16"/>
    <col min="9732" max="9732" width="8.42578125" style="16" customWidth="1"/>
    <col min="9733" max="9733" width="7.85546875" style="16" customWidth="1"/>
    <col min="9734" max="9734" width="8.5703125" style="16" customWidth="1"/>
    <col min="9735" max="9741" width="8.42578125" style="16" customWidth="1"/>
    <col min="9742" max="9742" width="8.5703125" style="16" customWidth="1"/>
    <col min="9743" max="9743" width="7.140625" style="16" bestFit="1" customWidth="1"/>
    <col min="9744" max="9748" width="9.140625" style="16"/>
    <col min="9749" max="9749" width="12.42578125" style="16" customWidth="1"/>
    <col min="9750" max="9750" width="9.140625" style="16"/>
    <col min="9751" max="9751" width="12" style="16" customWidth="1"/>
    <col min="9752" max="9984" width="9.140625" style="16"/>
    <col min="9985" max="9985" width="5" style="16" customWidth="1"/>
    <col min="9986" max="9986" width="19.42578125" style="16" customWidth="1"/>
    <col min="9987" max="9987" width="9.140625" style="16"/>
    <col min="9988" max="9988" width="8.42578125" style="16" customWidth="1"/>
    <col min="9989" max="9989" width="7.85546875" style="16" customWidth="1"/>
    <col min="9990" max="9990" width="8.5703125" style="16" customWidth="1"/>
    <col min="9991" max="9997" width="8.42578125" style="16" customWidth="1"/>
    <col min="9998" max="9998" width="8.5703125" style="16" customWidth="1"/>
    <col min="9999" max="9999" width="7.140625" style="16" bestFit="1" customWidth="1"/>
    <col min="10000" max="10004" width="9.140625" style="16"/>
    <col min="10005" max="10005" width="12.42578125" style="16" customWidth="1"/>
    <col min="10006" max="10006" width="9.140625" style="16"/>
    <col min="10007" max="10007" width="12" style="16" customWidth="1"/>
    <col min="10008" max="10240" width="9.140625" style="16"/>
    <col min="10241" max="10241" width="5" style="16" customWidth="1"/>
    <col min="10242" max="10242" width="19.42578125" style="16" customWidth="1"/>
    <col min="10243" max="10243" width="9.140625" style="16"/>
    <col min="10244" max="10244" width="8.42578125" style="16" customWidth="1"/>
    <col min="10245" max="10245" width="7.85546875" style="16" customWidth="1"/>
    <col min="10246" max="10246" width="8.5703125" style="16" customWidth="1"/>
    <col min="10247" max="10253" width="8.42578125" style="16" customWidth="1"/>
    <col min="10254" max="10254" width="8.5703125" style="16" customWidth="1"/>
    <col min="10255" max="10255" width="7.140625" style="16" bestFit="1" customWidth="1"/>
    <col min="10256" max="10260" width="9.140625" style="16"/>
    <col min="10261" max="10261" width="12.42578125" style="16" customWidth="1"/>
    <col min="10262" max="10262" width="9.140625" style="16"/>
    <col min="10263" max="10263" width="12" style="16" customWidth="1"/>
    <col min="10264" max="10496" width="9.140625" style="16"/>
    <col min="10497" max="10497" width="5" style="16" customWidth="1"/>
    <col min="10498" max="10498" width="19.42578125" style="16" customWidth="1"/>
    <col min="10499" max="10499" width="9.140625" style="16"/>
    <col min="10500" max="10500" width="8.42578125" style="16" customWidth="1"/>
    <col min="10501" max="10501" width="7.85546875" style="16" customWidth="1"/>
    <col min="10502" max="10502" width="8.5703125" style="16" customWidth="1"/>
    <col min="10503" max="10509" width="8.42578125" style="16" customWidth="1"/>
    <col min="10510" max="10510" width="8.5703125" style="16" customWidth="1"/>
    <col min="10511" max="10511" width="7.140625" style="16" bestFit="1" customWidth="1"/>
    <col min="10512" max="10516" width="9.140625" style="16"/>
    <col min="10517" max="10517" width="12.42578125" style="16" customWidth="1"/>
    <col min="10518" max="10518" width="9.140625" style="16"/>
    <col min="10519" max="10519" width="12" style="16" customWidth="1"/>
    <col min="10520" max="10752" width="9.140625" style="16"/>
    <col min="10753" max="10753" width="5" style="16" customWidth="1"/>
    <col min="10754" max="10754" width="19.42578125" style="16" customWidth="1"/>
    <col min="10755" max="10755" width="9.140625" style="16"/>
    <col min="10756" max="10756" width="8.42578125" style="16" customWidth="1"/>
    <col min="10757" max="10757" width="7.85546875" style="16" customWidth="1"/>
    <col min="10758" max="10758" width="8.5703125" style="16" customWidth="1"/>
    <col min="10759" max="10765" width="8.42578125" style="16" customWidth="1"/>
    <col min="10766" max="10766" width="8.5703125" style="16" customWidth="1"/>
    <col min="10767" max="10767" width="7.140625" style="16" bestFit="1" customWidth="1"/>
    <col min="10768" max="10772" width="9.140625" style="16"/>
    <col min="10773" max="10773" width="12.42578125" style="16" customWidth="1"/>
    <col min="10774" max="10774" width="9.140625" style="16"/>
    <col min="10775" max="10775" width="12" style="16" customWidth="1"/>
    <col min="10776" max="11008" width="9.140625" style="16"/>
    <col min="11009" max="11009" width="5" style="16" customWidth="1"/>
    <col min="11010" max="11010" width="19.42578125" style="16" customWidth="1"/>
    <col min="11011" max="11011" width="9.140625" style="16"/>
    <col min="11012" max="11012" width="8.42578125" style="16" customWidth="1"/>
    <col min="11013" max="11013" width="7.85546875" style="16" customWidth="1"/>
    <col min="11014" max="11014" width="8.5703125" style="16" customWidth="1"/>
    <col min="11015" max="11021" width="8.42578125" style="16" customWidth="1"/>
    <col min="11022" max="11022" width="8.5703125" style="16" customWidth="1"/>
    <col min="11023" max="11023" width="7.140625" style="16" bestFit="1" customWidth="1"/>
    <col min="11024" max="11028" width="9.140625" style="16"/>
    <col min="11029" max="11029" width="12.42578125" style="16" customWidth="1"/>
    <col min="11030" max="11030" width="9.140625" style="16"/>
    <col min="11031" max="11031" width="12" style="16" customWidth="1"/>
    <col min="11032" max="11264" width="9.140625" style="16"/>
    <col min="11265" max="11265" width="5" style="16" customWidth="1"/>
    <col min="11266" max="11266" width="19.42578125" style="16" customWidth="1"/>
    <col min="11267" max="11267" width="9.140625" style="16"/>
    <col min="11268" max="11268" width="8.42578125" style="16" customWidth="1"/>
    <col min="11269" max="11269" width="7.85546875" style="16" customWidth="1"/>
    <col min="11270" max="11270" width="8.5703125" style="16" customWidth="1"/>
    <col min="11271" max="11277" width="8.42578125" style="16" customWidth="1"/>
    <col min="11278" max="11278" width="8.5703125" style="16" customWidth="1"/>
    <col min="11279" max="11279" width="7.140625" style="16" bestFit="1" customWidth="1"/>
    <col min="11280" max="11284" width="9.140625" style="16"/>
    <col min="11285" max="11285" width="12.42578125" style="16" customWidth="1"/>
    <col min="11286" max="11286" width="9.140625" style="16"/>
    <col min="11287" max="11287" width="12" style="16" customWidth="1"/>
    <col min="11288" max="11520" width="9.140625" style="16"/>
    <col min="11521" max="11521" width="5" style="16" customWidth="1"/>
    <col min="11522" max="11522" width="19.42578125" style="16" customWidth="1"/>
    <col min="11523" max="11523" width="9.140625" style="16"/>
    <col min="11524" max="11524" width="8.42578125" style="16" customWidth="1"/>
    <col min="11525" max="11525" width="7.85546875" style="16" customWidth="1"/>
    <col min="11526" max="11526" width="8.5703125" style="16" customWidth="1"/>
    <col min="11527" max="11533" width="8.42578125" style="16" customWidth="1"/>
    <col min="11534" max="11534" width="8.5703125" style="16" customWidth="1"/>
    <col min="11535" max="11535" width="7.140625" style="16" bestFit="1" customWidth="1"/>
    <col min="11536" max="11540" width="9.140625" style="16"/>
    <col min="11541" max="11541" width="12.42578125" style="16" customWidth="1"/>
    <col min="11542" max="11542" width="9.140625" style="16"/>
    <col min="11543" max="11543" width="12" style="16" customWidth="1"/>
    <col min="11544" max="11776" width="9.140625" style="16"/>
    <col min="11777" max="11777" width="5" style="16" customWidth="1"/>
    <col min="11778" max="11778" width="19.42578125" style="16" customWidth="1"/>
    <col min="11779" max="11779" width="9.140625" style="16"/>
    <col min="11780" max="11780" width="8.42578125" style="16" customWidth="1"/>
    <col min="11781" max="11781" width="7.85546875" style="16" customWidth="1"/>
    <col min="11782" max="11782" width="8.5703125" style="16" customWidth="1"/>
    <col min="11783" max="11789" width="8.42578125" style="16" customWidth="1"/>
    <col min="11790" max="11790" width="8.5703125" style="16" customWidth="1"/>
    <col min="11791" max="11791" width="7.140625" style="16" bestFit="1" customWidth="1"/>
    <col min="11792" max="11796" width="9.140625" style="16"/>
    <col min="11797" max="11797" width="12.42578125" style="16" customWidth="1"/>
    <col min="11798" max="11798" width="9.140625" style="16"/>
    <col min="11799" max="11799" width="12" style="16" customWidth="1"/>
    <col min="11800" max="12032" width="9.140625" style="16"/>
    <col min="12033" max="12033" width="5" style="16" customWidth="1"/>
    <col min="12034" max="12034" width="19.42578125" style="16" customWidth="1"/>
    <col min="12035" max="12035" width="9.140625" style="16"/>
    <col min="12036" max="12036" width="8.42578125" style="16" customWidth="1"/>
    <col min="12037" max="12037" width="7.85546875" style="16" customWidth="1"/>
    <col min="12038" max="12038" width="8.5703125" style="16" customWidth="1"/>
    <col min="12039" max="12045" width="8.42578125" style="16" customWidth="1"/>
    <col min="12046" max="12046" width="8.5703125" style="16" customWidth="1"/>
    <col min="12047" max="12047" width="7.140625" style="16" bestFit="1" customWidth="1"/>
    <col min="12048" max="12052" width="9.140625" style="16"/>
    <col min="12053" max="12053" width="12.42578125" style="16" customWidth="1"/>
    <col min="12054" max="12054" width="9.140625" style="16"/>
    <col min="12055" max="12055" width="12" style="16" customWidth="1"/>
    <col min="12056" max="12288" width="9.140625" style="16"/>
    <col min="12289" max="12289" width="5" style="16" customWidth="1"/>
    <col min="12290" max="12290" width="19.42578125" style="16" customWidth="1"/>
    <col min="12291" max="12291" width="9.140625" style="16"/>
    <col min="12292" max="12292" width="8.42578125" style="16" customWidth="1"/>
    <col min="12293" max="12293" width="7.85546875" style="16" customWidth="1"/>
    <col min="12294" max="12294" width="8.5703125" style="16" customWidth="1"/>
    <col min="12295" max="12301" width="8.42578125" style="16" customWidth="1"/>
    <col min="12302" max="12302" width="8.5703125" style="16" customWidth="1"/>
    <col min="12303" max="12303" width="7.140625" style="16" bestFit="1" customWidth="1"/>
    <col min="12304" max="12308" width="9.140625" style="16"/>
    <col min="12309" max="12309" width="12.42578125" style="16" customWidth="1"/>
    <col min="12310" max="12310" width="9.140625" style="16"/>
    <col min="12311" max="12311" width="12" style="16" customWidth="1"/>
    <col min="12312" max="12544" width="9.140625" style="16"/>
    <col min="12545" max="12545" width="5" style="16" customWidth="1"/>
    <col min="12546" max="12546" width="19.42578125" style="16" customWidth="1"/>
    <col min="12547" max="12547" width="9.140625" style="16"/>
    <col min="12548" max="12548" width="8.42578125" style="16" customWidth="1"/>
    <col min="12549" max="12549" width="7.85546875" style="16" customWidth="1"/>
    <col min="12550" max="12550" width="8.5703125" style="16" customWidth="1"/>
    <col min="12551" max="12557" width="8.42578125" style="16" customWidth="1"/>
    <col min="12558" max="12558" width="8.5703125" style="16" customWidth="1"/>
    <col min="12559" max="12559" width="7.140625" style="16" bestFit="1" customWidth="1"/>
    <col min="12560" max="12564" width="9.140625" style="16"/>
    <col min="12565" max="12565" width="12.42578125" style="16" customWidth="1"/>
    <col min="12566" max="12566" width="9.140625" style="16"/>
    <col min="12567" max="12567" width="12" style="16" customWidth="1"/>
    <col min="12568" max="12800" width="9.140625" style="16"/>
    <col min="12801" max="12801" width="5" style="16" customWidth="1"/>
    <col min="12802" max="12802" width="19.42578125" style="16" customWidth="1"/>
    <col min="12803" max="12803" width="9.140625" style="16"/>
    <col min="12804" max="12804" width="8.42578125" style="16" customWidth="1"/>
    <col min="12805" max="12805" width="7.85546875" style="16" customWidth="1"/>
    <col min="12806" max="12806" width="8.5703125" style="16" customWidth="1"/>
    <col min="12807" max="12813" width="8.42578125" style="16" customWidth="1"/>
    <col min="12814" max="12814" width="8.5703125" style="16" customWidth="1"/>
    <col min="12815" max="12815" width="7.140625" style="16" bestFit="1" customWidth="1"/>
    <col min="12816" max="12820" width="9.140625" style="16"/>
    <col min="12821" max="12821" width="12.42578125" style="16" customWidth="1"/>
    <col min="12822" max="12822" width="9.140625" style="16"/>
    <col min="12823" max="12823" width="12" style="16" customWidth="1"/>
    <col min="12824" max="13056" width="9.140625" style="16"/>
    <col min="13057" max="13057" width="5" style="16" customWidth="1"/>
    <col min="13058" max="13058" width="19.42578125" style="16" customWidth="1"/>
    <col min="13059" max="13059" width="9.140625" style="16"/>
    <col min="13060" max="13060" width="8.42578125" style="16" customWidth="1"/>
    <col min="13061" max="13061" width="7.85546875" style="16" customWidth="1"/>
    <col min="13062" max="13062" width="8.5703125" style="16" customWidth="1"/>
    <col min="13063" max="13069" width="8.42578125" style="16" customWidth="1"/>
    <col min="13070" max="13070" width="8.5703125" style="16" customWidth="1"/>
    <col min="13071" max="13071" width="7.140625" style="16" bestFit="1" customWidth="1"/>
    <col min="13072" max="13076" width="9.140625" style="16"/>
    <col min="13077" max="13077" width="12.42578125" style="16" customWidth="1"/>
    <col min="13078" max="13078" width="9.140625" style="16"/>
    <col min="13079" max="13079" width="12" style="16" customWidth="1"/>
    <col min="13080" max="13312" width="9.140625" style="16"/>
    <col min="13313" max="13313" width="5" style="16" customWidth="1"/>
    <col min="13314" max="13314" width="19.42578125" style="16" customWidth="1"/>
    <col min="13315" max="13315" width="9.140625" style="16"/>
    <col min="13316" max="13316" width="8.42578125" style="16" customWidth="1"/>
    <col min="13317" max="13317" width="7.85546875" style="16" customWidth="1"/>
    <col min="13318" max="13318" width="8.5703125" style="16" customWidth="1"/>
    <col min="13319" max="13325" width="8.42578125" style="16" customWidth="1"/>
    <col min="13326" max="13326" width="8.5703125" style="16" customWidth="1"/>
    <col min="13327" max="13327" width="7.140625" style="16" bestFit="1" customWidth="1"/>
    <col min="13328" max="13332" width="9.140625" style="16"/>
    <col min="13333" max="13333" width="12.42578125" style="16" customWidth="1"/>
    <col min="13334" max="13334" width="9.140625" style="16"/>
    <col min="13335" max="13335" width="12" style="16" customWidth="1"/>
    <col min="13336" max="13568" width="9.140625" style="16"/>
    <col min="13569" max="13569" width="5" style="16" customWidth="1"/>
    <col min="13570" max="13570" width="19.42578125" style="16" customWidth="1"/>
    <col min="13571" max="13571" width="9.140625" style="16"/>
    <col min="13572" max="13572" width="8.42578125" style="16" customWidth="1"/>
    <col min="13573" max="13573" width="7.85546875" style="16" customWidth="1"/>
    <col min="13574" max="13574" width="8.5703125" style="16" customWidth="1"/>
    <col min="13575" max="13581" width="8.42578125" style="16" customWidth="1"/>
    <col min="13582" max="13582" width="8.5703125" style="16" customWidth="1"/>
    <col min="13583" max="13583" width="7.140625" style="16" bestFit="1" customWidth="1"/>
    <col min="13584" max="13588" width="9.140625" style="16"/>
    <col min="13589" max="13589" width="12.42578125" style="16" customWidth="1"/>
    <col min="13590" max="13590" width="9.140625" style="16"/>
    <col min="13591" max="13591" width="12" style="16" customWidth="1"/>
    <col min="13592" max="13824" width="9.140625" style="16"/>
    <col min="13825" max="13825" width="5" style="16" customWidth="1"/>
    <col min="13826" max="13826" width="19.42578125" style="16" customWidth="1"/>
    <col min="13827" max="13827" width="9.140625" style="16"/>
    <col min="13828" max="13828" width="8.42578125" style="16" customWidth="1"/>
    <col min="13829" max="13829" width="7.85546875" style="16" customWidth="1"/>
    <col min="13830" max="13830" width="8.5703125" style="16" customWidth="1"/>
    <col min="13831" max="13837" width="8.42578125" style="16" customWidth="1"/>
    <col min="13838" max="13838" width="8.5703125" style="16" customWidth="1"/>
    <col min="13839" max="13839" width="7.140625" style="16" bestFit="1" customWidth="1"/>
    <col min="13840" max="13844" width="9.140625" style="16"/>
    <col min="13845" max="13845" width="12.42578125" style="16" customWidth="1"/>
    <col min="13846" max="13846" width="9.140625" style="16"/>
    <col min="13847" max="13847" width="12" style="16" customWidth="1"/>
    <col min="13848" max="14080" width="9.140625" style="16"/>
    <col min="14081" max="14081" width="5" style="16" customWidth="1"/>
    <col min="14082" max="14082" width="19.42578125" style="16" customWidth="1"/>
    <col min="14083" max="14083" width="9.140625" style="16"/>
    <col min="14084" max="14084" width="8.42578125" style="16" customWidth="1"/>
    <col min="14085" max="14085" width="7.85546875" style="16" customWidth="1"/>
    <col min="14086" max="14086" width="8.5703125" style="16" customWidth="1"/>
    <col min="14087" max="14093" width="8.42578125" style="16" customWidth="1"/>
    <col min="14094" max="14094" width="8.5703125" style="16" customWidth="1"/>
    <col min="14095" max="14095" width="7.140625" style="16" bestFit="1" customWidth="1"/>
    <col min="14096" max="14100" width="9.140625" style="16"/>
    <col min="14101" max="14101" width="12.42578125" style="16" customWidth="1"/>
    <col min="14102" max="14102" width="9.140625" style="16"/>
    <col min="14103" max="14103" width="12" style="16" customWidth="1"/>
    <col min="14104" max="14336" width="9.140625" style="16"/>
    <col min="14337" max="14337" width="5" style="16" customWidth="1"/>
    <col min="14338" max="14338" width="19.42578125" style="16" customWidth="1"/>
    <col min="14339" max="14339" width="9.140625" style="16"/>
    <col min="14340" max="14340" width="8.42578125" style="16" customWidth="1"/>
    <col min="14341" max="14341" width="7.85546875" style="16" customWidth="1"/>
    <col min="14342" max="14342" width="8.5703125" style="16" customWidth="1"/>
    <col min="14343" max="14349" width="8.42578125" style="16" customWidth="1"/>
    <col min="14350" max="14350" width="8.5703125" style="16" customWidth="1"/>
    <col min="14351" max="14351" width="7.140625" style="16" bestFit="1" customWidth="1"/>
    <col min="14352" max="14356" width="9.140625" style="16"/>
    <col min="14357" max="14357" width="12.42578125" style="16" customWidth="1"/>
    <col min="14358" max="14358" width="9.140625" style="16"/>
    <col min="14359" max="14359" width="12" style="16" customWidth="1"/>
    <col min="14360" max="14592" width="9.140625" style="16"/>
    <col min="14593" max="14593" width="5" style="16" customWidth="1"/>
    <col min="14594" max="14594" width="19.42578125" style="16" customWidth="1"/>
    <col min="14595" max="14595" width="9.140625" style="16"/>
    <col min="14596" max="14596" width="8.42578125" style="16" customWidth="1"/>
    <col min="14597" max="14597" width="7.85546875" style="16" customWidth="1"/>
    <col min="14598" max="14598" width="8.5703125" style="16" customWidth="1"/>
    <col min="14599" max="14605" width="8.42578125" style="16" customWidth="1"/>
    <col min="14606" max="14606" width="8.5703125" style="16" customWidth="1"/>
    <col min="14607" max="14607" width="7.140625" style="16" bestFit="1" customWidth="1"/>
    <col min="14608" max="14612" width="9.140625" style="16"/>
    <col min="14613" max="14613" width="12.42578125" style="16" customWidth="1"/>
    <col min="14614" max="14614" width="9.140625" style="16"/>
    <col min="14615" max="14615" width="12" style="16" customWidth="1"/>
    <col min="14616" max="14848" width="9.140625" style="16"/>
    <col min="14849" max="14849" width="5" style="16" customWidth="1"/>
    <col min="14850" max="14850" width="19.42578125" style="16" customWidth="1"/>
    <col min="14851" max="14851" width="9.140625" style="16"/>
    <col min="14852" max="14852" width="8.42578125" style="16" customWidth="1"/>
    <col min="14853" max="14853" width="7.85546875" style="16" customWidth="1"/>
    <col min="14854" max="14854" width="8.5703125" style="16" customWidth="1"/>
    <col min="14855" max="14861" width="8.42578125" style="16" customWidth="1"/>
    <col min="14862" max="14862" width="8.5703125" style="16" customWidth="1"/>
    <col min="14863" max="14863" width="7.140625" style="16" bestFit="1" customWidth="1"/>
    <col min="14864" max="14868" width="9.140625" style="16"/>
    <col min="14869" max="14869" width="12.42578125" style="16" customWidth="1"/>
    <col min="14870" max="14870" width="9.140625" style="16"/>
    <col min="14871" max="14871" width="12" style="16" customWidth="1"/>
    <col min="14872" max="15104" width="9.140625" style="16"/>
    <col min="15105" max="15105" width="5" style="16" customWidth="1"/>
    <col min="15106" max="15106" width="19.42578125" style="16" customWidth="1"/>
    <col min="15107" max="15107" width="9.140625" style="16"/>
    <col min="15108" max="15108" width="8.42578125" style="16" customWidth="1"/>
    <col min="15109" max="15109" width="7.85546875" style="16" customWidth="1"/>
    <col min="15110" max="15110" width="8.5703125" style="16" customWidth="1"/>
    <col min="15111" max="15117" width="8.42578125" style="16" customWidth="1"/>
    <col min="15118" max="15118" width="8.5703125" style="16" customWidth="1"/>
    <col min="15119" max="15119" width="7.140625" style="16" bestFit="1" customWidth="1"/>
    <col min="15120" max="15124" width="9.140625" style="16"/>
    <col min="15125" max="15125" width="12.42578125" style="16" customWidth="1"/>
    <col min="15126" max="15126" width="9.140625" style="16"/>
    <col min="15127" max="15127" width="12" style="16" customWidth="1"/>
    <col min="15128" max="15360" width="9.140625" style="16"/>
    <col min="15361" max="15361" width="5" style="16" customWidth="1"/>
    <col min="15362" max="15362" width="19.42578125" style="16" customWidth="1"/>
    <col min="15363" max="15363" width="9.140625" style="16"/>
    <col min="15364" max="15364" width="8.42578125" style="16" customWidth="1"/>
    <col min="15365" max="15365" width="7.85546875" style="16" customWidth="1"/>
    <col min="15366" max="15366" width="8.5703125" style="16" customWidth="1"/>
    <col min="15367" max="15373" width="8.42578125" style="16" customWidth="1"/>
    <col min="15374" max="15374" width="8.5703125" style="16" customWidth="1"/>
    <col min="15375" max="15375" width="7.140625" style="16" bestFit="1" customWidth="1"/>
    <col min="15376" max="15380" width="9.140625" style="16"/>
    <col min="15381" max="15381" width="12.42578125" style="16" customWidth="1"/>
    <col min="15382" max="15382" width="9.140625" style="16"/>
    <col min="15383" max="15383" width="12" style="16" customWidth="1"/>
    <col min="15384" max="15616" width="9.140625" style="16"/>
    <col min="15617" max="15617" width="5" style="16" customWidth="1"/>
    <col min="15618" max="15618" width="19.42578125" style="16" customWidth="1"/>
    <col min="15619" max="15619" width="9.140625" style="16"/>
    <col min="15620" max="15620" width="8.42578125" style="16" customWidth="1"/>
    <col min="15621" max="15621" width="7.85546875" style="16" customWidth="1"/>
    <col min="15622" max="15622" width="8.5703125" style="16" customWidth="1"/>
    <col min="15623" max="15629" width="8.42578125" style="16" customWidth="1"/>
    <col min="15630" max="15630" width="8.5703125" style="16" customWidth="1"/>
    <col min="15631" max="15631" width="7.140625" style="16" bestFit="1" customWidth="1"/>
    <col min="15632" max="15636" width="9.140625" style="16"/>
    <col min="15637" max="15637" width="12.42578125" style="16" customWidth="1"/>
    <col min="15638" max="15638" width="9.140625" style="16"/>
    <col min="15639" max="15639" width="12" style="16" customWidth="1"/>
    <col min="15640" max="15872" width="9.140625" style="16"/>
    <col min="15873" max="15873" width="5" style="16" customWidth="1"/>
    <col min="15874" max="15874" width="19.42578125" style="16" customWidth="1"/>
    <col min="15875" max="15875" width="9.140625" style="16"/>
    <col min="15876" max="15876" width="8.42578125" style="16" customWidth="1"/>
    <col min="15877" max="15877" width="7.85546875" style="16" customWidth="1"/>
    <col min="15878" max="15878" width="8.5703125" style="16" customWidth="1"/>
    <col min="15879" max="15885" width="8.42578125" style="16" customWidth="1"/>
    <col min="15886" max="15886" width="8.5703125" style="16" customWidth="1"/>
    <col min="15887" max="15887" width="7.140625" style="16" bestFit="1" customWidth="1"/>
    <col min="15888" max="15892" width="9.140625" style="16"/>
    <col min="15893" max="15893" width="12.42578125" style="16" customWidth="1"/>
    <col min="15894" max="15894" width="9.140625" style="16"/>
    <col min="15895" max="15895" width="12" style="16" customWidth="1"/>
    <col min="15896" max="16128" width="9.140625" style="16"/>
    <col min="16129" max="16129" width="5" style="16" customWidth="1"/>
    <col min="16130" max="16130" width="19.42578125" style="16" customWidth="1"/>
    <col min="16131" max="16131" width="9.140625" style="16"/>
    <col min="16132" max="16132" width="8.42578125" style="16" customWidth="1"/>
    <col min="16133" max="16133" width="7.85546875" style="16" customWidth="1"/>
    <col min="16134" max="16134" width="8.5703125" style="16" customWidth="1"/>
    <col min="16135" max="16141" width="8.42578125" style="16" customWidth="1"/>
    <col min="16142" max="16142" width="8.5703125" style="16" customWidth="1"/>
    <col min="16143" max="16143" width="7.140625" style="16" bestFit="1" customWidth="1"/>
    <col min="16144" max="16148" width="9.140625" style="16"/>
    <col min="16149" max="16149" width="12.42578125" style="16" customWidth="1"/>
    <col min="16150" max="16150" width="9.140625" style="16"/>
    <col min="16151" max="16151" width="12" style="16" customWidth="1"/>
    <col min="16152" max="16384" width="9.140625" style="16"/>
  </cols>
  <sheetData>
    <row r="1" spans="1:17" s="1" customFormat="1" x14ac:dyDescent="0.2">
      <c r="A1" s="867" t="s">
        <v>449</v>
      </c>
      <c r="B1" s="868"/>
      <c r="C1" s="868"/>
      <c r="D1" s="869"/>
      <c r="E1" s="868"/>
      <c r="F1" s="868"/>
      <c r="G1" s="867" t="s">
        <v>102</v>
      </c>
      <c r="H1" s="869"/>
      <c r="I1" s="869" t="s">
        <v>778</v>
      </c>
      <c r="J1" s="868"/>
      <c r="K1" s="868"/>
      <c r="L1" s="870"/>
      <c r="M1" s="870"/>
      <c r="N1" s="870"/>
      <c r="O1" s="870"/>
    </row>
    <row r="2" spans="1:17" s="1" customFormat="1" x14ac:dyDescent="0.2">
      <c r="A2" s="867" t="s">
        <v>103</v>
      </c>
      <c r="B2" s="868"/>
      <c r="C2" s="868"/>
      <c r="D2" s="869"/>
      <c r="E2" s="868"/>
      <c r="F2" s="868"/>
      <c r="G2" s="867" t="s">
        <v>104</v>
      </c>
      <c r="H2" s="869"/>
      <c r="I2" s="869" t="s">
        <v>105</v>
      </c>
      <c r="J2" s="868"/>
      <c r="K2" s="868"/>
      <c r="L2" s="870"/>
      <c r="M2" s="870"/>
      <c r="N2" s="870"/>
      <c r="O2" s="870"/>
    </row>
    <row r="3" spans="1:17" s="1" customFormat="1" x14ac:dyDescent="0.2">
      <c r="A3" s="867" t="s">
        <v>106</v>
      </c>
      <c r="B3" s="868"/>
      <c r="C3" s="868"/>
      <c r="D3" s="881">
        <v>27142</v>
      </c>
      <c r="E3" s="882"/>
      <c r="F3" s="882"/>
      <c r="G3" s="867" t="s">
        <v>107</v>
      </c>
      <c r="H3" s="869"/>
      <c r="I3" s="869" t="s">
        <v>108</v>
      </c>
      <c r="J3" s="868"/>
      <c r="K3" s="868"/>
      <c r="L3" s="870"/>
      <c r="M3" s="870"/>
      <c r="N3" s="870"/>
      <c r="O3" s="870"/>
    </row>
    <row r="4" spans="1:17" s="1" customFormat="1" x14ac:dyDescent="0.2">
      <c r="A4" s="867" t="s">
        <v>109</v>
      </c>
      <c r="B4" s="868"/>
      <c r="C4" s="868"/>
      <c r="D4" s="869"/>
      <c r="E4" s="868"/>
      <c r="F4" s="868"/>
      <c r="G4" s="867" t="s">
        <v>110</v>
      </c>
      <c r="H4" s="869"/>
      <c r="I4" s="869" t="s">
        <v>339</v>
      </c>
      <c r="J4" s="868"/>
      <c r="K4" s="868"/>
      <c r="L4" s="870"/>
      <c r="M4" s="870"/>
      <c r="N4" s="870"/>
      <c r="O4" s="870"/>
    </row>
    <row r="5" spans="1:17" s="1" customFormat="1" x14ac:dyDescent="0.2">
      <c r="A5" s="867" t="s">
        <v>112</v>
      </c>
      <c r="B5" s="868"/>
      <c r="C5" s="868"/>
      <c r="D5" s="869" t="s">
        <v>821</v>
      </c>
      <c r="E5" s="868"/>
      <c r="F5" s="868"/>
      <c r="G5" s="867"/>
      <c r="H5" s="868"/>
      <c r="I5" s="869" t="s">
        <v>113</v>
      </c>
      <c r="J5" s="868"/>
      <c r="K5" s="868"/>
      <c r="L5" s="870"/>
      <c r="M5" s="870"/>
      <c r="N5" s="870"/>
      <c r="O5" s="870"/>
    </row>
    <row r="6" spans="1:17" s="1" customFormat="1" x14ac:dyDescent="0.2">
      <c r="A6" s="871" t="s">
        <v>114</v>
      </c>
      <c r="B6" s="872"/>
      <c r="C6" s="872"/>
      <c r="D6" s="868" t="s">
        <v>779</v>
      </c>
      <c r="E6" s="868"/>
      <c r="F6" s="868"/>
      <c r="G6" s="871" t="s">
        <v>115</v>
      </c>
      <c r="H6" s="871"/>
      <c r="I6" s="2" t="s">
        <v>222</v>
      </c>
      <c r="J6" s="888"/>
      <c r="K6" s="888"/>
      <c r="L6" s="888"/>
      <c r="M6" s="888"/>
      <c r="N6" s="888"/>
      <c r="O6" s="889"/>
    </row>
    <row r="7" spans="1:17" s="1" customFormat="1" ht="13.5" thickBot="1" x14ac:dyDescent="0.25">
      <c r="A7" s="3"/>
      <c r="B7" s="4"/>
      <c r="C7" s="5"/>
      <c r="D7" s="6"/>
      <c r="E7" s="6"/>
      <c r="F7" s="6"/>
      <c r="G7" s="6"/>
      <c r="H7" s="6"/>
      <c r="I7" s="6"/>
      <c r="J7" s="7"/>
      <c r="K7" s="8"/>
      <c r="L7" s="875" t="s">
        <v>223</v>
      </c>
      <c r="M7" s="875"/>
      <c r="N7" s="875"/>
      <c r="O7" s="875"/>
    </row>
    <row r="8" spans="1:17" s="11" customFormat="1" x14ac:dyDescent="0.2">
      <c r="A8" s="876" t="str">
        <f>I1</f>
        <v>Ms. Aruna Manche</v>
      </c>
      <c r="B8" s="877"/>
      <c r="C8" s="305">
        <v>43160</v>
      </c>
      <c r="D8" s="305">
        <v>43191</v>
      </c>
      <c r="E8" s="305">
        <v>43221</v>
      </c>
      <c r="F8" s="305">
        <v>43252</v>
      </c>
      <c r="G8" s="305">
        <v>43282</v>
      </c>
      <c r="H8" s="305">
        <v>43313</v>
      </c>
      <c r="I8" s="305">
        <v>43344</v>
      </c>
      <c r="J8" s="305">
        <v>43374</v>
      </c>
      <c r="K8" s="305">
        <v>43405</v>
      </c>
      <c r="L8" s="305">
        <v>43435</v>
      </c>
      <c r="M8" s="305">
        <v>43466</v>
      </c>
      <c r="N8" s="305">
        <v>43497</v>
      </c>
      <c r="O8" s="10" t="s">
        <v>117</v>
      </c>
      <c r="Q8" s="11" t="s">
        <v>116</v>
      </c>
    </row>
    <row r="9" spans="1:17" ht="15" x14ac:dyDescent="0.2">
      <c r="A9" s="12"/>
      <c r="B9" s="13" t="s">
        <v>118</v>
      </c>
      <c r="C9" s="14">
        <v>35300</v>
      </c>
      <c r="D9" s="14">
        <v>35300</v>
      </c>
      <c r="E9" s="14">
        <v>35300</v>
      </c>
      <c r="F9" s="14">
        <v>35300</v>
      </c>
      <c r="G9" s="14">
        <v>36400</v>
      </c>
      <c r="H9" s="14">
        <v>36400</v>
      </c>
      <c r="I9" s="14">
        <v>36400</v>
      </c>
      <c r="J9" s="14">
        <v>36400</v>
      </c>
      <c r="K9" s="14">
        <v>36400</v>
      </c>
      <c r="L9" s="14">
        <v>36400</v>
      </c>
      <c r="M9" s="14">
        <v>36400</v>
      </c>
      <c r="N9" s="14">
        <v>36400</v>
      </c>
      <c r="O9" s="15">
        <f>SUM(C9:N9)</f>
        <v>432400</v>
      </c>
      <c r="Q9" s="16" t="s">
        <v>222</v>
      </c>
    </row>
    <row r="10" spans="1:17" ht="15" customHeight="1"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7" ht="15" customHeight="1" x14ac:dyDescent="0.2">
      <c r="A11" s="12"/>
      <c r="B11" s="13" t="s">
        <v>120</v>
      </c>
      <c r="C11" s="17">
        <v>1765</v>
      </c>
      <c r="D11" s="17">
        <v>2471</v>
      </c>
      <c r="E11" s="17">
        <v>2471</v>
      </c>
      <c r="F11" s="17">
        <v>2471</v>
      </c>
      <c r="G11" s="17">
        <v>2548</v>
      </c>
      <c r="H11" s="17">
        <v>2548</v>
      </c>
      <c r="I11" s="17">
        <v>2548</v>
      </c>
      <c r="J11" s="17">
        <v>3276</v>
      </c>
      <c r="K11" s="17">
        <v>3276</v>
      </c>
      <c r="L11" s="17">
        <v>3276</v>
      </c>
      <c r="M11" s="17">
        <v>3276</v>
      </c>
      <c r="N11" s="17">
        <v>3276</v>
      </c>
      <c r="O11" s="18">
        <f>SUM(C11:N11)</f>
        <v>33202</v>
      </c>
    </row>
    <row r="12" spans="1:17" ht="15" hidden="1" customHeight="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7" ht="15" hidden="1" customHeight="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7" ht="15" customHeight="1" x14ac:dyDescent="0.2">
      <c r="A14" s="12"/>
      <c r="B14" s="13" t="s">
        <v>123</v>
      </c>
      <c r="C14" s="17">
        <v>3780</v>
      </c>
      <c r="D14" s="17">
        <v>3852</v>
      </c>
      <c r="E14" s="17">
        <v>3852</v>
      </c>
      <c r="F14" s="17">
        <v>3852</v>
      </c>
      <c r="G14" s="17">
        <v>3852</v>
      </c>
      <c r="H14" s="17">
        <v>3852</v>
      </c>
      <c r="I14" s="17">
        <v>3852</v>
      </c>
      <c r="J14" s="17">
        <v>3924</v>
      </c>
      <c r="K14" s="17">
        <v>3924</v>
      </c>
      <c r="L14" s="17">
        <v>3924</v>
      </c>
      <c r="M14" s="17">
        <v>3924</v>
      </c>
      <c r="N14" s="17">
        <v>3924</v>
      </c>
      <c r="O14" s="18">
        <f t="shared" si="0"/>
        <v>46512</v>
      </c>
    </row>
    <row r="15" spans="1:17" ht="15" hidden="1" customHeight="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7" ht="15" hidden="1" customHeight="1" x14ac:dyDescent="0.2">
      <c r="A16" s="12"/>
      <c r="B16" s="13" t="s">
        <v>405</v>
      </c>
      <c r="C16" s="17">
        <v>0</v>
      </c>
      <c r="D16" s="17">
        <v>0</v>
      </c>
      <c r="E16" s="17">
        <v>0</v>
      </c>
      <c r="F16" s="17">
        <v>0</v>
      </c>
      <c r="G16" s="17">
        <v>0</v>
      </c>
      <c r="H16" s="17">
        <v>0</v>
      </c>
      <c r="I16" s="17">
        <v>0</v>
      </c>
      <c r="J16" s="17">
        <v>0</v>
      </c>
      <c r="K16" s="17">
        <v>0</v>
      </c>
      <c r="L16" s="17">
        <v>0</v>
      </c>
      <c r="M16" s="17">
        <v>0</v>
      </c>
      <c r="N16" s="17">
        <v>0</v>
      </c>
      <c r="O16" s="18">
        <f t="shared" si="0"/>
        <v>0</v>
      </c>
    </row>
    <row r="17" spans="1:15" ht="15" hidden="1" customHeight="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hidden="1" customHeight="1" x14ac:dyDescent="0.2">
      <c r="A18" s="12"/>
      <c r="B18" s="13" t="s">
        <v>609</v>
      </c>
      <c r="C18" s="17">
        <v>0</v>
      </c>
      <c r="D18" s="17">
        <v>0</v>
      </c>
      <c r="E18" s="17">
        <v>0</v>
      </c>
      <c r="F18" s="17">
        <v>0</v>
      </c>
      <c r="G18" s="17">
        <v>0</v>
      </c>
      <c r="H18" s="17">
        <v>0</v>
      </c>
      <c r="I18" s="17">
        <v>0</v>
      </c>
      <c r="J18" s="17">
        <v>0</v>
      </c>
      <c r="K18" s="17">
        <v>0</v>
      </c>
      <c r="L18" s="17">
        <v>0</v>
      </c>
      <c r="M18" s="17">
        <v>0</v>
      </c>
      <c r="N18" s="17">
        <v>0</v>
      </c>
      <c r="O18" s="18">
        <f t="shared" si="0"/>
        <v>0</v>
      </c>
    </row>
    <row r="19" spans="1:15" ht="15" customHeight="1" x14ac:dyDescent="0.2">
      <c r="A19" s="12"/>
      <c r="B19" s="13" t="s">
        <v>128</v>
      </c>
      <c r="C19" s="17">
        <v>8472</v>
      </c>
      <c r="D19" s="17">
        <v>8472</v>
      </c>
      <c r="E19" s="17">
        <v>8472</v>
      </c>
      <c r="F19" s="17">
        <v>8472</v>
      </c>
      <c r="G19" s="17">
        <v>8736</v>
      </c>
      <c r="H19" s="17">
        <v>8736</v>
      </c>
      <c r="I19" s="17">
        <v>8736</v>
      </c>
      <c r="J19" s="17">
        <v>8736</v>
      </c>
      <c r="K19" s="17">
        <v>8736</v>
      </c>
      <c r="L19" s="17">
        <v>8736</v>
      </c>
      <c r="M19" s="17">
        <v>8736</v>
      </c>
      <c r="N19" s="17">
        <v>8736</v>
      </c>
      <c r="O19" s="18">
        <f t="shared" si="0"/>
        <v>103776</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customHeight="1" x14ac:dyDescent="0.2">
      <c r="A21" s="878" t="s">
        <v>130</v>
      </c>
      <c r="B21" s="19" t="s">
        <v>822</v>
      </c>
      <c r="C21" s="17">
        <v>0</v>
      </c>
      <c r="D21" s="17">
        <v>17652</v>
      </c>
      <c r="E21" s="17">
        <v>0</v>
      </c>
      <c r="F21" s="17">
        <v>0</v>
      </c>
      <c r="G21" s="17">
        <v>0</v>
      </c>
      <c r="H21" s="17">
        <v>0</v>
      </c>
      <c r="I21" s="17">
        <v>0</v>
      </c>
      <c r="J21" s="17">
        <v>0</v>
      </c>
      <c r="K21" s="17">
        <v>0</v>
      </c>
      <c r="L21" s="17">
        <v>0</v>
      </c>
      <c r="M21" s="17">
        <v>0</v>
      </c>
      <c r="N21" s="17">
        <v>0</v>
      </c>
      <c r="O21" s="18">
        <f t="shared" si="0"/>
        <v>17652</v>
      </c>
    </row>
    <row r="22" spans="1:15" ht="15" customHeight="1" x14ac:dyDescent="0.2">
      <c r="A22" s="879"/>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5" ht="15" hidden="1" customHeight="1" x14ac:dyDescent="0.2">
      <c r="A23" s="879"/>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79"/>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79"/>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79"/>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79"/>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79"/>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79"/>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79"/>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79"/>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hidden="1" customHeight="1" x14ac:dyDescent="0.2">
      <c r="A32" s="879"/>
      <c r="B32" s="21" t="s">
        <v>142</v>
      </c>
      <c r="C32" s="17">
        <v>0</v>
      </c>
      <c r="D32" s="17">
        <v>0</v>
      </c>
      <c r="E32" s="17">
        <v>0</v>
      </c>
      <c r="F32" s="17">
        <v>0</v>
      </c>
      <c r="G32" s="17">
        <v>0</v>
      </c>
      <c r="H32" s="17">
        <v>0</v>
      </c>
      <c r="I32" s="17">
        <v>0</v>
      </c>
      <c r="J32" s="17">
        <v>0</v>
      </c>
      <c r="K32" s="17">
        <v>0</v>
      </c>
      <c r="L32" s="17">
        <v>0</v>
      </c>
      <c r="M32" s="17">
        <v>0</v>
      </c>
      <c r="N32" s="17">
        <v>0</v>
      </c>
      <c r="O32" s="18">
        <f t="shared" si="0"/>
        <v>0</v>
      </c>
    </row>
    <row r="33" spans="1:16" ht="15" hidden="1" customHeight="1" x14ac:dyDescent="0.2">
      <c r="A33" s="880"/>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219"/>
      <c r="B34" s="220" t="s">
        <v>823</v>
      </c>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865" t="s">
        <v>145</v>
      </c>
      <c r="B35" s="866"/>
      <c r="C35" s="17">
        <v>0</v>
      </c>
      <c r="D35" s="17">
        <v>216</v>
      </c>
      <c r="E35" s="17">
        <v>0</v>
      </c>
      <c r="F35" s="17">
        <v>0</v>
      </c>
      <c r="G35" s="17">
        <v>0</v>
      </c>
      <c r="H35" s="17">
        <v>0</v>
      </c>
      <c r="I35" s="17">
        <v>0</v>
      </c>
      <c r="J35" s="17">
        <v>216</v>
      </c>
      <c r="K35" s="17">
        <v>0</v>
      </c>
      <c r="L35" s="17">
        <v>0</v>
      </c>
      <c r="M35" s="17">
        <v>0</v>
      </c>
      <c r="N35" s="17">
        <v>0</v>
      </c>
      <c r="O35" s="18">
        <f t="shared" si="0"/>
        <v>432</v>
      </c>
    </row>
    <row r="36" spans="1:16" ht="15" customHeight="1" x14ac:dyDescent="0.2">
      <c r="A36" s="865" t="s">
        <v>146</v>
      </c>
      <c r="B36" s="866"/>
      <c r="C36" s="17">
        <v>0</v>
      </c>
      <c r="D36" s="17">
        <v>2118</v>
      </c>
      <c r="E36" s="17">
        <v>0</v>
      </c>
      <c r="F36" s="17">
        <v>0</v>
      </c>
      <c r="G36" s="17">
        <v>0</v>
      </c>
      <c r="H36" s="17">
        <v>0</v>
      </c>
      <c r="I36" s="17">
        <v>0</v>
      </c>
      <c r="J36" s="17">
        <v>2184</v>
      </c>
      <c r="K36" s="17">
        <v>0</v>
      </c>
      <c r="L36" s="17">
        <v>0</v>
      </c>
      <c r="M36" s="17">
        <v>0</v>
      </c>
      <c r="N36" s="17">
        <v>0</v>
      </c>
      <c r="O36" s="18">
        <f t="shared" si="0"/>
        <v>4302</v>
      </c>
    </row>
    <row r="37" spans="1:16" ht="15" customHeight="1" x14ac:dyDescent="0.2">
      <c r="A37" s="22"/>
      <c r="B37" s="23" t="s">
        <v>147</v>
      </c>
      <c r="C37" s="24">
        <f t="shared" ref="C37:N37" si="1">SUM(C9:C36)</f>
        <v>49317</v>
      </c>
      <c r="D37" s="24">
        <f t="shared" si="1"/>
        <v>70081</v>
      </c>
      <c r="E37" s="24">
        <f t="shared" si="1"/>
        <v>50095</v>
      </c>
      <c r="F37" s="24">
        <f t="shared" si="1"/>
        <v>50095</v>
      </c>
      <c r="G37" s="24">
        <f t="shared" si="1"/>
        <v>51536</v>
      </c>
      <c r="H37" s="24">
        <f t="shared" si="1"/>
        <v>51536</v>
      </c>
      <c r="I37" s="24">
        <f t="shared" si="1"/>
        <v>51536</v>
      </c>
      <c r="J37" s="24">
        <f t="shared" si="1"/>
        <v>61644</v>
      </c>
      <c r="K37" s="24">
        <f t="shared" si="1"/>
        <v>52336</v>
      </c>
      <c r="L37" s="24">
        <f t="shared" si="1"/>
        <v>52336</v>
      </c>
      <c r="M37" s="24">
        <f t="shared" si="1"/>
        <v>52336</v>
      </c>
      <c r="N37" s="24">
        <f t="shared" si="1"/>
        <v>52336</v>
      </c>
      <c r="O37" s="25">
        <f t="shared" ref="O37:O50" si="2">SUM(C37:N37)</f>
        <v>645184</v>
      </c>
    </row>
    <row r="38" spans="1:16" ht="15" customHeight="1" x14ac:dyDescent="0.25">
      <c r="A38" s="853" t="s">
        <v>148</v>
      </c>
      <c r="B38" s="27" t="s">
        <v>149</v>
      </c>
      <c r="C38" s="147">
        <v>600</v>
      </c>
      <c r="D38" s="147">
        <v>1000</v>
      </c>
      <c r="E38" s="147">
        <v>0</v>
      </c>
      <c r="F38" s="147">
        <v>0</v>
      </c>
      <c r="G38" s="147">
        <v>0</v>
      </c>
      <c r="H38" s="147">
        <v>0</v>
      </c>
      <c r="I38" s="147">
        <v>0</v>
      </c>
      <c r="J38" s="147">
        <v>0</v>
      </c>
      <c r="K38" s="147">
        <v>2500</v>
      </c>
      <c r="L38" s="147">
        <v>2115</v>
      </c>
      <c r="M38" s="147">
        <v>2115</v>
      </c>
      <c r="N38">
        <v>2215</v>
      </c>
      <c r="O38" s="18">
        <f t="shared" si="2"/>
        <v>10545</v>
      </c>
      <c r="P38" s="29"/>
    </row>
    <row r="39" spans="1:16" ht="15" customHeight="1" x14ac:dyDescent="0.2">
      <c r="A39" s="854"/>
      <c r="B39" s="27" t="s">
        <v>150</v>
      </c>
      <c r="C39" s="147">
        <v>0</v>
      </c>
      <c r="D39" s="147">
        <v>0</v>
      </c>
      <c r="E39" s="147">
        <v>0</v>
      </c>
      <c r="F39" s="147">
        <v>0</v>
      </c>
      <c r="G39" s="147">
        <v>0</v>
      </c>
      <c r="H39" s="147">
        <v>0</v>
      </c>
      <c r="I39" s="147">
        <v>0</v>
      </c>
      <c r="J39" s="147">
        <v>0</v>
      </c>
      <c r="K39" s="147">
        <v>0</v>
      </c>
      <c r="L39" s="147">
        <v>0</v>
      </c>
      <c r="M39" s="147">
        <v>0</v>
      </c>
      <c r="N39" s="147">
        <v>0</v>
      </c>
      <c r="O39" s="18">
        <f t="shared" si="2"/>
        <v>0</v>
      </c>
    </row>
    <row r="40" spans="1:16" ht="15" customHeight="1" x14ac:dyDescent="0.2">
      <c r="A40" s="854"/>
      <c r="B40" s="27" t="s">
        <v>151</v>
      </c>
      <c r="C40" s="147">
        <v>30</v>
      </c>
      <c r="D40" s="147">
        <v>30</v>
      </c>
      <c r="E40" s="147">
        <v>30</v>
      </c>
      <c r="F40" s="147">
        <v>30</v>
      </c>
      <c r="G40" s="147">
        <v>30</v>
      </c>
      <c r="H40" s="147">
        <v>30</v>
      </c>
      <c r="I40" s="147">
        <v>30</v>
      </c>
      <c r="J40" s="147">
        <v>30</v>
      </c>
      <c r="K40" s="147">
        <v>30</v>
      </c>
      <c r="L40" s="147">
        <v>30</v>
      </c>
      <c r="M40" s="147">
        <v>30</v>
      </c>
      <c r="N40" s="147">
        <v>30</v>
      </c>
      <c r="O40" s="18">
        <f t="shared" si="2"/>
        <v>360</v>
      </c>
    </row>
    <row r="41" spans="1:16" ht="15" customHeight="1" x14ac:dyDescent="0.2">
      <c r="A41" s="854"/>
      <c r="B41" s="27" t="s">
        <v>152</v>
      </c>
      <c r="C41" s="147">
        <v>0</v>
      </c>
      <c r="D41" s="147">
        <v>0</v>
      </c>
      <c r="E41" s="147">
        <v>0</v>
      </c>
      <c r="F41" s="147">
        <v>0</v>
      </c>
      <c r="G41" s="147">
        <v>0</v>
      </c>
      <c r="H41" s="147">
        <v>0</v>
      </c>
      <c r="I41" s="147">
        <v>0</v>
      </c>
      <c r="J41" s="147">
        <v>0</v>
      </c>
      <c r="K41" s="147">
        <v>0</v>
      </c>
      <c r="L41" s="147">
        <v>0</v>
      </c>
      <c r="M41" s="147">
        <v>0</v>
      </c>
      <c r="N41" s="147">
        <v>0</v>
      </c>
      <c r="O41" s="18">
        <f t="shared" si="2"/>
        <v>0</v>
      </c>
    </row>
    <row r="42" spans="1:16" ht="15" customHeight="1" x14ac:dyDescent="0.2">
      <c r="A42" s="854"/>
      <c r="B42" s="27" t="s">
        <v>153</v>
      </c>
      <c r="C42" s="147">
        <v>0</v>
      </c>
      <c r="D42" s="147">
        <v>0</v>
      </c>
      <c r="E42" s="147">
        <v>0</v>
      </c>
      <c r="F42" s="147">
        <v>0</v>
      </c>
      <c r="G42" s="147">
        <v>0</v>
      </c>
      <c r="H42" s="147">
        <v>0</v>
      </c>
      <c r="I42" s="147">
        <v>0</v>
      </c>
      <c r="J42" s="147">
        <v>0</v>
      </c>
      <c r="K42" s="147">
        <v>0</v>
      </c>
      <c r="L42" s="147">
        <v>0</v>
      </c>
      <c r="M42" s="147">
        <v>0</v>
      </c>
      <c r="N42" s="147">
        <v>0</v>
      </c>
      <c r="O42" s="18">
        <f t="shared" si="2"/>
        <v>0</v>
      </c>
    </row>
    <row r="43" spans="1:16" ht="15" customHeight="1" x14ac:dyDescent="0.2">
      <c r="A43" s="854"/>
      <c r="B43" s="27" t="s">
        <v>154</v>
      </c>
      <c r="C43" s="147">
        <v>10000</v>
      </c>
      <c r="D43" s="147">
        <v>6000</v>
      </c>
      <c r="E43" s="147">
        <v>11000</v>
      </c>
      <c r="F43" s="147">
        <v>6000</v>
      </c>
      <c r="G43" s="147">
        <v>6000</v>
      </c>
      <c r="H43" s="147">
        <v>6000</v>
      </c>
      <c r="I43" s="147">
        <v>6000</v>
      </c>
      <c r="J43" s="147">
        <v>6000</v>
      </c>
      <c r="K43" s="147">
        <v>10000</v>
      </c>
      <c r="L43" s="147">
        <v>10000</v>
      </c>
      <c r="M43" s="147">
        <v>10000</v>
      </c>
      <c r="N43" s="147">
        <v>10000</v>
      </c>
      <c r="O43" s="18">
        <f t="shared" si="2"/>
        <v>97000</v>
      </c>
    </row>
    <row r="44" spans="1:16" ht="15" customHeight="1" x14ac:dyDescent="0.2">
      <c r="A44" s="854"/>
      <c r="B44" s="27" t="s">
        <v>155</v>
      </c>
      <c r="C44" s="147">
        <v>200</v>
      </c>
      <c r="D44" s="147">
        <v>200</v>
      </c>
      <c r="E44" s="147">
        <v>200</v>
      </c>
      <c r="F44" s="147">
        <v>200</v>
      </c>
      <c r="G44" s="147">
        <v>200</v>
      </c>
      <c r="H44" s="147">
        <v>200</v>
      </c>
      <c r="I44" s="147">
        <v>200</v>
      </c>
      <c r="J44" s="147">
        <v>200</v>
      </c>
      <c r="K44" s="147">
        <v>200</v>
      </c>
      <c r="L44" s="147">
        <v>200</v>
      </c>
      <c r="M44" s="147">
        <v>200</v>
      </c>
      <c r="N44" s="147">
        <v>300</v>
      </c>
      <c r="O44" s="18">
        <f t="shared" si="2"/>
        <v>2500</v>
      </c>
    </row>
    <row r="45" spans="1:16" ht="15" customHeight="1" x14ac:dyDescent="0.2">
      <c r="A45" s="854"/>
      <c r="B45" s="27" t="s">
        <v>156</v>
      </c>
      <c r="C45" s="147">
        <v>0</v>
      </c>
      <c r="D45" s="147">
        <v>0</v>
      </c>
      <c r="E45" s="147">
        <v>0</v>
      </c>
      <c r="F45" s="147">
        <v>0</v>
      </c>
      <c r="G45" s="147">
        <v>0</v>
      </c>
      <c r="H45" s="147">
        <v>0</v>
      </c>
      <c r="I45" s="147">
        <v>0</v>
      </c>
      <c r="J45" s="147">
        <v>0</v>
      </c>
      <c r="K45" s="147">
        <v>0</v>
      </c>
      <c r="L45" s="147">
        <v>0</v>
      </c>
      <c r="M45" s="147">
        <v>0</v>
      </c>
      <c r="N45" s="147">
        <v>0</v>
      </c>
      <c r="O45" s="18">
        <f t="shared" si="2"/>
        <v>0</v>
      </c>
    </row>
    <row r="46" spans="1:16" ht="15" customHeight="1" x14ac:dyDescent="0.2">
      <c r="A46" s="854"/>
      <c r="B46" s="27" t="s">
        <v>157</v>
      </c>
      <c r="C46" s="147">
        <v>0</v>
      </c>
      <c r="D46" s="147">
        <v>0</v>
      </c>
      <c r="E46" s="147">
        <v>0</v>
      </c>
      <c r="F46" s="147">
        <v>0</v>
      </c>
      <c r="G46" s="147">
        <v>0</v>
      </c>
      <c r="H46" s="147">
        <v>0</v>
      </c>
      <c r="I46" s="147">
        <v>0</v>
      </c>
      <c r="J46" s="147">
        <v>0</v>
      </c>
      <c r="K46" s="147">
        <v>0</v>
      </c>
      <c r="L46" s="147">
        <v>0</v>
      </c>
      <c r="M46" s="147">
        <v>0</v>
      </c>
      <c r="N46" s="147">
        <v>0</v>
      </c>
      <c r="O46" s="18">
        <f t="shared" si="2"/>
        <v>0</v>
      </c>
    </row>
    <row r="47" spans="1:16" ht="28.5" customHeight="1" x14ac:dyDescent="0.2">
      <c r="A47" s="855"/>
      <c r="B47" s="30" t="s">
        <v>158</v>
      </c>
      <c r="C47" s="147">
        <v>0</v>
      </c>
      <c r="D47" s="147">
        <v>0</v>
      </c>
      <c r="E47" s="147">
        <v>0</v>
      </c>
      <c r="F47" s="147">
        <v>0</v>
      </c>
      <c r="G47" s="147">
        <v>0</v>
      </c>
      <c r="H47" s="147">
        <v>0</v>
      </c>
      <c r="I47" s="147">
        <v>0</v>
      </c>
      <c r="J47" s="147">
        <v>0</v>
      </c>
      <c r="K47" s="147">
        <v>0</v>
      </c>
      <c r="L47" s="147">
        <v>0</v>
      </c>
      <c r="M47" s="147">
        <v>0</v>
      </c>
      <c r="N47" s="147">
        <v>0</v>
      </c>
      <c r="O47" s="31">
        <f t="shared" si="2"/>
        <v>0</v>
      </c>
    </row>
    <row r="48" spans="1:16" x14ac:dyDescent="0.2">
      <c r="A48" s="856"/>
      <c r="B48" s="306" t="s">
        <v>824</v>
      </c>
      <c r="C48" s="147">
        <v>0</v>
      </c>
      <c r="D48" s="147">
        <v>0</v>
      </c>
      <c r="E48" s="147">
        <v>0</v>
      </c>
      <c r="F48" s="147">
        <v>0</v>
      </c>
      <c r="G48" s="147">
        <v>0</v>
      </c>
      <c r="H48" s="147">
        <v>0</v>
      </c>
      <c r="I48" s="147">
        <v>0</v>
      </c>
      <c r="J48" s="147">
        <v>0</v>
      </c>
      <c r="K48" s="147">
        <v>0</v>
      </c>
      <c r="L48" s="147">
        <v>0</v>
      </c>
      <c r="M48" s="147">
        <v>0</v>
      </c>
      <c r="N48" s="147">
        <v>0</v>
      </c>
      <c r="O48" s="31">
        <f t="shared" si="2"/>
        <v>0</v>
      </c>
    </row>
    <row r="49" spans="1:19" ht="15" x14ac:dyDescent="0.2">
      <c r="A49" s="857" t="s">
        <v>160</v>
      </c>
      <c r="B49" s="858"/>
      <c r="C49" s="33">
        <f t="shared" ref="C49:N49" si="3">SUM(C38:C48)</f>
        <v>10830</v>
      </c>
      <c r="D49" s="33">
        <f t="shared" si="3"/>
        <v>7230</v>
      </c>
      <c r="E49" s="33">
        <f t="shared" si="3"/>
        <v>11230</v>
      </c>
      <c r="F49" s="33">
        <f t="shared" si="3"/>
        <v>6230</v>
      </c>
      <c r="G49" s="33">
        <f t="shared" si="3"/>
        <v>6230</v>
      </c>
      <c r="H49" s="33">
        <f t="shared" si="3"/>
        <v>6230</v>
      </c>
      <c r="I49" s="33">
        <f t="shared" si="3"/>
        <v>6230</v>
      </c>
      <c r="J49" s="33">
        <f t="shared" si="3"/>
        <v>6230</v>
      </c>
      <c r="K49" s="33">
        <f t="shared" si="3"/>
        <v>12730</v>
      </c>
      <c r="L49" s="33">
        <f t="shared" si="3"/>
        <v>12345</v>
      </c>
      <c r="M49" s="33">
        <f t="shared" si="3"/>
        <v>12345</v>
      </c>
      <c r="N49" s="33">
        <f t="shared" si="3"/>
        <v>12545</v>
      </c>
      <c r="O49" s="34">
        <f t="shared" si="2"/>
        <v>110405</v>
      </c>
    </row>
    <row r="50" spans="1:19" ht="15.75" thickBot="1" x14ac:dyDescent="0.25">
      <c r="A50" s="859" t="s">
        <v>161</v>
      </c>
      <c r="B50" s="860"/>
      <c r="C50" s="35">
        <f t="shared" ref="C50:N50" si="4">C37-C49</f>
        <v>38487</v>
      </c>
      <c r="D50" s="35">
        <f t="shared" si="4"/>
        <v>62851</v>
      </c>
      <c r="E50" s="35">
        <f t="shared" si="4"/>
        <v>38865</v>
      </c>
      <c r="F50" s="35">
        <f t="shared" si="4"/>
        <v>43865</v>
      </c>
      <c r="G50" s="35">
        <f t="shared" si="4"/>
        <v>45306</v>
      </c>
      <c r="H50" s="35">
        <f t="shared" si="4"/>
        <v>45306</v>
      </c>
      <c r="I50" s="35">
        <f t="shared" si="4"/>
        <v>45306</v>
      </c>
      <c r="J50" s="35">
        <f t="shared" si="4"/>
        <v>55414</v>
      </c>
      <c r="K50" s="35">
        <f t="shared" si="4"/>
        <v>39606</v>
      </c>
      <c r="L50" s="35">
        <f t="shared" si="4"/>
        <v>39991</v>
      </c>
      <c r="M50" s="35">
        <f t="shared" si="4"/>
        <v>39991</v>
      </c>
      <c r="N50" s="35">
        <f t="shared" si="4"/>
        <v>39791</v>
      </c>
      <c r="O50" s="36">
        <f t="shared" si="2"/>
        <v>534779</v>
      </c>
      <c r="Q50" s="16">
        <f>21554+21554+22469+4140+22589+2500+23303*2+23678+3984+3454+24631+24281+24331*2+24184</f>
        <v>294286</v>
      </c>
    </row>
    <row r="51" spans="1:19" x14ac:dyDescent="0.2">
      <c r="G51" s="38"/>
      <c r="J51" s="300">
        <f>+J37-SUM(J22:J36)</f>
        <v>52336</v>
      </c>
      <c r="Q51" s="38"/>
    </row>
    <row r="52" spans="1:19" ht="13.5" thickBot="1" x14ac:dyDescent="0.25">
      <c r="J52" s="38">
        <f>+J51-J49</f>
        <v>46106</v>
      </c>
    </row>
    <row r="53" spans="1:19" ht="13.5" thickBot="1" x14ac:dyDescent="0.25">
      <c r="B53" s="789" t="s">
        <v>162</v>
      </c>
      <c r="C53" s="861"/>
      <c r="D53" s="861"/>
      <c r="E53" s="861"/>
      <c r="F53" s="862"/>
      <c r="G53" s="863">
        <f>O37</f>
        <v>645184</v>
      </c>
      <c r="H53" s="864"/>
    </row>
    <row r="54" spans="1:19" ht="13.5" thickBot="1" x14ac:dyDescent="0.25"/>
    <row r="55" spans="1:19" x14ac:dyDescent="0.2">
      <c r="B55" s="830" t="s">
        <v>163</v>
      </c>
      <c r="C55" s="833" t="s">
        <v>164</v>
      </c>
      <c r="D55" s="836" t="s">
        <v>811</v>
      </c>
      <c r="E55" s="837"/>
      <c r="F55" s="838"/>
      <c r="G55" s="839">
        <v>40000</v>
      </c>
      <c r="H55" s="840"/>
    </row>
    <row r="56" spans="1:19" x14ac:dyDescent="0.2">
      <c r="B56" s="831"/>
      <c r="C56" s="834"/>
      <c r="D56" s="841" t="s">
        <v>166</v>
      </c>
      <c r="E56" s="842"/>
      <c r="F56" s="843"/>
      <c r="G56" s="844">
        <f>+O44</f>
        <v>2500</v>
      </c>
      <c r="H56" s="845"/>
      <c r="I56" s="39"/>
      <c r="J56" s="846"/>
      <c r="K56" s="846"/>
      <c r="L56" s="846"/>
      <c r="M56" s="847"/>
      <c r="N56" s="847"/>
      <c r="O56" s="847"/>
    </row>
    <row r="57" spans="1:19" ht="13.5" thickBot="1" x14ac:dyDescent="0.25">
      <c r="B57" s="832"/>
      <c r="C57" s="835"/>
      <c r="D57" s="848" t="s">
        <v>266</v>
      </c>
      <c r="E57" s="849"/>
      <c r="F57" s="850"/>
      <c r="G57" s="851">
        <v>0</v>
      </c>
      <c r="H57" s="852"/>
      <c r="J57" s="47"/>
      <c r="K57" s="47"/>
      <c r="L57" s="47"/>
      <c r="M57" s="47"/>
      <c r="N57" s="47"/>
      <c r="O57" s="47"/>
    </row>
    <row r="58" spans="1:19" ht="13.5" thickBot="1" x14ac:dyDescent="0.25">
      <c r="B58" s="48"/>
      <c r="J58" s="47"/>
      <c r="K58" s="47"/>
      <c r="L58" s="47"/>
      <c r="M58" s="47"/>
      <c r="N58" s="47"/>
      <c r="O58" s="47"/>
    </row>
    <row r="59" spans="1:19" ht="13.5" thickBot="1" x14ac:dyDescent="0.25">
      <c r="B59" s="789" t="s">
        <v>168</v>
      </c>
      <c r="C59" s="790"/>
      <c r="D59" s="790"/>
      <c r="E59" s="790"/>
      <c r="F59" s="791"/>
      <c r="G59" s="825">
        <f>+G53-SUM(G55:H57)</f>
        <v>602684</v>
      </c>
      <c r="H59" s="826"/>
      <c r="J59" s="827" t="s">
        <v>169</v>
      </c>
      <c r="K59" s="828"/>
      <c r="L59" s="828"/>
      <c r="M59" s="828"/>
      <c r="N59" s="828"/>
      <c r="O59" s="829"/>
    </row>
    <row r="60" spans="1:19" ht="13.5" thickBot="1" x14ac:dyDescent="0.25">
      <c r="B60" s="49"/>
      <c r="C60" s="50"/>
      <c r="D60" s="50"/>
      <c r="E60" s="50"/>
      <c r="F60" s="50"/>
      <c r="G60" s="45"/>
      <c r="H60" s="50"/>
      <c r="J60" s="129"/>
      <c r="K60" s="130"/>
      <c r="L60" s="130"/>
      <c r="M60" s="130"/>
      <c r="N60" s="130"/>
      <c r="O60" s="131"/>
    </row>
    <row r="61" spans="1:19" ht="13.5" thickBot="1" x14ac:dyDescent="0.25">
      <c r="B61" s="789" t="s">
        <v>170</v>
      </c>
      <c r="C61" s="790"/>
      <c r="D61" s="790"/>
      <c r="E61" s="790"/>
      <c r="F61" s="791"/>
      <c r="G61" s="805"/>
      <c r="H61" s="791"/>
      <c r="J61" s="129"/>
      <c r="K61" s="130"/>
      <c r="L61" s="130"/>
      <c r="M61" s="130"/>
      <c r="N61" s="130"/>
      <c r="O61" s="131"/>
    </row>
    <row r="62" spans="1:19" ht="12.75" customHeight="1" x14ac:dyDescent="0.2">
      <c r="B62" s="57" t="s">
        <v>171</v>
      </c>
      <c r="C62" s="806" t="s">
        <v>172</v>
      </c>
      <c r="D62" s="807"/>
      <c r="E62" s="807"/>
      <c r="F62" s="808"/>
      <c r="G62" s="809">
        <v>0</v>
      </c>
      <c r="H62" s="809"/>
      <c r="I62" s="58"/>
      <c r="J62" s="810" t="s">
        <v>173</v>
      </c>
      <c r="K62" s="811"/>
      <c r="L62" s="811"/>
      <c r="M62" s="811"/>
      <c r="N62" s="811"/>
      <c r="O62" s="812"/>
      <c r="Q62" s="59"/>
      <c r="R62" s="59"/>
      <c r="S62" s="59"/>
    </row>
    <row r="63" spans="1:19" ht="13.5" thickBot="1" x14ac:dyDescent="0.25">
      <c r="D63" s="37"/>
      <c r="I63" s="58"/>
      <c r="J63" s="60" t="s">
        <v>360</v>
      </c>
      <c r="K63" s="132"/>
      <c r="L63" s="132"/>
      <c r="M63" s="133"/>
      <c r="N63" s="133"/>
      <c r="O63" s="134"/>
      <c r="Q63" s="59"/>
      <c r="R63" s="59"/>
      <c r="S63" s="59"/>
    </row>
    <row r="64" spans="1:19" ht="13.5" thickBot="1" x14ac:dyDescent="0.25">
      <c r="B64" s="789" t="s">
        <v>175</v>
      </c>
      <c r="C64" s="790"/>
      <c r="D64" s="790"/>
      <c r="E64" s="790"/>
      <c r="F64" s="791"/>
      <c r="G64" s="805">
        <f>+G59-G62</f>
        <v>602684</v>
      </c>
      <c r="H64" s="791"/>
      <c r="I64" s="63"/>
      <c r="J64" s="64"/>
      <c r="K64" s="39"/>
      <c r="L64" s="39"/>
      <c r="M64" s="39"/>
      <c r="N64" s="39"/>
      <c r="O64" s="65"/>
      <c r="Q64" s="59"/>
      <c r="R64" s="59"/>
      <c r="S64" s="59"/>
    </row>
    <row r="65" spans="2:19" ht="12.75" customHeight="1" x14ac:dyDescent="0.2">
      <c r="B65" s="48"/>
      <c r="C65" s="48"/>
      <c r="I65" s="63"/>
      <c r="J65" s="64"/>
      <c r="K65" s="39"/>
      <c r="L65" s="39"/>
      <c r="M65" s="39"/>
      <c r="N65" s="39"/>
      <c r="O65" s="65"/>
      <c r="Q65" s="59"/>
      <c r="R65" s="59"/>
      <c r="S65" s="59"/>
    </row>
    <row r="66" spans="2:19" x14ac:dyDescent="0.2">
      <c r="B66" s="66" t="s">
        <v>176</v>
      </c>
      <c r="C66" s="48"/>
      <c r="I66" s="63"/>
      <c r="J66" s="67"/>
      <c r="K66" s="68"/>
      <c r="L66" s="68"/>
      <c r="M66" s="68"/>
      <c r="N66" s="68"/>
      <c r="O66" s="69"/>
      <c r="Q66" s="59"/>
      <c r="R66" s="59"/>
      <c r="S66" s="59"/>
    </row>
    <row r="67" spans="2:19" ht="27.75" customHeight="1" thickBot="1" x14ac:dyDescent="0.25">
      <c r="B67" s="66"/>
      <c r="C67" s="48"/>
      <c r="G67" s="70" t="s">
        <v>177</v>
      </c>
      <c r="H67" s="70" t="s">
        <v>178</v>
      </c>
      <c r="I67" s="63"/>
      <c r="J67" s="810" t="s">
        <v>179</v>
      </c>
      <c r="K67" s="811"/>
      <c r="L67" s="71"/>
      <c r="M67" s="71"/>
      <c r="N67" s="71"/>
      <c r="O67" s="158" t="s">
        <v>267</v>
      </c>
      <c r="Q67" s="59"/>
      <c r="R67" s="59"/>
      <c r="S67" s="59"/>
    </row>
    <row r="68" spans="2:19" ht="12.75" customHeight="1" x14ac:dyDescent="0.2">
      <c r="B68" s="802" t="s">
        <v>180</v>
      </c>
      <c r="C68" s="821" t="s">
        <v>181</v>
      </c>
      <c r="D68" s="823" t="s">
        <v>182</v>
      </c>
      <c r="E68" s="824"/>
      <c r="F68" s="824"/>
      <c r="G68" s="73">
        <f>+O43</f>
        <v>97000</v>
      </c>
      <c r="H68" s="74">
        <f>+G68</f>
        <v>97000</v>
      </c>
      <c r="I68" s="63"/>
      <c r="J68" s="181" t="s">
        <v>825</v>
      </c>
      <c r="K68" s="58"/>
      <c r="L68" s="58" t="s">
        <v>232</v>
      </c>
      <c r="M68" s="58" t="s">
        <v>439</v>
      </c>
      <c r="N68" s="58"/>
      <c r="O68" s="76">
        <f>6065*2</f>
        <v>12130</v>
      </c>
      <c r="Q68" s="59"/>
      <c r="R68" s="59"/>
      <c r="S68" s="59"/>
    </row>
    <row r="69" spans="2:19" ht="12.75" customHeight="1" x14ac:dyDescent="0.2">
      <c r="B69" s="803"/>
      <c r="C69" s="822"/>
      <c r="D69" s="782" t="s">
        <v>184</v>
      </c>
      <c r="E69" s="783"/>
      <c r="F69" s="783"/>
      <c r="G69" s="77">
        <f>+O47+O68</f>
        <v>12130</v>
      </c>
      <c r="H69" s="78">
        <f t="shared" ref="H69:H75" si="5">+G69</f>
        <v>12130</v>
      </c>
      <c r="I69" s="63"/>
      <c r="J69" s="181" t="s">
        <v>826</v>
      </c>
      <c r="K69" s="58"/>
      <c r="L69" s="135" t="s">
        <v>827</v>
      </c>
      <c r="M69" s="183" t="s">
        <v>828</v>
      </c>
      <c r="N69" s="68"/>
      <c r="O69" s="136">
        <v>20000</v>
      </c>
      <c r="Q69" s="59"/>
      <c r="R69" s="59"/>
      <c r="S69" s="59"/>
    </row>
    <row r="70" spans="2:19" ht="12.75" customHeight="1" x14ac:dyDescent="0.2">
      <c r="B70" s="803"/>
      <c r="C70" s="822"/>
      <c r="D70" s="819" t="s">
        <v>185</v>
      </c>
      <c r="E70" s="820"/>
      <c r="F70" s="820"/>
      <c r="G70" s="80">
        <f>O40</f>
        <v>360</v>
      </c>
      <c r="H70" s="78">
        <f t="shared" si="5"/>
        <v>360</v>
      </c>
      <c r="I70" s="63"/>
      <c r="J70" s="181" t="s">
        <v>826</v>
      </c>
      <c r="K70" s="68"/>
      <c r="L70" s="135" t="s">
        <v>829</v>
      </c>
      <c r="M70" s="183" t="s">
        <v>828</v>
      </c>
      <c r="N70" s="68"/>
      <c r="O70" s="136">
        <v>20000</v>
      </c>
    </row>
    <row r="71" spans="2:19" x14ac:dyDescent="0.2">
      <c r="B71" s="803"/>
      <c r="C71" s="822"/>
      <c r="D71" s="782" t="s">
        <v>186</v>
      </c>
      <c r="E71" s="783"/>
      <c r="F71" s="783"/>
      <c r="G71" s="81">
        <v>0</v>
      </c>
      <c r="H71" s="78">
        <f t="shared" si="5"/>
        <v>0</v>
      </c>
      <c r="I71" s="63"/>
      <c r="J71" s="181"/>
      <c r="K71" s="58"/>
      <c r="L71" s="135" t="s">
        <v>830</v>
      </c>
      <c r="M71" s="183" t="s">
        <v>828</v>
      </c>
      <c r="N71" s="58"/>
      <c r="O71" s="76">
        <v>20000</v>
      </c>
    </row>
    <row r="72" spans="2:19" ht="12.75" customHeight="1" x14ac:dyDescent="0.2">
      <c r="B72" s="803"/>
      <c r="C72" s="822"/>
      <c r="D72" s="784" t="s">
        <v>188</v>
      </c>
      <c r="E72" s="783"/>
      <c r="F72" s="783"/>
      <c r="G72" s="80">
        <v>0</v>
      </c>
      <c r="H72" s="78">
        <f t="shared" si="5"/>
        <v>0</v>
      </c>
      <c r="I72" s="63"/>
      <c r="J72" s="181"/>
      <c r="K72" s="50"/>
      <c r="L72" s="135"/>
      <c r="M72" s="183"/>
      <c r="N72" s="50"/>
      <c r="O72" s="83">
        <v>0</v>
      </c>
    </row>
    <row r="73" spans="2:19" ht="12.75" customHeight="1" x14ac:dyDescent="0.2">
      <c r="B73" s="803"/>
      <c r="C73" s="822"/>
      <c r="D73" s="782" t="s">
        <v>190</v>
      </c>
      <c r="E73" s="783"/>
      <c r="F73" s="783"/>
      <c r="G73" s="84">
        <f>+O69+O70+O71+O72+O73+O74</f>
        <v>60000</v>
      </c>
      <c r="H73" s="78">
        <f t="shared" si="5"/>
        <v>60000</v>
      </c>
      <c r="I73" s="63"/>
      <c r="J73" s="249"/>
      <c r="K73" s="50"/>
      <c r="L73" s="235"/>
      <c r="M73" s="307"/>
      <c r="N73" s="50"/>
      <c r="O73" s="83">
        <v>0</v>
      </c>
    </row>
    <row r="74" spans="2:19" x14ac:dyDescent="0.2">
      <c r="B74" s="803"/>
      <c r="C74" s="822"/>
      <c r="D74" s="782" t="s">
        <v>191</v>
      </c>
      <c r="E74" s="783"/>
      <c r="F74" s="783"/>
      <c r="G74" s="81">
        <v>0</v>
      </c>
      <c r="H74" s="78">
        <f t="shared" si="5"/>
        <v>0</v>
      </c>
      <c r="I74" s="58"/>
      <c r="J74" s="308"/>
      <c r="K74" s="309"/>
      <c r="L74" s="309"/>
      <c r="M74" s="235"/>
      <c r="N74" s="309"/>
      <c r="O74" s="309">
        <v>0</v>
      </c>
    </row>
    <row r="75" spans="2:19" ht="13.5" thickBot="1" x14ac:dyDescent="0.25">
      <c r="B75" s="803"/>
      <c r="C75" s="88" t="s">
        <v>192</v>
      </c>
      <c r="D75" s="813" t="s">
        <v>193</v>
      </c>
      <c r="E75" s="814"/>
      <c r="F75" s="814"/>
      <c r="G75" s="80">
        <v>0</v>
      </c>
      <c r="H75" s="78">
        <f t="shared" si="5"/>
        <v>0</v>
      </c>
      <c r="I75" s="58"/>
      <c r="J75" s="310"/>
      <c r="K75" s="311"/>
      <c r="L75" s="311"/>
      <c r="M75" s="311"/>
      <c r="N75" s="311"/>
      <c r="O75" s="312"/>
    </row>
    <row r="76" spans="2:19" ht="13.5" customHeight="1" thickBot="1" x14ac:dyDescent="0.25">
      <c r="B76" s="803"/>
      <c r="C76" s="88" t="s">
        <v>194</v>
      </c>
      <c r="D76" s="815" t="s">
        <v>195</v>
      </c>
      <c r="E76" s="815"/>
      <c r="F76" s="815"/>
      <c r="G76" s="89">
        <v>0</v>
      </c>
      <c r="H76" s="90">
        <f>+G76</f>
        <v>0</v>
      </c>
      <c r="I76" s="63"/>
      <c r="J76" s="67"/>
      <c r="K76" s="68"/>
      <c r="L76" s="68"/>
      <c r="M76" s="91"/>
      <c r="N76" s="91"/>
      <c r="O76" s="92"/>
    </row>
    <row r="77" spans="2:19" ht="13.5" thickBot="1" x14ac:dyDescent="0.25">
      <c r="B77" s="803"/>
      <c r="C77" s="93"/>
      <c r="D77" s="94"/>
      <c r="E77" s="816" t="s">
        <v>117</v>
      </c>
      <c r="F77" s="817"/>
      <c r="G77" s="95">
        <f>SUM(G68:G76)</f>
        <v>169490</v>
      </c>
      <c r="H77" s="96">
        <f>IF(SUM(G68:G74)&lt;150000,SUM(G68:G74),150000)+IF(+G75&lt;20000,+G75,20000)</f>
        <v>150000</v>
      </c>
      <c r="I77" s="63"/>
      <c r="J77" s="82" t="s">
        <v>187</v>
      </c>
      <c r="K77" s="71"/>
      <c r="L77" s="71"/>
      <c r="M77" s="71"/>
      <c r="N77" s="71"/>
      <c r="O77" s="72"/>
    </row>
    <row r="78" spans="2:19" ht="12.75" customHeight="1" x14ac:dyDescent="0.2">
      <c r="B78" s="803"/>
      <c r="C78" s="100" t="s">
        <v>196</v>
      </c>
      <c r="D78" s="782" t="s">
        <v>187</v>
      </c>
      <c r="E78" s="783"/>
      <c r="F78" s="818"/>
      <c r="G78" s="73">
        <v>0</v>
      </c>
      <c r="H78" s="221">
        <f>+IF(+G78&lt;25000,+G78,25000)</f>
        <v>0</v>
      </c>
      <c r="I78" s="313"/>
      <c r="J78" s="75" t="s">
        <v>189</v>
      </c>
      <c r="K78" s="50"/>
      <c r="L78" s="50"/>
      <c r="M78" s="50"/>
      <c r="N78" s="50"/>
      <c r="O78" s="83">
        <v>0</v>
      </c>
    </row>
    <row r="79" spans="2:19" x14ac:dyDescent="0.2">
      <c r="B79" s="803"/>
      <c r="C79" s="100" t="s">
        <v>197</v>
      </c>
      <c r="D79" s="784" t="s">
        <v>198</v>
      </c>
      <c r="E79" s="785"/>
      <c r="F79" s="786"/>
      <c r="G79" s="102"/>
      <c r="H79" s="222">
        <f>+IF(+G79&lt;40000,+G79,40000)</f>
        <v>0</v>
      </c>
      <c r="I79" s="63"/>
    </row>
    <row r="80" spans="2:19" x14ac:dyDescent="0.2">
      <c r="B80" s="803"/>
      <c r="C80" s="100" t="s">
        <v>199</v>
      </c>
      <c r="D80" s="784" t="s">
        <v>200</v>
      </c>
      <c r="E80" s="785"/>
      <c r="F80" s="786"/>
      <c r="G80" s="81"/>
      <c r="H80" s="104">
        <v>0</v>
      </c>
      <c r="I80" s="63"/>
      <c r="K80" s="172"/>
      <c r="L80" s="162"/>
    </row>
    <row r="81" spans="2:13" x14ac:dyDescent="0.2">
      <c r="B81" s="803"/>
      <c r="C81" s="100" t="s">
        <v>201</v>
      </c>
      <c r="D81" s="784" t="s">
        <v>202</v>
      </c>
      <c r="E81" s="785"/>
      <c r="F81" s="786"/>
      <c r="G81" s="81"/>
      <c r="H81" s="104">
        <v>0</v>
      </c>
      <c r="I81" s="63"/>
    </row>
    <row r="82" spans="2:13" ht="13.5" thickBot="1" x14ac:dyDescent="0.25">
      <c r="B82" s="804"/>
      <c r="C82" s="100" t="s">
        <v>203</v>
      </c>
      <c r="D82" s="784" t="s">
        <v>204</v>
      </c>
      <c r="E82" s="785"/>
      <c r="F82" s="786"/>
      <c r="G82" s="102"/>
      <c r="H82" s="222">
        <f>+IF(+G82&lt;100000,+G82,10000)</f>
        <v>0</v>
      </c>
      <c r="I82" s="63"/>
      <c r="J82" s="106"/>
    </row>
    <row r="83" spans="2:13" ht="13.5" thickBot="1" x14ac:dyDescent="0.25">
      <c r="B83" s="787" t="s">
        <v>205</v>
      </c>
      <c r="C83" s="788"/>
      <c r="D83" s="788"/>
      <c r="E83" s="788"/>
      <c r="F83" s="788"/>
      <c r="G83" s="107">
        <f>SUM(G78:G82)</f>
        <v>0</v>
      </c>
      <c r="H83" s="108">
        <f>SUM(H77:H82)</f>
        <v>150000</v>
      </c>
    </row>
    <row r="84" spans="2:13" ht="13.5" thickBot="1" x14ac:dyDescent="0.25"/>
    <row r="85" spans="2:13" ht="13.5" thickBot="1" x14ac:dyDescent="0.25">
      <c r="B85" s="789" t="s">
        <v>206</v>
      </c>
      <c r="C85" s="790"/>
      <c r="D85" s="790"/>
      <c r="E85" s="790"/>
      <c r="F85" s="791"/>
      <c r="G85" s="1055">
        <f>ROUND(+G64-H83,-1)</f>
        <v>452680</v>
      </c>
      <c r="H85" s="1056"/>
      <c r="J85" s="109">
        <f>C37+D37+E37+F37</f>
        <v>219588</v>
      </c>
      <c r="K85" s="16" t="s">
        <v>235</v>
      </c>
      <c r="L85" s="87"/>
      <c r="M85" s="87"/>
    </row>
    <row r="86" spans="2:13" x14ac:dyDescent="0.2">
      <c r="B86" s="110"/>
      <c r="F86" s="105"/>
      <c r="J86" s="109">
        <f>G37+H37+I37</f>
        <v>154608</v>
      </c>
      <c r="K86" s="16" t="s">
        <v>236</v>
      </c>
      <c r="L86" s="87"/>
      <c r="M86" s="87"/>
    </row>
    <row r="87" spans="2:13" x14ac:dyDescent="0.2">
      <c r="C87" s="793" t="s">
        <v>207</v>
      </c>
      <c r="D87" s="794"/>
      <c r="E87" s="111" t="s">
        <v>208</v>
      </c>
      <c r="F87" s="111" t="s">
        <v>209</v>
      </c>
      <c r="G87" s="111" t="s">
        <v>210</v>
      </c>
      <c r="H87" s="111" t="s">
        <v>211</v>
      </c>
      <c r="J87" s="109">
        <f>J37+K37+L37</f>
        <v>166316</v>
      </c>
      <c r="K87" s="47" t="s">
        <v>237</v>
      </c>
      <c r="L87" s="87"/>
      <c r="M87" s="87"/>
    </row>
    <row r="88" spans="2:13" x14ac:dyDescent="0.2">
      <c r="C88" s="795" t="str">
        <f>IF(I6="M","0          - 250000","0          -  250000")</f>
        <v>0          -  250000</v>
      </c>
      <c r="D88" s="796"/>
      <c r="E88" s="112">
        <v>0</v>
      </c>
      <c r="F88" s="113">
        <f>IF(I6="M",(IF(G85&lt;250000,G85,250000)),(IF(G85&lt;250000,G85,250000)))</f>
        <v>250000</v>
      </c>
      <c r="G88" s="113">
        <f>G85-F88</f>
        <v>202680</v>
      </c>
      <c r="H88" s="113">
        <f>E88*F88</f>
        <v>0</v>
      </c>
      <c r="J88" s="16">
        <f>M37+N37</f>
        <v>104672</v>
      </c>
      <c r="K88" s="1" t="s">
        <v>238</v>
      </c>
      <c r="L88" s="87"/>
      <c r="M88" s="87"/>
    </row>
    <row r="89" spans="2:13" x14ac:dyDescent="0.2">
      <c r="C89" s="795" t="str">
        <f>IF(I6="M","250001 - 500000","250001-500000")</f>
        <v>250001-500000</v>
      </c>
      <c r="D89" s="796"/>
      <c r="E89" s="112">
        <v>0.05</v>
      </c>
      <c r="F89" s="113">
        <f>IF(I6="M",(IF(G88&lt;250000,G88,250000)),(IF(G88&lt;250000,G88,250000)))</f>
        <v>202680</v>
      </c>
      <c r="G89" s="113">
        <f>G88-F89</f>
        <v>0</v>
      </c>
      <c r="H89" s="114">
        <f>ROUND(E89*F89,0.1)</f>
        <v>10134</v>
      </c>
      <c r="J89" s="115">
        <f>SUM(J85:J88)</f>
        <v>645184</v>
      </c>
      <c r="L89" s="87"/>
      <c r="M89" s="87"/>
    </row>
    <row r="90" spans="2:13" x14ac:dyDescent="0.2">
      <c r="C90" s="797" t="s">
        <v>212</v>
      </c>
      <c r="D90" s="798"/>
      <c r="E90" s="112">
        <v>0.2</v>
      </c>
      <c r="F90" s="113">
        <f>IF(G89&lt;500000,G89,500000)</f>
        <v>0</v>
      </c>
      <c r="G90" s="113">
        <f>G89-F90</f>
        <v>0</v>
      </c>
      <c r="H90" s="114">
        <f>ROUND(E90*F90,0.1)</f>
        <v>0</v>
      </c>
      <c r="J90" s="16">
        <f>+G85</f>
        <v>452680</v>
      </c>
      <c r="L90" s="87"/>
      <c r="M90" s="87"/>
    </row>
    <row r="91" spans="2:13" x14ac:dyDescent="0.2">
      <c r="C91" s="795" t="s">
        <v>213</v>
      </c>
      <c r="D91" s="796"/>
      <c r="E91" s="112">
        <v>0.3</v>
      </c>
      <c r="F91" s="113">
        <f>G90</f>
        <v>0</v>
      </c>
      <c r="G91" s="113">
        <f>G90-F91</f>
        <v>0</v>
      </c>
      <c r="H91" s="114">
        <f>ROUND(E91*F91,0.1)</f>
        <v>0</v>
      </c>
      <c r="J91" s="16">
        <f>+J89-J90</f>
        <v>192504</v>
      </c>
      <c r="K91" s="1"/>
      <c r="L91" s="87"/>
      <c r="M91" s="87"/>
    </row>
    <row r="92" spans="2:13" ht="12.75" customHeight="1" thickBot="1" x14ac:dyDescent="0.25">
      <c r="B92" s="116"/>
      <c r="C92" s="117"/>
      <c r="D92" s="47"/>
      <c r="E92" s="47"/>
      <c r="F92" s="47"/>
      <c r="J92" s="87"/>
      <c r="K92" s="118"/>
      <c r="L92" s="87"/>
      <c r="M92" s="87"/>
    </row>
    <row r="93" spans="2:13" ht="14.25" customHeight="1" thickBot="1" x14ac:dyDescent="0.25">
      <c r="B93" s="799" t="s">
        <v>239</v>
      </c>
      <c r="C93" s="800"/>
      <c r="D93" s="800"/>
      <c r="E93" s="800"/>
      <c r="F93" s="801"/>
      <c r="G93" s="771">
        <f>H88+H89+H90+H91</f>
        <v>10134</v>
      </c>
      <c r="H93" s="772"/>
      <c r="J93" s="87"/>
      <c r="K93" s="87"/>
      <c r="L93" s="87"/>
      <c r="M93" s="87"/>
    </row>
    <row r="94" spans="2:13" ht="14.25" customHeight="1" thickBot="1" x14ac:dyDescent="0.25">
      <c r="B94" s="119" t="s">
        <v>215</v>
      </c>
      <c r="C94" s="120"/>
      <c r="D94" s="120"/>
      <c r="E94" s="120"/>
      <c r="F94" s="120"/>
      <c r="G94" s="884">
        <f>IF((G64&lt;500000),5000,0)</f>
        <v>0</v>
      </c>
      <c r="H94" s="885">
        <f>IF(H92&lt;200000,0,IF(H92&lt;220000,((H92-200000)*10%),IF(H92&lt;=500000,2000,IF(H92&gt;=500000,0))))</f>
        <v>0</v>
      </c>
      <c r="J94" s="87"/>
      <c r="K94" s="87"/>
      <c r="L94" s="87"/>
      <c r="M94" s="87"/>
    </row>
    <row r="95" spans="2:13" ht="14.25" customHeight="1" thickBot="1" x14ac:dyDescent="0.25">
      <c r="B95" s="122" t="s">
        <v>216</v>
      </c>
      <c r="C95" s="123"/>
      <c r="D95" s="123"/>
      <c r="E95" s="123"/>
      <c r="F95" s="123"/>
      <c r="G95" s="771">
        <f>IF((G93-G94)&lt;0,0,(G93-G94))</f>
        <v>10134</v>
      </c>
      <c r="H95" s="772"/>
      <c r="J95" s="87"/>
      <c r="K95" s="87"/>
      <c r="L95" s="87"/>
      <c r="M95" s="87"/>
    </row>
    <row r="96" spans="2:13" ht="14.25" customHeight="1" thickBot="1" x14ac:dyDescent="0.25">
      <c r="B96" s="773" t="s">
        <v>240</v>
      </c>
      <c r="C96" s="774"/>
      <c r="D96" s="774"/>
      <c r="E96" s="774"/>
      <c r="F96" s="775"/>
      <c r="G96" s="776">
        <f>ROUND((IF(G95&gt;0,(G95*4%),0)),0)</f>
        <v>405</v>
      </c>
      <c r="H96" s="777"/>
    </row>
    <row r="97" spans="2:8" ht="14.25" customHeight="1" thickBot="1" x14ac:dyDescent="0.25">
      <c r="B97" s="778" t="s">
        <v>218</v>
      </c>
      <c r="C97" s="779"/>
      <c r="D97" s="779"/>
      <c r="E97" s="779"/>
      <c r="F97" s="779"/>
      <c r="G97" s="780">
        <f>+G95+G96</f>
        <v>10539</v>
      </c>
      <c r="H97" s="781"/>
    </row>
    <row r="98" spans="2:8" ht="13.5" thickBot="1" x14ac:dyDescent="0.25">
      <c r="B98" s="765" t="s">
        <v>219</v>
      </c>
      <c r="C98" s="766"/>
      <c r="D98" s="766"/>
      <c r="E98" s="766"/>
      <c r="F98" s="766"/>
      <c r="G98" s="767">
        <f>O38</f>
        <v>10545</v>
      </c>
      <c r="H98" s="768"/>
    </row>
    <row r="99" spans="2:8" ht="13.5" thickBot="1" x14ac:dyDescent="0.25">
      <c r="B99" s="765" t="str">
        <f>IF(G99&gt;0,"TAX PAYABLE","TAX REFUND")</f>
        <v>TAX REFUND</v>
      </c>
      <c r="C99" s="766"/>
      <c r="D99" s="766"/>
      <c r="E99" s="766"/>
      <c r="F99" s="766"/>
      <c r="G99" s="767">
        <f>+G97-G98</f>
        <v>-6</v>
      </c>
      <c r="H99" s="768"/>
    </row>
    <row r="100" spans="2:8" x14ac:dyDescent="0.2">
      <c r="C100" s="39"/>
      <c r="D100" s="126"/>
      <c r="E100" s="126"/>
      <c r="F100" s="39"/>
      <c r="G100" s="39"/>
      <c r="H100" s="39"/>
    </row>
    <row r="101" spans="2:8" x14ac:dyDescent="0.2">
      <c r="C101" s="39"/>
      <c r="D101" s="39"/>
      <c r="E101" s="39"/>
      <c r="F101" s="39"/>
      <c r="G101" s="39"/>
      <c r="H101" s="39"/>
    </row>
    <row r="102" spans="2:8" x14ac:dyDescent="0.2">
      <c r="C102" s="39"/>
      <c r="D102" s="39"/>
      <c r="E102" s="39"/>
      <c r="F102" s="39"/>
      <c r="G102" s="39"/>
      <c r="H102" s="39"/>
    </row>
    <row r="103" spans="2:8" x14ac:dyDescent="0.2">
      <c r="C103" s="39"/>
      <c r="D103" s="39"/>
      <c r="E103" s="39"/>
      <c r="F103" s="39"/>
      <c r="G103" s="39"/>
      <c r="H103" s="39"/>
    </row>
  </sheetData>
  <mergeCells count="92">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8:A48"/>
    <mergeCell ref="A5:C5"/>
    <mergeCell ref="D5:F5"/>
    <mergeCell ref="G5:H5"/>
    <mergeCell ref="I5:O5"/>
    <mergeCell ref="A6:C6"/>
    <mergeCell ref="D6:F6"/>
    <mergeCell ref="G6:H6"/>
    <mergeCell ref="J6:O6"/>
    <mergeCell ref="L7:O7"/>
    <mergeCell ref="A8:B8"/>
    <mergeCell ref="A21:A33"/>
    <mergeCell ref="A35:B35"/>
    <mergeCell ref="A36:B36"/>
    <mergeCell ref="A49:B49"/>
    <mergeCell ref="A50:B50"/>
    <mergeCell ref="B53:F53"/>
    <mergeCell ref="G53:H53"/>
    <mergeCell ref="B55:B57"/>
    <mergeCell ref="C55:C57"/>
    <mergeCell ref="D55:F55"/>
    <mergeCell ref="G55:H55"/>
    <mergeCell ref="D56:F56"/>
    <mergeCell ref="G56:H56"/>
    <mergeCell ref="B64:F64"/>
    <mergeCell ref="G64:H64"/>
    <mergeCell ref="J56:L56"/>
    <mergeCell ref="M56:O56"/>
    <mergeCell ref="D57:F57"/>
    <mergeCell ref="G57:H57"/>
    <mergeCell ref="B59:F59"/>
    <mergeCell ref="G59:H59"/>
    <mergeCell ref="J59:O59"/>
    <mergeCell ref="B61:F61"/>
    <mergeCell ref="G61:H61"/>
    <mergeCell ref="C62:F62"/>
    <mergeCell ref="G62:H62"/>
    <mergeCell ref="J62:O62"/>
    <mergeCell ref="D80:F80"/>
    <mergeCell ref="J67:K67"/>
    <mergeCell ref="B68:B82"/>
    <mergeCell ref="C68:C74"/>
    <mergeCell ref="D68:F68"/>
    <mergeCell ref="D69:F69"/>
    <mergeCell ref="D70:F70"/>
    <mergeCell ref="D71:F71"/>
    <mergeCell ref="D72:F72"/>
    <mergeCell ref="D73:F73"/>
    <mergeCell ref="D74:F74"/>
    <mergeCell ref="D75:F75"/>
    <mergeCell ref="D76:F76"/>
    <mergeCell ref="E77:F77"/>
    <mergeCell ref="D78:F78"/>
    <mergeCell ref="D79:F79"/>
    <mergeCell ref="G93:H93"/>
    <mergeCell ref="D81:F81"/>
    <mergeCell ref="D82:F82"/>
    <mergeCell ref="B83:F83"/>
    <mergeCell ref="B85:F85"/>
    <mergeCell ref="G85:H85"/>
    <mergeCell ref="C87:D87"/>
    <mergeCell ref="C88:D88"/>
    <mergeCell ref="C89:D89"/>
    <mergeCell ref="C90:D90"/>
    <mergeCell ref="C91:D91"/>
    <mergeCell ref="B93:F93"/>
    <mergeCell ref="B98:F98"/>
    <mergeCell ref="G98:H98"/>
    <mergeCell ref="B99:F99"/>
    <mergeCell ref="G99:H99"/>
    <mergeCell ref="G94:H94"/>
    <mergeCell ref="G95:H95"/>
    <mergeCell ref="B96:F96"/>
    <mergeCell ref="G96:H96"/>
    <mergeCell ref="B97:F97"/>
    <mergeCell ref="G97:H97"/>
  </mergeCells>
  <conditionalFormatting sqref="B90:F90">
    <cfRule type="cellIs" dxfId="765" priority="203" stopIfTrue="1" operator="equal">
      <formula>"TAX PAYABLE"</formula>
    </cfRule>
    <cfRule type="cellIs" dxfId="764" priority="204" stopIfTrue="1" operator="equal">
      <formula>"TAX REFUND"</formula>
    </cfRule>
  </conditionalFormatting>
  <conditionalFormatting sqref="G90:H90">
    <cfRule type="cellIs" dxfId="763" priority="205" stopIfTrue="1" operator="lessThan">
      <formula>0</formula>
    </cfRule>
    <cfRule type="cellIs" dxfId="762" priority="206" stopIfTrue="1" operator="greaterThan">
      <formula>0</formula>
    </cfRule>
  </conditionalFormatting>
  <conditionalFormatting sqref="B90:F90">
    <cfRule type="cellIs" dxfId="761" priority="201" stopIfTrue="1" operator="equal">
      <formula>"TAX PAYABLE"</formula>
    </cfRule>
    <cfRule type="cellIs" dxfId="760" priority="202" stopIfTrue="1" operator="equal">
      <formula>"TAX REFUND"</formula>
    </cfRule>
  </conditionalFormatting>
  <conditionalFormatting sqref="G90:H90">
    <cfRule type="cellIs" dxfId="759" priority="199" stopIfTrue="1" operator="lessThan">
      <formula>0</formula>
    </cfRule>
    <cfRule type="cellIs" dxfId="758" priority="200" stopIfTrue="1" operator="greaterThan">
      <formula>0</formula>
    </cfRule>
  </conditionalFormatting>
  <conditionalFormatting sqref="B90:F90">
    <cfRule type="cellIs" dxfId="757" priority="197" stopIfTrue="1" operator="equal">
      <formula>"TAX PAYABLE"</formula>
    </cfRule>
    <cfRule type="cellIs" dxfId="756" priority="198" stopIfTrue="1" operator="equal">
      <formula>"TAX REFUND"</formula>
    </cfRule>
  </conditionalFormatting>
  <conditionalFormatting sqref="G90:H90">
    <cfRule type="cellIs" dxfId="755" priority="195" stopIfTrue="1" operator="lessThan">
      <formula>0</formula>
    </cfRule>
    <cfRule type="cellIs" dxfId="754" priority="196" stopIfTrue="1" operator="greaterThan">
      <formula>0</formula>
    </cfRule>
  </conditionalFormatting>
  <conditionalFormatting sqref="C90:F90">
    <cfRule type="cellIs" dxfId="753" priority="193" stopIfTrue="1" operator="equal">
      <formula>"TAX PAYABLE"</formula>
    </cfRule>
    <cfRule type="cellIs" dxfId="752" priority="194" stopIfTrue="1" operator="equal">
      <formula>"TAX REFUND"</formula>
    </cfRule>
  </conditionalFormatting>
  <conditionalFormatting sqref="G90:H90">
    <cfRule type="cellIs" dxfId="751" priority="191" stopIfTrue="1" operator="lessThan">
      <formula>0</formula>
    </cfRule>
    <cfRule type="cellIs" dxfId="750" priority="192" stopIfTrue="1" operator="greaterThan">
      <formula>0</formula>
    </cfRule>
  </conditionalFormatting>
  <conditionalFormatting sqref="B97:F97">
    <cfRule type="cellIs" dxfId="749" priority="189" stopIfTrue="1" operator="equal">
      <formula>"TAX PAYABLE"</formula>
    </cfRule>
    <cfRule type="cellIs" dxfId="748" priority="190" stopIfTrue="1" operator="equal">
      <formula>"TAX REFUND"</formula>
    </cfRule>
  </conditionalFormatting>
  <conditionalFormatting sqref="B99:F99 B93:F96">
    <cfRule type="cellIs" dxfId="747" priority="187" stopIfTrue="1" operator="equal">
      <formula>"TAX PAYABLE"</formula>
    </cfRule>
    <cfRule type="cellIs" dxfId="746" priority="188" stopIfTrue="1" operator="equal">
      <formula>"TAX REFUND"</formula>
    </cfRule>
  </conditionalFormatting>
  <conditionalFormatting sqref="G99:H99">
    <cfRule type="cellIs" dxfId="745" priority="185" stopIfTrue="1" operator="greaterThan">
      <formula>0</formula>
    </cfRule>
    <cfRule type="cellIs" dxfId="744" priority="186" stopIfTrue="1" operator="lessThanOrEqual">
      <formula>0</formula>
    </cfRule>
  </conditionalFormatting>
  <conditionalFormatting sqref="B93:F94">
    <cfRule type="cellIs" dxfId="743" priority="183" stopIfTrue="1" operator="equal">
      <formula>"TAX PAYABLE"</formula>
    </cfRule>
    <cfRule type="cellIs" dxfId="742" priority="184" stopIfTrue="1" operator="equal">
      <formula>"TAX REFUND"</formula>
    </cfRule>
  </conditionalFormatting>
  <conditionalFormatting sqref="B93:F93">
    <cfRule type="cellIs" dxfId="741" priority="181" stopIfTrue="1" operator="equal">
      <formula>"TAX PAYABLE"</formula>
    </cfRule>
    <cfRule type="cellIs" dxfId="740" priority="182" stopIfTrue="1" operator="equal">
      <formula>"TAX REFUND"</formula>
    </cfRule>
  </conditionalFormatting>
  <conditionalFormatting sqref="B93:F94">
    <cfRule type="cellIs" dxfId="739" priority="179" stopIfTrue="1" operator="equal">
      <formula>"TAX PAYABLE"</formula>
    </cfRule>
    <cfRule type="cellIs" dxfId="738" priority="180" stopIfTrue="1" operator="equal">
      <formula>"TAX REFUND"</formula>
    </cfRule>
  </conditionalFormatting>
  <conditionalFormatting sqref="B93:F94">
    <cfRule type="cellIs" dxfId="737" priority="177" stopIfTrue="1" operator="equal">
      <formula>"TAX PAYABLE"</formula>
    </cfRule>
    <cfRule type="cellIs" dxfId="736" priority="178" stopIfTrue="1" operator="equal">
      <formula>"TAX REFUND"</formula>
    </cfRule>
  </conditionalFormatting>
  <conditionalFormatting sqref="B93:F94">
    <cfRule type="cellIs" dxfId="735" priority="175" stopIfTrue="1" operator="equal">
      <formula>"TAX PAYABLE"</formula>
    </cfRule>
    <cfRule type="cellIs" dxfId="734" priority="176" stopIfTrue="1" operator="equal">
      <formula>"TAX REFUND"</formula>
    </cfRule>
  </conditionalFormatting>
  <conditionalFormatting sqref="B97:F97">
    <cfRule type="cellIs" dxfId="733" priority="173" stopIfTrue="1" operator="equal">
      <formula>"TAX PAYABLE"</formula>
    </cfRule>
    <cfRule type="cellIs" dxfId="732" priority="174" stopIfTrue="1" operator="equal">
      <formula>"TAX REFUND"</formula>
    </cfRule>
  </conditionalFormatting>
  <conditionalFormatting sqref="B93:F93">
    <cfRule type="cellIs" dxfId="731" priority="171" stopIfTrue="1" operator="equal">
      <formula>"TAX PAYABLE"</formula>
    </cfRule>
    <cfRule type="cellIs" dxfId="730" priority="172" stopIfTrue="1" operator="equal">
      <formula>"TAX REFUND"</formula>
    </cfRule>
  </conditionalFormatting>
  <conditionalFormatting sqref="B93:F94">
    <cfRule type="cellIs" dxfId="729" priority="169" stopIfTrue="1" operator="equal">
      <formula>"TAX PAYABLE"</formula>
    </cfRule>
    <cfRule type="cellIs" dxfId="728" priority="170" stopIfTrue="1" operator="equal">
      <formula>"TAX REFUND"</formula>
    </cfRule>
  </conditionalFormatting>
  <conditionalFormatting sqref="B93:F94">
    <cfRule type="cellIs" dxfId="727" priority="167" stopIfTrue="1" operator="equal">
      <formula>"TAX PAYABLE"</formula>
    </cfRule>
    <cfRule type="cellIs" dxfId="726" priority="168" stopIfTrue="1" operator="equal">
      <formula>"TAX REFUND"</formula>
    </cfRule>
  </conditionalFormatting>
  <conditionalFormatting sqref="B93:F94">
    <cfRule type="cellIs" dxfId="725" priority="165" stopIfTrue="1" operator="equal">
      <formula>"TAX PAYABLE"</formula>
    </cfRule>
    <cfRule type="cellIs" dxfId="724" priority="166" stopIfTrue="1" operator="equal">
      <formula>"TAX REFUND"</formula>
    </cfRule>
  </conditionalFormatting>
  <conditionalFormatting sqref="B97:F97">
    <cfRule type="cellIs" dxfId="723" priority="163" stopIfTrue="1" operator="equal">
      <formula>"TAX PAYABLE"</formula>
    </cfRule>
    <cfRule type="cellIs" dxfId="722" priority="164" stopIfTrue="1" operator="equal">
      <formula>"TAX REFUND"</formula>
    </cfRule>
  </conditionalFormatting>
  <conditionalFormatting sqref="B93:F94 B99:F99">
    <cfRule type="cellIs" dxfId="721" priority="161" stopIfTrue="1" operator="equal">
      <formula>"TAX PAYABLE"</formula>
    </cfRule>
    <cfRule type="cellIs" dxfId="720" priority="162" stopIfTrue="1" operator="equal">
      <formula>"TAX REFUND"</formula>
    </cfRule>
  </conditionalFormatting>
  <conditionalFormatting sqref="G99:H99">
    <cfRule type="cellIs" dxfId="719" priority="159" stopIfTrue="1" operator="greaterThan">
      <formula>0</formula>
    </cfRule>
    <cfRule type="cellIs" dxfId="718" priority="160" stopIfTrue="1" operator="lessThanOrEqual">
      <formula>0</formula>
    </cfRule>
  </conditionalFormatting>
  <conditionalFormatting sqref="B99:F99 B93:F96">
    <cfRule type="cellIs" dxfId="717" priority="157" stopIfTrue="1" operator="equal">
      <formula>"TAX PAYABLE"</formula>
    </cfRule>
    <cfRule type="cellIs" dxfId="716" priority="158" stopIfTrue="1" operator="equal">
      <formula>"TAX REFUND"</formula>
    </cfRule>
  </conditionalFormatting>
  <conditionalFormatting sqref="G99:H99">
    <cfRule type="cellIs" dxfId="715" priority="155" stopIfTrue="1" operator="greaterThan">
      <formula>0</formula>
    </cfRule>
    <cfRule type="cellIs" dxfId="714" priority="156" stopIfTrue="1" operator="lessThanOrEqual">
      <formula>0</formula>
    </cfRule>
  </conditionalFormatting>
  <conditionalFormatting sqref="B90:F90">
    <cfRule type="cellIs" dxfId="713" priority="153" stopIfTrue="1" operator="equal">
      <formula>"TAX PAYABLE"</formula>
    </cfRule>
    <cfRule type="cellIs" dxfId="712" priority="154" stopIfTrue="1" operator="equal">
      <formula>"TAX REFUND"</formula>
    </cfRule>
  </conditionalFormatting>
  <conditionalFormatting sqref="G90:H90">
    <cfRule type="cellIs" dxfId="711" priority="151" stopIfTrue="1" operator="lessThan">
      <formula>0</formula>
    </cfRule>
    <cfRule type="cellIs" dxfId="710" priority="152" stopIfTrue="1" operator="greaterThan">
      <formula>0</formula>
    </cfRule>
  </conditionalFormatting>
  <conditionalFormatting sqref="B90:F90">
    <cfRule type="cellIs" dxfId="709" priority="149" stopIfTrue="1" operator="equal">
      <formula>"TAX PAYABLE"</formula>
    </cfRule>
    <cfRule type="cellIs" dxfId="708" priority="150" stopIfTrue="1" operator="equal">
      <formula>"TAX REFUND"</formula>
    </cfRule>
  </conditionalFormatting>
  <conditionalFormatting sqref="G90:H90">
    <cfRule type="cellIs" dxfId="707" priority="147" stopIfTrue="1" operator="lessThan">
      <formula>0</formula>
    </cfRule>
    <cfRule type="cellIs" dxfId="706" priority="148" stopIfTrue="1" operator="greaterThan">
      <formula>0</formula>
    </cfRule>
  </conditionalFormatting>
  <conditionalFormatting sqref="B90:F90">
    <cfRule type="cellIs" dxfId="705" priority="145" stopIfTrue="1" operator="equal">
      <formula>"TAX PAYABLE"</formula>
    </cfRule>
    <cfRule type="cellIs" dxfId="704" priority="146" stopIfTrue="1" operator="equal">
      <formula>"TAX REFUND"</formula>
    </cfRule>
  </conditionalFormatting>
  <conditionalFormatting sqref="G90:H90">
    <cfRule type="cellIs" dxfId="703" priority="143" stopIfTrue="1" operator="lessThan">
      <formula>0</formula>
    </cfRule>
    <cfRule type="cellIs" dxfId="702" priority="144" stopIfTrue="1" operator="greaterThan">
      <formula>0</formula>
    </cfRule>
  </conditionalFormatting>
  <conditionalFormatting sqref="C90:F90">
    <cfRule type="cellIs" dxfId="701" priority="141" stopIfTrue="1" operator="equal">
      <formula>"TAX PAYABLE"</formula>
    </cfRule>
    <cfRule type="cellIs" dxfId="700" priority="142" stopIfTrue="1" operator="equal">
      <formula>"TAX REFUND"</formula>
    </cfRule>
  </conditionalFormatting>
  <conditionalFormatting sqref="G90:H90">
    <cfRule type="cellIs" dxfId="699" priority="139" stopIfTrue="1" operator="lessThan">
      <formula>0</formula>
    </cfRule>
    <cfRule type="cellIs" dxfId="698" priority="140" stopIfTrue="1" operator="greaterThan">
      <formula>0</formula>
    </cfRule>
  </conditionalFormatting>
  <conditionalFormatting sqref="B97:F97">
    <cfRule type="cellIs" dxfId="697" priority="137" stopIfTrue="1" operator="equal">
      <formula>"TAX PAYABLE"</formula>
    </cfRule>
    <cfRule type="cellIs" dxfId="696" priority="138" stopIfTrue="1" operator="equal">
      <formula>"TAX REFUND"</formula>
    </cfRule>
  </conditionalFormatting>
  <conditionalFormatting sqref="B99:F99 B93:F96">
    <cfRule type="cellIs" dxfId="695" priority="135" stopIfTrue="1" operator="equal">
      <formula>"TAX PAYABLE"</formula>
    </cfRule>
    <cfRule type="cellIs" dxfId="694" priority="136" stopIfTrue="1" operator="equal">
      <formula>"TAX REFUND"</formula>
    </cfRule>
  </conditionalFormatting>
  <conditionalFormatting sqref="G99:H99">
    <cfRule type="cellIs" dxfId="693" priority="133" stopIfTrue="1" operator="greaterThan">
      <formula>0</formula>
    </cfRule>
    <cfRule type="cellIs" dxfId="692" priority="134" stopIfTrue="1" operator="lessThanOrEqual">
      <formula>0</formula>
    </cfRule>
  </conditionalFormatting>
  <conditionalFormatting sqref="B93:F94">
    <cfRule type="cellIs" dxfId="691" priority="131" stopIfTrue="1" operator="equal">
      <formula>"TAX PAYABLE"</formula>
    </cfRule>
    <cfRule type="cellIs" dxfId="690" priority="132" stopIfTrue="1" operator="equal">
      <formula>"TAX REFUND"</formula>
    </cfRule>
  </conditionalFormatting>
  <conditionalFormatting sqref="B93:F93">
    <cfRule type="cellIs" dxfId="689" priority="129" stopIfTrue="1" operator="equal">
      <formula>"TAX PAYABLE"</formula>
    </cfRule>
    <cfRule type="cellIs" dxfId="688" priority="130" stopIfTrue="1" operator="equal">
      <formula>"TAX REFUND"</formula>
    </cfRule>
  </conditionalFormatting>
  <conditionalFormatting sqref="B93:F94">
    <cfRule type="cellIs" dxfId="687" priority="127" stopIfTrue="1" operator="equal">
      <formula>"TAX PAYABLE"</formula>
    </cfRule>
    <cfRule type="cellIs" dxfId="686" priority="128" stopIfTrue="1" operator="equal">
      <formula>"TAX REFUND"</formula>
    </cfRule>
  </conditionalFormatting>
  <conditionalFormatting sqref="B93:F94">
    <cfRule type="cellIs" dxfId="685" priority="125" stopIfTrue="1" operator="equal">
      <formula>"TAX PAYABLE"</formula>
    </cfRule>
    <cfRule type="cellIs" dxfId="684" priority="126" stopIfTrue="1" operator="equal">
      <formula>"TAX REFUND"</formula>
    </cfRule>
  </conditionalFormatting>
  <conditionalFormatting sqref="B93:F94">
    <cfRule type="cellIs" dxfId="683" priority="123" stopIfTrue="1" operator="equal">
      <formula>"TAX PAYABLE"</formula>
    </cfRule>
    <cfRule type="cellIs" dxfId="682" priority="124" stopIfTrue="1" operator="equal">
      <formula>"TAX REFUND"</formula>
    </cfRule>
  </conditionalFormatting>
  <conditionalFormatting sqref="B97:F97">
    <cfRule type="cellIs" dxfId="681" priority="121" stopIfTrue="1" operator="equal">
      <formula>"TAX PAYABLE"</formula>
    </cfRule>
    <cfRule type="cellIs" dxfId="680" priority="122" stopIfTrue="1" operator="equal">
      <formula>"TAX REFUND"</formula>
    </cfRule>
  </conditionalFormatting>
  <conditionalFormatting sqref="B93:F93">
    <cfRule type="cellIs" dxfId="679" priority="119" stopIfTrue="1" operator="equal">
      <formula>"TAX PAYABLE"</formula>
    </cfRule>
    <cfRule type="cellIs" dxfId="678" priority="120" stopIfTrue="1" operator="equal">
      <formula>"TAX REFUND"</formula>
    </cfRule>
  </conditionalFormatting>
  <conditionalFormatting sqref="B93:F94">
    <cfRule type="cellIs" dxfId="677" priority="117" stopIfTrue="1" operator="equal">
      <formula>"TAX PAYABLE"</formula>
    </cfRule>
    <cfRule type="cellIs" dxfId="676" priority="118" stopIfTrue="1" operator="equal">
      <formula>"TAX REFUND"</formula>
    </cfRule>
  </conditionalFormatting>
  <conditionalFormatting sqref="B93:F94">
    <cfRule type="cellIs" dxfId="675" priority="115" stopIfTrue="1" operator="equal">
      <formula>"TAX PAYABLE"</formula>
    </cfRule>
    <cfRule type="cellIs" dxfId="674" priority="116" stopIfTrue="1" operator="equal">
      <formula>"TAX REFUND"</formula>
    </cfRule>
  </conditionalFormatting>
  <conditionalFormatting sqref="B93:F94">
    <cfRule type="cellIs" dxfId="673" priority="113" stopIfTrue="1" operator="equal">
      <formula>"TAX PAYABLE"</formula>
    </cfRule>
    <cfRule type="cellIs" dxfId="672" priority="114" stopIfTrue="1" operator="equal">
      <formula>"TAX REFUND"</formula>
    </cfRule>
  </conditionalFormatting>
  <conditionalFormatting sqref="B97:F97">
    <cfRule type="cellIs" dxfId="671" priority="111" stopIfTrue="1" operator="equal">
      <formula>"TAX PAYABLE"</formula>
    </cfRule>
    <cfRule type="cellIs" dxfId="670" priority="112" stopIfTrue="1" operator="equal">
      <formula>"TAX REFUND"</formula>
    </cfRule>
  </conditionalFormatting>
  <conditionalFormatting sqref="B93:F94 B99:F99">
    <cfRule type="cellIs" dxfId="669" priority="109" stopIfTrue="1" operator="equal">
      <formula>"TAX PAYABLE"</formula>
    </cfRule>
    <cfRule type="cellIs" dxfId="668" priority="110" stopIfTrue="1" operator="equal">
      <formula>"TAX REFUND"</formula>
    </cfRule>
  </conditionalFormatting>
  <conditionalFormatting sqref="G99:H99">
    <cfRule type="cellIs" dxfId="667" priority="107" stopIfTrue="1" operator="greaterThan">
      <formula>0</formula>
    </cfRule>
    <cfRule type="cellIs" dxfId="666" priority="108" stopIfTrue="1" operator="lessThanOrEqual">
      <formula>0</formula>
    </cfRule>
  </conditionalFormatting>
  <conditionalFormatting sqref="B99:F99 B93:F96">
    <cfRule type="cellIs" dxfId="665" priority="105" stopIfTrue="1" operator="equal">
      <formula>"TAX PAYABLE"</formula>
    </cfRule>
    <cfRule type="cellIs" dxfId="664" priority="106" stopIfTrue="1" operator="equal">
      <formula>"TAX REFUND"</formula>
    </cfRule>
  </conditionalFormatting>
  <conditionalFormatting sqref="G99:H99">
    <cfRule type="cellIs" dxfId="663" priority="103" stopIfTrue="1" operator="greaterThan">
      <formula>0</formula>
    </cfRule>
    <cfRule type="cellIs" dxfId="662" priority="104" stopIfTrue="1" operator="lessThanOrEqual">
      <formula>0</formula>
    </cfRule>
  </conditionalFormatting>
  <conditionalFormatting sqref="B90:F90">
    <cfRule type="cellIs" dxfId="661" priority="101" stopIfTrue="1" operator="equal">
      <formula>"TAX PAYABLE"</formula>
    </cfRule>
    <cfRule type="cellIs" dxfId="660" priority="102" stopIfTrue="1" operator="equal">
      <formula>"TAX REFUND"</formula>
    </cfRule>
  </conditionalFormatting>
  <conditionalFormatting sqref="B94:F94">
    <cfRule type="cellIs" dxfId="659" priority="99" stopIfTrue="1" operator="equal">
      <formula>"TAX PAYABLE"</formula>
    </cfRule>
    <cfRule type="cellIs" dxfId="658" priority="100" stopIfTrue="1" operator="equal">
      <formula>"TAX REFUND"</formula>
    </cfRule>
  </conditionalFormatting>
  <conditionalFormatting sqref="B94:F94">
    <cfRule type="cellIs" dxfId="657" priority="97" stopIfTrue="1" operator="equal">
      <formula>"TAX PAYABLE"</formula>
    </cfRule>
    <cfRule type="cellIs" dxfId="656" priority="98" stopIfTrue="1" operator="equal">
      <formula>"TAX REFUND"</formula>
    </cfRule>
  </conditionalFormatting>
  <conditionalFormatting sqref="B94:F94">
    <cfRule type="cellIs" dxfId="655" priority="95" stopIfTrue="1" operator="equal">
      <formula>"TAX PAYABLE"</formula>
    </cfRule>
    <cfRule type="cellIs" dxfId="654" priority="96" stopIfTrue="1" operator="equal">
      <formula>"TAX REFUND"</formula>
    </cfRule>
  </conditionalFormatting>
  <conditionalFormatting sqref="B94:F94">
    <cfRule type="cellIs" dxfId="653" priority="93" stopIfTrue="1" operator="equal">
      <formula>"TAX PAYABLE"</formula>
    </cfRule>
    <cfRule type="cellIs" dxfId="652" priority="94" stopIfTrue="1" operator="equal">
      <formula>"TAX REFUND"</formula>
    </cfRule>
  </conditionalFormatting>
  <conditionalFormatting sqref="B94:F94">
    <cfRule type="cellIs" dxfId="651" priority="91" stopIfTrue="1" operator="equal">
      <formula>"TAX PAYABLE"</formula>
    </cfRule>
    <cfRule type="cellIs" dxfId="650" priority="92" stopIfTrue="1" operator="equal">
      <formula>"TAX REFUND"</formula>
    </cfRule>
  </conditionalFormatting>
  <conditionalFormatting sqref="B94:F94">
    <cfRule type="cellIs" dxfId="649" priority="89" stopIfTrue="1" operator="equal">
      <formula>"TAX PAYABLE"</formula>
    </cfRule>
    <cfRule type="cellIs" dxfId="648" priority="90" stopIfTrue="1" operator="equal">
      <formula>"TAX REFUND"</formula>
    </cfRule>
  </conditionalFormatting>
  <conditionalFormatting sqref="B94:F94">
    <cfRule type="cellIs" dxfId="647" priority="87" stopIfTrue="1" operator="equal">
      <formula>"TAX PAYABLE"</formula>
    </cfRule>
    <cfRule type="cellIs" dxfId="646" priority="88" stopIfTrue="1" operator="equal">
      <formula>"TAX REFUND"</formula>
    </cfRule>
  </conditionalFormatting>
  <conditionalFormatting sqref="B94:F94">
    <cfRule type="cellIs" dxfId="645" priority="85" stopIfTrue="1" operator="equal">
      <formula>"TAX PAYABLE"</formula>
    </cfRule>
    <cfRule type="cellIs" dxfId="644" priority="86" stopIfTrue="1" operator="equal">
      <formula>"TAX REFUND"</formula>
    </cfRule>
  </conditionalFormatting>
  <conditionalFormatting sqref="B94:F94">
    <cfRule type="cellIs" dxfId="643" priority="83" stopIfTrue="1" operator="equal">
      <formula>"TAX PAYABLE"</formula>
    </cfRule>
    <cfRule type="cellIs" dxfId="642" priority="84" stopIfTrue="1" operator="equal">
      <formula>"TAX REFUND"</formula>
    </cfRule>
  </conditionalFormatting>
  <conditionalFormatting sqref="B94:F94">
    <cfRule type="cellIs" dxfId="641" priority="81" stopIfTrue="1" operator="equal">
      <formula>"TAX PAYABLE"</formula>
    </cfRule>
    <cfRule type="cellIs" dxfId="640" priority="82" stopIfTrue="1" operator="equal">
      <formula>"TAX REFUND"</formula>
    </cfRule>
  </conditionalFormatting>
  <conditionalFormatting sqref="B94:F94">
    <cfRule type="cellIs" dxfId="639" priority="79" stopIfTrue="1" operator="equal">
      <formula>"TAX PAYABLE"</formula>
    </cfRule>
    <cfRule type="cellIs" dxfId="638" priority="80" stopIfTrue="1" operator="equal">
      <formula>"TAX REFUND"</formula>
    </cfRule>
  </conditionalFormatting>
  <conditionalFormatting sqref="B94:F94">
    <cfRule type="cellIs" dxfId="637" priority="77" stopIfTrue="1" operator="equal">
      <formula>"TAX PAYABLE"</formula>
    </cfRule>
    <cfRule type="cellIs" dxfId="636" priority="78" stopIfTrue="1" operator="equal">
      <formula>"TAX REFUND"</formula>
    </cfRule>
  </conditionalFormatting>
  <conditionalFormatting sqref="B94:F94">
    <cfRule type="cellIs" dxfId="635" priority="75" stopIfTrue="1" operator="equal">
      <formula>"TAX PAYABLE"</formula>
    </cfRule>
    <cfRule type="cellIs" dxfId="634" priority="76" stopIfTrue="1" operator="equal">
      <formula>"TAX REFUND"</formula>
    </cfRule>
  </conditionalFormatting>
  <conditionalFormatting sqref="B94:F94">
    <cfRule type="cellIs" dxfId="633" priority="73" stopIfTrue="1" operator="equal">
      <formula>"TAX PAYABLE"</formula>
    </cfRule>
    <cfRule type="cellIs" dxfId="632" priority="74" stopIfTrue="1" operator="equal">
      <formula>"TAX REFUND"</formula>
    </cfRule>
  </conditionalFormatting>
  <conditionalFormatting sqref="B94:F94">
    <cfRule type="cellIs" dxfId="631" priority="71" stopIfTrue="1" operator="equal">
      <formula>"TAX PAYABLE"</formula>
    </cfRule>
    <cfRule type="cellIs" dxfId="630" priority="72" stopIfTrue="1" operator="equal">
      <formula>"TAX REFUND"</formula>
    </cfRule>
  </conditionalFormatting>
  <conditionalFormatting sqref="B94:F94">
    <cfRule type="cellIs" dxfId="629" priority="69" stopIfTrue="1" operator="equal">
      <formula>"TAX PAYABLE"</formula>
    </cfRule>
    <cfRule type="cellIs" dxfId="628" priority="70" stopIfTrue="1" operator="equal">
      <formula>"TAX REFUND"</formula>
    </cfRule>
  </conditionalFormatting>
  <conditionalFormatting sqref="B94:F94">
    <cfRule type="cellIs" dxfId="627" priority="67" stopIfTrue="1" operator="equal">
      <formula>"TAX PAYABLE"</formula>
    </cfRule>
    <cfRule type="cellIs" dxfId="626" priority="68" stopIfTrue="1" operator="equal">
      <formula>"TAX REFUND"</formula>
    </cfRule>
  </conditionalFormatting>
  <conditionalFormatting sqref="B94:F94">
    <cfRule type="cellIs" dxfId="625" priority="65" stopIfTrue="1" operator="equal">
      <formula>"TAX PAYABLE"</formula>
    </cfRule>
    <cfRule type="cellIs" dxfId="624" priority="66" stopIfTrue="1" operator="equal">
      <formula>"TAX REFUND"</formula>
    </cfRule>
  </conditionalFormatting>
  <conditionalFormatting sqref="B94:F94">
    <cfRule type="cellIs" dxfId="623" priority="63" stopIfTrue="1" operator="equal">
      <formula>"TAX PAYABLE"</formula>
    </cfRule>
    <cfRule type="cellIs" dxfId="622" priority="64" stopIfTrue="1" operator="equal">
      <formula>"TAX REFUND"</formula>
    </cfRule>
  </conditionalFormatting>
  <conditionalFormatting sqref="B94:F94">
    <cfRule type="cellIs" dxfId="621" priority="61" stopIfTrue="1" operator="equal">
      <formula>"TAX PAYABLE"</formula>
    </cfRule>
    <cfRule type="cellIs" dxfId="620" priority="62" stopIfTrue="1" operator="equal">
      <formula>"TAX REFUND"</formula>
    </cfRule>
  </conditionalFormatting>
  <conditionalFormatting sqref="B94:F94">
    <cfRule type="cellIs" dxfId="619" priority="59" stopIfTrue="1" operator="equal">
      <formula>"TAX PAYABLE"</formula>
    </cfRule>
    <cfRule type="cellIs" dxfId="618" priority="60" stopIfTrue="1" operator="equal">
      <formula>"TAX REFUND"</formula>
    </cfRule>
  </conditionalFormatting>
  <conditionalFormatting sqref="B94:F94">
    <cfRule type="cellIs" dxfId="617" priority="57" stopIfTrue="1" operator="equal">
      <formula>"TAX PAYABLE"</formula>
    </cfRule>
    <cfRule type="cellIs" dxfId="616" priority="58" stopIfTrue="1" operator="equal">
      <formula>"TAX REFUND"</formula>
    </cfRule>
  </conditionalFormatting>
  <conditionalFormatting sqref="B94:F94">
    <cfRule type="cellIs" dxfId="615" priority="55" stopIfTrue="1" operator="equal">
      <formula>"TAX PAYABLE"</formula>
    </cfRule>
    <cfRule type="cellIs" dxfId="614" priority="56" stopIfTrue="1" operator="equal">
      <formula>"TAX REFUND"</formula>
    </cfRule>
  </conditionalFormatting>
  <conditionalFormatting sqref="B94:F94">
    <cfRule type="cellIs" dxfId="613" priority="53" stopIfTrue="1" operator="equal">
      <formula>"TAX PAYABLE"</formula>
    </cfRule>
    <cfRule type="cellIs" dxfId="612" priority="54" stopIfTrue="1" operator="equal">
      <formula>"TAX REFUND"</formula>
    </cfRule>
  </conditionalFormatting>
  <conditionalFormatting sqref="B94:F94">
    <cfRule type="cellIs" dxfId="611" priority="51" stopIfTrue="1" operator="equal">
      <formula>"TAX PAYABLE"</formula>
    </cfRule>
    <cfRule type="cellIs" dxfId="610" priority="52" stopIfTrue="1" operator="equal">
      <formula>"TAX REFUND"</formula>
    </cfRule>
  </conditionalFormatting>
  <conditionalFormatting sqref="B94:F94">
    <cfRule type="cellIs" dxfId="609" priority="49" stopIfTrue="1" operator="equal">
      <formula>"TAX PAYABLE"</formula>
    </cfRule>
    <cfRule type="cellIs" dxfId="608" priority="50" stopIfTrue="1" operator="equal">
      <formula>"TAX REFUND"</formula>
    </cfRule>
  </conditionalFormatting>
  <conditionalFormatting sqref="B94:F94">
    <cfRule type="cellIs" dxfId="607" priority="47" stopIfTrue="1" operator="equal">
      <formula>"TAX PAYABLE"</formula>
    </cfRule>
    <cfRule type="cellIs" dxfId="606" priority="48" stopIfTrue="1" operator="equal">
      <formula>"TAX REFUND"</formula>
    </cfRule>
  </conditionalFormatting>
  <conditionalFormatting sqref="B94:F94">
    <cfRule type="cellIs" dxfId="605" priority="45" stopIfTrue="1" operator="equal">
      <formula>"TAX PAYABLE"</formula>
    </cfRule>
    <cfRule type="cellIs" dxfId="604" priority="46" stopIfTrue="1" operator="equal">
      <formula>"TAX REFUND"</formula>
    </cfRule>
  </conditionalFormatting>
  <conditionalFormatting sqref="B94:F94">
    <cfRule type="cellIs" dxfId="603" priority="43" stopIfTrue="1" operator="equal">
      <formula>"TAX PAYABLE"</formula>
    </cfRule>
    <cfRule type="cellIs" dxfId="602" priority="44" stopIfTrue="1" operator="equal">
      <formula>"TAX REFUND"</formula>
    </cfRule>
  </conditionalFormatting>
  <conditionalFormatting sqref="B94:F94">
    <cfRule type="cellIs" dxfId="601" priority="41" stopIfTrue="1" operator="equal">
      <formula>"TAX PAYABLE"</formula>
    </cfRule>
    <cfRule type="cellIs" dxfId="600" priority="42" stopIfTrue="1" operator="equal">
      <formula>"TAX REFUND"</formula>
    </cfRule>
  </conditionalFormatting>
  <conditionalFormatting sqref="B94:F94">
    <cfRule type="cellIs" dxfId="599" priority="39" stopIfTrue="1" operator="equal">
      <formula>"TAX PAYABLE"</formula>
    </cfRule>
    <cfRule type="cellIs" dxfId="598" priority="40" stopIfTrue="1" operator="equal">
      <formula>"TAX REFUND"</formula>
    </cfRule>
  </conditionalFormatting>
  <conditionalFormatting sqref="B94:F94">
    <cfRule type="cellIs" dxfId="597" priority="37" stopIfTrue="1" operator="equal">
      <formula>"TAX PAYABLE"</formula>
    </cfRule>
    <cfRule type="cellIs" dxfId="596" priority="38" stopIfTrue="1" operator="equal">
      <formula>"TAX REFUND"</formula>
    </cfRule>
  </conditionalFormatting>
  <conditionalFormatting sqref="B94:F94">
    <cfRule type="cellIs" dxfId="595" priority="35" stopIfTrue="1" operator="equal">
      <formula>"TAX PAYABLE"</formula>
    </cfRule>
    <cfRule type="cellIs" dxfId="594" priority="36" stopIfTrue="1" operator="equal">
      <formula>"TAX REFUND"</formula>
    </cfRule>
  </conditionalFormatting>
  <conditionalFormatting sqref="B94:F94">
    <cfRule type="cellIs" dxfId="593" priority="33" stopIfTrue="1" operator="equal">
      <formula>"TAX PAYABLE"</formula>
    </cfRule>
    <cfRule type="cellIs" dxfId="592" priority="34" stopIfTrue="1" operator="equal">
      <formula>"TAX REFUND"</formula>
    </cfRule>
  </conditionalFormatting>
  <conditionalFormatting sqref="B94:F94">
    <cfRule type="cellIs" dxfId="591" priority="31" stopIfTrue="1" operator="equal">
      <formula>"TAX PAYABLE"</formula>
    </cfRule>
    <cfRule type="cellIs" dxfId="590" priority="32" stopIfTrue="1" operator="equal">
      <formula>"TAX REFUND"</formula>
    </cfRule>
  </conditionalFormatting>
  <conditionalFormatting sqref="B94:F94">
    <cfRule type="cellIs" dxfId="589" priority="29" stopIfTrue="1" operator="equal">
      <formula>"TAX PAYABLE"</formula>
    </cfRule>
    <cfRule type="cellIs" dxfId="588" priority="30" stopIfTrue="1" operator="equal">
      <formula>"TAX REFUND"</formula>
    </cfRule>
  </conditionalFormatting>
  <conditionalFormatting sqref="B94:F94">
    <cfRule type="cellIs" dxfId="587" priority="27" stopIfTrue="1" operator="equal">
      <formula>"TAX PAYABLE"</formula>
    </cfRule>
    <cfRule type="cellIs" dxfId="586" priority="28" stopIfTrue="1" operator="equal">
      <formula>"TAX REFUND"</formula>
    </cfRule>
  </conditionalFormatting>
  <conditionalFormatting sqref="B94:F94">
    <cfRule type="cellIs" dxfId="585" priority="25" stopIfTrue="1" operator="equal">
      <formula>"TAX PAYABLE"</formula>
    </cfRule>
    <cfRule type="cellIs" dxfId="584" priority="26" stopIfTrue="1" operator="equal">
      <formula>"TAX REFUND"</formula>
    </cfRule>
  </conditionalFormatting>
  <conditionalFormatting sqref="B94:F94">
    <cfRule type="cellIs" dxfId="583" priority="23" stopIfTrue="1" operator="equal">
      <formula>"TAX PAYABLE"</formula>
    </cfRule>
    <cfRule type="cellIs" dxfId="582" priority="24" stopIfTrue="1" operator="equal">
      <formula>"TAX REFUND"</formula>
    </cfRule>
  </conditionalFormatting>
  <conditionalFormatting sqref="B94:F94">
    <cfRule type="cellIs" dxfId="581" priority="21" stopIfTrue="1" operator="equal">
      <formula>"TAX PAYABLE"</formula>
    </cfRule>
    <cfRule type="cellIs" dxfId="580" priority="22" stopIfTrue="1" operator="equal">
      <formula>"TAX REFUND"</formula>
    </cfRule>
  </conditionalFormatting>
  <conditionalFormatting sqref="B94:F94">
    <cfRule type="cellIs" dxfId="579" priority="19" stopIfTrue="1" operator="equal">
      <formula>"TAX PAYABLE"</formula>
    </cfRule>
    <cfRule type="cellIs" dxfId="578" priority="20" stopIfTrue="1" operator="equal">
      <formula>"TAX REFUND"</formula>
    </cfRule>
  </conditionalFormatting>
  <conditionalFormatting sqref="B94:F94">
    <cfRule type="cellIs" dxfId="577" priority="17" stopIfTrue="1" operator="equal">
      <formula>"TAX PAYABLE"</formula>
    </cfRule>
    <cfRule type="cellIs" dxfId="576" priority="18" stopIfTrue="1" operator="equal">
      <formula>"TAX REFUND"</formula>
    </cfRule>
  </conditionalFormatting>
  <conditionalFormatting sqref="B94:F94">
    <cfRule type="cellIs" dxfId="575" priority="15" stopIfTrue="1" operator="equal">
      <formula>"TAX PAYABLE"</formula>
    </cfRule>
    <cfRule type="cellIs" dxfId="574" priority="16" stopIfTrue="1" operator="equal">
      <formula>"TAX REFUND"</formula>
    </cfRule>
  </conditionalFormatting>
  <conditionalFormatting sqref="B94:F94">
    <cfRule type="cellIs" dxfId="573" priority="13" stopIfTrue="1" operator="equal">
      <formula>"TAX PAYABLE"</formula>
    </cfRule>
    <cfRule type="cellIs" dxfId="572" priority="14" stopIfTrue="1" operator="equal">
      <formula>"TAX REFUND"</formula>
    </cfRule>
  </conditionalFormatting>
  <conditionalFormatting sqref="B94:F94">
    <cfRule type="cellIs" dxfId="571" priority="11" stopIfTrue="1" operator="equal">
      <formula>"TAX PAYABLE"</formula>
    </cfRule>
    <cfRule type="cellIs" dxfId="570" priority="12" stopIfTrue="1" operator="equal">
      <formula>"TAX REFUND"</formula>
    </cfRule>
  </conditionalFormatting>
  <conditionalFormatting sqref="B94:F94">
    <cfRule type="cellIs" dxfId="569" priority="9" stopIfTrue="1" operator="equal">
      <formula>"TAX PAYABLE"</formula>
    </cfRule>
    <cfRule type="cellIs" dxfId="568" priority="10" stopIfTrue="1" operator="equal">
      <formula>"TAX REFUND"</formula>
    </cfRule>
  </conditionalFormatting>
  <conditionalFormatting sqref="B94:F94">
    <cfRule type="cellIs" dxfId="567" priority="7" stopIfTrue="1" operator="equal">
      <formula>"TAX PAYABLE"</formula>
    </cfRule>
    <cfRule type="cellIs" dxfId="566" priority="8" stopIfTrue="1" operator="equal">
      <formula>"TAX REFUND"</formula>
    </cfRule>
  </conditionalFormatting>
  <conditionalFormatting sqref="B94:F94">
    <cfRule type="cellIs" dxfId="565" priority="5" stopIfTrue="1" operator="equal">
      <formula>"TAX PAYABLE"</formula>
    </cfRule>
    <cfRule type="cellIs" dxfId="564" priority="6" stopIfTrue="1" operator="equal">
      <formula>"TAX REFUND"</formula>
    </cfRule>
  </conditionalFormatting>
  <conditionalFormatting sqref="B94:F94">
    <cfRule type="cellIs" dxfId="563" priority="3" stopIfTrue="1" operator="equal">
      <formula>"TAX PAYABLE"</formula>
    </cfRule>
    <cfRule type="cellIs" dxfId="562" priority="4" stopIfTrue="1" operator="equal">
      <formula>"TAX REFUND"</formula>
    </cfRule>
  </conditionalFormatting>
  <conditionalFormatting sqref="B94:F94">
    <cfRule type="cellIs" dxfId="561" priority="1" stopIfTrue="1" operator="equal">
      <formula>"TAX PAYABLE"</formula>
    </cfRule>
    <cfRule type="cellIs" dxfId="560" priority="2" stopIfTrue="1" operator="equal">
      <formula>"TAX REFUND"</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$Q$8:$Q$9</formula1>
    </dataValidation>
  </dataValidations>
  <pageMargins left="0.7" right="0.7" top="0.75" bottom="0.75" header="0.3" footer="0.3"/>
  <pageSetup paperSize="5" orientation="landscape" horizontalDpi="300" verticalDpi="300" r:id="rId1"/>
  <headerFooter alignWithMargins="0"/>
  <legacyDrawing r:id="rId2"/>
</worksheet>
</file>

<file path=xl/worksheets/sheet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R103"/>
  <sheetViews>
    <sheetView topLeftCell="A56" workbookViewId="0">
      <selection activeCell="I71" sqref="I71"/>
    </sheetView>
  </sheetViews>
  <sheetFormatPr defaultRowHeight="12.75" x14ac:dyDescent="0.2"/>
  <cols>
    <col min="1" max="1" width="5" style="16" customWidth="1"/>
    <col min="2" max="2" width="19" style="37" customWidth="1"/>
    <col min="3" max="3" width="9.140625" style="16"/>
    <col min="4" max="4" width="7.42578125" style="16" customWidth="1"/>
    <col min="5" max="5" width="8.5703125" style="16" bestFit="1" customWidth="1"/>
    <col min="6" max="6" width="8" style="16" customWidth="1"/>
    <col min="7" max="7" width="9" style="16" customWidth="1"/>
    <col min="8" max="8" width="8.7109375" style="16" customWidth="1"/>
    <col min="9" max="9" width="9.5703125" style="16" customWidth="1"/>
    <col min="10" max="10" width="9.28515625" style="16" customWidth="1"/>
    <col min="11" max="11" width="8.7109375" style="16" customWidth="1"/>
    <col min="12" max="12" width="9.7109375" style="16" customWidth="1"/>
    <col min="13" max="13" width="8.5703125" style="16" customWidth="1"/>
    <col min="14" max="14" width="8.42578125" style="16" customWidth="1"/>
    <col min="15" max="15" width="8"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9" style="16" customWidth="1"/>
    <col min="259" max="259" width="9.140625" style="16"/>
    <col min="260" max="260" width="7.42578125" style="16" customWidth="1"/>
    <col min="261" max="261" width="8.5703125" style="16" bestFit="1" customWidth="1"/>
    <col min="262" max="262" width="8" style="16" customWidth="1"/>
    <col min="263" max="263" width="9" style="16" customWidth="1"/>
    <col min="264" max="264" width="8.7109375" style="16" customWidth="1"/>
    <col min="265" max="265" width="9.5703125" style="16" customWidth="1"/>
    <col min="266" max="266" width="9.28515625" style="16" customWidth="1"/>
    <col min="267" max="267" width="8.7109375" style="16" customWidth="1"/>
    <col min="268" max="268" width="9.7109375" style="16" customWidth="1"/>
    <col min="269" max="269" width="8.5703125" style="16" customWidth="1"/>
    <col min="270" max="270" width="8.42578125" style="16" customWidth="1"/>
    <col min="271" max="271" width="8"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9" style="16" customWidth="1"/>
    <col min="515" max="515" width="9.140625" style="16"/>
    <col min="516" max="516" width="7.42578125" style="16" customWidth="1"/>
    <col min="517" max="517" width="8.5703125" style="16" bestFit="1" customWidth="1"/>
    <col min="518" max="518" width="8" style="16" customWidth="1"/>
    <col min="519" max="519" width="9" style="16" customWidth="1"/>
    <col min="520" max="520" width="8.7109375" style="16" customWidth="1"/>
    <col min="521" max="521" width="9.5703125" style="16" customWidth="1"/>
    <col min="522" max="522" width="9.28515625" style="16" customWidth="1"/>
    <col min="523" max="523" width="8.7109375" style="16" customWidth="1"/>
    <col min="524" max="524" width="9.7109375" style="16" customWidth="1"/>
    <col min="525" max="525" width="8.5703125" style="16" customWidth="1"/>
    <col min="526" max="526" width="8.42578125" style="16" customWidth="1"/>
    <col min="527" max="527" width="8"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9" style="16" customWidth="1"/>
    <col min="771" max="771" width="9.140625" style="16"/>
    <col min="772" max="772" width="7.42578125" style="16" customWidth="1"/>
    <col min="773" max="773" width="8.5703125" style="16" bestFit="1" customWidth="1"/>
    <col min="774" max="774" width="8" style="16" customWidth="1"/>
    <col min="775" max="775" width="9" style="16" customWidth="1"/>
    <col min="776" max="776" width="8.7109375" style="16" customWidth="1"/>
    <col min="777" max="777" width="9.5703125" style="16" customWidth="1"/>
    <col min="778" max="778" width="9.28515625" style="16" customWidth="1"/>
    <col min="779" max="779" width="8.7109375" style="16" customWidth="1"/>
    <col min="780" max="780" width="9.7109375" style="16" customWidth="1"/>
    <col min="781" max="781" width="8.5703125" style="16" customWidth="1"/>
    <col min="782" max="782" width="8.42578125" style="16" customWidth="1"/>
    <col min="783" max="783" width="8"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9" style="16" customWidth="1"/>
    <col min="1027" max="1027" width="9.140625" style="16"/>
    <col min="1028" max="1028" width="7.42578125" style="16" customWidth="1"/>
    <col min="1029" max="1029" width="8.5703125" style="16" bestFit="1" customWidth="1"/>
    <col min="1030" max="1030" width="8" style="16" customWidth="1"/>
    <col min="1031" max="1031" width="9" style="16" customWidth="1"/>
    <col min="1032" max="1032" width="8.7109375" style="16" customWidth="1"/>
    <col min="1033" max="1033" width="9.5703125" style="16" customWidth="1"/>
    <col min="1034" max="1034" width="9.28515625" style="16" customWidth="1"/>
    <col min="1035" max="1035" width="8.7109375" style="16" customWidth="1"/>
    <col min="1036" max="1036" width="9.7109375" style="16" customWidth="1"/>
    <col min="1037" max="1037" width="8.5703125" style="16" customWidth="1"/>
    <col min="1038" max="1038" width="8.42578125" style="16" customWidth="1"/>
    <col min="1039" max="1039" width="8"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9" style="16" customWidth="1"/>
    <col min="1283" max="1283" width="9.140625" style="16"/>
    <col min="1284" max="1284" width="7.42578125" style="16" customWidth="1"/>
    <col min="1285" max="1285" width="8.5703125" style="16" bestFit="1" customWidth="1"/>
    <col min="1286" max="1286" width="8" style="16" customWidth="1"/>
    <col min="1287" max="1287" width="9" style="16" customWidth="1"/>
    <col min="1288" max="1288" width="8.7109375" style="16" customWidth="1"/>
    <col min="1289" max="1289" width="9.5703125" style="16" customWidth="1"/>
    <col min="1290" max="1290" width="9.28515625" style="16" customWidth="1"/>
    <col min="1291" max="1291" width="8.7109375" style="16" customWidth="1"/>
    <col min="1292" max="1292" width="9.7109375" style="16" customWidth="1"/>
    <col min="1293" max="1293" width="8.5703125" style="16" customWidth="1"/>
    <col min="1294" max="1294" width="8.42578125" style="16" customWidth="1"/>
    <col min="1295" max="1295" width="8"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9" style="16" customWidth="1"/>
    <col min="1539" max="1539" width="9.140625" style="16"/>
    <col min="1540" max="1540" width="7.42578125" style="16" customWidth="1"/>
    <col min="1541" max="1541" width="8.5703125" style="16" bestFit="1" customWidth="1"/>
    <col min="1542" max="1542" width="8" style="16" customWidth="1"/>
    <col min="1543" max="1543" width="9" style="16" customWidth="1"/>
    <col min="1544" max="1544" width="8.7109375" style="16" customWidth="1"/>
    <col min="1545" max="1545" width="9.5703125" style="16" customWidth="1"/>
    <col min="1546" max="1546" width="9.28515625" style="16" customWidth="1"/>
    <col min="1547" max="1547" width="8.7109375" style="16" customWidth="1"/>
    <col min="1548" max="1548" width="9.7109375" style="16" customWidth="1"/>
    <col min="1549" max="1549" width="8.5703125" style="16" customWidth="1"/>
    <col min="1550" max="1550" width="8.42578125" style="16" customWidth="1"/>
    <col min="1551" max="1551" width="8"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9" style="16" customWidth="1"/>
    <col min="1795" max="1795" width="9.140625" style="16"/>
    <col min="1796" max="1796" width="7.42578125" style="16" customWidth="1"/>
    <col min="1797" max="1797" width="8.5703125" style="16" bestFit="1" customWidth="1"/>
    <col min="1798" max="1798" width="8" style="16" customWidth="1"/>
    <col min="1799" max="1799" width="9" style="16" customWidth="1"/>
    <col min="1800" max="1800" width="8.7109375" style="16" customWidth="1"/>
    <col min="1801" max="1801" width="9.5703125" style="16" customWidth="1"/>
    <col min="1802" max="1802" width="9.28515625" style="16" customWidth="1"/>
    <col min="1803" max="1803" width="8.7109375" style="16" customWidth="1"/>
    <col min="1804" max="1804" width="9.7109375" style="16" customWidth="1"/>
    <col min="1805" max="1805" width="8.5703125" style="16" customWidth="1"/>
    <col min="1806" max="1806" width="8.42578125" style="16" customWidth="1"/>
    <col min="1807" max="1807" width="8"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9" style="16" customWidth="1"/>
    <col min="2051" max="2051" width="9.140625" style="16"/>
    <col min="2052" max="2052" width="7.42578125" style="16" customWidth="1"/>
    <col min="2053" max="2053" width="8.5703125" style="16" bestFit="1" customWidth="1"/>
    <col min="2054" max="2054" width="8" style="16" customWidth="1"/>
    <col min="2055" max="2055" width="9" style="16" customWidth="1"/>
    <col min="2056" max="2056" width="8.7109375" style="16" customWidth="1"/>
    <col min="2057" max="2057" width="9.5703125" style="16" customWidth="1"/>
    <col min="2058" max="2058" width="9.28515625" style="16" customWidth="1"/>
    <col min="2059" max="2059" width="8.7109375" style="16" customWidth="1"/>
    <col min="2060" max="2060" width="9.7109375" style="16" customWidth="1"/>
    <col min="2061" max="2061" width="8.5703125" style="16" customWidth="1"/>
    <col min="2062" max="2062" width="8.42578125" style="16" customWidth="1"/>
    <col min="2063" max="2063" width="8"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9" style="16" customWidth="1"/>
    <col min="2307" max="2307" width="9.140625" style="16"/>
    <col min="2308" max="2308" width="7.42578125" style="16" customWidth="1"/>
    <col min="2309" max="2309" width="8.5703125" style="16" bestFit="1" customWidth="1"/>
    <col min="2310" max="2310" width="8" style="16" customWidth="1"/>
    <col min="2311" max="2311" width="9" style="16" customWidth="1"/>
    <col min="2312" max="2312" width="8.7109375" style="16" customWidth="1"/>
    <col min="2313" max="2313" width="9.5703125" style="16" customWidth="1"/>
    <col min="2314" max="2314" width="9.28515625" style="16" customWidth="1"/>
    <col min="2315" max="2315" width="8.7109375" style="16" customWidth="1"/>
    <col min="2316" max="2316" width="9.7109375" style="16" customWidth="1"/>
    <col min="2317" max="2317" width="8.5703125" style="16" customWidth="1"/>
    <col min="2318" max="2318" width="8.42578125" style="16" customWidth="1"/>
    <col min="2319" max="2319" width="8"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9" style="16" customWidth="1"/>
    <col min="2563" max="2563" width="9.140625" style="16"/>
    <col min="2564" max="2564" width="7.42578125" style="16" customWidth="1"/>
    <col min="2565" max="2565" width="8.5703125" style="16" bestFit="1" customWidth="1"/>
    <col min="2566" max="2566" width="8" style="16" customWidth="1"/>
    <col min="2567" max="2567" width="9" style="16" customWidth="1"/>
    <col min="2568" max="2568" width="8.7109375" style="16" customWidth="1"/>
    <col min="2569" max="2569" width="9.5703125" style="16" customWidth="1"/>
    <col min="2570" max="2570" width="9.28515625" style="16" customWidth="1"/>
    <col min="2571" max="2571" width="8.7109375" style="16" customWidth="1"/>
    <col min="2572" max="2572" width="9.7109375" style="16" customWidth="1"/>
    <col min="2573" max="2573" width="8.5703125" style="16" customWidth="1"/>
    <col min="2574" max="2574" width="8.42578125" style="16" customWidth="1"/>
    <col min="2575" max="2575" width="8"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9" style="16" customWidth="1"/>
    <col min="2819" max="2819" width="9.140625" style="16"/>
    <col min="2820" max="2820" width="7.42578125" style="16" customWidth="1"/>
    <col min="2821" max="2821" width="8.5703125" style="16" bestFit="1" customWidth="1"/>
    <col min="2822" max="2822" width="8" style="16" customWidth="1"/>
    <col min="2823" max="2823" width="9" style="16" customWidth="1"/>
    <col min="2824" max="2824" width="8.7109375" style="16" customWidth="1"/>
    <col min="2825" max="2825" width="9.5703125" style="16" customWidth="1"/>
    <col min="2826" max="2826" width="9.28515625" style="16" customWidth="1"/>
    <col min="2827" max="2827" width="8.7109375" style="16" customWidth="1"/>
    <col min="2828" max="2828" width="9.7109375" style="16" customWidth="1"/>
    <col min="2829" max="2829" width="8.5703125" style="16" customWidth="1"/>
    <col min="2830" max="2830" width="8.42578125" style="16" customWidth="1"/>
    <col min="2831" max="2831" width="8"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9" style="16" customWidth="1"/>
    <col min="3075" max="3075" width="9.140625" style="16"/>
    <col min="3076" max="3076" width="7.42578125" style="16" customWidth="1"/>
    <col min="3077" max="3077" width="8.5703125" style="16" bestFit="1" customWidth="1"/>
    <col min="3078" max="3078" width="8" style="16" customWidth="1"/>
    <col min="3079" max="3079" width="9" style="16" customWidth="1"/>
    <col min="3080" max="3080" width="8.7109375" style="16" customWidth="1"/>
    <col min="3081" max="3081" width="9.5703125" style="16" customWidth="1"/>
    <col min="3082" max="3082" width="9.28515625" style="16" customWidth="1"/>
    <col min="3083" max="3083" width="8.7109375" style="16" customWidth="1"/>
    <col min="3084" max="3084" width="9.7109375" style="16" customWidth="1"/>
    <col min="3085" max="3085" width="8.5703125" style="16" customWidth="1"/>
    <col min="3086" max="3086" width="8.42578125" style="16" customWidth="1"/>
    <col min="3087" max="3087" width="8"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9" style="16" customWidth="1"/>
    <col min="3331" max="3331" width="9.140625" style="16"/>
    <col min="3332" max="3332" width="7.42578125" style="16" customWidth="1"/>
    <col min="3333" max="3333" width="8.5703125" style="16" bestFit="1" customWidth="1"/>
    <col min="3334" max="3334" width="8" style="16" customWidth="1"/>
    <col min="3335" max="3335" width="9" style="16" customWidth="1"/>
    <col min="3336" max="3336" width="8.7109375" style="16" customWidth="1"/>
    <col min="3337" max="3337" width="9.5703125" style="16" customWidth="1"/>
    <col min="3338" max="3338" width="9.28515625" style="16" customWidth="1"/>
    <col min="3339" max="3339" width="8.7109375" style="16" customWidth="1"/>
    <col min="3340" max="3340" width="9.7109375" style="16" customWidth="1"/>
    <col min="3341" max="3341" width="8.5703125" style="16" customWidth="1"/>
    <col min="3342" max="3342" width="8.42578125" style="16" customWidth="1"/>
    <col min="3343" max="3343" width="8"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9" style="16" customWidth="1"/>
    <col min="3587" max="3587" width="9.140625" style="16"/>
    <col min="3588" max="3588" width="7.42578125" style="16" customWidth="1"/>
    <col min="3589" max="3589" width="8.5703125" style="16" bestFit="1" customWidth="1"/>
    <col min="3590" max="3590" width="8" style="16" customWidth="1"/>
    <col min="3591" max="3591" width="9" style="16" customWidth="1"/>
    <col min="3592" max="3592" width="8.7109375" style="16" customWidth="1"/>
    <col min="3593" max="3593" width="9.5703125" style="16" customWidth="1"/>
    <col min="3594" max="3594" width="9.28515625" style="16" customWidth="1"/>
    <col min="3595" max="3595" width="8.7109375" style="16" customWidth="1"/>
    <col min="3596" max="3596" width="9.7109375" style="16" customWidth="1"/>
    <col min="3597" max="3597" width="8.5703125" style="16" customWidth="1"/>
    <col min="3598" max="3598" width="8.42578125" style="16" customWidth="1"/>
    <col min="3599" max="3599" width="8"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9" style="16" customWidth="1"/>
    <col min="3843" max="3843" width="9.140625" style="16"/>
    <col min="3844" max="3844" width="7.42578125" style="16" customWidth="1"/>
    <col min="3845" max="3845" width="8.5703125" style="16" bestFit="1" customWidth="1"/>
    <col min="3846" max="3846" width="8" style="16" customWidth="1"/>
    <col min="3847" max="3847" width="9" style="16" customWidth="1"/>
    <col min="3848" max="3848" width="8.7109375" style="16" customWidth="1"/>
    <col min="3849" max="3849" width="9.5703125" style="16" customWidth="1"/>
    <col min="3850" max="3850" width="9.28515625" style="16" customWidth="1"/>
    <col min="3851" max="3851" width="8.7109375" style="16" customWidth="1"/>
    <col min="3852" max="3852" width="9.7109375" style="16" customWidth="1"/>
    <col min="3853" max="3853" width="8.5703125" style="16" customWidth="1"/>
    <col min="3854" max="3854" width="8.42578125" style="16" customWidth="1"/>
    <col min="3855" max="3855" width="8"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9" style="16" customWidth="1"/>
    <col min="4099" max="4099" width="9.140625" style="16"/>
    <col min="4100" max="4100" width="7.42578125" style="16" customWidth="1"/>
    <col min="4101" max="4101" width="8.5703125" style="16" bestFit="1" customWidth="1"/>
    <col min="4102" max="4102" width="8" style="16" customWidth="1"/>
    <col min="4103" max="4103" width="9" style="16" customWidth="1"/>
    <col min="4104" max="4104" width="8.7109375" style="16" customWidth="1"/>
    <col min="4105" max="4105" width="9.5703125" style="16" customWidth="1"/>
    <col min="4106" max="4106" width="9.28515625" style="16" customWidth="1"/>
    <col min="4107" max="4107" width="8.7109375" style="16" customWidth="1"/>
    <col min="4108" max="4108" width="9.7109375" style="16" customWidth="1"/>
    <col min="4109" max="4109" width="8.5703125" style="16" customWidth="1"/>
    <col min="4110" max="4110" width="8.42578125" style="16" customWidth="1"/>
    <col min="4111" max="4111" width="8"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9" style="16" customWidth="1"/>
    <col min="4355" max="4355" width="9.140625" style="16"/>
    <col min="4356" max="4356" width="7.42578125" style="16" customWidth="1"/>
    <col min="4357" max="4357" width="8.5703125" style="16" bestFit="1" customWidth="1"/>
    <col min="4358" max="4358" width="8" style="16" customWidth="1"/>
    <col min="4359" max="4359" width="9" style="16" customWidth="1"/>
    <col min="4360" max="4360" width="8.7109375" style="16" customWidth="1"/>
    <col min="4361" max="4361" width="9.5703125" style="16" customWidth="1"/>
    <col min="4362" max="4362" width="9.28515625" style="16" customWidth="1"/>
    <col min="4363" max="4363" width="8.7109375" style="16" customWidth="1"/>
    <col min="4364" max="4364" width="9.7109375" style="16" customWidth="1"/>
    <col min="4365" max="4365" width="8.5703125" style="16" customWidth="1"/>
    <col min="4366" max="4366" width="8.42578125" style="16" customWidth="1"/>
    <col min="4367" max="4367" width="8"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9" style="16" customWidth="1"/>
    <col min="4611" max="4611" width="9.140625" style="16"/>
    <col min="4612" max="4612" width="7.42578125" style="16" customWidth="1"/>
    <col min="4613" max="4613" width="8.5703125" style="16" bestFit="1" customWidth="1"/>
    <col min="4614" max="4614" width="8" style="16" customWidth="1"/>
    <col min="4615" max="4615" width="9" style="16" customWidth="1"/>
    <col min="4616" max="4616" width="8.7109375" style="16" customWidth="1"/>
    <col min="4617" max="4617" width="9.5703125" style="16" customWidth="1"/>
    <col min="4618" max="4618" width="9.28515625" style="16" customWidth="1"/>
    <col min="4619" max="4619" width="8.7109375" style="16" customWidth="1"/>
    <col min="4620" max="4620" width="9.7109375" style="16" customWidth="1"/>
    <col min="4621" max="4621" width="8.5703125" style="16" customWidth="1"/>
    <col min="4622" max="4622" width="8.42578125" style="16" customWidth="1"/>
    <col min="4623" max="4623" width="8"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9" style="16" customWidth="1"/>
    <col min="4867" max="4867" width="9.140625" style="16"/>
    <col min="4868" max="4868" width="7.42578125" style="16" customWidth="1"/>
    <col min="4869" max="4869" width="8.5703125" style="16" bestFit="1" customWidth="1"/>
    <col min="4870" max="4870" width="8" style="16" customWidth="1"/>
    <col min="4871" max="4871" width="9" style="16" customWidth="1"/>
    <col min="4872" max="4872" width="8.7109375" style="16" customWidth="1"/>
    <col min="4873" max="4873" width="9.5703125" style="16" customWidth="1"/>
    <col min="4874" max="4874" width="9.28515625" style="16" customWidth="1"/>
    <col min="4875" max="4875" width="8.7109375" style="16" customWidth="1"/>
    <col min="4876" max="4876" width="9.7109375" style="16" customWidth="1"/>
    <col min="4877" max="4877" width="8.5703125" style="16" customWidth="1"/>
    <col min="4878" max="4878" width="8.42578125" style="16" customWidth="1"/>
    <col min="4879" max="4879" width="8"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9" style="16" customWidth="1"/>
    <col min="5123" max="5123" width="9.140625" style="16"/>
    <col min="5124" max="5124" width="7.42578125" style="16" customWidth="1"/>
    <col min="5125" max="5125" width="8.5703125" style="16" bestFit="1" customWidth="1"/>
    <col min="5126" max="5126" width="8" style="16" customWidth="1"/>
    <col min="5127" max="5127" width="9" style="16" customWidth="1"/>
    <col min="5128" max="5128" width="8.7109375" style="16" customWidth="1"/>
    <col min="5129" max="5129" width="9.5703125" style="16" customWidth="1"/>
    <col min="5130" max="5130" width="9.28515625" style="16" customWidth="1"/>
    <col min="5131" max="5131" width="8.7109375" style="16" customWidth="1"/>
    <col min="5132" max="5132" width="9.7109375" style="16" customWidth="1"/>
    <col min="5133" max="5133" width="8.5703125" style="16" customWidth="1"/>
    <col min="5134" max="5134" width="8.42578125" style="16" customWidth="1"/>
    <col min="5135" max="5135" width="8"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9" style="16" customWidth="1"/>
    <col min="5379" max="5379" width="9.140625" style="16"/>
    <col min="5380" max="5380" width="7.42578125" style="16" customWidth="1"/>
    <col min="5381" max="5381" width="8.5703125" style="16" bestFit="1" customWidth="1"/>
    <col min="5382" max="5382" width="8" style="16" customWidth="1"/>
    <col min="5383" max="5383" width="9" style="16" customWidth="1"/>
    <col min="5384" max="5384" width="8.7109375" style="16" customWidth="1"/>
    <col min="5385" max="5385" width="9.5703125" style="16" customWidth="1"/>
    <col min="5386" max="5386" width="9.28515625" style="16" customWidth="1"/>
    <col min="5387" max="5387" width="8.7109375" style="16" customWidth="1"/>
    <col min="5388" max="5388" width="9.7109375" style="16" customWidth="1"/>
    <col min="5389" max="5389" width="8.5703125" style="16" customWidth="1"/>
    <col min="5390" max="5390" width="8.42578125" style="16" customWidth="1"/>
    <col min="5391" max="5391" width="8"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9" style="16" customWidth="1"/>
    <col min="5635" max="5635" width="9.140625" style="16"/>
    <col min="5636" max="5636" width="7.42578125" style="16" customWidth="1"/>
    <col min="5637" max="5637" width="8.5703125" style="16" bestFit="1" customWidth="1"/>
    <col min="5638" max="5638" width="8" style="16" customWidth="1"/>
    <col min="5639" max="5639" width="9" style="16" customWidth="1"/>
    <col min="5640" max="5640" width="8.7109375" style="16" customWidth="1"/>
    <col min="5641" max="5641" width="9.5703125" style="16" customWidth="1"/>
    <col min="5642" max="5642" width="9.28515625" style="16" customWidth="1"/>
    <col min="5643" max="5643" width="8.7109375" style="16" customWidth="1"/>
    <col min="5644" max="5644" width="9.7109375" style="16" customWidth="1"/>
    <col min="5645" max="5645" width="8.5703125" style="16" customWidth="1"/>
    <col min="5646" max="5646" width="8.42578125" style="16" customWidth="1"/>
    <col min="5647" max="5647" width="8"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9" style="16" customWidth="1"/>
    <col min="5891" max="5891" width="9.140625" style="16"/>
    <col min="5892" max="5892" width="7.42578125" style="16" customWidth="1"/>
    <col min="5893" max="5893" width="8.5703125" style="16" bestFit="1" customWidth="1"/>
    <col min="5894" max="5894" width="8" style="16" customWidth="1"/>
    <col min="5895" max="5895" width="9" style="16" customWidth="1"/>
    <col min="5896" max="5896" width="8.7109375" style="16" customWidth="1"/>
    <col min="5897" max="5897" width="9.5703125" style="16" customWidth="1"/>
    <col min="5898" max="5898" width="9.28515625" style="16" customWidth="1"/>
    <col min="5899" max="5899" width="8.7109375" style="16" customWidth="1"/>
    <col min="5900" max="5900" width="9.7109375" style="16" customWidth="1"/>
    <col min="5901" max="5901" width="8.5703125" style="16" customWidth="1"/>
    <col min="5902" max="5902" width="8.42578125" style="16" customWidth="1"/>
    <col min="5903" max="5903" width="8"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9" style="16" customWidth="1"/>
    <col min="6147" max="6147" width="9.140625" style="16"/>
    <col min="6148" max="6148" width="7.42578125" style="16" customWidth="1"/>
    <col min="6149" max="6149" width="8.5703125" style="16" bestFit="1" customWidth="1"/>
    <col min="6150" max="6150" width="8" style="16" customWidth="1"/>
    <col min="6151" max="6151" width="9" style="16" customWidth="1"/>
    <col min="6152" max="6152" width="8.7109375" style="16" customWidth="1"/>
    <col min="6153" max="6153" width="9.5703125" style="16" customWidth="1"/>
    <col min="6154" max="6154" width="9.28515625" style="16" customWidth="1"/>
    <col min="6155" max="6155" width="8.7109375" style="16" customWidth="1"/>
    <col min="6156" max="6156" width="9.7109375" style="16" customWidth="1"/>
    <col min="6157" max="6157" width="8.5703125" style="16" customWidth="1"/>
    <col min="6158" max="6158" width="8.42578125" style="16" customWidth="1"/>
    <col min="6159" max="6159" width="8"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9" style="16" customWidth="1"/>
    <col min="6403" max="6403" width="9.140625" style="16"/>
    <col min="6404" max="6404" width="7.42578125" style="16" customWidth="1"/>
    <col min="6405" max="6405" width="8.5703125" style="16" bestFit="1" customWidth="1"/>
    <col min="6406" max="6406" width="8" style="16" customWidth="1"/>
    <col min="6407" max="6407" width="9" style="16" customWidth="1"/>
    <col min="6408" max="6408" width="8.7109375" style="16" customWidth="1"/>
    <col min="6409" max="6409" width="9.5703125" style="16" customWidth="1"/>
    <col min="6410" max="6410" width="9.28515625" style="16" customWidth="1"/>
    <col min="6411" max="6411" width="8.7109375" style="16" customWidth="1"/>
    <col min="6412" max="6412" width="9.7109375" style="16" customWidth="1"/>
    <col min="6413" max="6413" width="8.5703125" style="16" customWidth="1"/>
    <col min="6414" max="6414" width="8.42578125" style="16" customWidth="1"/>
    <col min="6415" max="6415" width="8"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9" style="16" customWidth="1"/>
    <col min="6659" max="6659" width="9.140625" style="16"/>
    <col min="6660" max="6660" width="7.42578125" style="16" customWidth="1"/>
    <col min="6661" max="6661" width="8.5703125" style="16" bestFit="1" customWidth="1"/>
    <col min="6662" max="6662" width="8" style="16" customWidth="1"/>
    <col min="6663" max="6663" width="9" style="16" customWidth="1"/>
    <col min="6664" max="6664" width="8.7109375" style="16" customWidth="1"/>
    <col min="6665" max="6665" width="9.5703125" style="16" customWidth="1"/>
    <col min="6666" max="6666" width="9.28515625" style="16" customWidth="1"/>
    <col min="6667" max="6667" width="8.7109375" style="16" customWidth="1"/>
    <col min="6668" max="6668" width="9.7109375" style="16" customWidth="1"/>
    <col min="6669" max="6669" width="8.5703125" style="16" customWidth="1"/>
    <col min="6670" max="6670" width="8.42578125" style="16" customWidth="1"/>
    <col min="6671" max="6671" width="8"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9" style="16" customWidth="1"/>
    <col min="6915" max="6915" width="9.140625" style="16"/>
    <col min="6916" max="6916" width="7.42578125" style="16" customWidth="1"/>
    <col min="6917" max="6917" width="8.5703125" style="16" bestFit="1" customWidth="1"/>
    <col min="6918" max="6918" width="8" style="16" customWidth="1"/>
    <col min="6919" max="6919" width="9" style="16" customWidth="1"/>
    <col min="6920" max="6920" width="8.7109375" style="16" customWidth="1"/>
    <col min="6921" max="6921" width="9.5703125" style="16" customWidth="1"/>
    <col min="6922" max="6922" width="9.28515625" style="16" customWidth="1"/>
    <col min="6923" max="6923" width="8.7109375" style="16" customWidth="1"/>
    <col min="6924" max="6924" width="9.7109375" style="16" customWidth="1"/>
    <col min="6925" max="6925" width="8.5703125" style="16" customWidth="1"/>
    <col min="6926" max="6926" width="8.42578125" style="16" customWidth="1"/>
    <col min="6927" max="6927" width="8"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9" style="16" customWidth="1"/>
    <col min="7171" max="7171" width="9.140625" style="16"/>
    <col min="7172" max="7172" width="7.42578125" style="16" customWidth="1"/>
    <col min="7173" max="7173" width="8.5703125" style="16" bestFit="1" customWidth="1"/>
    <col min="7174" max="7174" width="8" style="16" customWidth="1"/>
    <col min="7175" max="7175" width="9" style="16" customWidth="1"/>
    <col min="7176" max="7176" width="8.7109375" style="16" customWidth="1"/>
    <col min="7177" max="7177" width="9.5703125" style="16" customWidth="1"/>
    <col min="7178" max="7178" width="9.28515625" style="16" customWidth="1"/>
    <col min="7179" max="7179" width="8.7109375" style="16" customWidth="1"/>
    <col min="7180" max="7180" width="9.7109375" style="16" customWidth="1"/>
    <col min="7181" max="7181" width="8.5703125" style="16" customWidth="1"/>
    <col min="7182" max="7182" width="8.42578125" style="16" customWidth="1"/>
    <col min="7183" max="7183" width="8"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9" style="16" customWidth="1"/>
    <col min="7427" max="7427" width="9.140625" style="16"/>
    <col min="7428" max="7428" width="7.42578125" style="16" customWidth="1"/>
    <col min="7429" max="7429" width="8.5703125" style="16" bestFit="1" customWidth="1"/>
    <col min="7430" max="7430" width="8" style="16" customWidth="1"/>
    <col min="7431" max="7431" width="9" style="16" customWidth="1"/>
    <col min="7432" max="7432" width="8.7109375" style="16" customWidth="1"/>
    <col min="7433" max="7433" width="9.5703125" style="16" customWidth="1"/>
    <col min="7434" max="7434" width="9.28515625" style="16" customWidth="1"/>
    <col min="7435" max="7435" width="8.7109375" style="16" customWidth="1"/>
    <col min="7436" max="7436" width="9.7109375" style="16" customWidth="1"/>
    <col min="7437" max="7437" width="8.5703125" style="16" customWidth="1"/>
    <col min="7438" max="7438" width="8.42578125" style="16" customWidth="1"/>
    <col min="7439" max="7439" width="8"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9" style="16" customWidth="1"/>
    <col min="7683" max="7683" width="9.140625" style="16"/>
    <col min="7684" max="7684" width="7.42578125" style="16" customWidth="1"/>
    <col min="7685" max="7685" width="8.5703125" style="16" bestFit="1" customWidth="1"/>
    <col min="7686" max="7686" width="8" style="16" customWidth="1"/>
    <col min="7687" max="7687" width="9" style="16" customWidth="1"/>
    <col min="7688" max="7688" width="8.7109375" style="16" customWidth="1"/>
    <col min="7689" max="7689" width="9.5703125" style="16" customWidth="1"/>
    <col min="7690" max="7690" width="9.28515625" style="16" customWidth="1"/>
    <col min="7691" max="7691" width="8.7109375" style="16" customWidth="1"/>
    <col min="7692" max="7692" width="9.7109375" style="16" customWidth="1"/>
    <col min="7693" max="7693" width="8.5703125" style="16" customWidth="1"/>
    <col min="7694" max="7694" width="8.42578125" style="16" customWidth="1"/>
    <col min="7695" max="7695" width="8"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9" style="16" customWidth="1"/>
    <col min="7939" max="7939" width="9.140625" style="16"/>
    <col min="7940" max="7940" width="7.42578125" style="16" customWidth="1"/>
    <col min="7941" max="7941" width="8.5703125" style="16" bestFit="1" customWidth="1"/>
    <col min="7942" max="7942" width="8" style="16" customWidth="1"/>
    <col min="7943" max="7943" width="9" style="16" customWidth="1"/>
    <col min="7944" max="7944" width="8.7109375" style="16" customWidth="1"/>
    <col min="7945" max="7945" width="9.5703125" style="16" customWidth="1"/>
    <col min="7946" max="7946" width="9.28515625" style="16" customWidth="1"/>
    <col min="7947" max="7947" width="8.7109375" style="16" customWidth="1"/>
    <col min="7948" max="7948" width="9.7109375" style="16" customWidth="1"/>
    <col min="7949" max="7949" width="8.5703125" style="16" customWidth="1"/>
    <col min="7950" max="7950" width="8.42578125" style="16" customWidth="1"/>
    <col min="7951" max="7951" width="8"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9" style="16" customWidth="1"/>
    <col min="8195" max="8195" width="9.140625" style="16"/>
    <col min="8196" max="8196" width="7.42578125" style="16" customWidth="1"/>
    <col min="8197" max="8197" width="8.5703125" style="16" bestFit="1" customWidth="1"/>
    <col min="8198" max="8198" width="8" style="16" customWidth="1"/>
    <col min="8199" max="8199" width="9" style="16" customWidth="1"/>
    <col min="8200" max="8200" width="8.7109375" style="16" customWidth="1"/>
    <col min="8201" max="8201" width="9.5703125" style="16" customWidth="1"/>
    <col min="8202" max="8202" width="9.28515625" style="16" customWidth="1"/>
    <col min="8203" max="8203" width="8.7109375" style="16" customWidth="1"/>
    <col min="8204" max="8204" width="9.7109375" style="16" customWidth="1"/>
    <col min="8205" max="8205" width="8.5703125" style="16" customWidth="1"/>
    <col min="8206" max="8206" width="8.42578125" style="16" customWidth="1"/>
    <col min="8207" max="8207" width="8"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9" style="16" customWidth="1"/>
    <col min="8451" max="8451" width="9.140625" style="16"/>
    <col min="8452" max="8452" width="7.42578125" style="16" customWidth="1"/>
    <col min="8453" max="8453" width="8.5703125" style="16" bestFit="1" customWidth="1"/>
    <col min="8454" max="8454" width="8" style="16" customWidth="1"/>
    <col min="8455" max="8455" width="9" style="16" customWidth="1"/>
    <col min="8456" max="8456" width="8.7109375" style="16" customWidth="1"/>
    <col min="8457" max="8457" width="9.5703125" style="16" customWidth="1"/>
    <col min="8458" max="8458" width="9.28515625" style="16" customWidth="1"/>
    <col min="8459" max="8459" width="8.7109375" style="16" customWidth="1"/>
    <col min="8460" max="8460" width="9.7109375" style="16" customWidth="1"/>
    <col min="8461" max="8461" width="8.5703125" style="16" customWidth="1"/>
    <col min="8462" max="8462" width="8.42578125" style="16" customWidth="1"/>
    <col min="8463" max="8463" width="8"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9" style="16" customWidth="1"/>
    <col min="8707" max="8707" width="9.140625" style="16"/>
    <col min="8708" max="8708" width="7.42578125" style="16" customWidth="1"/>
    <col min="8709" max="8709" width="8.5703125" style="16" bestFit="1" customWidth="1"/>
    <col min="8710" max="8710" width="8" style="16" customWidth="1"/>
    <col min="8711" max="8711" width="9" style="16" customWidth="1"/>
    <col min="8712" max="8712" width="8.7109375" style="16" customWidth="1"/>
    <col min="8713" max="8713" width="9.5703125" style="16" customWidth="1"/>
    <col min="8714" max="8714" width="9.28515625" style="16" customWidth="1"/>
    <col min="8715" max="8715" width="8.7109375" style="16" customWidth="1"/>
    <col min="8716" max="8716" width="9.7109375" style="16" customWidth="1"/>
    <col min="8717" max="8717" width="8.5703125" style="16" customWidth="1"/>
    <col min="8718" max="8718" width="8.42578125" style="16" customWidth="1"/>
    <col min="8719" max="8719" width="8"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9" style="16" customWidth="1"/>
    <col min="8963" max="8963" width="9.140625" style="16"/>
    <col min="8964" max="8964" width="7.42578125" style="16" customWidth="1"/>
    <col min="8965" max="8965" width="8.5703125" style="16" bestFit="1" customWidth="1"/>
    <col min="8966" max="8966" width="8" style="16" customWidth="1"/>
    <col min="8967" max="8967" width="9" style="16" customWidth="1"/>
    <col min="8968" max="8968" width="8.7109375" style="16" customWidth="1"/>
    <col min="8969" max="8969" width="9.5703125" style="16" customWidth="1"/>
    <col min="8970" max="8970" width="9.28515625" style="16" customWidth="1"/>
    <col min="8971" max="8971" width="8.7109375" style="16" customWidth="1"/>
    <col min="8972" max="8972" width="9.7109375" style="16" customWidth="1"/>
    <col min="8973" max="8973" width="8.5703125" style="16" customWidth="1"/>
    <col min="8974" max="8974" width="8.42578125" style="16" customWidth="1"/>
    <col min="8975" max="8975" width="8"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9" style="16" customWidth="1"/>
    <col min="9219" max="9219" width="9.140625" style="16"/>
    <col min="9220" max="9220" width="7.42578125" style="16" customWidth="1"/>
    <col min="9221" max="9221" width="8.5703125" style="16" bestFit="1" customWidth="1"/>
    <col min="9222" max="9222" width="8" style="16" customWidth="1"/>
    <col min="9223" max="9223" width="9" style="16" customWidth="1"/>
    <col min="9224" max="9224" width="8.7109375" style="16" customWidth="1"/>
    <col min="9225" max="9225" width="9.5703125" style="16" customWidth="1"/>
    <col min="9226" max="9226" width="9.28515625" style="16" customWidth="1"/>
    <col min="9227" max="9227" width="8.7109375" style="16" customWidth="1"/>
    <col min="9228" max="9228" width="9.7109375" style="16" customWidth="1"/>
    <col min="9229" max="9229" width="8.5703125" style="16" customWidth="1"/>
    <col min="9230" max="9230" width="8.42578125" style="16" customWidth="1"/>
    <col min="9231" max="9231" width="8"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9" style="16" customWidth="1"/>
    <col min="9475" max="9475" width="9.140625" style="16"/>
    <col min="9476" max="9476" width="7.42578125" style="16" customWidth="1"/>
    <col min="9477" max="9477" width="8.5703125" style="16" bestFit="1" customWidth="1"/>
    <col min="9478" max="9478" width="8" style="16" customWidth="1"/>
    <col min="9479" max="9479" width="9" style="16" customWidth="1"/>
    <col min="9480" max="9480" width="8.7109375" style="16" customWidth="1"/>
    <col min="9481" max="9481" width="9.5703125" style="16" customWidth="1"/>
    <col min="9482" max="9482" width="9.28515625" style="16" customWidth="1"/>
    <col min="9483" max="9483" width="8.7109375" style="16" customWidth="1"/>
    <col min="9484" max="9484" width="9.7109375" style="16" customWidth="1"/>
    <col min="9485" max="9485" width="8.5703125" style="16" customWidth="1"/>
    <col min="9486" max="9486" width="8.42578125" style="16" customWidth="1"/>
    <col min="9487" max="9487" width="8"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9" style="16" customWidth="1"/>
    <col min="9731" max="9731" width="9.140625" style="16"/>
    <col min="9732" max="9732" width="7.42578125" style="16" customWidth="1"/>
    <col min="9733" max="9733" width="8.5703125" style="16" bestFit="1" customWidth="1"/>
    <col min="9734" max="9734" width="8" style="16" customWidth="1"/>
    <col min="9735" max="9735" width="9" style="16" customWidth="1"/>
    <col min="9736" max="9736" width="8.7109375" style="16" customWidth="1"/>
    <col min="9737" max="9737" width="9.5703125" style="16" customWidth="1"/>
    <col min="9738" max="9738" width="9.28515625" style="16" customWidth="1"/>
    <col min="9739" max="9739" width="8.7109375" style="16" customWidth="1"/>
    <col min="9740" max="9740" width="9.7109375" style="16" customWidth="1"/>
    <col min="9741" max="9741" width="8.5703125" style="16" customWidth="1"/>
    <col min="9742" max="9742" width="8.42578125" style="16" customWidth="1"/>
    <col min="9743" max="9743" width="8"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9" style="16" customWidth="1"/>
    <col min="9987" max="9987" width="9.140625" style="16"/>
    <col min="9988" max="9988" width="7.42578125" style="16" customWidth="1"/>
    <col min="9989" max="9989" width="8.5703125" style="16" bestFit="1" customWidth="1"/>
    <col min="9990" max="9990" width="8" style="16" customWidth="1"/>
    <col min="9991" max="9991" width="9" style="16" customWidth="1"/>
    <col min="9992" max="9992" width="8.7109375" style="16" customWidth="1"/>
    <col min="9993" max="9993" width="9.5703125" style="16" customWidth="1"/>
    <col min="9994" max="9994" width="9.28515625" style="16" customWidth="1"/>
    <col min="9995" max="9995" width="8.7109375" style="16" customWidth="1"/>
    <col min="9996" max="9996" width="9.7109375" style="16" customWidth="1"/>
    <col min="9997" max="9997" width="8.5703125" style="16" customWidth="1"/>
    <col min="9998" max="9998" width="8.42578125" style="16" customWidth="1"/>
    <col min="9999" max="9999" width="8"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9" style="16" customWidth="1"/>
    <col min="10243" max="10243" width="9.140625" style="16"/>
    <col min="10244" max="10244" width="7.42578125" style="16" customWidth="1"/>
    <col min="10245" max="10245" width="8.5703125" style="16" bestFit="1" customWidth="1"/>
    <col min="10246" max="10246" width="8" style="16" customWidth="1"/>
    <col min="10247" max="10247" width="9" style="16" customWidth="1"/>
    <col min="10248" max="10248" width="8.7109375" style="16" customWidth="1"/>
    <col min="10249" max="10249" width="9.5703125" style="16" customWidth="1"/>
    <col min="10250" max="10250" width="9.28515625" style="16" customWidth="1"/>
    <col min="10251" max="10251" width="8.7109375" style="16" customWidth="1"/>
    <col min="10252" max="10252" width="9.7109375" style="16" customWidth="1"/>
    <col min="10253" max="10253" width="8.5703125" style="16" customWidth="1"/>
    <col min="10254" max="10254" width="8.42578125" style="16" customWidth="1"/>
    <col min="10255" max="10255" width="8"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9" style="16" customWidth="1"/>
    <col min="10499" max="10499" width="9.140625" style="16"/>
    <col min="10500" max="10500" width="7.42578125" style="16" customWidth="1"/>
    <col min="10501" max="10501" width="8.5703125" style="16" bestFit="1" customWidth="1"/>
    <col min="10502" max="10502" width="8" style="16" customWidth="1"/>
    <col min="10503" max="10503" width="9" style="16" customWidth="1"/>
    <col min="10504" max="10504" width="8.7109375" style="16" customWidth="1"/>
    <col min="10505" max="10505" width="9.5703125" style="16" customWidth="1"/>
    <col min="10506" max="10506" width="9.28515625" style="16" customWidth="1"/>
    <col min="10507" max="10507" width="8.7109375" style="16" customWidth="1"/>
    <col min="10508" max="10508" width="9.7109375" style="16" customWidth="1"/>
    <col min="10509" max="10509" width="8.5703125" style="16" customWidth="1"/>
    <col min="10510" max="10510" width="8.42578125" style="16" customWidth="1"/>
    <col min="10511" max="10511" width="8"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9" style="16" customWidth="1"/>
    <col min="10755" max="10755" width="9.140625" style="16"/>
    <col min="10756" max="10756" width="7.42578125" style="16" customWidth="1"/>
    <col min="10757" max="10757" width="8.5703125" style="16" bestFit="1" customWidth="1"/>
    <col min="10758" max="10758" width="8" style="16" customWidth="1"/>
    <col min="10759" max="10759" width="9" style="16" customWidth="1"/>
    <col min="10760" max="10760" width="8.7109375" style="16" customWidth="1"/>
    <col min="10761" max="10761" width="9.5703125" style="16" customWidth="1"/>
    <col min="10762" max="10762" width="9.28515625" style="16" customWidth="1"/>
    <col min="10763" max="10763" width="8.7109375" style="16" customWidth="1"/>
    <col min="10764" max="10764" width="9.7109375" style="16" customWidth="1"/>
    <col min="10765" max="10765" width="8.5703125" style="16" customWidth="1"/>
    <col min="10766" max="10766" width="8.42578125" style="16" customWidth="1"/>
    <col min="10767" max="10767" width="8"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9" style="16" customWidth="1"/>
    <col min="11011" max="11011" width="9.140625" style="16"/>
    <col min="11012" max="11012" width="7.42578125" style="16" customWidth="1"/>
    <col min="11013" max="11013" width="8.5703125" style="16" bestFit="1" customWidth="1"/>
    <col min="11014" max="11014" width="8" style="16" customWidth="1"/>
    <col min="11015" max="11015" width="9" style="16" customWidth="1"/>
    <col min="11016" max="11016" width="8.7109375" style="16" customWidth="1"/>
    <col min="11017" max="11017" width="9.5703125" style="16" customWidth="1"/>
    <col min="11018" max="11018" width="9.28515625" style="16" customWidth="1"/>
    <col min="11019" max="11019" width="8.7109375" style="16" customWidth="1"/>
    <col min="11020" max="11020" width="9.7109375" style="16" customWidth="1"/>
    <col min="11021" max="11021" width="8.5703125" style="16" customWidth="1"/>
    <col min="11022" max="11022" width="8.42578125" style="16" customWidth="1"/>
    <col min="11023" max="11023" width="8"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9" style="16" customWidth="1"/>
    <col min="11267" max="11267" width="9.140625" style="16"/>
    <col min="11268" max="11268" width="7.42578125" style="16" customWidth="1"/>
    <col min="11269" max="11269" width="8.5703125" style="16" bestFit="1" customWidth="1"/>
    <col min="11270" max="11270" width="8" style="16" customWidth="1"/>
    <col min="11271" max="11271" width="9" style="16" customWidth="1"/>
    <col min="11272" max="11272" width="8.7109375" style="16" customWidth="1"/>
    <col min="11273" max="11273" width="9.5703125" style="16" customWidth="1"/>
    <col min="11274" max="11274" width="9.28515625" style="16" customWidth="1"/>
    <col min="11275" max="11275" width="8.7109375" style="16" customWidth="1"/>
    <col min="11276" max="11276" width="9.7109375" style="16" customWidth="1"/>
    <col min="11277" max="11277" width="8.5703125" style="16" customWidth="1"/>
    <col min="11278" max="11278" width="8.42578125" style="16" customWidth="1"/>
    <col min="11279" max="11279" width="8"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9" style="16" customWidth="1"/>
    <col min="11523" max="11523" width="9.140625" style="16"/>
    <col min="11524" max="11524" width="7.42578125" style="16" customWidth="1"/>
    <col min="11525" max="11525" width="8.5703125" style="16" bestFit="1" customWidth="1"/>
    <col min="11526" max="11526" width="8" style="16" customWidth="1"/>
    <col min="11527" max="11527" width="9" style="16" customWidth="1"/>
    <col min="11528" max="11528" width="8.7109375" style="16" customWidth="1"/>
    <col min="11529" max="11529" width="9.5703125" style="16" customWidth="1"/>
    <col min="11530" max="11530" width="9.28515625" style="16" customWidth="1"/>
    <col min="11531" max="11531" width="8.7109375" style="16" customWidth="1"/>
    <col min="11532" max="11532" width="9.7109375" style="16" customWidth="1"/>
    <col min="11533" max="11533" width="8.5703125" style="16" customWidth="1"/>
    <col min="11534" max="11534" width="8.42578125" style="16" customWidth="1"/>
    <col min="11535" max="11535" width="8"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9" style="16" customWidth="1"/>
    <col min="11779" max="11779" width="9.140625" style="16"/>
    <col min="11780" max="11780" width="7.42578125" style="16" customWidth="1"/>
    <col min="11781" max="11781" width="8.5703125" style="16" bestFit="1" customWidth="1"/>
    <col min="11782" max="11782" width="8" style="16" customWidth="1"/>
    <col min="11783" max="11783" width="9" style="16" customWidth="1"/>
    <col min="11784" max="11784" width="8.7109375" style="16" customWidth="1"/>
    <col min="11785" max="11785" width="9.5703125" style="16" customWidth="1"/>
    <col min="11786" max="11786" width="9.28515625" style="16" customWidth="1"/>
    <col min="11787" max="11787" width="8.7109375" style="16" customWidth="1"/>
    <col min="11788" max="11788" width="9.7109375" style="16" customWidth="1"/>
    <col min="11789" max="11789" width="8.5703125" style="16" customWidth="1"/>
    <col min="11790" max="11790" width="8.42578125" style="16" customWidth="1"/>
    <col min="11791" max="11791" width="8"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9" style="16" customWidth="1"/>
    <col min="12035" max="12035" width="9.140625" style="16"/>
    <col min="12036" max="12036" width="7.42578125" style="16" customWidth="1"/>
    <col min="12037" max="12037" width="8.5703125" style="16" bestFit="1" customWidth="1"/>
    <col min="12038" max="12038" width="8" style="16" customWidth="1"/>
    <col min="12039" max="12039" width="9" style="16" customWidth="1"/>
    <col min="12040" max="12040" width="8.7109375" style="16" customWidth="1"/>
    <col min="12041" max="12041" width="9.5703125" style="16" customWidth="1"/>
    <col min="12042" max="12042" width="9.28515625" style="16" customWidth="1"/>
    <col min="12043" max="12043" width="8.7109375" style="16" customWidth="1"/>
    <col min="12044" max="12044" width="9.7109375" style="16" customWidth="1"/>
    <col min="12045" max="12045" width="8.5703125" style="16" customWidth="1"/>
    <col min="12046" max="12046" width="8.42578125" style="16" customWidth="1"/>
    <col min="12047" max="12047" width="8"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9" style="16" customWidth="1"/>
    <col min="12291" max="12291" width="9.140625" style="16"/>
    <col min="12292" max="12292" width="7.42578125" style="16" customWidth="1"/>
    <col min="12293" max="12293" width="8.5703125" style="16" bestFit="1" customWidth="1"/>
    <col min="12294" max="12294" width="8" style="16" customWidth="1"/>
    <col min="12295" max="12295" width="9" style="16" customWidth="1"/>
    <col min="12296" max="12296" width="8.7109375" style="16" customWidth="1"/>
    <col min="12297" max="12297" width="9.5703125" style="16" customWidth="1"/>
    <col min="12298" max="12298" width="9.28515625" style="16" customWidth="1"/>
    <col min="12299" max="12299" width="8.7109375" style="16" customWidth="1"/>
    <col min="12300" max="12300" width="9.7109375" style="16" customWidth="1"/>
    <col min="12301" max="12301" width="8.5703125" style="16" customWidth="1"/>
    <col min="12302" max="12302" width="8.42578125" style="16" customWidth="1"/>
    <col min="12303" max="12303" width="8"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9" style="16" customWidth="1"/>
    <col min="12547" max="12547" width="9.140625" style="16"/>
    <col min="12548" max="12548" width="7.42578125" style="16" customWidth="1"/>
    <col min="12549" max="12549" width="8.5703125" style="16" bestFit="1" customWidth="1"/>
    <col min="12550" max="12550" width="8" style="16" customWidth="1"/>
    <col min="12551" max="12551" width="9" style="16" customWidth="1"/>
    <col min="12552" max="12552" width="8.7109375" style="16" customWidth="1"/>
    <col min="12553" max="12553" width="9.5703125" style="16" customWidth="1"/>
    <col min="12554" max="12554" width="9.28515625" style="16" customWidth="1"/>
    <col min="12555" max="12555" width="8.7109375" style="16" customWidth="1"/>
    <col min="12556" max="12556" width="9.7109375" style="16" customWidth="1"/>
    <col min="12557" max="12557" width="8.5703125" style="16" customWidth="1"/>
    <col min="12558" max="12558" width="8.42578125" style="16" customWidth="1"/>
    <col min="12559" max="12559" width="8"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9" style="16" customWidth="1"/>
    <col min="12803" max="12803" width="9.140625" style="16"/>
    <col min="12804" max="12804" width="7.42578125" style="16" customWidth="1"/>
    <col min="12805" max="12805" width="8.5703125" style="16" bestFit="1" customWidth="1"/>
    <col min="12806" max="12806" width="8" style="16" customWidth="1"/>
    <col min="12807" max="12807" width="9" style="16" customWidth="1"/>
    <col min="12808" max="12808" width="8.7109375" style="16" customWidth="1"/>
    <col min="12809" max="12809" width="9.5703125" style="16" customWidth="1"/>
    <col min="12810" max="12810" width="9.28515625" style="16" customWidth="1"/>
    <col min="12811" max="12811" width="8.7109375" style="16" customWidth="1"/>
    <col min="12812" max="12812" width="9.7109375" style="16" customWidth="1"/>
    <col min="12813" max="12813" width="8.5703125" style="16" customWidth="1"/>
    <col min="12814" max="12814" width="8.42578125" style="16" customWidth="1"/>
    <col min="12815" max="12815" width="8"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9" style="16" customWidth="1"/>
    <col min="13059" max="13059" width="9.140625" style="16"/>
    <col min="13060" max="13060" width="7.42578125" style="16" customWidth="1"/>
    <col min="13061" max="13061" width="8.5703125" style="16" bestFit="1" customWidth="1"/>
    <col min="13062" max="13062" width="8" style="16" customWidth="1"/>
    <col min="13063" max="13063" width="9" style="16" customWidth="1"/>
    <col min="13064" max="13064" width="8.7109375" style="16" customWidth="1"/>
    <col min="13065" max="13065" width="9.5703125" style="16" customWidth="1"/>
    <col min="13066" max="13066" width="9.28515625" style="16" customWidth="1"/>
    <col min="13067" max="13067" width="8.7109375" style="16" customWidth="1"/>
    <col min="13068" max="13068" width="9.7109375" style="16" customWidth="1"/>
    <col min="13069" max="13069" width="8.5703125" style="16" customWidth="1"/>
    <col min="13070" max="13070" width="8.42578125" style="16" customWidth="1"/>
    <col min="13071" max="13071" width="8"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9" style="16" customWidth="1"/>
    <col min="13315" max="13315" width="9.140625" style="16"/>
    <col min="13316" max="13316" width="7.42578125" style="16" customWidth="1"/>
    <col min="13317" max="13317" width="8.5703125" style="16" bestFit="1" customWidth="1"/>
    <col min="13318" max="13318" width="8" style="16" customWidth="1"/>
    <col min="13319" max="13319" width="9" style="16" customWidth="1"/>
    <col min="13320" max="13320" width="8.7109375" style="16" customWidth="1"/>
    <col min="13321" max="13321" width="9.5703125" style="16" customWidth="1"/>
    <col min="13322" max="13322" width="9.28515625" style="16" customWidth="1"/>
    <col min="13323" max="13323" width="8.7109375" style="16" customWidth="1"/>
    <col min="13324" max="13324" width="9.7109375" style="16" customWidth="1"/>
    <col min="13325" max="13325" width="8.5703125" style="16" customWidth="1"/>
    <col min="13326" max="13326" width="8.42578125" style="16" customWidth="1"/>
    <col min="13327" max="13327" width="8"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9" style="16" customWidth="1"/>
    <col min="13571" max="13571" width="9.140625" style="16"/>
    <col min="13572" max="13572" width="7.42578125" style="16" customWidth="1"/>
    <col min="13573" max="13573" width="8.5703125" style="16" bestFit="1" customWidth="1"/>
    <col min="13574" max="13574" width="8" style="16" customWidth="1"/>
    <col min="13575" max="13575" width="9" style="16" customWidth="1"/>
    <col min="13576" max="13576" width="8.7109375" style="16" customWidth="1"/>
    <col min="13577" max="13577" width="9.5703125" style="16" customWidth="1"/>
    <col min="13578" max="13578" width="9.28515625" style="16" customWidth="1"/>
    <col min="13579" max="13579" width="8.7109375" style="16" customWidth="1"/>
    <col min="13580" max="13580" width="9.7109375" style="16" customWidth="1"/>
    <col min="13581" max="13581" width="8.5703125" style="16" customWidth="1"/>
    <col min="13582" max="13582" width="8.42578125" style="16" customWidth="1"/>
    <col min="13583" max="13583" width="8"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9" style="16" customWidth="1"/>
    <col min="13827" max="13827" width="9.140625" style="16"/>
    <col min="13828" max="13828" width="7.42578125" style="16" customWidth="1"/>
    <col min="13829" max="13829" width="8.5703125" style="16" bestFit="1" customWidth="1"/>
    <col min="13830" max="13830" width="8" style="16" customWidth="1"/>
    <col min="13831" max="13831" width="9" style="16" customWidth="1"/>
    <col min="13832" max="13832" width="8.7109375" style="16" customWidth="1"/>
    <col min="13833" max="13833" width="9.5703125" style="16" customWidth="1"/>
    <col min="13834" max="13834" width="9.28515625" style="16" customWidth="1"/>
    <col min="13835" max="13835" width="8.7109375" style="16" customWidth="1"/>
    <col min="13836" max="13836" width="9.7109375" style="16" customWidth="1"/>
    <col min="13837" max="13837" width="8.5703125" style="16" customWidth="1"/>
    <col min="13838" max="13838" width="8.42578125" style="16" customWidth="1"/>
    <col min="13839" max="13839" width="8"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9" style="16" customWidth="1"/>
    <col min="14083" max="14083" width="9.140625" style="16"/>
    <col min="14084" max="14084" width="7.42578125" style="16" customWidth="1"/>
    <col min="14085" max="14085" width="8.5703125" style="16" bestFit="1" customWidth="1"/>
    <col min="14086" max="14086" width="8" style="16" customWidth="1"/>
    <col min="14087" max="14087" width="9" style="16" customWidth="1"/>
    <col min="14088" max="14088" width="8.7109375" style="16" customWidth="1"/>
    <col min="14089" max="14089" width="9.5703125" style="16" customWidth="1"/>
    <col min="14090" max="14090" width="9.28515625" style="16" customWidth="1"/>
    <col min="14091" max="14091" width="8.7109375" style="16" customWidth="1"/>
    <col min="14092" max="14092" width="9.7109375" style="16" customWidth="1"/>
    <col min="14093" max="14093" width="8.5703125" style="16" customWidth="1"/>
    <col min="14094" max="14094" width="8.42578125" style="16" customWidth="1"/>
    <col min="14095" max="14095" width="8"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9" style="16" customWidth="1"/>
    <col min="14339" max="14339" width="9.140625" style="16"/>
    <col min="14340" max="14340" width="7.42578125" style="16" customWidth="1"/>
    <col min="14341" max="14341" width="8.5703125" style="16" bestFit="1" customWidth="1"/>
    <col min="14342" max="14342" width="8" style="16" customWidth="1"/>
    <col min="14343" max="14343" width="9" style="16" customWidth="1"/>
    <col min="14344" max="14344" width="8.7109375" style="16" customWidth="1"/>
    <col min="14345" max="14345" width="9.5703125" style="16" customWidth="1"/>
    <col min="14346" max="14346" width="9.28515625" style="16" customWidth="1"/>
    <col min="14347" max="14347" width="8.7109375" style="16" customWidth="1"/>
    <col min="14348" max="14348" width="9.7109375" style="16" customWidth="1"/>
    <col min="14349" max="14349" width="8.5703125" style="16" customWidth="1"/>
    <col min="14350" max="14350" width="8.42578125" style="16" customWidth="1"/>
    <col min="14351" max="14351" width="8"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9" style="16" customWidth="1"/>
    <col min="14595" max="14595" width="9.140625" style="16"/>
    <col min="14596" max="14596" width="7.42578125" style="16" customWidth="1"/>
    <col min="14597" max="14597" width="8.5703125" style="16" bestFit="1" customWidth="1"/>
    <col min="14598" max="14598" width="8" style="16" customWidth="1"/>
    <col min="14599" max="14599" width="9" style="16" customWidth="1"/>
    <col min="14600" max="14600" width="8.7109375" style="16" customWidth="1"/>
    <col min="14601" max="14601" width="9.5703125" style="16" customWidth="1"/>
    <col min="14602" max="14602" width="9.28515625" style="16" customWidth="1"/>
    <col min="14603" max="14603" width="8.7109375" style="16" customWidth="1"/>
    <col min="14604" max="14604" width="9.7109375" style="16" customWidth="1"/>
    <col min="14605" max="14605" width="8.5703125" style="16" customWidth="1"/>
    <col min="14606" max="14606" width="8.42578125" style="16" customWidth="1"/>
    <col min="14607" max="14607" width="8"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9" style="16" customWidth="1"/>
    <col min="14851" max="14851" width="9.140625" style="16"/>
    <col min="14852" max="14852" width="7.42578125" style="16" customWidth="1"/>
    <col min="14853" max="14853" width="8.5703125" style="16" bestFit="1" customWidth="1"/>
    <col min="14854" max="14854" width="8" style="16" customWidth="1"/>
    <col min="14855" max="14855" width="9" style="16" customWidth="1"/>
    <col min="14856" max="14856" width="8.7109375" style="16" customWidth="1"/>
    <col min="14857" max="14857" width="9.5703125" style="16" customWidth="1"/>
    <col min="14858" max="14858" width="9.28515625" style="16" customWidth="1"/>
    <col min="14859" max="14859" width="8.7109375" style="16" customWidth="1"/>
    <col min="14860" max="14860" width="9.7109375" style="16" customWidth="1"/>
    <col min="14861" max="14861" width="8.5703125" style="16" customWidth="1"/>
    <col min="14862" max="14862" width="8.42578125" style="16" customWidth="1"/>
    <col min="14863" max="14863" width="8"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9" style="16" customWidth="1"/>
    <col min="15107" max="15107" width="9.140625" style="16"/>
    <col min="15108" max="15108" width="7.42578125" style="16" customWidth="1"/>
    <col min="15109" max="15109" width="8.5703125" style="16" bestFit="1" customWidth="1"/>
    <col min="15110" max="15110" width="8" style="16" customWidth="1"/>
    <col min="15111" max="15111" width="9" style="16" customWidth="1"/>
    <col min="15112" max="15112" width="8.7109375" style="16" customWidth="1"/>
    <col min="15113" max="15113" width="9.5703125" style="16" customWidth="1"/>
    <col min="15114" max="15114" width="9.28515625" style="16" customWidth="1"/>
    <col min="15115" max="15115" width="8.7109375" style="16" customWidth="1"/>
    <col min="15116" max="15116" width="9.7109375" style="16" customWidth="1"/>
    <col min="15117" max="15117" width="8.5703125" style="16" customWidth="1"/>
    <col min="15118" max="15118" width="8.42578125" style="16" customWidth="1"/>
    <col min="15119" max="15119" width="8"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9" style="16" customWidth="1"/>
    <col min="15363" max="15363" width="9.140625" style="16"/>
    <col min="15364" max="15364" width="7.42578125" style="16" customWidth="1"/>
    <col min="15365" max="15365" width="8.5703125" style="16" bestFit="1" customWidth="1"/>
    <col min="15366" max="15366" width="8" style="16" customWidth="1"/>
    <col min="15367" max="15367" width="9" style="16" customWidth="1"/>
    <col min="15368" max="15368" width="8.7109375" style="16" customWidth="1"/>
    <col min="15369" max="15369" width="9.5703125" style="16" customWidth="1"/>
    <col min="15370" max="15370" width="9.28515625" style="16" customWidth="1"/>
    <col min="15371" max="15371" width="8.7109375" style="16" customWidth="1"/>
    <col min="15372" max="15372" width="9.7109375" style="16" customWidth="1"/>
    <col min="15373" max="15373" width="8.5703125" style="16" customWidth="1"/>
    <col min="15374" max="15374" width="8.42578125" style="16" customWidth="1"/>
    <col min="15375" max="15375" width="8"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9" style="16" customWidth="1"/>
    <col min="15619" max="15619" width="9.140625" style="16"/>
    <col min="15620" max="15620" width="7.42578125" style="16" customWidth="1"/>
    <col min="15621" max="15621" width="8.5703125" style="16" bestFit="1" customWidth="1"/>
    <col min="15622" max="15622" width="8" style="16" customWidth="1"/>
    <col min="15623" max="15623" width="9" style="16" customWidth="1"/>
    <col min="15624" max="15624" width="8.7109375" style="16" customWidth="1"/>
    <col min="15625" max="15625" width="9.5703125" style="16" customWidth="1"/>
    <col min="15626" max="15626" width="9.28515625" style="16" customWidth="1"/>
    <col min="15627" max="15627" width="8.7109375" style="16" customWidth="1"/>
    <col min="15628" max="15628" width="9.7109375" style="16" customWidth="1"/>
    <col min="15629" max="15629" width="8.5703125" style="16" customWidth="1"/>
    <col min="15630" max="15630" width="8.42578125" style="16" customWidth="1"/>
    <col min="15631" max="15631" width="8"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9" style="16" customWidth="1"/>
    <col min="15875" max="15875" width="9.140625" style="16"/>
    <col min="15876" max="15876" width="7.42578125" style="16" customWidth="1"/>
    <col min="15877" max="15877" width="8.5703125" style="16" bestFit="1" customWidth="1"/>
    <col min="15878" max="15878" width="8" style="16" customWidth="1"/>
    <col min="15879" max="15879" width="9" style="16" customWidth="1"/>
    <col min="15880" max="15880" width="8.7109375" style="16" customWidth="1"/>
    <col min="15881" max="15881" width="9.5703125" style="16" customWidth="1"/>
    <col min="15882" max="15882" width="9.28515625" style="16" customWidth="1"/>
    <col min="15883" max="15883" width="8.7109375" style="16" customWidth="1"/>
    <col min="15884" max="15884" width="9.7109375" style="16" customWidth="1"/>
    <col min="15885" max="15885" width="8.5703125" style="16" customWidth="1"/>
    <col min="15886" max="15886" width="8.42578125" style="16" customWidth="1"/>
    <col min="15887" max="15887" width="8"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9" style="16" customWidth="1"/>
    <col min="16131" max="16131" width="9.140625" style="16"/>
    <col min="16132" max="16132" width="7.42578125" style="16" customWidth="1"/>
    <col min="16133" max="16133" width="8.5703125" style="16" bestFit="1" customWidth="1"/>
    <col min="16134" max="16134" width="8" style="16" customWidth="1"/>
    <col min="16135" max="16135" width="9" style="16" customWidth="1"/>
    <col min="16136" max="16136" width="8.7109375" style="16" customWidth="1"/>
    <col min="16137" max="16137" width="9.5703125" style="16" customWidth="1"/>
    <col min="16138" max="16138" width="9.28515625" style="16" customWidth="1"/>
    <col min="16139" max="16139" width="8.7109375" style="16" customWidth="1"/>
    <col min="16140" max="16140" width="9.7109375" style="16" customWidth="1"/>
    <col min="16141" max="16141" width="8.5703125" style="16" customWidth="1"/>
    <col min="16142" max="16142" width="8.42578125" style="16" customWidth="1"/>
    <col min="16143" max="16143" width="8"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67" t="s">
        <v>449</v>
      </c>
      <c r="B1" s="868"/>
      <c r="C1" s="868"/>
      <c r="D1" s="869"/>
      <c r="E1" s="868"/>
      <c r="F1" s="868"/>
      <c r="G1" s="867" t="s">
        <v>102</v>
      </c>
      <c r="H1" s="869"/>
      <c r="I1" s="869" t="s">
        <v>780</v>
      </c>
      <c r="J1" s="868"/>
      <c r="K1" s="868"/>
      <c r="L1" s="870"/>
      <c r="M1" s="870"/>
      <c r="N1" s="870"/>
      <c r="O1" s="870"/>
    </row>
    <row r="2" spans="1:15" s="1" customFormat="1" x14ac:dyDescent="0.2">
      <c r="A2" s="867" t="s">
        <v>103</v>
      </c>
      <c r="B2" s="868"/>
      <c r="C2" s="868"/>
      <c r="D2" s="869" t="s">
        <v>814</v>
      </c>
      <c r="E2" s="868"/>
      <c r="F2" s="868"/>
      <c r="G2" s="867" t="s">
        <v>104</v>
      </c>
      <c r="H2" s="869"/>
      <c r="I2" s="869" t="s">
        <v>105</v>
      </c>
      <c r="J2" s="868"/>
      <c r="K2" s="868"/>
      <c r="L2" s="870"/>
      <c r="M2" s="870"/>
      <c r="N2" s="870"/>
      <c r="O2" s="870"/>
    </row>
    <row r="3" spans="1:15" s="1" customFormat="1" x14ac:dyDescent="0.2">
      <c r="A3" s="867" t="s">
        <v>106</v>
      </c>
      <c r="B3" s="868"/>
      <c r="C3" s="868"/>
      <c r="D3" s="881" t="s">
        <v>815</v>
      </c>
      <c r="E3" s="882"/>
      <c r="F3" s="882"/>
      <c r="G3" s="867" t="s">
        <v>107</v>
      </c>
      <c r="H3" s="869"/>
      <c r="I3" s="869" t="s">
        <v>108</v>
      </c>
      <c r="J3" s="868"/>
      <c r="K3" s="868"/>
      <c r="L3" s="870"/>
      <c r="M3" s="870"/>
      <c r="N3" s="870"/>
      <c r="O3" s="870"/>
    </row>
    <row r="4" spans="1:15" s="1" customFormat="1" x14ac:dyDescent="0.2">
      <c r="A4" s="867" t="s">
        <v>476</v>
      </c>
      <c r="B4" s="868"/>
      <c r="C4" s="868"/>
      <c r="D4" s="869" t="s">
        <v>816</v>
      </c>
      <c r="E4" s="868"/>
      <c r="F4" s="868"/>
      <c r="G4" s="867" t="s">
        <v>110</v>
      </c>
      <c r="H4" s="869"/>
      <c r="I4" s="869" t="s">
        <v>817</v>
      </c>
      <c r="J4" s="868"/>
      <c r="K4" s="868"/>
      <c r="L4" s="870"/>
      <c r="M4" s="870"/>
      <c r="N4" s="870"/>
      <c r="O4" s="870"/>
    </row>
    <row r="5" spans="1:15" s="1" customFormat="1" x14ac:dyDescent="0.2">
      <c r="A5" s="867" t="s">
        <v>112</v>
      </c>
      <c r="B5" s="868"/>
      <c r="C5" s="868"/>
      <c r="D5" s="869"/>
      <c r="E5" s="868"/>
      <c r="F5" s="868"/>
      <c r="G5" s="867"/>
      <c r="H5" s="868"/>
      <c r="I5" s="869" t="s">
        <v>113</v>
      </c>
      <c r="J5" s="868"/>
      <c r="K5" s="868"/>
      <c r="L5" s="870"/>
      <c r="M5" s="870"/>
      <c r="N5" s="870"/>
      <c r="O5" s="870"/>
    </row>
    <row r="6" spans="1:15" s="1" customFormat="1" x14ac:dyDescent="0.2">
      <c r="A6" s="871" t="s">
        <v>114</v>
      </c>
      <c r="B6" s="872"/>
      <c r="C6" s="872"/>
      <c r="D6" s="868" t="s">
        <v>781</v>
      </c>
      <c r="E6" s="868"/>
      <c r="F6" s="868"/>
      <c r="G6" s="871" t="s">
        <v>115</v>
      </c>
      <c r="H6" s="871"/>
      <c r="I6" s="2" t="s">
        <v>222</v>
      </c>
      <c r="J6" s="888"/>
      <c r="K6" s="888"/>
      <c r="L6" s="888"/>
      <c r="M6" s="888"/>
      <c r="N6" s="888"/>
      <c r="O6" s="889"/>
    </row>
    <row r="7" spans="1:15" s="1" customFormat="1" ht="13.5" thickBot="1" x14ac:dyDescent="0.25">
      <c r="A7" s="3"/>
      <c r="B7" s="4"/>
      <c r="C7" s="5"/>
      <c r="D7" s="6"/>
      <c r="E7" s="6"/>
      <c r="F7" s="6"/>
      <c r="G7" s="6"/>
      <c r="H7" s="6"/>
      <c r="I7" s="6"/>
      <c r="J7" s="7"/>
      <c r="K7" s="8"/>
      <c r="L7" s="875" t="s">
        <v>223</v>
      </c>
      <c r="M7" s="875"/>
      <c r="N7" s="875"/>
      <c r="O7" s="875"/>
    </row>
    <row r="8" spans="1:15" s="11" customFormat="1" x14ac:dyDescent="0.2">
      <c r="A8" s="876" t="str">
        <f>I1</f>
        <v>Ms. V.S. Deshmukh</v>
      </c>
      <c r="B8" s="877"/>
      <c r="C8" s="301">
        <v>43160</v>
      </c>
      <c r="D8" s="301">
        <v>43191</v>
      </c>
      <c r="E8" s="301">
        <v>43221</v>
      </c>
      <c r="F8" s="301">
        <v>43252</v>
      </c>
      <c r="G8" s="301">
        <v>43282</v>
      </c>
      <c r="H8" s="301">
        <v>43313</v>
      </c>
      <c r="I8" s="301">
        <v>43344</v>
      </c>
      <c r="J8" s="301">
        <v>43374</v>
      </c>
      <c r="K8" s="301">
        <v>43405</v>
      </c>
      <c r="L8" s="301">
        <v>43435</v>
      </c>
      <c r="M8" s="301">
        <v>43466</v>
      </c>
      <c r="N8" s="301">
        <v>43497</v>
      </c>
      <c r="O8" s="10" t="s">
        <v>117</v>
      </c>
    </row>
    <row r="9" spans="1:15" ht="15" customHeight="1" x14ac:dyDescent="0.2">
      <c r="A9" s="12"/>
      <c r="B9" s="13" t="s">
        <v>118</v>
      </c>
      <c r="C9" s="14">
        <v>88400</v>
      </c>
      <c r="D9" s="14">
        <v>88400</v>
      </c>
      <c r="E9" s="14">
        <v>88400</v>
      </c>
      <c r="F9" s="14">
        <v>88400</v>
      </c>
      <c r="G9" s="14">
        <v>91100</v>
      </c>
      <c r="H9" s="14">
        <v>91100</v>
      </c>
      <c r="I9" s="14">
        <v>91100</v>
      </c>
      <c r="J9" s="14">
        <v>91100</v>
      </c>
      <c r="K9" s="14">
        <v>91100</v>
      </c>
      <c r="L9" s="14">
        <v>91100</v>
      </c>
      <c r="M9" s="14">
        <v>91100</v>
      </c>
      <c r="N9" s="14">
        <v>91100</v>
      </c>
      <c r="O9" s="15">
        <f>SUM(C9:N9)</f>
        <v>1082400</v>
      </c>
    </row>
    <row r="10" spans="1:15" ht="15" customHeight="1" x14ac:dyDescent="0.2">
      <c r="A10" s="12"/>
      <c r="B10" s="13" t="s">
        <v>119</v>
      </c>
      <c r="C10" s="17">
        <v>0</v>
      </c>
      <c r="D10" s="17">
        <v>0</v>
      </c>
      <c r="E10" s="17">
        <v>0</v>
      </c>
      <c r="F10" s="17">
        <v>0</v>
      </c>
      <c r="G10" s="17">
        <v>0</v>
      </c>
      <c r="H10" s="17">
        <v>0</v>
      </c>
      <c r="I10" s="17">
        <v>0</v>
      </c>
      <c r="J10" s="17">
        <f>+I10</f>
        <v>0</v>
      </c>
      <c r="K10" s="17">
        <f>+J10</f>
        <v>0</v>
      </c>
      <c r="L10" s="17">
        <f>+K10</f>
        <v>0</v>
      </c>
      <c r="M10" s="17">
        <f>+L10</f>
        <v>0</v>
      </c>
      <c r="N10" s="17">
        <f>+M10</f>
        <v>0</v>
      </c>
      <c r="O10" s="18">
        <f>SUM(C10:N10)</f>
        <v>0</v>
      </c>
    </row>
    <row r="11" spans="1:15" ht="15" customHeight="1" x14ac:dyDescent="0.2">
      <c r="A11" s="12"/>
      <c r="B11" s="13" t="s">
        <v>120</v>
      </c>
      <c r="C11" s="147">
        <v>4420</v>
      </c>
      <c r="D11" s="147">
        <v>6188</v>
      </c>
      <c r="E11" s="147">
        <v>6188</v>
      </c>
      <c r="F11" s="147">
        <v>6188</v>
      </c>
      <c r="G11" s="147">
        <v>6377</v>
      </c>
      <c r="H11" s="147">
        <v>6377</v>
      </c>
      <c r="I11" s="147">
        <v>6377</v>
      </c>
      <c r="J11" s="147">
        <v>8199</v>
      </c>
      <c r="K11" s="147">
        <v>8199</v>
      </c>
      <c r="L11" s="147">
        <v>8199</v>
      </c>
      <c r="M11" s="147">
        <v>8199</v>
      </c>
      <c r="N11" s="147">
        <v>8199</v>
      </c>
      <c r="O11" s="18">
        <f>SUM(C11:N11)</f>
        <v>83110</v>
      </c>
    </row>
    <row r="12" spans="1:15" ht="15" hidden="1" customHeight="1" x14ac:dyDescent="0.2">
      <c r="A12" s="12"/>
      <c r="B12" s="13" t="s">
        <v>121</v>
      </c>
      <c r="C12" s="147">
        <v>0</v>
      </c>
      <c r="D12" s="17">
        <v>0</v>
      </c>
      <c r="E12" s="17">
        <v>0</v>
      </c>
      <c r="F12" s="17">
        <v>0</v>
      </c>
      <c r="G12" s="17">
        <v>0</v>
      </c>
      <c r="H12" s="17">
        <v>0</v>
      </c>
      <c r="I12" s="17">
        <v>0</v>
      </c>
      <c r="J12" s="17">
        <v>0</v>
      </c>
      <c r="K12" s="17">
        <v>0</v>
      </c>
      <c r="L12" s="17">
        <v>0</v>
      </c>
      <c r="M12" s="17">
        <v>0</v>
      </c>
      <c r="N12" s="17">
        <v>0</v>
      </c>
      <c r="O12" s="18">
        <f>SUM(C12:N12)</f>
        <v>0</v>
      </c>
    </row>
    <row r="13" spans="1:15" ht="15" hidden="1" customHeight="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customHeight="1" x14ac:dyDescent="0.2">
      <c r="A14" s="12"/>
      <c r="B14" s="13" t="s">
        <v>123</v>
      </c>
      <c r="C14" s="147">
        <v>7560</v>
      </c>
      <c r="D14" s="147">
        <v>7704</v>
      </c>
      <c r="E14" s="147">
        <v>7704</v>
      </c>
      <c r="F14" s="147">
        <v>7704</v>
      </c>
      <c r="G14" s="147">
        <v>7704</v>
      </c>
      <c r="H14" s="147">
        <v>7704</v>
      </c>
      <c r="I14" s="147">
        <v>7704</v>
      </c>
      <c r="J14" s="147">
        <v>7848</v>
      </c>
      <c r="K14" s="147">
        <v>7848</v>
      </c>
      <c r="L14" s="147">
        <v>7848</v>
      </c>
      <c r="M14" s="147">
        <v>7848</v>
      </c>
      <c r="N14" s="147">
        <v>7848</v>
      </c>
      <c r="O14" s="18">
        <f t="shared" si="0"/>
        <v>93024</v>
      </c>
    </row>
    <row r="15" spans="1:15" ht="15" hidden="1" customHeight="1" x14ac:dyDescent="0.2">
      <c r="A15" s="12"/>
      <c r="B15" s="13" t="s">
        <v>124</v>
      </c>
      <c r="C15" s="17">
        <v>0</v>
      </c>
      <c r="D15" s="17">
        <v>0</v>
      </c>
      <c r="E15" s="17">
        <v>0</v>
      </c>
      <c r="F15" s="17">
        <v>0</v>
      </c>
      <c r="G15" s="17">
        <v>0</v>
      </c>
      <c r="H15" s="17">
        <v>0</v>
      </c>
      <c r="I15" s="17">
        <v>0</v>
      </c>
      <c r="J15" s="147">
        <v>0</v>
      </c>
      <c r="K15" s="147">
        <v>0</v>
      </c>
      <c r="L15" s="147">
        <v>0</v>
      </c>
      <c r="M15" s="147">
        <v>0</v>
      </c>
      <c r="N15" s="147">
        <v>0</v>
      </c>
      <c r="O15" s="18">
        <f t="shared" si="0"/>
        <v>0</v>
      </c>
    </row>
    <row r="16" spans="1:15" ht="15" hidden="1" customHeight="1" x14ac:dyDescent="0.2">
      <c r="A16" s="12"/>
      <c r="B16" s="13" t="s">
        <v>405</v>
      </c>
      <c r="C16" s="17">
        <v>0</v>
      </c>
      <c r="D16" s="17">
        <v>0</v>
      </c>
      <c r="E16" s="17">
        <v>0</v>
      </c>
      <c r="F16" s="17">
        <v>0</v>
      </c>
      <c r="G16" s="17">
        <v>0</v>
      </c>
      <c r="H16" s="17">
        <v>0</v>
      </c>
      <c r="I16" s="17">
        <v>0</v>
      </c>
      <c r="J16" s="147">
        <v>0</v>
      </c>
      <c r="K16" s="147">
        <v>0</v>
      </c>
      <c r="L16" s="147">
        <v>0</v>
      </c>
      <c r="M16" s="147">
        <v>0</v>
      </c>
      <c r="N16" s="147">
        <v>0</v>
      </c>
      <c r="O16" s="18">
        <f t="shared" si="0"/>
        <v>0</v>
      </c>
    </row>
    <row r="17" spans="1:15" ht="15" hidden="1" customHeight="1" x14ac:dyDescent="0.2">
      <c r="A17" s="12"/>
      <c r="B17" s="13" t="s">
        <v>126</v>
      </c>
      <c r="C17" s="17">
        <v>0</v>
      </c>
      <c r="D17" s="17">
        <v>0</v>
      </c>
      <c r="E17" s="17">
        <v>0</v>
      </c>
      <c r="F17" s="17">
        <v>0</v>
      </c>
      <c r="G17" s="17">
        <v>0</v>
      </c>
      <c r="H17" s="17">
        <v>0</v>
      </c>
      <c r="I17" s="17">
        <v>0</v>
      </c>
      <c r="J17" s="147">
        <v>0</v>
      </c>
      <c r="K17" s="147">
        <v>0</v>
      </c>
      <c r="L17" s="147">
        <v>0</v>
      </c>
      <c r="M17" s="147">
        <v>0</v>
      </c>
      <c r="N17" s="147">
        <v>0</v>
      </c>
      <c r="O17" s="18">
        <f t="shared" si="0"/>
        <v>0</v>
      </c>
    </row>
    <row r="18" spans="1:15" ht="15" hidden="1" customHeight="1" x14ac:dyDescent="0.2">
      <c r="A18" s="12"/>
      <c r="B18" s="13" t="s">
        <v>609</v>
      </c>
      <c r="C18" s="17">
        <v>0</v>
      </c>
      <c r="D18" s="17">
        <v>0</v>
      </c>
      <c r="E18" s="17">
        <v>0</v>
      </c>
      <c r="F18" s="17">
        <v>0</v>
      </c>
      <c r="G18" s="17">
        <v>0</v>
      </c>
      <c r="H18" s="17">
        <v>0</v>
      </c>
      <c r="I18" s="17">
        <v>0</v>
      </c>
      <c r="J18" s="147">
        <v>0</v>
      </c>
      <c r="K18" s="147">
        <v>0</v>
      </c>
      <c r="L18" s="147">
        <v>0</v>
      </c>
      <c r="M18" s="147">
        <v>0</v>
      </c>
      <c r="N18" s="147">
        <v>0</v>
      </c>
      <c r="O18" s="18">
        <f t="shared" si="0"/>
        <v>0</v>
      </c>
    </row>
    <row r="19" spans="1:15" ht="15" customHeight="1" x14ac:dyDescent="0.2">
      <c r="A19" s="12"/>
      <c r="B19" s="13" t="s">
        <v>128</v>
      </c>
      <c r="C19" s="147">
        <v>0</v>
      </c>
      <c r="D19" s="147">
        <v>0</v>
      </c>
      <c r="E19" s="147">
        <v>0</v>
      </c>
      <c r="F19" s="147">
        <v>0</v>
      </c>
      <c r="G19" s="147">
        <v>0</v>
      </c>
      <c r="H19" s="147">
        <v>0</v>
      </c>
      <c r="I19" s="147">
        <v>0</v>
      </c>
      <c r="J19" s="147">
        <v>0</v>
      </c>
      <c r="K19" s="147">
        <v>0</v>
      </c>
      <c r="L19" s="147">
        <v>0</v>
      </c>
      <c r="M19" s="147">
        <v>0</v>
      </c>
      <c r="N19" s="147">
        <v>0</v>
      </c>
      <c r="O19" s="18">
        <f t="shared" si="0"/>
        <v>0</v>
      </c>
    </row>
    <row r="20" spans="1:15" ht="15" customHeight="1" x14ac:dyDescent="0.2">
      <c r="A20" s="12"/>
      <c r="B20" s="13" t="s">
        <v>129</v>
      </c>
      <c r="C20" s="28">
        <v>0</v>
      </c>
      <c r="D20" s="28">
        <v>0</v>
      </c>
      <c r="E20" s="28">
        <v>0</v>
      </c>
      <c r="F20" s="28">
        <v>0</v>
      </c>
      <c r="G20" s="28">
        <v>0</v>
      </c>
      <c r="H20" s="28">
        <v>0</v>
      </c>
      <c r="I20" s="28">
        <v>0</v>
      </c>
      <c r="J20" s="28">
        <v>0</v>
      </c>
      <c r="K20" s="28">
        <v>0</v>
      </c>
      <c r="L20" s="28">
        <v>0</v>
      </c>
      <c r="M20" s="28">
        <v>0</v>
      </c>
      <c r="N20" s="28">
        <v>0</v>
      </c>
      <c r="O20" s="18">
        <f t="shared" si="0"/>
        <v>0</v>
      </c>
    </row>
    <row r="21" spans="1:15" ht="15" hidden="1" customHeight="1" x14ac:dyDescent="0.2">
      <c r="A21" s="878" t="s">
        <v>130</v>
      </c>
      <c r="B21" s="19" t="s">
        <v>131</v>
      </c>
      <c r="C21" s="28">
        <v>0</v>
      </c>
      <c r="D21" s="28">
        <v>0</v>
      </c>
      <c r="E21" s="28">
        <v>0</v>
      </c>
      <c r="F21" s="28">
        <v>0</v>
      </c>
      <c r="G21" s="28">
        <v>0</v>
      </c>
      <c r="H21" s="28">
        <v>0</v>
      </c>
      <c r="I21" s="28">
        <v>0</v>
      </c>
      <c r="J21" s="28">
        <v>0</v>
      </c>
      <c r="K21" s="28">
        <v>0</v>
      </c>
      <c r="L21" s="28">
        <v>0</v>
      </c>
      <c r="M21" s="28">
        <v>0</v>
      </c>
      <c r="N21" s="28">
        <v>0</v>
      </c>
      <c r="O21" s="18">
        <f t="shared" si="0"/>
        <v>0</v>
      </c>
    </row>
    <row r="22" spans="1:15" ht="15" customHeight="1" x14ac:dyDescent="0.2">
      <c r="A22" s="879"/>
      <c r="B22" s="19" t="s">
        <v>132</v>
      </c>
      <c r="C22" s="28">
        <v>0</v>
      </c>
      <c r="D22" s="28">
        <v>0</v>
      </c>
      <c r="E22" s="28">
        <v>0</v>
      </c>
      <c r="F22" s="28">
        <v>0</v>
      </c>
      <c r="G22" s="28">
        <v>0</v>
      </c>
      <c r="H22" s="28">
        <v>0</v>
      </c>
      <c r="I22" s="28">
        <v>0</v>
      </c>
      <c r="J22" s="28">
        <v>0</v>
      </c>
      <c r="K22" s="28">
        <v>0</v>
      </c>
      <c r="L22" s="28">
        <v>0</v>
      </c>
      <c r="M22" s="28">
        <v>0</v>
      </c>
      <c r="N22" s="28">
        <v>0</v>
      </c>
      <c r="O22" s="18">
        <f t="shared" si="0"/>
        <v>0</v>
      </c>
    </row>
    <row r="23" spans="1:15" ht="15" hidden="1" customHeight="1" x14ac:dyDescent="0.2">
      <c r="A23" s="879"/>
      <c r="B23" s="19" t="s">
        <v>133</v>
      </c>
      <c r="C23" s="28">
        <v>0</v>
      </c>
      <c r="D23" s="28">
        <v>0</v>
      </c>
      <c r="E23" s="28">
        <v>0</v>
      </c>
      <c r="F23" s="28">
        <v>0</v>
      </c>
      <c r="G23" s="28">
        <v>0</v>
      </c>
      <c r="H23" s="28">
        <v>0</v>
      </c>
      <c r="I23" s="28">
        <v>0</v>
      </c>
      <c r="J23" s="28">
        <v>0</v>
      </c>
      <c r="K23" s="28">
        <v>0</v>
      </c>
      <c r="L23" s="28">
        <v>0</v>
      </c>
      <c r="M23" s="28">
        <v>0</v>
      </c>
      <c r="N23" s="28">
        <v>0</v>
      </c>
      <c r="O23" s="18">
        <f t="shared" si="0"/>
        <v>0</v>
      </c>
    </row>
    <row r="24" spans="1:15" ht="15" hidden="1" customHeight="1" x14ac:dyDescent="0.2">
      <c r="A24" s="879"/>
      <c r="B24" s="19" t="s">
        <v>134</v>
      </c>
      <c r="C24" s="28">
        <v>0</v>
      </c>
      <c r="D24" s="28">
        <v>0</v>
      </c>
      <c r="E24" s="28">
        <v>0</v>
      </c>
      <c r="F24" s="28">
        <v>0</v>
      </c>
      <c r="G24" s="28">
        <v>0</v>
      </c>
      <c r="H24" s="28">
        <v>0</v>
      </c>
      <c r="I24" s="28">
        <v>0</v>
      </c>
      <c r="J24" s="28">
        <v>0</v>
      </c>
      <c r="K24" s="28">
        <v>0</v>
      </c>
      <c r="L24" s="28">
        <v>0</v>
      </c>
      <c r="M24" s="28">
        <v>0</v>
      </c>
      <c r="N24" s="28">
        <v>0</v>
      </c>
      <c r="O24" s="18">
        <f t="shared" si="0"/>
        <v>0</v>
      </c>
    </row>
    <row r="25" spans="1:15" ht="15" hidden="1" customHeight="1" x14ac:dyDescent="0.2">
      <c r="A25" s="879"/>
      <c r="B25" s="19" t="s">
        <v>135</v>
      </c>
      <c r="C25" s="28">
        <v>0</v>
      </c>
      <c r="D25" s="28">
        <v>0</v>
      </c>
      <c r="E25" s="28">
        <v>0</v>
      </c>
      <c r="F25" s="28">
        <v>0</v>
      </c>
      <c r="G25" s="28">
        <v>0</v>
      </c>
      <c r="H25" s="28">
        <v>0</v>
      </c>
      <c r="I25" s="28">
        <v>0</v>
      </c>
      <c r="J25" s="28">
        <v>0</v>
      </c>
      <c r="K25" s="28">
        <v>0</v>
      </c>
      <c r="L25" s="28">
        <v>0</v>
      </c>
      <c r="M25" s="28">
        <v>0</v>
      </c>
      <c r="N25" s="28">
        <v>0</v>
      </c>
      <c r="O25" s="18">
        <f t="shared" si="0"/>
        <v>0</v>
      </c>
    </row>
    <row r="26" spans="1:15" ht="15" hidden="1" customHeight="1" x14ac:dyDescent="0.2">
      <c r="A26" s="879"/>
      <c r="B26" s="19" t="s">
        <v>136</v>
      </c>
      <c r="C26" s="28">
        <v>0</v>
      </c>
      <c r="D26" s="28">
        <v>0</v>
      </c>
      <c r="E26" s="28">
        <v>0</v>
      </c>
      <c r="F26" s="28">
        <v>0</v>
      </c>
      <c r="G26" s="28">
        <v>0</v>
      </c>
      <c r="H26" s="28">
        <v>0</v>
      </c>
      <c r="I26" s="28">
        <v>0</v>
      </c>
      <c r="J26" s="28">
        <v>0</v>
      </c>
      <c r="K26" s="28">
        <v>0</v>
      </c>
      <c r="L26" s="28">
        <v>0</v>
      </c>
      <c r="M26" s="28">
        <v>0</v>
      </c>
      <c r="N26" s="28">
        <v>0</v>
      </c>
      <c r="O26" s="18">
        <f t="shared" si="0"/>
        <v>0</v>
      </c>
    </row>
    <row r="27" spans="1:15" ht="15" hidden="1" customHeight="1" x14ac:dyDescent="0.2">
      <c r="A27" s="879"/>
      <c r="B27" s="19" t="s">
        <v>137</v>
      </c>
      <c r="C27" s="28">
        <v>0</v>
      </c>
      <c r="D27" s="28">
        <v>0</v>
      </c>
      <c r="E27" s="28">
        <v>0</v>
      </c>
      <c r="F27" s="28">
        <v>0</v>
      </c>
      <c r="G27" s="28">
        <v>0</v>
      </c>
      <c r="H27" s="28">
        <v>0</v>
      </c>
      <c r="I27" s="28">
        <v>0</v>
      </c>
      <c r="J27" s="28">
        <v>0</v>
      </c>
      <c r="K27" s="28">
        <v>0</v>
      </c>
      <c r="L27" s="28">
        <v>0</v>
      </c>
      <c r="M27" s="28">
        <v>0</v>
      </c>
      <c r="N27" s="28">
        <v>0</v>
      </c>
      <c r="O27" s="18">
        <f t="shared" si="0"/>
        <v>0</v>
      </c>
    </row>
    <row r="28" spans="1:15" ht="15" hidden="1" customHeight="1" x14ac:dyDescent="0.2">
      <c r="A28" s="879"/>
      <c r="B28" s="19" t="s">
        <v>138</v>
      </c>
      <c r="C28" s="28">
        <v>0</v>
      </c>
      <c r="D28" s="28">
        <v>0</v>
      </c>
      <c r="E28" s="28">
        <v>0</v>
      </c>
      <c r="F28" s="28">
        <v>0</v>
      </c>
      <c r="G28" s="28">
        <v>0</v>
      </c>
      <c r="H28" s="28">
        <v>0</v>
      </c>
      <c r="I28" s="28">
        <v>0</v>
      </c>
      <c r="J28" s="28">
        <v>0</v>
      </c>
      <c r="K28" s="28">
        <v>0</v>
      </c>
      <c r="L28" s="28">
        <v>0</v>
      </c>
      <c r="M28" s="28">
        <v>0</v>
      </c>
      <c r="N28" s="28">
        <v>0</v>
      </c>
      <c r="O28" s="18">
        <f t="shared" si="0"/>
        <v>0</v>
      </c>
    </row>
    <row r="29" spans="1:15" ht="15" hidden="1" customHeight="1" x14ac:dyDescent="0.2">
      <c r="A29" s="879"/>
      <c r="B29" s="19" t="s">
        <v>139</v>
      </c>
      <c r="C29" s="28">
        <v>0</v>
      </c>
      <c r="D29" s="28">
        <v>0</v>
      </c>
      <c r="E29" s="28">
        <v>0</v>
      </c>
      <c r="F29" s="28">
        <v>0</v>
      </c>
      <c r="G29" s="28">
        <v>0</v>
      </c>
      <c r="H29" s="28">
        <v>0</v>
      </c>
      <c r="I29" s="28">
        <v>0</v>
      </c>
      <c r="J29" s="28">
        <v>0</v>
      </c>
      <c r="K29" s="28">
        <v>0</v>
      </c>
      <c r="L29" s="28">
        <v>0</v>
      </c>
      <c r="M29" s="28">
        <v>0</v>
      </c>
      <c r="N29" s="28">
        <v>0</v>
      </c>
      <c r="O29" s="18">
        <f t="shared" si="0"/>
        <v>0</v>
      </c>
    </row>
    <row r="30" spans="1:15" ht="15" hidden="1" customHeight="1" x14ac:dyDescent="0.2">
      <c r="A30" s="879"/>
      <c r="B30" s="19" t="s">
        <v>140</v>
      </c>
      <c r="C30" s="28">
        <v>0</v>
      </c>
      <c r="D30" s="28">
        <v>0</v>
      </c>
      <c r="E30" s="28">
        <v>0</v>
      </c>
      <c r="F30" s="28">
        <v>0</v>
      </c>
      <c r="G30" s="28">
        <v>0</v>
      </c>
      <c r="H30" s="28">
        <v>0</v>
      </c>
      <c r="I30" s="28">
        <v>0</v>
      </c>
      <c r="J30" s="28">
        <v>0</v>
      </c>
      <c r="K30" s="28">
        <v>0</v>
      </c>
      <c r="L30" s="28">
        <v>0</v>
      </c>
      <c r="M30" s="28">
        <v>0</v>
      </c>
      <c r="N30" s="28">
        <v>0</v>
      </c>
      <c r="O30" s="18">
        <f t="shared" si="0"/>
        <v>0</v>
      </c>
    </row>
    <row r="31" spans="1:15" ht="15" hidden="1" customHeight="1" x14ac:dyDescent="0.2">
      <c r="A31" s="879"/>
      <c r="B31" s="19" t="s">
        <v>225</v>
      </c>
      <c r="C31" s="28">
        <v>0</v>
      </c>
      <c r="D31" s="28">
        <v>0</v>
      </c>
      <c r="E31" s="28">
        <v>0</v>
      </c>
      <c r="F31" s="28">
        <v>0</v>
      </c>
      <c r="G31" s="28">
        <v>0</v>
      </c>
      <c r="H31" s="28">
        <v>0</v>
      </c>
      <c r="I31" s="28">
        <v>0</v>
      </c>
      <c r="J31" s="28">
        <v>0</v>
      </c>
      <c r="K31" s="28">
        <v>0</v>
      </c>
      <c r="L31" s="28">
        <v>0</v>
      </c>
      <c r="M31" s="28">
        <v>0</v>
      </c>
      <c r="N31" s="28">
        <v>0</v>
      </c>
      <c r="O31" s="18">
        <f t="shared" si="0"/>
        <v>0</v>
      </c>
    </row>
    <row r="32" spans="1:15" ht="15" customHeight="1" x14ac:dyDescent="0.2">
      <c r="A32" s="879"/>
      <c r="B32" s="21" t="s">
        <v>142</v>
      </c>
      <c r="C32" s="28">
        <v>0</v>
      </c>
      <c r="D32" s="28">
        <v>0</v>
      </c>
      <c r="E32" s="28">
        <v>0</v>
      </c>
      <c r="F32" s="28">
        <v>0</v>
      </c>
      <c r="G32" s="28">
        <v>0</v>
      </c>
      <c r="H32" s="28">
        <v>0</v>
      </c>
      <c r="I32" s="28">
        <v>67706</v>
      </c>
      <c r="J32" s="28">
        <v>0</v>
      </c>
      <c r="K32" s="28">
        <v>0</v>
      </c>
      <c r="L32" s="28">
        <v>0</v>
      </c>
      <c r="M32" s="28">
        <v>0</v>
      </c>
      <c r="N32" s="28">
        <v>0</v>
      </c>
      <c r="O32" s="18">
        <f t="shared" si="0"/>
        <v>67706</v>
      </c>
    </row>
    <row r="33" spans="1:16" ht="15" customHeight="1" x14ac:dyDescent="0.2">
      <c r="A33" s="880"/>
      <c r="B33" s="167" t="s">
        <v>246</v>
      </c>
      <c r="C33" s="28">
        <v>0</v>
      </c>
      <c r="D33" s="28">
        <v>0</v>
      </c>
      <c r="E33" s="28">
        <v>0</v>
      </c>
      <c r="F33" s="28">
        <v>0</v>
      </c>
      <c r="G33" s="28">
        <v>0</v>
      </c>
      <c r="H33" s="28">
        <v>0</v>
      </c>
      <c r="I33" s="28">
        <v>0</v>
      </c>
      <c r="J33" s="28">
        <v>0</v>
      </c>
      <c r="K33" s="28">
        <v>0</v>
      </c>
      <c r="L33" s="28">
        <v>0</v>
      </c>
      <c r="M33" s="28">
        <v>0</v>
      </c>
      <c r="N33" s="28">
        <v>0</v>
      </c>
      <c r="O33" s="18">
        <f t="shared" si="0"/>
        <v>0</v>
      </c>
    </row>
    <row r="34" spans="1:16" ht="15" customHeight="1" x14ac:dyDescent="0.2">
      <c r="A34" s="219"/>
      <c r="B34" s="220" t="s">
        <v>144</v>
      </c>
      <c r="C34" s="28">
        <v>0</v>
      </c>
      <c r="D34" s="28">
        <v>0</v>
      </c>
      <c r="E34" s="28">
        <v>0</v>
      </c>
      <c r="F34" s="28">
        <v>0</v>
      </c>
      <c r="G34" s="28">
        <v>0</v>
      </c>
      <c r="H34" s="28">
        <v>0</v>
      </c>
      <c r="I34" s="28">
        <v>0</v>
      </c>
      <c r="J34" s="28">
        <v>0</v>
      </c>
      <c r="K34" s="28">
        <v>0</v>
      </c>
      <c r="L34" s="28">
        <v>0</v>
      </c>
      <c r="M34" s="28">
        <v>0</v>
      </c>
      <c r="N34" s="28">
        <v>0</v>
      </c>
      <c r="O34" s="18">
        <f t="shared" si="0"/>
        <v>0</v>
      </c>
    </row>
    <row r="35" spans="1:16" ht="15" customHeight="1" x14ac:dyDescent="0.2">
      <c r="A35" s="865" t="s">
        <v>145</v>
      </c>
      <c r="B35" s="866"/>
      <c r="C35" s="28">
        <v>0</v>
      </c>
      <c r="D35" s="28">
        <v>432</v>
      </c>
      <c r="E35" s="28">
        <v>0</v>
      </c>
      <c r="F35" s="28">
        <v>0</v>
      </c>
      <c r="G35" s="28">
        <v>0</v>
      </c>
      <c r="H35" s="28">
        <v>0</v>
      </c>
      <c r="I35" s="28">
        <v>0</v>
      </c>
      <c r="J35" s="28">
        <v>432</v>
      </c>
      <c r="K35" s="28">
        <v>0</v>
      </c>
      <c r="L35" s="28">
        <v>0</v>
      </c>
      <c r="M35" s="28">
        <v>0</v>
      </c>
      <c r="N35" s="28">
        <v>0</v>
      </c>
      <c r="O35" s="18">
        <f t="shared" si="0"/>
        <v>864</v>
      </c>
    </row>
    <row r="36" spans="1:16" ht="15" customHeight="1" x14ac:dyDescent="0.2">
      <c r="A36" s="865" t="s">
        <v>146</v>
      </c>
      <c r="B36" s="866"/>
      <c r="C36" s="28">
        <v>0</v>
      </c>
      <c r="D36" s="28">
        <v>5304</v>
      </c>
      <c r="E36" s="28">
        <v>0</v>
      </c>
      <c r="F36" s="28">
        <v>0</v>
      </c>
      <c r="G36" s="28">
        <v>0</v>
      </c>
      <c r="H36" s="28">
        <v>0</v>
      </c>
      <c r="I36" s="28">
        <v>0</v>
      </c>
      <c r="J36" s="28">
        <v>5466</v>
      </c>
      <c r="K36" s="28">
        <v>0</v>
      </c>
      <c r="L36" s="28">
        <v>0</v>
      </c>
      <c r="M36" s="28">
        <v>0</v>
      </c>
      <c r="N36" s="28">
        <v>0</v>
      </c>
      <c r="O36" s="18">
        <f t="shared" si="0"/>
        <v>10770</v>
      </c>
    </row>
    <row r="37" spans="1:16" ht="15" customHeight="1" x14ac:dyDescent="0.2">
      <c r="A37" s="22"/>
      <c r="B37" s="23" t="s">
        <v>147</v>
      </c>
      <c r="C37" s="24">
        <f>SUM(C9:C36)</f>
        <v>100380</v>
      </c>
      <c r="D37" s="24">
        <f t="shared" ref="D37:N37" si="1">SUM(D9:D36)</f>
        <v>108028</v>
      </c>
      <c r="E37" s="24">
        <f t="shared" si="1"/>
        <v>102292</v>
      </c>
      <c r="F37" s="24">
        <f t="shared" si="1"/>
        <v>102292</v>
      </c>
      <c r="G37" s="24">
        <f t="shared" si="1"/>
        <v>105181</v>
      </c>
      <c r="H37" s="24">
        <f t="shared" si="1"/>
        <v>105181</v>
      </c>
      <c r="I37" s="24">
        <f t="shared" si="1"/>
        <v>172887</v>
      </c>
      <c r="J37" s="24">
        <f t="shared" si="1"/>
        <v>113045</v>
      </c>
      <c r="K37" s="24">
        <f t="shared" si="1"/>
        <v>107147</v>
      </c>
      <c r="L37" s="24">
        <f t="shared" si="1"/>
        <v>107147</v>
      </c>
      <c r="M37" s="24">
        <f t="shared" si="1"/>
        <v>107147</v>
      </c>
      <c r="N37" s="24">
        <f t="shared" si="1"/>
        <v>107147</v>
      </c>
      <c r="O37" s="25">
        <f t="shared" ref="O37:O50" si="2">SUM(C37:N37)</f>
        <v>1337874</v>
      </c>
    </row>
    <row r="38" spans="1:16" ht="15" customHeight="1" x14ac:dyDescent="0.2">
      <c r="A38" s="853" t="s">
        <v>148</v>
      </c>
      <c r="B38" s="27" t="s">
        <v>149</v>
      </c>
      <c r="C38" s="147">
        <v>10400</v>
      </c>
      <c r="D38" s="147">
        <v>10000</v>
      </c>
      <c r="E38" s="147">
        <v>10000</v>
      </c>
      <c r="F38" s="147">
        <v>10000</v>
      </c>
      <c r="G38" s="147">
        <v>10000</v>
      </c>
      <c r="H38" s="147">
        <v>10000</v>
      </c>
      <c r="I38" s="147">
        <v>16770</v>
      </c>
      <c r="J38" s="147">
        <v>10000</v>
      </c>
      <c r="K38" s="147">
        <v>20000</v>
      </c>
      <c r="L38" s="147">
        <v>19750</v>
      </c>
      <c r="M38" s="147">
        <v>19750</v>
      </c>
      <c r="N38" s="147">
        <v>19750</v>
      </c>
      <c r="O38" s="18">
        <f t="shared" si="2"/>
        <v>166420</v>
      </c>
      <c r="P38" s="29"/>
    </row>
    <row r="39" spans="1:16" ht="15" customHeight="1" x14ac:dyDescent="0.2">
      <c r="A39" s="854"/>
      <c r="B39" s="27" t="s">
        <v>150</v>
      </c>
      <c r="C39" s="147">
        <v>0</v>
      </c>
      <c r="D39" s="147">
        <v>0</v>
      </c>
      <c r="E39" s="147">
        <v>0</v>
      </c>
      <c r="F39" s="147">
        <v>0</v>
      </c>
      <c r="G39" s="147">
        <v>0</v>
      </c>
      <c r="H39" s="147">
        <v>0</v>
      </c>
      <c r="I39" s="147">
        <v>0</v>
      </c>
      <c r="J39" s="147">
        <v>0</v>
      </c>
      <c r="K39" s="147">
        <v>0</v>
      </c>
      <c r="L39" s="147">
        <v>0</v>
      </c>
      <c r="M39" s="147">
        <v>0</v>
      </c>
      <c r="N39" s="147">
        <v>0</v>
      </c>
      <c r="O39" s="18">
        <f t="shared" si="2"/>
        <v>0</v>
      </c>
    </row>
    <row r="40" spans="1:16" ht="15" customHeight="1" x14ac:dyDescent="0.2">
      <c r="A40" s="854"/>
      <c r="B40" s="27" t="s">
        <v>151</v>
      </c>
      <c r="C40" s="147">
        <v>60</v>
      </c>
      <c r="D40" s="147">
        <v>60</v>
      </c>
      <c r="E40" s="147">
        <v>60</v>
      </c>
      <c r="F40" s="147">
        <v>60</v>
      </c>
      <c r="G40" s="147">
        <v>60</v>
      </c>
      <c r="H40" s="147">
        <v>60</v>
      </c>
      <c r="I40" s="147">
        <v>60</v>
      </c>
      <c r="J40" s="147">
        <v>60</v>
      </c>
      <c r="K40" s="147">
        <v>60</v>
      </c>
      <c r="L40" s="147">
        <v>60</v>
      </c>
      <c r="M40" s="147">
        <v>60</v>
      </c>
      <c r="N40" s="147">
        <v>60</v>
      </c>
      <c r="O40" s="18">
        <f t="shared" si="2"/>
        <v>720</v>
      </c>
    </row>
    <row r="41" spans="1:16" ht="15" customHeight="1" x14ac:dyDescent="0.2">
      <c r="A41" s="854"/>
      <c r="B41" s="27" t="s">
        <v>152</v>
      </c>
      <c r="C41" s="147">
        <v>0</v>
      </c>
      <c r="D41" s="147">
        <v>0</v>
      </c>
      <c r="E41" s="147">
        <v>0</v>
      </c>
      <c r="F41" s="147">
        <v>0</v>
      </c>
      <c r="G41" s="147">
        <v>0</v>
      </c>
      <c r="H41" s="147">
        <v>0</v>
      </c>
      <c r="I41" s="147">
        <v>0</v>
      </c>
      <c r="J41" s="147">
        <v>0</v>
      </c>
      <c r="K41" s="147">
        <v>0</v>
      </c>
      <c r="L41" s="147">
        <v>0</v>
      </c>
      <c r="M41" s="147">
        <v>0</v>
      </c>
      <c r="N41" s="147">
        <v>0</v>
      </c>
      <c r="O41" s="18">
        <f t="shared" si="2"/>
        <v>0</v>
      </c>
    </row>
    <row r="42" spans="1:16" ht="15" customHeight="1" x14ac:dyDescent="0.2">
      <c r="A42" s="854"/>
      <c r="B42" s="27" t="s">
        <v>153</v>
      </c>
      <c r="C42" s="28">
        <v>650</v>
      </c>
      <c r="D42" s="28">
        <v>650</v>
      </c>
      <c r="E42" s="28">
        <v>650</v>
      </c>
      <c r="F42" s="28">
        <v>650</v>
      </c>
      <c r="G42" s="28">
        <v>650</v>
      </c>
      <c r="H42" s="28">
        <v>650</v>
      </c>
      <c r="I42" s="28">
        <v>650</v>
      </c>
      <c r="J42" s="28">
        <v>650</v>
      </c>
      <c r="K42" s="28">
        <v>650</v>
      </c>
      <c r="L42" s="28">
        <v>650</v>
      </c>
      <c r="M42" s="28">
        <v>650</v>
      </c>
      <c r="N42" s="28">
        <v>650</v>
      </c>
      <c r="O42" s="18">
        <f t="shared" si="2"/>
        <v>7800</v>
      </c>
    </row>
    <row r="43" spans="1:16" ht="15" customHeight="1" x14ac:dyDescent="0.2">
      <c r="A43" s="854"/>
      <c r="B43" s="27" t="s">
        <v>818</v>
      </c>
      <c r="C43" s="28">
        <v>20000</v>
      </c>
      <c r="D43" s="28">
        <v>20000</v>
      </c>
      <c r="E43" s="28">
        <v>20000</v>
      </c>
      <c r="F43" s="28">
        <v>20000</v>
      </c>
      <c r="G43" s="28">
        <v>20000</v>
      </c>
      <c r="H43" s="28">
        <v>20000</v>
      </c>
      <c r="I43" s="28">
        <v>20000</v>
      </c>
      <c r="J43" s="28">
        <v>20000</v>
      </c>
      <c r="K43" s="28">
        <v>20000</v>
      </c>
      <c r="L43" s="28">
        <v>20000</v>
      </c>
      <c r="M43" s="28">
        <v>20000</v>
      </c>
      <c r="N43" s="28">
        <v>20000</v>
      </c>
      <c r="O43" s="18">
        <f t="shared" si="2"/>
        <v>240000</v>
      </c>
    </row>
    <row r="44" spans="1:16" ht="15" customHeight="1" x14ac:dyDescent="0.2">
      <c r="A44" s="854"/>
      <c r="B44" s="27" t="s">
        <v>155</v>
      </c>
      <c r="C44" s="28">
        <v>200</v>
      </c>
      <c r="D44" s="28">
        <v>200</v>
      </c>
      <c r="E44" s="28">
        <v>200</v>
      </c>
      <c r="F44" s="28">
        <v>200</v>
      </c>
      <c r="G44" s="28">
        <v>200</v>
      </c>
      <c r="H44" s="28">
        <v>200</v>
      </c>
      <c r="I44" s="28">
        <v>200</v>
      </c>
      <c r="J44" s="28">
        <v>200</v>
      </c>
      <c r="K44" s="28">
        <v>200</v>
      </c>
      <c r="L44" s="28">
        <v>200</v>
      </c>
      <c r="M44" s="28">
        <v>200</v>
      </c>
      <c r="N44" s="28">
        <v>300</v>
      </c>
      <c r="O44" s="18">
        <f t="shared" si="2"/>
        <v>2500</v>
      </c>
    </row>
    <row r="45" spans="1:16" ht="15" customHeight="1" x14ac:dyDescent="0.2">
      <c r="A45" s="854"/>
      <c r="B45" s="27" t="s">
        <v>819</v>
      </c>
      <c r="C45" s="28">
        <v>713</v>
      </c>
      <c r="D45" s="28">
        <v>713</v>
      </c>
      <c r="E45" s="28">
        <v>713</v>
      </c>
      <c r="F45" s="28">
        <v>713</v>
      </c>
      <c r="G45" s="28">
        <v>713</v>
      </c>
      <c r="H45" s="28">
        <v>713</v>
      </c>
      <c r="I45" s="28">
        <v>713</v>
      </c>
      <c r="J45" s="28">
        <v>713</v>
      </c>
      <c r="K45" s="28">
        <v>713</v>
      </c>
      <c r="L45" s="28">
        <v>713</v>
      </c>
      <c r="M45" s="28">
        <v>713</v>
      </c>
      <c r="N45" s="28">
        <v>713</v>
      </c>
      <c r="O45" s="18">
        <f t="shared" si="2"/>
        <v>8556</v>
      </c>
    </row>
    <row r="46" spans="1:16" ht="15" customHeight="1" x14ac:dyDescent="0.2">
      <c r="A46" s="854"/>
      <c r="B46" s="27" t="s">
        <v>157</v>
      </c>
      <c r="C46" s="28">
        <v>0</v>
      </c>
      <c r="D46" s="28">
        <v>0</v>
      </c>
      <c r="E46" s="28">
        <v>0</v>
      </c>
      <c r="F46" s="28">
        <f t="shared" ref="F46:N46" si="3">+E46</f>
        <v>0</v>
      </c>
      <c r="G46" s="28">
        <f t="shared" si="3"/>
        <v>0</v>
      </c>
      <c r="H46" s="28">
        <f t="shared" si="3"/>
        <v>0</v>
      </c>
      <c r="I46" s="28">
        <f t="shared" si="3"/>
        <v>0</v>
      </c>
      <c r="J46" s="28">
        <v>0</v>
      </c>
      <c r="K46" s="28">
        <v>0</v>
      </c>
      <c r="L46" s="28">
        <f t="shared" si="3"/>
        <v>0</v>
      </c>
      <c r="M46" s="28">
        <f t="shared" si="3"/>
        <v>0</v>
      </c>
      <c r="N46" s="28">
        <f t="shared" si="3"/>
        <v>0</v>
      </c>
      <c r="O46" s="18">
        <f t="shared" si="2"/>
        <v>0</v>
      </c>
    </row>
    <row r="47" spans="1:16" ht="27" customHeight="1" x14ac:dyDescent="0.2">
      <c r="A47" s="855"/>
      <c r="B47" s="302" t="s">
        <v>158</v>
      </c>
      <c r="C47" s="256">
        <v>756</v>
      </c>
      <c r="D47" s="256">
        <v>756</v>
      </c>
      <c r="E47" s="256">
        <v>756</v>
      </c>
      <c r="F47" s="256">
        <v>756</v>
      </c>
      <c r="G47" s="256">
        <v>756</v>
      </c>
      <c r="H47" s="256">
        <v>756</v>
      </c>
      <c r="I47" s="256">
        <v>756</v>
      </c>
      <c r="J47" s="256">
        <v>756</v>
      </c>
      <c r="K47" s="256">
        <v>756</v>
      </c>
      <c r="L47" s="256">
        <v>756</v>
      </c>
      <c r="M47" s="256">
        <v>756</v>
      </c>
      <c r="N47" s="256">
        <v>756</v>
      </c>
      <c r="O47" s="31">
        <f t="shared" si="2"/>
        <v>9072</v>
      </c>
    </row>
    <row r="48" spans="1:16" ht="15.75" customHeight="1" x14ac:dyDescent="0.2">
      <c r="A48" s="856"/>
      <c r="B48" s="303" t="s">
        <v>801</v>
      </c>
      <c r="C48" s="293">
        <v>0</v>
      </c>
      <c r="D48" s="293">
        <v>0</v>
      </c>
      <c r="E48" s="293">
        <v>0</v>
      </c>
      <c r="F48" s="293">
        <v>0</v>
      </c>
      <c r="G48" s="293">
        <v>0</v>
      </c>
      <c r="H48" s="293">
        <v>0</v>
      </c>
      <c r="I48" s="293">
        <v>0</v>
      </c>
      <c r="J48" s="293">
        <v>0</v>
      </c>
      <c r="K48" s="293">
        <v>0</v>
      </c>
      <c r="L48" s="293">
        <v>0</v>
      </c>
      <c r="M48" s="293">
        <v>0</v>
      </c>
      <c r="N48" s="293">
        <v>0</v>
      </c>
      <c r="O48" s="31">
        <f t="shared" si="2"/>
        <v>0</v>
      </c>
    </row>
    <row r="49" spans="1:18" ht="15" x14ac:dyDescent="0.2">
      <c r="A49" s="857" t="s">
        <v>160</v>
      </c>
      <c r="B49" s="858"/>
      <c r="C49" s="33">
        <f t="shared" ref="C49:N49" si="4">SUM(C38:C48)</f>
        <v>32779</v>
      </c>
      <c r="D49" s="33">
        <f t="shared" si="4"/>
        <v>32379</v>
      </c>
      <c r="E49" s="33">
        <f t="shared" si="4"/>
        <v>32379</v>
      </c>
      <c r="F49" s="33">
        <f t="shared" si="4"/>
        <v>32379</v>
      </c>
      <c r="G49" s="33">
        <f t="shared" si="4"/>
        <v>32379</v>
      </c>
      <c r="H49" s="33">
        <f t="shared" si="4"/>
        <v>32379</v>
      </c>
      <c r="I49" s="33">
        <f t="shared" si="4"/>
        <v>39149</v>
      </c>
      <c r="J49" s="33">
        <f t="shared" si="4"/>
        <v>32379</v>
      </c>
      <c r="K49" s="33">
        <f t="shared" si="4"/>
        <v>42379</v>
      </c>
      <c r="L49" s="33">
        <f t="shared" si="4"/>
        <v>42129</v>
      </c>
      <c r="M49" s="33">
        <f t="shared" si="4"/>
        <v>42129</v>
      </c>
      <c r="N49" s="33">
        <f t="shared" si="4"/>
        <v>42229</v>
      </c>
      <c r="O49" s="34">
        <f t="shared" si="2"/>
        <v>435068</v>
      </c>
    </row>
    <row r="50" spans="1:18" ht="15.75" thickBot="1" x14ac:dyDescent="0.25">
      <c r="A50" s="859" t="s">
        <v>161</v>
      </c>
      <c r="B50" s="860"/>
      <c r="C50" s="35">
        <f t="shared" ref="C50:N50" si="5">C37-C49</f>
        <v>67601</v>
      </c>
      <c r="D50" s="35">
        <f t="shared" si="5"/>
        <v>75649</v>
      </c>
      <c r="E50" s="35">
        <f t="shared" si="5"/>
        <v>69913</v>
      </c>
      <c r="F50" s="35">
        <f t="shared" si="5"/>
        <v>69913</v>
      </c>
      <c r="G50" s="35">
        <f t="shared" si="5"/>
        <v>72802</v>
      </c>
      <c r="H50" s="35">
        <f t="shared" si="5"/>
        <v>72802</v>
      </c>
      <c r="I50" s="35">
        <f t="shared" si="5"/>
        <v>133738</v>
      </c>
      <c r="J50" s="35">
        <f t="shared" si="5"/>
        <v>80666</v>
      </c>
      <c r="K50" s="35">
        <f t="shared" si="5"/>
        <v>64768</v>
      </c>
      <c r="L50" s="35">
        <f t="shared" si="5"/>
        <v>65018</v>
      </c>
      <c r="M50" s="35">
        <f t="shared" si="5"/>
        <v>65018</v>
      </c>
      <c r="N50" s="35">
        <f t="shared" si="5"/>
        <v>64918</v>
      </c>
      <c r="O50" s="36">
        <f t="shared" si="2"/>
        <v>902806</v>
      </c>
      <c r="R50" s="304"/>
    </row>
    <row r="51" spans="1:18" x14ac:dyDescent="0.2">
      <c r="J51" s="300">
        <f>+J37-SUM(J22:J36)</f>
        <v>107147</v>
      </c>
      <c r="Q51" s="38"/>
    </row>
    <row r="52" spans="1:18" ht="13.5" thickBot="1" x14ac:dyDescent="0.25">
      <c r="J52" s="38">
        <f>+J51-J49</f>
        <v>74768</v>
      </c>
      <c r="Q52" s="38"/>
    </row>
    <row r="53" spans="1:18" ht="13.5" thickBot="1" x14ac:dyDescent="0.25">
      <c r="B53" s="789" t="s">
        <v>162</v>
      </c>
      <c r="C53" s="861"/>
      <c r="D53" s="861"/>
      <c r="E53" s="861"/>
      <c r="F53" s="862"/>
      <c r="G53" s="863">
        <f>O37</f>
        <v>1337874</v>
      </c>
      <c r="H53" s="864"/>
    </row>
    <row r="54" spans="1:18" ht="13.5" thickBot="1" x14ac:dyDescent="0.25"/>
    <row r="55" spans="1:18" x14ac:dyDescent="0.2">
      <c r="B55" s="830" t="s">
        <v>163</v>
      </c>
      <c r="C55" s="833" t="s">
        <v>164</v>
      </c>
      <c r="D55" s="836" t="s">
        <v>1673</v>
      </c>
      <c r="E55" s="837"/>
      <c r="F55" s="838"/>
      <c r="G55" s="839">
        <v>40000</v>
      </c>
      <c r="H55" s="840"/>
    </row>
    <row r="56" spans="1:18" x14ac:dyDescent="0.2">
      <c r="B56" s="831"/>
      <c r="C56" s="834"/>
      <c r="D56" s="841" t="s">
        <v>166</v>
      </c>
      <c r="E56" s="842"/>
      <c r="F56" s="843"/>
      <c r="G56" s="844">
        <f>+O44</f>
        <v>2500</v>
      </c>
      <c r="H56" s="845"/>
      <c r="I56" s="39"/>
      <c r="J56" s="846"/>
      <c r="K56" s="846"/>
      <c r="L56" s="846"/>
      <c r="M56" s="847"/>
      <c r="N56" s="847"/>
      <c r="O56" s="847"/>
    </row>
    <row r="57" spans="1:18" ht="13.5" thickBot="1" x14ac:dyDescent="0.25">
      <c r="B57" s="832"/>
      <c r="C57" s="835"/>
      <c r="D57" s="848" t="s">
        <v>129</v>
      </c>
      <c r="E57" s="849"/>
      <c r="F57" s="850"/>
      <c r="G57" s="851">
        <v>0</v>
      </c>
      <c r="H57" s="852"/>
      <c r="J57" s="47"/>
      <c r="K57" s="47"/>
      <c r="L57" s="47"/>
      <c r="M57" s="47"/>
      <c r="N57" s="47"/>
      <c r="O57" s="47"/>
    </row>
    <row r="58" spans="1:18" ht="13.5" thickBot="1" x14ac:dyDescent="0.25">
      <c r="B58" s="48"/>
      <c r="J58" s="47"/>
      <c r="K58" s="47"/>
      <c r="L58" s="47"/>
      <c r="M58" s="47"/>
      <c r="N58" s="47"/>
      <c r="O58" s="47"/>
    </row>
    <row r="59" spans="1:18" ht="13.5" thickBot="1" x14ac:dyDescent="0.25">
      <c r="B59" s="789" t="s">
        <v>168</v>
      </c>
      <c r="C59" s="790"/>
      <c r="D59" s="790"/>
      <c r="E59" s="790"/>
      <c r="F59" s="791"/>
      <c r="G59" s="825">
        <f>+G53-SUM(G55:H57)</f>
        <v>1295374</v>
      </c>
      <c r="H59" s="826"/>
      <c r="J59" s="827" t="s">
        <v>169</v>
      </c>
      <c r="K59" s="828"/>
      <c r="L59" s="828"/>
      <c r="M59" s="828"/>
      <c r="N59" s="828"/>
      <c r="O59" s="829"/>
    </row>
    <row r="60" spans="1:18" ht="13.5" thickBot="1" x14ac:dyDescent="0.25">
      <c r="B60" s="49"/>
      <c r="C60" s="50"/>
      <c r="D60" s="50"/>
      <c r="E60" s="50"/>
      <c r="F60" s="50"/>
      <c r="G60" s="45"/>
      <c r="H60" s="50"/>
      <c r="J60" s="129"/>
      <c r="K60" s="130"/>
      <c r="L60" s="130"/>
      <c r="M60" s="130"/>
      <c r="N60" s="130"/>
      <c r="O60" s="131"/>
    </row>
    <row r="61" spans="1:18" ht="13.5" thickBot="1" x14ac:dyDescent="0.25">
      <c r="B61" s="789" t="s">
        <v>170</v>
      </c>
      <c r="C61" s="790"/>
      <c r="D61" s="790"/>
      <c r="E61" s="790"/>
      <c r="F61" s="791"/>
      <c r="G61" s="805"/>
      <c r="H61" s="791"/>
      <c r="J61" s="129"/>
      <c r="K61" s="130"/>
      <c r="L61" s="130"/>
      <c r="M61" s="130"/>
      <c r="N61" s="130"/>
      <c r="O61" s="131"/>
    </row>
    <row r="62" spans="1:18" ht="12.75" customHeight="1" x14ac:dyDescent="0.2">
      <c r="B62" s="57" t="s">
        <v>171</v>
      </c>
      <c r="C62" s="806" t="s">
        <v>172</v>
      </c>
      <c r="D62" s="807"/>
      <c r="E62" s="807"/>
      <c r="F62" s="808"/>
      <c r="G62" s="809">
        <v>0</v>
      </c>
      <c r="H62" s="809"/>
      <c r="I62" s="58"/>
      <c r="J62" s="810" t="s">
        <v>173</v>
      </c>
      <c r="K62" s="811"/>
      <c r="L62" s="811"/>
      <c r="M62" s="811"/>
      <c r="N62" s="811"/>
      <c r="O62" s="812"/>
      <c r="Q62" s="59"/>
      <c r="R62" s="59"/>
    </row>
    <row r="63" spans="1:18" ht="13.5" thickBot="1" x14ac:dyDescent="0.25">
      <c r="D63" s="37"/>
      <c r="I63" s="58"/>
      <c r="J63" s="60"/>
      <c r="K63" s="132"/>
      <c r="L63" s="132"/>
      <c r="M63" s="133"/>
      <c r="N63" s="133"/>
      <c r="O63" s="134"/>
      <c r="Q63" s="59"/>
      <c r="R63" s="59"/>
    </row>
    <row r="64" spans="1:18" ht="13.5" thickBot="1" x14ac:dyDescent="0.25">
      <c r="B64" s="789" t="s">
        <v>175</v>
      </c>
      <c r="C64" s="790"/>
      <c r="D64" s="790"/>
      <c r="E64" s="790"/>
      <c r="F64" s="791"/>
      <c r="G64" s="805">
        <f>+G59-G62</f>
        <v>1295374</v>
      </c>
      <c r="H64" s="791"/>
      <c r="I64" s="63"/>
      <c r="J64" s="75"/>
      <c r="K64" s="39"/>
      <c r="L64" s="39"/>
      <c r="M64" s="39"/>
      <c r="N64" s="39"/>
      <c r="O64" s="65"/>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7.75" customHeight="1" thickBot="1" x14ac:dyDescent="0.25">
      <c r="B67" s="66"/>
      <c r="C67" s="48"/>
      <c r="G67" s="70" t="s">
        <v>177</v>
      </c>
      <c r="H67" s="70" t="s">
        <v>178</v>
      </c>
      <c r="I67" s="63"/>
      <c r="J67" s="810" t="s">
        <v>179</v>
      </c>
      <c r="K67" s="811"/>
      <c r="L67" s="71"/>
      <c r="M67" s="71"/>
      <c r="N67" s="71"/>
      <c r="O67" s="72"/>
      <c r="Q67" s="59"/>
      <c r="R67" s="59"/>
    </row>
    <row r="68" spans="2:18" ht="12.75" customHeight="1" x14ac:dyDescent="0.2">
      <c r="B68" s="802" t="s">
        <v>180</v>
      </c>
      <c r="C68" s="821" t="s">
        <v>181</v>
      </c>
      <c r="D68" s="823" t="s">
        <v>182</v>
      </c>
      <c r="E68" s="824"/>
      <c r="F68" s="824"/>
      <c r="G68" s="73">
        <f>+O43</f>
        <v>240000</v>
      </c>
      <c r="H68" s="74">
        <f>+G68</f>
        <v>240000</v>
      </c>
      <c r="I68" s="63"/>
      <c r="J68" s="915">
        <v>892034426</v>
      </c>
      <c r="K68" s="916"/>
      <c r="L68" s="58"/>
      <c r="M68" s="58"/>
      <c r="N68" s="58" t="s">
        <v>820</v>
      </c>
      <c r="O68" s="76">
        <v>756</v>
      </c>
      <c r="Q68" s="59"/>
      <c r="R68" s="59"/>
    </row>
    <row r="69" spans="2:18" ht="12.75" customHeight="1" x14ac:dyDescent="0.2">
      <c r="B69" s="803"/>
      <c r="C69" s="822"/>
      <c r="D69" s="782" t="s">
        <v>184</v>
      </c>
      <c r="E69" s="783"/>
      <c r="F69" s="783"/>
      <c r="G69" s="77">
        <f>+O47</f>
        <v>9072</v>
      </c>
      <c r="H69" s="78">
        <f t="shared" ref="H69:H75" si="6">+G69</f>
        <v>9072</v>
      </c>
      <c r="I69" s="63"/>
      <c r="J69" s="915">
        <v>892034427</v>
      </c>
      <c r="K69" s="916"/>
      <c r="L69" s="68"/>
      <c r="M69" s="68"/>
      <c r="N69" s="135" t="s">
        <v>820</v>
      </c>
      <c r="O69" s="136">
        <v>0</v>
      </c>
      <c r="Q69" s="59"/>
      <c r="R69" s="59"/>
    </row>
    <row r="70" spans="2:18" ht="12.75" customHeight="1" x14ac:dyDescent="0.2">
      <c r="B70" s="803"/>
      <c r="C70" s="822"/>
      <c r="D70" s="819" t="s">
        <v>185</v>
      </c>
      <c r="E70" s="820"/>
      <c r="F70" s="820"/>
      <c r="G70" s="80">
        <f>O40</f>
        <v>720</v>
      </c>
      <c r="H70" s="78">
        <f t="shared" si="6"/>
        <v>720</v>
      </c>
      <c r="I70" s="63"/>
      <c r="J70" s="67"/>
      <c r="K70" s="68"/>
      <c r="L70" s="68"/>
      <c r="M70" s="68"/>
      <c r="N70" s="68"/>
      <c r="O70" s="69"/>
    </row>
    <row r="71" spans="2:18" x14ac:dyDescent="0.2">
      <c r="B71" s="803"/>
      <c r="C71" s="822"/>
      <c r="D71" s="782" t="s">
        <v>186</v>
      </c>
      <c r="E71" s="783"/>
      <c r="F71" s="783"/>
      <c r="G71" s="81">
        <v>0</v>
      </c>
      <c r="H71" s="78">
        <f t="shared" si="6"/>
        <v>0</v>
      </c>
      <c r="I71" s="63"/>
      <c r="J71" s="82" t="s">
        <v>187</v>
      </c>
      <c r="K71" s="71"/>
      <c r="L71" s="71"/>
      <c r="M71" s="71"/>
      <c r="N71" s="71"/>
      <c r="O71" s="72"/>
    </row>
    <row r="72" spans="2:18" ht="12.75" customHeight="1" x14ac:dyDescent="0.2">
      <c r="B72" s="803"/>
      <c r="C72" s="822"/>
      <c r="D72" s="784" t="s">
        <v>188</v>
      </c>
      <c r="E72" s="783"/>
      <c r="F72" s="783"/>
      <c r="G72" s="80">
        <v>0</v>
      </c>
      <c r="H72" s="78">
        <f t="shared" si="6"/>
        <v>0</v>
      </c>
      <c r="I72" s="63"/>
      <c r="J72" s="75" t="s">
        <v>189</v>
      </c>
      <c r="K72" s="50"/>
      <c r="L72" s="50"/>
      <c r="M72" s="50"/>
      <c r="N72" s="50"/>
      <c r="O72" s="83">
        <v>7800</v>
      </c>
    </row>
    <row r="73" spans="2:18" ht="14.25" customHeight="1" x14ac:dyDescent="0.2">
      <c r="B73" s="803"/>
      <c r="C73" s="822"/>
      <c r="D73" s="782" t="s">
        <v>190</v>
      </c>
      <c r="E73" s="783"/>
      <c r="F73" s="783"/>
      <c r="G73" s="84">
        <v>0</v>
      </c>
      <c r="H73" s="78">
        <f t="shared" si="6"/>
        <v>0</v>
      </c>
      <c r="I73" s="63"/>
      <c r="J73" s="64"/>
      <c r="K73" s="39"/>
      <c r="L73" s="39"/>
      <c r="M73" s="39"/>
      <c r="N73" s="39"/>
      <c r="O73" s="65"/>
    </row>
    <row r="74" spans="2:18" x14ac:dyDescent="0.2">
      <c r="B74" s="803"/>
      <c r="C74" s="822"/>
      <c r="D74" s="782" t="s">
        <v>191</v>
      </c>
      <c r="E74" s="783"/>
      <c r="F74" s="783"/>
      <c r="G74" s="81">
        <v>0</v>
      </c>
      <c r="H74" s="78">
        <f t="shared" si="6"/>
        <v>0</v>
      </c>
      <c r="I74" s="58"/>
      <c r="J74" s="150"/>
      <c r="K74" s="50"/>
      <c r="L74" s="50"/>
      <c r="M74" s="50"/>
      <c r="N74" s="50"/>
      <c r="O74" s="83"/>
    </row>
    <row r="75" spans="2:18" x14ac:dyDescent="0.2">
      <c r="B75" s="803"/>
      <c r="C75" s="88" t="s">
        <v>192</v>
      </c>
      <c r="D75" s="813" t="s">
        <v>193</v>
      </c>
      <c r="E75" s="814"/>
      <c r="F75" s="814"/>
      <c r="G75" s="80">
        <v>0</v>
      </c>
      <c r="H75" s="78">
        <f t="shared" si="6"/>
        <v>0</v>
      </c>
      <c r="I75" s="58"/>
      <c r="J75" s="79"/>
      <c r="K75" s="39"/>
      <c r="L75" s="39"/>
      <c r="M75" s="39"/>
      <c r="N75" s="39"/>
      <c r="O75" s="65"/>
    </row>
    <row r="76" spans="2:18" ht="13.5" customHeight="1" thickBot="1" x14ac:dyDescent="0.25">
      <c r="B76" s="803"/>
      <c r="C76" s="88" t="s">
        <v>194</v>
      </c>
      <c r="D76" s="815" t="s">
        <v>195</v>
      </c>
      <c r="E76" s="815"/>
      <c r="F76" s="815"/>
      <c r="G76" s="89">
        <v>0</v>
      </c>
      <c r="H76" s="90">
        <f>+G76</f>
        <v>0</v>
      </c>
      <c r="I76" s="63"/>
      <c r="J76" s="67"/>
      <c r="K76" s="68"/>
      <c r="L76" s="68"/>
      <c r="M76" s="91"/>
      <c r="N76" s="91"/>
      <c r="O76" s="92"/>
    </row>
    <row r="77" spans="2:18" ht="13.5" thickBot="1" x14ac:dyDescent="0.25">
      <c r="B77" s="803"/>
      <c r="C77" s="93"/>
      <c r="D77" s="94"/>
      <c r="E77" s="816" t="s">
        <v>117</v>
      </c>
      <c r="F77" s="817"/>
      <c r="G77" s="95">
        <f>SUM(G68:G76)</f>
        <v>249792</v>
      </c>
      <c r="H77" s="96">
        <f>IF(SUM(G68:G74)&lt;150000,SUM(G68:G74),150000)+IF(+G75&lt;20000,+G75,20000)</f>
        <v>150000</v>
      </c>
      <c r="I77" s="63"/>
      <c r="J77" s="140"/>
      <c r="K77" s="141"/>
      <c r="L77" s="141"/>
      <c r="M77" s="142"/>
      <c r="N77" s="142"/>
      <c r="O77" s="143"/>
    </row>
    <row r="78" spans="2:18" ht="12.75" customHeight="1" x14ac:dyDescent="0.2">
      <c r="B78" s="803"/>
      <c r="C78" s="100" t="s">
        <v>196</v>
      </c>
      <c r="D78" s="782" t="s">
        <v>187</v>
      </c>
      <c r="E78" s="783"/>
      <c r="F78" s="818"/>
      <c r="G78" s="73">
        <f>+O42</f>
        <v>7800</v>
      </c>
      <c r="H78" s="221">
        <f>+IF(+G78&lt;25000,+G78,25000)</f>
        <v>7800</v>
      </c>
      <c r="I78" s="87"/>
    </row>
    <row r="79" spans="2:18" x14ac:dyDescent="0.2">
      <c r="B79" s="803"/>
      <c r="C79" s="100" t="s">
        <v>197</v>
      </c>
      <c r="D79" s="784" t="s">
        <v>198</v>
      </c>
      <c r="E79" s="785"/>
      <c r="F79" s="786"/>
      <c r="G79" s="102"/>
      <c r="H79" s="222">
        <f>+IF(+G79&lt;40000,+G79,40000)</f>
        <v>0</v>
      </c>
      <c r="I79" s="63"/>
    </row>
    <row r="80" spans="2:18" x14ac:dyDescent="0.2">
      <c r="B80" s="803"/>
      <c r="C80" s="100" t="s">
        <v>199</v>
      </c>
      <c r="D80" s="784" t="s">
        <v>200</v>
      </c>
      <c r="E80" s="785"/>
      <c r="F80" s="786"/>
      <c r="G80" s="81"/>
      <c r="H80" s="104">
        <v>0</v>
      </c>
      <c r="I80" s="63"/>
      <c r="J80" s="106"/>
    </row>
    <row r="81" spans="2:12" x14ac:dyDescent="0.2">
      <c r="B81" s="803"/>
      <c r="C81" s="100" t="s">
        <v>201</v>
      </c>
      <c r="D81" s="784" t="s">
        <v>202</v>
      </c>
      <c r="E81" s="785"/>
      <c r="F81" s="786"/>
      <c r="G81" s="81"/>
      <c r="H81" s="104">
        <v>0</v>
      </c>
      <c r="I81" s="63"/>
    </row>
    <row r="82" spans="2:12" ht="13.5" thickBot="1" x14ac:dyDescent="0.25">
      <c r="B82" s="804"/>
      <c r="C82" s="100" t="s">
        <v>203</v>
      </c>
      <c r="D82" s="784" t="s">
        <v>204</v>
      </c>
      <c r="E82" s="785"/>
      <c r="F82" s="786"/>
      <c r="G82" s="102"/>
      <c r="H82" s="222">
        <f>+IF(+G82&lt;100000,+G82,10000)</f>
        <v>0</v>
      </c>
      <c r="I82" s="63"/>
    </row>
    <row r="83" spans="2:12" ht="13.5" thickBot="1" x14ac:dyDescent="0.25">
      <c r="B83" s="787" t="s">
        <v>205</v>
      </c>
      <c r="C83" s="788"/>
      <c r="D83" s="788"/>
      <c r="E83" s="788"/>
      <c r="F83" s="788"/>
      <c r="G83" s="107">
        <f>SUM(G78:G82)</f>
        <v>7800</v>
      </c>
      <c r="H83" s="108">
        <f>SUM(H77:H82)</f>
        <v>157800</v>
      </c>
    </row>
    <row r="84" spans="2:12" ht="13.5" thickBot="1" x14ac:dyDescent="0.25"/>
    <row r="85" spans="2:12" ht="13.5" thickBot="1" x14ac:dyDescent="0.25">
      <c r="B85" s="789" t="s">
        <v>206</v>
      </c>
      <c r="C85" s="790"/>
      <c r="D85" s="790"/>
      <c r="E85" s="790"/>
      <c r="F85" s="791"/>
      <c r="G85" s="1055">
        <f>ROUND(+G64-H83,-1)</f>
        <v>1137570</v>
      </c>
      <c r="H85" s="1056"/>
      <c r="J85" s="251">
        <f>C37+D37+E37+F37</f>
        <v>412992</v>
      </c>
      <c r="K85" s="16" t="s">
        <v>235</v>
      </c>
    </row>
    <row r="86" spans="2:12" x14ac:dyDescent="0.2">
      <c r="B86" s="110"/>
      <c r="F86" s="105"/>
      <c r="J86" s="251">
        <f>G37+H37+I37</f>
        <v>383249</v>
      </c>
      <c r="K86" s="16" t="s">
        <v>236</v>
      </c>
      <c r="L86" s="16">
        <f>+J86/3</f>
        <v>127749.66666666667</v>
      </c>
    </row>
    <row r="87" spans="2:12" x14ac:dyDescent="0.2">
      <c r="C87" s="793" t="s">
        <v>207</v>
      </c>
      <c r="D87" s="794"/>
      <c r="E87" s="111" t="s">
        <v>208</v>
      </c>
      <c r="F87" s="111" t="s">
        <v>209</v>
      </c>
      <c r="G87" s="111" t="s">
        <v>210</v>
      </c>
      <c r="H87" s="111" t="s">
        <v>211</v>
      </c>
      <c r="J87" s="251">
        <f>J37+K37+L37</f>
        <v>327339</v>
      </c>
      <c r="K87" s="47" t="s">
        <v>237</v>
      </c>
      <c r="L87" s="16">
        <f>+J87/3</f>
        <v>109113</v>
      </c>
    </row>
    <row r="88" spans="2:12" x14ac:dyDescent="0.2">
      <c r="C88" s="795" t="str">
        <f>IF(I6="M","0          - 250000","0          -  250000")</f>
        <v>0          -  250000</v>
      </c>
      <c r="D88" s="796"/>
      <c r="E88" s="112">
        <v>0</v>
      </c>
      <c r="F88" s="113">
        <f>IF(I6="M",(IF(G85&lt;250000,G85,250000)),(IF(G85&lt;250000,G85,250000)))</f>
        <v>250000</v>
      </c>
      <c r="G88" s="113">
        <f>G85-F88</f>
        <v>887570</v>
      </c>
      <c r="H88" s="113">
        <f>E88*F88</f>
        <v>0</v>
      </c>
      <c r="J88" s="16">
        <f>M37+N37</f>
        <v>214294</v>
      </c>
      <c r="K88" s="1" t="s">
        <v>238</v>
      </c>
      <c r="L88" s="16">
        <f>+J88/2</f>
        <v>107147</v>
      </c>
    </row>
    <row r="89" spans="2:12" x14ac:dyDescent="0.2">
      <c r="C89" s="795" t="str">
        <f>IF(I6="M","250001 - 500000","250001-500000")</f>
        <v>250001-500000</v>
      </c>
      <c r="D89" s="796"/>
      <c r="E89" s="112">
        <v>0.05</v>
      </c>
      <c r="F89" s="113">
        <f>IF(I6="M",(IF(G88&lt;250000,G88,250000)),(IF(G88&lt;250000,G88,250000)))</f>
        <v>250000</v>
      </c>
      <c r="G89" s="113">
        <f>G88-F89</f>
        <v>637570</v>
      </c>
      <c r="H89" s="114">
        <f>ROUND(E89*F89,0.1)</f>
        <v>12500</v>
      </c>
      <c r="J89" s="115">
        <f>SUM(J85:J88)</f>
        <v>1337874</v>
      </c>
    </row>
    <row r="90" spans="2:12" x14ac:dyDescent="0.2">
      <c r="C90" s="797" t="s">
        <v>212</v>
      </c>
      <c r="D90" s="798"/>
      <c r="E90" s="112">
        <v>0.2</v>
      </c>
      <c r="F90" s="113">
        <f>IF(G89&lt;500000,G89,500000)</f>
        <v>500000</v>
      </c>
      <c r="G90" s="113">
        <f>G89-F90</f>
        <v>137570</v>
      </c>
      <c r="H90" s="114">
        <f>ROUND(E90*F90,0.1)</f>
        <v>100000</v>
      </c>
      <c r="J90" s="16">
        <f>+G85</f>
        <v>1137570</v>
      </c>
    </row>
    <row r="91" spans="2:12" x14ac:dyDescent="0.2">
      <c r="C91" s="795" t="s">
        <v>213</v>
      </c>
      <c r="D91" s="796"/>
      <c r="E91" s="112">
        <v>0.3</v>
      </c>
      <c r="F91" s="113">
        <f>G90</f>
        <v>137570</v>
      </c>
      <c r="G91" s="113">
        <f>G90-F91</f>
        <v>0</v>
      </c>
      <c r="H91" s="114">
        <f>ROUND(E91*F91,0.1)</f>
        <v>41271</v>
      </c>
      <c r="J91" s="16">
        <f>+J89-J90</f>
        <v>200304</v>
      </c>
      <c r="K91" s="1"/>
    </row>
    <row r="92" spans="2:12" ht="12.75" customHeight="1" thickBot="1" x14ac:dyDescent="0.25">
      <c r="B92" s="116"/>
      <c r="C92" s="117"/>
      <c r="D92" s="47"/>
      <c r="E92" s="47"/>
      <c r="F92" s="47"/>
      <c r="J92" s="87"/>
      <c r="K92" s="118"/>
    </row>
    <row r="93" spans="2:12" ht="14.25" customHeight="1" thickBot="1" x14ac:dyDescent="0.25">
      <c r="B93" s="799" t="s">
        <v>239</v>
      </c>
      <c r="C93" s="800"/>
      <c r="D93" s="800"/>
      <c r="E93" s="800"/>
      <c r="F93" s="801"/>
      <c r="G93" s="771">
        <f>H88+H89+H90+H91</f>
        <v>153771</v>
      </c>
      <c r="H93" s="772"/>
    </row>
    <row r="94" spans="2:12" ht="14.25" customHeight="1" thickBot="1" x14ac:dyDescent="0.25">
      <c r="B94" s="119" t="s">
        <v>215</v>
      </c>
      <c r="C94" s="120"/>
      <c r="D94" s="120"/>
      <c r="E94" s="120"/>
      <c r="F94" s="120"/>
      <c r="G94" s="884">
        <f>IF((G64&lt;500000),5000,0)</f>
        <v>0</v>
      </c>
      <c r="H94" s="885">
        <f>IF(H92&lt;200000,0,IF(H92&lt;220000,((H92-200000)*10%),IF(H92&lt;=500000,2000,IF(H92&gt;=500000,0))))</f>
        <v>0</v>
      </c>
    </row>
    <row r="95" spans="2:12" ht="14.25" customHeight="1" thickBot="1" x14ac:dyDescent="0.25">
      <c r="B95" s="122" t="s">
        <v>216</v>
      </c>
      <c r="C95" s="123"/>
      <c r="D95" s="123"/>
      <c r="E95" s="123"/>
      <c r="F95" s="123"/>
      <c r="G95" s="771">
        <f>IF((G93-G94)&lt;0,0,(G93-G94))</f>
        <v>153771</v>
      </c>
      <c r="H95" s="772"/>
    </row>
    <row r="96" spans="2:12" ht="14.25" customHeight="1" thickBot="1" x14ac:dyDescent="0.25">
      <c r="B96" s="773" t="s">
        <v>473</v>
      </c>
      <c r="C96" s="774"/>
      <c r="D96" s="774"/>
      <c r="E96" s="774"/>
      <c r="F96" s="775"/>
      <c r="G96" s="776">
        <f>ROUND((IF(G95&gt;0,(G95*4%),0)),0)</f>
        <v>6151</v>
      </c>
      <c r="H96" s="777"/>
    </row>
    <row r="97" spans="2:8" ht="14.25" customHeight="1" thickBot="1" x14ac:dyDescent="0.25">
      <c r="B97" s="778" t="s">
        <v>218</v>
      </c>
      <c r="C97" s="779"/>
      <c r="D97" s="779"/>
      <c r="E97" s="779"/>
      <c r="F97" s="779"/>
      <c r="G97" s="780">
        <f>+G95+G96</f>
        <v>159922</v>
      </c>
      <c r="H97" s="781"/>
    </row>
    <row r="98" spans="2:8" ht="13.5" thickBot="1" x14ac:dyDescent="0.25">
      <c r="B98" s="765" t="s">
        <v>219</v>
      </c>
      <c r="C98" s="766"/>
      <c r="D98" s="766"/>
      <c r="E98" s="766"/>
      <c r="F98" s="766"/>
      <c r="G98" s="767">
        <f>O38</f>
        <v>166420</v>
      </c>
      <c r="H98" s="768"/>
    </row>
    <row r="99" spans="2:8" ht="13.5" thickBot="1" x14ac:dyDescent="0.25">
      <c r="B99" s="765" t="str">
        <f>IF(G99&gt;0,"TAX PAYABLE","TAX REFUND")</f>
        <v>TAX REFUND</v>
      </c>
      <c r="C99" s="766"/>
      <c r="D99" s="766"/>
      <c r="E99" s="766"/>
      <c r="F99" s="766"/>
      <c r="G99" s="767">
        <f>+G97-G98</f>
        <v>-6498</v>
      </c>
      <c r="H99" s="768"/>
    </row>
    <row r="100" spans="2:8" x14ac:dyDescent="0.2">
      <c r="C100" s="39"/>
      <c r="D100" s="126"/>
      <c r="E100" s="126"/>
      <c r="F100" s="39"/>
      <c r="G100" s="39"/>
      <c r="H100" s="39"/>
    </row>
    <row r="101" spans="2:8" x14ac:dyDescent="0.2">
      <c r="C101" s="39"/>
      <c r="D101" s="39"/>
      <c r="E101" s="39"/>
      <c r="F101" s="39"/>
      <c r="G101" s="39"/>
      <c r="H101" s="39"/>
    </row>
    <row r="102" spans="2:8" x14ac:dyDescent="0.2">
      <c r="C102" s="39"/>
      <c r="D102" s="39"/>
      <c r="E102" s="39"/>
      <c r="F102" s="39"/>
      <c r="G102" s="39"/>
      <c r="H102" s="39"/>
    </row>
    <row r="103" spans="2:8" x14ac:dyDescent="0.2">
      <c r="C103" s="39"/>
      <c r="D103" s="39"/>
      <c r="E103" s="39"/>
      <c r="F103" s="39"/>
      <c r="G103" s="39"/>
      <c r="H103" s="39"/>
    </row>
  </sheetData>
  <mergeCells count="94">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8:A48"/>
    <mergeCell ref="A5:C5"/>
    <mergeCell ref="D5:F5"/>
    <mergeCell ref="G5:H5"/>
    <mergeCell ref="I5:O5"/>
    <mergeCell ref="A6:C6"/>
    <mergeCell ref="D6:F6"/>
    <mergeCell ref="G6:H6"/>
    <mergeCell ref="J6:O6"/>
    <mergeCell ref="L7:O7"/>
    <mergeCell ref="A8:B8"/>
    <mergeCell ref="A21:A33"/>
    <mergeCell ref="A35:B35"/>
    <mergeCell ref="A36:B36"/>
    <mergeCell ref="A49:B49"/>
    <mergeCell ref="A50:B50"/>
    <mergeCell ref="B53:F53"/>
    <mergeCell ref="G53:H53"/>
    <mergeCell ref="B55:B57"/>
    <mergeCell ref="C55:C57"/>
    <mergeCell ref="D55:F55"/>
    <mergeCell ref="G55:H55"/>
    <mergeCell ref="D56:F56"/>
    <mergeCell ref="G56:H56"/>
    <mergeCell ref="B64:F64"/>
    <mergeCell ref="G64:H64"/>
    <mergeCell ref="J56:L56"/>
    <mergeCell ref="M56:O56"/>
    <mergeCell ref="D57:F57"/>
    <mergeCell ref="G57:H57"/>
    <mergeCell ref="B59:F59"/>
    <mergeCell ref="G59:H59"/>
    <mergeCell ref="J59:O59"/>
    <mergeCell ref="B61:F61"/>
    <mergeCell ref="G61:H61"/>
    <mergeCell ref="C62:F62"/>
    <mergeCell ref="G62:H62"/>
    <mergeCell ref="J62:O62"/>
    <mergeCell ref="D78:F78"/>
    <mergeCell ref="J67:K67"/>
    <mergeCell ref="B68:B82"/>
    <mergeCell ref="C68:C74"/>
    <mergeCell ref="D68:F68"/>
    <mergeCell ref="J68:K68"/>
    <mergeCell ref="D69:F69"/>
    <mergeCell ref="J69:K69"/>
    <mergeCell ref="D70:F70"/>
    <mergeCell ref="D71:F71"/>
    <mergeCell ref="D72:F72"/>
    <mergeCell ref="D73:F73"/>
    <mergeCell ref="D74:F74"/>
    <mergeCell ref="D75:F75"/>
    <mergeCell ref="D76:F76"/>
    <mergeCell ref="E77:F77"/>
    <mergeCell ref="C91:D91"/>
    <mergeCell ref="D79:F79"/>
    <mergeCell ref="D80:F80"/>
    <mergeCell ref="D81:F81"/>
    <mergeCell ref="D82:F82"/>
    <mergeCell ref="B83:F83"/>
    <mergeCell ref="B85:F85"/>
    <mergeCell ref="G85:H85"/>
    <mergeCell ref="C87:D87"/>
    <mergeCell ref="C88:D88"/>
    <mergeCell ref="C89:D89"/>
    <mergeCell ref="C90:D90"/>
    <mergeCell ref="B93:F93"/>
    <mergeCell ref="G93:H93"/>
    <mergeCell ref="G94:H94"/>
    <mergeCell ref="G95:H95"/>
    <mergeCell ref="B96:F96"/>
    <mergeCell ref="G96:H96"/>
    <mergeCell ref="B97:F97"/>
    <mergeCell ref="G97:H97"/>
    <mergeCell ref="B98:F98"/>
    <mergeCell ref="G98:H98"/>
    <mergeCell ref="B99:F99"/>
    <mergeCell ref="G99:H99"/>
  </mergeCells>
  <conditionalFormatting sqref="B99:F99 B93:F97 B90:F90">
    <cfRule type="cellIs" dxfId="559" priority="105" stopIfTrue="1" operator="equal">
      <formula>"TAX PAYABLE"</formula>
    </cfRule>
    <cfRule type="cellIs" dxfId="558" priority="106" stopIfTrue="1" operator="equal">
      <formula>"TAX REFUND"</formula>
    </cfRule>
  </conditionalFormatting>
  <conditionalFormatting sqref="G99:H99">
    <cfRule type="cellIs" dxfId="557" priority="103" stopIfTrue="1" operator="greaterThan">
      <formula>0</formula>
    </cfRule>
    <cfRule type="cellIs" dxfId="556" priority="104" stopIfTrue="1" operator="lessThanOrEqual">
      <formula>0</formula>
    </cfRule>
  </conditionalFormatting>
  <conditionalFormatting sqref="G90">
    <cfRule type="cellIs" dxfId="555" priority="101" stopIfTrue="1" operator="lessThan">
      <formula>0</formula>
    </cfRule>
    <cfRule type="cellIs" dxfId="554" priority="102" stopIfTrue="1" operator="greaterThan">
      <formula>0</formula>
    </cfRule>
  </conditionalFormatting>
  <conditionalFormatting sqref="B94:F94">
    <cfRule type="cellIs" dxfId="553" priority="99" stopIfTrue="1" operator="equal">
      <formula>"TAX PAYABLE"</formula>
    </cfRule>
    <cfRule type="cellIs" dxfId="552" priority="100" stopIfTrue="1" operator="equal">
      <formula>"TAX REFUND"</formula>
    </cfRule>
  </conditionalFormatting>
  <conditionalFormatting sqref="B94:F94">
    <cfRule type="cellIs" dxfId="551" priority="97" stopIfTrue="1" operator="equal">
      <formula>"TAX PAYABLE"</formula>
    </cfRule>
    <cfRule type="cellIs" dxfId="550" priority="98" stopIfTrue="1" operator="equal">
      <formula>"TAX REFUND"</formula>
    </cfRule>
  </conditionalFormatting>
  <conditionalFormatting sqref="B94:F94">
    <cfRule type="cellIs" dxfId="549" priority="95" stopIfTrue="1" operator="equal">
      <formula>"TAX PAYABLE"</formula>
    </cfRule>
    <cfRule type="cellIs" dxfId="548" priority="96" stopIfTrue="1" operator="equal">
      <formula>"TAX REFUND"</formula>
    </cfRule>
  </conditionalFormatting>
  <conditionalFormatting sqref="B94:F94">
    <cfRule type="cellIs" dxfId="547" priority="93" stopIfTrue="1" operator="equal">
      <formula>"TAX PAYABLE"</formula>
    </cfRule>
    <cfRule type="cellIs" dxfId="546" priority="94" stopIfTrue="1" operator="equal">
      <formula>"TAX REFUND"</formula>
    </cfRule>
  </conditionalFormatting>
  <conditionalFormatting sqref="B94:F94">
    <cfRule type="cellIs" dxfId="545" priority="91" stopIfTrue="1" operator="equal">
      <formula>"TAX PAYABLE"</formula>
    </cfRule>
    <cfRule type="cellIs" dxfId="544" priority="92" stopIfTrue="1" operator="equal">
      <formula>"TAX REFUND"</formula>
    </cfRule>
  </conditionalFormatting>
  <conditionalFormatting sqref="B94:F94">
    <cfRule type="cellIs" dxfId="543" priority="89" stopIfTrue="1" operator="equal">
      <formula>"TAX PAYABLE"</formula>
    </cfRule>
    <cfRule type="cellIs" dxfId="542" priority="90" stopIfTrue="1" operator="equal">
      <formula>"TAX REFUND"</formula>
    </cfRule>
  </conditionalFormatting>
  <conditionalFormatting sqref="B94:F94">
    <cfRule type="cellIs" dxfId="541" priority="87" stopIfTrue="1" operator="equal">
      <formula>"TAX PAYABLE"</formula>
    </cfRule>
    <cfRule type="cellIs" dxfId="540" priority="88" stopIfTrue="1" operator="equal">
      <formula>"TAX REFUND"</formula>
    </cfRule>
  </conditionalFormatting>
  <conditionalFormatting sqref="B94:F94">
    <cfRule type="cellIs" dxfId="539" priority="85" stopIfTrue="1" operator="equal">
      <formula>"TAX PAYABLE"</formula>
    </cfRule>
    <cfRule type="cellIs" dxfId="538" priority="86" stopIfTrue="1" operator="equal">
      <formula>"TAX REFUND"</formula>
    </cfRule>
  </conditionalFormatting>
  <conditionalFormatting sqref="B94:F94">
    <cfRule type="cellIs" dxfId="537" priority="83" stopIfTrue="1" operator="equal">
      <formula>"TAX PAYABLE"</formula>
    </cfRule>
    <cfRule type="cellIs" dxfId="536" priority="84" stopIfTrue="1" operator="equal">
      <formula>"TAX REFUND"</formula>
    </cfRule>
  </conditionalFormatting>
  <conditionalFormatting sqref="B94:F94">
    <cfRule type="cellIs" dxfId="535" priority="81" stopIfTrue="1" operator="equal">
      <formula>"TAX PAYABLE"</formula>
    </cfRule>
    <cfRule type="cellIs" dxfId="534" priority="82" stopIfTrue="1" operator="equal">
      <formula>"TAX REFUND"</formula>
    </cfRule>
  </conditionalFormatting>
  <conditionalFormatting sqref="B94:F94">
    <cfRule type="cellIs" dxfId="533" priority="79" stopIfTrue="1" operator="equal">
      <formula>"TAX PAYABLE"</formula>
    </cfRule>
    <cfRule type="cellIs" dxfId="532" priority="80" stopIfTrue="1" operator="equal">
      <formula>"TAX REFUND"</formula>
    </cfRule>
  </conditionalFormatting>
  <conditionalFormatting sqref="B94:F94">
    <cfRule type="cellIs" dxfId="531" priority="77" stopIfTrue="1" operator="equal">
      <formula>"TAX PAYABLE"</formula>
    </cfRule>
    <cfRule type="cellIs" dxfId="530" priority="78" stopIfTrue="1" operator="equal">
      <formula>"TAX REFUND"</formula>
    </cfRule>
  </conditionalFormatting>
  <conditionalFormatting sqref="B94:F94">
    <cfRule type="cellIs" dxfId="529" priority="75" stopIfTrue="1" operator="equal">
      <formula>"TAX PAYABLE"</formula>
    </cfRule>
    <cfRule type="cellIs" dxfId="528" priority="76" stopIfTrue="1" operator="equal">
      <formula>"TAX REFUND"</formula>
    </cfRule>
  </conditionalFormatting>
  <conditionalFormatting sqref="B94:F94">
    <cfRule type="cellIs" dxfId="527" priority="73" stopIfTrue="1" operator="equal">
      <formula>"TAX PAYABLE"</formula>
    </cfRule>
    <cfRule type="cellIs" dxfId="526" priority="74" stopIfTrue="1" operator="equal">
      <formula>"TAX REFUND"</formula>
    </cfRule>
  </conditionalFormatting>
  <conditionalFormatting sqref="B94:F94">
    <cfRule type="cellIs" dxfId="525" priority="71" stopIfTrue="1" operator="equal">
      <formula>"TAX PAYABLE"</formula>
    </cfRule>
    <cfRule type="cellIs" dxfId="524" priority="72" stopIfTrue="1" operator="equal">
      <formula>"TAX REFUND"</formula>
    </cfRule>
  </conditionalFormatting>
  <conditionalFormatting sqref="B94:F94">
    <cfRule type="cellIs" dxfId="523" priority="69" stopIfTrue="1" operator="equal">
      <formula>"TAX PAYABLE"</formula>
    </cfRule>
    <cfRule type="cellIs" dxfId="522" priority="70" stopIfTrue="1" operator="equal">
      <formula>"TAX REFUND"</formula>
    </cfRule>
  </conditionalFormatting>
  <conditionalFormatting sqref="B94:F94">
    <cfRule type="cellIs" dxfId="521" priority="67" stopIfTrue="1" operator="equal">
      <formula>"TAX PAYABLE"</formula>
    </cfRule>
    <cfRule type="cellIs" dxfId="520" priority="68" stopIfTrue="1" operator="equal">
      <formula>"TAX REFUND"</formula>
    </cfRule>
  </conditionalFormatting>
  <conditionalFormatting sqref="B94:F94">
    <cfRule type="cellIs" dxfId="519" priority="65" stopIfTrue="1" operator="equal">
      <formula>"TAX PAYABLE"</formula>
    </cfRule>
    <cfRule type="cellIs" dxfId="518" priority="66" stopIfTrue="1" operator="equal">
      <formula>"TAX REFUND"</formula>
    </cfRule>
  </conditionalFormatting>
  <conditionalFormatting sqref="B94:F94">
    <cfRule type="cellIs" dxfId="517" priority="63" stopIfTrue="1" operator="equal">
      <formula>"TAX PAYABLE"</formula>
    </cfRule>
    <cfRule type="cellIs" dxfId="516" priority="64" stopIfTrue="1" operator="equal">
      <formula>"TAX REFUND"</formula>
    </cfRule>
  </conditionalFormatting>
  <conditionalFormatting sqref="B94:F94">
    <cfRule type="cellIs" dxfId="515" priority="61" stopIfTrue="1" operator="equal">
      <formula>"TAX PAYABLE"</formula>
    </cfRule>
    <cfRule type="cellIs" dxfId="514" priority="62" stopIfTrue="1" operator="equal">
      <formula>"TAX REFUND"</formula>
    </cfRule>
  </conditionalFormatting>
  <conditionalFormatting sqref="B94:F94">
    <cfRule type="cellIs" dxfId="513" priority="59" stopIfTrue="1" operator="equal">
      <formula>"TAX PAYABLE"</formula>
    </cfRule>
    <cfRule type="cellIs" dxfId="512" priority="60" stopIfTrue="1" operator="equal">
      <formula>"TAX REFUND"</formula>
    </cfRule>
  </conditionalFormatting>
  <conditionalFormatting sqref="B94:F94">
    <cfRule type="cellIs" dxfId="511" priority="57" stopIfTrue="1" operator="equal">
      <formula>"TAX PAYABLE"</formula>
    </cfRule>
    <cfRule type="cellIs" dxfId="510" priority="58" stopIfTrue="1" operator="equal">
      <formula>"TAX REFUND"</formula>
    </cfRule>
  </conditionalFormatting>
  <conditionalFormatting sqref="B94:F94">
    <cfRule type="cellIs" dxfId="509" priority="55" stopIfTrue="1" operator="equal">
      <formula>"TAX PAYABLE"</formula>
    </cfRule>
    <cfRule type="cellIs" dxfId="508" priority="56" stopIfTrue="1" operator="equal">
      <formula>"TAX REFUND"</formula>
    </cfRule>
  </conditionalFormatting>
  <conditionalFormatting sqref="B94:F94">
    <cfRule type="cellIs" dxfId="507" priority="53" stopIfTrue="1" operator="equal">
      <formula>"TAX PAYABLE"</formula>
    </cfRule>
    <cfRule type="cellIs" dxfId="506" priority="54" stopIfTrue="1" operator="equal">
      <formula>"TAX REFUND"</formula>
    </cfRule>
  </conditionalFormatting>
  <conditionalFormatting sqref="B94:F94">
    <cfRule type="cellIs" dxfId="505" priority="51" stopIfTrue="1" operator="equal">
      <formula>"TAX PAYABLE"</formula>
    </cfRule>
    <cfRule type="cellIs" dxfId="504" priority="52" stopIfTrue="1" operator="equal">
      <formula>"TAX REFUND"</formula>
    </cfRule>
  </conditionalFormatting>
  <conditionalFormatting sqref="B94:F94">
    <cfRule type="cellIs" dxfId="503" priority="49" stopIfTrue="1" operator="equal">
      <formula>"TAX PAYABLE"</formula>
    </cfRule>
    <cfRule type="cellIs" dxfId="502" priority="50" stopIfTrue="1" operator="equal">
      <formula>"TAX REFUND"</formula>
    </cfRule>
  </conditionalFormatting>
  <conditionalFormatting sqref="B94:F94">
    <cfRule type="cellIs" dxfId="501" priority="47" stopIfTrue="1" operator="equal">
      <formula>"TAX PAYABLE"</formula>
    </cfRule>
    <cfRule type="cellIs" dxfId="500" priority="48" stopIfTrue="1" operator="equal">
      <formula>"TAX REFUND"</formula>
    </cfRule>
  </conditionalFormatting>
  <conditionalFormatting sqref="B94:F94">
    <cfRule type="cellIs" dxfId="499" priority="45" stopIfTrue="1" operator="equal">
      <formula>"TAX PAYABLE"</formula>
    </cfRule>
    <cfRule type="cellIs" dxfId="498" priority="46" stopIfTrue="1" operator="equal">
      <formula>"TAX REFUND"</formula>
    </cfRule>
  </conditionalFormatting>
  <conditionalFormatting sqref="B94:F94">
    <cfRule type="cellIs" dxfId="497" priority="43" stopIfTrue="1" operator="equal">
      <formula>"TAX PAYABLE"</formula>
    </cfRule>
    <cfRule type="cellIs" dxfId="496" priority="44" stopIfTrue="1" operator="equal">
      <formula>"TAX REFUND"</formula>
    </cfRule>
  </conditionalFormatting>
  <conditionalFormatting sqref="B94:F94">
    <cfRule type="cellIs" dxfId="495" priority="41" stopIfTrue="1" operator="equal">
      <formula>"TAX PAYABLE"</formula>
    </cfRule>
    <cfRule type="cellIs" dxfId="494" priority="42" stopIfTrue="1" operator="equal">
      <formula>"TAX REFUND"</formula>
    </cfRule>
  </conditionalFormatting>
  <conditionalFormatting sqref="B94:F94">
    <cfRule type="cellIs" dxfId="493" priority="39" stopIfTrue="1" operator="equal">
      <formula>"TAX PAYABLE"</formula>
    </cfRule>
    <cfRule type="cellIs" dxfId="492" priority="40" stopIfTrue="1" operator="equal">
      <formula>"TAX REFUND"</formula>
    </cfRule>
  </conditionalFormatting>
  <conditionalFormatting sqref="B94:F94">
    <cfRule type="cellIs" dxfId="491" priority="37" stopIfTrue="1" operator="equal">
      <formula>"TAX PAYABLE"</formula>
    </cfRule>
    <cfRule type="cellIs" dxfId="490" priority="38" stopIfTrue="1" operator="equal">
      <formula>"TAX REFUND"</formula>
    </cfRule>
  </conditionalFormatting>
  <conditionalFormatting sqref="B94:F94">
    <cfRule type="cellIs" dxfId="489" priority="35" stopIfTrue="1" operator="equal">
      <formula>"TAX PAYABLE"</formula>
    </cfRule>
    <cfRule type="cellIs" dxfId="488" priority="36" stopIfTrue="1" operator="equal">
      <formula>"TAX REFUND"</formula>
    </cfRule>
  </conditionalFormatting>
  <conditionalFormatting sqref="B94:F94">
    <cfRule type="cellIs" dxfId="487" priority="33" stopIfTrue="1" operator="equal">
      <formula>"TAX PAYABLE"</formula>
    </cfRule>
    <cfRule type="cellIs" dxfId="486" priority="34" stopIfTrue="1" operator="equal">
      <formula>"TAX REFUND"</formula>
    </cfRule>
  </conditionalFormatting>
  <conditionalFormatting sqref="B94:F94">
    <cfRule type="cellIs" dxfId="485" priority="31" stopIfTrue="1" operator="equal">
      <formula>"TAX PAYABLE"</formula>
    </cfRule>
    <cfRule type="cellIs" dxfId="484" priority="32" stopIfTrue="1" operator="equal">
      <formula>"TAX REFUND"</formula>
    </cfRule>
  </conditionalFormatting>
  <conditionalFormatting sqref="B94:F94">
    <cfRule type="cellIs" dxfId="483" priority="29" stopIfTrue="1" operator="equal">
      <formula>"TAX PAYABLE"</formula>
    </cfRule>
    <cfRule type="cellIs" dxfId="482" priority="30" stopIfTrue="1" operator="equal">
      <formula>"TAX REFUND"</formula>
    </cfRule>
  </conditionalFormatting>
  <conditionalFormatting sqref="B94:F94">
    <cfRule type="cellIs" dxfId="481" priority="27" stopIfTrue="1" operator="equal">
      <formula>"TAX PAYABLE"</formula>
    </cfRule>
    <cfRule type="cellIs" dxfId="480" priority="28" stopIfTrue="1" operator="equal">
      <formula>"TAX REFUND"</formula>
    </cfRule>
  </conditionalFormatting>
  <conditionalFormatting sqref="B94:F94">
    <cfRule type="cellIs" dxfId="479" priority="25" stopIfTrue="1" operator="equal">
      <formula>"TAX PAYABLE"</formula>
    </cfRule>
    <cfRule type="cellIs" dxfId="478" priority="26" stopIfTrue="1" operator="equal">
      <formula>"TAX REFUND"</formula>
    </cfRule>
  </conditionalFormatting>
  <conditionalFormatting sqref="B94:F94">
    <cfRule type="cellIs" dxfId="477" priority="23" stopIfTrue="1" operator="equal">
      <formula>"TAX PAYABLE"</formula>
    </cfRule>
    <cfRule type="cellIs" dxfId="476" priority="24" stopIfTrue="1" operator="equal">
      <formula>"TAX REFUND"</formula>
    </cfRule>
  </conditionalFormatting>
  <conditionalFormatting sqref="B94:F94">
    <cfRule type="cellIs" dxfId="475" priority="21" stopIfTrue="1" operator="equal">
      <formula>"TAX PAYABLE"</formula>
    </cfRule>
    <cfRule type="cellIs" dxfId="474" priority="22" stopIfTrue="1" operator="equal">
      <formula>"TAX REFUND"</formula>
    </cfRule>
  </conditionalFormatting>
  <conditionalFormatting sqref="B94:F94">
    <cfRule type="cellIs" dxfId="473" priority="19" stopIfTrue="1" operator="equal">
      <formula>"TAX PAYABLE"</formula>
    </cfRule>
    <cfRule type="cellIs" dxfId="472" priority="20" stopIfTrue="1" operator="equal">
      <formula>"TAX REFUND"</formula>
    </cfRule>
  </conditionalFormatting>
  <conditionalFormatting sqref="B94:F94">
    <cfRule type="cellIs" dxfId="471" priority="17" stopIfTrue="1" operator="equal">
      <formula>"TAX PAYABLE"</formula>
    </cfRule>
    <cfRule type="cellIs" dxfId="470" priority="18" stopIfTrue="1" operator="equal">
      <formula>"TAX REFUND"</formula>
    </cfRule>
  </conditionalFormatting>
  <conditionalFormatting sqref="B94:F94">
    <cfRule type="cellIs" dxfId="469" priority="15" stopIfTrue="1" operator="equal">
      <formula>"TAX PAYABLE"</formula>
    </cfRule>
    <cfRule type="cellIs" dxfId="468" priority="16" stopIfTrue="1" operator="equal">
      <formula>"TAX REFUND"</formula>
    </cfRule>
  </conditionalFormatting>
  <conditionalFormatting sqref="B94:F94">
    <cfRule type="cellIs" dxfId="467" priority="13" stopIfTrue="1" operator="equal">
      <formula>"TAX PAYABLE"</formula>
    </cfRule>
    <cfRule type="cellIs" dxfId="466" priority="14" stopIfTrue="1" operator="equal">
      <formula>"TAX REFUND"</formula>
    </cfRule>
  </conditionalFormatting>
  <conditionalFormatting sqref="B94:F94">
    <cfRule type="cellIs" dxfId="465" priority="11" stopIfTrue="1" operator="equal">
      <formula>"TAX PAYABLE"</formula>
    </cfRule>
    <cfRule type="cellIs" dxfId="464" priority="12" stopIfTrue="1" operator="equal">
      <formula>"TAX REFUND"</formula>
    </cfRule>
  </conditionalFormatting>
  <conditionalFormatting sqref="B94:F94">
    <cfRule type="cellIs" dxfId="463" priority="9" stopIfTrue="1" operator="equal">
      <formula>"TAX PAYABLE"</formula>
    </cfRule>
    <cfRule type="cellIs" dxfId="462" priority="10" stopIfTrue="1" operator="equal">
      <formula>"TAX REFUND"</formula>
    </cfRule>
  </conditionalFormatting>
  <conditionalFormatting sqref="B94:F94">
    <cfRule type="cellIs" dxfId="461" priority="7" stopIfTrue="1" operator="equal">
      <formula>"TAX PAYABLE"</formula>
    </cfRule>
    <cfRule type="cellIs" dxfId="460" priority="8" stopIfTrue="1" operator="equal">
      <formula>"TAX REFUND"</formula>
    </cfRule>
  </conditionalFormatting>
  <conditionalFormatting sqref="B94:F94">
    <cfRule type="cellIs" dxfId="459" priority="5" stopIfTrue="1" operator="equal">
      <formula>"TAX PAYABLE"</formula>
    </cfRule>
    <cfRule type="cellIs" dxfId="458" priority="6" stopIfTrue="1" operator="equal">
      <formula>"TAX REFUND"</formula>
    </cfRule>
  </conditionalFormatting>
  <conditionalFormatting sqref="B94:F94">
    <cfRule type="cellIs" dxfId="457" priority="3" stopIfTrue="1" operator="equal">
      <formula>"TAX PAYABLE"</formula>
    </cfRule>
    <cfRule type="cellIs" dxfId="456" priority="4" stopIfTrue="1" operator="equal">
      <formula>"TAX REFUND"</formula>
    </cfRule>
  </conditionalFormatting>
  <conditionalFormatting sqref="B94:F94">
    <cfRule type="cellIs" dxfId="455" priority="1" stopIfTrue="1" operator="equal">
      <formula>"TAX PAYABLE"</formula>
    </cfRule>
    <cfRule type="cellIs" dxfId="454" priority="2" stopIfTrue="1" operator="equal">
      <formula>"TAX REFUND"</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19685039370078741" right="0" top="0.74803149606299213" bottom="0.74803149606299213" header="0.31496062992125984" footer="0.31496062992125984"/>
  <pageSetup paperSize="5" scale="67" orientation="portrait" horizontalDpi="300" verticalDpi="300" r:id="rId1"/>
  <headerFooter alignWithMargins="0"/>
  <legacyDrawing r:id="rId2"/>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3"/>
  <sheetViews>
    <sheetView topLeftCell="A56" workbookViewId="0">
      <selection activeCell="M79" sqref="M79"/>
    </sheetView>
  </sheetViews>
  <sheetFormatPr defaultRowHeight="12.75" x14ac:dyDescent="0.2"/>
  <cols>
    <col min="1" max="1" width="5" style="16" customWidth="1"/>
    <col min="2" max="2" width="19" style="37" customWidth="1"/>
    <col min="3" max="3" width="8.7109375" style="16" customWidth="1"/>
    <col min="4" max="5" width="8.140625" style="16" customWidth="1"/>
    <col min="6" max="6" width="8.28515625" style="16" customWidth="1"/>
    <col min="7" max="14" width="8.140625" style="16" customWidth="1"/>
    <col min="15" max="15" width="9.2851562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9" style="16" customWidth="1"/>
    <col min="259" max="259" width="8.7109375" style="16" customWidth="1"/>
    <col min="260" max="261" width="8.140625" style="16" customWidth="1"/>
    <col min="262" max="262" width="8.28515625" style="16" customWidth="1"/>
    <col min="263" max="270" width="8.140625" style="16" customWidth="1"/>
    <col min="271" max="271" width="9.2851562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9" style="16" customWidth="1"/>
    <col min="515" max="515" width="8.7109375" style="16" customWidth="1"/>
    <col min="516" max="517" width="8.140625" style="16" customWidth="1"/>
    <col min="518" max="518" width="8.28515625" style="16" customWidth="1"/>
    <col min="519" max="526" width="8.140625" style="16" customWidth="1"/>
    <col min="527" max="527" width="9.2851562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9" style="16" customWidth="1"/>
    <col min="771" max="771" width="8.7109375" style="16" customWidth="1"/>
    <col min="772" max="773" width="8.140625" style="16" customWidth="1"/>
    <col min="774" max="774" width="8.28515625" style="16" customWidth="1"/>
    <col min="775" max="782" width="8.140625" style="16" customWidth="1"/>
    <col min="783" max="783" width="9.2851562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9" style="16" customWidth="1"/>
    <col min="1027" max="1027" width="8.7109375" style="16" customWidth="1"/>
    <col min="1028" max="1029" width="8.140625" style="16" customWidth="1"/>
    <col min="1030" max="1030" width="8.28515625" style="16" customWidth="1"/>
    <col min="1031" max="1038" width="8.140625" style="16" customWidth="1"/>
    <col min="1039" max="1039" width="9.2851562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9" style="16" customWidth="1"/>
    <col min="1283" max="1283" width="8.7109375" style="16" customWidth="1"/>
    <col min="1284" max="1285" width="8.140625" style="16" customWidth="1"/>
    <col min="1286" max="1286" width="8.28515625" style="16" customWidth="1"/>
    <col min="1287" max="1294" width="8.140625" style="16" customWidth="1"/>
    <col min="1295" max="1295" width="9.2851562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9" style="16" customWidth="1"/>
    <col min="1539" max="1539" width="8.7109375" style="16" customWidth="1"/>
    <col min="1540" max="1541" width="8.140625" style="16" customWidth="1"/>
    <col min="1542" max="1542" width="8.28515625" style="16" customWidth="1"/>
    <col min="1543" max="1550" width="8.140625" style="16" customWidth="1"/>
    <col min="1551" max="1551" width="9.2851562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9" style="16" customWidth="1"/>
    <col min="1795" max="1795" width="8.7109375" style="16" customWidth="1"/>
    <col min="1796" max="1797" width="8.140625" style="16" customWidth="1"/>
    <col min="1798" max="1798" width="8.28515625" style="16" customWidth="1"/>
    <col min="1799" max="1806" width="8.140625" style="16" customWidth="1"/>
    <col min="1807" max="1807" width="9.2851562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9" style="16" customWidth="1"/>
    <col min="2051" max="2051" width="8.7109375" style="16" customWidth="1"/>
    <col min="2052" max="2053" width="8.140625" style="16" customWidth="1"/>
    <col min="2054" max="2054" width="8.28515625" style="16" customWidth="1"/>
    <col min="2055" max="2062" width="8.140625" style="16" customWidth="1"/>
    <col min="2063" max="2063" width="9.2851562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9" style="16" customWidth="1"/>
    <col min="2307" max="2307" width="8.7109375" style="16" customWidth="1"/>
    <col min="2308" max="2309" width="8.140625" style="16" customWidth="1"/>
    <col min="2310" max="2310" width="8.28515625" style="16" customWidth="1"/>
    <col min="2311" max="2318" width="8.140625" style="16" customWidth="1"/>
    <col min="2319" max="2319" width="9.2851562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9" style="16" customWidth="1"/>
    <col min="2563" max="2563" width="8.7109375" style="16" customWidth="1"/>
    <col min="2564" max="2565" width="8.140625" style="16" customWidth="1"/>
    <col min="2566" max="2566" width="8.28515625" style="16" customWidth="1"/>
    <col min="2567" max="2574" width="8.140625" style="16" customWidth="1"/>
    <col min="2575" max="2575" width="9.2851562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9" style="16" customWidth="1"/>
    <col min="2819" max="2819" width="8.7109375" style="16" customWidth="1"/>
    <col min="2820" max="2821" width="8.140625" style="16" customWidth="1"/>
    <col min="2822" max="2822" width="8.28515625" style="16" customWidth="1"/>
    <col min="2823" max="2830" width="8.140625" style="16" customWidth="1"/>
    <col min="2831" max="2831" width="9.2851562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9" style="16" customWidth="1"/>
    <col min="3075" max="3075" width="8.7109375" style="16" customWidth="1"/>
    <col min="3076" max="3077" width="8.140625" style="16" customWidth="1"/>
    <col min="3078" max="3078" width="8.28515625" style="16" customWidth="1"/>
    <col min="3079" max="3086" width="8.140625" style="16" customWidth="1"/>
    <col min="3087" max="3087" width="9.2851562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9" style="16" customWidth="1"/>
    <col min="3331" max="3331" width="8.7109375" style="16" customWidth="1"/>
    <col min="3332" max="3333" width="8.140625" style="16" customWidth="1"/>
    <col min="3334" max="3334" width="8.28515625" style="16" customWidth="1"/>
    <col min="3335" max="3342" width="8.140625" style="16" customWidth="1"/>
    <col min="3343" max="3343" width="9.2851562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9" style="16" customWidth="1"/>
    <col min="3587" max="3587" width="8.7109375" style="16" customWidth="1"/>
    <col min="3588" max="3589" width="8.140625" style="16" customWidth="1"/>
    <col min="3590" max="3590" width="8.28515625" style="16" customWidth="1"/>
    <col min="3591" max="3598" width="8.140625" style="16" customWidth="1"/>
    <col min="3599" max="3599" width="9.2851562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9" style="16" customWidth="1"/>
    <col min="3843" max="3843" width="8.7109375" style="16" customWidth="1"/>
    <col min="3844" max="3845" width="8.140625" style="16" customWidth="1"/>
    <col min="3846" max="3846" width="8.28515625" style="16" customWidth="1"/>
    <col min="3847" max="3854" width="8.140625" style="16" customWidth="1"/>
    <col min="3855" max="3855" width="9.2851562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9" style="16" customWidth="1"/>
    <col min="4099" max="4099" width="8.7109375" style="16" customWidth="1"/>
    <col min="4100" max="4101" width="8.140625" style="16" customWidth="1"/>
    <col min="4102" max="4102" width="8.28515625" style="16" customWidth="1"/>
    <col min="4103" max="4110" width="8.140625" style="16" customWidth="1"/>
    <col min="4111" max="4111" width="9.2851562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9" style="16" customWidth="1"/>
    <col min="4355" max="4355" width="8.7109375" style="16" customWidth="1"/>
    <col min="4356" max="4357" width="8.140625" style="16" customWidth="1"/>
    <col min="4358" max="4358" width="8.28515625" style="16" customWidth="1"/>
    <col min="4359" max="4366" width="8.140625" style="16" customWidth="1"/>
    <col min="4367" max="4367" width="9.2851562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9" style="16" customWidth="1"/>
    <col min="4611" max="4611" width="8.7109375" style="16" customWidth="1"/>
    <col min="4612" max="4613" width="8.140625" style="16" customWidth="1"/>
    <col min="4614" max="4614" width="8.28515625" style="16" customWidth="1"/>
    <col min="4615" max="4622" width="8.140625" style="16" customWidth="1"/>
    <col min="4623" max="4623" width="9.2851562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9" style="16" customWidth="1"/>
    <col min="4867" max="4867" width="8.7109375" style="16" customWidth="1"/>
    <col min="4868" max="4869" width="8.140625" style="16" customWidth="1"/>
    <col min="4870" max="4870" width="8.28515625" style="16" customWidth="1"/>
    <col min="4871" max="4878" width="8.140625" style="16" customWidth="1"/>
    <col min="4879" max="4879" width="9.2851562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9" style="16" customWidth="1"/>
    <col min="5123" max="5123" width="8.7109375" style="16" customWidth="1"/>
    <col min="5124" max="5125" width="8.140625" style="16" customWidth="1"/>
    <col min="5126" max="5126" width="8.28515625" style="16" customWidth="1"/>
    <col min="5127" max="5134" width="8.140625" style="16" customWidth="1"/>
    <col min="5135" max="5135" width="9.2851562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9" style="16" customWidth="1"/>
    <col min="5379" max="5379" width="8.7109375" style="16" customWidth="1"/>
    <col min="5380" max="5381" width="8.140625" style="16" customWidth="1"/>
    <col min="5382" max="5382" width="8.28515625" style="16" customWidth="1"/>
    <col min="5383" max="5390" width="8.140625" style="16" customWidth="1"/>
    <col min="5391" max="5391" width="9.2851562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9" style="16" customWidth="1"/>
    <col min="5635" max="5635" width="8.7109375" style="16" customWidth="1"/>
    <col min="5636" max="5637" width="8.140625" style="16" customWidth="1"/>
    <col min="5638" max="5638" width="8.28515625" style="16" customWidth="1"/>
    <col min="5639" max="5646" width="8.140625" style="16" customWidth="1"/>
    <col min="5647" max="5647" width="9.2851562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9" style="16" customWidth="1"/>
    <col min="5891" max="5891" width="8.7109375" style="16" customWidth="1"/>
    <col min="5892" max="5893" width="8.140625" style="16" customWidth="1"/>
    <col min="5894" max="5894" width="8.28515625" style="16" customWidth="1"/>
    <col min="5895" max="5902" width="8.140625" style="16" customWidth="1"/>
    <col min="5903" max="5903" width="9.2851562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9" style="16" customWidth="1"/>
    <col min="6147" max="6147" width="8.7109375" style="16" customWidth="1"/>
    <col min="6148" max="6149" width="8.140625" style="16" customWidth="1"/>
    <col min="6150" max="6150" width="8.28515625" style="16" customWidth="1"/>
    <col min="6151" max="6158" width="8.140625" style="16" customWidth="1"/>
    <col min="6159" max="6159" width="9.2851562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9" style="16" customWidth="1"/>
    <col min="6403" max="6403" width="8.7109375" style="16" customWidth="1"/>
    <col min="6404" max="6405" width="8.140625" style="16" customWidth="1"/>
    <col min="6406" max="6406" width="8.28515625" style="16" customWidth="1"/>
    <col min="6407" max="6414" width="8.140625" style="16" customWidth="1"/>
    <col min="6415" max="6415" width="9.2851562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9" style="16" customWidth="1"/>
    <col min="6659" max="6659" width="8.7109375" style="16" customWidth="1"/>
    <col min="6660" max="6661" width="8.140625" style="16" customWidth="1"/>
    <col min="6662" max="6662" width="8.28515625" style="16" customWidth="1"/>
    <col min="6663" max="6670" width="8.140625" style="16" customWidth="1"/>
    <col min="6671" max="6671" width="9.2851562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9" style="16" customWidth="1"/>
    <col min="6915" max="6915" width="8.7109375" style="16" customWidth="1"/>
    <col min="6916" max="6917" width="8.140625" style="16" customWidth="1"/>
    <col min="6918" max="6918" width="8.28515625" style="16" customWidth="1"/>
    <col min="6919" max="6926" width="8.140625" style="16" customWidth="1"/>
    <col min="6927" max="6927" width="9.2851562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9" style="16" customWidth="1"/>
    <col min="7171" max="7171" width="8.7109375" style="16" customWidth="1"/>
    <col min="7172" max="7173" width="8.140625" style="16" customWidth="1"/>
    <col min="7174" max="7174" width="8.28515625" style="16" customWidth="1"/>
    <col min="7175" max="7182" width="8.140625" style="16" customWidth="1"/>
    <col min="7183" max="7183" width="9.2851562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9" style="16" customWidth="1"/>
    <col min="7427" max="7427" width="8.7109375" style="16" customWidth="1"/>
    <col min="7428" max="7429" width="8.140625" style="16" customWidth="1"/>
    <col min="7430" max="7430" width="8.28515625" style="16" customWidth="1"/>
    <col min="7431" max="7438" width="8.140625" style="16" customWidth="1"/>
    <col min="7439" max="7439" width="9.2851562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9" style="16" customWidth="1"/>
    <col min="7683" max="7683" width="8.7109375" style="16" customWidth="1"/>
    <col min="7684" max="7685" width="8.140625" style="16" customWidth="1"/>
    <col min="7686" max="7686" width="8.28515625" style="16" customWidth="1"/>
    <col min="7687" max="7694" width="8.140625" style="16" customWidth="1"/>
    <col min="7695" max="7695" width="9.2851562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9" style="16" customWidth="1"/>
    <col min="7939" max="7939" width="8.7109375" style="16" customWidth="1"/>
    <col min="7940" max="7941" width="8.140625" style="16" customWidth="1"/>
    <col min="7942" max="7942" width="8.28515625" style="16" customWidth="1"/>
    <col min="7943" max="7950" width="8.140625" style="16" customWidth="1"/>
    <col min="7951" max="7951" width="9.2851562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9" style="16" customWidth="1"/>
    <col min="8195" max="8195" width="8.7109375" style="16" customWidth="1"/>
    <col min="8196" max="8197" width="8.140625" style="16" customWidth="1"/>
    <col min="8198" max="8198" width="8.28515625" style="16" customWidth="1"/>
    <col min="8199" max="8206" width="8.140625" style="16" customWidth="1"/>
    <col min="8207" max="8207" width="9.2851562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9" style="16" customWidth="1"/>
    <col min="8451" max="8451" width="8.7109375" style="16" customWidth="1"/>
    <col min="8452" max="8453" width="8.140625" style="16" customWidth="1"/>
    <col min="8454" max="8454" width="8.28515625" style="16" customWidth="1"/>
    <col min="8455" max="8462" width="8.140625" style="16" customWidth="1"/>
    <col min="8463" max="8463" width="9.2851562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9" style="16" customWidth="1"/>
    <col min="8707" max="8707" width="8.7109375" style="16" customWidth="1"/>
    <col min="8708" max="8709" width="8.140625" style="16" customWidth="1"/>
    <col min="8710" max="8710" width="8.28515625" style="16" customWidth="1"/>
    <col min="8711" max="8718" width="8.140625" style="16" customWidth="1"/>
    <col min="8719" max="8719" width="9.2851562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9" style="16" customWidth="1"/>
    <col min="8963" max="8963" width="8.7109375" style="16" customWidth="1"/>
    <col min="8964" max="8965" width="8.140625" style="16" customWidth="1"/>
    <col min="8966" max="8966" width="8.28515625" style="16" customWidth="1"/>
    <col min="8967" max="8974" width="8.140625" style="16" customWidth="1"/>
    <col min="8975" max="8975" width="9.2851562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9" style="16" customWidth="1"/>
    <col min="9219" max="9219" width="8.7109375" style="16" customWidth="1"/>
    <col min="9220" max="9221" width="8.140625" style="16" customWidth="1"/>
    <col min="9222" max="9222" width="8.28515625" style="16" customWidth="1"/>
    <col min="9223" max="9230" width="8.140625" style="16" customWidth="1"/>
    <col min="9231" max="9231" width="9.2851562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9" style="16" customWidth="1"/>
    <col min="9475" max="9475" width="8.7109375" style="16" customWidth="1"/>
    <col min="9476" max="9477" width="8.140625" style="16" customWidth="1"/>
    <col min="9478" max="9478" width="8.28515625" style="16" customWidth="1"/>
    <col min="9479" max="9486" width="8.140625" style="16" customWidth="1"/>
    <col min="9487" max="9487" width="9.2851562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9" style="16" customWidth="1"/>
    <col min="9731" max="9731" width="8.7109375" style="16" customWidth="1"/>
    <col min="9732" max="9733" width="8.140625" style="16" customWidth="1"/>
    <col min="9734" max="9734" width="8.28515625" style="16" customWidth="1"/>
    <col min="9735" max="9742" width="8.140625" style="16" customWidth="1"/>
    <col min="9743" max="9743" width="9.2851562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9" style="16" customWidth="1"/>
    <col min="9987" max="9987" width="8.7109375" style="16" customWidth="1"/>
    <col min="9988" max="9989" width="8.140625" style="16" customWidth="1"/>
    <col min="9990" max="9990" width="8.28515625" style="16" customWidth="1"/>
    <col min="9991" max="9998" width="8.140625" style="16" customWidth="1"/>
    <col min="9999" max="9999" width="9.2851562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9" style="16" customWidth="1"/>
    <col min="10243" max="10243" width="8.7109375" style="16" customWidth="1"/>
    <col min="10244" max="10245" width="8.140625" style="16" customWidth="1"/>
    <col min="10246" max="10246" width="8.28515625" style="16" customWidth="1"/>
    <col min="10247" max="10254" width="8.140625" style="16" customWidth="1"/>
    <col min="10255" max="10255" width="9.2851562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9" style="16" customWidth="1"/>
    <col min="10499" max="10499" width="8.7109375" style="16" customWidth="1"/>
    <col min="10500" max="10501" width="8.140625" style="16" customWidth="1"/>
    <col min="10502" max="10502" width="8.28515625" style="16" customWidth="1"/>
    <col min="10503" max="10510" width="8.140625" style="16" customWidth="1"/>
    <col min="10511" max="10511" width="9.2851562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9" style="16" customWidth="1"/>
    <col min="10755" max="10755" width="8.7109375" style="16" customWidth="1"/>
    <col min="10756" max="10757" width="8.140625" style="16" customWidth="1"/>
    <col min="10758" max="10758" width="8.28515625" style="16" customWidth="1"/>
    <col min="10759" max="10766" width="8.140625" style="16" customWidth="1"/>
    <col min="10767" max="10767" width="9.2851562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9" style="16" customWidth="1"/>
    <col min="11011" max="11011" width="8.7109375" style="16" customWidth="1"/>
    <col min="11012" max="11013" width="8.140625" style="16" customWidth="1"/>
    <col min="11014" max="11014" width="8.28515625" style="16" customWidth="1"/>
    <col min="11015" max="11022" width="8.140625" style="16" customWidth="1"/>
    <col min="11023" max="11023" width="9.2851562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9" style="16" customWidth="1"/>
    <col min="11267" max="11267" width="8.7109375" style="16" customWidth="1"/>
    <col min="11268" max="11269" width="8.140625" style="16" customWidth="1"/>
    <col min="11270" max="11270" width="8.28515625" style="16" customWidth="1"/>
    <col min="11271" max="11278" width="8.140625" style="16" customWidth="1"/>
    <col min="11279" max="11279" width="9.2851562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9" style="16" customWidth="1"/>
    <col min="11523" max="11523" width="8.7109375" style="16" customWidth="1"/>
    <col min="11524" max="11525" width="8.140625" style="16" customWidth="1"/>
    <col min="11526" max="11526" width="8.28515625" style="16" customWidth="1"/>
    <col min="11527" max="11534" width="8.140625" style="16" customWidth="1"/>
    <col min="11535" max="11535" width="9.2851562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9" style="16" customWidth="1"/>
    <col min="11779" max="11779" width="8.7109375" style="16" customWidth="1"/>
    <col min="11780" max="11781" width="8.140625" style="16" customWidth="1"/>
    <col min="11782" max="11782" width="8.28515625" style="16" customWidth="1"/>
    <col min="11783" max="11790" width="8.140625" style="16" customWidth="1"/>
    <col min="11791" max="11791" width="9.2851562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9" style="16" customWidth="1"/>
    <col min="12035" max="12035" width="8.7109375" style="16" customWidth="1"/>
    <col min="12036" max="12037" width="8.140625" style="16" customWidth="1"/>
    <col min="12038" max="12038" width="8.28515625" style="16" customWidth="1"/>
    <col min="12039" max="12046" width="8.140625" style="16" customWidth="1"/>
    <col min="12047" max="12047" width="9.2851562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9" style="16" customWidth="1"/>
    <col min="12291" max="12291" width="8.7109375" style="16" customWidth="1"/>
    <col min="12292" max="12293" width="8.140625" style="16" customWidth="1"/>
    <col min="12294" max="12294" width="8.28515625" style="16" customWidth="1"/>
    <col min="12295" max="12302" width="8.140625" style="16" customWidth="1"/>
    <col min="12303" max="12303" width="9.2851562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9" style="16" customWidth="1"/>
    <col min="12547" max="12547" width="8.7109375" style="16" customWidth="1"/>
    <col min="12548" max="12549" width="8.140625" style="16" customWidth="1"/>
    <col min="12550" max="12550" width="8.28515625" style="16" customWidth="1"/>
    <col min="12551" max="12558" width="8.140625" style="16" customWidth="1"/>
    <col min="12559" max="12559" width="9.2851562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9" style="16" customWidth="1"/>
    <col min="12803" max="12803" width="8.7109375" style="16" customWidth="1"/>
    <col min="12804" max="12805" width="8.140625" style="16" customWidth="1"/>
    <col min="12806" max="12806" width="8.28515625" style="16" customWidth="1"/>
    <col min="12807" max="12814" width="8.140625" style="16" customWidth="1"/>
    <col min="12815" max="12815" width="9.2851562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9" style="16" customWidth="1"/>
    <col min="13059" max="13059" width="8.7109375" style="16" customWidth="1"/>
    <col min="13060" max="13061" width="8.140625" style="16" customWidth="1"/>
    <col min="13062" max="13062" width="8.28515625" style="16" customWidth="1"/>
    <col min="13063" max="13070" width="8.140625" style="16" customWidth="1"/>
    <col min="13071" max="13071" width="9.2851562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9" style="16" customWidth="1"/>
    <col min="13315" max="13315" width="8.7109375" style="16" customWidth="1"/>
    <col min="13316" max="13317" width="8.140625" style="16" customWidth="1"/>
    <col min="13318" max="13318" width="8.28515625" style="16" customWidth="1"/>
    <col min="13319" max="13326" width="8.140625" style="16" customWidth="1"/>
    <col min="13327" max="13327" width="9.2851562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9" style="16" customWidth="1"/>
    <col min="13571" max="13571" width="8.7109375" style="16" customWidth="1"/>
    <col min="13572" max="13573" width="8.140625" style="16" customWidth="1"/>
    <col min="13574" max="13574" width="8.28515625" style="16" customWidth="1"/>
    <col min="13575" max="13582" width="8.140625" style="16" customWidth="1"/>
    <col min="13583" max="13583" width="9.2851562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9" style="16" customWidth="1"/>
    <col min="13827" max="13827" width="8.7109375" style="16" customWidth="1"/>
    <col min="13828" max="13829" width="8.140625" style="16" customWidth="1"/>
    <col min="13830" max="13830" width="8.28515625" style="16" customWidth="1"/>
    <col min="13831" max="13838" width="8.140625" style="16" customWidth="1"/>
    <col min="13839" max="13839" width="9.2851562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9" style="16" customWidth="1"/>
    <col min="14083" max="14083" width="8.7109375" style="16" customWidth="1"/>
    <col min="14084" max="14085" width="8.140625" style="16" customWidth="1"/>
    <col min="14086" max="14086" width="8.28515625" style="16" customWidth="1"/>
    <col min="14087" max="14094" width="8.140625" style="16" customWidth="1"/>
    <col min="14095" max="14095" width="9.2851562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9" style="16" customWidth="1"/>
    <col min="14339" max="14339" width="8.7109375" style="16" customWidth="1"/>
    <col min="14340" max="14341" width="8.140625" style="16" customWidth="1"/>
    <col min="14342" max="14342" width="8.28515625" style="16" customWidth="1"/>
    <col min="14343" max="14350" width="8.140625" style="16" customWidth="1"/>
    <col min="14351" max="14351" width="9.2851562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9" style="16" customWidth="1"/>
    <col min="14595" max="14595" width="8.7109375" style="16" customWidth="1"/>
    <col min="14596" max="14597" width="8.140625" style="16" customWidth="1"/>
    <col min="14598" max="14598" width="8.28515625" style="16" customWidth="1"/>
    <col min="14599" max="14606" width="8.140625" style="16" customWidth="1"/>
    <col min="14607" max="14607" width="9.2851562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9" style="16" customWidth="1"/>
    <col min="14851" max="14851" width="8.7109375" style="16" customWidth="1"/>
    <col min="14852" max="14853" width="8.140625" style="16" customWidth="1"/>
    <col min="14854" max="14854" width="8.28515625" style="16" customWidth="1"/>
    <col min="14855" max="14862" width="8.140625" style="16" customWidth="1"/>
    <col min="14863" max="14863" width="9.2851562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9" style="16" customWidth="1"/>
    <col min="15107" max="15107" width="8.7109375" style="16" customWidth="1"/>
    <col min="15108" max="15109" width="8.140625" style="16" customWidth="1"/>
    <col min="15110" max="15110" width="8.28515625" style="16" customWidth="1"/>
    <col min="15111" max="15118" width="8.140625" style="16" customWidth="1"/>
    <col min="15119" max="15119" width="9.2851562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9" style="16" customWidth="1"/>
    <col min="15363" max="15363" width="8.7109375" style="16" customWidth="1"/>
    <col min="15364" max="15365" width="8.140625" style="16" customWidth="1"/>
    <col min="15366" max="15366" width="8.28515625" style="16" customWidth="1"/>
    <col min="15367" max="15374" width="8.140625" style="16" customWidth="1"/>
    <col min="15375" max="15375" width="9.2851562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9" style="16" customWidth="1"/>
    <col min="15619" max="15619" width="8.7109375" style="16" customWidth="1"/>
    <col min="15620" max="15621" width="8.140625" style="16" customWidth="1"/>
    <col min="15622" max="15622" width="8.28515625" style="16" customWidth="1"/>
    <col min="15623" max="15630" width="8.140625" style="16" customWidth="1"/>
    <col min="15631" max="15631" width="9.2851562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9" style="16" customWidth="1"/>
    <col min="15875" max="15875" width="8.7109375" style="16" customWidth="1"/>
    <col min="15876" max="15877" width="8.140625" style="16" customWidth="1"/>
    <col min="15878" max="15878" width="8.28515625" style="16" customWidth="1"/>
    <col min="15879" max="15886" width="8.140625" style="16" customWidth="1"/>
    <col min="15887" max="15887" width="9.2851562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9" style="16" customWidth="1"/>
    <col min="16131" max="16131" width="8.7109375" style="16" customWidth="1"/>
    <col min="16132" max="16133" width="8.140625" style="16" customWidth="1"/>
    <col min="16134" max="16134" width="8.28515625" style="16" customWidth="1"/>
    <col min="16135" max="16142" width="8.140625" style="16" customWidth="1"/>
    <col min="16143" max="16143" width="9.2851562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67" t="s">
        <v>449</v>
      </c>
      <c r="B1" s="868"/>
      <c r="C1" s="868"/>
      <c r="D1" s="869"/>
      <c r="E1" s="868"/>
      <c r="F1" s="868"/>
      <c r="G1" s="867" t="s">
        <v>102</v>
      </c>
      <c r="H1" s="869"/>
      <c r="I1" s="869" t="s">
        <v>786</v>
      </c>
      <c r="J1" s="868"/>
      <c r="K1" s="868"/>
      <c r="L1" s="870"/>
      <c r="M1" s="870"/>
      <c r="N1" s="870"/>
      <c r="O1" s="870"/>
    </row>
    <row r="2" spans="1:15" s="1" customFormat="1" x14ac:dyDescent="0.2">
      <c r="A2" s="867" t="s">
        <v>103</v>
      </c>
      <c r="B2" s="868"/>
      <c r="C2" s="868"/>
      <c r="D2" s="869" t="s">
        <v>812</v>
      </c>
      <c r="E2" s="868"/>
      <c r="F2" s="868"/>
      <c r="G2" s="867" t="s">
        <v>104</v>
      </c>
      <c r="H2" s="869"/>
      <c r="I2" s="869" t="s">
        <v>105</v>
      </c>
      <c r="J2" s="868"/>
      <c r="K2" s="868"/>
      <c r="L2" s="870"/>
      <c r="M2" s="870"/>
      <c r="N2" s="870"/>
      <c r="O2" s="870"/>
    </row>
    <row r="3" spans="1:15" s="1" customFormat="1" x14ac:dyDescent="0.2">
      <c r="A3" s="867" t="s">
        <v>106</v>
      </c>
      <c r="B3" s="868"/>
      <c r="C3" s="868"/>
      <c r="D3" s="881">
        <v>24649</v>
      </c>
      <c r="E3" s="882"/>
      <c r="F3" s="882"/>
      <c r="G3" s="867" t="s">
        <v>107</v>
      </c>
      <c r="H3" s="869"/>
      <c r="I3" s="869" t="s">
        <v>108</v>
      </c>
      <c r="J3" s="868"/>
      <c r="K3" s="868"/>
      <c r="L3" s="870"/>
      <c r="M3" s="870"/>
      <c r="N3" s="870"/>
      <c r="O3" s="870"/>
    </row>
    <row r="4" spans="1:15" s="1" customFormat="1" x14ac:dyDescent="0.2">
      <c r="A4" s="867" t="s">
        <v>476</v>
      </c>
      <c r="B4" s="868"/>
      <c r="C4" s="868"/>
      <c r="D4" s="869" t="s">
        <v>813</v>
      </c>
      <c r="E4" s="868"/>
      <c r="F4" s="868"/>
      <c r="G4" s="867" t="s">
        <v>110</v>
      </c>
      <c r="H4" s="869"/>
      <c r="I4" s="869" t="s">
        <v>111</v>
      </c>
      <c r="J4" s="868"/>
      <c r="K4" s="868"/>
      <c r="L4" s="870"/>
      <c r="M4" s="870"/>
      <c r="N4" s="870"/>
      <c r="O4" s="870"/>
    </row>
    <row r="5" spans="1:15" s="1" customFormat="1" x14ac:dyDescent="0.2">
      <c r="A5" s="867" t="s">
        <v>112</v>
      </c>
      <c r="B5" s="868"/>
      <c r="C5" s="868"/>
      <c r="D5" s="869" t="s">
        <v>813</v>
      </c>
      <c r="E5" s="868"/>
      <c r="F5" s="868"/>
      <c r="G5" s="867"/>
      <c r="H5" s="868"/>
      <c r="I5" s="869" t="s">
        <v>113</v>
      </c>
      <c r="J5" s="868"/>
      <c r="K5" s="868"/>
      <c r="L5" s="870"/>
      <c r="M5" s="870"/>
      <c r="N5" s="870"/>
      <c r="O5" s="870"/>
    </row>
    <row r="6" spans="1:15" s="1" customFormat="1" x14ac:dyDescent="0.2">
      <c r="A6" s="871" t="s">
        <v>114</v>
      </c>
      <c r="B6" s="872"/>
      <c r="C6" s="872"/>
      <c r="D6" s="868" t="s">
        <v>787</v>
      </c>
      <c r="E6" s="868"/>
      <c r="F6" s="868"/>
      <c r="G6" s="871" t="s">
        <v>115</v>
      </c>
      <c r="H6" s="871"/>
      <c r="I6" s="2" t="s">
        <v>222</v>
      </c>
      <c r="J6" s="888"/>
      <c r="K6" s="888"/>
      <c r="L6" s="888"/>
      <c r="M6" s="888"/>
      <c r="N6" s="888"/>
      <c r="O6" s="889"/>
    </row>
    <row r="7" spans="1:15" s="1" customFormat="1" ht="13.5" thickBot="1" x14ac:dyDescent="0.25">
      <c r="A7" s="3"/>
      <c r="B7" s="4"/>
      <c r="C7" s="5"/>
      <c r="D7" s="6"/>
      <c r="E7" s="6"/>
      <c r="F7" s="6"/>
      <c r="G7" s="6"/>
      <c r="H7" s="6"/>
      <c r="I7" s="6"/>
      <c r="J7" s="7"/>
      <c r="K7" s="8"/>
      <c r="L7" s="875" t="s">
        <v>223</v>
      </c>
      <c r="M7" s="875"/>
      <c r="N7" s="875"/>
      <c r="O7" s="875"/>
    </row>
    <row r="8" spans="1:15" s="11" customFormat="1" x14ac:dyDescent="0.2">
      <c r="A8" s="876" t="str">
        <f>I1</f>
        <v>Ms. Jaya Ajith Unny</v>
      </c>
      <c r="B8" s="877"/>
      <c r="C8" s="144">
        <v>43160</v>
      </c>
      <c r="D8" s="144">
        <v>43191</v>
      </c>
      <c r="E8" s="144">
        <v>43221</v>
      </c>
      <c r="F8" s="144">
        <v>43252</v>
      </c>
      <c r="G8" s="144">
        <v>43282</v>
      </c>
      <c r="H8" s="144">
        <v>43313</v>
      </c>
      <c r="I8" s="144">
        <v>43344</v>
      </c>
      <c r="J8" s="144">
        <v>43374</v>
      </c>
      <c r="K8" s="144">
        <v>43405</v>
      </c>
      <c r="L8" s="144">
        <v>43435</v>
      </c>
      <c r="M8" s="144">
        <v>43466</v>
      </c>
      <c r="N8" s="144">
        <v>43497</v>
      </c>
      <c r="O8" s="299" t="s">
        <v>117</v>
      </c>
    </row>
    <row r="9" spans="1:15" ht="15" customHeight="1" x14ac:dyDescent="0.2">
      <c r="A9" s="12"/>
      <c r="B9" s="13" t="s">
        <v>118</v>
      </c>
      <c r="C9" s="14">
        <v>41600</v>
      </c>
      <c r="D9" s="14">
        <v>41600</v>
      </c>
      <c r="E9" s="14">
        <v>41600</v>
      </c>
      <c r="F9" s="14">
        <v>41600</v>
      </c>
      <c r="G9" s="14">
        <v>42800</v>
      </c>
      <c r="H9" s="14">
        <v>42800</v>
      </c>
      <c r="I9" s="14">
        <v>42800</v>
      </c>
      <c r="J9" s="14">
        <v>42800</v>
      </c>
      <c r="K9" s="14">
        <v>42800</v>
      </c>
      <c r="L9" s="14">
        <v>42800</v>
      </c>
      <c r="M9" s="14">
        <v>42800</v>
      </c>
      <c r="N9" s="14">
        <v>42800</v>
      </c>
      <c r="O9" s="25">
        <f>SUM(C9:N9)</f>
        <v>508800</v>
      </c>
    </row>
    <row r="10" spans="1:15" ht="15" customHeight="1" x14ac:dyDescent="0.2">
      <c r="A10" s="12"/>
      <c r="B10" s="13" t="s">
        <v>119</v>
      </c>
      <c r="C10" s="17">
        <v>0</v>
      </c>
      <c r="D10" s="17">
        <f>+C10</f>
        <v>0</v>
      </c>
      <c r="E10" s="17">
        <f t="shared" ref="E10:N25" si="0">+D10</f>
        <v>0</v>
      </c>
      <c r="F10" s="17">
        <f t="shared" si="0"/>
        <v>0</v>
      </c>
      <c r="G10" s="17">
        <f t="shared" si="0"/>
        <v>0</v>
      </c>
      <c r="H10" s="17">
        <v>0</v>
      </c>
      <c r="I10" s="17">
        <f t="shared" si="0"/>
        <v>0</v>
      </c>
      <c r="J10" s="17">
        <f t="shared" si="0"/>
        <v>0</v>
      </c>
      <c r="K10" s="17">
        <f t="shared" si="0"/>
        <v>0</v>
      </c>
      <c r="L10" s="17">
        <f t="shared" si="0"/>
        <v>0</v>
      </c>
      <c r="M10" s="17">
        <f t="shared" si="0"/>
        <v>0</v>
      </c>
      <c r="N10" s="17">
        <f t="shared" si="0"/>
        <v>0</v>
      </c>
      <c r="O10" s="18">
        <f>SUM(C10:N10)</f>
        <v>0</v>
      </c>
    </row>
    <row r="11" spans="1:15" ht="15" customHeight="1" x14ac:dyDescent="0.2">
      <c r="A11" s="12"/>
      <c r="B11" s="13" t="s">
        <v>120</v>
      </c>
      <c r="C11" s="17">
        <v>2080</v>
      </c>
      <c r="D11" s="17">
        <v>2912</v>
      </c>
      <c r="E11" s="17">
        <f t="shared" si="0"/>
        <v>2912</v>
      </c>
      <c r="F11" s="17">
        <f t="shared" si="0"/>
        <v>2912</v>
      </c>
      <c r="G11" s="17">
        <v>2996</v>
      </c>
      <c r="H11" s="17">
        <v>2996</v>
      </c>
      <c r="I11" s="17">
        <v>2996</v>
      </c>
      <c r="J11" s="17">
        <v>3852</v>
      </c>
      <c r="K11" s="17">
        <f>+J11</f>
        <v>3852</v>
      </c>
      <c r="L11" s="17">
        <f>+K11</f>
        <v>3852</v>
      </c>
      <c r="M11" s="17">
        <f>+L11</f>
        <v>3852</v>
      </c>
      <c r="N11" s="17">
        <f>+M11</f>
        <v>3852</v>
      </c>
      <c r="O11" s="18">
        <f>SUM(C11:N11)</f>
        <v>39064</v>
      </c>
    </row>
    <row r="12" spans="1:15" ht="15" hidden="1" customHeight="1" x14ac:dyDescent="0.2">
      <c r="A12" s="12"/>
      <c r="B12" s="13" t="s">
        <v>121</v>
      </c>
      <c r="C12" s="17">
        <v>0</v>
      </c>
      <c r="D12" s="17">
        <f>+C12</f>
        <v>0</v>
      </c>
      <c r="E12" s="17">
        <f t="shared" si="0"/>
        <v>0</v>
      </c>
      <c r="F12" s="17">
        <f t="shared" si="0"/>
        <v>0</v>
      </c>
      <c r="G12" s="17">
        <f t="shared" si="0"/>
        <v>0</v>
      </c>
      <c r="H12" s="17">
        <v>0</v>
      </c>
      <c r="I12" s="17">
        <f t="shared" ref="I12:N13" si="1">+H12</f>
        <v>0</v>
      </c>
      <c r="J12" s="17">
        <f t="shared" si="1"/>
        <v>0</v>
      </c>
      <c r="K12" s="17">
        <f t="shared" si="1"/>
        <v>0</v>
      </c>
      <c r="L12" s="17">
        <f t="shared" si="1"/>
        <v>0</v>
      </c>
      <c r="M12" s="17">
        <f t="shared" si="1"/>
        <v>0</v>
      </c>
      <c r="N12" s="17">
        <f t="shared" si="1"/>
        <v>0</v>
      </c>
      <c r="O12" s="18">
        <f>SUM(C12:N12)</f>
        <v>0</v>
      </c>
    </row>
    <row r="13" spans="1:15" ht="15" hidden="1" customHeight="1" x14ac:dyDescent="0.2">
      <c r="A13" s="12"/>
      <c r="B13" s="13" t="s">
        <v>122</v>
      </c>
      <c r="C13" s="17">
        <v>0</v>
      </c>
      <c r="D13" s="17">
        <f>+C13</f>
        <v>0</v>
      </c>
      <c r="E13" s="17">
        <f t="shared" si="0"/>
        <v>0</v>
      </c>
      <c r="F13" s="17">
        <f t="shared" si="0"/>
        <v>0</v>
      </c>
      <c r="G13" s="17">
        <f t="shared" si="0"/>
        <v>0</v>
      </c>
      <c r="H13" s="17">
        <v>0</v>
      </c>
      <c r="I13" s="17">
        <f t="shared" si="1"/>
        <v>0</v>
      </c>
      <c r="J13" s="17">
        <f t="shared" si="1"/>
        <v>0</v>
      </c>
      <c r="K13" s="17">
        <f t="shared" si="1"/>
        <v>0</v>
      </c>
      <c r="L13" s="17">
        <f t="shared" si="1"/>
        <v>0</v>
      </c>
      <c r="M13" s="17">
        <f t="shared" si="1"/>
        <v>0</v>
      </c>
      <c r="N13" s="17">
        <f t="shared" si="1"/>
        <v>0</v>
      </c>
      <c r="O13" s="18">
        <f t="shared" ref="O13:O36" si="2">SUM(C13:N13)</f>
        <v>0</v>
      </c>
    </row>
    <row r="14" spans="1:15" ht="15" customHeight="1" x14ac:dyDescent="0.2">
      <c r="A14" s="12"/>
      <c r="B14" s="13" t="s">
        <v>123</v>
      </c>
      <c r="C14" s="17">
        <v>3780</v>
      </c>
      <c r="D14" s="17">
        <v>3852</v>
      </c>
      <c r="E14" s="17">
        <f t="shared" si="0"/>
        <v>3852</v>
      </c>
      <c r="F14" s="17">
        <f t="shared" si="0"/>
        <v>3852</v>
      </c>
      <c r="G14" s="17">
        <f t="shared" si="0"/>
        <v>3852</v>
      </c>
      <c r="H14" s="17">
        <f>+G14</f>
        <v>3852</v>
      </c>
      <c r="I14" s="17">
        <f>+H14</f>
        <v>3852</v>
      </c>
      <c r="J14" s="17">
        <v>3924</v>
      </c>
      <c r="K14" s="17">
        <f>+J14</f>
        <v>3924</v>
      </c>
      <c r="L14" s="17">
        <f>+K14</f>
        <v>3924</v>
      </c>
      <c r="M14" s="17">
        <f>+L14</f>
        <v>3924</v>
      </c>
      <c r="N14" s="17">
        <f>+M14</f>
        <v>3924</v>
      </c>
      <c r="O14" s="18">
        <f t="shared" si="2"/>
        <v>46512</v>
      </c>
    </row>
    <row r="15" spans="1:15" ht="15" hidden="1" customHeight="1" x14ac:dyDescent="0.2">
      <c r="A15" s="12"/>
      <c r="B15" s="13" t="s">
        <v>124</v>
      </c>
      <c r="C15" s="17">
        <v>0</v>
      </c>
      <c r="D15" s="17">
        <f t="shared" ref="D15:G34" si="3">+C15</f>
        <v>0</v>
      </c>
      <c r="E15" s="17">
        <f t="shared" si="0"/>
        <v>0</v>
      </c>
      <c r="F15" s="17">
        <f t="shared" si="0"/>
        <v>0</v>
      </c>
      <c r="G15" s="17">
        <f t="shared" si="0"/>
        <v>0</v>
      </c>
      <c r="H15" s="17">
        <v>0</v>
      </c>
      <c r="I15" s="17">
        <f t="shared" ref="I15:N18" si="4">+H15</f>
        <v>0</v>
      </c>
      <c r="J15" s="17">
        <f t="shared" si="4"/>
        <v>0</v>
      </c>
      <c r="K15" s="17">
        <f t="shared" si="4"/>
        <v>0</v>
      </c>
      <c r="L15" s="17">
        <f t="shared" si="4"/>
        <v>0</v>
      </c>
      <c r="M15" s="17">
        <f t="shared" si="4"/>
        <v>0</v>
      </c>
      <c r="N15" s="17">
        <f t="shared" si="4"/>
        <v>0</v>
      </c>
      <c r="O15" s="18">
        <f t="shared" si="2"/>
        <v>0</v>
      </c>
    </row>
    <row r="16" spans="1:15" ht="15" hidden="1" customHeight="1" x14ac:dyDescent="0.2">
      <c r="A16" s="12"/>
      <c r="B16" s="13" t="s">
        <v>405</v>
      </c>
      <c r="C16" s="17">
        <v>0</v>
      </c>
      <c r="D16" s="17">
        <f t="shared" si="3"/>
        <v>0</v>
      </c>
      <c r="E16" s="17">
        <f t="shared" si="0"/>
        <v>0</v>
      </c>
      <c r="F16" s="17">
        <f t="shared" si="0"/>
        <v>0</v>
      </c>
      <c r="G16" s="17">
        <f t="shared" si="0"/>
        <v>0</v>
      </c>
      <c r="H16" s="17">
        <v>0</v>
      </c>
      <c r="I16" s="17">
        <f t="shared" si="4"/>
        <v>0</v>
      </c>
      <c r="J16" s="17">
        <f t="shared" si="4"/>
        <v>0</v>
      </c>
      <c r="K16" s="17">
        <f t="shared" si="4"/>
        <v>0</v>
      </c>
      <c r="L16" s="17">
        <f t="shared" si="4"/>
        <v>0</v>
      </c>
      <c r="M16" s="17">
        <f t="shared" si="4"/>
        <v>0</v>
      </c>
      <c r="N16" s="17">
        <f t="shared" si="4"/>
        <v>0</v>
      </c>
      <c r="O16" s="18">
        <f t="shared" si="2"/>
        <v>0</v>
      </c>
    </row>
    <row r="17" spans="1:15" ht="15" hidden="1" customHeight="1" x14ac:dyDescent="0.2">
      <c r="A17" s="12"/>
      <c r="B17" s="13" t="s">
        <v>126</v>
      </c>
      <c r="C17" s="17">
        <v>0</v>
      </c>
      <c r="D17" s="17">
        <f t="shared" si="3"/>
        <v>0</v>
      </c>
      <c r="E17" s="17">
        <f t="shared" si="0"/>
        <v>0</v>
      </c>
      <c r="F17" s="17">
        <f t="shared" si="0"/>
        <v>0</v>
      </c>
      <c r="G17" s="17">
        <f t="shared" si="0"/>
        <v>0</v>
      </c>
      <c r="H17" s="17">
        <v>0</v>
      </c>
      <c r="I17" s="17">
        <f t="shared" si="4"/>
        <v>0</v>
      </c>
      <c r="J17" s="17">
        <f t="shared" si="4"/>
        <v>0</v>
      </c>
      <c r="K17" s="17">
        <f t="shared" si="4"/>
        <v>0</v>
      </c>
      <c r="L17" s="17">
        <f t="shared" si="4"/>
        <v>0</v>
      </c>
      <c r="M17" s="17">
        <f t="shared" si="4"/>
        <v>0</v>
      </c>
      <c r="N17" s="17">
        <f t="shared" si="4"/>
        <v>0</v>
      </c>
      <c r="O17" s="18">
        <f t="shared" si="2"/>
        <v>0</v>
      </c>
    </row>
    <row r="18" spans="1:15" ht="15" hidden="1" customHeight="1" x14ac:dyDescent="0.2">
      <c r="A18" s="12"/>
      <c r="B18" s="13" t="s">
        <v>609</v>
      </c>
      <c r="C18" s="17">
        <v>0</v>
      </c>
      <c r="D18" s="17">
        <f t="shared" si="3"/>
        <v>0</v>
      </c>
      <c r="E18" s="17">
        <f t="shared" si="0"/>
        <v>0</v>
      </c>
      <c r="F18" s="17">
        <f t="shared" si="0"/>
        <v>0</v>
      </c>
      <c r="G18" s="17">
        <f t="shared" si="0"/>
        <v>0</v>
      </c>
      <c r="H18" s="17">
        <v>0</v>
      </c>
      <c r="I18" s="17">
        <f t="shared" si="4"/>
        <v>0</v>
      </c>
      <c r="J18" s="17">
        <f t="shared" si="4"/>
        <v>0</v>
      </c>
      <c r="K18" s="17">
        <f t="shared" si="4"/>
        <v>0</v>
      </c>
      <c r="L18" s="17">
        <f t="shared" si="4"/>
        <v>0</v>
      </c>
      <c r="M18" s="17">
        <f t="shared" si="4"/>
        <v>0</v>
      </c>
      <c r="N18" s="17">
        <f t="shared" si="4"/>
        <v>0</v>
      </c>
      <c r="O18" s="18">
        <f t="shared" si="2"/>
        <v>0</v>
      </c>
    </row>
    <row r="19" spans="1:15" ht="15" customHeight="1" x14ac:dyDescent="0.2">
      <c r="A19" s="12"/>
      <c r="B19" s="13" t="s">
        <v>128</v>
      </c>
      <c r="C19" s="17">
        <v>9984</v>
      </c>
      <c r="D19" s="17">
        <f t="shared" si="3"/>
        <v>9984</v>
      </c>
      <c r="E19" s="17">
        <f t="shared" si="0"/>
        <v>9984</v>
      </c>
      <c r="F19" s="17">
        <f t="shared" si="0"/>
        <v>9984</v>
      </c>
      <c r="G19" s="17">
        <v>10272</v>
      </c>
      <c r="H19" s="17">
        <v>10272</v>
      </c>
      <c r="I19" s="17">
        <v>10272</v>
      </c>
      <c r="J19" s="17">
        <v>10272</v>
      </c>
      <c r="K19" s="17">
        <v>10272</v>
      </c>
      <c r="L19" s="17">
        <v>10272</v>
      </c>
      <c r="M19" s="17">
        <v>10272</v>
      </c>
      <c r="N19" s="17">
        <v>10272</v>
      </c>
      <c r="O19" s="18">
        <f t="shared" si="2"/>
        <v>122112</v>
      </c>
    </row>
    <row r="20" spans="1:15" ht="15" customHeight="1" x14ac:dyDescent="0.2">
      <c r="A20" s="12"/>
      <c r="B20" s="13" t="s">
        <v>129</v>
      </c>
      <c r="C20" s="17">
        <v>0</v>
      </c>
      <c r="D20" s="17">
        <f t="shared" si="3"/>
        <v>0</v>
      </c>
      <c r="E20" s="17">
        <f t="shared" si="0"/>
        <v>0</v>
      </c>
      <c r="F20" s="17">
        <f t="shared" si="0"/>
        <v>0</v>
      </c>
      <c r="G20" s="17">
        <f t="shared" si="0"/>
        <v>0</v>
      </c>
      <c r="H20" s="17">
        <v>0</v>
      </c>
      <c r="I20" s="17">
        <f t="shared" ref="I20:N35" si="5">+H20</f>
        <v>0</v>
      </c>
      <c r="J20" s="17">
        <f t="shared" si="5"/>
        <v>0</v>
      </c>
      <c r="K20" s="17">
        <f t="shared" si="5"/>
        <v>0</v>
      </c>
      <c r="L20" s="17">
        <f t="shared" si="5"/>
        <v>0</v>
      </c>
      <c r="M20" s="17">
        <f t="shared" si="5"/>
        <v>0</v>
      </c>
      <c r="N20" s="17">
        <f t="shared" si="5"/>
        <v>0</v>
      </c>
      <c r="O20" s="18">
        <f t="shared" si="2"/>
        <v>0</v>
      </c>
    </row>
    <row r="21" spans="1:15" ht="15" hidden="1" customHeight="1" x14ac:dyDescent="0.2">
      <c r="A21" s="878" t="s">
        <v>130</v>
      </c>
      <c r="B21" s="19" t="s">
        <v>131</v>
      </c>
      <c r="C21" s="17">
        <v>0</v>
      </c>
      <c r="D21" s="17">
        <f t="shared" si="3"/>
        <v>0</v>
      </c>
      <c r="E21" s="17">
        <f t="shared" si="0"/>
        <v>0</v>
      </c>
      <c r="F21" s="17">
        <f t="shared" si="0"/>
        <v>0</v>
      </c>
      <c r="G21" s="17">
        <f t="shared" si="0"/>
        <v>0</v>
      </c>
      <c r="H21" s="17">
        <v>0</v>
      </c>
      <c r="I21" s="17">
        <f t="shared" si="5"/>
        <v>0</v>
      </c>
      <c r="J21" s="17">
        <f t="shared" si="5"/>
        <v>0</v>
      </c>
      <c r="K21" s="17">
        <f t="shared" si="5"/>
        <v>0</v>
      </c>
      <c r="L21" s="17">
        <f t="shared" si="5"/>
        <v>0</v>
      </c>
      <c r="M21" s="17">
        <f t="shared" si="5"/>
        <v>0</v>
      </c>
      <c r="N21" s="17">
        <f t="shared" si="5"/>
        <v>0</v>
      </c>
      <c r="O21" s="18">
        <f t="shared" si="2"/>
        <v>0</v>
      </c>
    </row>
    <row r="22" spans="1:15" ht="15" customHeight="1" x14ac:dyDescent="0.2">
      <c r="A22" s="879"/>
      <c r="B22" s="19" t="s">
        <v>132</v>
      </c>
      <c r="C22" s="17">
        <v>0</v>
      </c>
      <c r="D22" s="17">
        <f t="shared" si="3"/>
        <v>0</v>
      </c>
      <c r="E22" s="17">
        <f t="shared" si="0"/>
        <v>0</v>
      </c>
      <c r="F22" s="17">
        <f t="shared" si="0"/>
        <v>0</v>
      </c>
      <c r="G22" s="17">
        <f t="shared" si="0"/>
        <v>0</v>
      </c>
      <c r="H22" s="17">
        <v>0</v>
      </c>
      <c r="I22" s="17">
        <f t="shared" si="5"/>
        <v>0</v>
      </c>
      <c r="J22" s="17">
        <v>6908</v>
      </c>
      <c r="K22" s="17">
        <v>0</v>
      </c>
      <c r="L22" s="17">
        <f t="shared" si="5"/>
        <v>0</v>
      </c>
      <c r="M22" s="17">
        <f t="shared" si="5"/>
        <v>0</v>
      </c>
      <c r="N22" s="17">
        <f t="shared" si="5"/>
        <v>0</v>
      </c>
      <c r="O22" s="18">
        <f t="shared" si="2"/>
        <v>6908</v>
      </c>
    </row>
    <row r="23" spans="1:15" ht="15" hidden="1" customHeight="1" x14ac:dyDescent="0.2">
      <c r="A23" s="879"/>
      <c r="B23" s="19" t="s">
        <v>133</v>
      </c>
      <c r="C23" s="17">
        <v>0</v>
      </c>
      <c r="D23" s="17">
        <f t="shared" si="3"/>
        <v>0</v>
      </c>
      <c r="E23" s="17">
        <f t="shared" si="0"/>
        <v>0</v>
      </c>
      <c r="F23" s="17">
        <f t="shared" si="0"/>
        <v>0</v>
      </c>
      <c r="G23" s="17">
        <f t="shared" si="0"/>
        <v>0</v>
      </c>
      <c r="H23" s="17">
        <v>0</v>
      </c>
      <c r="I23" s="17">
        <f t="shared" si="5"/>
        <v>0</v>
      </c>
      <c r="J23" s="17">
        <f t="shared" si="5"/>
        <v>0</v>
      </c>
      <c r="K23" s="17">
        <f t="shared" si="5"/>
        <v>0</v>
      </c>
      <c r="L23" s="17">
        <f t="shared" si="5"/>
        <v>0</v>
      </c>
      <c r="M23" s="17">
        <f t="shared" si="5"/>
        <v>0</v>
      </c>
      <c r="N23" s="17">
        <f t="shared" si="5"/>
        <v>0</v>
      </c>
      <c r="O23" s="18">
        <f t="shared" si="2"/>
        <v>0</v>
      </c>
    </row>
    <row r="24" spans="1:15" ht="15" hidden="1" customHeight="1" x14ac:dyDescent="0.2">
      <c r="A24" s="879"/>
      <c r="B24" s="19" t="s">
        <v>134</v>
      </c>
      <c r="C24" s="17">
        <v>0</v>
      </c>
      <c r="D24" s="17">
        <f t="shared" si="3"/>
        <v>0</v>
      </c>
      <c r="E24" s="17">
        <f t="shared" si="0"/>
        <v>0</v>
      </c>
      <c r="F24" s="17">
        <f t="shared" si="0"/>
        <v>0</v>
      </c>
      <c r="G24" s="17">
        <f t="shared" si="0"/>
        <v>0</v>
      </c>
      <c r="H24" s="17">
        <v>0</v>
      </c>
      <c r="I24" s="17">
        <f t="shared" si="5"/>
        <v>0</v>
      </c>
      <c r="J24" s="17">
        <f t="shared" si="5"/>
        <v>0</v>
      </c>
      <c r="K24" s="17">
        <f t="shared" si="5"/>
        <v>0</v>
      </c>
      <c r="L24" s="17">
        <f t="shared" si="5"/>
        <v>0</v>
      </c>
      <c r="M24" s="17">
        <f t="shared" si="5"/>
        <v>0</v>
      </c>
      <c r="N24" s="17">
        <f t="shared" si="5"/>
        <v>0</v>
      </c>
      <c r="O24" s="18">
        <f t="shared" si="2"/>
        <v>0</v>
      </c>
    </row>
    <row r="25" spans="1:15" ht="15" hidden="1" customHeight="1" x14ac:dyDescent="0.2">
      <c r="A25" s="879"/>
      <c r="B25" s="19" t="s">
        <v>135</v>
      </c>
      <c r="C25" s="17">
        <v>0</v>
      </c>
      <c r="D25" s="17">
        <f t="shared" si="3"/>
        <v>0</v>
      </c>
      <c r="E25" s="17">
        <f t="shared" si="0"/>
        <v>0</v>
      </c>
      <c r="F25" s="17">
        <f t="shared" si="0"/>
        <v>0</v>
      </c>
      <c r="G25" s="17">
        <f t="shared" si="0"/>
        <v>0</v>
      </c>
      <c r="H25" s="17">
        <v>0</v>
      </c>
      <c r="I25" s="17">
        <f t="shared" si="5"/>
        <v>0</v>
      </c>
      <c r="J25" s="17">
        <f t="shared" si="5"/>
        <v>0</v>
      </c>
      <c r="K25" s="17">
        <f t="shared" si="5"/>
        <v>0</v>
      </c>
      <c r="L25" s="17">
        <f t="shared" si="5"/>
        <v>0</v>
      </c>
      <c r="M25" s="17">
        <f t="shared" si="5"/>
        <v>0</v>
      </c>
      <c r="N25" s="17">
        <f t="shared" si="5"/>
        <v>0</v>
      </c>
      <c r="O25" s="18">
        <f t="shared" si="2"/>
        <v>0</v>
      </c>
    </row>
    <row r="26" spans="1:15" ht="15" hidden="1" customHeight="1" x14ac:dyDescent="0.2">
      <c r="A26" s="879"/>
      <c r="B26" s="19" t="s">
        <v>136</v>
      </c>
      <c r="C26" s="17">
        <v>0</v>
      </c>
      <c r="D26" s="17">
        <f t="shared" si="3"/>
        <v>0</v>
      </c>
      <c r="E26" s="17">
        <f t="shared" si="3"/>
        <v>0</v>
      </c>
      <c r="F26" s="17">
        <f t="shared" si="3"/>
        <v>0</v>
      </c>
      <c r="G26" s="17">
        <f t="shared" si="3"/>
        <v>0</v>
      </c>
      <c r="H26" s="17">
        <v>0</v>
      </c>
      <c r="I26" s="17">
        <f t="shared" si="5"/>
        <v>0</v>
      </c>
      <c r="J26" s="17">
        <f t="shared" si="5"/>
        <v>0</v>
      </c>
      <c r="K26" s="17">
        <f t="shared" si="5"/>
        <v>0</v>
      </c>
      <c r="L26" s="17">
        <f t="shared" si="5"/>
        <v>0</v>
      </c>
      <c r="M26" s="17">
        <f t="shared" si="5"/>
        <v>0</v>
      </c>
      <c r="N26" s="17">
        <f t="shared" si="5"/>
        <v>0</v>
      </c>
      <c r="O26" s="18">
        <f t="shared" si="2"/>
        <v>0</v>
      </c>
    </row>
    <row r="27" spans="1:15" ht="15" hidden="1" customHeight="1" x14ac:dyDescent="0.2">
      <c r="A27" s="879"/>
      <c r="B27" s="19" t="s">
        <v>137</v>
      </c>
      <c r="C27" s="17">
        <v>0</v>
      </c>
      <c r="D27" s="17">
        <f t="shared" si="3"/>
        <v>0</v>
      </c>
      <c r="E27" s="17">
        <f t="shared" si="3"/>
        <v>0</v>
      </c>
      <c r="F27" s="17">
        <f t="shared" si="3"/>
        <v>0</v>
      </c>
      <c r="G27" s="17">
        <f t="shared" si="3"/>
        <v>0</v>
      </c>
      <c r="H27" s="17">
        <v>0</v>
      </c>
      <c r="I27" s="17">
        <f t="shared" si="5"/>
        <v>0</v>
      </c>
      <c r="J27" s="17">
        <f t="shared" si="5"/>
        <v>0</v>
      </c>
      <c r="K27" s="17">
        <f t="shared" si="5"/>
        <v>0</v>
      </c>
      <c r="L27" s="17">
        <f t="shared" si="5"/>
        <v>0</v>
      </c>
      <c r="M27" s="17">
        <f t="shared" si="5"/>
        <v>0</v>
      </c>
      <c r="N27" s="17">
        <f t="shared" si="5"/>
        <v>0</v>
      </c>
      <c r="O27" s="18">
        <f t="shared" si="2"/>
        <v>0</v>
      </c>
    </row>
    <row r="28" spans="1:15" ht="15" hidden="1" customHeight="1" x14ac:dyDescent="0.2">
      <c r="A28" s="879"/>
      <c r="B28" s="19" t="s">
        <v>138</v>
      </c>
      <c r="C28" s="17">
        <v>0</v>
      </c>
      <c r="D28" s="17">
        <f t="shared" si="3"/>
        <v>0</v>
      </c>
      <c r="E28" s="17">
        <f t="shared" si="3"/>
        <v>0</v>
      </c>
      <c r="F28" s="17">
        <f t="shared" si="3"/>
        <v>0</v>
      </c>
      <c r="G28" s="17">
        <f t="shared" si="3"/>
        <v>0</v>
      </c>
      <c r="H28" s="17">
        <v>0</v>
      </c>
      <c r="I28" s="17">
        <f t="shared" si="5"/>
        <v>0</v>
      </c>
      <c r="J28" s="17">
        <f t="shared" si="5"/>
        <v>0</v>
      </c>
      <c r="K28" s="17">
        <f t="shared" si="5"/>
        <v>0</v>
      </c>
      <c r="L28" s="17">
        <f t="shared" si="5"/>
        <v>0</v>
      </c>
      <c r="M28" s="17">
        <f t="shared" si="5"/>
        <v>0</v>
      </c>
      <c r="N28" s="17">
        <f t="shared" si="5"/>
        <v>0</v>
      </c>
      <c r="O28" s="18">
        <f t="shared" si="2"/>
        <v>0</v>
      </c>
    </row>
    <row r="29" spans="1:15" ht="15" hidden="1" customHeight="1" x14ac:dyDescent="0.2">
      <c r="A29" s="879"/>
      <c r="B29" s="19" t="s">
        <v>139</v>
      </c>
      <c r="C29" s="17">
        <v>0</v>
      </c>
      <c r="D29" s="17">
        <f t="shared" si="3"/>
        <v>0</v>
      </c>
      <c r="E29" s="17">
        <f t="shared" si="3"/>
        <v>0</v>
      </c>
      <c r="F29" s="17">
        <f t="shared" si="3"/>
        <v>0</v>
      </c>
      <c r="G29" s="17">
        <f t="shared" si="3"/>
        <v>0</v>
      </c>
      <c r="H29" s="17">
        <v>0</v>
      </c>
      <c r="I29" s="17">
        <f t="shared" si="5"/>
        <v>0</v>
      </c>
      <c r="J29" s="17">
        <f t="shared" si="5"/>
        <v>0</v>
      </c>
      <c r="K29" s="17">
        <f t="shared" si="5"/>
        <v>0</v>
      </c>
      <c r="L29" s="17">
        <f t="shared" si="5"/>
        <v>0</v>
      </c>
      <c r="M29" s="17">
        <f t="shared" si="5"/>
        <v>0</v>
      </c>
      <c r="N29" s="17">
        <f t="shared" si="5"/>
        <v>0</v>
      </c>
      <c r="O29" s="18">
        <f t="shared" si="2"/>
        <v>0</v>
      </c>
    </row>
    <row r="30" spans="1:15" ht="15" hidden="1" customHeight="1" x14ac:dyDescent="0.2">
      <c r="A30" s="879"/>
      <c r="B30" s="19" t="s">
        <v>140</v>
      </c>
      <c r="C30" s="17">
        <v>0</v>
      </c>
      <c r="D30" s="17">
        <f t="shared" si="3"/>
        <v>0</v>
      </c>
      <c r="E30" s="17">
        <f t="shared" si="3"/>
        <v>0</v>
      </c>
      <c r="F30" s="17">
        <f t="shared" si="3"/>
        <v>0</v>
      </c>
      <c r="G30" s="17">
        <f t="shared" si="3"/>
        <v>0</v>
      </c>
      <c r="H30" s="17">
        <v>0</v>
      </c>
      <c r="I30" s="17">
        <f t="shared" si="5"/>
        <v>0</v>
      </c>
      <c r="J30" s="17">
        <f t="shared" si="5"/>
        <v>0</v>
      </c>
      <c r="K30" s="17">
        <f t="shared" si="5"/>
        <v>0</v>
      </c>
      <c r="L30" s="17">
        <f t="shared" si="5"/>
        <v>0</v>
      </c>
      <c r="M30" s="17">
        <f t="shared" si="5"/>
        <v>0</v>
      </c>
      <c r="N30" s="17">
        <f t="shared" si="5"/>
        <v>0</v>
      </c>
      <c r="O30" s="18">
        <f t="shared" si="2"/>
        <v>0</v>
      </c>
    </row>
    <row r="31" spans="1:15" ht="15" hidden="1" customHeight="1" x14ac:dyDescent="0.2">
      <c r="A31" s="879"/>
      <c r="B31" s="19" t="s">
        <v>225</v>
      </c>
      <c r="C31" s="17">
        <v>0</v>
      </c>
      <c r="D31" s="17">
        <f t="shared" si="3"/>
        <v>0</v>
      </c>
      <c r="E31" s="17">
        <f t="shared" si="3"/>
        <v>0</v>
      </c>
      <c r="F31" s="17">
        <f t="shared" si="3"/>
        <v>0</v>
      </c>
      <c r="G31" s="17">
        <f t="shared" si="3"/>
        <v>0</v>
      </c>
      <c r="H31" s="17">
        <v>0</v>
      </c>
      <c r="I31" s="17">
        <f t="shared" si="5"/>
        <v>0</v>
      </c>
      <c r="J31" s="17">
        <f t="shared" si="5"/>
        <v>0</v>
      </c>
      <c r="K31" s="17">
        <f t="shared" si="5"/>
        <v>0</v>
      </c>
      <c r="L31" s="17">
        <f t="shared" si="5"/>
        <v>0</v>
      </c>
      <c r="M31" s="17">
        <f t="shared" si="5"/>
        <v>0</v>
      </c>
      <c r="N31" s="17">
        <f t="shared" si="5"/>
        <v>0</v>
      </c>
      <c r="O31" s="18">
        <f t="shared" si="2"/>
        <v>0</v>
      </c>
    </row>
    <row r="32" spans="1:15" ht="15" customHeight="1" x14ac:dyDescent="0.2">
      <c r="A32" s="879"/>
      <c r="B32" s="21" t="s">
        <v>142</v>
      </c>
      <c r="C32" s="17">
        <v>0</v>
      </c>
      <c r="D32" s="17">
        <f t="shared" si="3"/>
        <v>0</v>
      </c>
      <c r="E32" s="17">
        <f t="shared" si="3"/>
        <v>0</v>
      </c>
      <c r="F32" s="17">
        <f t="shared" si="3"/>
        <v>0</v>
      </c>
      <c r="G32" s="17">
        <f t="shared" si="3"/>
        <v>0</v>
      </c>
      <c r="H32" s="17">
        <v>0</v>
      </c>
      <c r="I32" s="17">
        <f t="shared" si="5"/>
        <v>0</v>
      </c>
      <c r="J32" s="17">
        <f t="shared" si="5"/>
        <v>0</v>
      </c>
      <c r="K32" s="17">
        <f t="shared" si="5"/>
        <v>0</v>
      </c>
      <c r="L32" s="17">
        <f t="shared" si="5"/>
        <v>0</v>
      </c>
      <c r="M32" s="17">
        <f t="shared" si="5"/>
        <v>0</v>
      </c>
      <c r="N32" s="17">
        <f t="shared" si="5"/>
        <v>0</v>
      </c>
      <c r="O32" s="18">
        <f t="shared" si="2"/>
        <v>0</v>
      </c>
    </row>
    <row r="33" spans="1:17" ht="15" hidden="1" customHeight="1" x14ac:dyDescent="0.2">
      <c r="A33" s="880"/>
      <c r="B33" s="19" t="s">
        <v>226</v>
      </c>
      <c r="C33" s="17">
        <v>0</v>
      </c>
      <c r="D33" s="17">
        <f t="shared" si="3"/>
        <v>0</v>
      </c>
      <c r="E33" s="17">
        <f t="shared" si="3"/>
        <v>0</v>
      </c>
      <c r="F33" s="17">
        <f t="shared" si="3"/>
        <v>0</v>
      </c>
      <c r="G33" s="17">
        <f t="shared" si="3"/>
        <v>0</v>
      </c>
      <c r="H33" s="17">
        <v>0</v>
      </c>
      <c r="I33" s="17">
        <f t="shared" si="5"/>
        <v>0</v>
      </c>
      <c r="J33" s="17">
        <f t="shared" si="5"/>
        <v>0</v>
      </c>
      <c r="K33" s="17">
        <f t="shared" si="5"/>
        <v>0</v>
      </c>
      <c r="L33" s="17">
        <f t="shared" si="5"/>
        <v>0</v>
      </c>
      <c r="M33" s="17">
        <f t="shared" si="5"/>
        <v>0</v>
      </c>
      <c r="N33" s="17">
        <f t="shared" si="5"/>
        <v>0</v>
      </c>
      <c r="O33" s="18">
        <f t="shared" si="2"/>
        <v>0</v>
      </c>
    </row>
    <row r="34" spans="1:17" ht="15" customHeight="1" x14ac:dyDescent="0.2">
      <c r="A34" s="219"/>
      <c r="B34" s="220" t="s">
        <v>143</v>
      </c>
      <c r="C34" s="17">
        <v>0</v>
      </c>
      <c r="D34" s="17">
        <f t="shared" si="3"/>
        <v>0</v>
      </c>
      <c r="E34" s="17">
        <f t="shared" si="3"/>
        <v>0</v>
      </c>
      <c r="F34" s="17">
        <f t="shared" si="3"/>
        <v>0</v>
      </c>
      <c r="G34" s="17">
        <f t="shared" si="3"/>
        <v>0</v>
      </c>
      <c r="H34" s="17">
        <v>0</v>
      </c>
      <c r="I34" s="17">
        <f t="shared" si="5"/>
        <v>0</v>
      </c>
      <c r="J34" s="17">
        <f t="shared" si="5"/>
        <v>0</v>
      </c>
      <c r="K34" s="17">
        <f t="shared" si="5"/>
        <v>0</v>
      </c>
      <c r="L34" s="17">
        <f t="shared" si="5"/>
        <v>0</v>
      </c>
      <c r="M34" s="17">
        <f t="shared" si="5"/>
        <v>0</v>
      </c>
      <c r="N34" s="17">
        <f t="shared" si="5"/>
        <v>0</v>
      </c>
      <c r="O34" s="18">
        <f t="shared" si="2"/>
        <v>0</v>
      </c>
    </row>
    <row r="35" spans="1:17" ht="15" customHeight="1" x14ac:dyDescent="0.2">
      <c r="A35" s="865" t="s">
        <v>145</v>
      </c>
      <c r="B35" s="866"/>
      <c r="C35" s="17">
        <v>0</v>
      </c>
      <c r="D35" s="17">
        <v>216</v>
      </c>
      <c r="E35" s="17">
        <v>0</v>
      </c>
      <c r="F35" s="17">
        <f>+E35</f>
        <v>0</v>
      </c>
      <c r="G35" s="17">
        <f t="shared" ref="G35:G36" si="6">+F35</f>
        <v>0</v>
      </c>
      <c r="H35" s="17">
        <v>0</v>
      </c>
      <c r="I35" s="17">
        <f t="shared" si="5"/>
        <v>0</v>
      </c>
      <c r="J35" s="17">
        <v>216</v>
      </c>
      <c r="K35" s="17">
        <v>0</v>
      </c>
      <c r="L35" s="17">
        <f t="shared" si="5"/>
        <v>0</v>
      </c>
      <c r="M35" s="17">
        <f t="shared" si="5"/>
        <v>0</v>
      </c>
      <c r="N35" s="17">
        <f t="shared" si="5"/>
        <v>0</v>
      </c>
      <c r="O35" s="18">
        <f t="shared" si="2"/>
        <v>432</v>
      </c>
    </row>
    <row r="36" spans="1:17" ht="15" customHeight="1" x14ac:dyDescent="0.2">
      <c r="A36" s="865" t="s">
        <v>146</v>
      </c>
      <c r="B36" s="866"/>
      <c r="C36" s="17">
        <v>0</v>
      </c>
      <c r="D36" s="17">
        <v>2496</v>
      </c>
      <c r="E36" s="17">
        <v>0</v>
      </c>
      <c r="F36" s="17">
        <f>+E36</f>
        <v>0</v>
      </c>
      <c r="G36" s="17">
        <f t="shared" si="6"/>
        <v>0</v>
      </c>
      <c r="H36" s="17">
        <v>0</v>
      </c>
      <c r="I36" s="17">
        <f t="shared" ref="I36:N36" si="7">+H36</f>
        <v>0</v>
      </c>
      <c r="J36" s="17">
        <v>2568</v>
      </c>
      <c r="K36" s="17">
        <v>0</v>
      </c>
      <c r="L36" s="17">
        <f t="shared" si="7"/>
        <v>0</v>
      </c>
      <c r="M36" s="17">
        <f t="shared" si="7"/>
        <v>0</v>
      </c>
      <c r="N36" s="17">
        <f t="shared" si="7"/>
        <v>0</v>
      </c>
      <c r="O36" s="18">
        <f t="shared" si="2"/>
        <v>5064</v>
      </c>
    </row>
    <row r="37" spans="1:17" ht="15" customHeight="1" x14ac:dyDescent="0.2">
      <c r="A37" s="22"/>
      <c r="B37" s="23" t="s">
        <v>147</v>
      </c>
      <c r="C37" s="24">
        <f t="shared" ref="C37:N37" si="8">SUM(C9:C36)</f>
        <v>57444</v>
      </c>
      <c r="D37" s="24">
        <f t="shared" si="8"/>
        <v>61060</v>
      </c>
      <c r="E37" s="24">
        <f t="shared" si="8"/>
        <v>58348</v>
      </c>
      <c r="F37" s="24">
        <f t="shared" si="8"/>
        <v>58348</v>
      </c>
      <c r="G37" s="24">
        <f t="shared" si="8"/>
        <v>59920</v>
      </c>
      <c r="H37" s="24">
        <f t="shared" si="8"/>
        <v>59920</v>
      </c>
      <c r="I37" s="24">
        <f t="shared" si="8"/>
        <v>59920</v>
      </c>
      <c r="J37" s="24">
        <f t="shared" si="8"/>
        <v>70540</v>
      </c>
      <c r="K37" s="24">
        <f t="shared" si="8"/>
        <v>60848</v>
      </c>
      <c r="L37" s="24">
        <f t="shared" si="8"/>
        <v>60848</v>
      </c>
      <c r="M37" s="24">
        <f t="shared" si="8"/>
        <v>60848</v>
      </c>
      <c r="N37" s="24">
        <f t="shared" si="8"/>
        <v>60848</v>
      </c>
      <c r="O37" s="25">
        <f t="shared" ref="O37:O50" si="9">SUM(C37:N37)</f>
        <v>728892</v>
      </c>
      <c r="Q37" s="16">
        <f>30769+2708+30769+32007+4952+32007+32889*3+4767+3454+34478*5</f>
        <v>412490</v>
      </c>
    </row>
    <row r="38" spans="1:17" ht="15" customHeight="1" x14ac:dyDescent="0.25">
      <c r="A38" s="853" t="s">
        <v>148</v>
      </c>
      <c r="B38" s="27" t="s">
        <v>149</v>
      </c>
      <c r="C38" s="17">
        <v>1200</v>
      </c>
      <c r="D38" s="17">
        <v>1500</v>
      </c>
      <c r="E38" s="17">
        <v>1000</v>
      </c>
      <c r="F38" s="17">
        <v>1000</v>
      </c>
      <c r="G38" s="17">
        <v>1000</v>
      </c>
      <c r="H38" s="17">
        <v>1000</v>
      </c>
      <c r="I38" s="17">
        <v>1000</v>
      </c>
      <c r="J38" s="17">
        <v>1000</v>
      </c>
      <c r="K38" s="17">
        <v>3500</v>
      </c>
      <c r="L38" s="17">
        <v>3948</v>
      </c>
      <c r="M38" s="17">
        <v>3948</v>
      </c>
      <c r="N38">
        <v>4183</v>
      </c>
      <c r="O38" s="18">
        <f t="shared" si="9"/>
        <v>24279</v>
      </c>
      <c r="P38" s="29"/>
    </row>
    <row r="39" spans="1:17" ht="15" customHeight="1" x14ac:dyDescent="0.2">
      <c r="A39" s="854"/>
      <c r="B39" s="27" t="s">
        <v>150</v>
      </c>
      <c r="C39" s="17">
        <v>0</v>
      </c>
      <c r="D39" s="17">
        <f>+C39</f>
        <v>0</v>
      </c>
      <c r="E39" s="17">
        <f>+D39</f>
        <v>0</v>
      </c>
      <c r="F39" s="17">
        <f>+E39</f>
        <v>0</v>
      </c>
      <c r="G39" s="17">
        <f>+F39</f>
        <v>0</v>
      </c>
      <c r="H39" s="17">
        <v>0</v>
      </c>
      <c r="I39" s="17">
        <f t="shared" ref="I39:N39" si="10">+H39</f>
        <v>0</v>
      </c>
      <c r="J39" s="17">
        <f t="shared" si="10"/>
        <v>0</v>
      </c>
      <c r="K39" s="17">
        <f t="shared" si="10"/>
        <v>0</v>
      </c>
      <c r="L39" s="17">
        <f t="shared" si="10"/>
        <v>0</v>
      </c>
      <c r="M39" s="17">
        <f t="shared" si="10"/>
        <v>0</v>
      </c>
      <c r="N39" s="17">
        <f t="shared" si="10"/>
        <v>0</v>
      </c>
      <c r="O39" s="18">
        <f t="shared" si="9"/>
        <v>0</v>
      </c>
    </row>
    <row r="40" spans="1:17" ht="15" customHeight="1" x14ac:dyDescent="0.2">
      <c r="A40" s="854"/>
      <c r="B40" s="27" t="s">
        <v>151</v>
      </c>
      <c r="C40" s="17">
        <v>30</v>
      </c>
      <c r="D40" s="17">
        <f t="shared" ref="D40:N41" si="11">+C40</f>
        <v>30</v>
      </c>
      <c r="E40" s="17">
        <f t="shared" si="11"/>
        <v>30</v>
      </c>
      <c r="F40" s="17">
        <f t="shared" si="11"/>
        <v>30</v>
      </c>
      <c r="G40" s="17">
        <f t="shared" si="11"/>
        <v>30</v>
      </c>
      <c r="H40" s="17">
        <f t="shared" si="11"/>
        <v>30</v>
      </c>
      <c r="I40" s="17">
        <f t="shared" si="11"/>
        <v>30</v>
      </c>
      <c r="J40" s="17">
        <f t="shared" si="11"/>
        <v>30</v>
      </c>
      <c r="K40" s="17">
        <f t="shared" si="11"/>
        <v>30</v>
      </c>
      <c r="L40" s="17">
        <f t="shared" si="11"/>
        <v>30</v>
      </c>
      <c r="M40" s="17">
        <f t="shared" si="11"/>
        <v>30</v>
      </c>
      <c r="N40" s="17">
        <f t="shared" si="11"/>
        <v>30</v>
      </c>
      <c r="O40" s="18">
        <f t="shared" si="9"/>
        <v>360</v>
      </c>
    </row>
    <row r="41" spans="1:17" ht="15" customHeight="1" x14ac:dyDescent="0.2">
      <c r="A41" s="854"/>
      <c r="B41" s="27" t="s">
        <v>152</v>
      </c>
      <c r="C41" s="17">
        <v>0</v>
      </c>
      <c r="D41" s="17">
        <f>+C41</f>
        <v>0</v>
      </c>
      <c r="E41" s="17">
        <f>+D41</f>
        <v>0</v>
      </c>
      <c r="F41" s="17">
        <f>+E41</f>
        <v>0</v>
      </c>
      <c r="G41" s="17">
        <f>+F41</f>
        <v>0</v>
      </c>
      <c r="H41" s="17">
        <v>0</v>
      </c>
      <c r="I41" s="17">
        <f t="shared" si="11"/>
        <v>0</v>
      </c>
      <c r="J41" s="17">
        <f t="shared" si="11"/>
        <v>0</v>
      </c>
      <c r="K41" s="17">
        <f t="shared" si="11"/>
        <v>0</v>
      </c>
      <c r="L41" s="17">
        <f t="shared" si="11"/>
        <v>0</v>
      </c>
      <c r="M41" s="17">
        <f t="shared" si="11"/>
        <v>0</v>
      </c>
      <c r="N41" s="17">
        <f t="shared" si="11"/>
        <v>0</v>
      </c>
      <c r="O41" s="18">
        <f t="shared" si="9"/>
        <v>0</v>
      </c>
    </row>
    <row r="42" spans="1:17" ht="15" customHeight="1" x14ac:dyDescent="0.2">
      <c r="A42" s="854"/>
      <c r="B42" s="27" t="s">
        <v>153</v>
      </c>
      <c r="C42" s="17">
        <v>250</v>
      </c>
      <c r="D42" s="17">
        <v>250</v>
      </c>
      <c r="E42" s="17">
        <v>250</v>
      </c>
      <c r="F42" s="17">
        <v>250</v>
      </c>
      <c r="G42" s="17">
        <v>250</v>
      </c>
      <c r="H42" s="17">
        <v>250</v>
      </c>
      <c r="I42" s="17">
        <v>250</v>
      </c>
      <c r="J42" s="17">
        <v>250</v>
      </c>
      <c r="K42" s="17">
        <v>250</v>
      </c>
      <c r="L42" s="17">
        <v>250</v>
      </c>
      <c r="M42" s="17">
        <v>250</v>
      </c>
      <c r="N42" s="17">
        <v>250</v>
      </c>
      <c r="O42" s="18">
        <f t="shared" si="9"/>
        <v>3000</v>
      </c>
    </row>
    <row r="43" spans="1:17" ht="15" customHeight="1" x14ac:dyDescent="0.2">
      <c r="A43" s="854"/>
      <c r="B43" s="27" t="s">
        <v>154</v>
      </c>
      <c r="C43" s="17">
        <v>17000</v>
      </c>
      <c r="D43" s="17">
        <v>17000</v>
      </c>
      <c r="E43" s="17">
        <v>17000</v>
      </c>
      <c r="F43" s="17">
        <v>17000</v>
      </c>
      <c r="G43" s="17">
        <v>17000</v>
      </c>
      <c r="H43" s="17">
        <v>17000</v>
      </c>
      <c r="I43" s="17">
        <v>17000</v>
      </c>
      <c r="J43" s="17">
        <v>17000</v>
      </c>
      <c r="K43" s="17">
        <v>17000</v>
      </c>
      <c r="L43" s="17">
        <v>17000</v>
      </c>
      <c r="M43" s="17">
        <v>17000</v>
      </c>
      <c r="N43" s="17">
        <v>17000</v>
      </c>
      <c r="O43" s="18">
        <f t="shared" si="9"/>
        <v>204000</v>
      </c>
    </row>
    <row r="44" spans="1:17" ht="15" customHeight="1" x14ac:dyDescent="0.2">
      <c r="A44" s="854"/>
      <c r="B44" s="27" t="s">
        <v>155</v>
      </c>
      <c r="C44" s="17">
        <v>200</v>
      </c>
      <c r="D44" s="17">
        <v>200</v>
      </c>
      <c r="E44" s="17">
        <v>200</v>
      </c>
      <c r="F44" s="17">
        <v>200</v>
      </c>
      <c r="G44" s="17">
        <v>200</v>
      </c>
      <c r="H44" s="17">
        <v>200</v>
      </c>
      <c r="I44" s="17">
        <v>200</v>
      </c>
      <c r="J44" s="17">
        <v>200</v>
      </c>
      <c r="K44" s="17">
        <v>200</v>
      </c>
      <c r="L44" s="17">
        <v>200</v>
      </c>
      <c r="M44" s="17">
        <v>200</v>
      </c>
      <c r="N44" s="17">
        <v>300</v>
      </c>
      <c r="O44" s="18">
        <f t="shared" si="9"/>
        <v>2500</v>
      </c>
    </row>
    <row r="45" spans="1:17" ht="15" customHeight="1" x14ac:dyDescent="0.2">
      <c r="A45" s="854"/>
      <c r="B45" s="27" t="s">
        <v>156</v>
      </c>
      <c r="C45" s="17">
        <v>0</v>
      </c>
      <c r="D45" s="17">
        <f t="shared" ref="D45:G48" si="12">+C45</f>
        <v>0</v>
      </c>
      <c r="E45" s="17">
        <f t="shared" si="12"/>
        <v>0</v>
      </c>
      <c r="F45" s="17">
        <f t="shared" si="12"/>
        <v>0</v>
      </c>
      <c r="G45" s="17">
        <f t="shared" si="12"/>
        <v>0</v>
      </c>
      <c r="H45" s="17">
        <v>0</v>
      </c>
      <c r="I45" s="17">
        <f t="shared" ref="I45:N48" si="13">+H45</f>
        <v>0</v>
      </c>
      <c r="J45" s="17">
        <f t="shared" si="13"/>
        <v>0</v>
      </c>
      <c r="K45" s="17">
        <f t="shared" si="13"/>
        <v>0</v>
      </c>
      <c r="L45" s="17">
        <f t="shared" si="13"/>
        <v>0</v>
      </c>
      <c r="M45" s="17">
        <f t="shared" si="13"/>
        <v>0</v>
      </c>
      <c r="N45" s="17">
        <f t="shared" si="13"/>
        <v>0</v>
      </c>
      <c r="O45" s="18">
        <f t="shared" si="9"/>
        <v>0</v>
      </c>
    </row>
    <row r="46" spans="1:17" ht="15" customHeight="1" x14ac:dyDescent="0.2">
      <c r="A46" s="854"/>
      <c r="B46" s="27" t="s">
        <v>157</v>
      </c>
      <c r="C46" s="17">
        <v>0</v>
      </c>
      <c r="D46" s="17">
        <f t="shared" si="12"/>
        <v>0</v>
      </c>
      <c r="E46" s="17">
        <f t="shared" si="12"/>
        <v>0</v>
      </c>
      <c r="F46" s="17">
        <f t="shared" si="12"/>
        <v>0</v>
      </c>
      <c r="G46" s="17">
        <f t="shared" si="12"/>
        <v>0</v>
      </c>
      <c r="H46" s="17">
        <v>0</v>
      </c>
      <c r="I46" s="17">
        <f t="shared" si="13"/>
        <v>0</v>
      </c>
      <c r="J46" s="17">
        <f t="shared" si="13"/>
        <v>0</v>
      </c>
      <c r="K46" s="17">
        <f t="shared" si="13"/>
        <v>0</v>
      </c>
      <c r="L46" s="17">
        <f t="shared" si="13"/>
        <v>0</v>
      </c>
      <c r="M46" s="17">
        <f t="shared" si="13"/>
        <v>0</v>
      </c>
      <c r="N46" s="17">
        <f t="shared" si="13"/>
        <v>0</v>
      </c>
      <c r="O46" s="18">
        <f t="shared" si="9"/>
        <v>0</v>
      </c>
    </row>
    <row r="47" spans="1:17" ht="30" customHeight="1" x14ac:dyDescent="0.2">
      <c r="A47" s="855"/>
      <c r="B47" s="30" t="s">
        <v>158</v>
      </c>
      <c r="C47" s="17">
        <v>0</v>
      </c>
      <c r="D47" s="17">
        <f t="shared" si="12"/>
        <v>0</v>
      </c>
      <c r="E47" s="17">
        <f t="shared" si="12"/>
        <v>0</v>
      </c>
      <c r="F47" s="17">
        <f t="shared" si="12"/>
        <v>0</v>
      </c>
      <c r="G47" s="17">
        <f t="shared" si="12"/>
        <v>0</v>
      </c>
      <c r="H47" s="17">
        <v>0</v>
      </c>
      <c r="I47" s="17">
        <f t="shared" si="13"/>
        <v>0</v>
      </c>
      <c r="J47" s="17">
        <f t="shared" si="13"/>
        <v>0</v>
      </c>
      <c r="K47" s="17">
        <f t="shared" si="13"/>
        <v>0</v>
      </c>
      <c r="L47" s="17">
        <f t="shared" si="13"/>
        <v>0</v>
      </c>
      <c r="M47" s="17">
        <f t="shared" si="13"/>
        <v>0</v>
      </c>
      <c r="N47" s="17">
        <f t="shared" si="13"/>
        <v>0</v>
      </c>
      <c r="O47" s="31">
        <f t="shared" si="9"/>
        <v>0</v>
      </c>
    </row>
    <row r="48" spans="1:17" ht="15" x14ac:dyDescent="0.2">
      <c r="A48" s="856"/>
      <c r="B48" s="127" t="s">
        <v>479</v>
      </c>
      <c r="C48" s="17">
        <v>0</v>
      </c>
      <c r="D48" s="17">
        <f t="shared" si="12"/>
        <v>0</v>
      </c>
      <c r="E48" s="17">
        <f t="shared" si="12"/>
        <v>0</v>
      </c>
      <c r="F48" s="17">
        <f t="shared" si="12"/>
        <v>0</v>
      </c>
      <c r="G48" s="17">
        <f t="shared" si="12"/>
        <v>0</v>
      </c>
      <c r="H48" s="17">
        <v>0</v>
      </c>
      <c r="I48" s="17">
        <f t="shared" si="13"/>
        <v>0</v>
      </c>
      <c r="J48" s="17">
        <f t="shared" si="13"/>
        <v>0</v>
      </c>
      <c r="K48" s="17">
        <f t="shared" si="13"/>
        <v>0</v>
      </c>
      <c r="L48" s="17">
        <f t="shared" si="13"/>
        <v>0</v>
      </c>
      <c r="M48" s="17">
        <f t="shared" si="13"/>
        <v>0</v>
      </c>
      <c r="N48" s="17">
        <f t="shared" si="13"/>
        <v>0</v>
      </c>
      <c r="O48" s="31">
        <f t="shared" si="9"/>
        <v>0</v>
      </c>
    </row>
    <row r="49" spans="1:18" ht="15" customHeight="1" x14ac:dyDescent="0.2">
      <c r="A49" s="857" t="s">
        <v>160</v>
      </c>
      <c r="B49" s="858"/>
      <c r="C49" s="33">
        <f t="shared" ref="C49:N49" si="14">SUM(C38:C48)</f>
        <v>18680</v>
      </c>
      <c r="D49" s="33">
        <f t="shared" si="14"/>
        <v>18980</v>
      </c>
      <c r="E49" s="33">
        <f t="shared" si="14"/>
        <v>18480</v>
      </c>
      <c r="F49" s="33">
        <f t="shared" si="14"/>
        <v>18480</v>
      </c>
      <c r="G49" s="33">
        <f t="shared" si="14"/>
        <v>18480</v>
      </c>
      <c r="H49" s="33">
        <f t="shared" si="14"/>
        <v>18480</v>
      </c>
      <c r="I49" s="33">
        <f t="shared" si="14"/>
        <v>18480</v>
      </c>
      <c r="J49" s="33">
        <f t="shared" si="14"/>
        <v>18480</v>
      </c>
      <c r="K49" s="33">
        <f t="shared" si="14"/>
        <v>20980</v>
      </c>
      <c r="L49" s="33">
        <f t="shared" si="14"/>
        <v>21428</v>
      </c>
      <c r="M49" s="33">
        <f t="shared" si="14"/>
        <v>21428</v>
      </c>
      <c r="N49" s="33">
        <f t="shared" si="14"/>
        <v>21763</v>
      </c>
      <c r="O49" s="34">
        <f t="shared" si="9"/>
        <v>234139</v>
      </c>
    </row>
    <row r="50" spans="1:18" ht="15" customHeight="1" thickBot="1" x14ac:dyDescent="0.25">
      <c r="A50" s="859" t="s">
        <v>161</v>
      </c>
      <c r="B50" s="860"/>
      <c r="C50" s="35">
        <f t="shared" ref="C50:N50" si="15">C37-C49</f>
        <v>38764</v>
      </c>
      <c r="D50" s="35">
        <f t="shared" si="15"/>
        <v>42080</v>
      </c>
      <c r="E50" s="35">
        <f t="shared" si="15"/>
        <v>39868</v>
      </c>
      <c r="F50" s="35">
        <f t="shared" si="15"/>
        <v>39868</v>
      </c>
      <c r="G50" s="35">
        <f t="shared" si="15"/>
        <v>41440</v>
      </c>
      <c r="H50" s="35">
        <f t="shared" si="15"/>
        <v>41440</v>
      </c>
      <c r="I50" s="35">
        <f t="shared" si="15"/>
        <v>41440</v>
      </c>
      <c r="J50" s="35">
        <f t="shared" si="15"/>
        <v>52060</v>
      </c>
      <c r="K50" s="35">
        <f t="shared" si="15"/>
        <v>39868</v>
      </c>
      <c r="L50" s="35">
        <f t="shared" si="15"/>
        <v>39420</v>
      </c>
      <c r="M50" s="35">
        <f t="shared" si="15"/>
        <v>39420</v>
      </c>
      <c r="N50" s="35">
        <f t="shared" si="15"/>
        <v>39085</v>
      </c>
      <c r="O50" s="36">
        <f t="shared" si="9"/>
        <v>494753</v>
      </c>
      <c r="Q50" s="16">
        <f>18414+2708+17664+18782+4952+18902+19784+20534+20034+4767+3454+21273+21273+21173*2+20997</f>
        <v>255884</v>
      </c>
    </row>
    <row r="51" spans="1:18" x14ac:dyDescent="0.2">
      <c r="J51" s="300">
        <f>+J37-SUM(J22:J36)</f>
        <v>60848</v>
      </c>
      <c r="Q51" s="38"/>
    </row>
    <row r="52" spans="1:18" ht="13.5" thickBot="1" x14ac:dyDescent="0.25">
      <c r="J52" s="38">
        <f>+J51-J49</f>
        <v>42368</v>
      </c>
    </row>
    <row r="53" spans="1:18" ht="13.5" thickBot="1" x14ac:dyDescent="0.25">
      <c r="B53" s="789" t="s">
        <v>162</v>
      </c>
      <c r="C53" s="861"/>
      <c r="D53" s="861"/>
      <c r="E53" s="861"/>
      <c r="F53" s="862"/>
      <c r="G53" s="863">
        <f>O37</f>
        <v>728892</v>
      </c>
      <c r="H53" s="864"/>
    </row>
    <row r="54" spans="1:18" ht="13.5" thickBot="1" x14ac:dyDescent="0.25"/>
    <row r="55" spans="1:18" x14ac:dyDescent="0.2">
      <c r="B55" s="830" t="s">
        <v>163</v>
      </c>
      <c r="C55" s="833" t="s">
        <v>164</v>
      </c>
      <c r="D55" s="836" t="s">
        <v>1673</v>
      </c>
      <c r="E55" s="837"/>
      <c r="F55" s="838"/>
      <c r="G55" s="839">
        <v>40000</v>
      </c>
      <c r="H55" s="840"/>
    </row>
    <row r="56" spans="1:18" x14ac:dyDescent="0.2">
      <c r="B56" s="831"/>
      <c r="C56" s="834"/>
      <c r="D56" s="841" t="s">
        <v>166</v>
      </c>
      <c r="E56" s="842"/>
      <c r="F56" s="843"/>
      <c r="G56" s="844">
        <f>+O44</f>
        <v>2500</v>
      </c>
      <c r="H56" s="845"/>
      <c r="I56" s="39"/>
      <c r="J56" s="846"/>
      <c r="K56" s="846"/>
      <c r="L56" s="846"/>
      <c r="M56" s="847"/>
      <c r="N56" s="847"/>
      <c r="O56" s="847"/>
    </row>
    <row r="57" spans="1:18" ht="13.5" thickBot="1" x14ac:dyDescent="0.25">
      <c r="B57" s="832"/>
      <c r="C57" s="835"/>
      <c r="D57" s="848" t="s">
        <v>129</v>
      </c>
      <c r="E57" s="849"/>
      <c r="F57" s="850"/>
      <c r="G57" s="851">
        <v>0</v>
      </c>
      <c r="H57" s="852"/>
      <c r="J57" s="47"/>
      <c r="K57" s="47"/>
      <c r="L57" s="47"/>
      <c r="M57" s="47"/>
      <c r="N57" s="47"/>
      <c r="O57" s="47"/>
    </row>
    <row r="58" spans="1:18" ht="13.5" thickBot="1" x14ac:dyDescent="0.25">
      <c r="B58" s="48"/>
      <c r="J58" s="47"/>
      <c r="K58" s="47"/>
      <c r="L58" s="47"/>
      <c r="M58" s="47"/>
      <c r="N58" s="47"/>
      <c r="O58" s="47"/>
    </row>
    <row r="59" spans="1:18" ht="13.5" thickBot="1" x14ac:dyDescent="0.25">
      <c r="B59" s="789" t="s">
        <v>168</v>
      </c>
      <c r="C59" s="790"/>
      <c r="D59" s="790"/>
      <c r="E59" s="790"/>
      <c r="F59" s="791"/>
      <c r="G59" s="825">
        <f>+G53-SUM(G55:H57)</f>
        <v>686392</v>
      </c>
      <c r="H59" s="826"/>
      <c r="J59" s="827" t="s">
        <v>169</v>
      </c>
      <c r="K59" s="828"/>
      <c r="L59" s="828"/>
      <c r="M59" s="828"/>
      <c r="N59" s="828"/>
      <c r="O59" s="829"/>
    </row>
    <row r="60" spans="1:18" ht="13.5" thickBot="1" x14ac:dyDescent="0.25">
      <c r="B60" s="49"/>
      <c r="C60" s="50"/>
      <c r="D60" s="50"/>
      <c r="E60" s="50"/>
      <c r="F60" s="50"/>
      <c r="G60" s="45"/>
      <c r="H60" s="50"/>
      <c r="J60" s="129"/>
      <c r="K60" s="130"/>
      <c r="L60" s="130"/>
      <c r="M60" s="130"/>
      <c r="N60" s="130"/>
      <c r="O60" s="131"/>
    </row>
    <row r="61" spans="1:18" ht="13.5" thickBot="1" x14ac:dyDescent="0.25">
      <c r="B61" s="789" t="s">
        <v>170</v>
      </c>
      <c r="C61" s="790"/>
      <c r="D61" s="790"/>
      <c r="E61" s="790"/>
      <c r="F61" s="791"/>
      <c r="G61" s="805"/>
      <c r="H61" s="791"/>
      <c r="J61" s="129"/>
      <c r="K61" s="130"/>
      <c r="L61" s="130"/>
      <c r="M61" s="130"/>
      <c r="N61" s="130"/>
      <c r="O61" s="131"/>
    </row>
    <row r="62" spans="1:18" ht="12.75" customHeight="1" x14ac:dyDescent="0.2">
      <c r="B62" s="57" t="s">
        <v>171</v>
      </c>
      <c r="C62" s="806" t="s">
        <v>172</v>
      </c>
      <c r="D62" s="807"/>
      <c r="E62" s="807"/>
      <c r="F62" s="808"/>
      <c r="G62" s="809">
        <v>0</v>
      </c>
      <c r="H62" s="809"/>
      <c r="I62" s="58"/>
      <c r="J62" s="810" t="s">
        <v>173</v>
      </c>
      <c r="K62" s="811"/>
      <c r="L62" s="811"/>
      <c r="M62" s="811"/>
      <c r="N62" s="811"/>
      <c r="O62" s="812"/>
      <c r="Q62" s="59"/>
      <c r="R62" s="59"/>
    </row>
    <row r="63" spans="1:18" ht="13.5" thickBot="1" x14ac:dyDescent="0.25">
      <c r="D63" s="37"/>
      <c r="I63" s="58"/>
      <c r="J63" s="60" t="s">
        <v>360</v>
      </c>
      <c r="K63" s="132"/>
      <c r="L63" s="132"/>
      <c r="M63" s="133"/>
      <c r="N63" s="133"/>
      <c r="O63" s="134"/>
      <c r="Q63" s="59"/>
      <c r="R63" s="59"/>
    </row>
    <row r="64" spans="1:18" ht="13.5" thickBot="1" x14ac:dyDescent="0.25">
      <c r="B64" s="789" t="s">
        <v>175</v>
      </c>
      <c r="C64" s="790"/>
      <c r="D64" s="790"/>
      <c r="E64" s="790"/>
      <c r="F64" s="791"/>
      <c r="G64" s="805">
        <f>+G59-G62</f>
        <v>686392</v>
      </c>
      <c r="H64" s="791"/>
      <c r="I64" s="63"/>
      <c r="J64" s="64"/>
      <c r="K64" s="39"/>
      <c r="L64" s="39"/>
      <c r="M64" s="39"/>
      <c r="N64" s="39"/>
      <c r="O64" s="65"/>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7" customHeight="1" thickBot="1" x14ac:dyDescent="0.25">
      <c r="B67" s="66"/>
      <c r="C67" s="48"/>
      <c r="G67" s="70" t="s">
        <v>177</v>
      </c>
      <c r="H67" s="70" t="s">
        <v>178</v>
      </c>
      <c r="I67" s="63"/>
      <c r="J67" s="810" t="s">
        <v>179</v>
      </c>
      <c r="K67" s="811"/>
      <c r="L67" s="71"/>
      <c r="M67" s="71"/>
      <c r="N67" s="71"/>
      <c r="O67" s="72"/>
      <c r="Q67" s="59"/>
      <c r="R67" s="59"/>
    </row>
    <row r="68" spans="2:18" ht="12.75" customHeight="1" x14ac:dyDescent="0.2">
      <c r="B68" s="802" t="s">
        <v>180</v>
      </c>
      <c r="C68" s="821" t="s">
        <v>181</v>
      </c>
      <c r="D68" s="823" t="s">
        <v>182</v>
      </c>
      <c r="E68" s="824"/>
      <c r="F68" s="824"/>
      <c r="G68" s="73">
        <f>+O43</f>
        <v>204000</v>
      </c>
      <c r="H68" s="74">
        <f>+G68</f>
        <v>204000</v>
      </c>
      <c r="I68" s="63"/>
      <c r="J68" s="75" t="s">
        <v>183</v>
      </c>
      <c r="K68" s="58"/>
      <c r="L68" s="58"/>
      <c r="M68" s="58"/>
      <c r="N68" s="58"/>
      <c r="O68" s="76"/>
      <c r="Q68" s="59"/>
      <c r="R68" s="59"/>
    </row>
    <row r="69" spans="2:18" ht="12.75" customHeight="1" x14ac:dyDescent="0.2">
      <c r="B69" s="803"/>
      <c r="C69" s="822"/>
      <c r="D69" s="782" t="s">
        <v>184</v>
      </c>
      <c r="E69" s="783"/>
      <c r="F69" s="783"/>
      <c r="G69" s="77">
        <f>+O47</f>
        <v>0</v>
      </c>
      <c r="H69" s="78">
        <f t="shared" ref="H69:H75" si="16">+G69</f>
        <v>0</v>
      </c>
      <c r="I69" s="63"/>
      <c r="J69" s="79"/>
      <c r="K69" s="68"/>
      <c r="L69" s="68"/>
      <c r="M69" s="68"/>
      <c r="N69" s="68"/>
      <c r="O69" s="69"/>
      <c r="Q69" s="59"/>
      <c r="R69" s="59"/>
    </row>
    <row r="70" spans="2:18" ht="12.75" customHeight="1" x14ac:dyDescent="0.2">
      <c r="B70" s="803"/>
      <c r="C70" s="822"/>
      <c r="D70" s="819" t="s">
        <v>185</v>
      </c>
      <c r="E70" s="820"/>
      <c r="F70" s="820"/>
      <c r="G70" s="80">
        <f>O40</f>
        <v>360</v>
      </c>
      <c r="H70" s="78">
        <f t="shared" si="16"/>
        <v>360</v>
      </c>
      <c r="I70" s="63"/>
      <c r="J70" s="67"/>
      <c r="K70" s="68"/>
      <c r="L70" s="68"/>
      <c r="M70" s="68"/>
      <c r="N70" s="68"/>
      <c r="O70" s="69"/>
    </row>
    <row r="71" spans="2:18" x14ac:dyDescent="0.2">
      <c r="B71" s="803"/>
      <c r="C71" s="822"/>
      <c r="D71" s="782" t="s">
        <v>186</v>
      </c>
      <c r="E71" s="783"/>
      <c r="F71" s="783"/>
      <c r="G71" s="81">
        <v>0</v>
      </c>
      <c r="H71" s="78">
        <f t="shared" si="16"/>
        <v>0</v>
      </c>
      <c r="I71" s="63"/>
      <c r="J71" s="82" t="s">
        <v>187</v>
      </c>
      <c r="K71" s="71"/>
      <c r="L71" s="71"/>
      <c r="M71" s="71"/>
      <c r="N71" s="71"/>
      <c r="O71" s="72"/>
    </row>
    <row r="72" spans="2:18" ht="12.75" customHeight="1" x14ac:dyDescent="0.2">
      <c r="B72" s="803"/>
      <c r="C72" s="822"/>
      <c r="D72" s="784" t="s">
        <v>188</v>
      </c>
      <c r="E72" s="783"/>
      <c r="F72" s="783"/>
      <c r="G72" s="80">
        <v>0</v>
      </c>
      <c r="H72" s="78">
        <f t="shared" si="16"/>
        <v>0</v>
      </c>
      <c r="I72" s="63"/>
      <c r="J72" s="75" t="s">
        <v>189</v>
      </c>
      <c r="K72" s="50"/>
      <c r="L72" s="50"/>
      <c r="M72" s="50"/>
      <c r="N72" s="50"/>
      <c r="O72" s="83">
        <f>O42</f>
        <v>3000</v>
      </c>
    </row>
    <row r="73" spans="2:18" ht="14.25" customHeight="1" x14ac:dyDescent="0.2">
      <c r="B73" s="803"/>
      <c r="C73" s="822"/>
      <c r="D73" s="782" t="s">
        <v>190</v>
      </c>
      <c r="E73" s="783"/>
      <c r="F73" s="783"/>
      <c r="G73" s="84">
        <v>0</v>
      </c>
      <c r="H73" s="78">
        <f t="shared" si="16"/>
        <v>0</v>
      </c>
      <c r="I73" s="63"/>
      <c r="J73" s="64"/>
      <c r="K73" s="39"/>
      <c r="L73" s="39"/>
      <c r="M73" s="39"/>
      <c r="N73" s="39"/>
      <c r="O73" s="65"/>
    </row>
    <row r="74" spans="2:18" x14ac:dyDescent="0.2">
      <c r="B74" s="803"/>
      <c r="C74" s="822"/>
      <c r="D74" s="782" t="s">
        <v>191</v>
      </c>
      <c r="E74" s="783"/>
      <c r="F74" s="783"/>
      <c r="G74" s="81">
        <v>0</v>
      </c>
      <c r="H74" s="78">
        <f t="shared" si="16"/>
        <v>0</v>
      </c>
      <c r="I74" s="58"/>
      <c r="J74" s="150"/>
      <c r="K74" s="50"/>
      <c r="L74" s="50"/>
      <c r="M74" s="50"/>
      <c r="N74" s="50"/>
      <c r="O74" s="83"/>
    </row>
    <row r="75" spans="2:18" x14ac:dyDescent="0.2">
      <c r="B75" s="803"/>
      <c r="C75" s="88" t="s">
        <v>192</v>
      </c>
      <c r="D75" s="813" t="s">
        <v>193</v>
      </c>
      <c r="E75" s="814"/>
      <c r="F75" s="814"/>
      <c r="G75" s="80">
        <v>0</v>
      </c>
      <c r="H75" s="78">
        <f t="shared" si="16"/>
        <v>0</v>
      </c>
      <c r="I75" s="58"/>
      <c r="J75" s="79"/>
      <c r="K75" s="39"/>
      <c r="L75" s="39"/>
      <c r="M75" s="39"/>
      <c r="N75" s="39"/>
      <c r="O75" s="65"/>
    </row>
    <row r="76" spans="2:18" ht="13.5" customHeight="1" thickBot="1" x14ac:dyDescent="0.25">
      <c r="B76" s="803"/>
      <c r="C76" s="88" t="s">
        <v>194</v>
      </c>
      <c r="D76" s="815" t="s">
        <v>195</v>
      </c>
      <c r="E76" s="815"/>
      <c r="F76" s="815"/>
      <c r="G76" s="89">
        <v>0</v>
      </c>
      <c r="H76" s="90">
        <f>+G76</f>
        <v>0</v>
      </c>
      <c r="I76" s="63"/>
      <c r="J76" s="67"/>
      <c r="K76" s="68"/>
      <c r="L76" s="68"/>
      <c r="M76" s="91"/>
      <c r="N76" s="91"/>
      <c r="O76" s="92"/>
    </row>
    <row r="77" spans="2:18" ht="13.5" thickBot="1" x14ac:dyDescent="0.25">
      <c r="B77" s="803"/>
      <c r="C77" s="93"/>
      <c r="D77" s="94"/>
      <c r="E77" s="816" t="s">
        <v>117</v>
      </c>
      <c r="F77" s="817"/>
      <c r="G77" s="95">
        <f>SUM(G68:G76)</f>
        <v>204360</v>
      </c>
      <c r="H77" s="96">
        <f>IF(SUM(G68:G74)&lt;150000,SUM(G68:G74),150000)+IF(+G75&lt;20000,+G75,20000)</f>
        <v>150000</v>
      </c>
      <c r="I77" s="63"/>
      <c r="J77" s="140"/>
      <c r="K77" s="141"/>
      <c r="L77" s="141"/>
      <c r="M77" s="142"/>
      <c r="N77" s="142"/>
      <c r="O77" s="143"/>
    </row>
    <row r="78" spans="2:18" ht="12.75" customHeight="1" x14ac:dyDescent="0.2">
      <c r="B78" s="803"/>
      <c r="C78" s="100" t="s">
        <v>196</v>
      </c>
      <c r="D78" s="782" t="s">
        <v>187</v>
      </c>
      <c r="E78" s="783"/>
      <c r="F78" s="818"/>
      <c r="G78" s="73">
        <f>+O42</f>
        <v>3000</v>
      </c>
      <c r="H78" s="221">
        <f>+IF(+G78&lt;25000,+G78,25000)</f>
        <v>3000</v>
      </c>
      <c r="I78" s="87"/>
    </row>
    <row r="79" spans="2:18" x14ac:dyDescent="0.2">
      <c r="B79" s="803"/>
      <c r="C79" s="100" t="s">
        <v>197</v>
      </c>
      <c r="D79" s="784" t="s">
        <v>198</v>
      </c>
      <c r="E79" s="785"/>
      <c r="F79" s="786"/>
      <c r="G79" s="102"/>
      <c r="H79" s="222">
        <f>+IF(+G79&lt;40000,+G79,40000)</f>
        <v>0</v>
      </c>
      <c r="I79" s="63"/>
    </row>
    <row r="80" spans="2:18" x14ac:dyDescent="0.2">
      <c r="B80" s="803"/>
      <c r="C80" s="100" t="s">
        <v>199</v>
      </c>
      <c r="D80" s="784" t="s">
        <v>200</v>
      </c>
      <c r="E80" s="785"/>
      <c r="F80" s="786"/>
      <c r="G80" s="81"/>
      <c r="H80" s="104">
        <v>0</v>
      </c>
      <c r="I80" s="63"/>
      <c r="J80" s="106"/>
    </row>
    <row r="81" spans="2:12" x14ac:dyDescent="0.2">
      <c r="B81" s="803"/>
      <c r="C81" s="100" t="s">
        <v>201</v>
      </c>
      <c r="D81" s="784" t="s">
        <v>202</v>
      </c>
      <c r="E81" s="785"/>
      <c r="F81" s="786"/>
      <c r="G81" s="81"/>
      <c r="H81" s="104">
        <v>0</v>
      </c>
      <c r="I81" s="63"/>
    </row>
    <row r="82" spans="2:12" ht="13.5" thickBot="1" x14ac:dyDescent="0.25">
      <c r="B82" s="804"/>
      <c r="C82" s="100" t="s">
        <v>203</v>
      </c>
      <c r="D82" s="784" t="s">
        <v>204</v>
      </c>
      <c r="E82" s="785"/>
      <c r="F82" s="786"/>
      <c r="G82" s="102"/>
      <c r="H82" s="222">
        <f>+IF(+G82&lt;100000,+G82,10000)</f>
        <v>0</v>
      </c>
      <c r="I82" s="63"/>
    </row>
    <row r="83" spans="2:12" ht="13.5" thickBot="1" x14ac:dyDescent="0.25">
      <c r="B83" s="787" t="s">
        <v>205</v>
      </c>
      <c r="C83" s="788"/>
      <c r="D83" s="788"/>
      <c r="E83" s="788"/>
      <c r="F83" s="788"/>
      <c r="G83" s="107">
        <f>SUM(G78:G82)</f>
        <v>3000</v>
      </c>
      <c r="H83" s="108">
        <f>SUM(H77:H82)</f>
        <v>153000</v>
      </c>
    </row>
    <row r="84" spans="2:12" ht="13.5" thickBot="1" x14ac:dyDescent="0.25"/>
    <row r="85" spans="2:12" ht="13.5" thickBot="1" x14ac:dyDescent="0.25">
      <c r="B85" s="789" t="s">
        <v>206</v>
      </c>
      <c r="C85" s="790"/>
      <c r="D85" s="790"/>
      <c r="E85" s="790"/>
      <c r="F85" s="791"/>
      <c r="G85" s="1055">
        <f>ROUND(+G64-H83,-1)</f>
        <v>533390</v>
      </c>
      <c r="H85" s="1056"/>
      <c r="J85" s="251">
        <f>C37+D37+E37+F37</f>
        <v>235200</v>
      </c>
      <c r="K85" s="16" t="s">
        <v>235</v>
      </c>
    </row>
    <row r="86" spans="2:12" x14ac:dyDescent="0.2">
      <c r="B86" s="110"/>
      <c r="F86" s="105"/>
      <c r="J86" s="251">
        <f>G37+H37+I37</f>
        <v>179760</v>
      </c>
      <c r="K86" s="16" t="s">
        <v>236</v>
      </c>
    </row>
    <row r="87" spans="2:12" x14ac:dyDescent="0.2">
      <c r="C87" s="793" t="s">
        <v>207</v>
      </c>
      <c r="D87" s="794"/>
      <c r="E87" s="111" t="s">
        <v>208</v>
      </c>
      <c r="F87" s="111" t="s">
        <v>209</v>
      </c>
      <c r="G87" s="111" t="s">
        <v>210</v>
      </c>
      <c r="H87" s="111" t="s">
        <v>211</v>
      </c>
      <c r="J87" s="251">
        <f>J37+K37+L37</f>
        <v>192236</v>
      </c>
      <c r="K87" s="47" t="s">
        <v>237</v>
      </c>
      <c r="L87" s="16">
        <f>+J87/3</f>
        <v>64078.666666666664</v>
      </c>
    </row>
    <row r="88" spans="2:12" x14ac:dyDescent="0.2">
      <c r="C88" s="795" t="str">
        <f>IF(I6="M","0          - 250000","0          -  250000")</f>
        <v>0          -  250000</v>
      </c>
      <c r="D88" s="796"/>
      <c r="E88" s="112">
        <v>0</v>
      </c>
      <c r="F88" s="113">
        <f>IF(I6="M",(IF(G85&lt;250000,G85,250000)),(IF(G85&lt;250000,G85,250000)))</f>
        <v>250000</v>
      </c>
      <c r="G88" s="113">
        <f>G85-F88</f>
        <v>283390</v>
      </c>
      <c r="H88" s="113">
        <f>E88*F88</f>
        <v>0</v>
      </c>
      <c r="J88" s="16">
        <f>M37+N37</f>
        <v>121696</v>
      </c>
      <c r="K88" s="1" t="s">
        <v>238</v>
      </c>
      <c r="L88" s="16">
        <f>+J88/2</f>
        <v>60848</v>
      </c>
    </row>
    <row r="89" spans="2:12" x14ac:dyDescent="0.2">
      <c r="C89" s="795" t="str">
        <f>IF(I6="M","250001 - 500000","250001-500000")</f>
        <v>250001-500000</v>
      </c>
      <c r="D89" s="796"/>
      <c r="E89" s="112">
        <v>0.05</v>
      </c>
      <c r="F89" s="113">
        <f>IF(I6="M",(IF(G88&lt;250000,G88,250000)),(IF(G88&lt;250000,G88,250000)))</f>
        <v>250000</v>
      </c>
      <c r="G89" s="113">
        <f>G88-F89</f>
        <v>33390</v>
      </c>
      <c r="H89" s="114">
        <f>ROUND(E89*F89,0.1)</f>
        <v>12500</v>
      </c>
      <c r="J89" s="115">
        <f>SUM(J85:J88)</f>
        <v>728892</v>
      </c>
    </row>
    <row r="90" spans="2:12" x14ac:dyDescent="0.2">
      <c r="C90" s="797" t="s">
        <v>212</v>
      </c>
      <c r="D90" s="798"/>
      <c r="E90" s="112">
        <v>0.2</v>
      </c>
      <c r="F90" s="113">
        <f>IF(G89&lt;500000,G89,500000)</f>
        <v>33390</v>
      </c>
      <c r="G90" s="113">
        <f>G89-F90</f>
        <v>0</v>
      </c>
      <c r="H90" s="114">
        <f>ROUND(E90*F90,0.1)</f>
        <v>6678</v>
      </c>
      <c r="J90" s="16">
        <f>+G85</f>
        <v>533390</v>
      </c>
    </row>
    <row r="91" spans="2:12" x14ac:dyDescent="0.2">
      <c r="C91" s="795" t="s">
        <v>213</v>
      </c>
      <c r="D91" s="796"/>
      <c r="E91" s="112">
        <v>0.3</v>
      </c>
      <c r="F91" s="113">
        <f>G90</f>
        <v>0</v>
      </c>
      <c r="G91" s="113">
        <f>G90-F91</f>
        <v>0</v>
      </c>
      <c r="H91" s="114">
        <f>ROUND(E91*F91,0.1)</f>
        <v>0</v>
      </c>
      <c r="J91" s="16">
        <f>+J89-J90</f>
        <v>195502</v>
      </c>
      <c r="K91" s="1"/>
    </row>
    <row r="92" spans="2:12" ht="12.75" customHeight="1" thickBot="1" x14ac:dyDescent="0.25">
      <c r="B92" s="116"/>
      <c r="C92" s="117"/>
      <c r="D92" s="47"/>
      <c r="E92" s="47"/>
      <c r="F92" s="47"/>
      <c r="J92" s="87"/>
      <c r="K92" s="118"/>
    </row>
    <row r="93" spans="2:12" ht="14.25" customHeight="1" thickBot="1" x14ac:dyDescent="0.25">
      <c r="B93" s="799" t="s">
        <v>239</v>
      </c>
      <c r="C93" s="800"/>
      <c r="D93" s="800"/>
      <c r="E93" s="800"/>
      <c r="F93" s="801"/>
      <c r="G93" s="771">
        <f>H88+H89+H90+H91</f>
        <v>19178</v>
      </c>
      <c r="H93" s="772"/>
    </row>
    <row r="94" spans="2:12" ht="14.25" customHeight="1" thickBot="1" x14ac:dyDescent="0.25">
      <c r="B94" s="119" t="s">
        <v>215</v>
      </c>
      <c r="C94" s="120"/>
      <c r="D94" s="120"/>
      <c r="E94" s="120"/>
      <c r="F94" s="120"/>
      <c r="G94" s="884">
        <f>IF((G64&lt;500000),5000,0)</f>
        <v>0</v>
      </c>
      <c r="H94" s="885">
        <f>IF(H92&lt;200000,0,IF(H92&lt;220000,((H92-200000)*10%),IF(H92&lt;=500000,2000,IF(H92&gt;=500000,0))))</f>
        <v>0</v>
      </c>
    </row>
    <row r="95" spans="2:12" ht="14.25" customHeight="1" thickBot="1" x14ac:dyDescent="0.25">
      <c r="B95" s="122" t="s">
        <v>216</v>
      </c>
      <c r="C95" s="123"/>
      <c r="D95" s="123"/>
      <c r="E95" s="123"/>
      <c r="F95" s="123"/>
      <c r="G95" s="771">
        <f>IF((G93-G94)&lt;0,0,(G93-G94))</f>
        <v>19178</v>
      </c>
      <c r="H95" s="772"/>
    </row>
    <row r="96" spans="2:12" ht="14.25" customHeight="1" thickBot="1" x14ac:dyDescent="0.25">
      <c r="B96" s="773" t="s">
        <v>240</v>
      </c>
      <c r="C96" s="774"/>
      <c r="D96" s="774"/>
      <c r="E96" s="774"/>
      <c r="F96" s="775"/>
      <c r="G96" s="776">
        <f>ROUND((IF(G95&gt;0,(G95*4%),0)),0)</f>
        <v>767</v>
      </c>
      <c r="H96" s="777"/>
    </row>
    <row r="97" spans="2:8" ht="14.25" customHeight="1" thickBot="1" x14ac:dyDescent="0.25">
      <c r="B97" s="778" t="s">
        <v>218</v>
      </c>
      <c r="C97" s="779"/>
      <c r="D97" s="779"/>
      <c r="E97" s="779"/>
      <c r="F97" s="779"/>
      <c r="G97" s="780">
        <f>+G95+G96</f>
        <v>19945</v>
      </c>
      <c r="H97" s="781"/>
    </row>
    <row r="98" spans="2:8" ht="13.5" thickBot="1" x14ac:dyDescent="0.25">
      <c r="B98" s="765" t="s">
        <v>219</v>
      </c>
      <c r="C98" s="766"/>
      <c r="D98" s="766"/>
      <c r="E98" s="766"/>
      <c r="F98" s="766"/>
      <c r="G98" s="767">
        <f>O38</f>
        <v>24279</v>
      </c>
      <c r="H98" s="768"/>
    </row>
    <row r="99" spans="2:8" ht="13.5" thickBot="1" x14ac:dyDescent="0.25">
      <c r="B99" s="765" t="str">
        <f>IF(G99&gt;0,"TAX PAYABLE","TAX REFUND")</f>
        <v>TAX REFUND</v>
      </c>
      <c r="C99" s="766"/>
      <c r="D99" s="766"/>
      <c r="E99" s="766"/>
      <c r="F99" s="766"/>
      <c r="G99" s="767">
        <f>+G97-G98</f>
        <v>-4334</v>
      </c>
      <c r="H99" s="768"/>
    </row>
    <row r="100" spans="2:8" x14ac:dyDescent="0.2">
      <c r="C100" s="39"/>
      <c r="D100" s="126"/>
      <c r="E100" s="126"/>
      <c r="F100" s="39"/>
      <c r="G100" s="39"/>
      <c r="H100" s="39"/>
    </row>
    <row r="101" spans="2:8" x14ac:dyDescent="0.2">
      <c r="C101" s="39"/>
      <c r="D101" s="39"/>
      <c r="E101" s="39"/>
      <c r="F101" s="39"/>
      <c r="G101" s="39"/>
      <c r="H101" s="39"/>
    </row>
    <row r="102" spans="2:8" x14ac:dyDescent="0.2">
      <c r="C102" s="39"/>
      <c r="D102" s="39"/>
      <c r="E102" s="39"/>
      <c r="F102" s="39"/>
      <c r="G102" s="39"/>
      <c r="H102" s="39"/>
    </row>
    <row r="103" spans="2:8" x14ac:dyDescent="0.2">
      <c r="C103" s="39"/>
      <c r="D103" s="39"/>
      <c r="E103" s="39"/>
      <c r="F103" s="39"/>
      <c r="G103" s="39"/>
      <c r="H103" s="39"/>
    </row>
  </sheetData>
  <mergeCells count="92">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8:A48"/>
    <mergeCell ref="A5:C5"/>
    <mergeCell ref="D5:F5"/>
    <mergeCell ref="G5:H5"/>
    <mergeCell ref="I5:O5"/>
    <mergeCell ref="A6:C6"/>
    <mergeCell ref="D6:F6"/>
    <mergeCell ref="G6:H6"/>
    <mergeCell ref="J6:O6"/>
    <mergeCell ref="L7:O7"/>
    <mergeCell ref="A8:B8"/>
    <mergeCell ref="A21:A33"/>
    <mergeCell ref="A35:B35"/>
    <mergeCell ref="A36:B36"/>
    <mergeCell ref="A49:B49"/>
    <mergeCell ref="A50:B50"/>
    <mergeCell ref="B53:F53"/>
    <mergeCell ref="G53:H53"/>
    <mergeCell ref="B55:B57"/>
    <mergeCell ref="C55:C57"/>
    <mergeCell ref="D55:F55"/>
    <mergeCell ref="G55:H55"/>
    <mergeCell ref="D56:F56"/>
    <mergeCell ref="G56:H56"/>
    <mergeCell ref="B64:F64"/>
    <mergeCell ref="G64:H64"/>
    <mergeCell ref="J56:L56"/>
    <mergeCell ref="M56:O56"/>
    <mergeCell ref="D57:F57"/>
    <mergeCell ref="G57:H57"/>
    <mergeCell ref="B59:F59"/>
    <mergeCell ref="G59:H59"/>
    <mergeCell ref="J59:O59"/>
    <mergeCell ref="B61:F61"/>
    <mergeCell ref="G61:H61"/>
    <mergeCell ref="C62:F62"/>
    <mergeCell ref="G62:H62"/>
    <mergeCell ref="J62:O62"/>
    <mergeCell ref="D80:F80"/>
    <mergeCell ref="J67:K67"/>
    <mergeCell ref="B68:B82"/>
    <mergeCell ref="C68:C74"/>
    <mergeCell ref="D68:F68"/>
    <mergeCell ref="D69:F69"/>
    <mergeCell ref="D70:F70"/>
    <mergeCell ref="D71:F71"/>
    <mergeCell ref="D72:F72"/>
    <mergeCell ref="D73:F73"/>
    <mergeCell ref="D74:F74"/>
    <mergeCell ref="D75:F75"/>
    <mergeCell ref="D76:F76"/>
    <mergeCell ref="E77:F77"/>
    <mergeCell ref="D78:F78"/>
    <mergeCell ref="D79:F79"/>
    <mergeCell ref="G93:H93"/>
    <mergeCell ref="D81:F81"/>
    <mergeCell ref="D82:F82"/>
    <mergeCell ref="B83:F83"/>
    <mergeCell ref="B85:F85"/>
    <mergeCell ref="G85:H85"/>
    <mergeCell ref="C87:D87"/>
    <mergeCell ref="C88:D88"/>
    <mergeCell ref="C89:D89"/>
    <mergeCell ref="C90:D90"/>
    <mergeCell ref="C91:D91"/>
    <mergeCell ref="B93:F93"/>
    <mergeCell ref="B98:F98"/>
    <mergeCell ref="G98:H98"/>
    <mergeCell ref="B99:F99"/>
    <mergeCell ref="G99:H99"/>
    <mergeCell ref="G94:H94"/>
    <mergeCell ref="G95:H95"/>
    <mergeCell ref="B96:F96"/>
    <mergeCell ref="G96:H96"/>
    <mergeCell ref="B97:F97"/>
    <mergeCell ref="G97:H97"/>
  </mergeCells>
  <conditionalFormatting sqref="B99:F99 B90:F90 B93:F97">
    <cfRule type="cellIs" dxfId="453" priority="3" stopIfTrue="1" operator="equal">
      <formula>"TAX PAYABLE"</formula>
    </cfRule>
    <cfRule type="cellIs" dxfId="452" priority="4" stopIfTrue="1" operator="equal">
      <formula>"TAX REFUND"</formula>
    </cfRule>
  </conditionalFormatting>
  <conditionalFormatting sqref="G90:H90">
    <cfRule type="cellIs" dxfId="451" priority="5" stopIfTrue="1" operator="lessThan">
      <formula>0</formula>
    </cfRule>
    <cfRule type="cellIs" dxfId="450" priority="6" stopIfTrue="1" operator="greaterThan">
      <formula>0</formula>
    </cfRule>
  </conditionalFormatting>
  <conditionalFormatting sqref="G99:H99">
    <cfRule type="cellIs" dxfId="449" priority="1" stopIfTrue="1" operator="greaterThan">
      <formula>0</formula>
    </cfRule>
    <cfRule type="cellIs" dxfId="448"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7"/>
  <sheetViews>
    <sheetView topLeftCell="A62" workbookViewId="0">
      <selection activeCell="O37" sqref="O37"/>
    </sheetView>
  </sheetViews>
  <sheetFormatPr defaultRowHeight="12.75" x14ac:dyDescent="0.2"/>
  <cols>
    <col min="1" max="1" width="5" style="16" customWidth="1"/>
    <col min="2" max="2" width="18.7109375" style="37" customWidth="1"/>
    <col min="3" max="3" width="8" style="16" customWidth="1"/>
    <col min="4" max="5" width="7.85546875" style="16" customWidth="1"/>
    <col min="6" max="6" width="8.140625" style="16" customWidth="1"/>
    <col min="7" max="7" width="8.28515625" style="16" customWidth="1"/>
    <col min="8" max="8" width="7.85546875" style="16" customWidth="1"/>
    <col min="9" max="15" width="8" style="16" customWidth="1"/>
    <col min="16" max="16" width="9.140625" style="16"/>
    <col min="17" max="17" width="7" style="16" bestFit="1" customWidth="1"/>
    <col min="18" max="18" width="9.140625" style="16"/>
    <col min="19" max="19" width="12" style="16" customWidth="1"/>
    <col min="20" max="256" width="9.140625" style="16"/>
    <col min="257" max="257" width="5" style="16" customWidth="1"/>
    <col min="258" max="258" width="18.7109375" style="16" customWidth="1"/>
    <col min="259" max="259" width="8" style="16" customWidth="1"/>
    <col min="260" max="261" width="7.85546875" style="16" customWidth="1"/>
    <col min="262" max="262" width="8.140625" style="16" customWidth="1"/>
    <col min="263" max="263" width="8.28515625" style="16" customWidth="1"/>
    <col min="264" max="264" width="7.85546875" style="16" customWidth="1"/>
    <col min="265" max="271" width="8" style="16" customWidth="1"/>
    <col min="272" max="272" width="9.140625" style="16"/>
    <col min="273" max="273" width="7" style="16" bestFit="1" customWidth="1"/>
    <col min="274" max="274" width="9.140625" style="16"/>
    <col min="275" max="275" width="12" style="16" customWidth="1"/>
    <col min="276" max="512" width="9.140625" style="16"/>
    <col min="513" max="513" width="5" style="16" customWidth="1"/>
    <col min="514" max="514" width="18.7109375" style="16" customWidth="1"/>
    <col min="515" max="515" width="8" style="16" customWidth="1"/>
    <col min="516" max="517" width="7.85546875" style="16" customWidth="1"/>
    <col min="518" max="518" width="8.140625" style="16" customWidth="1"/>
    <col min="519" max="519" width="8.28515625" style="16" customWidth="1"/>
    <col min="520" max="520" width="7.85546875" style="16" customWidth="1"/>
    <col min="521" max="527" width="8" style="16" customWidth="1"/>
    <col min="528" max="528" width="9.140625" style="16"/>
    <col min="529" max="529" width="7" style="16" bestFit="1" customWidth="1"/>
    <col min="530" max="530" width="9.140625" style="16"/>
    <col min="531" max="531" width="12" style="16" customWidth="1"/>
    <col min="532" max="768" width="9.140625" style="16"/>
    <col min="769" max="769" width="5" style="16" customWidth="1"/>
    <col min="770" max="770" width="18.7109375" style="16" customWidth="1"/>
    <col min="771" max="771" width="8" style="16" customWidth="1"/>
    <col min="772" max="773" width="7.85546875" style="16" customWidth="1"/>
    <col min="774" max="774" width="8.140625" style="16" customWidth="1"/>
    <col min="775" max="775" width="8.28515625" style="16" customWidth="1"/>
    <col min="776" max="776" width="7.85546875" style="16" customWidth="1"/>
    <col min="777" max="783" width="8" style="16" customWidth="1"/>
    <col min="784" max="784" width="9.140625" style="16"/>
    <col min="785" max="785" width="7" style="16" bestFit="1" customWidth="1"/>
    <col min="786" max="786" width="9.140625" style="16"/>
    <col min="787" max="787" width="12" style="16" customWidth="1"/>
    <col min="788" max="1024" width="9.140625" style="16"/>
    <col min="1025" max="1025" width="5" style="16" customWidth="1"/>
    <col min="1026" max="1026" width="18.7109375" style="16" customWidth="1"/>
    <col min="1027" max="1027" width="8" style="16" customWidth="1"/>
    <col min="1028" max="1029" width="7.85546875" style="16" customWidth="1"/>
    <col min="1030" max="1030" width="8.140625" style="16" customWidth="1"/>
    <col min="1031" max="1031" width="8.28515625" style="16" customWidth="1"/>
    <col min="1032" max="1032" width="7.85546875" style="16" customWidth="1"/>
    <col min="1033" max="1039" width="8" style="16" customWidth="1"/>
    <col min="1040" max="1040" width="9.140625" style="16"/>
    <col min="1041" max="1041" width="7" style="16" bestFit="1" customWidth="1"/>
    <col min="1042" max="1042" width="9.140625" style="16"/>
    <col min="1043" max="1043" width="12" style="16" customWidth="1"/>
    <col min="1044" max="1280" width="9.140625" style="16"/>
    <col min="1281" max="1281" width="5" style="16" customWidth="1"/>
    <col min="1282" max="1282" width="18.7109375" style="16" customWidth="1"/>
    <col min="1283" max="1283" width="8" style="16" customWidth="1"/>
    <col min="1284" max="1285" width="7.85546875" style="16" customWidth="1"/>
    <col min="1286" max="1286" width="8.140625" style="16" customWidth="1"/>
    <col min="1287" max="1287" width="8.28515625" style="16" customWidth="1"/>
    <col min="1288" max="1288" width="7.85546875" style="16" customWidth="1"/>
    <col min="1289" max="1295" width="8" style="16" customWidth="1"/>
    <col min="1296" max="1296" width="9.140625" style="16"/>
    <col min="1297" max="1297" width="7" style="16" bestFit="1" customWidth="1"/>
    <col min="1298" max="1298" width="9.140625" style="16"/>
    <col min="1299" max="1299" width="12" style="16" customWidth="1"/>
    <col min="1300" max="1536" width="9.140625" style="16"/>
    <col min="1537" max="1537" width="5" style="16" customWidth="1"/>
    <col min="1538" max="1538" width="18.7109375" style="16" customWidth="1"/>
    <col min="1539" max="1539" width="8" style="16" customWidth="1"/>
    <col min="1540" max="1541" width="7.85546875" style="16" customWidth="1"/>
    <col min="1542" max="1542" width="8.140625" style="16" customWidth="1"/>
    <col min="1543" max="1543" width="8.28515625" style="16" customWidth="1"/>
    <col min="1544" max="1544" width="7.85546875" style="16" customWidth="1"/>
    <col min="1545" max="1551" width="8" style="16" customWidth="1"/>
    <col min="1552" max="1552" width="9.140625" style="16"/>
    <col min="1553" max="1553" width="7" style="16" bestFit="1" customWidth="1"/>
    <col min="1554" max="1554" width="9.140625" style="16"/>
    <col min="1555" max="1555" width="12" style="16" customWidth="1"/>
    <col min="1556" max="1792" width="9.140625" style="16"/>
    <col min="1793" max="1793" width="5" style="16" customWidth="1"/>
    <col min="1794" max="1794" width="18.7109375" style="16" customWidth="1"/>
    <col min="1795" max="1795" width="8" style="16" customWidth="1"/>
    <col min="1796" max="1797" width="7.85546875" style="16" customWidth="1"/>
    <col min="1798" max="1798" width="8.140625" style="16" customWidth="1"/>
    <col min="1799" max="1799" width="8.28515625" style="16" customWidth="1"/>
    <col min="1800" max="1800" width="7.85546875" style="16" customWidth="1"/>
    <col min="1801" max="1807" width="8" style="16" customWidth="1"/>
    <col min="1808" max="1808" width="9.140625" style="16"/>
    <col min="1809" max="1809" width="7" style="16" bestFit="1" customWidth="1"/>
    <col min="1810" max="1810" width="9.140625" style="16"/>
    <col min="1811" max="1811" width="12" style="16" customWidth="1"/>
    <col min="1812" max="2048" width="9.140625" style="16"/>
    <col min="2049" max="2049" width="5" style="16" customWidth="1"/>
    <col min="2050" max="2050" width="18.7109375" style="16" customWidth="1"/>
    <col min="2051" max="2051" width="8" style="16" customWidth="1"/>
    <col min="2052" max="2053" width="7.85546875" style="16" customWidth="1"/>
    <col min="2054" max="2054" width="8.140625" style="16" customWidth="1"/>
    <col min="2055" max="2055" width="8.28515625" style="16" customWidth="1"/>
    <col min="2056" max="2056" width="7.85546875" style="16" customWidth="1"/>
    <col min="2057" max="2063" width="8" style="16" customWidth="1"/>
    <col min="2064" max="2064" width="9.140625" style="16"/>
    <col min="2065" max="2065" width="7" style="16" bestFit="1" customWidth="1"/>
    <col min="2066" max="2066" width="9.140625" style="16"/>
    <col min="2067" max="2067" width="12" style="16" customWidth="1"/>
    <col min="2068" max="2304" width="9.140625" style="16"/>
    <col min="2305" max="2305" width="5" style="16" customWidth="1"/>
    <col min="2306" max="2306" width="18.7109375" style="16" customWidth="1"/>
    <col min="2307" max="2307" width="8" style="16" customWidth="1"/>
    <col min="2308" max="2309" width="7.85546875" style="16" customWidth="1"/>
    <col min="2310" max="2310" width="8.140625" style="16" customWidth="1"/>
    <col min="2311" max="2311" width="8.28515625" style="16" customWidth="1"/>
    <col min="2312" max="2312" width="7.85546875" style="16" customWidth="1"/>
    <col min="2313" max="2319" width="8" style="16" customWidth="1"/>
    <col min="2320" max="2320" width="9.140625" style="16"/>
    <col min="2321" max="2321" width="7" style="16" bestFit="1" customWidth="1"/>
    <col min="2322" max="2322" width="9.140625" style="16"/>
    <col min="2323" max="2323" width="12" style="16" customWidth="1"/>
    <col min="2324" max="2560" width="9.140625" style="16"/>
    <col min="2561" max="2561" width="5" style="16" customWidth="1"/>
    <col min="2562" max="2562" width="18.7109375" style="16" customWidth="1"/>
    <col min="2563" max="2563" width="8" style="16" customWidth="1"/>
    <col min="2564" max="2565" width="7.85546875" style="16" customWidth="1"/>
    <col min="2566" max="2566" width="8.140625" style="16" customWidth="1"/>
    <col min="2567" max="2567" width="8.28515625" style="16" customWidth="1"/>
    <col min="2568" max="2568" width="7.85546875" style="16" customWidth="1"/>
    <col min="2569" max="2575" width="8" style="16" customWidth="1"/>
    <col min="2576" max="2576" width="9.140625" style="16"/>
    <col min="2577" max="2577" width="7" style="16" bestFit="1" customWidth="1"/>
    <col min="2578" max="2578" width="9.140625" style="16"/>
    <col min="2579" max="2579" width="12" style="16" customWidth="1"/>
    <col min="2580" max="2816" width="9.140625" style="16"/>
    <col min="2817" max="2817" width="5" style="16" customWidth="1"/>
    <col min="2818" max="2818" width="18.7109375" style="16" customWidth="1"/>
    <col min="2819" max="2819" width="8" style="16" customWidth="1"/>
    <col min="2820" max="2821" width="7.85546875" style="16" customWidth="1"/>
    <col min="2822" max="2822" width="8.140625" style="16" customWidth="1"/>
    <col min="2823" max="2823" width="8.28515625" style="16" customWidth="1"/>
    <col min="2824" max="2824" width="7.85546875" style="16" customWidth="1"/>
    <col min="2825" max="2831" width="8" style="16" customWidth="1"/>
    <col min="2832" max="2832" width="9.140625" style="16"/>
    <col min="2833" max="2833" width="7" style="16" bestFit="1" customWidth="1"/>
    <col min="2834" max="2834" width="9.140625" style="16"/>
    <col min="2835" max="2835" width="12" style="16" customWidth="1"/>
    <col min="2836" max="3072" width="9.140625" style="16"/>
    <col min="3073" max="3073" width="5" style="16" customWidth="1"/>
    <col min="3074" max="3074" width="18.7109375" style="16" customWidth="1"/>
    <col min="3075" max="3075" width="8" style="16" customWidth="1"/>
    <col min="3076" max="3077" width="7.85546875" style="16" customWidth="1"/>
    <col min="3078" max="3078" width="8.140625" style="16" customWidth="1"/>
    <col min="3079" max="3079" width="8.28515625" style="16" customWidth="1"/>
    <col min="3080" max="3080" width="7.85546875" style="16" customWidth="1"/>
    <col min="3081" max="3087" width="8" style="16" customWidth="1"/>
    <col min="3088" max="3088" width="9.140625" style="16"/>
    <col min="3089" max="3089" width="7" style="16" bestFit="1" customWidth="1"/>
    <col min="3090" max="3090" width="9.140625" style="16"/>
    <col min="3091" max="3091" width="12" style="16" customWidth="1"/>
    <col min="3092" max="3328" width="9.140625" style="16"/>
    <col min="3329" max="3329" width="5" style="16" customWidth="1"/>
    <col min="3330" max="3330" width="18.7109375" style="16" customWidth="1"/>
    <col min="3331" max="3331" width="8" style="16" customWidth="1"/>
    <col min="3332" max="3333" width="7.85546875" style="16" customWidth="1"/>
    <col min="3334" max="3334" width="8.140625" style="16" customWidth="1"/>
    <col min="3335" max="3335" width="8.28515625" style="16" customWidth="1"/>
    <col min="3336" max="3336" width="7.85546875" style="16" customWidth="1"/>
    <col min="3337" max="3343" width="8" style="16" customWidth="1"/>
    <col min="3344" max="3344" width="9.140625" style="16"/>
    <col min="3345" max="3345" width="7" style="16" bestFit="1" customWidth="1"/>
    <col min="3346" max="3346" width="9.140625" style="16"/>
    <col min="3347" max="3347" width="12" style="16" customWidth="1"/>
    <col min="3348" max="3584" width="9.140625" style="16"/>
    <col min="3585" max="3585" width="5" style="16" customWidth="1"/>
    <col min="3586" max="3586" width="18.7109375" style="16" customWidth="1"/>
    <col min="3587" max="3587" width="8" style="16" customWidth="1"/>
    <col min="3588" max="3589" width="7.85546875" style="16" customWidth="1"/>
    <col min="3590" max="3590" width="8.140625" style="16" customWidth="1"/>
    <col min="3591" max="3591" width="8.28515625" style="16" customWidth="1"/>
    <col min="3592" max="3592" width="7.85546875" style="16" customWidth="1"/>
    <col min="3593" max="3599" width="8" style="16" customWidth="1"/>
    <col min="3600" max="3600" width="9.140625" style="16"/>
    <col min="3601" max="3601" width="7" style="16" bestFit="1" customWidth="1"/>
    <col min="3602" max="3602" width="9.140625" style="16"/>
    <col min="3603" max="3603" width="12" style="16" customWidth="1"/>
    <col min="3604" max="3840" width="9.140625" style="16"/>
    <col min="3841" max="3841" width="5" style="16" customWidth="1"/>
    <col min="3842" max="3842" width="18.7109375" style="16" customWidth="1"/>
    <col min="3843" max="3843" width="8" style="16" customWidth="1"/>
    <col min="3844" max="3845" width="7.85546875" style="16" customWidth="1"/>
    <col min="3846" max="3846" width="8.140625" style="16" customWidth="1"/>
    <col min="3847" max="3847" width="8.28515625" style="16" customWidth="1"/>
    <col min="3848" max="3848" width="7.85546875" style="16" customWidth="1"/>
    <col min="3849" max="3855" width="8" style="16" customWidth="1"/>
    <col min="3856" max="3856" width="9.140625" style="16"/>
    <col min="3857" max="3857" width="7" style="16" bestFit="1" customWidth="1"/>
    <col min="3858" max="3858" width="9.140625" style="16"/>
    <col min="3859" max="3859" width="12" style="16" customWidth="1"/>
    <col min="3860" max="4096" width="9.140625" style="16"/>
    <col min="4097" max="4097" width="5" style="16" customWidth="1"/>
    <col min="4098" max="4098" width="18.7109375" style="16" customWidth="1"/>
    <col min="4099" max="4099" width="8" style="16" customWidth="1"/>
    <col min="4100" max="4101" width="7.85546875" style="16" customWidth="1"/>
    <col min="4102" max="4102" width="8.140625" style="16" customWidth="1"/>
    <col min="4103" max="4103" width="8.28515625" style="16" customWidth="1"/>
    <col min="4104" max="4104" width="7.85546875" style="16" customWidth="1"/>
    <col min="4105" max="4111" width="8" style="16" customWidth="1"/>
    <col min="4112" max="4112" width="9.140625" style="16"/>
    <col min="4113" max="4113" width="7" style="16" bestFit="1" customWidth="1"/>
    <col min="4114" max="4114" width="9.140625" style="16"/>
    <col min="4115" max="4115" width="12" style="16" customWidth="1"/>
    <col min="4116" max="4352" width="9.140625" style="16"/>
    <col min="4353" max="4353" width="5" style="16" customWidth="1"/>
    <col min="4354" max="4354" width="18.7109375" style="16" customWidth="1"/>
    <col min="4355" max="4355" width="8" style="16" customWidth="1"/>
    <col min="4356" max="4357" width="7.85546875" style="16" customWidth="1"/>
    <col min="4358" max="4358" width="8.140625" style="16" customWidth="1"/>
    <col min="4359" max="4359" width="8.28515625" style="16" customWidth="1"/>
    <col min="4360" max="4360" width="7.85546875" style="16" customWidth="1"/>
    <col min="4361" max="4367" width="8" style="16" customWidth="1"/>
    <col min="4368" max="4368" width="9.140625" style="16"/>
    <col min="4369" max="4369" width="7" style="16" bestFit="1" customWidth="1"/>
    <col min="4370" max="4370" width="9.140625" style="16"/>
    <col min="4371" max="4371" width="12" style="16" customWidth="1"/>
    <col min="4372" max="4608" width="9.140625" style="16"/>
    <col min="4609" max="4609" width="5" style="16" customWidth="1"/>
    <col min="4610" max="4610" width="18.7109375" style="16" customWidth="1"/>
    <col min="4611" max="4611" width="8" style="16" customWidth="1"/>
    <col min="4612" max="4613" width="7.85546875" style="16" customWidth="1"/>
    <col min="4614" max="4614" width="8.140625" style="16" customWidth="1"/>
    <col min="4615" max="4615" width="8.28515625" style="16" customWidth="1"/>
    <col min="4616" max="4616" width="7.85546875" style="16" customWidth="1"/>
    <col min="4617" max="4623" width="8" style="16" customWidth="1"/>
    <col min="4624" max="4624" width="9.140625" style="16"/>
    <col min="4625" max="4625" width="7" style="16" bestFit="1" customWidth="1"/>
    <col min="4626" max="4626" width="9.140625" style="16"/>
    <col min="4627" max="4627" width="12" style="16" customWidth="1"/>
    <col min="4628" max="4864" width="9.140625" style="16"/>
    <col min="4865" max="4865" width="5" style="16" customWidth="1"/>
    <col min="4866" max="4866" width="18.7109375" style="16" customWidth="1"/>
    <col min="4867" max="4867" width="8" style="16" customWidth="1"/>
    <col min="4868" max="4869" width="7.85546875" style="16" customWidth="1"/>
    <col min="4870" max="4870" width="8.140625" style="16" customWidth="1"/>
    <col min="4871" max="4871" width="8.28515625" style="16" customWidth="1"/>
    <col min="4872" max="4872" width="7.85546875" style="16" customWidth="1"/>
    <col min="4873" max="4879" width="8" style="16" customWidth="1"/>
    <col min="4880" max="4880" width="9.140625" style="16"/>
    <col min="4881" max="4881" width="7" style="16" bestFit="1" customWidth="1"/>
    <col min="4882" max="4882" width="9.140625" style="16"/>
    <col min="4883" max="4883" width="12" style="16" customWidth="1"/>
    <col min="4884" max="5120" width="9.140625" style="16"/>
    <col min="5121" max="5121" width="5" style="16" customWidth="1"/>
    <col min="5122" max="5122" width="18.7109375" style="16" customWidth="1"/>
    <col min="5123" max="5123" width="8" style="16" customWidth="1"/>
    <col min="5124" max="5125" width="7.85546875" style="16" customWidth="1"/>
    <col min="5126" max="5126" width="8.140625" style="16" customWidth="1"/>
    <col min="5127" max="5127" width="8.28515625" style="16" customWidth="1"/>
    <col min="5128" max="5128" width="7.85546875" style="16" customWidth="1"/>
    <col min="5129" max="5135" width="8" style="16" customWidth="1"/>
    <col min="5136" max="5136" width="9.140625" style="16"/>
    <col min="5137" max="5137" width="7" style="16" bestFit="1" customWidth="1"/>
    <col min="5138" max="5138" width="9.140625" style="16"/>
    <col min="5139" max="5139" width="12" style="16" customWidth="1"/>
    <col min="5140" max="5376" width="9.140625" style="16"/>
    <col min="5377" max="5377" width="5" style="16" customWidth="1"/>
    <col min="5378" max="5378" width="18.7109375" style="16" customWidth="1"/>
    <col min="5379" max="5379" width="8" style="16" customWidth="1"/>
    <col min="5380" max="5381" width="7.85546875" style="16" customWidth="1"/>
    <col min="5382" max="5382" width="8.140625" style="16" customWidth="1"/>
    <col min="5383" max="5383" width="8.28515625" style="16" customWidth="1"/>
    <col min="5384" max="5384" width="7.85546875" style="16" customWidth="1"/>
    <col min="5385" max="5391" width="8" style="16" customWidth="1"/>
    <col min="5392" max="5392" width="9.140625" style="16"/>
    <col min="5393" max="5393" width="7" style="16" bestFit="1" customWidth="1"/>
    <col min="5394" max="5394" width="9.140625" style="16"/>
    <col min="5395" max="5395" width="12" style="16" customWidth="1"/>
    <col min="5396" max="5632" width="9.140625" style="16"/>
    <col min="5633" max="5633" width="5" style="16" customWidth="1"/>
    <col min="5634" max="5634" width="18.7109375" style="16" customWidth="1"/>
    <col min="5635" max="5635" width="8" style="16" customWidth="1"/>
    <col min="5636" max="5637" width="7.85546875" style="16" customWidth="1"/>
    <col min="5638" max="5638" width="8.140625" style="16" customWidth="1"/>
    <col min="5639" max="5639" width="8.28515625" style="16" customWidth="1"/>
    <col min="5640" max="5640" width="7.85546875" style="16" customWidth="1"/>
    <col min="5641" max="5647" width="8" style="16" customWidth="1"/>
    <col min="5648" max="5648" width="9.140625" style="16"/>
    <col min="5649" max="5649" width="7" style="16" bestFit="1" customWidth="1"/>
    <col min="5650" max="5650" width="9.140625" style="16"/>
    <col min="5651" max="5651" width="12" style="16" customWidth="1"/>
    <col min="5652" max="5888" width="9.140625" style="16"/>
    <col min="5889" max="5889" width="5" style="16" customWidth="1"/>
    <col min="5890" max="5890" width="18.7109375" style="16" customWidth="1"/>
    <col min="5891" max="5891" width="8" style="16" customWidth="1"/>
    <col min="5892" max="5893" width="7.85546875" style="16" customWidth="1"/>
    <col min="5894" max="5894" width="8.140625" style="16" customWidth="1"/>
    <col min="5895" max="5895" width="8.28515625" style="16" customWidth="1"/>
    <col min="5896" max="5896" width="7.85546875" style="16" customWidth="1"/>
    <col min="5897" max="5903" width="8" style="16" customWidth="1"/>
    <col min="5904" max="5904" width="9.140625" style="16"/>
    <col min="5905" max="5905" width="7" style="16" bestFit="1" customWidth="1"/>
    <col min="5906" max="5906" width="9.140625" style="16"/>
    <col min="5907" max="5907" width="12" style="16" customWidth="1"/>
    <col min="5908" max="6144" width="9.140625" style="16"/>
    <col min="6145" max="6145" width="5" style="16" customWidth="1"/>
    <col min="6146" max="6146" width="18.7109375" style="16" customWidth="1"/>
    <col min="6147" max="6147" width="8" style="16" customWidth="1"/>
    <col min="6148" max="6149" width="7.85546875" style="16" customWidth="1"/>
    <col min="6150" max="6150" width="8.140625" style="16" customWidth="1"/>
    <col min="6151" max="6151" width="8.28515625" style="16" customWidth="1"/>
    <col min="6152" max="6152" width="7.85546875" style="16" customWidth="1"/>
    <col min="6153" max="6159" width="8" style="16" customWidth="1"/>
    <col min="6160" max="6160" width="9.140625" style="16"/>
    <col min="6161" max="6161" width="7" style="16" bestFit="1" customWidth="1"/>
    <col min="6162" max="6162" width="9.140625" style="16"/>
    <col min="6163" max="6163" width="12" style="16" customWidth="1"/>
    <col min="6164" max="6400" width="9.140625" style="16"/>
    <col min="6401" max="6401" width="5" style="16" customWidth="1"/>
    <col min="6402" max="6402" width="18.7109375" style="16" customWidth="1"/>
    <col min="6403" max="6403" width="8" style="16" customWidth="1"/>
    <col min="6404" max="6405" width="7.85546875" style="16" customWidth="1"/>
    <col min="6406" max="6406" width="8.140625" style="16" customWidth="1"/>
    <col min="6407" max="6407" width="8.28515625" style="16" customWidth="1"/>
    <col min="6408" max="6408" width="7.85546875" style="16" customWidth="1"/>
    <col min="6409" max="6415" width="8" style="16" customWidth="1"/>
    <col min="6416" max="6416" width="9.140625" style="16"/>
    <col min="6417" max="6417" width="7" style="16" bestFit="1" customWidth="1"/>
    <col min="6418" max="6418" width="9.140625" style="16"/>
    <col min="6419" max="6419" width="12" style="16" customWidth="1"/>
    <col min="6420" max="6656" width="9.140625" style="16"/>
    <col min="6657" max="6657" width="5" style="16" customWidth="1"/>
    <col min="6658" max="6658" width="18.7109375" style="16" customWidth="1"/>
    <col min="6659" max="6659" width="8" style="16" customWidth="1"/>
    <col min="6660" max="6661" width="7.85546875" style="16" customWidth="1"/>
    <col min="6662" max="6662" width="8.140625" style="16" customWidth="1"/>
    <col min="6663" max="6663" width="8.28515625" style="16" customWidth="1"/>
    <col min="6664" max="6664" width="7.85546875" style="16" customWidth="1"/>
    <col min="6665" max="6671" width="8" style="16" customWidth="1"/>
    <col min="6672" max="6672" width="9.140625" style="16"/>
    <col min="6673" max="6673" width="7" style="16" bestFit="1" customWidth="1"/>
    <col min="6674" max="6674" width="9.140625" style="16"/>
    <col min="6675" max="6675" width="12" style="16" customWidth="1"/>
    <col min="6676" max="6912" width="9.140625" style="16"/>
    <col min="6913" max="6913" width="5" style="16" customWidth="1"/>
    <col min="6914" max="6914" width="18.7109375" style="16" customWidth="1"/>
    <col min="6915" max="6915" width="8" style="16" customWidth="1"/>
    <col min="6916" max="6917" width="7.85546875" style="16" customWidth="1"/>
    <col min="6918" max="6918" width="8.140625" style="16" customWidth="1"/>
    <col min="6919" max="6919" width="8.28515625" style="16" customWidth="1"/>
    <col min="6920" max="6920" width="7.85546875" style="16" customWidth="1"/>
    <col min="6921" max="6927" width="8" style="16" customWidth="1"/>
    <col min="6928" max="6928" width="9.140625" style="16"/>
    <col min="6929" max="6929" width="7" style="16" bestFit="1" customWidth="1"/>
    <col min="6930" max="6930" width="9.140625" style="16"/>
    <col min="6931" max="6931" width="12" style="16" customWidth="1"/>
    <col min="6932" max="7168" width="9.140625" style="16"/>
    <col min="7169" max="7169" width="5" style="16" customWidth="1"/>
    <col min="7170" max="7170" width="18.7109375" style="16" customWidth="1"/>
    <col min="7171" max="7171" width="8" style="16" customWidth="1"/>
    <col min="7172" max="7173" width="7.85546875" style="16" customWidth="1"/>
    <col min="7174" max="7174" width="8.140625" style="16" customWidth="1"/>
    <col min="7175" max="7175" width="8.28515625" style="16" customWidth="1"/>
    <col min="7176" max="7176" width="7.85546875" style="16" customWidth="1"/>
    <col min="7177" max="7183" width="8" style="16" customWidth="1"/>
    <col min="7184" max="7184" width="9.140625" style="16"/>
    <col min="7185" max="7185" width="7" style="16" bestFit="1" customWidth="1"/>
    <col min="7186" max="7186" width="9.140625" style="16"/>
    <col min="7187" max="7187" width="12" style="16" customWidth="1"/>
    <col min="7188" max="7424" width="9.140625" style="16"/>
    <col min="7425" max="7425" width="5" style="16" customWidth="1"/>
    <col min="7426" max="7426" width="18.7109375" style="16" customWidth="1"/>
    <col min="7427" max="7427" width="8" style="16" customWidth="1"/>
    <col min="7428" max="7429" width="7.85546875" style="16" customWidth="1"/>
    <col min="7430" max="7430" width="8.140625" style="16" customWidth="1"/>
    <col min="7431" max="7431" width="8.28515625" style="16" customWidth="1"/>
    <col min="7432" max="7432" width="7.85546875" style="16" customWidth="1"/>
    <col min="7433" max="7439" width="8" style="16" customWidth="1"/>
    <col min="7440" max="7440" width="9.140625" style="16"/>
    <col min="7441" max="7441" width="7" style="16" bestFit="1" customWidth="1"/>
    <col min="7442" max="7442" width="9.140625" style="16"/>
    <col min="7443" max="7443" width="12" style="16" customWidth="1"/>
    <col min="7444" max="7680" width="9.140625" style="16"/>
    <col min="7681" max="7681" width="5" style="16" customWidth="1"/>
    <col min="7682" max="7682" width="18.7109375" style="16" customWidth="1"/>
    <col min="7683" max="7683" width="8" style="16" customWidth="1"/>
    <col min="7684" max="7685" width="7.85546875" style="16" customWidth="1"/>
    <col min="7686" max="7686" width="8.140625" style="16" customWidth="1"/>
    <col min="7687" max="7687" width="8.28515625" style="16" customWidth="1"/>
    <col min="7688" max="7688" width="7.85546875" style="16" customWidth="1"/>
    <col min="7689" max="7695" width="8" style="16" customWidth="1"/>
    <col min="7696" max="7696" width="9.140625" style="16"/>
    <col min="7697" max="7697" width="7" style="16" bestFit="1" customWidth="1"/>
    <col min="7698" max="7698" width="9.140625" style="16"/>
    <col min="7699" max="7699" width="12" style="16" customWidth="1"/>
    <col min="7700" max="7936" width="9.140625" style="16"/>
    <col min="7937" max="7937" width="5" style="16" customWidth="1"/>
    <col min="7938" max="7938" width="18.7109375" style="16" customWidth="1"/>
    <col min="7939" max="7939" width="8" style="16" customWidth="1"/>
    <col min="7940" max="7941" width="7.85546875" style="16" customWidth="1"/>
    <col min="7942" max="7942" width="8.140625" style="16" customWidth="1"/>
    <col min="7943" max="7943" width="8.28515625" style="16" customWidth="1"/>
    <col min="7944" max="7944" width="7.85546875" style="16" customWidth="1"/>
    <col min="7945" max="7951" width="8" style="16" customWidth="1"/>
    <col min="7952" max="7952" width="9.140625" style="16"/>
    <col min="7953" max="7953" width="7" style="16" bestFit="1" customWidth="1"/>
    <col min="7954" max="7954" width="9.140625" style="16"/>
    <col min="7955" max="7955" width="12" style="16" customWidth="1"/>
    <col min="7956" max="8192" width="9.140625" style="16"/>
    <col min="8193" max="8193" width="5" style="16" customWidth="1"/>
    <col min="8194" max="8194" width="18.7109375" style="16" customWidth="1"/>
    <col min="8195" max="8195" width="8" style="16" customWidth="1"/>
    <col min="8196" max="8197" width="7.85546875" style="16" customWidth="1"/>
    <col min="8198" max="8198" width="8.140625" style="16" customWidth="1"/>
    <col min="8199" max="8199" width="8.28515625" style="16" customWidth="1"/>
    <col min="8200" max="8200" width="7.85546875" style="16" customWidth="1"/>
    <col min="8201" max="8207" width="8" style="16" customWidth="1"/>
    <col min="8208" max="8208" width="9.140625" style="16"/>
    <col min="8209" max="8209" width="7" style="16" bestFit="1" customWidth="1"/>
    <col min="8210" max="8210" width="9.140625" style="16"/>
    <col min="8211" max="8211" width="12" style="16" customWidth="1"/>
    <col min="8212" max="8448" width="9.140625" style="16"/>
    <col min="8449" max="8449" width="5" style="16" customWidth="1"/>
    <col min="8450" max="8450" width="18.7109375" style="16" customWidth="1"/>
    <col min="8451" max="8451" width="8" style="16" customWidth="1"/>
    <col min="8452" max="8453" width="7.85546875" style="16" customWidth="1"/>
    <col min="8454" max="8454" width="8.140625" style="16" customWidth="1"/>
    <col min="8455" max="8455" width="8.28515625" style="16" customWidth="1"/>
    <col min="8456" max="8456" width="7.85546875" style="16" customWidth="1"/>
    <col min="8457" max="8463" width="8" style="16" customWidth="1"/>
    <col min="8464" max="8464" width="9.140625" style="16"/>
    <col min="8465" max="8465" width="7" style="16" bestFit="1" customWidth="1"/>
    <col min="8466" max="8466" width="9.140625" style="16"/>
    <col min="8467" max="8467" width="12" style="16" customWidth="1"/>
    <col min="8468" max="8704" width="9.140625" style="16"/>
    <col min="8705" max="8705" width="5" style="16" customWidth="1"/>
    <col min="8706" max="8706" width="18.7109375" style="16" customWidth="1"/>
    <col min="8707" max="8707" width="8" style="16" customWidth="1"/>
    <col min="8708" max="8709" width="7.85546875" style="16" customWidth="1"/>
    <col min="8710" max="8710" width="8.140625" style="16" customWidth="1"/>
    <col min="8711" max="8711" width="8.28515625" style="16" customWidth="1"/>
    <col min="8712" max="8712" width="7.85546875" style="16" customWidth="1"/>
    <col min="8713" max="8719" width="8" style="16" customWidth="1"/>
    <col min="8720" max="8720" width="9.140625" style="16"/>
    <col min="8721" max="8721" width="7" style="16" bestFit="1" customWidth="1"/>
    <col min="8722" max="8722" width="9.140625" style="16"/>
    <col min="8723" max="8723" width="12" style="16" customWidth="1"/>
    <col min="8724" max="8960" width="9.140625" style="16"/>
    <col min="8961" max="8961" width="5" style="16" customWidth="1"/>
    <col min="8962" max="8962" width="18.7109375" style="16" customWidth="1"/>
    <col min="8963" max="8963" width="8" style="16" customWidth="1"/>
    <col min="8964" max="8965" width="7.85546875" style="16" customWidth="1"/>
    <col min="8966" max="8966" width="8.140625" style="16" customWidth="1"/>
    <col min="8967" max="8967" width="8.28515625" style="16" customWidth="1"/>
    <col min="8968" max="8968" width="7.85546875" style="16" customWidth="1"/>
    <col min="8969" max="8975" width="8" style="16" customWidth="1"/>
    <col min="8976" max="8976" width="9.140625" style="16"/>
    <col min="8977" max="8977" width="7" style="16" bestFit="1" customWidth="1"/>
    <col min="8978" max="8978" width="9.140625" style="16"/>
    <col min="8979" max="8979" width="12" style="16" customWidth="1"/>
    <col min="8980" max="9216" width="9.140625" style="16"/>
    <col min="9217" max="9217" width="5" style="16" customWidth="1"/>
    <col min="9218" max="9218" width="18.7109375" style="16" customWidth="1"/>
    <col min="9219" max="9219" width="8" style="16" customWidth="1"/>
    <col min="9220" max="9221" width="7.85546875" style="16" customWidth="1"/>
    <col min="9222" max="9222" width="8.140625" style="16" customWidth="1"/>
    <col min="9223" max="9223" width="8.28515625" style="16" customWidth="1"/>
    <col min="9224" max="9224" width="7.85546875" style="16" customWidth="1"/>
    <col min="9225" max="9231" width="8" style="16" customWidth="1"/>
    <col min="9232" max="9232" width="9.140625" style="16"/>
    <col min="9233" max="9233" width="7" style="16" bestFit="1" customWidth="1"/>
    <col min="9234" max="9234" width="9.140625" style="16"/>
    <col min="9235" max="9235" width="12" style="16" customWidth="1"/>
    <col min="9236" max="9472" width="9.140625" style="16"/>
    <col min="9473" max="9473" width="5" style="16" customWidth="1"/>
    <col min="9474" max="9474" width="18.7109375" style="16" customWidth="1"/>
    <col min="9475" max="9475" width="8" style="16" customWidth="1"/>
    <col min="9476" max="9477" width="7.85546875" style="16" customWidth="1"/>
    <col min="9478" max="9478" width="8.140625" style="16" customWidth="1"/>
    <col min="9479" max="9479" width="8.28515625" style="16" customWidth="1"/>
    <col min="9480" max="9480" width="7.85546875" style="16" customWidth="1"/>
    <col min="9481" max="9487" width="8" style="16" customWidth="1"/>
    <col min="9488" max="9488" width="9.140625" style="16"/>
    <col min="9489" max="9489" width="7" style="16" bestFit="1" customWidth="1"/>
    <col min="9490" max="9490" width="9.140625" style="16"/>
    <col min="9491" max="9491" width="12" style="16" customWidth="1"/>
    <col min="9492" max="9728" width="9.140625" style="16"/>
    <col min="9729" max="9729" width="5" style="16" customWidth="1"/>
    <col min="9730" max="9730" width="18.7109375" style="16" customWidth="1"/>
    <col min="9731" max="9731" width="8" style="16" customWidth="1"/>
    <col min="9732" max="9733" width="7.85546875" style="16" customWidth="1"/>
    <col min="9734" max="9734" width="8.140625" style="16" customWidth="1"/>
    <col min="9735" max="9735" width="8.28515625" style="16" customWidth="1"/>
    <col min="9736" max="9736" width="7.85546875" style="16" customWidth="1"/>
    <col min="9737" max="9743" width="8" style="16" customWidth="1"/>
    <col min="9744" max="9744" width="9.140625" style="16"/>
    <col min="9745" max="9745" width="7" style="16" bestFit="1" customWidth="1"/>
    <col min="9746" max="9746" width="9.140625" style="16"/>
    <col min="9747" max="9747" width="12" style="16" customWidth="1"/>
    <col min="9748" max="9984" width="9.140625" style="16"/>
    <col min="9985" max="9985" width="5" style="16" customWidth="1"/>
    <col min="9986" max="9986" width="18.7109375" style="16" customWidth="1"/>
    <col min="9987" max="9987" width="8" style="16" customWidth="1"/>
    <col min="9988" max="9989" width="7.85546875" style="16" customWidth="1"/>
    <col min="9990" max="9990" width="8.140625" style="16" customWidth="1"/>
    <col min="9991" max="9991" width="8.28515625" style="16" customWidth="1"/>
    <col min="9992" max="9992" width="7.85546875" style="16" customWidth="1"/>
    <col min="9993" max="9999" width="8" style="16" customWidth="1"/>
    <col min="10000" max="10000" width="9.140625" style="16"/>
    <col min="10001" max="10001" width="7" style="16" bestFit="1" customWidth="1"/>
    <col min="10002" max="10002" width="9.140625" style="16"/>
    <col min="10003" max="10003" width="12" style="16" customWidth="1"/>
    <col min="10004" max="10240" width="9.140625" style="16"/>
    <col min="10241" max="10241" width="5" style="16" customWidth="1"/>
    <col min="10242" max="10242" width="18.7109375" style="16" customWidth="1"/>
    <col min="10243" max="10243" width="8" style="16" customWidth="1"/>
    <col min="10244" max="10245" width="7.85546875" style="16" customWidth="1"/>
    <col min="10246" max="10246" width="8.140625" style="16" customWidth="1"/>
    <col min="10247" max="10247" width="8.28515625" style="16" customWidth="1"/>
    <col min="10248" max="10248" width="7.85546875" style="16" customWidth="1"/>
    <col min="10249" max="10255" width="8" style="16" customWidth="1"/>
    <col min="10256" max="10256" width="9.140625" style="16"/>
    <col min="10257" max="10257" width="7" style="16" bestFit="1" customWidth="1"/>
    <col min="10258" max="10258" width="9.140625" style="16"/>
    <col min="10259" max="10259" width="12" style="16" customWidth="1"/>
    <col min="10260" max="10496" width="9.140625" style="16"/>
    <col min="10497" max="10497" width="5" style="16" customWidth="1"/>
    <col min="10498" max="10498" width="18.7109375" style="16" customWidth="1"/>
    <col min="10499" max="10499" width="8" style="16" customWidth="1"/>
    <col min="10500" max="10501" width="7.85546875" style="16" customWidth="1"/>
    <col min="10502" max="10502" width="8.140625" style="16" customWidth="1"/>
    <col min="10503" max="10503" width="8.28515625" style="16" customWidth="1"/>
    <col min="10504" max="10504" width="7.85546875" style="16" customWidth="1"/>
    <col min="10505" max="10511" width="8" style="16" customWidth="1"/>
    <col min="10512" max="10512" width="9.140625" style="16"/>
    <col min="10513" max="10513" width="7" style="16" bestFit="1" customWidth="1"/>
    <col min="10514" max="10514" width="9.140625" style="16"/>
    <col min="10515" max="10515" width="12" style="16" customWidth="1"/>
    <col min="10516" max="10752" width="9.140625" style="16"/>
    <col min="10753" max="10753" width="5" style="16" customWidth="1"/>
    <col min="10754" max="10754" width="18.7109375" style="16" customWidth="1"/>
    <col min="10755" max="10755" width="8" style="16" customWidth="1"/>
    <col min="10756" max="10757" width="7.85546875" style="16" customWidth="1"/>
    <col min="10758" max="10758" width="8.140625" style="16" customWidth="1"/>
    <col min="10759" max="10759" width="8.28515625" style="16" customWidth="1"/>
    <col min="10760" max="10760" width="7.85546875" style="16" customWidth="1"/>
    <col min="10761" max="10767" width="8" style="16" customWidth="1"/>
    <col min="10768" max="10768" width="9.140625" style="16"/>
    <col min="10769" max="10769" width="7" style="16" bestFit="1" customWidth="1"/>
    <col min="10770" max="10770" width="9.140625" style="16"/>
    <col min="10771" max="10771" width="12" style="16" customWidth="1"/>
    <col min="10772" max="11008" width="9.140625" style="16"/>
    <col min="11009" max="11009" width="5" style="16" customWidth="1"/>
    <col min="11010" max="11010" width="18.7109375" style="16" customWidth="1"/>
    <col min="11011" max="11011" width="8" style="16" customWidth="1"/>
    <col min="11012" max="11013" width="7.85546875" style="16" customWidth="1"/>
    <col min="11014" max="11014" width="8.140625" style="16" customWidth="1"/>
    <col min="11015" max="11015" width="8.28515625" style="16" customWidth="1"/>
    <col min="11016" max="11016" width="7.85546875" style="16" customWidth="1"/>
    <col min="11017" max="11023" width="8" style="16" customWidth="1"/>
    <col min="11024" max="11024" width="9.140625" style="16"/>
    <col min="11025" max="11025" width="7" style="16" bestFit="1" customWidth="1"/>
    <col min="11026" max="11026" width="9.140625" style="16"/>
    <col min="11027" max="11027" width="12" style="16" customWidth="1"/>
    <col min="11028" max="11264" width="9.140625" style="16"/>
    <col min="11265" max="11265" width="5" style="16" customWidth="1"/>
    <col min="11266" max="11266" width="18.7109375" style="16" customWidth="1"/>
    <col min="11267" max="11267" width="8" style="16" customWidth="1"/>
    <col min="11268" max="11269" width="7.85546875" style="16" customWidth="1"/>
    <col min="11270" max="11270" width="8.140625" style="16" customWidth="1"/>
    <col min="11271" max="11271" width="8.28515625" style="16" customWidth="1"/>
    <col min="11272" max="11272" width="7.85546875" style="16" customWidth="1"/>
    <col min="11273" max="11279" width="8" style="16" customWidth="1"/>
    <col min="11280" max="11280" width="9.140625" style="16"/>
    <col min="11281" max="11281" width="7" style="16" bestFit="1" customWidth="1"/>
    <col min="11282" max="11282" width="9.140625" style="16"/>
    <col min="11283" max="11283" width="12" style="16" customWidth="1"/>
    <col min="11284" max="11520" width="9.140625" style="16"/>
    <col min="11521" max="11521" width="5" style="16" customWidth="1"/>
    <col min="11522" max="11522" width="18.7109375" style="16" customWidth="1"/>
    <col min="11523" max="11523" width="8" style="16" customWidth="1"/>
    <col min="11524" max="11525" width="7.85546875" style="16" customWidth="1"/>
    <col min="11526" max="11526" width="8.140625" style="16" customWidth="1"/>
    <col min="11527" max="11527" width="8.28515625" style="16" customWidth="1"/>
    <col min="11528" max="11528" width="7.85546875" style="16" customWidth="1"/>
    <col min="11529" max="11535" width="8" style="16" customWidth="1"/>
    <col min="11536" max="11536" width="9.140625" style="16"/>
    <col min="11537" max="11537" width="7" style="16" bestFit="1" customWidth="1"/>
    <col min="11538" max="11538" width="9.140625" style="16"/>
    <col min="11539" max="11539" width="12" style="16" customWidth="1"/>
    <col min="11540" max="11776" width="9.140625" style="16"/>
    <col min="11777" max="11777" width="5" style="16" customWidth="1"/>
    <col min="11778" max="11778" width="18.7109375" style="16" customWidth="1"/>
    <col min="11779" max="11779" width="8" style="16" customWidth="1"/>
    <col min="11780" max="11781" width="7.85546875" style="16" customWidth="1"/>
    <col min="11782" max="11782" width="8.140625" style="16" customWidth="1"/>
    <col min="11783" max="11783" width="8.28515625" style="16" customWidth="1"/>
    <col min="11784" max="11784" width="7.85546875" style="16" customWidth="1"/>
    <col min="11785" max="11791" width="8" style="16" customWidth="1"/>
    <col min="11792" max="11792" width="9.140625" style="16"/>
    <col min="11793" max="11793" width="7" style="16" bestFit="1" customWidth="1"/>
    <col min="11794" max="11794" width="9.140625" style="16"/>
    <col min="11795" max="11795" width="12" style="16" customWidth="1"/>
    <col min="11796" max="12032" width="9.140625" style="16"/>
    <col min="12033" max="12033" width="5" style="16" customWidth="1"/>
    <col min="12034" max="12034" width="18.7109375" style="16" customWidth="1"/>
    <col min="12035" max="12035" width="8" style="16" customWidth="1"/>
    <col min="12036" max="12037" width="7.85546875" style="16" customWidth="1"/>
    <col min="12038" max="12038" width="8.140625" style="16" customWidth="1"/>
    <col min="12039" max="12039" width="8.28515625" style="16" customWidth="1"/>
    <col min="12040" max="12040" width="7.85546875" style="16" customWidth="1"/>
    <col min="12041" max="12047" width="8" style="16" customWidth="1"/>
    <col min="12048" max="12048" width="9.140625" style="16"/>
    <col min="12049" max="12049" width="7" style="16" bestFit="1" customWidth="1"/>
    <col min="12050" max="12050" width="9.140625" style="16"/>
    <col min="12051" max="12051" width="12" style="16" customWidth="1"/>
    <col min="12052" max="12288" width="9.140625" style="16"/>
    <col min="12289" max="12289" width="5" style="16" customWidth="1"/>
    <col min="12290" max="12290" width="18.7109375" style="16" customWidth="1"/>
    <col min="12291" max="12291" width="8" style="16" customWidth="1"/>
    <col min="12292" max="12293" width="7.85546875" style="16" customWidth="1"/>
    <col min="12294" max="12294" width="8.140625" style="16" customWidth="1"/>
    <col min="12295" max="12295" width="8.28515625" style="16" customWidth="1"/>
    <col min="12296" max="12296" width="7.85546875" style="16" customWidth="1"/>
    <col min="12297" max="12303" width="8" style="16" customWidth="1"/>
    <col min="12304" max="12304" width="9.140625" style="16"/>
    <col min="12305" max="12305" width="7" style="16" bestFit="1" customWidth="1"/>
    <col min="12306" max="12306" width="9.140625" style="16"/>
    <col min="12307" max="12307" width="12" style="16" customWidth="1"/>
    <col min="12308" max="12544" width="9.140625" style="16"/>
    <col min="12545" max="12545" width="5" style="16" customWidth="1"/>
    <col min="12546" max="12546" width="18.7109375" style="16" customWidth="1"/>
    <col min="12547" max="12547" width="8" style="16" customWidth="1"/>
    <col min="12548" max="12549" width="7.85546875" style="16" customWidth="1"/>
    <col min="12550" max="12550" width="8.140625" style="16" customWidth="1"/>
    <col min="12551" max="12551" width="8.28515625" style="16" customWidth="1"/>
    <col min="12552" max="12552" width="7.85546875" style="16" customWidth="1"/>
    <col min="12553" max="12559" width="8" style="16" customWidth="1"/>
    <col min="12560" max="12560" width="9.140625" style="16"/>
    <col min="12561" max="12561" width="7" style="16" bestFit="1" customWidth="1"/>
    <col min="12562" max="12562" width="9.140625" style="16"/>
    <col min="12563" max="12563" width="12" style="16" customWidth="1"/>
    <col min="12564" max="12800" width="9.140625" style="16"/>
    <col min="12801" max="12801" width="5" style="16" customWidth="1"/>
    <col min="12802" max="12802" width="18.7109375" style="16" customWidth="1"/>
    <col min="12803" max="12803" width="8" style="16" customWidth="1"/>
    <col min="12804" max="12805" width="7.85546875" style="16" customWidth="1"/>
    <col min="12806" max="12806" width="8.140625" style="16" customWidth="1"/>
    <col min="12807" max="12807" width="8.28515625" style="16" customWidth="1"/>
    <col min="12808" max="12808" width="7.85546875" style="16" customWidth="1"/>
    <col min="12809" max="12815" width="8" style="16" customWidth="1"/>
    <col min="12816" max="12816" width="9.140625" style="16"/>
    <col min="12817" max="12817" width="7" style="16" bestFit="1" customWidth="1"/>
    <col min="12818" max="12818" width="9.140625" style="16"/>
    <col min="12819" max="12819" width="12" style="16" customWidth="1"/>
    <col min="12820" max="13056" width="9.140625" style="16"/>
    <col min="13057" max="13057" width="5" style="16" customWidth="1"/>
    <col min="13058" max="13058" width="18.7109375" style="16" customWidth="1"/>
    <col min="13059" max="13059" width="8" style="16" customWidth="1"/>
    <col min="13060" max="13061" width="7.85546875" style="16" customWidth="1"/>
    <col min="13062" max="13062" width="8.140625" style="16" customWidth="1"/>
    <col min="13063" max="13063" width="8.28515625" style="16" customWidth="1"/>
    <col min="13064" max="13064" width="7.85546875" style="16" customWidth="1"/>
    <col min="13065" max="13071" width="8" style="16" customWidth="1"/>
    <col min="13072" max="13072" width="9.140625" style="16"/>
    <col min="13073" max="13073" width="7" style="16" bestFit="1" customWidth="1"/>
    <col min="13074" max="13074" width="9.140625" style="16"/>
    <col min="13075" max="13075" width="12" style="16" customWidth="1"/>
    <col min="13076" max="13312" width="9.140625" style="16"/>
    <col min="13313" max="13313" width="5" style="16" customWidth="1"/>
    <col min="13314" max="13314" width="18.7109375" style="16" customWidth="1"/>
    <col min="13315" max="13315" width="8" style="16" customWidth="1"/>
    <col min="13316" max="13317" width="7.85546875" style="16" customWidth="1"/>
    <col min="13318" max="13318" width="8.140625" style="16" customWidth="1"/>
    <col min="13319" max="13319" width="8.28515625" style="16" customWidth="1"/>
    <col min="13320" max="13320" width="7.85546875" style="16" customWidth="1"/>
    <col min="13321" max="13327" width="8" style="16" customWidth="1"/>
    <col min="13328" max="13328" width="9.140625" style="16"/>
    <col min="13329" max="13329" width="7" style="16" bestFit="1" customWidth="1"/>
    <col min="13330" max="13330" width="9.140625" style="16"/>
    <col min="13331" max="13331" width="12" style="16" customWidth="1"/>
    <col min="13332" max="13568" width="9.140625" style="16"/>
    <col min="13569" max="13569" width="5" style="16" customWidth="1"/>
    <col min="13570" max="13570" width="18.7109375" style="16" customWidth="1"/>
    <col min="13571" max="13571" width="8" style="16" customWidth="1"/>
    <col min="13572" max="13573" width="7.85546875" style="16" customWidth="1"/>
    <col min="13574" max="13574" width="8.140625" style="16" customWidth="1"/>
    <col min="13575" max="13575" width="8.28515625" style="16" customWidth="1"/>
    <col min="13576" max="13576" width="7.85546875" style="16" customWidth="1"/>
    <col min="13577" max="13583" width="8" style="16" customWidth="1"/>
    <col min="13584" max="13584" width="9.140625" style="16"/>
    <col min="13585" max="13585" width="7" style="16" bestFit="1" customWidth="1"/>
    <col min="13586" max="13586" width="9.140625" style="16"/>
    <col min="13587" max="13587" width="12" style="16" customWidth="1"/>
    <col min="13588" max="13824" width="9.140625" style="16"/>
    <col min="13825" max="13825" width="5" style="16" customWidth="1"/>
    <col min="13826" max="13826" width="18.7109375" style="16" customWidth="1"/>
    <col min="13827" max="13827" width="8" style="16" customWidth="1"/>
    <col min="13828" max="13829" width="7.85546875" style="16" customWidth="1"/>
    <col min="13830" max="13830" width="8.140625" style="16" customWidth="1"/>
    <col min="13831" max="13831" width="8.28515625" style="16" customWidth="1"/>
    <col min="13832" max="13832" width="7.85546875" style="16" customWidth="1"/>
    <col min="13833" max="13839" width="8" style="16" customWidth="1"/>
    <col min="13840" max="13840" width="9.140625" style="16"/>
    <col min="13841" max="13841" width="7" style="16" bestFit="1" customWidth="1"/>
    <col min="13842" max="13842" width="9.140625" style="16"/>
    <col min="13843" max="13843" width="12" style="16" customWidth="1"/>
    <col min="13844" max="14080" width="9.140625" style="16"/>
    <col min="14081" max="14081" width="5" style="16" customWidth="1"/>
    <col min="14082" max="14082" width="18.7109375" style="16" customWidth="1"/>
    <col min="14083" max="14083" width="8" style="16" customWidth="1"/>
    <col min="14084" max="14085" width="7.85546875" style="16" customWidth="1"/>
    <col min="14086" max="14086" width="8.140625" style="16" customWidth="1"/>
    <col min="14087" max="14087" width="8.28515625" style="16" customWidth="1"/>
    <col min="14088" max="14088" width="7.85546875" style="16" customWidth="1"/>
    <col min="14089" max="14095" width="8" style="16" customWidth="1"/>
    <col min="14096" max="14096" width="9.140625" style="16"/>
    <col min="14097" max="14097" width="7" style="16" bestFit="1" customWidth="1"/>
    <col min="14098" max="14098" width="9.140625" style="16"/>
    <col min="14099" max="14099" width="12" style="16" customWidth="1"/>
    <col min="14100" max="14336" width="9.140625" style="16"/>
    <col min="14337" max="14337" width="5" style="16" customWidth="1"/>
    <col min="14338" max="14338" width="18.7109375" style="16" customWidth="1"/>
    <col min="14339" max="14339" width="8" style="16" customWidth="1"/>
    <col min="14340" max="14341" width="7.85546875" style="16" customWidth="1"/>
    <col min="14342" max="14342" width="8.140625" style="16" customWidth="1"/>
    <col min="14343" max="14343" width="8.28515625" style="16" customWidth="1"/>
    <col min="14344" max="14344" width="7.85546875" style="16" customWidth="1"/>
    <col min="14345" max="14351" width="8" style="16" customWidth="1"/>
    <col min="14352" max="14352" width="9.140625" style="16"/>
    <col min="14353" max="14353" width="7" style="16" bestFit="1" customWidth="1"/>
    <col min="14354" max="14354" width="9.140625" style="16"/>
    <col min="14355" max="14355" width="12" style="16" customWidth="1"/>
    <col min="14356" max="14592" width="9.140625" style="16"/>
    <col min="14593" max="14593" width="5" style="16" customWidth="1"/>
    <col min="14594" max="14594" width="18.7109375" style="16" customWidth="1"/>
    <col min="14595" max="14595" width="8" style="16" customWidth="1"/>
    <col min="14596" max="14597" width="7.85546875" style="16" customWidth="1"/>
    <col min="14598" max="14598" width="8.140625" style="16" customWidth="1"/>
    <col min="14599" max="14599" width="8.28515625" style="16" customWidth="1"/>
    <col min="14600" max="14600" width="7.85546875" style="16" customWidth="1"/>
    <col min="14601" max="14607" width="8" style="16" customWidth="1"/>
    <col min="14608" max="14608" width="9.140625" style="16"/>
    <col min="14609" max="14609" width="7" style="16" bestFit="1" customWidth="1"/>
    <col min="14610" max="14610" width="9.140625" style="16"/>
    <col min="14611" max="14611" width="12" style="16" customWidth="1"/>
    <col min="14612" max="14848" width="9.140625" style="16"/>
    <col min="14849" max="14849" width="5" style="16" customWidth="1"/>
    <col min="14850" max="14850" width="18.7109375" style="16" customWidth="1"/>
    <col min="14851" max="14851" width="8" style="16" customWidth="1"/>
    <col min="14852" max="14853" width="7.85546875" style="16" customWidth="1"/>
    <col min="14854" max="14854" width="8.140625" style="16" customWidth="1"/>
    <col min="14855" max="14855" width="8.28515625" style="16" customWidth="1"/>
    <col min="14856" max="14856" width="7.85546875" style="16" customWidth="1"/>
    <col min="14857" max="14863" width="8" style="16" customWidth="1"/>
    <col min="14864" max="14864" width="9.140625" style="16"/>
    <col min="14865" max="14865" width="7" style="16" bestFit="1" customWidth="1"/>
    <col min="14866" max="14866" width="9.140625" style="16"/>
    <col min="14867" max="14867" width="12" style="16" customWidth="1"/>
    <col min="14868" max="15104" width="9.140625" style="16"/>
    <col min="15105" max="15105" width="5" style="16" customWidth="1"/>
    <col min="15106" max="15106" width="18.7109375" style="16" customWidth="1"/>
    <col min="15107" max="15107" width="8" style="16" customWidth="1"/>
    <col min="15108" max="15109" width="7.85546875" style="16" customWidth="1"/>
    <col min="15110" max="15110" width="8.140625" style="16" customWidth="1"/>
    <col min="15111" max="15111" width="8.28515625" style="16" customWidth="1"/>
    <col min="15112" max="15112" width="7.85546875" style="16" customWidth="1"/>
    <col min="15113" max="15119" width="8" style="16" customWidth="1"/>
    <col min="15120" max="15120" width="9.140625" style="16"/>
    <col min="15121" max="15121" width="7" style="16" bestFit="1" customWidth="1"/>
    <col min="15122" max="15122" width="9.140625" style="16"/>
    <col min="15123" max="15123" width="12" style="16" customWidth="1"/>
    <col min="15124" max="15360" width="9.140625" style="16"/>
    <col min="15361" max="15361" width="5" style="16" customWidth="1"/>
    <col min="15362" max="15362" width="18.7109375" style="16" customWidth="1"/>
    <col min="15363" max="15363" width="8" style="16" customWidth="1"/>
    <col min="15364" max="15365" width="7.85546875" style="16" customWidth="1"/>
    <col min="15366" max="15366" width="8.140625" style="16" customWidth="1"/>
    <col min="15367" max="15367" width="8.28515625" style="16" customWidth="1"/>
    <col min="15368" max="15368" width="7.85546875" style="16" customWidth="1"/>
    <col min="15369" max="15375" width="8" style="16" customWidth="1"/>
    <col min="15376" max="15376" width="9.140625" style="16"/>
    <col min="15377" max="15377" width="7" style="16" bestFit="1" customWidth="1"/>
    <col min="15378" max="15378" width="9.140625" style="16"/>
    <col min="15379" max="15379" width="12" style="16" customWidth="1"/>
    <col min="15380" max="15616" width="9.140625" style="16"/>
    <col min="15617" max="15617" width="5" style="16" customWidth="1"/>
    <col min="15618" max="15618" width="18.7109375" style="16" customWidth="1"/>
    <col min="15619" max="15619" width="8" style="16" customWidth="1"/>
    <col min="15620" max="15621" width="7.85546875" style="16" customWidth="1"/>
    <col min="15622" max="15622" width="8.140625" style="16" customWidth="1"/>
    <col min="15623" max="15623" width="8.28515625" style="16" customWidth="1"/>
    <col min="15624" max="15624" width="7.85546875" style="16" customWidth="1"/>
    <col min="15625" max="15631" width="8" style="16" customWidth="1"/>
    <col min="15632" max="15632" width="9.140625" style="16"/>
    <col min="15633" max="15633" width="7" style="16" bestFit="1" customWidth="1"/>
    <col min="15634" max="15634" width="9.140625" style="16"/>
    <col min="15635" max="15635" width="12" style="16" customWidth="1"/>
    <col min="15636" max="15872" width="9.140625" style="16"/>
    <col min="15873" max="15873" width="5" style="16" customWidth="1"/>
    <col min="15874" max="15874" width="18.7109375" style="16" customWidth="1"/>
    <col min="15875" max="15875" width="8" style="16" customWidth="1"/>
    <col min="15876" max="15877" width="7.85546875" style="16" customWidth="1"/>
    <col min="15878" max="15878" width="8.140625" style="16" customWidth="1"/>
    <col min="15879" max="15879" width="8.28515625" style="16" customWidth="1"/>
    <col min="15880" max="15880" width="7.85546875" style="16" customWidth="1"/>
    <col min="15881" max="15887" width="8" style="16" customWidth="1"/>
    <col min="15888" max="15888" width="9.140625" style="16"/>
    <col min="15889" max="15889" width="7" style="16" bestFit="1" customWidth="1"/>
    <col min="15890" max="15890" width="9.140625" style="16"/>
    <col min="15891" max="15891" width="12" style="16" customWidth="1"/>
    <col min="15892" max="16128" width="9.140625" style="16"/>
    <col min="16129" max="16129" width="5" style="16" customWidth="1"/>
    <col min="16130" max="16130" width="18.7109375" style="16" customWidth="1"/>
    <col min="16131" max="16131" width="8" style="16" customWidth="1"/>
    <col min="16132" max="16133" width="7.85546875" style="16" customWidth="1"/>
    <col min="16134" max="16134" width="8.140625" style="16" customWidth="1"/>
    <col min="16135" max="16135" width="8.28515625" style="16" customWidth="1"/>
    <col min="16136" max="16136" width="7.85546875" style="16" customWidth="1"/>
    <col min="16137" max="16143" width="8" style="16" customWidth="1"/>
    <col min="16144" max="16144" width="9.140625" style="16"/>
    <col min="16145" max="16145" width="7" style="16" bestFit="1" customWidth="1"/>
    <col min="16146" max="16146" width="9.140625" style="16"/>
    <col min="16147" max="16147" width="12" style="16" customWidth="1"/>
    <col min="16148" max="16384" width="9.140625" style="16"/>
  </cols>
  <sheetData>
    <row r="1" spans="1:15" s="1" customFormat="1" x14ac:dyDescent="0.2">
      <c r="A1" s="867" t="s">
        <v>449</v>
      </c>
      <c r="B1" s="868"/>
      <c r="C1" s="868"/>
      <c r="D1" s="869"/>
      <c r="E1" s="868"/>
      <c r="F1" s="868"/>
      <c r="G1" s="867" t="s">
        <v>102</v>
      </c>
      <c r="H1" s="869"/>
      <c r="I1" s="869" t="s">
        <v>1132</v>
      </c>
      <c r="J1" s="868"/>
      <c r="K1" s="868"/>
      <c r="L1" s="870"/>
      <c r="M1" s="870"/>
      <c r="N1" s="870"/>
      <c r="O1" s="870"/>
    </row>
    <row r="2" spans="1:15" s="1" customFormat="1" x14ac:dyDescent="0.2">
      <c r="A2" s="867" t="s">
        <v>103</v>
      </c>
      <c r="B2" s="868"/>
      <c r="C2" s="868"/>
      <c r="D2" s="869"/>
      <c r="E2" s="868"/>
      <c r="F2" s="868"/>
      <c r="G2" s="867" t="s">
        <v>104</v>
      </c>
      <c r="H2" s="869"/>
      <c r="I2" s="869" t="s">
        <v>105</v>
      </c>
      <c r="J2" s="868"/>
      <c r="K2" s="868"/>
      <c r="L2" s="870"/>
      <c r="M2" s="870"/>
      <c r="N2" s="870"/>
      <c r="O2" s="870"/>
    </row>
    <row r="3" spans="1:15" s="1" customFormat="1" x14ac:dyDescent="0.2">
      <c r="A3" s="867" t="s">
        <v>106</v>
      </c>
      <c r="B3" s="868"/>
      <c r="C3" s="868"/>
      <c r="D3" s="881" t="s">
        <v>1133</v>
      </c>
      <c r="E3" s="882"/>
      <c r="F3" s="882"/>
      <c r="G3" s="867" t="s">
        <v>107</v>
      </c>
      <c r="H3" s="869"/>
      <c r="I3" s="869" t="s">
        <v>108</v>
      </c>
      <c r="J3" s="868"/>
      <c r="K3" s="868"/>
      <c r="L3" s="870"/>
      <c r="M3" s="870"/>
      <c r="N3" s="870"/>
      <c r="O3" s="870"/>
    </row>
    <row r="4" spans="1:15" s="1" customFormat="1" x14ac:dyDescent="0.2">
      <c r="A4" s="867" t="s">
        <v>109</v>
      </c>
      <c r="B4" s="868"/>
      <c r="C4" s="868"/>
      <c r="D4" s="883"/>
      <c r="E4" s="868"/>
      <c r="F4" s="868"/>
      <c r="G4" s="867" t="s">
        <v>110</v>
      </c>
      <c r="H4" s="869"/>
      <c r="I4" s="869" t="s">
        <v>1134</v>
      </c>
      <c r="J4" s="868"/>
      <c r="K4" s="868"/>
      <c r="L4" s="870"/>
      <c r="M4" s="870"/>
      <c r="N4" s="870"/>
      <c r="O4" s="870"/>
    </row>
    <row r="5" spans="1:15" s="1" customFormat="1" x14ac:dyDescent="0.2">
      <c r="A5" s="867" t="s">
        <v>658</v>
      </c>
      <c r="B5" s="868"/>
      <c r="C5" s="868"/>
      <c r="D5" s="869" t="s">
        <v>1135</v>
      </c>
      <c r="E5" s="868"/>
      <c r="F5" s="868"/>
      <c r="G5" s="867"/>
      <c r="H5" s="868"/>
      <c r="I5" s="869" t="s">
        <v>113</v>
      </c>
      <c r="J5" s="868"/>
      <c r="K5" s="868"/>
      <c r="L5" s="870"/>
      <c r="M5" s="870"/>
      <c r="N5" s="870"/>
      <c r="O5" s="870"/>
    </row>
    <row r="6" spans="1:15" s="1" customFormat="1" x14ac:dyDescent="0.2">
      <c r="A6" s="871" t="s">
        <v>114</v>
      </c>
      <c r="B6" s="872"/>
      <c r="C6" s="872"/>
      <c r="D6" s="868" t="s">
        <v>921</v>
      </c>
      <c r="E6" s="868"/>
      <c r="F6" s="868"/>
      <c r="G6" s="871" t="s">
        <v>115</v>
      </c>
      <c r="H6" s="871"/>
      <c r="I6" s="2" t="s">
        <v>116</v>
      </c>
      <c r="J6" s="888"/>
      <c r="K6" s="888"/>
      <c r="L6" s="888"/>
      <c r="M6" s="888"/>
      <c r="N6" s="888"/>
      <c r="O6" s="889"/>
    </row>
    <row r="7" spans="1:15" s="1" customFormat="1" ht="13.5" thickBot="1" x14ac:dyDescent="0.25">
      <c r="A7" s="3"/>
      <c r="B7" s="4"/>
      <c r="C7" s="5"/>
      <c r="D7" s="6"/>
      <c r="E7" s="6"/>
      <c r="F7" s="6"/>
      <c r="G7" s="6"/>
      <c r="H7" s="6"/>
      <c r="I7" s="6"/>
      <c r="J7" s="1111"/>
      <c r="K7" s="1112"/>
      <c r="L7" s="1112"/>
      <c r="M7" s="1112"/>
      <c r="N7" s="1112"/>
      <c r="O7" s="1113"/>
    </row>
    <row r="8" spans="1:15" s="11" customFormat="1" x14ac:dyDescent="0.2">
      <c r="A8" s="876" t="str">
        <f>I1</f>
        <v>Mr. S. B. BHUJBAL</v>
      </c>
      <c r="B8" s="877"/>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68000</v>
      </c>
      <c r="D9" s="14">
        <v>68000</v>
      </c>
      <c r="E9" s="14">
        <v>68000</v>
      </c>
      <c r="F9" s="14">
        <v>68000</v>
      </c>
      <c r="G9" s="14">
        <v>70000</v>
      </c>
      <c r="H9" s="14">
        <v>70000</v>
      </c>
      <c r="I9" s="14">
        <v>70000</v>
      </c>
      <c r="J9" s="14">
        <v>70000</v>
      </c>
      <c r="K9" s="14">
        <v>70000</v>
      </c>
      <c r="L9" s="14">
        <v>70000</v>
      </c>
      <c r="M9" s="14">
        <v>70000</v>
      </c>
      <c r="N9" s="14">
        <v>70000</v>
      </c>
      <c r="O9" s="15">
        <f>SUM(C9:N9)</f>
        <v>832000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3400</v>
      </c>
      <c r="D11" s="17">
        <v>4760</v>
      </c>
      <c r="E11" s="17">
        <v>4760</v>
      </c>
      <c r="F11" s="17">
        <v>4760</v>
      </c>
      <c r="G11" s="17">
        <v>4900</v>
      </c>
      <c r="H11" s="17">
        <v>4900</v>
      </c>
      <c r="I11" s="17">
        <v>4900</v>
      </c>
      <c r="J11" s="17">
        <v>6300</v>
      </c>
      <c r="K11" s="17">
        <v>6300</v>
      </c>
      <c r="L11" s="17">
        <v>6300</v>
      </c>
      <c r="M11" s="17">
        <v>6300</v>
      </c>
      <c r="N11" s="17">
        <v>6300</v>
      </c>
      <c r="O11" s="18">
        <f>SUM(C11:N11)</f>
        <v>63880</v>
      </c>
    </row>
    <row r="12" spans="1:15"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x14ac:dyDescent="0.2">
      <c r="A14" s="12"/>
      <c r="B14" s="13" t="s">
        <v>123</v>
      </c>
      <c r="C14" s="17">
        <v>3780</v>
      </c>
      <c r="D14" s="17">
        <v>3752</v>
      </c>
      <c r="E14" s="17">
        <v>3752</v>
      </c>
      <c r="F14" s="17">
        <v>3752</v>
      </c>
      <c r="G14" s="17">
        <v>3752</v>
      </c>
      <c r="H14" s="17">
        <v>3752</v>
      </c>
      <c r="I14" s="17">
        <v>3752</v>
      </c>
      <c r="J14" s="17">
        <v>3924</v>
      </c>
      <c r="K14" s="17">
        <v>3924</v>
      </c>
      <c r="L14" s="17">
        <v>3924</v>
      </c>
      <c r="M14" s="17">
        <v>3924</v>
      </c>
      <c r="N14" s="17">
        <v>3924</v>
      </c>
      <c r="O14" s="18">
        <f t="shared" si="0"/>
        <v>45912</v>
      </c>
    </row>
    <row r="15" spans="1:15"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hidden="1"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127</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16320</v>
      </c>
      <c r="D19" s="17">
        <v>16320</v>
      </c>
      <c r="E19" s="17">
        <v>16320</v>
      </c>
      <c r="F19" s="17">
        <v>16320</v>
      </c>
      <c r="G19" s="17">
        <v>16800</v>
      </c>
      <c r="H19" s="17">
        <v>16800</v>
      </c>
      <c r="I19" s="17">
        <v>16800</v>
      </c>
      <c r="J19" s="17">
        <v>16800</v>
      </c>
      <c r="K19" s="17">
        <v>16800</v>
      </c>
      <c r="L19" s="17">
        <v>16800</v>
      </c>
      <c r="M19" s="17">
        <v>16800</v>
      </c>
      <c r="N19" s="17">
        <v>16800</v>
      </c>
      <c r="O19" s="18">
        <f t="shared" si="0"/>
        <v>199680</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78"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79"/>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5" ht="15" hidden="1" customHeight="1" x14ac:dyDescent="0.2">
      <c r="A23" s="879"/>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79"/>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79"/>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79"/>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79"/>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79"/>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79"/>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79"/>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79"/>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79"/>
      <c r="B32" s="21" t="s">
        <v>142</v>
      </c>
      <c r="C32" s="17">
        <v>0</v>
      </c>
      <c r="D32" s="17">
        <v>0</v>
      </c>
      <c r="E32" s="17">
        <v>61257</v>
      </c>
      <c r="F32" s="17">
        <v>0</v>
      </c>
      <c r="G32" s="17">
        <v>0</v>
      </c>
      <c r="H32" s="17">
        <v>0</v>
      </c>
      <c r="I32" s="17">
        <v>0</v>
      </c>
      <c r="J32" s="17">
        <v>0</v>
      </c>
      <c r="K32" s="17">
        <v>0</v>
      </c>
      <c r="L32" s="17">
        <v>0</v>
      </c>
      <c r="M32" s="17">
        <v>0</v>
      </c>
      <c r="N32" s="17">
        <v>0</v>
      </c>
      <c r="O32" s="18">
        <f t="shared" si="0"/>
        <v>61257</v>
      </c>
    </row>
    <row r="33" spans="1:16" ht="15" hidden="1" customHeight="1" x14ac:dyDescent="0.2">
      <c r="A33" s="880"/>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865" t="s">
        <v>144</v>
      </c>
      <c r="B34" s="866"/>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865" t="s">
        <v>145</v>
      </c>
      <c r="B35" s="866"/>
      <c r="C35" s="17">
        <v>0</v>
      </c>
      <c r="D35" s="17">
        <v>216</v>
      </c>
      <c r="E35" s="17">
        <v>0</v>
      </c>
      <c r="F35" s="17">
        <v>0</v>
      </c>
      <c r="G35" s="17">
        <v>0</v>
      </c>
      <c r="H35" s="17">
        <v>0</v>
      </c>
      <c r="I35" s="17">
        <v>0</v>
      </c>
      <c r="J35" s="17">
        <v>416</v>
      </c>
      <c r="K35" s="17">
        <v>0</v>
      </c>
      <c r="L35" s="17">
        <v>0</v>
      </c>
      <c r="M35" s="17">
        <v>0</v>
      </c>
      <c r="N35" s="17">
        <v>0</v>
      </c>
      <c r="O35" s="18">
        <f t="shared" si="0"/>
        <v>632</v>
      </c>
    </row>
    <row r="36" spans="1:16" ht="15" customHeight="1" x14ac:dyDescent="0.2">
      <c r="A36" s="865" t="s">
        <v>146</v>
      </c>
      <c r="B36" s="866"/>
      <c r="C36" s="17">
        <v>0</v>
      </c>
      <c r="D36" s="17">
        <v>4080</v>
      </c>
      <c r="E36" s="17">
        <v>0</v>
      </c>
      <c r="F36" s="17">
        <v>0</v>
      </c>
      <c r="G36" s="17">
        <v>0</v>
      </c>
      <c r="H36" s="17">
        <v>0</v>
      </c>
      <c r="I36" s="17">
        <v>0</v>
      </c>
      <c r="J36" s="17">
        <v>4200</v>
      </c>
      <c r="K36" s="17">
        <v>0</v>
      </c>
      <c r="L36" s="17">
        <v>0</v>
      </c>
      <c r="M36" s="17">
        <v>0</v>
      </c>
      <c r="N36" s="17">
        <v>0</v>
      </c>
      <c r="O36" s="18">
        <f t="shared" si="0"/>
        <v>8280</v>
      </c>
    </row>
    <row r="37" spans="1:16" ht="15" customHeight="1" x14ac:dyDescent="0.2">
      <c r="A37" s="22"/>
      <c r="B37" s="23" t="s">
        <v>147</v>
      </c>
      <c r="C37" s="24">
        <f t="shared" ref="C37:N37" si="1">SUM(C9:C36)</f>
        <v>91500</v>
      </c>
      <c r="D37" s="24">
        <f t="shared" si="1"/>
        <v>97128</v>
      </c>
      <c r="E37" s="24">
        <f t="shared" si="1"/>
        <v>154089</v>
      </c>
      <c r="F37" s="24">
        <f t="shared" si="1"/>
        <v>92832</v>
      </c>
      <c r="G37" s="24">
        <f t="shared" si="1"/>
        <v>95452</v>
      </c>
      <c r="H37" s="24">
        <f t="shared" si="1"/>
        <v>95452</v>
      </c>
      <c r="I37" s="24">
        <f t="shared" si="1"/>
        <v>95452</v>
      </c>
      <c r="J37" s="24">
        <f t="shared" si="1"/>
        <v>108548</v>
      </c>
      <c r="K37" s="24">
        <f t="shared" si="1"/>
        <v>97024</v>
      </c>
      <c r="L37" s="24">
        <f t="shared" si="1"/>
        <v>97024</v>
      </c>
      <c r="M37" s="24">
        <f t="shared" si="1"/>
        <v>97024</v>
      </c>
      <c r="N37" s="24">
        <f t="shared" si="1"/>
        <v>97024</v>
      </c>
      <c r="O37" s="25">
        <f>SUM(C37:N37)</f>
        <v>1218549</v>
      </c>
    </row>
    <row r="38" spans="1:16" ht="15" customHeight="1" x14ac:dyDescent="0.25">
      <c r="A38" s="853" t="s">
        <v>148</v>
      </c>
      <c r="B38" s="27" t="s">
        <v>149</v>
      </c>
      <c r="C38" s="28">
        <v>8000</v>
      </c>
      <c r="D38" s="28">
        <v>8000</v>
      </c>
      <c r="E38" s="28">
        <v>14126</v>
      </c>
      <c r="F38" s="28">
        <v>8000</v>
      </c>
      <c r="G38" s="28">
        <v>8000</v>
      </c>
      <c r="H38" s="28">
        <v>8000</v>
      </c>
      <c r="I38" s="28">
        <v>8000</v>
      </c>
      <c r="J38" s="28">
        <v>8000</v>
      </c>
      <c r="K38" s="28">
        <v>13000</v>
      </c>
      <c r="L38" s="28">
        <v>13000</v>
      </c>
      <c r="M38" s="28">
        <v>12700</v>
      </c>
      <c r="N38">
        <v>13875</v>
      </c>
      <c r="O38" s="18">
        <f>SUM(C38:N38)</f>
        <v>122701</v>
      </c>
      <c r="P38" s="29"/>
    </row>
    <row r="39" spans="1:16" ht="15" x14ac:dyDescent="0.2">
      <c r="A39" s="854"/>
      <c r="B39" s="27" t="s">
        <v>150</v>
      </c>
      <c r="C39" s="28">
        <v>0</v>
      </c>
      <c r="D39" s="28">
        <v>0</v>
      </c>
      <c r="E39" s="28">
        <v>0</v>
      </c>
      <c r="F39" s="28">
        <v>0</v>
      </c>
      <c r="G39" s="28">
        <v>0</v>
      </c>
      <c r="H39" s="28">
        <v>0</v>
      </c>
      <c r="I39" s="28">
        <v>0</v>
      </c>
      <c r="J39" s="28">
        <v>0</v>
      </c>
      <c r="K39" s="28">
        <v>0</v>
      </c>
      <c r="L39" s="28">
        <v>0</v>
      </c>
      <c r="M39" s="28">
        <v>0</v>
      </c>
      <c r="N39" s="28">
        <v>0</v>
      </c>
      <c r="O39" s="18">
        <f>SUM(C39:N39)</f>
        <v>0</v>
      </c>
    </row>
    <row r="40" spans="1:16" ht="15" x14ac:dyDescent="0.2">
      <c r="A40" s="854"/>
      <c r="B40" s="27" t="s">
        <v>151</v>
      </c>
      <c r="C40" s="28">
        <v>60</v>
      </c>
      <c r="D40" s="28">
        <v>60</v>
      </c>
      <c r="E40" s="28">
        <v>60</v>
      </c>
      <c r="F40" s="28">
        <v>60</v>
      </c>
      <c r="G40" s="28">
        <v>60</v>
      </c>
      <c r="H40" s="28">
        <v>60</v>
      </c>
      <c r="I40" s="28">
        <v>60</v>
      </c>
      <c r="J40" s="28">
        <v>60</v>
      </c>
      <c r="K40" s="28">
        <v>60</v>
      </c>
      <c r="L40" s="28">
        <v>60</v>
      </c>
      <c r="M40" s="28">
        <v>60</v>
      </c>
      <c r="N40" s="28">
        <v>60</v>
      </c>
      <c r="O40" s="18">
        <f t="shared" ref="O40:O50" si="2">SUM(C40:N40)</f>
        <v>720</v>
      </c>
    </row>
    <row r="41" spans="1:16" ht="15" x14ac:dyDescent="0.2">
      <c r="A41" s="854"/>
      <c r="B41" s="27" t="s">
        <v>152</v>
      </c>
      <c r="C41" s="28">
        <v>0</v>
      </c>
      <c r="D41" s="28">
        <v>0</v>
      </c>
      <c r="E41" s="28">
        <v>0</v>
      </c>
      <c r="F41" s="28">
        <v>0</v>
      </c>
      <c r="G41" s="28">
        <v>0</v>
      </c>
      <c r="H41" s="28">
        <v>0</v>
      </c>
      <c r="I41" s="28">
        <v>0</v>
      </c>
      <c r="J41" s="28">
        <v>0</v>
      </c>
      <c r="K41" s="28">
        <v>0</v>
      </c>
      <c r="L41" s="28">
        <v>0</v>
      </c>
      <c r="M41" s="28">
        <v>0</v>
      </c>
      <c r="N41" s="28">
        <v>0</v>
      </c>
      <c r="O41" s="18">
        <f t="shared" si="2"/>
        <v>0</v>
      </c>
    </row>
    <row r="42" spans="1:16" ht="15" x14ac:dyDescent="0.2">
      <c r="A42" s="854"/>
      <c r="B42" s="27" t="s">
        <v>153</v>
      </c>
      <c r="C42" s="28">
        <v>650</v>
      </c>
      <c r="D42" s="28">
        <v>650</v>
      </c>
      <c r="E42" s="28">
        <v>650</v>
      </c>
      <c r="F42" s="28">
        <v>650</v>
      </c>
      <c r="G42" s="28">
        <v>650</v>
      </c>
      <c r="H42" s="28">
        <v>650</v>
      </c>
      <c r="I42" s="28">
        <v>650</v>
      </c>
      <c r="J42" s="28">
        <v>650</v>
      </c>
      <c r="K42" s="28">
        <v>650</v>
      </c>
      <c r="L42" s="28">
        <v>650</v>
      </c>
      <c r="M42" s="28">
        <v>650</v>
      </c>
      <c r="N42" s="28">
        <v>650</v>
      </c>
      <c r="O42" s="18">
        <f t="shared" si="2"/>
        <v>7800</v>
      </c>
    </row>
    <row r="43" spans="1:16" ht="15" x14ac:dyDescent="0.2">
      <c r="A43" s="854"/>
      <c r="B43" s="27" t="s">
        <v>154</v>
      </c>
      <c r="C43" s="28">
        <v>20000</v>
      </c>
      <c r="D43" s="28">
        <v>20000</v>
      </c>
      <c r="E43" s="28">
        <v>20000</v>
      </c>
      <c r="F43" s="28">
        <v>20000</v>
      </c>
      <c r="G43" s="28">
        <v>20000</v>
      </c>
      <c r="H43" s="28">
        <v>20000</v>
      </c>
      <c r="I43" s="28">
        <v>20000</v>
      </c>
      <c r="J43" s="28">
        <v>20000</v>
      </c>
      <c r="K43" s="28">
        <v>20000</v>
      </c>
      <c r="L43" s="28">
        <v>20000</v>
      </c>
      <c r="M43" s="28">
        <v>20000</v>
      </c>
      <c r="N43" s="28">
        <v>20000</v>
      </c>
      <c r="O43" s="18">
        <f t="shared" si="2"/>
        <v>240000</v>
      </c>
    </row>
    <row r="44" spans="1:16" ht="15" x14ac:dyDescent="0.2">
      <c r="A44" s="854"/>
      <c r="B44" s="27" t="s">
        <v>155</v>
      </c>
      <c r="C44" s="28">
        <v>200</v>
      </c>
      <c r="D44" s="28">
        <v>200</v>
      </c>
      <c r="E44" s="28">
        <v>200</v>
      </c>
      <c r="F44" s="28">
        <v>200</v>
      </c>
      <c r="G44" s="28">
        <v>200</v>
      </c>
      <c r="H44" s="28">
        <v>200</v>
      </c>
      <c r="I44" s="28">
        <v>200</v>
      </c>
      <c r="J44" s="28">
        <v>200</v>
      </c>
      <c r="K44" s="28">
        <v>200</v>
      </c>
      <c r="L44" s="28">
        <v>200</v>
      </c>
      <c r="M44" s="28">
        <v>200</v>
      </c>
      <c r="N44" s="28">
        <v>300</v>
      </c>
      <c r="O44" s="18">
        <f t="shared" si="2"/>
        <v>2500</v>
      </c>
    </row>
    <row r="45" spans="1:16" ht="15" x14ac:dyDescent="0.2">
      <c r="A45" s="854"/>
      <c r="B45" s="27" t="s">
        <v>156</v>
      </c>
      <c r="C45" s="28">
        <v>0</v>
      </c>
      <c r="D45" s="28">
        <v>0</v>
      </c>
      <c r="E45" s="28">
        <v>0</v>
      </c>
      <c r="F45" s="28">
        <v>0</v>
      </c>
      <c r="G45" s="28">
        <v>0</v>
      </c>
      <c r="H45" s="28">
        <v>0</v>
      </c>
      <c r="I45" s="28">
        <v>0</v>
      </c>
      <c r="J45" s="28">
        <v>0</v>
      </c>
      <c r="K45" s="28">
        <v>0</v>
      </c>
      <c r="L45" s="28">
        <v>0</v>
      </c>
      <c r="M45" s="28">
        <v>0</v>
      </c>
      <c r="N45" s="28">
        <v>0</v>
      </c>
      <c r="O45" s="18">
        <f t="shared" si="2"/>
        <v>0</v>
      </c>
    </row>
    <row r="46" spans="1:16" ht="15" x14ac:dyDescent="0.2">
      <c r="A46" s="854"/>
      <c r="B46" s="27" t="s">
        <v>157</v>
      </c>
      <c r="C46" s="28">
        <v>0</v>
      </c>
      <c r="D46" s="28">
        <v>0</v>
      </c>
      <c r="E46" s="28">
        <v>0</v>
      </c>
      <c r="F46" s="28">
        <v>0</v>
      </c>
      <c r="G46" s="28">
        <v>0</v>
      </c>
      <c r="H46" s="28">
        <v>0</v>
      </c>
      <c r="I46" s="28">
        <v>0</v>
      </c>
      <c r="J46" s="28">
        <v>0</v>
      </c>
      <c r="K46" s="28">
        <v>0</v>
      </c>
      <c r="L46" s="28">
        <v>0</v>
      </c>
      <c r="M46" s="28">
        <v>0</v>
      </c>
      <c r="N46" s="28">
        <v>0</v>
      </c>
      <c r="O46" s="18">
        <f t="shared" si="2"/>
        <v>0</v>
      </c>
    </row>
    <row r="47" spans="1:16" ht="28.5" customHeight="1" x14ac:dyDescent="0.2">
      <c r="A47" s="855"/>
      <c r="B47" s="30" t="s">
        <v>158</v>
      </c>
      <c r="C47" s="28">
        <v>0</v>
      </c>
      <c r="D47" s="28">
        <v>0</v>
      </c>
      <c r="E47" s="28">
        <v>0</v>
      </c>
      <c r="F47" s="28">
        <v>0</v>
      </c>
      <c r="G47" s="28">
        <v>0</v>
      </c>
      <c r="H47" s="28">
        <v>0</v>
      </c>
      <c r="I47" s="28">
        <v>0</v>
      </c>
      <c r="J47" s="28">
        <v>0</v>
      </c>
      <c r="K47" s="28">
        <v>0</v>
      </c>
      <c r="L47" s="28">
        <v>0</v>
      </c>
      <c r="M47" s="28">
        <v>0</v>
      </c>
      <c r="N47" s="28">
        <v>0</v>
      </c>
      <c r="O47" s="31">
        <f t="shared" si="2"/>
        <v>0</v>
      </c>
    </row>
    <row r="48" spans="1:16" ht="15" x14ac:dyDescent="0.2">
      <c r="A48" s="856"/>
      <c r="B48" s="127" t="s">
        <v>479</v>
      </c>
      <c r="C48" s="28">
        <v>0</v>
      </c>
      <c r="D48" s="28">
        <v>0</v>
      </c>
      <c r="E48" s="28">
        <v>0</v>
      </c>
      <c r="F48" s="28">
        <v>0</v>
      </c>
      <c r="G48" s="28">
        <v>0</v>
      </c>
      <c r="H48" s="28">
        <v>0</v>
      </c>
      <c r="I48" s="28">
        <v>0</v>
      </c>
      <c r="J48" s="28">
        <v>0</v>
      </c>
      <c r="K48" s="28">
        <v>0</v>
      </c>
      <c r="L48" s="28">
        <v>0</v>
      </c>
      <c r="M48" s="28">
        <v>0</v>
      </c>
      <c r="N48" s="28">
        <v>0</v>
      </c>
      <c r="O48" s="31">
        <f t="shared" si="2"/>
        <v>0</v>
      </c>
    </row>
    <row r="49" spans="1:17" ht="15" x14ac:dyDescent="0.2">
      <c r="A49" s="857" t="s">
        <v>160</v>
      </c>
      <c r="B49" s="858"/>
      <c r="C49" s="33">
        <f t="shared" ref="C49:N49" si="3">SUM(C38:C48)</f>
        <v>28910</v>
      </c>
      <c r="D49" s="33">
        <f t="shared" si="3"/>
        <v>28910</v>
      </c>
      <c r="E49" s="33">
        <f t="shared" si="3"/>
        <v>35036</v>
      </c>
      <c r="F49" s="33">
        <f t="shared" si="3"/>
        <v>28910</v>
      </c>
      <c r="G49" s="33">
        <f t="shared" si="3"/>
        <v>28910</v>
      </c>
      <c r="H49" s="33">
        <f t="shared" si="3"/>
        <v>28910</v>
      </c>
      <c r="I49" s="33">
        <f t="shared" si="3"/>
        <v>28910</v>
      </c>
      <c r="J49" s="33">
        <f t="shared" si="3"/>
        <v>28910</v>
      </c>
      <c r="K49" s="33">
        <f t="shared" si="3"/>
        <v>33910</v>
      </c>
      <c r="L49" s="33">
        <f t="shared" si="3"/>
        <v>33910</v>
      </c>
      <c r="M49" s="33">
        <f t="shared" si="3"/>
        <v>33610</v>
      </c>
      <c r="N49" s="33">
        <f t="shared" si="3"/>
        <v>34885</v>
      </c>
      <c r="O49" s="34">
        <f t="shared" si="2"/>
        <v>373721</v>
      </c>
    </row>
    <row r="50" spans="1:17" ht="15.75" thickBot="1" x14ac:dyDescent="0.25">
      <c r="A50" s="859" t="s">
        <v>161</v>
      </c>
      <c r="B50" s="860"/>
      <c r="C50" s="35">
        <f t="shared" ref="C50:N50" si="4">C37-C49</f>
        <v>62590</v>
      </c>
      <c r="D50" s="35">
        <f t="shared" si="4"/>
        <v>68218</v>
      </c>
      <c r="E50" s="35">
        <f t="shared" si="4"/>
        <v>119053</v>
      </c>
      <c r="F50" s="35">
        <f t="shared" si="4"/>
        <v>63922</v>
      </c>
      <c r="G50" s="35">
        <f t="shared" si="4"/>
        <v>66542</v>
      </c>
      <c r="H50" s="35">
        <f t="shared" si="4"/>
        <v>66542</v>
      </c>
      <c r="I50" s="35">
        <f t="shared" si="4"/>
        <v>66542</v>
      </c>
      <c r="J50" s="35">
        <f t="shared" si="4"/>
        <v>79638</v>
      </c>
      <c r="K50" s="35">
        <f t="shared" si="4"/>
        <v>63114</v>
      </c>
      <c r="L50" s="35">
        <f t="shared" si="4"/>
        <v>63114</v>
      </c>
      <c r="M50" s="35">
        <f t="shared" si="4"/>
        <v>63414</v>
      </c>
      <c r="N50" s="35">
        <f t="shared" si="4"/>
        <v>62139</v>
      </c>
      <c r="O50" s="36">
        <f t="shared" si="2"/>
        <v>844828</v>
      </c>
    </row>
    <row r="51" spans="1:17" x14ac:dyDescent="0.2">
      <c r="J51" s="300">
        <f>+J37-SUM(J22:J36)</f>
        <v>97024</v>
      </c>
      <c r="Q51" s="38">
        <f>SUM(C50:M50)</f>
        <v>782689</v>
      </c>
    </row>
    <row r="52" spans="1:17" ht="13.5" thickBot="1" x14ac:dyDescent="0.25">
      <c r="J52" s="38">
        <f>+J51-J49</f>
        <v>68114</v>
      </c>
    </row>
    <row r="53" spans="1:17" ht="13.5" thickBot="1" x14ac:dyDescent="0.25">
      <c r="B53" s="789" t="s">
        <v>162</v>
      </c>
      <c r="C53" s="861"/>
      <c r="D53" s="861"/>
      <c r="E53" s="861"/>
      <c r="F53" s="862"/>
      <c r="G53" s="863">
        <f>O37</f>
        <v>1218549</v>
      </c>
      <c r="H53" s="864"/>
    </row>
    <row r="54" spans="1:17" ht="13.5" thickBot="1" x14ac:dyDescent="0.25"/>
    <row r="55" spans="1:17" x14ac:dyDescent="0.2">
      <c r="B55" s="830" t="s">
        <v>163</v>
      </c>
      <c r="C55" s="833" t="s">
        <v>164</v>
      </c>
      <c r="D55" s="836" t="s">
        <v>229</v>
      </c>
      <c r="E55" s="837"/>
      <c r="F55" s="838"/>
      <c r="G55" s="839">
        <v>40000</v>
      </c>
      <c r="H55" s="840"/>
    </row>
    <row r="56" spans="1:17" x14ac:dyDescent="0.2">
      <c r="B56" s="831"/>
      <c r="C56" s="834"/>
      <c r="D56" s="841" t="s">
        <v>166</v>
      </c>
      <c r="E56" s="842"/>
      <c r="F56" s="843"/>
      <c r="G56" s="844">
        <f>+O44</f>
        <v>2500</v>
      </c>
      <c r="H56" s="845"/>
      <c r="I56" s="39"/>
      <c r="J56" s="846"/>
      <c r="K56" s="846"/>
      <c r="L56" s="846"/>
      <c r="M56" s="847"/>
      <c r="N56" s="847"/>
      <c r="O56" s="847"/>
    </row>
    <row r="57" spans="1:17" ht="13.5" thickBot="1" x14ac:dyDescent="0.25">
      <c r="B57" s="832"/>
      <c r="C57" s="835"/>
      <c r="D57" s="848" t="s">
        <v>243</v>
      </c>
      <c r="E57" s="849"/>
      <c r="F57" s="850"/>
      <c r="G57" s="851">
        <f>IF(O18&gt;15000,15000,+O18)</f>
        <v>0</v>
      </c>
      <c r="H57" s="852"/>
      <c r="J57" s="47"/>
      <c r="K57" s="47"/>
      <c r="L57" s="47"/>
      <c r="M57" s="47"/>
      <c r="N57" s="47"/>
      <c r="O57" s="47"/>
    </row>
    <row r="58" spans="1:17" ht="13.5" thickBot="1" x14ac:dyDescent="0.25">
      <c r="B58" s="48"/>
      <c r="J58" s="47"/>
      <c r="K58" s="47"/>
      <c r="L58" s="47"/>
      <c r="M58" s="47"/>
      <c r="N58" s="47"/>
      <c r="O58" s="47"/>
    </row>
    <row r="59" spans="1:17" ht="13.5" thickBot="1" x14ac:dyDescent="0.25">
      <c r="B59" s="789" t="s">
        <v>168</v>
      </c>
      <c r="C59" s="790"/>
      <c r="D59" s="790"/>
      <c r="E59" s="790"/>
      <c r="F59" s="791"/>
      <c r="G59" s="825">
        <f>+G53-SUM(G55:H57)</f>
        <v>1176049</v>
      </c>
      <c r="H59" s="826"/>
      <c r="J59" s="827" t="s">
        <v>169</v>
      </c>
      <c r="K59" s="828"/>
      <c r="L59" s="828"/>
      <c r="M59" s="828"/>
      <c r="N59" s="828"/>
      <c r="O59" s="829"/>
    </row>
    <row r="60" spans="1:17" ht="13.5" thickBot="1" x14ac:dyDescent="0.25">
      <c r="B60" s="49"/>
      <c r="C60" s="50"/>
      <c r="D60" s="50"/>
      <c r="E60" s="50"/>
      <c r="F60" s="50"/>
      <c r="G60" s="45"/>
      <c r="H60" s="50"/>
      <c r="J60" s="129"/>
      <c r="K60" s="130"/>
      <c r="L60" s="130"/>
      <c r="M60" s="130"/>
      <c r="N60" s="130"/>
      <c r="O60" s="131"/>
    </row>
    <row r="61" spans="1:17" ht="13.5" thickBot="1" x14ac:dyDescent="0.25">
      <c r="B61" s="789" t="s">
        <v>170</v>
      </c>
      <c r="C61" s="790"/>
      <c r="D61" s="790"/>
      <c r="E61" s="790"/>
      <c r="F61" s="791"/>
      <c r="G61" s="805"/>
      <c r="H61" s="791"/>
      <c r="J61" s="129"/>
      <c r="K61" s="130"/>
      <c r="L61" s="130"/>
      <c r="M61" s="130"/>
      <c r="N61" s="130"/>
      <c r="O61" s="131"/>
    </row>
    <row r="62" spans="1:17" ht="12.75" customHeight="1" x14ac:dyDescent="0.2">
      <c r="B62" s="57" t="s">
        <v>171</v>
      </c>
      <c r="C62" s="806" t="s">
        <v>172</v>
      </c>
      <c r="D62" s="807"/>
      <c r="E62" s="807"/>
      <c r="F62" s="808"/>
      <c r="G62" s="809">
        <v>0</v>
      </c>
      <c r="H62" s="809"/>
      <c r="I62" s="58"/>
      <c r="J62" s="810" t="s">
        <v>173</v>
      </c>
      <c r="K62" s="811"/>
      <c r="L62" s="811"/>
      <c r="M62" s="811"/>
      <c r="N62" s="811"/>
      <c r="O62" s="812"/>
      <c r="P62" s="59"/>
    </row>
    <row r="63" spans="1:17" ht="13.5" thickBot="1" x14ac:dyDescent="0.25">
      <c r="D63" s="37"/>
      <c r="I63" s="58"/>
      <c r="J63" s="60" t="s">
        <v>254</v>
      </c>
      <c r="K63" s="132"/>
      <c r="L63" s="132"/>
      <c r="M63" s="133"/>
      <c r="N63" s="133"/>
      <c r="O63" s="134"/>
      <c r="P63" s="59"/>
    </row>
    <row r="64" spans="1:17" ht="13.5" thickBot="1" x14ac:dyDescent="0.25">
      <c r="B64" s="789" t="s">
        <v>175</v>
      </c>
      <c r="C64" s="790"/>
      <c r="D64" s="790"/>
      <c r="E64" s="790"/>
      <c r="F64" s="791"/>
      <c r="G64" s="805">
        <f>+G59-G62</f>
        <v>1176049</v>
      </c>
      <c r="H64" s="791"/>
      <c r="I64" s="63"/>
      <c r="J64" s="64"/>
      <c r="K64" s="39"/>
      <c r="L64" s="39"/>
      <c r="M64" s="39"/>
      <c r="N64" s="39"/>
      <c r="O64" s="65"/>
      <c r="P64" s="59"/>
    </row>
    <row r="65" spans="2:16" ht="12.75" customHeight="1" x14ac:dyDescent="0.2">
      <c r="B65" s="48"/>
      <c r="C65" s="48"/>
      <c r="I65" s="63"/>
      <c r="J65" s="64"/>
      <c r="K65" s="39"/>
      <c r="L65" s="39"/>
      <c r="M65" s="39"/>
      <c r="N65" s="39"/>
      <c r="O65" s="65"/>
      <c r="P65" s="59"/>
    </row>
    <row r="66" spans="2:16" x14ac:dyDescent="0.2">
      <c r="B66" s="66" t="s">
        <v>176</v>
      </c>
      <c r="C66" s="48"/>
      <c r="I66" s="63"/>
      <c r="J66" s="67"/>
      <c r="K66" s="68"/>
      <c r="L66" s="68"/>
      <c r="M66" s="68"/>
      <c r="N66" s="68"/>
      <c r="O66" s="69"/>
      <c r="P66" s="59"/>
    </row>
    <row r="67" spans="2:16" ht="26.25" customHeight="1" thickBot="1" x14ac:dyDescent="0.25">
      <c r="B67" s="66"/>
      <c r="C67" s="48"/>
      <c r="G67" s="70" t="s">
        <v>177</v>
      </c>
      <c r="H67" s="70" t="s">
        <v>178</v>
      </c>
      <c r="I67" s="63"/>
      <c r="J67" s="810" t="s">
        <v>179</v>
      </c>
      <c r="K67" s="811"/>
      <c r="L67" s="71"/>
      <c r="M67" s="71"/>
      <c r="N67" s="71"/>
      <c r="O67" s="72"/>
      <c r="P67" s="59"/>
    </row>
    <row r="68" spans="2:16" ht="12.75" customHeight="1" x14ac:dyDescent="0.2">
      <c r="B68" s="802" t="s">
        <v>180</v>
      </c>
      <c r="C68" s="821" t="s">
        <v>181</v>
      </c>
      <c r="D68" s="823" t="s">
        <v>182</v>
      </c>
      <c r="E68" s="824"/>
      <c r="F68" s="824"/>
      <c r="G68" s="73">
        <f>+O43</f>
        <v>240000</v>
      </c>
      <c r="H68" s="74">
        <f t="shared" ref="H68:H76" si="5">+G68</f>
        <v>240000</v>
      </c>
      <c r="I68" s="63"/>
      <c r="J68" s="75" t="s">
        <v>183</v>
      </c>
      <c r="K68" s="58"/>
      <c r="L68" s="58"/>
      <c r="M68" s="58"/>
      <c r="N68" s="58"/>
      <c r="O68" s="76"/>
      <c r="P68" s="59"/>
    </row>
    <row r="69" spans="2:16" ht="12.75" customHeight="1" x14ac:dyDescent="0.2">
      <c r="B69" s="803"/>
      <c r="C69" s="822"/>
      <c r="D69" s="782" t="s">
        <v>184</v>
      </c>
      <c r="E69" s="783"/>
      <c r="F69" s="783"/>
      <c r="G69" s="77">
        <f>+O47</f>
        <v>0</v>
      </c>
      <c r="H69" s="78">
        <f t="shared" si="5"/>
        <v>0</v>
      </c>
      <c r="I69" s="63"/>
      <c r="J69" s="79"/>
      <c r="K69" s="68"/>
      <c r="L69" s="68"/>
      <c r="M69" s="68"/>
      <c r="N69" s="68"/>
      <c r="O69" s="69"/>
      <c r="P69" s="59"/>
    </row>
    <row r="70" spans="2:16" ht="12.75" customHeight="1" x14ac:dyDescent="0.2">
      <c r="B70" s="803"/>
      <c r="C70" s="822"/>
      <c r="D70" s="819" t="s">
        <v>185</v>
      </c>
      <c r="E70" s="820"/>
      <c r="F70" s="820"/>
      <c r="G70" s="80">
        <f>O40</f>
        <v>720</v>
      </c>
      <c r="H70" s="78">
        <f t="shared" si="5"/>
        <v>720</v>
      </c>
      <c r="I70" s="63"/>
      <c r="J70" s="67"/>
      <c r="K70" s="68"/>
      <c r="L70" s="68"/>
      <c r="M70" s="68"/>
      <c r="N70" s="68"/>
      <c r="O70" s="69"/>
    </row>
    <row r="71" spans="2:16" x14ac:dyDescent="0.2">
      <c r="B71" s="803"/>
      <c r="C71" s="822"/>
      <c r="D71" s="782" t="s">
        <v>186</v>
      </c>
      <c r="E71" s="783"/>
      <c r="F71" s="783"/>
      <c r="G71" s="81">
        <v>0</v>
      </c>
      <c r="H71" s="78">
        <f t="shared" si="5"/>
        <v>0</v>
      </c>
      <c r="I71" s="63"/>
      <c r="J71" s="82" t="s">
        <v>187</v>
      </c>
      <c r="K71" s="71"/>
      <c r="L71" s="71"/>
      <c r="M71" s="71"/>
      <c r="N71" s="71"/>
      <c r="O71" s="72"/>
    </row>
    <row r="72" spans="2:16" ht="12.75" customHeight="1" x14ac:dyDescent="0.2">
      <c r="B72" s="803"/>
      <c r="C72" s="822"/>
      <c r="D72" s="784" t="s">
        <v>188</v>
      </c>
      <c r="E72" s="783"/>
      <c r="F72" s="783"/>
      <c r="G72" s="80">
        <v>0</v>
      </c>
      <c r="H72" s="78">
        <f t="shared" si="5"/>
        <v>0</v>
      </c>
      <c r="I72" s="63"/>
      <c r="J72" s="75" t="s">
        <v>189</v>
      </c>
      <c r="K72" s="50"/>
      <c r="L72" s="50"/>
      <c r="M72" s="50"/>
      <c r="N72" s="50"/>
      <c r="O72" s="83">
        <f>O42</f>
        <v>7800</v>
      </c>
    </row>
    <row r="73" spans="2:16" ht="14.25" customHeight="1" x14ac:dyDescent="0.2">
      <c r="B73" s="803"/>
      <c r="C73" s="822"/>
      <c r="D73" s="782" t="s">
        <v>190</v>
      </c>
      <c r="E73" s="783"/>
      <c r="F73" s="783"/>
      <c r="G73" s="84">
        <v>0</v>
      </c>
      <c r="H73" s="78">
        <f t="shared" si="5"/>
        <v>0</v>
      </c>
      <c r="I73" s="63"/>
      <c r="J73" s="64"/>
      <c r="K73" s="39"/>
      <c r="L73" s="39"/>
      <c r="M73" s="39"/>
      <c r="N73" s="39"/>
      <c r="O73" s="65"/>
    </row>
    <row r="74" spans="2:16" x14ac:dyDescent="0.2">
      <c r="B74" s="803"/>
      <c r="C74" s="822"/>
      <c r="D74" s="782" t="s">
        <v>191</v>
      </c>
      <c r="E74" s="783"/>
      <c r="F74" s="783"/>
      <c r="G74" s="81">
        <v>0</v>
      </c>
      <c r="H74" s="78">
        <f t="shared" si="5"/>
        <v>0</v>
      </c>
      <c r="I74" s="58"/>
      <c r="J74" s="150"/>
      <c r="K74" s="50"/>
      <c r="L74" s="50"/>
      <c r="M74" s="50"/>
      <c r="N74" s="50"/>
      <c r="O74" s="83"/>
    </row>
    <row r="75" spans="2:16" x14ac:dyDescent="0.2">
      <c r="B75" s="803"/>
      <c r="C75" s="88" t="s">
        <v>192</v>
      </c>
      <c r="D75" s="813" t="s">
        <v>193</v>
      </c>
      <c r="E75" s="814"/>
      <c r="F75" s="814"/>
      <c r="G75" s="80">
        <v>0</v>
      </c>
      <c r="H75" s="78">
        <f t="shared" si="5"/>
        <v>0</v>
      </c>
      <c r="I75" s="58"/>
      <c r="J75" s="79"/>
      <c r="K75" s="39"/>
      <c r="L75" s="39"/>
      <c r="M75" s="39"/>
      <c r="N75" s="39"/>
      <c r="O75" s="65"/>
    </row>
    <row r="76" spans="2:16" ht="13.5" customHeight="1" thickBot="1" x14ac:dyDescent="0.25">
      <c r="B76" s="803"/>
      <c r="C76" s="88" t="s">
        <v>194</v>
      </c>
      <c r="D76" s="815" t="s">
        <v>195</v>
      </c>
      <c r="E76" s="815"/>
      <c r="F76" s="815"/>
      <c r="G76" s="89">
        <v>0</v>
      </c>
      <c r="H76" s="90">
        <f t="shared" si="5"/>
        <v>0</v>
      </c>
      <c r="I76" s="63"/>
      <c r="J76" s="67"/>
      <c r="K76" s="68"/>
      <c r="L76" s="68"/>
      <c r="M76" s="91"/>
      <c r="N76" s="91"/>
      <c r="O76" s="92"/>
    </row>
    <row r="77" spans="2:16" ht="13.5" thickBot="1" x14ac:dyDescent="0.25">
      <c r="B77" s="803"/>
      <c r="C77" s="93"/>
      <c r="D77" s="94"/>
      <c r="E77" s="816" t="s">
        <v>117</v>
      </c>
      <c r="F77" s="817"/>
      <c r="G77" s="95">
        <f>SUM(G68:G76)</f>
        <v>240720</v>
      </c>
      <c r="H77" s="96">
        <f>IF(SUM(G68:G74)&lt;150000,SUM(G68:G74),150000)+IF(+G75&lt;20000,+G75,20000)</f>
        <v>150000</v>
      </c>
      <c r="I77" s="63"/>
      <c r="J77" s="140"/>
      <c r="K77" s="141"/>
      <c r="L77" s="141"/>
      <c r="M77" s="142"/>
      <c r="N77" s="142"/>
      <c r="O77" s="143"/>
    </row>
    <row r="78" spans="2:16" ht="12.75" customHeight="1" x14ac:dyDescent="0.2">
      <c r="B78" s="803"/>
      <c r="C78" s="100" t="s">
        <v>196</v>
      </c>
      <c r="D78" s="782" t="s">
        <v>187</v>
      </c>
      <c r="E78" s="783"/>
      <c r="F78" s="818"/>
      <c r="G78" s="73">
        <f>+O42</f>
        <v>7800</v>
      </c>
      <c r="H78" s="101">
        <f>+IF(+G78&lt;25000,+G78,25000)</f>
        <v>7800</v>
      </c>
      <c r="I78" s="87"/>
    </row>
    <row r="79" spans="2:16" x14ac:dyDescent="0.2">
      <c r="B79" s="803"/>
      <c r="C79" s="100" t="s">
        <v>197</v>
      </c>
      <c r="D79" s="784" t="s">
        <v>198</v>
      </c>
      <c r="E79" s="785"/>
      <c r="F79" s="786"/>
      <c r="G79" s="102"/>
      <c r="H79" s="103">
        <f>+IF(+G79&lt;40000,+G79,40000)</f>
        <v>0</v>
      </c>
      <c r="I79" s="63"/>
    </row>
    <row r="80" spans="2:16" x14ac:dyDescent="0.2">
      <c r="B80" s="803"/>
      <c r="C80" s="100" t="s">
        <v>199</v>
      </c>
      <c r="D80" s="784" t="s">
        <v>200</v>
      </c>
      <c r="E80" s="785"/>
      <c r="F80" s="786"/>
      <c r="G80" s="81"/>
      <c r="H80" s="104">
        <v>0</v>
      </c>
      <c r="I80" s="63"/>
      <c r="J80" s="106"/>
    </row>
    <row r="81" spans="2:12" x14ac:dyDescent="0.2">
      <c r="B81" s="803"/>
      <c r="C81" s="100" t="s">
        <v>201</v>
      </c>
      <c r="D81" s="784" t="s">
        <v>202</v>
      </c>
      <c r="E81" s="785"/>
      <c r="F81" s="786"/>
      <c r="G81" s="81"/>
      <c r="H81" s="104">
        <v>0</v>
      </c>
      <c r="I81" s="63"/>
    </row>
    <row r="82" spans="2:12" ht="13.5" thickBot="1" x14ac:dyDescent="0.25">
      <c r="B82" s="804"/>
      <c r="C82" s="100" t="s">
        <v>203</v>
      </c>
      <c r="D82" s="784" t="s">
        <v>204</v>
      </c>
      <c r="E82" s="785"/>
      <c r="F82" s="786"/>
      <c r="G82" s="102"/>
      <c r="H82" s="103">
        <f>+IF(+G82&lt;100000,+G82,10000)</f>
        <v>0</v>
      </c>
      <c r="I82" s="63"/>
    </row>
    <row r="83" spans="2:12" ht="13.5" thickBot="1" x14ac:dyDescent="0.25">
      <c r="B83" s="787" t="s">
        <v>205</v>
      </c>
      <c r="C83" s="788"/>
      <c r="D83" s="788"/>
      <c r="E83" s="788"/>
      <c r="F83" s="788"/>
      <c r="G83" s="107">
        <f>SUM(G78:G82)</f>
        <v>7800</v>
      </c>
      <c r="H83" s="108">
        <f>SUM(H77:H82)</f>
        <v>157800</v>
      </c>
      <c r="J83" s="109">
        <f>C37+D37+E37+F37</f>
        <v>435549</v>
      </c>
      <c r="K83" s="16" t="s">
        <v>235</v>
      </c>
    </row>
    <row r="84" spans="2:12" ht="13.5" thickBot="1" x14ac:dyDescent="0.25">
      <c r="J84" s="109">
        <f>G37+H37+I37</f>
        <v>286356</v>
      </c>
      <c r="K84" s="16" t="s">
        <v>236</v>
      </c>
    </row>
    <row r="85" spans="2:12" ht="13.5" thickBot="1" x14ac:dyDescent="0.25">
      <c r="B85" s="789" t="s">
        <v>206</v>
      </c>
      <c r="C85" s="790"/>
      <c r="D85" s="790"/>
      <c r="E85" s="790"/>
      <c r="F85" s="791"/>
      <c r="G85" s="792">
        <f>+G64-H83</f>
        <v>1018249</v>
      </c>
      <c r="H85" s="791"/>
      <c r="J85" s="206">
        <f>J37+K37+L37</f>
        <v>302596</v>
      </c>
      <c r="K85" s="47" t="s">
        <v>237</v>
      </c>
    </row>
    <row r="86" spans="2:12" x14ac:dyDescent="0.2">
      <c r="B86" s="110"/>
      <c r="F86" s="105"/>
      <c r="J86" s="207">
        <f>M37+N37</f>
        <v>194048</v>
      </c>
      <c r="K86" s="1" t="s">
        <v>238</v>
      </c>
    </row>
    <row r="87" spans="2:12" x14ac:dyDescent="0.2">
      <c r="C87" s="793" t="s">
        <v>207</v>
      </c>
      <c r="D87" s="794"/>
      <c r="E87" s="111" t="s">
        <v>208</v>
      </c>
      <c r="F87" s="111" t="s">
        <v>209</v>
      </c>
      <c r="G87" s="111" t="s">
        <v>210</v>
      </c>
      <c r="H87" s="111" t="s">
        <v>211</v>
      </c>
      <c r="J87" s="115">
        <f>SUM(J83:J86)</f>
        <v>1218549</v>
      </c>
    </row>
    <row r="88" spans="2:12" x14ac:dyDescent="0.2">
      <c r="C88" s="795" t="str">
        <f>IF(I6="M","0          - 250000","0          -  250000")</f>
        <v>0          - 250000</v>
      </c>
      <c r="D88" s="796"/>
      <c r="E88" s="112">
        <v>0</v>
      </c>
      <c r="F88" s="113">
        <f>IF(I6="M",(IF(G85&lt;250000,G85,250000)),(IF(G85&lt;250000,G85,250000)))</f>
        <v>250000</v>
      </c>
      <c r="G88" s="113">
        <f>G85-F88</f>
        <v>768249</v>
      </c>
      <c r="H88" s="113">
        <f>E88*F88</f>
        <v>0</v>
      </c>
      <c r="J88" s="16">
        <f>+G85</f>
        <v>1018249</v>
      </c>
    </row>
    <row r="89" spans="2:12" x14ac:dyDescent="0.2">
      <c r="C89" s="795" t="str">
        <f>IF(I6="M","250001 - 500000","250001-500000")</f>
        <v>250001 - 500000</v>
      </c>
      <c r="D89" s="796"/>
      <c r="E89" s="112">
        <v>0.05</v>
      </c>
      <c r="F89" s="113">
        <f>IF(I6="M",(IF(G88&lt;250000,G88,250000)),(IF(G88&lt;250000,G88,250000)))</f>
        <v>250000</v>
      </c>
      <c r="G89" s="113">
        <f>G88-F89</f>
        <v>518249</v>
      </c>
      <c r="H89" s="114">
        <f>ROUND(E89*F89,0.1)</f>
        <v>12500</v>
      </c>
      <c r="J89" s="16">
        <f>+J87-J88</f>
        <v>200300</v>
      </c>
    </row>
    <row r="90" spans="2:12" x14ac:dyDescent="0.2">
      <c r="C90" s="797" t="s">
        <v>212</v>
      </c>
      <c r="D90" s="798"/>
      <c r="E90" s="112">
        <v>0.2</v>
      </c>
      <c r="F90" s="113">
        <f>IF(G89&lt;500000,G89,500000)</f>
        <v>500000</v>
      </c>
      <c r="G90" s="113">
        <f>G89-F90</f>
        <v>18249</v>
      </c>
      <c r="H90" s="114">
        <f>ROUND(E90*F90,0.1)</f>
        <v>100000</v>
      </c>
      <c r="J90" s="16">
        <f>+J88-J89</f>
        <v>817949</v>
      </c>
    </row>
    <row r="91" spans="2:12" x14ac:dyDescent="0.2">
      <c r="C91" s="795" t="s">
        <v>213</v>
      </c>
      <c r="D91" s="796"/>
      <c r="E91" s="112">
        <v>0.3</v>
      </c>
      <c r="F91" s="113">
        <f>G90</f>
        <v>18249</v>
      </c>
      <c r="G91" s="113">
        <f>G90-F91</f>
        <v>0</v>
      </c>
      <c r="H91" s="114">
        <f>ROUND(E91*F91,0.1)</f>
        <v>5475</v>
      </c>
    </row>
    <row r="92" spans="2:12" ht="12.75" customHeight="1" thickBot="1" x14ac:dyDescent="0.25">
      <c r="B92" s="116"/>
      <c r="C92" s="117"/>
      <c r="D92" s="47"/>
      <c r="E92" s="47"/>
      <c r="F92" s="47"/>
    </row>
    <row r="93" spans="2:12" ht="13.5" thickBot="1" x14ac:dyDescent="0.25">
      <c r="B93" s="799" t="s">
        <v>239</v>
      </c>
      <c r="C93" s="800"/>
      <c r="D93" s="800"/>
      <c r="E93" s="800"/>
      <c r="F93" s="801"/>
      <c r="G93" s="771">
        <f>H88+H89+H90+H91</f>
        <v>117975</v>
      </c>
      <c r="H93" s="772"/>
    </row>
    <row r="94" spans="2:12" ht="13.5" thickBot="1" x14ac:dyDescent="0.25">
      <c r="B94" s="119" t="s">
        <v>215</v>
      </c>
      <c r="C94" s="120"/>
      <c r="D94" s="120"/>
      <c r="E94" s="120"/>
      <c r="F94" s="120"/>
      <c r="G94" s="884">
        <f>IF((G64&lt;500000),5000,0)</f>
        <v>0</v>
      </c>
      <c r="H94" s="885">
        <f>IF(H92&lt;200000,0,IF(H92&lt;220000,((H92-200000)*10%),IF(H92&lt;=500000,2000,IF(H92&gt;=500000,0))))</f>
        <v>0</v>
      </c>
      <c r="J94" s="1"/>
      <c r="K94" s="121"/>
      <c r="L94" s="121"/>
    </row>
    <row r="95" spans="2:12" ht="13.5" thickBot="1" x14ac:dyDescent="0.25">
      <c r="B95" s="122" t="s">
        <v>216</v>
      </c>
      <c r="C95" s="123"/>
      <c r="D95" s="123"/>
      <c r="E95" s="123"/>
      <c r="F95" s="123"/>
      <c r="G95" s="771">
        <f>IF((G93-G94)&lt;0,0,(G93-G94))</f>
        <v>117975</v>
      </c>
      <c r="H95" s="772"/>
      <c r="I95" s="37"/>
    </row>
    <row r="96" spans="2:12" ht="13.5" thickBot="1" x14ac:dyDescent="0.25">
      <c r="B96" s="773" t="s">
        <v>240</v>
      </c>
      <c r="C96" s="774"/>
      <c r="D96" s="774"/>
      <c r="E96" s="774"/>
      <c r="F96" s="775"/>
      <c r="G96" s="776">
        <f>ROUND((IF(G95&gt;0,(G95*4%),0)),0)</f>
        <v>4719</v>
      </c>
      <c r="H96" s="777"/>
      <c r="I96" s="37"/>
    </row>
    <row r="97" spans="2:9" ht="13.5" thickBot="1" x14ac:dyDescent="0.25">
      <c r="B97" s="778" t="s">
        <v>218</v>
      </c>
      <c r="C97" s="779"/>
      <c r="D97" s="779"/>
      <c r="E97" s="779"/>
      <c r="F97" s="779"/>
      <c r="G97" s="780">
        <f>G95+G96</f>
        <v>122694</v>
      </c>
      <c r="H97" s="781"/>
      <c r="I97" s="121"/>
    </row>
    <row r="98" spans="2:9" ht="13.5" thickBot="1" x14ac:dyDescent="0.25">
      <c r="B98" s="765" t="s">
        <v>219</v>
      </c>
      <c r="C98" s="766"/>
      <c r="D98" s="766"/>
      <c r="E98" s="766"/>
      <c r="F98" s="766"/>
      <c r="G98" s="767">
        <f>O38</f>
        <v>122701</v>
      </c>
      <c r="H98" s="768"/>
      <c r="I98" s="121"/>
    </row>
    <row r="99" spans="2:9" ht="13.5" thickBot="1" x14ac:dyDescent="0.25">
      <c r="B99" s="765" t="str">
        <f>IF(G99&gt;0,"TAX PAYABLE","TAX REFUND")</f>
        <v>TAX REFUND</v>
      </c>
      <c r="C99" s="766"/>
      <c r="D99" s="766"/>
      <c r="E99" s="766"/>
      <c r="F99" s="766"/>
      <c r="G99" s="767">
        <f>+G97-G98</f>
        <v>-7</v>
      </c>
      <c r="H99" s="768"/>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J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9:F99 B93:F97">
    <cfRule type="cellIs" dxfId="447" priority="3" stopIfTrue="1" operator="equal">
      <formula>"TAX PAYABLE"</formula>
    </cfRule>
    <cfRule type="cellIs" dxfId="446" priority="4" stopIfTrue="1" operator="equal">
      <formula>"TAX REFUND"</formula>
    </cfRule>
  </conditionalFormatting>
  <conditionalFormatting sqref="G99:H99">
    <cfRule type="cellIs" dxfId="445" priority="1" stopIfTrue="1" operator="greaterThan">
      <formula>0</formula>
    </cfRule>
    <cfRule type="cellIs" dxfId="444"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worksheet>
</file>

<file path=xl/worksheets/sheet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102"/>
  <sheetViews>
    <sheetView topLeftCell="A62" workbookViewId="0">
      <selection activeCell="Q83" sqref="Q83"/>
    </sheetView>
  </sheetViews>
  <sheetFormatPr defaultRowHeight="12.75" x14ac:dyDescent="0.2"/>
  <cols>
    <col min="1" max="1" width="5" style="16" customWidth="1"/>
    <col min="2" max="2" width="18.85546875" style="37" customWidth="1"/>
    <col min="3" max="3" width="7.85546875" style="16" customWidth="1"/>
    <col min="4" max="4" width="6.7109375" style="16" bestFit="1" customWidth="1"/>
    <col min="5" max="5" width="8.5703125" style="16" bestFit="1" customWidth="1"/>
    <col min="6" max="8" width="7.5703125" style="16" customWidth="1"/>
    <col min="9" max="9" width="7.140625" style="16" bestFit="1" customWidth="1"/>
    <col min="10" max="10" width="8" style="16" customWidth="1"/>
    <col min="11" max="12" width="7" style="16" bestFit="1" customWidth="1"/>
    <col min="13" max="13" width="6.85546875" style="16" bestFit="1" customWidth="1"/>
    <col min="14" max="14" width="7" style="16" bestFit="1" customWidth="1"/>
    <col min="15" max="15" width="7.85546875" style="16" customWidth="1"/>
    <col min="16" max="17" width="9.140625" style="16"/>
    <col min="18" max="18" width="12.42578125" style="16" customWidth="1"/>
    <col min="19" max="19" width="9.140625" style="16"/>
    <col min="20" max="20" width="12" style="16" customWidth="1"/>
    <col min="21" max="256" width="9.140625" style="16"/>
    <col min="257" max="257" width="5" style="16" customWidth="1"/>
    <col min="258" max="258" width="18.85546875" style="16" customWidth="1"/>
    <col min="259" max="259" width="7.85546875" style="16" customWidth="1"/>
    <col min="260" max="260" width="6.7109375" style="16" bestFit="1" customWidth="1"/>
    <col min="261" max="261" width="8.5703125" style="16" bestFit="1" customWidth="1"/>
    <col min="262" max="264" width="7.5703125" style="16" customWidth="1"/>
    <col min="265" max="265" width="7.140625" style="16" bestFit="1" customWidth="1"/>
    <col min="266" max="266" width="8" style="16" customWidth="1"/>
    <col min="267" max="268" width="7" style="16" bestFit="1" customWidth="1"/>
    <col min="269" max="269" width="6.85546875" style="16" bestFit="1" customWidth="1"/>
    <col min="270" max="270" width="7" style="16" bestFit="1" customWidth="1"/>
    <col min="271" max="271" width="7.85546875" style="16" customWidth="1"/>
    <col min="272" max="273" width="9.140625" style="16"/>
    <col min="274" max="274" width="12.42578125" style="16" customWidth="1"/>
    <col min="275" max="275" width="9.140625" style="16"/>
    <col min="276" max="276" width="12" style="16" customWidth="1"/>
    <col min="277" max="512" width="9.140625" style="16"/>
    <col min="513" max="513" width="5" style="16" customWidth="1"/>
    <col min="514" max="514" width="18.85546875" style="16" customWidth="1"/>
    <col min="515" max="515" width="7.85546875" style="16" customWidth="1"/>
    <col min="516" max="516" width="6.7109375" style="16" bestFit="1" customWidth="1"/>
    <col min="517" max="517" width="8.5703125" style="16" bestFit="1" customWidth="1"/>
    <col min="518" max="520" width="7.5703125" style="16" customWidth="1"/>
    <col min="521" max="521" width="7.140625" style="16" bestFit="1" customWidth="1"/>
    <col min="522" max="522" width="8" style="16" customWidth="1"/>
    <col min="523" max="524" width="7" style="16" bestFit="1" customWidth="1"/>
    <col min="525" max="525" width="6.85546875" style="16" bestFit="1" customWidth="1"/>
    <col min="526" max="526" width="7" style="16" bestFit="1" customWidth="1"/>
    <col min="527" max="527" width="7.85546875" style="16" customWidth="1"/>
    <col min="528" max="529" width="9.140625" style="16"/>
    <col min="530" max="530" width="12.42578125" style="16" customWidth="1"/>
    <col min="531" max="531" width="9.140625" style="16"/>
    <col min="532" max="532" width="12" style="16" customWidth="1"/>
    <col min="533" max="768" width="9.140625" style="16"/>
    <col min="769" max="769" width="5" style="16" customWidth="1"/>
    <col min="770" max="770" width="18.85546875" style="16" customWidth="1"/>
    <col min="771" max="771" width="7.85546875" style="16" customWidth="1"/>
    <col min="772" max="772" width="6.7109375" style="16" bestFit="1" customWidth="1"/>
    <col min="773" max="773" width="8.5703125" style="16" bestFit="1" customWidth="1"/>
    <col min="774" max="776" width="7.5703125" style="16" customWidth="1"/>
    <col min="777" max="777" width="7.140625" style="16" bestFit="1" customWidth="1"/>
    <col min="778" max="778" width="8" style="16" customWidth="1"/>
    <col min="779" max="780" width="7" style="16" bestFit="1" customWidth="1"/>
    <col min="781" max="781" width="6.85546875" style="16" bestFit="1" customWidth="1"/>
    <col min="782" max="782" width="7" style="16" bestFit="1" customWidth="1"/>
    <col min="783" max="783" width="7.85546875" style="16" customWidth="1"/>
    <col min="784" max="785" width="9.140625" style="16"/>
    <col min="786" max="786" width="12.42578125" style="16" customWidth="1"/>
    <col min="787" max="787" width="9.140625" style="16"/>
    <col min="788" max="788" width="12" style="16" customWidth="1"/>
    <col min="789" max="1024" width="9.140625" style="16"/>
    <col min="1025" max="1025" width="5" style="16" customWidth="1"/>
    <col min="1026" max="1026" width="18.85546875" style="16" customWidth="1"/>
    <col min="1027" max="1027" width="7.85546875" style="16" customWidth="1"/>
    <col min="1028" max="1028" width="6.7109375" style="16" bestFit="1" customWidth="1"/>
    <col min="1029" max="1029" width="8.5703125" style="16" bestFit="1" customWidth="1"/>
    <col min="1030" max="1032" width="7.5703125" style="16" customWidth="1"/>
    <col min="1033" max="1033" width="7.140625" style="16" bestFit="1" customWidth="1"/>
    <col min="1034" max="1034" width="8" style="16" customWidth="1"/>
    <col min="1035" max="1036" width="7" style="16" bestFit="1" customWidth="1"/>
    <col min="1037" max="1037" width="6.85546875" style="16" bestFit="1" customWidth="1"/>
    <col min="1038" max="1038" width="7" style="16" bestFit="1" customWidth="1"/>
    <col min="1039" max="1039" width="7.85546875" style="16" customWidth="1"/>
    <col min="1040" max="1041" width="9.140625" style="16"/>
    <col min="1042" max="1042" width="12.42578125" style="16" customWidth="1"/>
    <col min="1043" max="1043" width="9.140625" style="16"/>
    <col min="1044" max="1044" width="12" style="16" customWidth="1"/>
    <col min="1045" max="1280" width="9.140625" style="16"/>
    <col min="1281" max="1281" width="5" style="16" customWidth="1"/>
    <col min="1282" max="1282" width="18.85546875" style="16" customWidth="1"/>
    <col min="1283" max="1283" width="7.85546875" style="16" customWidth="1"/>
    <col min="1284" max="1284" width="6.7109375" style="16" bestFit="1" customWidth="1"/>
    <col min="1285" max="1285" width="8.5703125" style="16" bestFit="1" customWidth="1"/>
    <col min="1286" max="1288" width="7.5703125" style="16" customWidth="1"/>
    <col min="1289" max="1289" width="7.140625" style="16" bestFit="1" customWidth="1"/>
    <col min="1290" max="1290" width="8" style="16" customWidth="1"/>
    <col min="1291" max="1292" width="7" style="16" bestFit="1" customWidth="1"/>
    <col min="1293" max="1293" width="6.85546875" style="16" bestFit="1" customWidth="1"/>
    <col min="1294" max="1294" width="7" style="16" bestFit="1" customWidth="1"/>
    <col min="1295" max="1295" width="7.85546875" style="16" customWidth="1"/>
    <col min="1296" max="1297" width="9.140625" style="16"/>
    <col min="1298" max="1298" width="12.42578125" style="16" customWidth="1"/>
    <col min="1299" max="1299" width="9.140625" style="16"/>
    <col min="1300" max="1300" width="12" style="16" customWidth="1"/>
    <col min="1301" max="1536" width="9.140625" style="16"/>
    <col min="1537" max="1537" width="5" style="16" customWidth="1"/>
    <col min="1538" max="1538" width="18.85546875" style="16" customWidth="1"/>
    <col min="1539" max="1539" width="7.85546875" style="16" customWidth="1"/>
    <col min="1540" max="1540" width="6.7109375" style="16" bestFit="1" customWidth="1"/>
    <col min="1541" max="1541" width="8.5703125" style="16" bestFit="1" customWidth="1"/>
    <col min="1542" max="1544" width="7.5703125" style="16" customWidth="1"/>
    <col min="1545" max="1545" width="7.140625" style="16" bestFit="1" customWidth="1"/>
    <col min="1546" max="1546" width="8" style="16" customWidth="1"/>
    <col min="1547" max="1548" width="7" style="16" bestFit="1" customWidth="1"/>
    <col min="1549" max="1549" width="6.85546875" style="16" bestFit="1" customWidth="1"/>
    <col min="1550" max="1550" width="7" style="16" bestFit="1" customWidth="1"/>
    <col min="1551" max="1551" width="7.85546875" style="16" customWidth="1"/>
    <col min="1552" max="1553" width="9.140625" style="16"/>
    <col min="1554" max="1554" width="12.42578125" style="16" customWidth="1"/>
    <col min="1555" max="1555" width="9.140625" style="16"/>
    <col min="1556" max="1556" width="12" style="16" customWidth="1"/>
    <col min="1557" max="1792" width="9.140625" style="16"/>
    <col min="1793" max="1793" width="5" style="16" customWidth="1"/>
    <col min="1794" max="1794" width="18.85546875" style="16" customWidth="1"/>
    <col min="1795" max="1795" width="7.85546875" style="16" customWidth="1"/>
    <col min="1796" max="1796" width="6.7109375" style="16" bestFit="1" customWidth="1"/>
    <col min="1797" max="1797" width="8.5703125" style="16" bestFit="1" customWidth="1"/>
    <col min="1798" max="1800" width="7.5703125" style="16" customWidth="1"/>
    <col min="1801" max="1801" width="7.140625" style="16" bestFit="1" customWidth="1"/>
    <col min="1802" max="1802" width="8" style="16" customWidth="1"/>
    <col min="1803" max="1804" width="7" style="16" bestFit="1" customWidth="1"/>
    <col min="1805" max="1805" width="6.85546875" style="16" bestFit="1" customWidth="1"/>
    <col min="1806" max="1806" width="7" style="16" bestFit="1" customWidth="1"/>
    <col min="1807" max="1807" width="7.85546875" style="16" customWidth="1"/>
    <col min="1808" max="1809" width="9.140625" style="16"/>
    <col min="1810" max="1810" width="12.42578125" style="16" customWidth="1"/>
    <col min="1811" max="1811" width="9.140625" style="16"/>
    <col min="1812" max="1812" width="12" style="16" customWidth="1"/>
    <col min="1813" max="2048" width="9.140625" style="16"/>
    <col min="2049" max="2049" width="5" style="16" customWidth="1"/>
    <col min="2050" max="2050" width="18.85546875" style="16" customWidth="1"/>
    <col min="2051" max="2051" width="7.85546875" style="16" customWidth="1"/>
    <col min="2052" max="2052" width="6.7109375" style="16" bestFit="1" customWidth="1"/>
    <col min="2053" max="2053" width="8.5703125" style="16" bestFit="1" customWidth="1"/>
    <col min="2054" max="2056" width="7.5703125" style="16" customWidth="1"/>
    <col min="2057" max="2057" width="7.140625" style="16" bestFit="1" customWidth="1"/>
    <col min="2058" max="2058" width="8" style="16" customWidth="1"/>
    <col min="2059" max="2060" width="7" style="16" bestFit="1" customWidth="1"/>
    <col min="2061" max="2061" width="6.85546875" style="16" bestFit="1" customWidth="1"/>
    <col min="2062" max="2062" width="7" style="16" bestFit="1" customWidth="1"/>
    <col min="2063" max="2063" width="7.85546875" style="16" customWidth="1"/>
    <col min="2064" max="2065" width="9.140625" style="16"/>
    <col min="2066" max="2066" width="12.42578125" style="16" customWidth="1"/>
    <col min="2067" max="2067" width="9.140625" style="16"/>
    <col min="2068" max="2068" width="12" style="16" customWidth="1"/>
    <col min="2069" max="2304" width="9.140625" style="16"/>
    <col min="2305" max="2305" width="5" style="16" customWidth="1"/>
    <col min="2306" max="2306" width="18.85546875" style="16" customWidth="1"/>
    <col min="2307" max="2307" width="7.85546875" style="16" customWidth="1"/>
    <col min="2308" max="2308" width="6.7109375" style="16" bestFit="1" customWidth="1"/>
    <col min="2309" max="2309" width="8.5703125" style="16" bestFit="1" customWidth="1"/>
    <col min="2310" max="2312" width="7.5703125" style="16" customWidth="1"/>
    <col min="2313" max="2313" width="7.140625" style="16" bestFit="1" customWidth="1"/>
    <col min="2314" max="2314" width="8" style="16" customWidth="1"/>
    <col min="2315" max="2316" width="7" style="16" bestFit="1" customWidth="1"/>
    <col min="2317" max="2317" width="6.85546875" style="16" bestFit="1" customWidth="1"/>
    <col min="2318" max="2318" width="7" style="16" bestFit="1" customWidth="1"/>
    <col min="2319" max="2319" width="7.85546875" style="16" customWidth="1"/>
    <col min="2320" max="2321" width="9.140625" style="16"/>
    <col min="2322" max="2322" width="12.42578125" style="16" customWidth="1"/>
    <col min="2323" max="2323" width="9.140625" style="16"/>
    <col min="2324" max="2324" width="12" style="16" customWidth="1"/>
    <col min="2325" max="2560" width="9.140625" style="16"/>
    <col min="2561" max="2561" width="5" style="16" customWidth="1"/>
    <col min="2562" max="2562" width="18.85546875" style="16" customWidth="1"/>
    <col min="2563" max="2563" width="7.85546875" style="16" customWidth="1"/>
    <col min="2564" max="2564" width="6.7109375" style="16" bestFit="1" customWidth="1"/>
    <col min="2565" max="2565" width="8.5703125" style="16" bestFit="1" customWidth="1"/>
    <col min="2566" max="2568" width="7.5703125" style="16" customWidth="1"/>
    <col min="2569" max="2569" width="7.140625" style="16" bestFit="1" customWidth="1"/>
    <col min="2570" max="2570" width="8" style="16" customWidth="1"/>
    <col min="2571" max="2572" width="7" style="16" bestFit="1" customWidth="1"/>
    <col min="2573" max="2573" width="6.85546875" style="16" bestFit="1" customWidth="1"/>
    <col min="2574" max="2574" width="7" style="16" bestFit="1" customWidth="1"/>
    <col min="2575" max="2575" width="7.85546875" style="16" customWidth="1"/>
    <col min="2576" max="2577" width="9.140625" style="16"/>
    <col min="2578" max="2578" width="12.42578125" style="16" customWidth="1"/>
    <col min="2579" max="2579" width="9.140625" style="16"/>
    <col min="2580" max="2580" width="12" style="16" customWidth="1"/>
    <col min="2581" max="2816" width="9.140625" style="16"/>
    <col min="2817" max="2817" width="5" style="16" customWidth="1"/>
    <col min="2818" max="2818" width="18.85546875" style="16" customWidth="1"/>
    <col min="2819" max="2819" width="7.85546875" style="16" customWidth="1"/>
    <col min="2820" max="2820" width="6.7109375" style="16" bestFit="1" customWidth="1"/>
    <col min="2821" max="2821" width="8.5703125" style="16" bestFit="1" customWidth="1"/>
    <col min="2822" max="2824" width="7.5703125" style="16" customWidth="1"/>
    <col min="2825" max="2825" width="7.140625" style="16" bestFit="1" customWidth="1"/>
    <col min="2826" max="2826" width="8" style="16" customWidth="1"/>
    <col min="2827" max="2828" width="7" style="16" bestFit="1" customWidth="1"/>
    <col min="2829" max="2829" width="6.85546875" style="16" bestFit="1" customWidth="1"/>
    <col min="2830" max="2830" width="7" style="16" bestFit="1" customWidth="1"/>
    <col min="2831" max="2831" width="7.85546875" style="16" customWidth="1"/>
    <col min="2832" max="2833" width="9.140625" style="16"/>
    <col min="2834" max="2834" width="12.42578125" style="16" customWidth="1"/>
    <col min="2835" max="2835" width="9.140625" style="16"/>
    <col min="2836" max="2836" width="12" style="16" customWidth="1"/>
    <col min="2837" max="3072" width="9.140625" style="16"/>
    <col min="3073" max="3073" width="5" style="16" customWidth="1"/>
    <col min="3074" max="3074" width="18.85546875" style="16" customWidth="1"/>
    <col min="3075" max="3075" width="7.85546875" style="16" customWidth="1"/>
    <col min="3076" max="3076" width="6.7109375" style="16" bestFit="1" customWidth="1"/>
    <col min="3077" max="3077" width="8.5703125" style="16" bestFit="1" customWidth="1"/>
    <col min="3078" max="3080" width="7.5703125" style="16" customWidth="1"/>
    <col min="3081" max="3081" width="7.140625" style="16" bestFit="1" customWidth="1"/>
    <col min="3082" max="3082" width="8" style="16" customWidth="1"/>
    <col min="3083" max="3084" width="7" style="16" bestFit="1" customWidth="1"/>
    <col min="3085" max="3085" width="6.85546875" style="16" bestFit="1" customWidth="1"/>
    <col min="3086" max="3086" width="7" style="16" bestFit="1" customWidth="1"/>
    <col min="3087" max="3087" width="7.85546875" style="16" customWidth="1"/>
    <col min="3088" max="3089" width="9.140625" style="16"/>
    <col min="3090" max="3090" width="12.42578125" style="16" customWidth="1"/>
    <col min="3091" max="3091" width="9.140625" style="16"/>
    <col min="3092" max="3092" width="12" style="16" customWidth="1"/>
    <col min="3093" max="3328" width="9.140625" style="16"/>
    <col min="3329" max="3329" width="5" style="16" customWidth="1"/>
    <col min="3330" max="3330" width="18.85546875" style="16" customWidth="1"/>
    <col min="3331" max="3331" width="7.85546875" style="16" customWidth="1"/>
    <col min="3332" max="3332" width="6.7109375" style="16" bestFit="1" customWidth="1"/>
    <col min="3333" max="3333" width="8.5703125" style="16" bestFit="1" customWidth="1"/>
    <col min="3334" max="3336" width="7.5703125" style="16" customWidth="1"/>
    <col min="3337" max="3337" width="7.140625" style="16" bestFit="1" customWidth="1"/>
    <col min="3338" max="3338" width="8" style="16" customWidth="1"/>
    <col min="3339" max="3340" width="7" style="16" bestFit="1" customWidth="1"/>
    <col min="3341" max="3341" width="6.85546875" style="16" bestFit="1" customWidth="1"/>
    <col min="3342" max="3342" width="7" style="16" bestFit="1" customWidth="1"/>
    <col min="3343" max="3343" width="7.85546875" style="16" customWidth="1"/>
    <col min="3344" max="3345" width="9.140625" style="16"/>
    <col min="3346" max="3346" width="12.42578125" style="16" customWidth="1"/>
    <col min="3347" max="3347" width="9.140625" style="16"/>
    <col min="3348" max="3348" width="12" style="16" customWidth="1"/>
    <col min="3349" max="3584" width="9.140625" style="16"/>
    <col min="3585" max="3585" width="5" style="16" customWidth="1"/>
    <col min="3586" max="3586" width="18.85546875" style="16" customWidth="1"/>
    <col min="3587" max="3587" width="7.85546875" style="16" customWidth="1"/>
    <col min="3588" max="3588" width="6.7109375" style="16" bestFit="1" customWidth="1"/>
    <col min="3589" max="3589" width="8.5703125" style="16" bestFit="1" customWidth="1"/>
    <col min="3590" max="3592" width="7.5703125" style="16" customWidth="1"/>
    <col min="3593" max="3593" width="7.140625" style="16" bestFit="1" customWidth="1"/>
    <col min="3594" max="3594" width="8" style="16" customWidth="1"/>
    <col min="3595" max="3596" width="7" style="16" bestFit="1" customWidth="1"/>
    <col min="3597" max="3597" width="6.85546875" style="16" bestFit="1" customWidth="1"/>
    <col min="3598" max="3598" width="7" style="16" bestFit="1" customWidth="1"/>
    <col min="3599" max="3599" width="7.85546875" style="16" customWidth="1"/>
    <col min="3600" max="3601" width="9.140625" style="16"/>
    <col min="3602" max="3602" width="12.42578125" style="16" customWidth="1"/>
    <col min="3603" max="3603" width="9.140625" style="16"/>
    <col min="3604" max="3604" width="12" style="16" customWidth="1"/>
    <col min="3605" max="3840" width="9.140625" style="16"/>
    <col min="3841" max="3841" width="5" style="16" customWidth="1"/>
    <col min="3842" max="3842" width="18.85546875" style="16" customWidth="1"/>
    <col min="3843" max="3843" width="7.85546875" style="16" customWidth="1"/>
    <col min="3844" max="3844" width="6.7109375" style="16" bestFit="1" customWidth="1"/>
    <col min="3845" max="3845" width="8.5703125" style="16" bestFit="1" customWidth="1"/>
    <col min="3846" max="3848" width="7.5703125" style="16" customWidth="1"/>
    <col min="3849" max="3849" width="7.140625" style="16" bestFit="1" customWidth="1"/>
    <col min="3850" max="3850" width="8" style="16" customWidth="1"/>
    <col min="3851" max="3852" width="7" style="16" bestFit="1" customWidth="1"/>
    <col min="3853" max="3853" width="6.85546875" style="16" bestFit="1" customWidth="1"/>
    <col min="3854" max="3854" width="7" style="16" bestFit="1" customWidth="1"/>
    <col min="3855" max="3855" width="7.85546875" style="16" customWidth="1"/>
    <col min="3856" max="3857" width="9.140625" style="16"/>
    <col min="3858" max="3858" width="12.42578125" style="16" customWidth="1"/>
    <col min="3859" max="3859" width="9.140625" style="16"/>
    <col min="3860" max="3860" width="12" style="16" customWidth="1"/>
    <col min="3861" max="4096" width="9.140625" style="16"/>
    <col min="4097" max="4097" width="5" style="16" customWidth="1"/>
    <col min="4098" max="4098" width="18.85546875" style="16" customWidth="1"/>
    <col min="4099" max="4099" width="7.85546875" style="16" customWidth="1"/>
    <col min="4100" max="4100" width="6.7109375" style="16" bestFit="1" customWidth="1"/>
    <col min="4101" max="4101" width="8.5703125" style="16" bestFit="1" customWidth="1"/>
    <col min="4102" max="4104" width="7.5703125" style="16" customWidth="1"/>
    <col min="4105" max="4105" width="7.140625" style="16" bestFit="1" customWidth="1"/>
    <col min="4106" max="4106" width="8" style="16" customWidth="1"/>
    <col min="4107" max="4108" width="7" style="16" bestFit="1" customWidth="1"/>
    <col min="4109" max="4109" width="6.85546875" style="16" bestFit="1" customWidth="1"/>
    <col min="4110" max="4110" width="7" style="16" bestFit="1" customWidth="1"/>
    <col min="4111" max="4111" width="7.85546875" style="16" customWidth="1"/>
    <col min="4112" max="4113" width="9.140625" style="16"/>
    <col min="4114" max="4114" width="12.42578125" style="16" customWidth="1"/>
    <col min="4115" max="4115" width="9.140625" style="16"/>
    <col min="4116" max="4116" width="12" style="16" customWidth="1"/>
    <col min="4117" max="4352" width="9.140625" style="16"/>
    <col min="4353" max="4353" width="5" style="16" customWidth="1"/>
    <col min="4354" max="4354" width="18.85546875" style="16" customWidth="1"/>
    <col min="4355" max="4355" width="7.85546875" style="16" customWidth="1"/>
    <col min="4356" max="4356" width="6.7109375" style="16" bestFit="1" customWidth="1"/>
    <col min="4357" max="4357" width="8.5703125" style="16" bestFit="1" customWidth="1"/>
    <col min="4358" max="4360" width="7.5703125" style="16" customWidth="1"/>
    <col min="4361" max="4361" width="7.140625" style="16" bestFit="1" customWidth="1"/>
    <col min="4362" max="4362" width="8" style="16" customWidth="1"/>
    <col min="4363" max="4364" width="7" style="16" bestFit="1" customWidth="1"/>
    <col min="4365" max="4365" width="6.85546875" style="16" bestFit="1" customWidth="1"/>
    <col min="4366" max="4366" width="7" style="16" bestFit="1" customWidth="1"/>
    <col min="4367" max="4367" width="7.85546875" style="16" customWidth="1"/>
    <col min="4368" max="4369" width="9.140625" style="16"/>
    <col min="4370" max="4370" width="12.42578125" style="16" customWidth="1"/>
    <col min="4371" max="4371" width="9.140625" style="16"/>
    <col min="4372" max="4372" width="12" style="16" customWidth="1"/>
    <col min="4373" max="4608" width="9.140625" style="16"/>
    <col min="4609" max="4609" width="5" style="16" customWidth="1"/>
    <col min="4610" max="4610" width="18.85546875" style="16" customWidth="1"/>
    <col min="4611" max="4611" width="7.85546875" style="16" customWidth="1"/>
    <col min="4612" max="4612" width="6.7109375" style="16" bestFit="1" customWidth="1"/>
    <col min="4613" max="4613" width="8.5703125" style="16" bestFit="1" customWidth="1"/>
    <col min="4614" max="4616" width="7.5703125" style="16" customWidth="1"/>
    <col min="4617" max="4617" width="7.140625" style="16" bestFit="1" customWidth="1"/>
    <col min="4618" max="4618" width="8" style="16" customWidth="1"/>
    <col min="4619" max="4620" width="7" style="16" bestFit="1" customWidth="1"/>
    <col min="4621" max="4621" width="6.85546875" style="16" bestFit="1" customWidth="1"/>
    <col min="4622" max="4622" width="7" style="16" bestFit="1" customWidth="1"/>
    <col min="4623" max="4623" width="7.85546875" style="16" customWidth="1"/>
    <col min="4624" max="4625" width="9.140625" style="16"/>
    <col min="4626" max="4626" width="12.42578125" style="16" customWidth="1"/>
    <col min="4627" max="4627" width="9.140625" style="16"/>
    <col min="4628" max="4628" width="12" style="16" customWidth="1"/>
    <col min="4629" max="4864" width="9.140625" style="16"/>
    <col min="4865" max="4865" width="5" style="16" customWidth="1"/>
    <col min="4866" max="4866" width="18.85546875" style="16" customWidth="1"/>
    <col min="4867" max="4867" width="7.85546875" style="16" customWidth="1"/>
    <col min="4868" max="4868" width="6.7109375" style="16" bestFit="1" customWidth="1"/>
    <col min="4869" max="4869" width="8.5703125" style="16" bestFit="1" customWidth="1"/>
    <col min="4870" max="4872" width="7.5703125" style="16" customWidth="1"/>
    <col min="4873" max="4873" width="7.140625" style="16" bestFit="1" customWidth="1"/>
    <col min="4874" max="4874" width="8" style="16" customWidth="1"/>
    <col min="4875" max="4876" width="7" style="16" bestFit="1" customWidth="1"/>
    <col min="4877" max="4877" width="6.85546875" style="16" bestFit="1" customWidth="1"/>
    <col min="4878" max="4878" width="7" style="16" bestFit="1" customWidth="1"/>
    <col min="4879" max="4879" width="7.85546875" style="16" customWidth="1"/>
    <col min="4880" max="4881" width="9.140625" style="16"/>
    <col min="4882" max="4882" width="12.42578125" style="16" customWidth="1"/>
    <col min="4883" max="4883" width="9.140625" style="16"/>
    <col min="4884" max="4884" width="12" style="16" customWidth="1"/>
    <col min="4885" max="5120" width="9.140625" style="16"/>
    <col min="5121" max="5121" width="5" style="16" customWidth="1"/>
    <col min="5122" max="5122" width="18.85546875" style="16" customWidth="1"/>
    <col min="5123" max="5123" width="7.85546875" style="16" customWidth="1"/>
    <col min="5124" max="5124" width="6.7109375" style="16" bestFit="1" customWidth="1"/>
    <col min="5125" max="5125" width="8.5703125" style="16" bestFit="1" customWidth="1"/>
    <col min="5126" max="5128" width="7.5703125" style="16" customWidth="1"/>
    <col min="5129" max="5129" width="7.140625" style="16" bestFit="1" customWidth="1"/>
    <col min="5130" max="5130" width="8" style="16" customWidth="1"/>
    <col min="5131" max="5132" width="7" style="16" bestFit="1" customWidth="1"/>
    <col min="5133" max="5133" width="6.85546875" style="16" bestFit="1" customWidth="1"/>
    <col min="5134" max="5134" width="7" style="16" bestFit="1" customWidth="1"/>
    <col min="5135" max="5135" width="7.85546875" style="16" customWidth="1"/>
    <col min="5136" max="5137" width="9.140625" style="16"/>
    <col min="5138" max="5138" width="12.42578125" style="16" customWidth="1"/>
    <col min="5139" max="5139" width="9.140625" style="16"/>
    <col min="5140" max="5140" width="12" style="16" customWidth="1"/>
    <col min="5141" max="5376" width="9.140625" style="16"/>
    <col min="5377" max="5377" width="5" style="16" customWidth="1"/>
    <col min="5378" max="5378" width="18.85546875" style="16" customWidth="1"/>
    <col min="5379" max="5379" width="7.85546875" style="16" customWidth="1"/>
    <col min="5380" max="5380" width="6.7109375" style="16" bestFit="1" customWidth="1"/>
    <col min="5381" max="5381" width="8.5703125" style="16" bestFit="1" customWidth="1"/>
    <col min="5382" max="5384" width="7.5703125" style="16" customWidth="1"/>
    <col min="5385" max="5385" width="7.140625" style="16" bestFit="1" customWidth="1"/>
    <col min="5386" max="5386" width="8" style="16" customWidth="1"/>
    <col min="5387" max="5388" width="7" style="16" bestFit="1" customWidth="1"/>
    <col min="5389" max="5389" width="6.85546875" style="16" bestFit="1" customWidth="1"/>
    <col min="5390" max="5390" width="7" style="16" bestFit="1" customWidth="1"/>
    <col min="5391" max="5391" width="7.85546875" style="16" customWidth="1"/>
    <col min="5392" max="5393" width="9.140625" style="16"/>
    <col min="5394" max="5394" width="12.42578125" style="16" customWidth="1"/>
    <col min="5395" max="5395" width="9.140625" style="16"/>
    <col min="5396" max="5396" width="12" style="16" customWidth="1"/>
    <col min="5397" max="5632" width="9.140625" style="16"/>
    <col min="5633" max="5633" width="5" style="16" customWidth="1"/>
    <col min="5634" max="5634" width="18.85546875" style="16" customWidth="1"/>
    <col min="5635" max="5635" width="7.85546875" style="16" customWidth="1"/>
    <col min="5636" max="5636" width="6.7109375" style="16" bestFit="1" customWidth="1"/>
    <col min="5637" max="5637" width="8.5703125" style="16" bestFit="1" customWidth="1"/>
    <col min="5638" max="5640" width="7.5703125" style="16" customWidth="1"/>
    <col min="5641" max="5641" width="7.140625" style="16" bestFit="1" customWidth="1"/>
    <col min="5642" max="5642" width="8" style="16" customWidth="1"/>
    <col min="5643" max="5644" width="7" style="16" bestFit="1" customWidth="1"/>
    <col min="5645" max="5645" width="6.85546875" style="16" bestFit="1" customWidth="1"/>
    <col min="5646" max="5646" width="7" style="16" bestFit="1" customWidth="1"/>
    <col min="5647" max="5647" width="7.85546875" style="16" customWidth="1"/>
    <col min="5648" max="5649" width="9.140625" style="16"/>
    <col min="5650" max="5650" width="12.42578125" style="16" customWidth="1"/>
    <col min="5651" max="5651" width="9.140625" style="16"/>
    <col min="5652" max="5652" width="12" style="16" customWidth="1"/>
    <col min="5653" max="5888" width="9.140625" style="16"/>
    <col min="5889" max="5889" width="5" style="16" customWidth="1"/>
    <col min="5890" max="5890" width="18.85546875" style="16" customWidth="1"/>
    <col min="5891" max="5891" width="7.85546875" style="16" customWidth="1"/>
    <col min="5892" max="5892" width="6.7109375" style="16" bestFit="1" customWidth="1"/>
    <col min="5893" max="5893" width="8.5703125" style="16" bestFit="1" customWidth="1"/>
    <col min="5894" max="5896" width="7.5703125" style="16" customWidth="1"/>
    <col min="5897" max="5897" width="7.140625" style="16" bestFit="1" customWidth="1"/>
    <col min="5898" max="5898" width="8" style="16" customWidth="1"/>
    <col min="5899" max="5900" width="7" style="16" bestFit="1" customWidth="1"/>
    <col min="5901" max="5901" width="6.85546875" style="16" bestFit="1" customWidth="1"/>
    <col min="5902" max="5902" width="7" style="16" bestFit="1" customWidth="1"/>
    <col min="5903" max="5903" width="7.85546875" style="16" customWidth="1"/>
    <col min="5904" max="5905" width="9.140625" style="16"/>
    <col min="5906" max="5906" width="12.42578125" style="16" customWidth="1"/>
    <col min="5907" max="5907" width="9.140625" style="16"/>
    <col min="5908" max="5908" width="12" style="16" customWidth="1"/>
    <col min="5909" max="6144" width="9.140625" style="16"/>
    <col min="6145" max="6145" width="5" style="16" customWidth="1"/>
    <col min="6146" max="6146" width="18.85546875" style="16" customWidth="1"/>
    <col min="6147" max="6147" width="7.85546875" style="16" customWidth="1"/>
    <col min="6148" max="6148" width="6.7109375" style="16" bestFit="1" customWidth="1"/>
    <col min="6149" max="6149" width="8.5703125" style="16" bestFit="1" customWidth="1"/>
    <col min="6150" max="6152" width="7.5703125" style="16" customWidth="1"/>
    <col min="6153" max="6153" width="7.140625" style="16" bestFit="1" customWidth="1"/>
    <col min="6154" max="6154" width="8" style="16" customWidth="1"/>
    <col min="6155" max="6156" width="7" style="16" bestFit="1" customWidth="1"/>
    <col min="6157" max="6157" width="6.85546875" style="16" bestFit="1" customWidth="1"/>
    <col min="6158" max="6158" width="7" style="16" bestFit="1" customWidth="1"/>
    <col min="6159" max="6159" width="7.85546875" style="16" customWidth="1"/>
    <col min="6160" max="6161" width="9.140625" style="16"/>
    <col min="6162" max="6162" width="12.42578125" style="16" customWidth="1"/>
    <col min="6163" max="6163" width="9.140625" style="16"/>
    <col min="6164" max="6164" width="12" style="16" customWidth="1"/>
    <col min="6165" max="6400" width="9.140625" style="16"/>
    <col min="6401" max="6401" width="5" style="16" customWidth="1"/>
    <col min="6402" max="6402" width="18.85546875" style="16" customWidth="1"/>
    <col min="6403" max="6403" width="7.85546875" style="16" customWidth="1"/>
    <col min="6404" max="6404" width="6.7109375" style="16" bestFit="1" customWidth="1"/>
    <col min="6405" max="6405" width="8.5703125" style="16" bestFit="1" customWidth="1"/>
    <col min="6406" max="6408" width="7.5703125" style="16" customWidth="1"/>
    <col min="6409" max="6409" width="7.140625" style="16" bestFit="1" customWidth="1"/>
    <col min="6410" max="6410" width="8" style="16" customWidth="1"/>
    <col min="6411" max="6412" width="7" style="16" bestFit="1" customWidth="1"/>
    <col min="6413" max="6413" width="6.85546875" style="16" bestFit="1" customWidth="1"/>
    <col min="6414" max="6414" width="7" style="16" bestFit="1" customWidth="1"/>
    <col min="6415" max="6415" width="7.85546875" style="16" customWidth="1"/>
    <col min="6416" max="6417" width="9.140625" style="16"/>
    <col min="6418" max="6418" width="12.42578125" style="16" customWidth="1"/>
    <col min="6419" max="6419" width="9.140625" style="16"/>
    <col min="6420" max="6420" width="12" style="16" customWidth="1"/>
    <col min="6421" max="6656" width="9.140625" style="16"/>
    <col min="6657" max="6657" width="5" style="16" customWidth="1"/>
    <col min="6658" max="6658" width="18.85546875" style="16" customWidth="1"/>
    <col min="6659" max="6659" width="7.85546875" style="16" customWidth="1"/>
    <col min="6660" max="6660" width="6.7109375" style="16" bestFit="1" customWidth="1"/>
    <col min="6661" max="6661" width="8.5703125" style="16" bestFit="1" customWidth="1"/>
    <col min="6662" max="6664" width="7.5703125" style="16" customWidth="1"/>
    <col min="6665" max="6665" width="7.140625" style="16" bestFit="1" customWidth="1"/>
    <col min="6666" max="6666" width="8" style="16" customWidth="1"/>
    <col min="6667" max="6668" width="7" style="16" bestFit="1" customWidth="1"/>
    <col min="6669" max="6669" width="6.85546875" style="16" bestFit="1" customWidth="1"/>
    <col min="6670" max="6670" width="7" style="16" bestFit="1" customWidth="1"/>
    <col min="6671" max="6671" width="7.85546875" style="16" customWidth="1"/>
    <col min="6672" max="6673" width="9.140625" style="16"/>
    <col min="6674" max="6674" width="12.42578125" style="16" customWidth="1"/>
    <col min="6675" max="6675" width="9.140625" style="16"/>
    <col min="6676" max="6676" width="12" style="16" customWidth="1"/>
    <col min="6677" max="6912" width="9.140625" style="16"/>
    <col min="6913" max="6913" width="5" style="16" customWidth="1"/>
    <col min="6914" max="6914" width="18.85546875" style="16" customWidth="1"/>
    <col min="6915" max="6915" width="7.85546875" style="16" customWidth="1"/>
    <col min="6916" max="6916" width="6.7109375" style="16" bestFit="1" customWidth="1"/>
    <col min="6917" max="6917" width="8.5703125" style="16" bestFit="1" customWidth="1"/>
    <col min="6918" max="6920" width="7.5703125" style="16" customWidth="1"/>
    <col min="6921" max="6921" width="7.140625" style="16" bestFit="1" customWidth="1"/>
    <col min="6922" max="6922" width="8" style="16" customWidth="1"/>
    <col min="6923" max="6924" width="7" style="16" bestFit="1" customWidth="1"/>
    <col min="6925" max="6925" width="6.85546875" style="16" bestFit="1" customWidth="1"/>
    <col min="6926" max="6926" width="7" style="16" bestFit="1" customWidth="1"/>
    <col min="6927" max="6927" width="7.85546875" style="16" customWidth="1"/>
    <col min="6928" max="6929" width="9.140625" style="16"/>
    <col min="6930" max="6930" width="12.42578125" style="16" customWidth="1"/>
    <col min="6931" max="6931" width="9.140625" style="16"/>
    <col min="6932" max="6932" width="12" style="16" customWidth="1"/>
    <col min="6933" max="7168" width="9.140625" style="16"/>
    <col min="7169" max="7169" width="5" style="16" customWidth="1"/>
    <col min="7170" max="7170" width="18.85546875" style="16" customWidth="1"/>
    <col min="7171" max="7171" width="7.85546875" style="16" customWidth="1"/>
    <col min="7172" max="7172" width="6.7109375" style="16" bestFit="1" customWidth="1"/>
    <col min="7173" max="7173" width="8.5703125" style="16" bestFit="1" customWidth="1"/>
    <col min="7174" max="7176" width="7.5703125" style="16" customWidth="1"/>
    <col min="7177" max="7177" width="7.140625" style="16" bestFit="1" customWidth="1"/>
    <col min="7178" max="7178" width="8" style="16" customWidth="1"/>
    <col min="7179" max="7180" width="7" style="16" bestFit="1" customWidth="1"/>
    <col min="7181" max="7181" width="6.85546875" style="16" bestFit="1" customWidth="1"/>
    <col min="7182" max="7182" width="7" style="16" bestFit="1" customWidth="1"/>
    <col min="7183" max="7183" width="7.85546875" style="16" customWidth="1"/>
    <col min="7184" max="7185" width="9.140625" style="16"/>
    <col min="7186" max="7186" width="12.42578125" style="16" customWidth="1"/>
    <col min="7187" max="7187" width="9.140625" style="16"/>
    <col min="7188" max="7188" width="12" style="16" customWidth="1"/>
    <col min="7189" max="7424" width="9.140625" style="16"/>
    <col min="7425" max="7425" width="5" style="16" customWidth="1"/>
    <col min="7426" max="7426" width="18.85546875" style="16" customWidth="1"/>
    <col min="7427" max="7427" width="7.85546875" style="16" customWidth="1"/>
    <col min="7428" max="7428" width="6.7109375" style="16" bestFit="1" customWidth="1"/>
    <col min="7429" max="7429" width="8.5703125" style="16" bestFit="1" customWidth="1"/>
    <col min="7430" max="7432" width="7.5703125" style="16" customWidth="1"/>
    <col min="7433" max="7433" width="7.140625" style="16" bestFit="1" customWidth="1"/>
    <col min="7434" max="7434" width="8" style="16" customWidth="1"/>
    <col min="7435" max="7436" width="7" style="16" bestFit="1" customWidth="1"/>
    <col min="7437" max="7437" width="6.85546875" style="16" bestFit="1" customWidth="1"/>
    <col min="7438" max="7438" width="7" style="16" bestFit="1" customWidth="1"/>
    <col min="7439" max="7439" width="7.85546875" style="16" customWidth="1"/>
    <col min="7440" max="7441" width="9.140625" style="16"/>
    <col min="7442" max="7442" width="12.42578125" style="16" customWidth="1"/>
    <col min="7443" max="7443" width="9.140625" style="16"/>
    <col min="7444" max="7444" width="12" style="16" customWidth="1"/>
    <col min="7445" max="7680" width="9.140625" style="16"/>
    <col min="7681" max="7681" width="5" style="16" customWidth="1"/>
    <col min="7682" max="7682" width="18.85546875" style="16" customWidth="1"/>
    <col min="7683" max="7683" width="7.85546875" style="16" customWidth="1"/>
    <col min="7684" max="7684" width="6.7109375" style="16" bestFit="1" customWidth="1"/>
    <col min="7685" max="7685" width="8.5703125" style="16" bestFit="1" customWidth="1"/>
    <col min="7686" max="7688" width="7.5703125" style="16" customWidth="1"/>
    <col min="7689" max="7689" width="7.140625" style="16" bestFit="1" customWidth="1"/>
    <col min="7690" max="7690" width="8" style="16" customWidth="1"/>
    <col min="7691" max="7692" width="7" style="16" bestFit="1" customWidth="1"/>
    <col min="7693" max="7693" width="6.85546875" style="16" bestFit="1" customWidth="1"/>
    <col min="7694" max="7694" width="7" style="16" bestFit="1" customWidth="1"/>
    <col min="7695" max="7695" width="7.85546875" style="16" customWidth="1"/>
    <col min="7696" max="7697" width="9.140625" style="16"/>
    <col min="7698" max="7698" width="12.42578125" style="16" customWidth="1"/>
    <col min="7699" max="7699" width="9.140625" style="16"/>
    <col min="7700" max="7700" width="12" style="16" customWidth="1"/>
    <col min="7701" max="7936" width="9.140625" style="16"/>
    <col min="7937" max="7937" width="5" style="16" customWidth="1"/>
    <col min="7938" max="7938" width="18.85546875" style="16" customWidth="1"/>
    <col min="7939" max="7939" width="7.85546875" style="16" customWidth="1"/>
    <col min="7940" max="7940" width="6.7109375" style="16" bestFit="1" customWidth="1"/>
    <col min="7941" max="7941" width="8.5703125" style="16" bestFit="1" customWidth="1"/>
    <col min="7942" max="7944" width="7.5703125" style="16" customWidth="1"/>
    <col min="7945" max="7945" width="7.140625" style="16" bestFit="1" customWidth="1"/>
    <col min="7946" max="7946" width="8" style="16" customWidth="1"/>
    <col min="7947" max="7948" width="7" style="16" bestFit="1" customWidth="1"/>
    <col min="7949" max="7949" width="6.85546875" style="16" bestFit="1" customWidth="1"/>
    <col min="7950" max="7950" width="7" style="16" bestFit="1" customWidth="1"/>
    <col min="7951" max="7951" width="7.85546875" style="16" customWidth="1"/>
    <col min="7952" max="7953" width="9.140625" style="16"/>
    <col min="7954" max="7954" width="12.42578125" style="16" customWidth="1"/>
    <col min="7955" max="7955" width="9.140625" style="16"/>
    <col min="7956" max="7956" width="12" style="16" customWidth="1"/>
    <col min="7957" max="8192" width="9.140625" style="16"/>
    <col min="8193" max="8193" width="5" style="16" customWidth="1"/>
    <col min="8194" max="8194" width="18.85546875" style="16" customWidth="1"/>
    <col min="8195" max="8195" width="7.85546875" style="16" customWidth="1"/>
    <col min="8196" max="8196" width="6.7109375" style="16" bestFit="1" customWidth="1"/>
    <col min="8197" max="8197" width="8.5703125" style="16" bestFit="1" customWidth="1"/>
    <col min="8198" max="8200" width="7.5703125" style="16" customWidth="1"/>
    <col min="8201" max="8201" width="7.140625" style="16" bestFit="1" customWidth="1"/>
    <col min="8202" max="8202" width="8" style="16" customWidth="1"/>
    <col min="8203" max="8204" width="7" style="16" bestFit="1" customWidth="1"/>
    <col min="8205" max="8205" width="6.85546875" style="16" bestFit="1" customWidth="1"/>
    <col min="8206" max="8206" width="7" style="16" bestFit="1" customWidth="1"/>
    <col min="8207" max="8207" width="7.85546875" style="16" customWidth="1"/>
    <col min="8208" max="8209" width="9.140625" style="16"/>
    <col min="8210" max="8210" width="12.42578125" style="16" customWidth="1"/>
    <col min="8211" max="8211" width="9.140625" style="16"/>
    <col min="8212" max="8212" width="12" style="16" customWidth="1"/>
    <col min="8213" max="8448" width="9.140625" style="16"/>
    <col min="8449" max="8449" width="5" style="16" customWidth="1"/>
    <col min="8450" max="8450" width="18.85546875" style="16" customWidth="1"/>
    <col min="8451" max="8451" width="7.85546875" style="16" customWidth="1"/>
    <col min="8452" max="8452" width="6.7109375" style="16" bestFit="1" customWidth="1"/>
    <col min="8453" max="8453" width="8.5703125" style="16" bestFit="1" customWidth="1"/>
    <col min="8454" max="8456" width="7.5703125" style="16" customWidth="1"/>
    <col min="8457" max="8457" width="7.140625" style="16" bestFit="1" customWidth="1"/>
    <col min="8458" max="8458" width="8" style="16" customWidth="1"/>
    <col min="8459" max="8460" width="7" style="16" bestFit="1" customWidth="1"/>
    <col min="8461" max="8461" width="6.85546875" style="16" bestFit="1" customWidth="1"/>
    <col min="8462" max="8462" width="7" style="16" bestFit="1" customWidth="1"/>
    <col min="8463" max="8463" width="7.85546875" style="16" customWidth="1"/>
    <col min="8464" max="8465" width="9.140625" style="16"/>
    <col min="8466" max="8466" width="12.42578125" style="16" customWidth="1"/>
    <col min="8467" max="8467" width="9.140625" style="16"/>
    <col min="8468" max="8468" width="12" style="16" customWidth="1"/>
    <col min="8469" max="8704" width="9.140625" style="16"/>
    <col min="8705" max="8705" width="5" style="16" customWidth="1"/>
    <col min="8706" max="8706" width="18.85546875" style="16" customWidth="1"/>
    <col min="8707" max="8707" width="7.85546875" style="16" customWidth="1"/>
    <col min="8708" max="8708" width="6.7109375" style="16" bestFit="1" customWidth="1"/>
    <col min="8709" max="8709" width="8.5703125" style="16" bestFit="1" customWidth="1"/>
    <col min="8710" max="8712" width="7.5703125" style="16" customWidth="1"/>
    <col min="8713" max="8713" width="7.140625" style="16" bestFit="1" customWidth="1"/>
    <col min="8714" max="8714" width="8" style="16" customWidth="1"/>
    <col min="8715" max="8716" width="7" style="16" bestFit="1" customWidth="1"/>
    <col min="8717" max="8717" width="6.85546875" style="16" bestFit="1" customWidth="1"/>
    <col min="8718" max="8718" width="7" style="16" bestFit="1" customWidth="1"/>
    <col min="8719" max="8719" width="7.85546875" style="16" customWidth="1"/>
    <col min="8720" max="8721" width="9.140625" style="16"/>
    <col min="8722" max="8722" width="12.42578125" style="16" customWidth="1"/>
    <col min="8723" max="8723" width="9.140625" style="16"/>
    <col min="8724" max="8724" width="12" style="16" customWidth="1"/>
    <col min="8725" max="8960" width="9.140625" style="16"/>
    <col min="8961" max="8961" width="5" style="16" customWidth="1"/>
    <col min="8962" max="8962" width="18.85546875" style="16" customWidth="1"/>
    <col min="8963" max="8963" width="7.85546875" style="16" customWidth="1"/>
    <col min="8964" max="8964" width="6.7109375" style="16" bestFit="1" customWidth="1"/>
    <col min="8965" max="8965" width="8.5703125" style="16" bestFit="1" customWidth="1"/>
    <col min="8966" max="8968" width="7.5703125" style="16" customWidth="1"/>
    <col min="8969" max="8969" width="7.140625" style="16" bestFit="1" customWidth="1"/>
    <col min="8970" max="8970" width="8" style="16" customWidth="1"/>
    <col min="8971" max="8972" width="7" style="16" bestFit="1" customWidth="1"/>
    <col min="8973" max="8973" width="6.85546875" style="16" bestFit="1" customWidth="1"/>
    <col min="8974" max="8974" width="7" style="16" bestFit="1" customWidth="1"/>
    <col min="8975" max="8975" width="7.85546875" style="16" customWidth="1"/>
    <col min="8976" max="8977" width="9.140625" style="16"/>
    <col min="8978" max="8978" width="12.42578125" style="16" customWidth="1"/>
    <col min="8979" max="8979" width="9.140625" style="16"/>
    <col min="8980" max="8980" width="12" style="16" customWidth="1"/>
    <col min="8981" max="9216" width="9.140625" style="16"/>
    <col min="9217" max="9217" width="5" style="16" customWidth="1"/>
    <col min="9218" max="9218" width="18.85546875" style="16" customWidth="1"/>
    <col min="9219" max="9219" width="7.85546875" style="16" customWidth="1"/>
    <col min="9220" max="9220" width="6.7109375" style="16" bestFit="1" customWidth="1"/>
    <col min="9221" max="9221" width="8.5703125" style="16" bestFit="1" customWidth="1"/>
    <col min="9222" max="9224" width="7.5703125" style="16" customWidth="1"/>
    <col min="9225" max="9225" width="7.140625" style="16" bestFit="1" customWidth="1"/>
    <col min="9226" max="9226" width="8" style="16" customWidth="1"/>
    <col min="9227" max="9228" width="7" style="16" bestFit="1" customWidth="1"/>
    <col min="9229" max="9229" width="6.85546875" style="16" bestFit="1" customWidth="1"/>
    <col min="9230" max="9230" width="7" style="16" bestFit="1" customWidth="1"/>
    <col min="9231" max="9231" width="7.85546875" style="16" customWidth="1"/>
    <col min="9232" max="9233" width="9.140625" style="16"/>
    <col min="9234" max="9234" width="12.42578125" style="16" customWidth="1"/>
    <col min="9235" max="9235" width="9.140625" style="16"/>
    <col min="9236" max="9236" width="12" style="16" customWidth="1"/>
    <col min="9237" max="9472" width="9.140625" style="16"/>
    <col min="9473" max="9473" width="5" style="16" customWidth="1"/>
    <col min="9474" max="9474" width="18.85546875" style="16" customWidth="1"/>
    <col min="9475" max="9475" width="7.85546875" style="16" customWidth="1"/>
    <col min="9476" max="9476" width="6.7109375" style="16" bestFit="1" customWidth="1"/>
    <col min="9477" max="9477" width="8.5703125" style="16" bestFit="1" customWidth="1"/>
    <col min="9478" max="9480" width="7.5703125" style="16" customWidth="1"/>
    <col min="9481" max="9481" width="7.140625" style="16" bestFit="1" customWidth="1"/>
    <col min="9482" max="9482" width="8" style="16" customWidth="1"/>
    <col min="9483" max="9484" width="7" style="16" bestFit="1" customWidth="1"/>
    <col min="9485" max="9485" width="6.85546875" style="16" bestFit="1" customWidth="1"/>
    <col min="9486" max="9486" width="7" style="16" bestFit="1" customWidth="1"/>
    <col min="9487" max="9487" width="7.85546875" style="16" customWidth="1"/>
    <col min="9488" max="9489" width="9.140625" style="16"/>
    <col min="9490" max="9490" width="12.42578125" style="16" customWidth="1"/>
    <col min="9491" max="9491" width="9.140625" style="16"/>
    <col min="9492" max="9492" width="12" style="16" customWidth="1"/>
    <col min="9493" max="9728" width="9.140625" style="16"/>
    <col min="9729" max="9729" width="5" style="16" customWidth="1"/>
    <col min="9730" max="9730" width="18.85546875" style="16" customWidth="1"/>
    <col min="9731" max="9731" width="7.85546875" style="16" customWidth="1"/>
    <col min="9732" max="9732" width="6.7109375" style="16" bestFit="1" customWidth="1"/>
    <col min="9733" max="9733" width="8.5703125" style="16" bestFit="1" customWidth="1"/>
    <col min="9734" max="9736" width="7.5703125" style="16" customWidth="1"/>
    <col min="9737" max="9737" width="7.140625" style="16" bestFit="1" customWidth="1"/>
    <col min="9738" max="9738" width="8" style="16" customWidth="1"/>
    <col min="9739" max="9740" width="7" style="16" bestFit="1" customWidth="1"/>
    <col min="9741" max="9741" width="6.85546875" style="16" bestFit="1" customWidth="1"/>
    <col min="9742" max="9742" width="7" style="16" bestFit="1" customWidth="1"/>
    <col min="9743" max="9743" width="7.85546875" style="16" customWidth="1"/>
    <col min="9744" max="9745" width="9.140625" style="16"/>
    <col min="9746" max="9746" width="12.42578125" style="16" customWidth="1"/>
    <col min="9747" max="9747" width="9.140625" style="16"/>
    <col min="9748" max="9748" width="12" style="16" customWidth="1"/>
    <col min="9749" max="9984" width="9.140625" style="16"/>
    <col min="9985" max="9985" width="5" style="16" customWidth="1"/>
    <col min="9986" max="9986" width="18.85546875" style="16" customWidth="1"/>
    <col min="9987" max="9987" width="7.85546875" style="16" customWidth="1"/>
    <col min="9988" max="9988" width="6.7109375" style="16" bestFit="1" customWidth="1"/>
    <col min="9989" max="9989" width="8.5703125" style="16" bestFit="1" customWidth="1"/>
    <col min="9990" max="9992" width="7.5703125" style="16" customWidth="1"/>
    <col min="9993" max="9993" width="7.140625" style="16" bestFit="1" customWidth="1"/>
    <col min="9994" max="9994" width="8" style="16" customWidth="1"/>
    <col min="9995" max="9996" width="7" style="16" bestFit="1" customWidth="1"/>
    <col min="9997" max="9997" width="6.85546875" style="16" bestFit="1" customWidth="1"/>
    <col min="9998" max="9998" width="7" style="16" bestFit="1" customWidth="1"/>
    <col min="9999" max="9999" width="7.85546875" style="16" customWidth="1"/>
    <col min="10000" max="10001" width="9.140625" style="16"/>
    <col min="10002" max="10002" width="12.42578125" style="16" customWidth="1"/>
    <col min="10003" max="10003" width="9.140625" style="16"/>
    <col min="10004" max="10004" width="12" style="16" customWidth="1"/>
    <col min="10005" max="10240" width="9.140625" style="16"/>
    <col min="10241" max="10241" width="5" style="16" customWidth="1"/>
    <col min="10242" max="10242" width="18.85546875" style="16" customWidth="1"/>
    <col min="10243" max="10243" width="7.85546875" style="16" customWidth="1"/>
    <col min="10244" max="10244" width="6.7109375" style="16" bestFit="1" customWidth="1"/>
    <col min="10245" max="10245" width="8.5703125" style="16" bestFit="1" customWidth="1"/>
    <col min="10246" max="10248" width="7.5703125" style="16" customWidth="1"/>
    <col min="10249" max="10249" width="7.140625" style="16" bestFit="1" customWidth="1"/>
    <col min="10250" max="10250" width="8" style="16" customWidth="1"/>
    <col min="10251" max="10252" width="7" style="16" bestFit="1" customWidth="1"/>
    <col min="10253" max="10253" width="6.85546875" style="16" bestFit="1" customWidth="1"/>
    <col min="10254" max="10254" width="7" style="16" bestFit="1" customWidth="1"/>
    <col min="10255" max="10255" width="7.85546875" style="16" customWidth="1"/>
    <col min="10256" max="10257" width="9.140625" style="16"/>
    <col min="10258" max="10258" width="12.42578125" style="16" customWidth="1"/>
    <col min="10259" max="10259" width="9.140625" style="16"/>
    <col min="10260" max="10260" width="12" style="16" customWidth="1"/>
    <col min="10261" max="10496" width="9.140625" style="16"/>
    <col min="10497" max="10497" width="5" style="16" customWidth="1"/>
    <col min="10498" max="10498" width="18.85546875" style="16" customWidth="1"/>
    <col min="10499" max="10499" width="7.85546875" style="16" customWidth="1"/>
    <col min="10500" max="10500" width="6.7109375" style="16" bestFit="1" customWidth="1"/>
    <col min="10501" max="10501" width="8.5703125" style="16" bestFit="1" customWidth="1"/>
    <col min="10502" max="10504" width="7.5703125" style="16" customWidth="1"/>
    <col min="10505" max="10505" width="7.140625" style="16" bestFit="1" customWidth="1"/>
    <col min="10506" max="10506" width="8" style="16" customWidth="1"/>
    <col min="10507" max="10508" width="7" style="16" bestFit="1" customWidth="1"/>
    <col min="10509" max="10509" width="6.85546875" style="16" bestFit="1" customWidth="1"/>
    <col min="10510" max="10510" width="7" style="16" bestFit="1" customWidth="1"/>
    <col min="10511" max="10511" width="7.85546875" style="16" customWidth="1"/>
    <col min="10512" max="10513" width="9.140625" style="16"/>
    <col min="10514" max="10514" width="12.42578125" style="16" customWidth="1"/>
    <col min="10515" max="10515" width="9.140625" style="16"/>
    <col min="10516" max="10516" width="12" style="16" customWidth="1"/>
    <col min="10517" max="10752" width="9.140625" style="16"/>
    <col min="10753" max="10753" width="5" style="16" customWidth="1"/>
    <col min="10754" max="10754" width="18.85546875" style="16" customWidth="1"/>
    <col min="10755" max="10755" width="7.85546875" style="16" customWidth="1"/>
    <col min="10756" max="10756" width="6.7109375" style="16" bestFit="1" customWidth="1"/>
    <col min="10757" max="10757" width="8.5703125" style="16" bestFit="1" customWidth="1"/>
    <col min="10758" max="10760" width="7.5703125" style="16" customWidth="1"/>
    <col min="10761" max="10761" width="7.140625" style="16" bestFit="1" customWidth="1"/>
    <col min="10762" max="10762" width="8" style="16" customWidth="1"/>
    <col min="10763" max="10764" width="7" style="16" bestFit="1" customWidth="1"/>
    <col min="10765" max="10765" width="6.85546875" style="16" bestFit="1" customWidth="1"/>
    <col min="10766" max="10766" width="7" style="16" bestFit="1" customWidth="1"/>
    <col min="10767" max="10767" width="7.85546875" style="16" customWidth="1"/>
    <col min="10768" max="10769" width="9.140625" style="16"/>
    <col min="10770" max="10770" width="12.42578125" style="16" customWidth="1"/>
    <col min="10771" max="10771" width="9.140625" style="16"/>
    <col min="10772" max="10772" width="12" style="16" customWidth="1"/>
    <col min="10773" max="11008" width="9.140625" style="16"/>
    <col min="11009" max="11009" width="5" style="16" customWidth="1"/>
    <col min="11010" max="11010" width="18.85546875" style="16" customWidth="1"/>
    <col min="11011" max="11011" width="7.85546875" style="16" customWidth="1"/>
    <col min="11012" max="11012" width="6.7109375" style="16" bestFit="1" customWidth="1"/>
    <col min="11013" max="11013" width="8.5703125" style="16" bestFit="1" customWidth="1"/>
    <col min="11014" max="11016" width="7.5703125" style="16" customWidth="1"/>
    <col min="11017" max="11017" width="7.140625" style="16" bestFit="1" customWidth="1"/>
    <col min="11018" max="11018" width="8" style="16" customWidth="1"/>
    <col min="11019" max="11020" width="7" style="16" bestFit="1" customWidth="1"/>
    <col min="11021" max="11021" width="6.85546875" style="16" bestFit="1" customWidth="1"/>
    <col min="11022" max="11022" width="7" style="16" bestFit="1" customWidth="1"/>
    <col min="11023" max="11023" width="7.85546875" style="16" customWidth="1"/>
    <col min="11024" max="11025" width="9.140625" style="16"/>
    <col min="11026" max="11026" width="12.42578125" style="16" customWidth="1"/>
    <col min="11027" max="11027" width="9.140625" style="16"/>
    <col min="11028" max="11028" width="12" style="16" customWidth="1"/>
    <col min="11029" max="11264" width="9.140625" style="16"/>
    <col min="11265" max="11265" width="5" style="16" customWidth="1"/>
    <col min="11266" max="11266" width="18.85546875" style="16" customWidth="1"/>
    <col min="11267" max="11267" width="7.85546875" style="16" customWidth="1"/>
    <col min="11268" max="11268" width="6.7109375" style="16" bestFit="1" customWidth="1"/>
    <col min="11269" max="11269" width="8.5703125" style="16" bestFit="1" customWidth="1"/>
    <col min="11270" max="11272" width="7.5703125" style="16" customWidth="1"/>
    <col min="11273" max="11273" width="7.140625" style="16" bestFit="1" customWidth="1"/>
    <col min="11274" max="11274" width="8" style="16" customWidth="1"/>
    <col min="11275" max="11276" width="7" style="16" bestFit="1" customWidth="1"/>
    <col min="11277" max="11277" width="6.85546875" style="16" bestFit="1" customWidth="1"/>
    <col min="11278" max="11278" width="7" style="16" bestFit="1" customWidth="1"/>
    <col min="11279" max="11279" width="7.85546875" style="16" customWidth="1"/>
    <col min="11280" max="11281" width="9.140625" style="16"/>
    <col min="11282" max="11282" width="12.42578125" style="16" customWidth="1"/>
    <col min="11283" max="11283" width="9.140625" style="16"/>
    <col min="11284" max="11284" width="12" style="16" customWidth="1"/>
    <col min="11285" max="11520" width="9.140625" style="16"/>
    <col min="11521" max="11521" width="5" style="16" customWidth="1"/>
    <col min="11522" max="11522" width="18.85546875" style="16" customWidth="1"/>
    <col min="11523" max="11523" width="7.85546875" style="16" customWidth="1"/>
    <col min="11524" max="11524" width="6.7109375" style="16" bestFit="1" customWidth="1"/>
    <col min="11525" max="11525" width="8.5703125" style="16" bestFit="1" customWidth="1"/>
    <col min="11526" max="11528" width="7.5703125" style="16" customWidth="1"/>
    <col min="11529" max="11529" width="7.140625" style="16" bestFit="1" customWidth="1"/>
    <col min="11530" max="11530" width="8" style="16" customWidth="1"/>
    <col min="11531" max="11532" width="7" style="16" bestFit="1" customWidth="1"/>
    <col min="11533" max="11533" width="6.85546875" style="16" bestFit="1" customWidth="1"/>
    <col min="11534" max="11534" width="7" style="16" bestFit="1" customWidth="1"/>
    <col min="11535" max="11535" width="7.85546875" style="16" customWidth="1"/>
    <col min="11536" max="11537" width="9.140625" style="16"/>
    <col min="11538" max="11538" width="12.42578125" style="16" customWidth="1"/>
    <col min="11539" max="11539" width="9.140625" style="16"/>
    <col min="11540" max="11540" width="12" style="16" customWidth="1"/>
    <col min="11541" max="11776" width="9.140625" style="16"/>
    <col min="11777" max="11777" width="5" style="16" customWidth="1"/>
    <col min="11778" max="11778" width="18.85546875" style="16" customWidth="1"/>
    <col min="11779" max="11779" width="7.85546875" style="16" customWidth="1"/>
    <col min="11780" max="11780" width="6.7109375" style="16" bestFit="1" customWidth="1"/>
    <col min="11781" max="11781" width="8.5703125" style="16" bestFit="1" customWidth="1"/>
    <col min="11782" max="11784" width="7.5703125" style="16" customWidth="1"/>
    <col min="11785" max="11785" width="7.140625" style="16" bestFit="1" customWidth="1"/>
    <col min="11786" max="11786" width="8" style="16" customWidth="1"/>
    <col min="11787" max="11788" width="7" style="16" bestFit="1" customWidth="1"/>
    <col min="11789" max="11789" width="6.85546875" style="16" bestFit="1" customWidth="1"/>
    <col min="11790" max="11790" width="7" style="16" bestFit="1" customWidth="1"/>
    <col min="11791" max="11791" width="7.85546875" style="16" customWidth="1"/>
    <col min="11792" max="11793" width="9.140625" style="16"/>
    <col min="11794" max="11794" width="12.42578125" style="16" customWidth="1"/>
    <col min="11795" max="11795" width="9.140625" style="16"/>
    <col min="11796" max="11796" width="12" style="16" customWidth="1"/>
    <col min="11797" max="12032" width="9.140625" style="16"/>
    <col min="12033" max="12033" width="5" style="16" customWidth="1"/>
    <col min="12034" max="12034" width="18.85546875" style="16" customWidth="1"/>
    <col min="12035" max="12035" width="7.85546875" style="16" customWidth="1"/>
    <col min="12036" max="12036" width="6.7109375" style="16" bestFit="1" customWidth="1"/>
    <col min="12037" max="12037" width="8.5703125" style="16" bestFit="1" customWidth="1"/>
    <col min="12038" max="12040" width="7.5703125" style="16" customWidth="1"/>
    <col min="12041" max="12041" width="7.140625" style="16" bestFit="1" customWidth="1"/>
    <col min="12042" max="12042" width="8" style="16" customWidth="1"/>
    <col min="12043" max="12044" width="7" style="16" bestFit="1" customWidth="1"/>
    <col min="12045" max="12045" width="6.85546875" style="16" bestFit="1" customWidth="1"/>
    <col min="12046" max="12046" width="7" style="16" bestFit="1" customWidth="1"/>
    <col min="12047" max="12047" width="7.85546875" style="16" customWidth="1"/>
    <col min="12048" max="12049" width="9.140625" style="16"/>
    <col min="12050" max="12050" width="12.42578125" style="16" customWidth="1"/>
    <col min="12051" max="12051" width="9.140625" style="16"/>
    <col min="12052" max="12052" width="12" style="16" customWidth="1"/>
    <col min="12053" max="12288" width="9.140625" style="16"/>
    <col min="12289" max="12289" width="5" style="16" customWidth="1"/>
    <col min="12290" max="12290" width="18.85546875" style="16" customWidth="1"/>
    <col min="12291" max="12291" width="7.85546875" style="16" customWidth="1"/>
    <col min="12292" max="12292" width="6.7109375" style="16" bestFit="1" customWidth="1"/>
    <col min="12293" max="12293" width="8.5703125" style="16" bestFit="1" customWidth="1"/>
    <col min="12294" max="12296" width="7.5703125" style="16" customWidth="1"/>
    <col min="12297" max="12297" width="7.140625" style="16" bestFit="1" customWidth="1"/>
    <col min="12298" max="12298" width="8" style="16" customWidth="1"/>
    <col min="12299" max="12300" width="7" style="16" bestFit="1" customWidth="1"/>
    <col min="12301" max="12301" width="6.85546875" style="16" bestFit="1" customWidth="1"/>
    <col min="12302" max="12302" width="7" style="16" bestFit="1" customWidth="1"/>
    <col min="12303" max="12303" width="7.85546875" style="16" customWidth="1"/>
    <col min="12304" max="12305" width="9.140625" style="16"/>
    <col min="12306" max="12306" width="12.42578125" style="16" customWidth="1"/>
    <col min="12307" max="12307" width="9.140625" style="16"/>
    <col min="12308" max="12308" width="12" style="16" customWidth="1"/>
    <col min="12309" max="12544" width="9.140625" style="16"/>
    <col min="12545" max="12545" width="5" style="16" customWidth="1"/>
    <col min="12546" max="12546" width="18.85546875" style="16" customWidth="1"/>
    <col min="12547" max="12547" width="7.85546875" style="16" customWidth="1"/>
    <col min="12548" max="12548" width="6.7109375" style="16" bestFit="1" customWidth="1"/>
    <col min="12549" max="12549" width="8.5703125" style="16" bestFit="1" customWidth="1"/>
    <col min="12550" max="12552" width="7.5703125" style="16" customWidth="1"/>
    <col min="12553" max="12553" width="7.140625" style="16" bestFit="1" customWidth="1"/>
    <col min="12554" max="12554" width="8" style="16" customWidth="1"/>
    <col min="12555" max="12556" width="7" style="16" bestFit="1" customWidth="1"/>
    <col min="12557" max="12557" width="6.85546875" style="16" bestFit="1" customWidth="1"/>
    <col min="12558" max="12558" width="7" style="16" bestFit="1" customWidth="1"/>
    <col min="12559" max="12559" width="7.85546875" style="16" customWidth="1"/>
    <col min="12560" max="12561" width="9.140625" style="16"/>
    <col min="12562" max="12562" width="12.42578125" style="16" customWidth="1"/>
    <col min="12563" max="12563" width="9.140625" style="16"/>
    <col min="12564" max="12564" width="12" style="16" customWidth="1"/>
    <col min="12565" max="12800" width="9.140625" style="16"/>
    <col min="12801" max="12801" width="5" style="16" customWidth="1"/>
    <col min="12802" max="12802" width="18.85546875" style="16" customWidth="1"/>
    <col min="12803" max="12803" width="7.85546875" style="16" customWidth="1"/>
    <col min="12804" max="12804" width="6.7109375" style="16" bestFit="1" customWidth="1"/>
    <col min="12805" max="12805" width="8.5703125" style="16" bestFit="1" customWidth="1"/>
    <col min="12806" max="12808" width="7.5703125" style="16" customWidth="1"/>
    <col min="12809" max="12809" width="7.140625" style="16" bestFit="1" customWidth="1"/>
    <col min="12810" max="12810" width="8" style="16" customWidth="1"/>
    <col min="12811" max="12812" width="7" style="16" bestFit="1" customWidth="1"/>
    <col min="12813" max="12813" width="6.85546875" style="16" bestFit="1" customWidth="1"/>
    <col min="12814" max="12814" width="7" style="16" bestFit="1" customWidth="1"/>
    <col min="12815" max="12815" width="7.85546875" style="16" customWidth="1"/>
    <col min="12816" max="12817" width="9.140625" style="16"/>
    <col min="12818" max="12818" width="12.42578125" style="16" customWidth="1"/>
    <col min="12819" max="12819" width="9.140625" style="16"/>
    <col min="12820" max="12820" width="12" style="16" customWidth="1"/>
    <col min="12821" max="13056" width="9.140625" style="16"/>
    <col min="13057" max="13057" width="5" style="16" customWidth="1"/>
    <col min="13058" max="13058" width="18.85546875" style="16" customWidth="1"/>
    <col min="13059" max="13059" width="7.85546875" style="16" customWidth="1"/>
    <col min="13060" max="13060" width="6.7109375" style="16" bestFit="1" customWidth="1"/>
    <col min="13061" max="13061" width="8.5703125" style="16" bestFit="1" customWidth="1"/>
    <col min="13062" max="13064" width="7.5703125" style="16" customWidth="1"/>
    <col min="13065" max="13065" width="7.140625" style="16" bestFit="1" customWidth="1"/>
    <col min="13066" max="13066" width="8" style="16" customWidth="1"/>
    <col min="13067" max="13068" width="7" style="16" bestFit="1" customWidth="1"/>
    <col min="13069" max="13069" width="6.85546875" style="16" bestFit="1" customWidth="1"/>
    <col min="13070" max="13070" width="7" style="16" bestFit="1" customWidth="1"/>
    <col min="13071" max="13071" width="7.85546875" style="16" customWidth="1"/>
    <col min="13072" max="13073" width="9.140625" style="16"/>
    <col min="13074" max="13074" width="12.42578125" style="16" customWidth="1"/>
    <col min="13075" max="13075" width="9.140625" style="16"/>
    <col min="13076" max="13076" width="12" style="16" customWidth="1"/>
    <col min="13077" max="13312" width="9.140625" style="16"/>
    <col min="13313" max="13313" width="5" style="16" customWidth="1"/>
    <col min="13314" max="13314" width="18.85546875" style="16" customWidth="1"/>
    <col min="13315" max="13315" width="7.85546875" style="16" customWidth="1"/>
    <col min="13316" max="13316" width="6.7109375" style="16" bestFit="1" customWidth="1"/>
    <col min="13317" max="13317" width="8.5703125" style="16" bestFit="1" customWidth="1"/>
    <col min="13318" max="13320" width="7.5703125" style="16" customWidth="1"/>
    <col min="13321" max="13321" width="7.140625" style="16" bestFit="1" customWidth="1"/>
    <col min="13322" max="13322" width="8" style="16" customWidth="1"/>
    <col min="13323" max="13324" width="7" style="16" bestFit="1" customWidth="1"/>
    <col min="13325" max="13325" width="6.85546875" style="16" bestFit="1" customWidth="1"/>
    <col min="13326" max="13326" width="7" style="16" bestFit="1" customWidth="1"/>
    <col min="13327" max="13327" width="7.85546875" style="16" customWidth="1"/>
    <col min="13328" max="13329" width="9.140625" style="16"/>
    <col min="13330" max="13330" width="12.42578125" style="16" customWidth="1"/>
    <col min="13331" max="13331" width="9.140625" style="16"/>
    <col min="13332" max="13332" width="12" style="16" customWidth="1"/>
    <col min="13333" max="13568" width="9.140625" style="16"/>
    <col min="13569" max="13569" width="5" style="16" customWidth="1"/>
    <col min="13570" max="13570" width="18.85546875" style="16" customWidth="1"/>
    <col min="13571" max="13571" width="7.85546875" style="16" customWidth="1"/>
    <col min="13572" max="13572" width="6.7109375" style="16" bestFit="1" customWidth="1"/>
    <col min="13573" max="13573" width="8.5703125" style="16" bestFit="1" customWidth="1"/>
    <col min="13574" max="13576" width="7.5703125" style="16" customWidth="1"/>
    <col min="13577" max="13577" width="7.140625" style="16" bestFit="1" customWidth="1"/>
    <col min="13578" max="13578" width="8" style="16" customWidth="1"/>
    <col min="13579" max="13580" width="7" style="16" bestFit="1" customWidth="1"/>
    <col min="13581" max="13581" width="6.85546875" style="16" bestFit="1" customWidth="1"/>
    <col min="13582" max="13582" width="7" style="16" bestFit="1" customWidth="1"/>
    <col min="13583" max="13583" width="7.85546875" style="16" customWidth="1"/>
    <col min="13584" max="13585" width="9.140625" style="16"/>
    <col min="13586" max="13586" width="12.42578125" style="16" customWidth="1"/>
    <col min="13587" max="13587" width="9.140625" style="16"/>
    <col min="13588" max="13588" width="12" style="16" customWidth="1"/>
    <col min="13589" max="13824" width="9.140625" style="16"/>
    <col min="13825" max="13825" width="5" style="16" customWidth="1"/>
    <col min="13826" max="13826" width="18.85546875" style="16" customWidth="1"/>
    <col min="13827" max="13827" width="7.85546875" style="16" customWidth="1"/>
    <col min="13828" max="13828" width="6.7109375" style="16" bestFit="1" customWidth="1"/>
    <col min="13829" max="13829" width="8.5703125" style="16" bestFit="1" customWidth="1"/>
    <col min="13830" max="13832" width="7.5703125" style="16" customWidth="1"/>
    <col min="13833" max="13833" width="7.140625" style="16" bestFit="1" customWidth="1"/>
    <col min="13834" max="13834" width="8" style="16" customWidth="1"/>
    <col min="13835" max="13836" width="7" style="16" bestFit="1" customWidth="1"/>
    <col min="13837" max="13837" width="6.85546875" style="16" bestFit="1" customWidth="1"/>
    <col min="13838" max="13838" width="7" style="16" bestFit="1" customWidth="1"/>
    <col min="13839" max="13839" width="7.85546875" style="16" customWidth="1"/>
    <col min="13840" max="13841" width="9.140625" style="16"/>
    <col min="13842" max="13842" width="12.42578125" style="16" customWidth="1"/>
    <col min="13843" max="13843" width="9.140625" style="16"/>
    <col min="13844" max="13844" width="12" style="16" customWidth="1"/>
    <col min="13845" max="14080" width="9.140625" style="16"/>
    <col min="14081" max="14081" width="5" style="16" customWidth="1"/>
    <col min="14082" max="14082" width="18.85546875" style="16" customWidth="1"/>
    <col min="14083" max="14083" width="7.85546875" style="16" customWidth="1"/>
    <col min="14084" max="14084" width="6.7109375" style="16" bestFit="1" customWidth="1"/>
    <col min="14085" max="14085" width="8.5703125" style="16" bestFit="1" customWidth="1"/>
    <col min="14086" max="14088" width="7.5703125" style="16" customWidth="1"/>
    <col min="14089" max="14089" width="7.140625" style="16" bestFit="1" customWidth="1"/>
    <col min="14090" max="14090" width="8" style="16" customWidth="1"/>
    <col min="14091" max="14092" width="7" style="16" bestFit="1" customWidth="1"/>
    <col min="14093" max="14093" width="6.85546875" style="16" bestFit="1" customWidth="1"/>
    <col min="14094" max="14094" width="7" style="16" bestFit="1" customWidth="1"/>
    <col min="14095" max="14095" width="7.85546875" style="16" customWidth="1"/>
    <col min="14096" max="14097" width="9.140625" style="16"/>
    <col min="14098" max="14098" width="12.42578125" style="16" customWidth="1"/>
    <col min="14099" max="14099" width="9.140625" style="16"/>
    <col min="14100" max="14100" width="12" style="16" customWidth="1"/>
    <col min="14101" max="14336" width="9.140625" style="16"/>
    <col min="14337" max="14337" width="5" style="16" customWidth="1"/>
    <col min="14338" max="14338" width="18.85546875" style="16" customWidth="1"/>
    <col min="14339" max="14339" width="7.85546875" style="16" customWidth="1"/>
    <col min="14340" max="14340" width="6.7109375" style="16" bestFit="1" customWidth="1"/>
    <col min="14341" max="14341" width="8.5703125" style="16" bestFit="1" customWidth="1"/>
    <col min="14342" max="14344" width="7.5703125" style="16" customWidth="1"/>
    <col min="14345" max="14345" width="7.140625" style="16" bestFit="1" customWidth="1"/>
    <col min="14346" max="14346" width="8" style="16" customWidth="1"/>
    <col min="14347" max="14348" width="7" style="16" bestFit="1" customWidth="1"/>
    <col min="14349" max="14349" width="6.85546875" style="16" bestFit="1" customWidth="1"/>
    <col min="14350" max="14350" width="7" style="16" bestFit="1" customWidth="1"/>
    <col min="14351" max="14351" width="7.85546875" style="16" customWidth="1"/>
    <col min="14352" max="14353" width="9.140625" style="16"/>
    <col min="14354" max="14354" width="12.42578125" style="16" customWidth="1"/>
    <col min="14355" max="14355" width="9.140625" style="16"/>
    <col min="14356" max="14356" width="12" style="16" customWidth="1"/>
    <col min="14357" max="14592" width="9.140625" style="16"/>
    <col min="14593" max="14593" width="5" style="16" customWidth="1"/>
    <col min="14594" max="14594" width="18.85546875" style="16" customWidth="1"/>
    <col min="14595" max="14595" width="7.85546875" style="16" customWidth="1"/>
    <col min="14596" max="14596" width="6.7109375" style="16" bestFit="1" customWidth="1"/>
    <col min="14597" max="14597" width="8.5703125" style="16" bestFit="1" customWidth="1"/>
    <col min="14598" max="14600" width="7.5703125" style="16" customWidth="1"/>
    <col min="14601" max="14601" width="7.140625" style="16" bestFit="1" customWidth="1"/>
    <col min="14602" max="14602" width="8" style="16" customWidth="1"/>
    <col min="14603" max="14604" width="7" style="16" bestFit="1" customWidth="1"/>
    <col min="14605" max="14605" width="6.85546875" style="16" bestFit="1" customWidth="1"/>
    <col min="14606" max="14606" width="7" style="16" bestFit="1" customWidth="1"/>
    <col min="14607" max="14607" width="7.85546875" style="16" customWidth="1"/>
    <col min="14608" max="14609" width="9.140625" style="16"/>
    <col min="14610" max="14610" width="12.42578125" style="16" customWidth="1"/>
    <col min="14611" max="14611" width="9.140625" style="16"/>
    <col min="14612" max="14612" width="12" style="16" customWidth="1"/>
    <col min="14613" max="14848" width="9.140625" style="16"/>
    <col min="14849" max="14849" width="5" style="16" customWidth="1"/>
    <col min="14850" max="14850" width="18.85546875" style="16" customWidth="1"/>
    <col min="14851" max="14851" width="7.85546875" style="16" customWidth="1"/>
    <col min="14852" max="14852" width="6.7109375" style="16" bestFit="1" customWidth="1"/>
    <col min="14853" max="14853" width="8.5703125" style="16" bestFit="1" customWidth="1"/>
    <col min="14854" max="14856" width="7.5703125" style="16" customWidth="1"/>
    <col min="14857" max="14857" width="7.140625" style="16" bestFit="1" customWidth="1"/>
    <col min="14858" max="14858" width="8" style="16" customWidth="1"/>
    <col min="14859" max="14860" width="7" style="16" bestFit="1" customWidth="1"/>
    <col min="14861" max="14861" width="6.85546875" style="16" bestFit="1" customWidth="1"/>
    <col min="14862" max="14862" width="7" style="16" bestFit="1" customWidth="1"/>
    <col min="14863" max="14863" width="7.85546875" style="16" customWidth="1"/>
    <col min="14864" max="14865" width="9.140625" style="16"/>
    <col min="14866" max="14866" width="12.42578125" style="16" customWidth="1"/>
    <col min="14867" max="14867" width="9.140625" style="16"/>
    <col min="14868" max="14868" width="12" style="16" customWidth="1"/>
    <col min="14869" max="15104" width="9.140625" style="16"/>
    <col min="15105" max="15105" width="5" style="16" customWidth="1"/>
    <col min="15106" max="15106" width="18.85546875" style="16" customWidth="1"/>
    <col min="15107" max="15107" width="7.85546875" style="16" customWidth="1"/>
    <col min="15108" max="15108" width="6.7109375" style="16" bestFit="1" customWidth="1"/>
    <col min="15109" max="15109" width="8.5703125" style="16" bestFit="1" customWidth="1"/>
    <col min="15110" max="15112" width="7.5703125" style="16" customWidth="1"/>
    <col min="15113" max="15113" width="7.140625" style="16" bestFit="1" customWidth="1"/>
    <col min="15114" max="15114" width="8" style="16" customWidth="1"/>
    <col min="15115" max="15116" width="7" style="16" bestFit="1" customWidth="1"/>
    <col min="15117" max="15117" width="6.85546875" style="16" bestFit="1" customWidth="1"/>
    <col min="15118" max="15118" width="7" style="16" bestFit="1" customWidth="1"/>
    <col min="15119" max="15119" width="7.85546875" style="16" customWidth="1"/>
    <col min="15120" max="15121" width="9.140625" style="16"/>
    <col min="15122" max="15122" width="12.42578125" style="16" customWidth="1"/>
    <col min="15123" max="15123" width="9.140625" style="16"/>
    <col min="15124" max="15124" width="12" style="16" customWidth="1"/>
    <col min="15125" max="15360" width="9.140625" style="16"/>
    <col min="15361" max="15361" width="5" style="16" customWidth="1"/>
    <col min="15362" max="15362" width="18.85546875" style="16" customWidth="1"/>
    <col min="15363" max="15363" width="7.85546875" style="16" customWidth="1"/>
    <col min="15364" max="15364" width="6.7109375" style="16" bestFit="1" customWidth="1"/>
    <col min="15365" max="15365" width="8.5703125" style="16" bestFit="1" customWidth="1"/>
    <col min="15366" max="15368" width="7.5703125" style="16" customWidth="1"/>
    <col min="15369" max="15369" width="7.140625" style="16" bestFit="1" customWidth="1"/>
    <col min="15370" max="15370" width="8" style="16" customWidth="1"/>
    <col min="15371" max="15372" width="7" style="16" bestFit="1" customWidth="1"/>
    <col min="15373" max="15373" width="6.85546875" style="16" bestFit="1" customWidth="1"/>
    <col min="15374" max="15374" width="7" style="16" bestFit="1" customWidth="1"/>
    <col min="15375" max="15375" width="7.85546875" style="16" customWidth="1"/>
    <col min="15376" max="15377" width="9.140625" style="16"/>
    <col min="15378" max="15378" width="12.42578125" style="16" customWidth="1"/>
    <col min="15379" max="15379" width="9.140625" style="16"/>
    <col min="15380" max="15380" width="12" style="16" customWidth="1"/>
    <col min="15381" max="15616" width="9.140625" style="16"/>
    <col min="15617" max="15617" width="5" style="16" customWidth="1"/>
    <col min="15618" max="15618" width="18.85546875" style="16" customWidth="1"/>
    <col min="15619" max="15619" width="7.85546875" style="16" customWidth="1"/>
    <col min="15620" max="15620" width="6.7109375" style="16" bestFit="1" customWidth="1"/>
    <col min="15621" max="15621" width="8.5703125" style="16" bestFit="1" customWidth="1"/>
    <col min="15622" max="15624" width="7.5703125" style="16" customWidth="1"/>
    <col min="15625" max="15625" width="7.140625" style="16" bestFit="1" customWidth="1"/>
    <col min="15626" max="15626" width="8" style="16" customWidth="1"/>
    <col min="15627" max="15628" width="7" style="16" bestFit="1" customWidth="1"/>
    <col min="15629" max="15629" width="6.85546875" style="16" bestFit="1" customWidth="1"/>
    <col min="15630" max="15630" width="7" style="16" bestFit="1" customWidth="1"/>
    <col min="15631" max="15631" width="7.85546875" style="16" customWidth="1"/>
    <col min="15632" max="15633" width="9.140625" style="16"/>
    <col min="15634" max="15634" width="12.42578125" style="16" customWidth="1"/>
    <col min="15635" max="15635" width="9.140625" style="16"/>
    <col min="15636" max="15636" width="12" style="16" customWidth="1"/>
    <col min="15637" max="15872" width="9.140625" style="16"/>
    <col min="15873" max="15873" width="5" style="16" customWidth="1"/>
    <col min="15874" max="15874" width="18.85546875" style="16" customWidth="1"/>
    <col min="15875" max="15875" width="7.85546875" style="16" customWidth="1"/>
    <col min="15876" max="15876" width="6.7109375" style="16" bestFit="1" customWidth="1"/>
    <col min="15877" max="15877" width="8.5703125" style="16" bestFit="1" customWidth="1"/>
    <col min="15878" max="15880" width="7.5703125" style="16" customWidth="1"/>
    <col min="15881" max="15881" width="7.140625" style="16" bestFit="1" customWidth="1"/>
    <col min="15882" max="15882" width="8" style="16" customWidth="1"/>
    <col min="15883" max="15884" width="7" style="16" bestFit="1" customWidth="1"/>
    <col min="15885" max="15885" width="6.85546875" style="16" bestFit="1" customWidth="1"/>
    <col min="15886" max="15886" width="7" style="16" bestFit="1" customWidth="1"/>
    <col min="15887" max="15887" width="7.85546875" style="16" customWidth="1"/>
    <col min="15888" max="15889" width="9.140625" style="16"/>
    <col min="15890" max="15890" width="12.42578125" style="16" customWidth="1"/>
    <col min="15891" max="15891" width="9.140625" style="16"/>
    <col min="15892" max="15892" width="12" style="16" customWidth="1"/>
    <col min="15893" max="16128" width="9.140625" style="16"/>
    <col min="16129" max="16129" width="5" style="16" customWidth="1"/>
    <col min="16130" max="16130" width="18.85546875" style="16" customWidth="1"/>
    <col min="16131" max="16131" width="7.85546875" style="16" customWidth="1"/>
    <col min="16132" max="16132" width="6.7109375" style="16" bestFit="1" customWidth="1"/>
    <col min="16133" max="16133" width="8.5703125" style="16" bestFit="1" customWidth="1"/>
    <col min="16134" max="16136" width="7.5703125" style="16" customWidth="1"/>
    <col min="16137" max="16137" width="7.140625" style="16" bestFit="1" customWidth="1"/>
    <col min="16138" max="16138" width="8" style="16" customWidth="1"/>
    <col min="16139" max="16140" width="7" style="16" bestFit="1" customWidth="1"/>
    <col min="16141" max="16141" width="6.85546875" style="16" bestFit="1" customWidth="1"/>
    <col min="16142" max="16142" width="7" style="16" bestFit="1" customWidth="1"/>
    <col min="16143" max="16143" width="7.85546875" style="16" customWidth="1"/>
    <col min="16144" max="16145" width="9.140625" style="16"/>
    <col min="16146" max="16146" width="12.42578125" style="16" customWidth="1"/>
    <col min="16147" max="16147" width="9.140625" style="16"/>
    <col min="16148" max="16148" width="12" style="16" customWidth="1"/>
    <col min="16149" max="16384" width="9.140625" style="16"/>
  </cols>
  <sheetData>
    <row r="1" spans="1:15" s="1" customFormat="1" x14ac:dyDescent="0.2">
      <c r="A1" s="867" t="s">
        <v>449</v>
      </c>
      <c r="B1" s="868"/>
      <c r="C1" s="868"/>
      <c r="D1" s="881"/>
      <c r="E1" s="868"/>
      <c r="F1" s="868"/>
      <c r="G1" s="867" t="s">
        <v>102</v>
      </c>
      <c r="H1" s="869"/>
      <c r="I1" s="869" t="s">
        <v>1140</v>
      </c>
      <c r="J1" s="868"/>
      <c r="K1" s="868"/>
      <c r="L1" s="870"/>
      <c r="M1" s="870"/>
      <c r="N1" s="870"/>
      <c r="O1" s="870"/>
    </row>
    <row r="2" spans="1:15" s="1" customFormat="1" x14ac:dyDescent="0.2">
      <c r="A2" s="867" t="s">
        <v>103</v>
      </c>
      <c r="B2" s="868"/>
      <c r="C2" s="868"/>
      <c r="D2" s="869"/>
      <c r="E2" s="868"/>
      <c r="F2" s="868"/>
      <c r="G2" s="867" t="s">
        <v>104</v>
      </c>
      <c r="H2" s="869"/>
      <c r="I2" s="869" t="s">
        <v>105</v>
      </c>
      <c r="J2" s="868"/>
      <c r="K2" s="868"/>
      <c r="L2" s="870"/>
      <c r="M2" s="870"/>
      <c r="N2" s="870"/>
      <c r="O2" s="870"/>
    </row>
    <row r="3" spans="1:15" s="1" customFormat="1" x14ac:dyDescent="0.2">
      <c r="A3" s="867" t="s">
        <v>106</v>
      </c>
      <c r="B3" s="868"/>
      <c r="C3" s="868"/>
      <c r="D3" s="881"/>
      <c r="E3" s="882"/>
      <c r="F3" s="882"/>
      <c r="G3" s="867" t="s">
        <v>107</v>
      </c>
      <c r="H3" s="869"/>
      <c r="I3" s="869" t="s">
        <v>108</v>
      </c>
      <c r="J3" s="868"/>
      <c r="K3" s="868"/>
      <c r="L3" s="870"/>
      <c r="M3" s="870"/>
      <c r="N3" s="870"/>
      <c r="O3" s="870"/>
    </row>
    <row r="4" spans="1:15" s="1" customFormat="1" x14ac:dyDescent="0.2">
      <c r="A4" s="867" t="s">
        <v>109</v>
      </c>
      <c r="B4" s="868"/>
      <c r="C4" s="868"/>
      <c r="D4" s="883"/>
      <c r="E4" s="868"/>
      <c r="F4" s="868"/>
      <c r="G4" s="867" t="s">
        <v>110</v>
      </c>
      <c r="H4" s="869"/>
      <c r="I4" s="869" t="s">
        <v>478</v>
      </c>
      <c r="J4" s="868"/>
      <c r="K4" s="868"/>
      <c r="L4" s="870"/>
      <c r="M4" s="870"/>
      <c r="N4" s="870"/>
      <c r="O4" s="870"/>
    </row>
    <row r="5" spans="1:15" s="1" customFormat="1" x14ac:dyDescent="0.2">
      <c r="A5" s="867" t="s">
        <v>112</v>
      </c>
      <c r="B5" s="868"/>
      <c r="C5" s="868"/>
      <c r="D5" s="869"/>
      <c r="E5" s="868"/>
      <c r="F5" s="868"/>
      <c r="G5" s="867"/>
      <c r="H5" s="868"/>
      <c r="I5" s="869" t="s">
        <v>113</v>
      </c>
      <c r="J5" s="868"/>
      <c r="K5" s="868"/>
      <c r="L5" s="870"/>
      <c r="M5" s="870"/>
      <c r="N5" s="870"/>
      <c r="O5" s="870"/>
    </row>
    <row r="6" spans="1:15" s="1" customFormat="1" x14ac:dyDescent="0.2">
      <c r="A6" s="871" t="s">
        <v>114</v>
      </c>
      <c r="B6" s="872"/>
      <c r="C6" s="872"/>
      <c r="D6" s="868" t="s">
        <v>1346</v>
      </c>
      <c r="E6" s="868"/>
      <c r="F6" s="868"/>
      <c r="G6" s="871" t="s">
        <v>115</v>
      </c>
      <c r="H6" s="871"/>
      <c r="I6" s="2" t="s">
        <v>116</v>
      </c>
      <c r="J6" s="873"/>
      <c r="K6" s="873"/>
      <c r="L6" s="873"/>
      <c r="M6" s="873"/>
      <c r="N6" s="873"/>
      <c r="O6" s="874"/>
    </row>
    <row r="7" spans="1:15" s="1" customFormat="1" ht="13.5" thickBot="1" x14ac:dyDescent="0.25">
      <c r="A7" s="3"/>
      <c r="B7" s="4"/>
      <c r="C7" s="5"/>
      <c r="D7" s="6"/>
      <c r="E7" s="6"/>
      <c r="F7" s="6"/>
      <c r="G7" s="6"/>
      <c r="H7" s="6"/>
      <c r="I7" s="6"/>
      <c r="J7" s="7"/>
      <c r="K7" s="8"/>
      <c r="L7" s="875" t="s">
        <v>223</v>
      </c>
      <c r="M7" s="875"/>
      <c r="N7" s="875"/>
      <c r="O7" s="875"/>
    </row>
    <row r="8" spans="1:15" s="11" customFormat="1" x14ac:dyDescent="0.2">
      <c r="A8" s="876" t="str">
        <f>I1</f>
        <v>Mr. Jagdish P. Gupta</v>
      </c>
      <c r="B8" s="877"/>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98700</v>
      </c>
      <c r="D9" s="14">
        <v>98700</v>
      </c>
      <c r="E9" s="14">
        <v>98700</v>
      </c>
      <c r="F9" s="14">
        <v>98700</v>
      </c>
      <c r="G9" s="14">
        <v>101700</v>
      </c>
      <c r="H9" s="14">
        <v>101700</v>
      </c>
      <c r="I9" s="14">
        <v>101700</v>
      </c>
      <c r="J9" s="14">
        <v>101700</v>
      </c>
      <c r="K9" s="14">
        <v>107500</v>
      </c>
      <c r="L9" s="14">
        <v>107500</v>
      </c>
      <c r="M9" s="14">
        <v>107500</v>
      </c>
      <c r="N9" s="14">
        <v>107500</v>
      </c>
      <c r="O9" s="15">
        <f>SUM(C9:N9)</f>
        <v>1231600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4935</v>
      </c>
      <c r="D11" s="17">
        <v>6909</v>
      </c>
      <c r="E11" s="17">
        <v>6909</v>
      </c>
      <c r="F11" s="17">
        <v>6909</v>
      </c>
      <c r="G11" s="17">
        <v>7119</v>
      </c>
      <c r="H11" s="17">
        <v>7119</v>
      </c>
      <c r="I11" s="17">
        <v>7119</v>
      </c>
      <c r="J11" s="17">
        <v>9153</v>
      </c>
      <c r="K11" s="17">
        <f>K9*9%</f>
        <v>9675</v>
      </c>
      <c r="L11" s="17">
        <f>L9*9%</f>
        <v>9675</v>
      </c>
      <c r="M11" s="17">
        <f>M9*9%</f>
        <v>9675</v>
      </c>
      <c r="N11" s="17">
        <f>N9*9%</f>
        <v>9675</v>
      </c>
      <c r="O11" s="18">
        <f>SUM(C11:N11)</f>
        <v>94872</v>
      </c>
    </row>
    <row r="12" spans="1:15" ht="15" x14ac:dyDescent="0.2">
      <c r="A12" s="12"/>
      <c r="B12" s="13" t="s">
        <v>124</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4.25" customHeight="1" x14ac:dyDescent="0.2">
      <c r="A14" s="12"/>
      <c r="B14" s="13" t="s">
        <v>123</v>
      </c>
      <c r="C14" s="17">
        <v>7560</v>
      </c>
      <c r="D14" s="17">
        <v>7704</v>
      </c>
      <c r="E14" s="17">
        <v>7704</v>
      </c>
      <c r="F14" s="17">
        <v>7704</v>
      </c>
      <c r="G14" s="17">
        <v>7704</v>
      </c>
      <c r="H14" s="17">
        <v>7704</v>
      </c>
      <c r="I14" s="17">
        <v>7704</v>
      </c>
      <c r="J14" s="17">
        <v>7848</v>
      </c>
      <c r="K14" s="17">
        <v>7848</v>
      </c>
      <c r="L14" s="17">
        <v>7848</v>
      </c>
      <c r="M14" s="17">
        <v>7848</v>
      </c>
      <c r="N14" s="17">
        <v>7848</v>
      </c>
      <c r="O14" s="18">
        <f t="shared" si="0"/>
        <v>93024</v>
      </c>
    </row>
    <row r="15" spans="1:15"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hidden="1"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127</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0</v>
      </c>
      <c r="D19" s="17">
        <v>0</v>
      </c>
      <c r="E19" s="17">
        <v>0</v>
      </c>
      <c r="F19" s="17">
        <v>0</v>
      </c>
      <c r="G19" s="17">
        <v>0</v>
      </c>
      <c r="H19" s="17">
        <v>0</v>
      </c>
      <c r="I19" s="17">
        <v>0</v>
      </c>
      <c r="J19" s="17">
        <v>0</v>
      </c>
      <c r="K19" s="17">
        <v>0</v>
      </c>
      <c r="L19" s="17">
        <v>0</v>
      </c>
      <c r="M19" s="17">
        <v>0</v>
      </c>
      <c r="N19" s="17">
        <v>0</v>
      </c>
      <c r="O19" s="18">
        <f t="shared" si="0"/>
        <v>0</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78"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79"/>
      <c r="B22" s="19" t="s">
        <v>132</v>
      </c>
      <c r="C22" s="17">
        <v>0</v>
      </c>
      <c r="D22" s="17">
        <v>0</v>
      </c>
      <c r="E22" s="17">
        <v>0</v>
      </c>
      <c r="F22" s="17">
        <v>0</v>
      </c>
      <c r="G22" s="17">
        <v>0</v>
      </c>
      <c r="H22" s="17">
        <v>0</v>
      </c>
      <c r="I22" s="17">
        <v>0</v>
      </c>
      <c r="J22" s="17">
        <v>0</v>
      </c>
      <c r="K22" s="17">
        <v>0</v>
      </c>
      <c r="L22" s="17">
        <v>0</v>
      </c>
      <c r="M22" s="17">
        <v>0</v>
      </c>
      <c r="N22" s="17">
        <v>0</v>
      </c>
      <c r="O22" s="18">
        <f t="shared" si="0"/>
        <v>0</v>
      </c>
    </row>
    <row r="23" spans="1:15" ht="15" hidden="1" customHeight="1" x14ac:dyDescent="0.2">
      <c r="A23" s="879"/>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79"/>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79"/>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79"/>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79"/>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79"/>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79"/>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79"/>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79"/>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79"/>
      <c r="B32" s="21" t="s">
        <v>142</v>
      </c>
      <c r="C32" s="17">
        <v>0</v>
      </c>
      <c r="D32" s="17">
        <v>0</v>
      </c>
      <c r="E32" s="17">
        <v>0</v>
      </c>
      <c r="F32" s="17">
        <v>0</v>
      </c>
      <c r="G32" s="17">
        <v>0</v>
      </c>
      <c r="H32" s="17">
        <v>0</v>
      </c>
      <c r="I32" s="17">
        <v>0</v>
      </c>
      <c r="J32" s="17">
        <v>0</v>
      </c>
      <c r="K32" s="17">
        <v>0</v>
      </c>
      <c r="L32" s="17">
        <v>0</v>
      </c>
      <c r="M32" s="17">
        <v>0</v>
      </c>
      <c r="N32" s="17">
        <v>0</v>
      </c>
      <c r="O32" s="18">
        <f t="shared" si="0"/>
        <v>0</v>
      </c>
    </row>
    <row r="33" spans="1:16" ht="15" hidden="1" customHeight="1" x14ac:dyDescent="0.2">
      <c r="A33" s="880"/>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865" t="s">
        <v>280</v>
      </c>
      <c r="B34" s="866"/>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865" t="s">
        <v>145</v>
      </c>
      <c r="B35" s="866"/>
      <c r="C35" s="17">
        <v>0</v>
      </c>
      <c r="D35" s="17">
        <v>432</v>
      </c>
      <c r="E35" s="17">
        <v>0</v>
      </c>
      <c r="F35" s="17">
        <v>0</v>
      </c>
      <c r="G35" s="17">
        <v>0</v>
      </c>
      <c r="H35" s="17">
        <v>0</v>
      </c>
      <c r="I35" s="17">
        <v>0</v>
      </c>
      <c r="J35" s="17">
        <v>432</v>
      </c>
      <c r="K35" s="17">
        <v>0</v>
      </c>
      <c r="L35" s="17">
        <v>0</v>
      </c>
      <c r="M35" s="17">
        <v>0</v>
      </c>
      <c r="N35" s="17">
        <v>0</v>
      </c>
      <c r="O35" s="18">
        <f t="shared" si="0"/>
        <v>864</v>
      </c>
    </row>
    <row r="36" spans="1:16" ht="15" customHeight="1" x14ac:dyDescent="0.2">
      <c r="A36" s="865" t="s">
        <v>146</v>
      </c>
      <c r="B36" s="866"/>
      <c r="C36" s="17">
        <v>0</v>
      </c>
      <c r="D36" s="17">
        <v>5922</v>
      </c>
      <c r="E36" s="17">
        <v>0</v>
      </c>
      <c r="F36" s="17">
        <v>0</v>
      </c>
      <c r="G36" s="17">
        <v>0</v>
      </c>
      <c r="H36" s="17">
        <v>0</v>
      </c>
      <c r="I36" s="17">
        <v>0</v>
      </c>
      <c r="J36" s="17">
        <v>6102</v>
      </c>
      <c r="K36" s="17">
        <v>0</v>
      </c>
      <c r="L36" s="17">
        <v>0</v>
      </c>
      <c r="M36" s="17">
        <v>0</v>
      </c>
      <c r="N36" s="17">
        <v>0</v>
      </c>
      <c r="O36" s="18">
        <f t="shared" si="0"/>
        <v>12024</v>
      </c>
    </row>
    <row r="37" spans="1:16" ht="15" customHeight="1" x14ac:dyDescent="0.2">
      <c r="A37" s="22"/>
      <c r="B37" s="23" t="s">
        <v>147</v>
      </c>
      <c r="C37" s="24">
        <f>SUM(C9:C36)</f>
        <v>111195</v>
      </c>
      <c r="D37" s="24">
        <f t="shared" ref="D37:N37" si="1">SUM(D9:D36)</f>
        <v>119667</v>
      </c>
      <c r="E37" s="24">
        <f t="shared" si="1"/>
        <v>113313</v>
      </c>
      <c r="F37" s="24">
        <f t="shared" si="1"/>
        <v>113313</v>
      </c>
      <c r="G37" s="24">
        <f t="shared" si="1"/>
        <v>116523</v>
      </c>
      <c r="H37" s="24">
        <f t="shared" si="1"/>
        <v>116523</v>
      </c>
      <c r="I37" s="24">
        <f t="shared" si="1"/>
        <v>116523</v>
      </c>
      <c r="J37" s="24">
        <f t="shared" si="1"/>
        <v>125235</v>
      </c>
      <c r="K37" s="24">
        <f t="shared" si="1"/>
        <v>125023</v>
      </c>
      <c r="L37" s="24">
        <f t="shared" si="1"/>
        <v>125023</v>
      </c>
      <c r="M37" s="24">
        <f t="shared" si="1"/>
        <v>125023</v>
      </c>
      <c r="N37" s="24">
        <f t="shared" si="1"/>
        <v>125023</v>
      </c>
      <c r="O37" s="25">
        <f>SUM(C37:N37)</f>
        <v>1432384</v>
      </c>
    </row>
    <row r="38" spans="1:16" ht="15" customHeight="1" x14ac:dyDescent="0.25">
      <c r="A38" s="853" t="s">
        <v>148</v>
      </c>
      <c r="B38" s="27" t="s">
        <v>149</v>
      </c>
      <c r="C38" s="28">
        <v>17800</v>
      </c>
      <c r="D38" s="28">
        <v>18000</v>
      </c>
      <c r="E38" s="28">
        <v>18000</v>
      </c>
      <c r="F38" s="28">
        <v>18000</v>
      </c>
      <c r="G38" s="28">
        <v>18000</v>
      </c>
      <c r="H38" s="28">
        <v>18000</v>
      </c>
      <c r="I38" s="28">
        <v>18000</v>
      </c>
      <c r="J38" s="28">
        <v>18000</v>
      </c>
      <c r="K38" s="28">
        <v>12000</v>
      </c>
      <c r="L38" s="28">
        <v>11400</v>
      </c>
      <c r="M38" s="28">
        <v>11400</v>
      </c>
      <c r="N38">
        <v>13250</v>
      </c>
      <c r="O38" s="18">
        <f>SUM(C38:N38)</f>
        <v>191850</v>
      </c>
      <c r="P38" s="29"/>
    </row>
    <row r="39" spans="1:16" ht="15" x14ac:dyDescent="0.2">
      <c r="A39" s="854"/>
      <c r="B39" s="27" t="s">
        <v>150</v>
      </c>
      <c r="C39" s="28">
        <v>0</v>
      </c>
      <c r="D39" s="28">
        <v>0</v>
      </c>
      <c r="E39" s="28">
        <v>0</v>
      </c>
      <c r="F39" s="28">
        <v>0</v>
      </c>
      <c r="G39" s="28">
        <v>0</v>
      </c>
      <c r="H39" s="28">
        <v>0</v>
      </c>
      <c r="I39" s="28">
        <v>0</v>
      </c>
      <c r="J39" s="28">
        <v>0</v>
      </c>
      <c r="K39" s="28">
        <v>0</v>
      </c>
      <c r="L39" s="28">
        <v>0</v>
      </c>
      <c r="M39" s="28">
        <v>0</v>
      </c>
      <c r="N39" s="28">
        <v>0</v>
      </c>
      <c r="O39" s="18">
        <f>SUM(C39:N39)</f>
        <v>0</v>
      </c>
    </row>
    <row r="40" spans="1:16" ht="15" x14ac:dyDescent="0.2">
      <c r="A40" s="854"/>
      <c r="B40" s="27" t="s">
        <v>151</v>
      </c>
      <c r="C40" s="28">
        <v>60</v>
      </c>
      <c r="D40" s="28">
        <v>60</v>
      </c>
      <c r="E40" s="28">
        <v>60</v>
      </c>
      <c r="F40" s="28">
        <v>60</v>
      </c>
      <c r="G40" s="28">
        <v>60</v>
      </c>
      <c r="H40" s="28">
        <v>60</v>
      </c>
      <c r="I40" s="28">
        <v>60</v>
      </c>
      <c r="J40" s="28">
        <v>60</v>
      </c>
      <c r="K40" s="28">
        <v>60</v>
      </c>
      <c r="L40" s="28">
        <v>60</v>
      </c>
      <c r="M40" s="28">
        <v>60</v>
      </c>
      <c r="N40" s="28">
        <v>60</v>
      </c>
      <c r="O40" s="18">
        <f t="shared" ref="O40:O50" si="2">SUM(C40:N40)</f>
        <v>720</v>
      </c>
    </row>
    <row r="41" spans="1:16" ht="15" x14ac:dyDescent="0.2">
      <c r="A41" s="854"/>
      <c r="B41" s="27" t="s">
        <v>152</v>
      </c>
      <c r="C41" s="28">
        <v>0</v>
      </c>
      <c r="D41" s="28">
        <v>0</v>
      </c>
      <c r="E41" s="28">
        <v>0</v>
      </c>
      <c r="F41" s="28">
        <v>0</v>
      </c>
      <c r="G41" s="28">
        <v>0</v>
      </c>
      <c r="H41" s="28">
        <v>0</v>
      </c>
      <c r="I41" s="28">
        <v>0</v>
      </c>
      <c r="J41" s="28">
        <v>0</v>
      </c>
      <c r="K41" s="28">
        <v>0</v>
      </c>
      <c r="L41" s="28">
        <v>0</v>
      </c>
      <c r="M41" s="28">
        <v>0</v>
      </c>
      <c r="N41" s="28">
        <v>0</v>
      </c>
      <c r="O41" s="18">
        <f t="shared" si="2"/>
        <v>0</v>
      </c>
    </row>
    <row r="42" spans="1:16" ht="15" x14ac:dyDescent="0.2">
      <c r="A42" s="854"/>
      <c r="B42" s="27" t="s">
        <v>153</v>
      </c>
      <c r="C42" s="28">
        <v>650</v>
      </c>
      <c r="D42" s="28">
        <v>650</v>
      </c>
      <c r="E42" s="28">
        <v>650</v>
      </c>
      <c r="F42" s="28">
        <v>650</v>
      </c>
      <c r="G42" s="28">
        <v>650</v>
      </c>
      <c r="H42" s="28">
        <v>650</v>
      </c>
      <c r="I42" s="28">
        <v>650</v>
      </c>
      <c r="J42" s="28">
        <v>650</v>
      </c>
      <c r="K42" s="28">
        <v>650</v>
      </c>
      <c r="L42" s="28">
        <v>650</v>
      </c>
      <c r="M42" s="28">
        <v>650</v>
      </c>
      <c r="N42" s="28">
        <v>650</v>
      </c>
      <c r="O42" s="18">
        <f t="shared" si="2"/>
        <v>7800</v>
      </c>
    </row>
    <row r="43" spans="1:16" ht="15" x14ac:dyDescent="0.2">
      <c r="A43" s="854"/>
      <c r="B43" s="27" t="s">
        <v>154</v>
      </c>
      <c r="C43" s="28">
        <v>20000</v>
      </c>
      <c r="D43" s="28">
        <v>20000</v>
      </c>
      <c r="E43" s="28">
        <v>20000</v>
      </c>
      <c r="F43" s="28">
        <v>20000</v>
      </c>
      <c r="G43" s="28">
        <v>20000</v>
      </c>
      <c r="H43" s="28">
        <v>20000</v>
      </c>
      <c r="I43" s="28">
        <v>20000</v>
      </c>
      <c r="J43" s="28">
        <v>20000</v>
      </c>
      <c r="K43" s="28">
        <v>20000</v>
      </c>
      <c r="L43" s="28">
        <v>20000</v>
      </c>
      <c r="M43" s="28">
        <v>20000</v>
      </c>
      <c r="N43" s="28">
        <v>20000</v>
      </c>
      <c r="O43" s="18">
        <f t="shared" si="2"/>
        <v>240000</v>
      </c>
    </row>
    <row r="44" spans="1:16" ht="15" x14ac:dyDescent="0.2">
      <c r="A44" s="854"/>
      <c r="B44" s="27" t="s">
        <v>155</v>
      </c>
      <c r="C44" s="28">
        <v>200</v>
      </c>
      <c r="D44" s="28">
        <v>200</v>
      </c>
      <c r="E44" s="28">
        <v>200</v>
      </c>
      <c r="F44" s="28">
        <v>200</v>
      </c>
      <c r="G44" s="28">
        <v>200</v>
      </c>
      <c r="H44" s="28">
        <v>200</v>
      </c>
      <c r="I44" s="28">
        <v>200</v>
      </c>
      <c r="J44" s="28">
        <v>200</v>
      </c>
      <c r="K44" s="28">
        <v>200</v>
      </c>
      <c r="L44" s="28">
        <v>200</v>
      </c>
      <c r="M44" s="28">
        <v>200</v>
      </c>
      <c r="N44" s="28">
        <v>300</v>
      </c>
      <c r="O44" s="18">
        <f t="shared" si="2"/>
        <v>2500</v>
      </c>
    </row>
    <row r="45" spans="1:16" ht="15" x14ac:dyDescent="0.2">
      <c r="A45" s="854"/>
      <c r="B45" s="27" t="s">
        <v>293</v>
      </c>
      <c r="C45" s="28">
        <v>640</v>
      </c>
      <c r="D45" s="28">
        <v>640</v>
      </c>
      <c r="E45" s="28">
        <v>640</v>
      </c>
      <c r="F45" s="28">
        <v>640</v>
      </c>
      <c r="G45" s="28">
        <v>640</v>
      </c>
      <c r="H45" s="28">
        <v>640</v>
      </c>
      <c r="I45" s="28">
        <v>640</v>
      </c>
      <c r="J45" s="28">
        <v>640</v>
      </c>
      <c r="K45" s="28">
        <v>640</v>
      </c>
      <c r="L45" s="28">
        <v>640</v>
      </c>
      <c r="M45" s="28">
        <v>640</v>
      </c>
      <c r="N45" s="28">
        <v>640</v>
      </c>
      <c r="O45" s="18">
        <f t="shared" si="2"/>
        <v>7680</v>
      </c>
    </row>
    <row r="46" spans="1:16" ht="15" x14ac:dyDescent="0.2">
      <c r="A46" s="854"/>
      <c r="B46" s="27" t="s">
        <v>157</v>
      </c>
      <c r="C46" s="28">
        <v>0</v>
      </c>
      <c r="D46" s="28">
        <v>0</v>
      </c>
      <c r="E46" s="28">
        <v>0</v>
      </c>
      <c r="F46" s="28">
        <v>0</v>
      </c>
      <c r="G46" s="28">
        <v>0</v>
      </c>
      <c r="H46" s="28">
        <v>0</v>
      </c>
      <c r="I46" s="28">
        <v>0</v>
      </c>
      <c r="J46" s="28">
        <v>0</v>
      </c>
      <c r="K46" s="28">
        <v>0</v>
      </c>
      <c r="L46" s="28">
        <v>0</v>
      </c>
      <c r="M46" s="28">
        <v>0</v>
      </c>
      <c r="N46" s="28">
        <v>0</v>
      </c>
      <c r="O46" s="18">
        <f t="shared" si="2"/>
        <v>0</v>
      </c>
    </row>
    <row r="47" spans="1:16" ht="28.5" customHeight="1" x14ac:dyDescent="0.2">
      <c r="A47" s="855"/>
      <c r="B47" s="30" t="s">
        <v>158</v>
      </c>
      <c r="C47" s="28">
        <v>0</v>
      </c>
      <c r="D47" s="28">
        <v>0</v>
      </c>
      <c r="E47" s="28">
        <v>0</v>
      </c>
      <c r="F47" s="28">
        <v>0</v>
      </c>
      <c r="G47" s="28">
        <v>0</v>
      </c>
      <c r="H47" s="28">
        <v>0</v>
      </c>
      <c r="I47" s="28">
        <v>0</v>
      </c>
      <c r="J47" s="28">
        <v>0</v>
      </c>
      <c r="K47" s="28">
        <v>0</v>
      </c>
      <c r="L47" s="28">
        <v>0</v>
      </c>
      <c r="M47" s="28">
        <v>0</v>
      </c>
      <c r="N47" s="28">
        <v>0</v>
      </c>
      <c r="O47" s="31">
        <f t="shared" si="2"/>
        <v>0</v>
      </c>
    </row>
    <row r="48" spans="1:16" ht="15" customHeight="1" x14ac:dyDescent="0.2">
      <c r="A48" s="855"/>
      <c r="B48" s="395" t="s">
        <v>445</v>
      </c>
      <c r="C48" s="28">
        <v>0</v>
      </c>
      <c r="D48" s="28">
        <v>0</v>
      </c>
      <c r="E48" s="28">
        <v>0</v>
      </c>
      <c r="F48" s="28">
        <v>0</v>
      </c>
      <c r="G48" s="28">
        <v>0</v>
      </c>
      <c r="H48" s="28">
        <v>0</v>
      </c>
      <c r="I48" s="28">
        <v>0</v>
      </c>
      <c r="J48" s="28">
        <v>0</v>
      </c>
      <c r="K48" s="28">
        <v>0</v>
      </c>
      <c r="L48" s="28">
        <v>0</v>
      </c>
      <c r="M48" s="28">
        <v>0</v>
      </c>
      <c r="N48" s="28">
        <v>0</v>
      </c>
      <c r="O48" s="31">
        <f t="shared" si="2"/>
        <v>0</v>
      </c>
    </row>
    <row r="49" spans="1:17" ht="15" x14ac:dyDescent="0.2">
      <c r="A49" s="856"/>
      <c r="B49" s="127" t="s">
        <v>406</v>
      </c>
      <c r="C49" s="33">
        <f>SUM(C38:C48)</f>
        <v>39350</v>
      </c>
      <c r="D49" s="33">
        <f t="shared" ref="D49:N49" si="3">SUM(D38:D48)</f>
        <v>39550</v>
      </c>
      <c r="E49" s="33">
        <f t="shared" si="3"/>
        <v>39550</v>
      </c>
      <c r="F49" s="33">
        <f t="shared" si="3"/>
        <v>39550</v>
      </c>
      <c r="G49" s="33">
        <f t="shared" si="3"/>
        <v>39550</v>
      </c>
      <c r="H49" s="33">
        <f t="shared" si="3"/>
        <v>39550</v>
      </c>
      <c r="I49" s="33">
        <f t="shared" si="3"/>
        <v>39550</v>
      </c>
      <c r="J49" s="33">
        <f t="shared" si="3"/>
        <v>39550</v>
      </c>
      <c r="K49" s="33">
        <f t="shared" si="3"/>
        <v>33550</v>
      </c>
      <c r="L49" s="33">
        <f t="shared" si="3"/>
        <v>32950</v>
      </c>
      <c r="M49" s="33">
        <f t="shared" si="3"/>
        <v>32950</v>
      </c>
      <c r="N49" s="33">
        <f t="shared" si="3"/>
        <v>34900</v>
      </c>
      <c r="O49" s="34">
        <f t="shared" si="2"/>
        <v>450550</v>
      </c>
    </row>
    <row r="50" spans="1:17" ht="15.75" thickBot="1" x14ac:dyDescent="0.25">
      <c r="A50" s="857" t="s">
        <v>160</v>
      </c>
      <c r="B50" s="858"/>
      <c r="C50" s="35">
        <f>C37-C49</f>
        <v>71845</v>
      </c>
      <c r="D50" s="35">
        <f t="shared" ref="D50:N50" si="4">D37-D49</f>
        <v>80117</v>
      </c>
      <c r="E50" s="35">
        <f t="shared" si="4"/>
        <v>73763</v>
      </c>
      <c r="F50" s="35">
        <f t="shared" si="4"/>
        <v>73763</v>
      </c>
      <c r="G50" s="35">
        <f t="shared" si="4"/>
        <v>76973</v>
      </c>
      <c r="H50" s="35">
        <f t="shared" si="4"/>
        <v>76973</v>
      </c>
      <c r="I50" s="35">
        <f t="shared" si="4"/>
        <v>76973</v>
      </c>
      <c r="J50" s="35">
        <f t="shared" si="4"/>
        <v>85685</v>
      </c>
      <c r="K50" s="35">
        <f t="shared" si="4"/>
        <v>91473</v>
      </c>
      <c r="L50" s="35">
        <f t="shared" si="4"/>
        <v>92073</v>
      </c>
      <c r="M50" s="35">
        <f t="shared" si="4"/>
        <v>92073</v>
      </c>
      <c r="N50" s="35">
        <f t="shared" si="4"/>
        <v>90123</v>
      </c>
      <c r="O50" s="36">
        <f t="shared" si="2"/>
        <v>981834</v>
      </c>
    </row>
    <row r="51" spans="1:17" ht="15.75" thickBot="1" x14ac:dyDescent="0.25">
      <c r="A51" s="859" t="s">
        <v>161</v>
      </c>
      <c r="B51" s="860"/>
      <c r="C51" s="35">
        <f>C37-C50</f>
        <v>39350</v>
      </c>
      <c r="D51" s="35">
        <f t="shared" ref="D51:N51" si="5">D37-D50</f>
        <v>39550</v>
      </c>
      <c r="E51" s="35">
        <f t="shared" si="5"/>
        <v>39550</v>
      </c>
      <c r="F51" s="35">
        <f t="shared" si="5"/>
        <v>39550</v>
      </c>
      <c r="G51" s="35">
        <f t="shared" si="5"/>
        <v>39550</v>
      </c>
      <c r="H51" s="35">
        <f t="shared" si="5"/>
        <v>39550</v>
      </c>
      <c r="I51" s="35">
        <f t="shared" si="5"/>
        <v>39550</v>
      </c>
      <c r="J51" s="35">
        <f t="shared" si="5"/>
        <v>39550</v>
      </c>
      <c r="K51" s="35">
        <f t="shared" si="5"/>
        <v>33550</v>
      </c>
      <c r="L51" s="35">
        <f t="shared" si="5"/>
        <v>32950</v>
      </c>
      <c r="M51" s="35">
        <f t="shared" si="5"/>
        <v>32950</v>
      </c>
      <c r="N51" s="35">
        <f t="shared" si="5"/>
        <v>34900</v>
      </c>
      <c r="O51" s="36">
        <f>SUM(C51:N51)</f>
        <v>450550</v>
      </c>
      <c r="Q51" s="16">
        <f>48522+40722+11864+43578+33698+35840+34340*2+11430+36850*2+36450+37650+37364</f>
        <v>479498</v>
      </c>
    </row>
    <row r="52" spans="1:17" x14ac:dyDescent="0.2">
      <c r="J52" s="300">
        <f>+J37-SUM(J22:J36)</f>
        <v>118701</v>
      </c>
      <c r="Q52" s="38"/>
    </row>
    <row r="53" spans="1:17" ht="13.5" thickBot="1" x14ac:dyDescent="0.25">
      <c r="J53" s="38">
        <f>+J52-J50</f>
        <v>33016</v>
      </c>
    </row>
    <row r="54" spans="1:17" ht="13.5" thickBot="1" x14ac:dyDescent="0.25">
      <c r="B54" s="789" t="s">
        <v>162</v>
      </c>
      <c r="C54" s="861"/>
      <c r="D54" s="861"/>
      <c r="E54" s="861"/>
      <c r="F54" s="862"/>
      <c r="G54" s="863">
        <f>O37</f>
        <v>1432384</v>
      </c>
      <c r="H54" s="864"/>
    </row>
    <row r="55" spans="1:17" ht="13.5" thickBot="1" x14ac:dyDescent="0.25"/>
    <row r="56" spans="1:17" x14ac:dyDescent="0.2">
      <c r="B56" s="830" t="s">
        <v>163</v>
      </c>
      <c r="C56" s="833" t="s">
        <v>164</v>
      </c>
      <c r="D56" s="836" t="s">
        <v>229</v>
      </c>
      <c r="E56" s="837"/>
      <c r="F56" s="838"/>
      <c r="G56" s="839">
        <v>40000</v>
      </c>
      <c r="H56" s="840"/>
    </row>
    <row r="57" spans="1:17" x14ac:dyDescent="0.2">
      <c r="B57" s="831"/>
      <c r="C57" s="834"/>
      <c r="D57" s="841" t="s">
        <v>166</v>
      </c>
      <c r="E57" s="842"/>
      <c r="F57" s="843"/>
      <c r="G57" s="844">
        <f>+O44</f>
        <v>2500</v>
      </c>
      <c r="H57" s="845"/>
      <c r="I57" s="39"/>
      <c r="J57" s="45"/>
      <c r="K57" s="45"/>
      <c r="L57" s="45"/>
      <c r="M57" s="45"/>
      <c r="N57" s="45"/>
      <c r="O57" s="45"/>
    </row>
    <row r="58" spans="1:17" ht="13.5" thickBot="1" x14ac:dyDescent="0.25">
      <c r="B58" s="832"/>
      <c r="C58" s="835"/>
      <c r="D58" s="848" t="s">
        <v>129</v>
      </c>
      <c r="E58" s="849"/>
      <c r="F58" s="850"/>
      <c r="G58" s="851">
        <v>0</v>
      </c>
      <c r="H58" s="852"/>
      <c r="J58" s="47"/>
      <c r="K58" s="47"/>
      <c r="L58" s="47"/>
      <c r="M58" s="47"/>
      <c r="N58" s="47"/>
      <c r="O58" s="47"/>
    </row>
    <row r="59" spans="1:17" ht="13.5" thickBot="1" x14ac:dyDescent="0.25">
      <c r="B59" s="48"/>
      <c r="J59" s="47"/>
      <c r="K59" s="47"/>
      <c r="L59" s="47"/>
      <c r="M59" s="47"/>
      <c r="N59" s="47"/>
      <c r="O59" s="47"/>
    </row>
    <row r="60" spans="1:17" ht="13.5" thickBot="1" x14ac:dyDescent="0.25">
      <c r="B60" s="789" t="s">
        <v>168</v>
      </c>
      <c r="C60" s="790"/>
      <c r="D60" s="790"/>
      <c r="E60" s="790"/>
      <c r="F60" s="791"/>
      <c r="G60" s="825">
        <f>+G54-SUM(G56:H58)</f>
        <v>1389884</v>
      </c>
      <c r="H60" s="826"/>
      <c r="J60" s="827" t="s">
        <v>169</v>
      </c>
      <c r="K60" s="828"/>
      <c r="L60" s="828"/>
      <c r="M60" s="828"/>
      <c r="N60" s="828"/>
      <c r="O60" s="829"/>
    </row>
    <row r="61" spans="1:17" ht="13.5" thickBot="1" x14ac:dyDescent="0.25">
      <c r="B61" s="49"/>
      <c r="C61" s="50"/>
      <c r="D61" s="50"/>
      <c r="E61" s="50"/>
      <c r="F61" s="50"/>
      <c r="G61" s="45"/>
      <c r="H61" s="50"/>
      <c r="J61" s="129"/>
      <c r="K61" s="130"/>
      <c r="L61" s="130"/>
      <c r="M61" s="130"/>
      <c r="N61" s="130"/>
      <c r="O61" s="131"/>
    </row>
    <row r="62" spans="1:17" ht="13.5" thickBot="1" x14ac:dyDescent="0.25">
      <c r="B62" s="789" t="s">
        <v>170</v>
      </c>
      <c r="C62" s="790"/>
      <c r="D62" s="790"/>
      <c r="E62" s="790"/>
      <c r="F62" s="791"/>
      <c r="G62" s="805"/>
      <c r="H62" s="791"/>
      <c r="J62" s="129"/>
      <c r="K62" s="130"/>
      <c r="L62" s="130"/>
      <c r="M62" s="130"/>
      <c r="N62" s="130"/>
      <c r="O62" s="131"/>
    </row>
    <row r="63" spans="1:17" ht="12.75" customHeight="1" x14ac:dyDescent="0.2">
      <c r="B63" s="57" t="s">
        <v>171</v>
      </c>
      <c r="C63" s="806" t="s">
        <v>172</v>
      </c>
      <c r="D63" s="807"/>
      <c r="E63" s="807"/>
      <c r="F63" s="808"/>
      <c r="G63" s="1120">
        <v>0</v>
      </c>
      <c r="H63" s="1120"/>
      <c r="I63" s="58"/>
      <c r="J63" s="810" t="s">
        <v>173</v>
      </c>
      <c r="K63" s="811"/>
      <c r="L63" s="811"/>
      <c r="M63" s="811"/>
      <c r="N63" s="811"/>
      <c r="O63" s="812"/>
    </row>
    <row r="64" spans="1:17" ht="13.5" thickBot="1" x14ac:dyDescent="0.25">
      <c r="D64" s="37"/>
      <c r="I64" s="58"/>
      <c r="J64" s="60" t="s">
        <v>254</v>
      </c>
      <c r="K64" s="132"/>
      <c r="L64" s="132"/>
      <c r="M64" s="133"/>
      <c r="N64" s="133"/>
      <c r="O64" s="134"/>
    </row>
    <row r="65" spans="2:15" ht="13.5" thickBot="1" x14ac:dyDescent="0.25">
      <c r="B65" s="789" t="s">
        <v>175</v>
      </c>
      <c r="C65" s="790"/>
      <c r="D65" s="790"/>
      <c r="E65" s="790"/>
      <c r="F65" s="791"/>
      <c r="G65" s="805">
        <f>+G60-G63</f>
        <v>1389884</v>
      </c>
      <c r="H65" s="790"/>
      <c r="I65" s="63"/>
      <c r="J65" s="75"/>
      <c r="K65" s="39"/>
      <c r="L65" s="39"/>
      <c r="M65" s="39"/>
      <c r="N65" s="39"/>
      <c r="O65" s="65"/>
    </row>
    <row r="66" spans="2:15" ht="12.75" customHeight="1" x14ac:dyDescent="0.2">
      <c r="B66" s="48"/>
      <c r="C66" s="48"/>
      <c r="I66" s="63"/>
      <c r="J66" s="64"/>
      <c r="K66" s="39"/>
      <c r="L66" s="39"/>
      <c r="M66" s="39"/>
      <c r="N66" s="39"/>
      <c r="O66" s="65"/>
    </row>
    <row r="67" spans="2:15" ht="13.5" thickBot="1" x14ac:dyDescent="0.25">
      <c r="B67" s="66" t="s">
        <v>176</v>
      </c>
      <c r="C67" s="48"/>
      <c r="I67" s="63"/>
      <c r="J67" s="67"/>
      <c r="K67" s="68"/>
      <c r="L67" s="68"/>
      <c r="M67" s="68"/>
      <c r="N67" s="68"/>
      <c r="O67" s="69"/>
    </row>
    <row r="68" spans="2:15" ht="26.25" customHeight="1" thickBot="1" x14ac:dyDescent="0.25">
      <c r="B68" s="66"/>
      <c r="C68" s="48"/>
      <c r="G68" s="396" t="s">
        <v>177</v>
      </c>
      <c r="H68" s="397" t="s">
        <v>178</v>
      </c>
      <c r="I68" s="63"/>
      <c r="J68" s="810" t="s">
        <v>179</v>
      </c>
      <c r="K68" s="811"/>
      <c r="L68" s="71"/>
      <c r="M68" s="71"/>
      <c r="N68" s="71"/>
      <c r="O68" s="72"/>
    </row>
    <row r="69" spans="2:15" ht="12.75" customHeight="1" x14ac:dyDescent="0.2">
      <c r="B69" s="802" t="s">
        <v>180</v>
      </c>
      <c r="C69" s="1117" t="s">
        <v>181</v>
      </c>
      <c r="D69" s="823" t="s">
        <v>182</v>
      </c>
      <c r="E69" s="824"/>
      <c r="F69" s="824"/>
      <c r="G69" s="73">
        <f>+O43</f>
        <v>240000</v>
      </c>
      <c r="H69" s="74">
        <f t="shared" ref="H69:H77" si="6">+G69</f>
        <v>240000</v>
      </c>
      <c r="I69" s="63"/>
      <c r="J69" s="75" t="s">
        <v>1141</v>
      </c>
      <c r="K69" s="58"/>
      <c r="L69" s="58"/>
      <c r="M69" s="135" t="s">
        <v>232</v>
      </c>
      <c r="N69" s="135" t="s">
        <v>233</v>
      </c>
      <c r="O69" s="76">
        <v>0</v>
      </c>
    </row>
    <row r="70" spans="2:15" ht="12.75" customHeight="1" x14ac:dyDescent="0.2">
      <c r="B70" s="803"/>
      <c r="C70" s="1118"/>
      <c r="D70" s="782" t="s">
        <v>184</v>
      </c>
      <c r="E70" s="783"/>
      <c r="F70" s="783"/>
      <c r="G70" s="77">
        <v>0</v>
      </c>
      <c r="H70" s="78">
        <f t="shared" si="6"/>
        <v>0</v>
      </c>
      <c r="I70" s="63"/>
      <c r="J70" s="181"/>
      <c r="K70" s="135"/>
      <c r="L70" s="135"/>
      <c r="M70" s="135"/>
      <c r="N70" s="135"/>
      <c r="O70" s="136"/>
    </row>
    <row r="71" spans="2:15" ht="12.75" customHeight="1" x14ac:dyDescent="0.2">
      <c r="B71" s="803"/>
      <c r="C71" s="1118"/>
      <c r="D71" s="819" t="s">
        <v>185</v>
      </c>
      <c r="E71" s="820"/>
      <c r="F71" s="820"/>
      <c r="G71" s="80">
        <f>O40</f>
        <v>720</v>
      </c>
      <c r="H71" s="78">
        <f t="shared" si="6"/>
        <v>720</v>
      </c>
      <c r="I71" s="63"/>
      <c r="J71" s="181"/>
      <c r="K71" s="135"/>
      <c r="L71" s="135"/>
      <c r="M71" s="135"/>
      <c r="N71" s="135"/>
      <c r="O71" s="136"/>
    </row>
    <row r="72" spans="2:15" x14ac:dyDescent="0.2">
      <c r="B72" s="803"/>
      <c r="C72" s="1118"/>
      <c r="D72" s="782" t="s">
        <v>186</v>
      </c>
      <c r="E72" s="783"/>
      <c r="F72" s="783"/>
      <c r="G72" s="81">
        <v>0</v>
      </c>
      <c r="H72" s="78">
        <f t="shared" si="6"/>
        <v>0</v>
      </c>
      <c r="I72" s="63"/>
      <c r="J72" s="181"/>
      <c r="K72" s="135"/>
      <c r="L72" s="135"/>
      <c r="M72" s="135"/>
      <c r="N72" s="135"/>
      <c r="O72" s="136"/>
    </row>
    <row r="73" spans="2:15" ht="12.75" customHeight="1" x14ac:dyDescent="0.2">
      <c r="B73" s="803"/>
      <c r="C73" s="1118"/>
      <c r="D73" s="784" t="s">
        <v>188</v>
      </c>
      <c r="E73" s="783"/>
      <c r="F73" s="783"/>
      <c r="G73" s="80">
        <v>0</v>
      </c>
      <c r="H73" s="78">
        <f t="shared" si="6"/>
        <v>0</v>
      </c>
      <c r="I73" s="63"/>
      <c r="J73" s="75"/>
      <c r="K73" s="235"/>
      <c r="L73" s="235"/>
      <c r="M73" s="135"/>
      <c r="N73" s="135"/>
      <c r="O73" s="398"/>
    </row>
    <row r="74" spans="2:15" ht="14.25" customHeight="1" x14ac:dyDescent="0.2">
      <c r="B74" s="803"/>
      <c r="C74" s="1118"/>
      <c r="D74" s="782" t="s">
        <v>190</v>
      </c>
      <c r="E74" s="783"/>
      <c r="F74" s="783"/>
      <c r="G74" s="84">
        <v>0</v>
      </c>
      <c r="H74" s="78">
        <f t="shared" si="6"/>
        <v>0</v>
      </c>
      <c r="I74" s="63"/>
      <c r="J74" s="64"/>
      <c r="K74" s="39"/>
      <c r="L74" s="39"/>
      <c r="M74" s="39"/>
      <c r="N74" s="39"/>
      <c r="O74" s="65"/>
    </row>
    <row r="75" spans="2:15" x14ac:dyDescent="0.2">
      <c r="B75" s="803"/>
      <c r="C75" s="1119"/>
      <c r="D75" s="782" t="s">
        <v>191</v>
      </c>
      <c r="E75" s="783"/>
      <c r="F75" s="783"/>
      <c r="G75" s="81">
        <v>0</v>
      </c>
      <c r="H75" s="78">
        <f t="shared" si="6"/>
        <v>0</v>
      </c>
      <c r="I75" s="58"/>
      <c r="J75" s="82" t="s">
        <v>187</v>
      </c>
      <c r="K75" s="237"/>
      <c r="L75" s="237"/>
      <c r="M75" s="237"/>
      <c r="N75" s="237"/>
      <c r="O75" s="238"/>
    </row>
    <row r="76" spans="2:15" x14ac:dyDescent="0.2">
      <c r="B76" s="803"/>
      <c r="C76" s="352" t="s">
        <v>192</v>
      </c>
      <c r="D76" s="813" t="s">
        <v>193</v>
      </c>
      <c r="E76" s="814"/>
      <c r="F76" s="814"/>
      <c r="G76" s="80">
        <v>0</v>
      </c>
      <c r="H76" s="78">
        <f t="shared" si="6"/>
        <v>0</v>
      </c>
      <c r="I76" s="58"/>
      <c r="J76" s="75" t="s">
        <v>189</v>
      </c>
      <c r="K76" s="39"/>
      <c r="L76" s="39"/>
      <c r="M76" s="39"/>
      <c r="N76" s="39"/>
      <c r="O76" s="65">
        <v>7800</v>
      </c>
    </row>
    <row r="77" spans="2:15" ht="13.5" thickBot="1" x14ac:dyDescent="0.25">
      <c r="B77" s="803"/>
      <c r="C77" s="352" t="s">
        <v>194</v>
      </c>
      <c r="D77" s="815" t="s">
        <v>195</v>
      </c>
      <c r="E77" s="815"/>
      <c r="F77" s="815"/>
      <c r="G77" s="89">
        <v>0</v>
      </c>
      <c r="H77" s="90">
        <f t="shared" si="6"/>
        <v>0</v>
      </c>
      <c r="I77" s="63"/>
      <c r="J77" s="67"/>
      <c r="K77" s="68"/>
      <c r="L77" s="68"/>
      <c r="M77" s="91"/>
      <c r="N77" s="91"/>
      <c r="O77" s="92"/>
    </row>
    <row r="78" spans="2:15" ht="13.5" thickBot="1" x14ac:dyDescent="0.25">
      <c r="B78" s="803"/>
      <c r="C78" s="93"/>
      <c r="D78" s="94"/>
      <c r="E78" s="816" t="s">
        <v>117</v>
      </c>
      <c r="F78" s="816"/>
      <c r="G78" s="399">
        <f>SUM(G69:G77)</f>
        <v>240720</v>
      </c>
      <c r="H78" s="400">
        <f>IF(SUM(G69:G75)&lt;150000,SUM(G69:G75),150000)+IF(+G76&lt;20000,+G76,20000)</f>
        <v>150000</v>
      </c>
      <c r="I78" s="63"/>
      <c r="J78" s="401" t="s">
        <v>200</v>
      </c>
      <c r="K78" s="68"/>
      <c r="L78" s="68"/>
      <c r="M78" s="91"/>
      <c r="N78" s="91"/>
      <c r="O78" s="92"/>
    </row>
    <row r="79" spans="2:15" ht="12.75" customHeight="1" x14ac:dyDescent="0.2">
      <c r="B79" s="803"/>
      <c r="C79" s="100" t="s">
        <v>196</v>
      </c>
      <c r="D79" s="782" t="s">
        <v>187</v>
      </c>
      <c r="E79" s="783"/>
      <c r="F79" s="783"/>
      <c r="G79" s="80">
        <v>0</v>
      </c>
      <c r="H79" s="402">
        <f>+IF(+G79&lt;25000,+G79,25000)</f>
        <v>0</v>
      </c>
      <c r="I79" s="63"/>
      <c r="J79" s="137" t="s">
        <v>1142</v>
      </c>
      <c r="K79" s="68"/>
      <c r="L79" s="68"/>
      <c r="M79" s="91"/>
      <c r="N79" s="91"/>
      <c r="O79" s="92"/>
    </row>
    <row r="80" spans="2:15" ht="13.5" thickBot="1" x14ac:dyDescent="0.25">
      <c r="B80" s="803"/>
      <c r="C80" s="100" t="s">
        <v>197</v>
      </c>
      <c r="D80" s="784" t="s">
        <v>198</v>
      </c>
      <c r="E80" s="785"/>
      <c r="F80" s="785"/>
      <c r="G80" s="80">
        <v>0</v>
      </c>
      <c r="H80" s="403">
        <f>+IF(+G80&lt;40000,+G80,40000)</f>
        <v>0</v>
      </c>
      <c r="I80" s="63"/>
      <c r="J80" s="288" t="s">
        <v>1143</v>
      </c>
      <c r="K80" s="141"/>
      <c r="L80" s="141"/>
      <c r="M80" s="142"/>
      <c r="N80" s="142"/>
      <c r="O80" s="143"/>
    </row>
    <row r="81" spans="2:11" x14ac:dyDescent="0.2">
      <c r="B81" s="803"/>
      <c r="C81" s="100" t="s">
        <v>199</v>
      </c>
      <c r="D81" s="784" t="s">
        <v>200</v>
      </c>
      <c r="E81" s="785"/>
      <c r="F81" s="785"/>
      <c r="G81" s="80">
        <v>0</v>
      </c>
      <c r="H81" s="104">
        <f>+G81</f>
        <v>0</v>
      </c>
      <c r="I81" s="63"/>
    </row>
    <row r="82" spans="2:11" x14ac:dyDescent="0.2">
      <c r="B82" s="803"/>
      <c r="C82" s="100" t="s">
        <v>201</v>
      </c>
      <c r="D82" s="784" t="s">
        <v>202</v>
      </c>
      <c r="E82" s="785"/>
      <c r="F82" s="785"/>
      <c r="G82" s="80">
        <v>0</v>
      </c>
      <c r="H82" s="104">
        <v>0</v>
      </c>
      <c r="I82" s="63"/>
    </row>
    <row r="83" spans="2:11" ht="13.5" thickBot="1" x14ac:dyDescent="0.25">
      <c r="B83" s="803"/>
      <c r="C83" s="404" t="s">
        <v>203</v>
      </c>
      <c r="D83" s="813" t="s">
        <v>204</v>
      </c>
      <c r="E83" s="1116"/>
      <c r="F83" s="1116"/>
      <c r="G83" s="405">
        <v>0</v>
      </c>
      <c r="H83" s="403">
        <f>+IF(+G83&lt;100000,+G83,10000)</f>
        <v>0</v>
      </c>
      <c r="I83" s="63"/>
      <c r="J83" s="106" t="s">
        <v>525</v>
      </c>
    </row>
    <row r="84" spans="2:11" ht="13.5" thickBot="1" x14ac:dyDescent="0.25">
      <c r="B84" s="805" t="s">
        <v>205</v>
      </c>
      <c r="C84" s="790"/>
      <c r="D84" s="790"/>
      <c r="E84" s="790"/>
      <c r="F84" s="790"/>
      <c r="G84" s="406">
        <f>SUM(G79:G83)</f>
        <v>0</v>
      </c>
      <c r="H84" s="407">
        <f>SUM(H78:H83)</f>
        <v>150000</v>
      </c>
    </row>
    <row r="85" spans="2:11" ht="13.5" thickBot="1" x14ac:dyDescent="0.25"/>
    <row r="86" spans="2:11" ht="13.5" thickBot="1" x14ac:dyDescent="0.25">
      <c r="B86" s="789" t="s">
        <v>206</v>
      </c>
      <c r="C86" s="790"/>
      <c r="D86" s="790"/>
      <c r="E86" s="790"/>
      <c r="F86" s="791"/>
      <c r="G86" s="792">
        <f>+G65-H84</f>
        <v>1239884</v>
      </c>
      <c r="H86" s="791"/>
      <c r="J86" s="109">
        <f>C37+D37+E37+F37</f>
        <v>457488</v>
      </c>
      <c r="K86" s="16" t="s">
        <v>235</v>
      </c>
    </row>
    <row r="87" spans="2:11" x14ac:dyDescent="0.2">
      <c r="B87" s="110"/>
      <c r="F87" s="105"/>
      <c r="J87" s="109">
        <f>G37+H37+I37</f>
        <v>349569</v>
      </c>
      <c r="K87" s="16" t="s">
        <v>236</v>
      </c>
    </row>
    <row r="88" spans="2:11" x14ac:dyDescent="0.2">
      <c r="C88" s="793" t="s">
        <v>207</v>
      </c>
      <c r="D88" s="794"/>
      <c r="E88" s="111" t="s">
        <v>208</v>
      </c>
      <c r="F88" s="111" t="s">
        <v>209</v>
      </c>
      <c r="G88" s="111" t="s">
        <v>210</v>
      </c>
      <c r="H88" s="111" t="s">
        <v>211</v>
      </c>
      <c r="J88" s="109">
        <f>J37+K37+L37</f>
        <v>375281</v>
      </c>
      <c r="K88" s="47" t="s">
        <v>237</v>
      </c>
    </row>
    <row r="89" spans="2:11" x14ac:dyDescent="0.2">
      <c r="C89" s="795" t="str">
        <f>IF(I6="M","0          - 250000","0          -  250000")</f>
        <v>0          - 250000</v>
      </c>
      <c r="D89" s="796"/>
      <c r="E89" s="112">
        <v>0</v>
      </c>
      <c r="F89" s="113">
        <f>IF(I6="M",(IF(G86&lt;250000,G86,250000)),(IF(G86&lt;250000,G86,250000)))</f>
        <v>250000</v>
      </c>
      <c r="G89" s="113">
        <f>G86-F89</f>
        <v>989884</v>
      </c>
      <c r="H89" s="113">
        <f>E89*F89</f>
        <v>0</v>
      </c>
      <c r="J89" s="16">
        <f>M37+N37</f>
        <v>250046</v>
      </c>
      <c r="K89" s="1" t="s">
        <v>238</v>
      </c>
    </row>
    <row r="90" spans="2:11" x14ac:dyDescent="0.2">
      <c r="C90" s="795" t="str">
        <f>IF(I6="M","250001 - 500000","250001-500000")</f>
        <v>250001 - 500000</v>
      </c>
      <c r="D90" s="796"/>
      <c r="E90" s="112">
        <v>0.05</v>
      </c>
      <c r="F90" s="113">
        <f>IF(I6="M",(IF(G89&lt;250000,G89,250000)),(IF(G89&lt;250000,G89,250000)))</f>
        <v>250000</v>
      </c>
      <c r="G90" s="113">
        <f>G89-F90</f>
        <v>739884</v>
      </c>
      <c r="H90" s="114">
        <f>ROUND(E90*F90,0.1)</f>
        <v>12500</v>
      </c>
      <c r="J90" s="115">
        <f>SUM(J86:J89)</f>
        <v>1432384</v>
      </c>
    </row>
    <row r="91" spans="2:11" x14ac:dyDescent="0.2">
      <c r="C91" s="797" t="s">
        <v>212</v>
      </c>
      <c r="D91" s="798"/>
      <c r="E91" s="112">
        <v>0.2</v>
      </c>
      <c r="F91" s="113">
        <f>IF(G90&lt;500000,G90,500000)</f>
        <v>500000</v>
      </c>
      <c r="G91" s="113">
        <f>G90-F91</f>
        <v>239884</v>
      </c>
      <c r="H91" s="114">
        <f>ROUND(E91*F91,0.1)</f>
        <v>100000</v>
      </c>
      <c r="J91" s="16">
        <f>+G86</f>
        <v>1239884</v>
      </c>
    </row>
    <row r="92" spans="2:11" x14ac:dyDescent="0.2">
      <c r="C92" s="795" t="s">
        <v>213</v>
      </c>
      <c r="D92" s="796"/>
      <c r="E92" s="112">
        <v>0.3</v>
      </c>
      <c r="F92" s="113">
        <f>G91</f>
        <v>239884</v>
      </c>
      <c r="G92" s="113">
        <f>G91-F92</f>
        <v>0</v>
      </c>
      <c r="H92" s="114">
        <f>ROUND(E92*F92,0.1)</f>
        <v>71965</v>
      </c>
      <c r="J92" s="16">
        <f>+J90-J91</f>
        <v>192500</v>
      </c>
    </row>
    <row r="93" spans="2:11" ht="12.75" customHeight="1" thickBot="1" x14ac:dyDescent="0.25">
      <c r="B93" s="116"/>
      <c r="C93" s="117"/>
      <c r="D93" s="47"/>
      <c r="E93" s="47"/>
      <c r="F93" s="47"/>
    </row>
    <row r="94" spans="2:11" ht="13.5" thickBot="1" x14ac:dyDescent="0.25">
      <c r="B94" s="799" t="s">
        <v>239</v>
      </c>
      <c r="C94" s="800"/>
      <c r="D94" s="800"/>
      <c r="E94" s="800"/>
      <c r="F94" s="801"/>
      <c r="G94" s="771">
        <f>H89+H90+H91+H92</f>
        <v>184465</v>
      </c>
      <c r="H94" s="772"/>
    </row>
    <row r="95" spans="2:11" ht="13.5" thickBot="1" x14ac:dyDescent="0.25">
      <c r="B95" s="154" t="s">
        <v>215</v>
      </c>
      <c r="C95" s="155"/>
      <c r="D95" s="155"/>
      <c r="E95" s="155"/>
      <c r="F95" s="155"/>
      <c r="G95" s="1114">
        <f>IF((G65&lt;500000),5000,0)</f>
        <v>0</v>
      </c>
      <c r="H95" s="1115">
        <f>IF(H93&lt;200000,0,IF(H93&lt;220000,((H93-200000)*10%),IF(H93&lt;=500000,2000,IF(H93&gt;=500000,0))))</f>
        <v>0</v>
      </c>
      <c r="K95" s="118"/>
    </row>
    <row r="96" spans="2:11" ht="13.5" thickBot="1" x14ac:dyDescent="0.25">
      <c r="B96" s="122" t="s">
        <v>216</v>
      </c>
      <c r="C96" s="123"/>
      <c r="D96" s="123"/>
      <c r="E96" s="123"/>
      <c r="F96" s="123"/>
      <c r="G96" s="771">
        <f>IF((G94-G95)&lt;0,0,(G94-G95))</f>
        <v>184465</v>
      </c>
      <c r="H96" s="772"/>
      <c r="I96" s="37"/>
    </row>
    <row r="97" spans="2:12" ht="13.5" thickBot="1" x14ac:dyDescent="0.25">
      <c r="B97" s="773" t="s">
        <v>240</v>
      </c>
      <c r="C97" s="774"/>
      <c r="D97" s="774"/>
      <c r="E97" s="774"/>
      <c r="F97" s="775"/>
      <c r="G97" s="776">
        <f>ROUND((IF(G96&gt;0,(G96*4%),0)),0)</f>
        <v>7379</v>
      </c>
      <c r="H97" s="777"/>
      <c r="I97" s="37"/>
      <c r="J97" s="1"/>
      <c r="K97" s="121"/>
      <c r="L97" s="121"/>
    </row>
    <row r="98" spans="2:12" ht="13.5" thickBot="1" x14ac:dyDescent="0.25">
      <c r="B98" s="778" t="s">
        <v>218</v>
      </c>
      <c r="C98" s="779"/>
      <c r="D98" s="779"/>
      <c r="E98" s="779"/>
      <c r="F98" s="779"/>
      <c r="G98" s="780">
        <f>G96+G97</f>
        <v>191844</v>
      </c>
      <c r="H98" s="781"/>
      <c r="I98" s="121"/>
    </row>
    <row r="99" spans="2:12" ht="13.5" thickBot="1" x14ac:dyDescent="0.25">
      <c r="B99" s="765" t="s">
        <v>219</v>
      </c>
      <c r="C99" s="766"/>
      <c r="D99" s="766"/>
      <c r="E99" s="766"/>
      <c r="F99" s="766"/>
      <c r="G99" s="767">
        <f>O38</f>
        <v>191850</v>
      </c>
      <c r="H99" s="768"/>
      <c r="I99" s="121"/>
    </row>
    <row r="100" spans="2:12" ht="13.5" thickBot="1" x14ac:dyDescent="0.25">
      <c r="B100" s="765" t="str">
        <f>IF(G100&gt;0,"TAX PAYABLE","TAX REFUND")</f>
        <v>TAX REFUND</v>
      </c>
      <c r="C100" s="766"/>
      <c r="D100" s="766"/>
      <c r="E100" s="766"/>
      <c r="F100" s="766"/>
      <c r="G100" s="767">
        <f>+G98-G99</f>
        <v>-6</v>
      </c>
      <c r="H100" s="768"/>
      <c r="I100" s="37"/>
    </row>
    <row r="101" spans="2:12" x14ac:dyDescent="0.2">
      <c r="C101" s="39"/>
      <c r="D101" s="39"/>
      <c r="E101" s="39"/>
      <c r="F101" s="39"/>
      <c r="G101" s="39"/>
      <c r="H101" s="39"/>
    </row>
    <row r="102" spans="2:12" x14ac:dyDescent="0.2">
      <c r="C102" s="39"/>
      <c r="D102" s="39"/>
      <c r="E102" s="39"/>
      <c r="F102" s="39"/>
      <c r="G102" s="39"/>
      <c r="H102" s="39"/>
    </row>
  </sheetData>
  <mergeCells count="91">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J60:O60"/>
    <mergeCell ref="A38:A49"/>
    <mergeCell ref="A50:B50"/>
    <mergeCell ref="A51:B51"/>
    <mergeCell ref="B54:F54"/>
    <mergeCell ref="G54:H54"/>
    <mergeCell ref="B56:B58"/>
    <mergeCell ref="C56:C58"/>
    <mergeCell ref="D56:F56"/>
    <mergeCell ref="G56:H56"/>
    <mergeCell ref="D57:F57"/>
    <mergeCell ref="B65:F65"/>
    <mergeCell ref="G65:H65"/>
    <mergeCell ref="G57:H57"/>
    <mergeCell ref="D58:F58"/>
    <mergeCell ref="G58:H58"/>
    <mergeCell ref="B60:F60"/>
    <mergeCell ref="G60:H60"/>
    <mergeCell ref="B62:F62"/>
    <mergeCell ref="G62:H62"/>
    <mergeCell ref="C63:F63"/>
    <mergeCell ref="G63:H63"/>
    <mergeCell ref="J63:O63"/>
    <mergeCell ref="D81:F81"/>
    <mergeCell ref="J68:K68"/>
    <mergeCell ref="B69:B83"/>
    <mergeCell ref="C69:C75"/>
    <mergeCell ref="D69:F69"/>
    <mergeCell ref="D70:F70"/>
    <mergeCell ref="D71:F71"/>
    <mergeCell ref="D72:F72"/>
    <mergeCell ref="D73:F73"/>
    <mergeCell ref="D74:F74"/>
    <mergeCell ref="D75:F75"/>
    <mergeCell ref="D76:F76"/>
    <mergeCell ref="D77:F77"/>
    <mergeCell ref="E78:F78"/>
    <mergeCell ref="D79:F79"/>
    <mergeCell ref="D80:F80"/>
    <mergeCell ref="G94:H94"/>
    <mergeCell ref="D82:F82"/>
    <mergeCell ref="D83:F83"/>
    <mergeCell ref="B84:F84"/>
    <mergeCell ref="B86:F86"/>
    <mergeCell ref="G86:H86"/>
    <mergeCell ref="C88:D88"/>
    <mergeCell ref="C89:D89"/>
    <mergeCell ref="C90:D90"/>
    <mergeCell ref="C91:D91"/>
    <mergeCell ref="C92:D92"/>
    <mergeCell ref="B94:F94"/>
    <mergeCell ref="B99:F99"/>
    <mergeCell ref="G99:H99"/>
    <mergeCell ref="B100:F100"/>
    <mergeCell ref="G100:H100"/>
    <mergeCell ref="G95:H95"/>
    <mergeCell ref="G96:H96"/>
    <mergeCell ref="B97:F97"/>
    <mergeCell ref="G97:H97"/>
    <mergeCell ref="B98:F98"/>
    <mergeCell ref="G98:H98"/>
  </mergeCells>
  <conditionalFormatting sqref="G100:H100">
    <cfRule type="cellIs" dxfId="443" priority="3" stopIfTrue="1" operator="greaterThan">
      <formula>0</formula>
    </cfRule>
    <cfRule type="cellIs" dxfId="442" priority="4" stopIfTrue="1" operator="lessThanOrEqual">
      <formula>0</formula>
    </cfRule>
  </conditionalFormatting>
  <conditionalFormatting sqref="B100:F100 B94:F98">
    <cfRule type="cellIs" dxfId="441" priority="1" stopIfTrue="1" operator="equal">
      <formula>"TAX PAYABLE"</formula>
    </cfRule>
    <cfRule type="cellIs" dxfId="440" priority="2" stopIfTrue="1" operator="equal">
      <formula>"TAX REFUND"</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legacyDrawing r:id="rId2"/>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7"/>
  <sheetViews>
    <sheetView topLeftCell="A56" workbookViewId="0">
      <selection activeCell="N85" sqref="N85"/>
    </sheetView>
  </sheetViews>
  <sheetFormatPr defaultRowHeight="12.75" x14ac:dyDescent="0.2"/>
  <cols>
    <col min="1" max="1" width="5" style="16" customWidth="1"/>
    <col min="2" max="2" width="18.42578125" style="37" customWidth="1"/>
    <col min="3" max="3" width="8.7109375" style="16" customWidth="1"/>
    <col min="4" max="4" width="8.42578125" style="16" customWidth="1"/>
    <col min="5" max="5" width="8.5703125" style="16" customWidth="1"/>
    <col min="6" max="6" width="8.42578125" style="16" customWidth="1"/>
    <col min="7" max="7" width="8.7109375" style="16" customWidth="1"/>
    <col min="8" max="8" width="8.42578125" style="16" customWidth="1"/>
    <col min="9" max="15" width="8.710937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8.42578125" style="16" customWidth="1"/>
    <col min="259" max="259" width="8.7109375" style="16" customWidth="1"/>
    <col min="260" max="260" width="8.42578125" style="16" customWidth="1"/>
    <col min="261" max="261" width="8.5703125" style="16" customWidth="1"/>
    <col min="262" max="262" width="8.42578125" style="16" customWidth="1"/>
    <col min="263" max="263" width="8.7109375" style="16" customWidth="1"/>
    <col min="264" max="264" width="8.42578125" style="16" customWidth="1"/>
    <col min="265" max="271" width="8.710937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8.42578125" style="16" customWidth="1"/>
    <col min="515" max="515" width="8.7109375" style="16" customWidth="1"/>
    <col min="516" max="516" width="8.42578125" style="16" customWidth="1"/>
    <col min="517" max="517" width="8.5703125" style="16" customWidth="1"/>
    <col min="518" max="518" width="8.42578125" style="16" customWidth="1"/>
    <col min="519" max="519" width="8.7109375" style="16" customWidth="1"/>
    <col min="520" max="520" width="8.42578125" style="16" customWidth="1"/>
    <col min="521" max="527" width="8.710937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8.42578125" style="16" customWidth="1"/>
    <col min="771" max="771" width="8.7109375" style="16" customWidth="1"/>
    <col min="772" max="772" width="8.42578125" style="16" customWidth="1"/>
    <col min="773" max="773" width="8.5703125" style="16" customWidth="1"/>
    <col min="774" max="774" width="8.42578125" style="16" customWidth="1"/>
    <col min="775" max="775" width="8.7109375" style="16" customWidth="1"/>
    <col min="776" max="776" width="8.42578125" style="16" customWidth="1"/>
    <col min="777" max="783" width="8.710937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8.42578125" style="16" customWidth="1"/>
    <col min="1027" max="1027" width="8.7109375" style="16" customWidth="1"/>
    <col min="1028" max="1028" width="8.42578125" style="16" customWidth="1"/>
    <col min="1029" max="1029" width="8.5703125" style="16" customWidth="1"/>
    <col min="1030" max="1030" width="8.42578125" style="16" customWidth="1"/>
    <col min="1031" max="1031" width="8.7109375" style="16" customWidth="1"/>
    <col min="1032" max="1032" width="8.42578125" style="16" customWidth="1"/>
    <col min="1033" max="1039" width="8.710937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8.42578125" style="16" customWidth="1"/>
    <col min="1283" max="1283" width="8.7109375" style="16" customWidth="1"/>
    <col min="1284" max="1284" width="8.42578125" style="16" customWidth="1"/>
    <col min="1285" max="1285" width="8.5703125" style="16" customWidth="1"/>
    <col min="1286" max="1286" width="8.42578125" style="16" customWidth="1"/>
    <col min="1287" max="1287" width="8.7109375" style="16" customWidth="1"/>
    <col min="1288" max="1288" width="8.42578125" style="16" customWidth="1"/>
    <col min="1289" max="1295" width="8.710937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8.42578125" style="16" customWidth="1"/>
    <col min="1539" max="1539" width="8.7109375" style="16" customWidth="1"/>
    <col min="1540" max="1540" width="8.42578125" style="16" customWidth="1"/>
    <col min="1541" max="1541" width="8.5703125" style="16" customWidth="1"/>
    <col min="1542" max="1542" width="8.42578125" style="16" customWidth="1"/>
    <col min="1543" max="1543" width="8.7109375" style="16" customWidth="1"/>
    <col min="1544" max="1544" width="8.42578125" style="16" customWidth="1"/>
    <col min="1545" max="1551" width="8.710937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8.42578125" style="16" customWidth="1"/>
    <col min="1795" max="1795" width="8.7109375" style="16" customWidth="1"/>
    <col min="1796" max="1796" width="8.42578125" style="16" customWidth="1"/>
    <col min="1797" max="1797" width="8.5703125" style="16" customWidth="1"/>
    <col min="1798" max="1798" width="8.42578125" style="16" customWidth="1"/>
    <col min="1799" max="1799" width="8.7109375" style="16" customWidth="1"/>
    <col min="1800" max="1800" width="8.42578125" style="16" customWidth="1"/>
    <col min="1801" max="1807" width="8.710937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8.42578125" style="16" customWidth="1"/>
    <col min="2051" max="2051" width="8.7109375" style="16" customWidth="1"/>
    <col min="2052" max="2052" width="8.42578125" style="16" customWidth="1"/>
    <col min="2053" max="2053" width="8.5703125" style="16" customWidth="1"/>
    <col min="2054" max="2054" width="8.42578125" style="16" customWidth="1"/>
    <col min="2055" max="2055" width="8.7109375" style="16" customWidth="1"/>
    <col min="2056" max="2056" width="8.42578125" style="16" customWidth="1"/>
    <col min="2057" max="2063" width="8.710937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8.42578125" style="16" customWidth="1"/>
    <col min="2307" max="2307" width="8.7109375" style="16" customWidth="1"/>
    <col min="2308" max="2308" width="8.42578125" style="16" customWidth="1"/>
    <col min="2309" max="2309" width="8.5703125" style="16" customWidth="1"/>
    <col min="2310" max="2310" width="8.42578125" style="16" customWidth="1"/>
    <col min="2311" max="2311" width="8.7109375" style="16" customWidth="1"/>
    <col min="2312" max="2312" width="8.42578125" style="16" customWidth="1"/>
    <col min="2313" max="2319" width="8.710937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8.42578125" style="16" customWidth="1"/>
    <col min="2563" max="2563" width="8.7109375" style="16" customWidth="1"/>
    <col min="2564" max="2564" width="8.42578125" style="16" customWidth="1"/>
    <col min="2565" max="2565" width="8.5703125" style="16" customWidth="1"/>
    <col min="2566" max="2566" width="8.42578125" style="16" customWidth="1"/>
    <col min="2567" max="2567" width="8.7109375" style="16" customWidth="1"/>
    <col min="2568" max="2568" width="8.42578125" style="16" customWidth="1"/>
    <col min="2569" max="2575" width="8.710937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8.42578125" style="16" customWidth="1"/>
    <col min="2819" max="2819" width="8.7109375" style="16" customWidth="1"/>
    <col min="2820" max="2820" width="8.42578125" style="16" customWidth="1"/>
    <col min="2821" max="2821" width="8.5703125" style="16" customWidth="1"/>
    <col min="2822" max="2822" width="8.42578125" style="16" customWidth="1"/>
    <col min="2823" max="2823" width="8.7109375" style="16" customWidth="1"/>
    <col min="2824" max="2824" width="8.42578125" style="16" customWidth="1"/>
    <col min="2825" max="2831" width="8.710937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8.42578125" style="16" customWidth="1"/>
    <col min="3075" max="3075" width="8.7109375" style="16" customWidth="1"/>
    <col min="3076" max="3076" width="8.42578125" style="16" customWidth="1"/>
    <col min="3077" max="3077" width="8.5703125" style="16" customWidth="1"/>
    <col min="3078" max="3078" width="8.42578125" style="16" customWidth="1"/>
    <col min="3079" max="3079" width="8.7109375" style="16" customWidth="1"/>
    <col min="3080" max="3080" width="8.42578125" style="16" customWidth="1"/>
    <col min="3081" max="3087" width="8.710937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8.42578125" style="16" customWidth="1"/>
    <col min="3331" max="3331" width="8.7109375" style="16" customWidth="1"/>
    <col min="3332" max="3332" width="8.42578125" style="16" customWidth="1"/>
    <col min="3333" max="3333" width="8.5703125" style="16" customWidth="1"/>
    <col min="3334" max="3334" width="8.42578125" style="16" customWidth="1"/>
    <col min="3335" max="3335" width="8.7109375" style="16" customWidth="1"/>
    <col min="3336" max="3336" width="8.42578125" style="16" customWidth="1"/>
    <col min="3337" max="3343" width="8.710937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8.42578125" style="16" customWidth="1"/>
    <col min="3587" max="3587" width="8.7109375" style="16" customWidth="1"/>
    <col min="3588" max="3588" width="8.42578125" style="16" customWidth="1"/>
    <col min="3589" max="3589" width="8.5703125" style="16" customWidth="1"/>
    <col min="3590" max="3590" width="8.42578125" style="16" customWidth="1"/>
    <col min="3591" max="3591" width="8.7109375" style="16" customWidth="1"/>
    <col min="3592" max="3592" width="8.42578125" style="16" customWidth="1"/>
    <col min="3593" max="3599" width="8.710937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8.42578125" style="16" customWidth="1"/>
    <col min="3843" max="3843" width="8.7109375" style="16" customWidth="1"/>
    <col min="3844" max="3844" width="8.42578125" style="16" customWidth="1"/>
    <col min="3845" max="3845" width="8.5703125" style="16" customWidth="1"/>
    <col min="3846" max="3846" width="8.42578125" style="16" customWidth="1"/>
    <col min="3847" max="3847" width="8.7109375" style="16" customWidth="1"/>
    <col min="3848" max="3848" width="8.42578125" style="16" customWidth="1"/>
    <col min="3849" max="3855" width="8.710937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8.42578125" style="16" customWidth="1"/>
    <col min="4099" max="4099" width="8.7109375" style="16" customWidth="1"/>
    <col min="4100" max="4100" width="8.42578125" style="16" customWidth="1"/>
    <col min="4101" max="4101" width="8.5703125" style="16" customWidth="1"/>
    <col min="4102" max="4102" width="8.42578125" style="16" customWidth="1"/>
    <col min="4103" max="4103" width="8.7109375" style="16" customWidth="1"/>
    <col min="4104" max="4104" width="8.42578125" style="16" customWidth="1"/>
    <col min="4105" max="4111" width="8.710937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8.42578125" style="16" customWidth="1"/>
    <col min="4355" max="4355" width="8.7109375" style="16" customWidth="1"/>
    <col min="4356" max="4356" width="8.42578125" style="16" customWidth="1"/>
    <col min="4357" max="4357" width="8.5703125" style="16" customWidth="1"/>
    <col min="4358" max="4358" width="8.42578125" style="16" customWidth="1"/>
    <col min="4359" max="4359" width="8.7109375" style="16" customWidth="1"/>
    <col min="4360" max="4360" width="8.42578125" style="16" customWidth="1"/>
    <col min="4361" max="4367" width="8.710937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8.42578125" style="16" customWidth="1"/>
    <col min="4611" max="4611" width="8.7109375" style="16" customWidth="1"/>
    <col min="4612" max="4612" width="8.42578125" style="16" customWidth="1"/>
    <col min="4613" max="4613" width="8.5703125" style="16" customWidth="1"/>
    <col min="4614" max="4614" width="8.42578125" style="16" customWidth="1"/>
    <col min="4615" max="4615" width="8.7109375" style="16" customWidth="1"/>
    <col min="4616" max="4616" width="8.42578125" style="16" customWidth="1"/>
    <col min="4617" max="4623" width="8.710937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8.42578125" style="16" customWidth="1"/>
    <col min="4867" max="4867" width="8.7109375" style="16" customWidth="1"/>
    <col min="4868" max="4868" width="8.42578125" style="16" customWidth="1"/>
    <col min="4869" max="4869" width="8.5703125" style="16" customWidth="1"/>
    <col min="4870" max="4870" width="8.42578125" style="16" customWidth="1"/>
    <col min="4871" max="4871" width="8.7109375" style="16" customWidth="1"/>
    <col min="4872" max="4872" width="8.42578125" style="16" customWidth="1"/>
    <col min="4873" max="4879" width="8.710937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8.42578125" style="16" customWidth="1"/>
    <col min="5123" max="5123" width="8.7109375" style="16" customWidth="1"/>
    <col min="5124" max="5124" width="8.42578125" style="16" customWidth="1"/>
    <col min="5125" max="5125" width="8.5703125" style="16" customWidth="1"/>
    <col min="5126" max="5126" width="8.42578125" style="16" customWidth="1"/>
    <col min="5127" max="5127" width="8.7109375" style="16" customWidth="1"/>
    <col min="5128" max="5128" width="8.42578125" style="16" customWidth="1"/>
    <col min="5129" max="5135" width="8.710937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8.42578125" style="16" customWidth="1"/>
    <col min="5379" max="5379" width="8.7109375" style="16" customWidth="1"/>
    <col min="5380" max="5380" width="8.42578125" style="16" customWidth="1"/>
    <col min="5381" max="5381" width="8.5703125" style="16" customWidth="1"/>
    <col min="5382" max="5382" width="8.42578125" style="16" customWidth="1"/>
    <col min="5383" max="5383" width="8.7109375" style="16" customWidth="1"/>
    <col min="5384" max="5384" width="8.42578125" style="16" customWidth="1"/>
    <col min="5385" max="5391" width="8.710937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8.42578125" style="16" customWidth="1"/>
    <col min="5635" max="5635" width="8.7109375" style="16" customWidth="1"/>
    <col min="5636" max="5636" width="8.42578125" style="16" customWidth="1"/>
    <col min="5637" max="5637" width="8.5703125" style="16" customWidth="1"/>
    <col min="5638" max="5638" width="8.42578125" style="16" customWidth="1"/>
    <col min="5639" max="5639" width="8.7109375" style="16" customWidth="1"/>
    <col min="5640" max="5640" width="8.42578125" style="16" customWidth="1"/>
    <col min="5641" max="5647" width="8.710937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8.42578125" style="16" customWidth="1"/>
    <col min="5891" max="5891" width="8.7109375" style="16" customWidth="1"/>
    <col min="5892" max="5892" width="8.42578125" style="16" customWidth="1"/>
    <col min="5893" max="5893" width="8.5703125" style="16" customWidth="1"/>
    <col min="5894" max="5894" width="8.42578125" style="16" customWidth="1"/>
    <col min="5895" max="5895" width="8.7109375" style="16" customWidth="1"/>
    <col min="5896" max="5896" width="8.42578125" style="16" customWidth="1"/>
    <col min="5897" max="5903" width="8.710937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8.42578125" style="16" customWidth="1"/>
    <col min="6147" max="6147" width="8.7109375" style="16" customWidth="1"/>
    <col min="6148" max="6148" width="8.42578125" style="16" customWidth="1"/>
    <col min="6149" max="6149" width="8.5703125" style="16" customWidth="1"/>
    <col min="6150" max="6150" width="8.42578125" style="16" customWidth="1"/>
    <col min="6151" max="6151" width="8.7109375" style="16" customWidth="1"/>
    <col min="6152" max="6152" width="8.42578125" style="16" customWidth="1"/>
    <col min="6153" max="6159" width="8.710937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8.42578125" style="16" customWidth="1"/>
    <col min="6403" max="6403" width="8.7109375" style="16" customWidth="1"/>
    <col min="6404" max="6404" width="8.42578125" style="16" customWidth="1"/>
    <col min="6405" max="6405" width="8.5703125" style="16" customWidth="1"/>
    <col min="6406" max="6406" width="8.42578125" style="16" customWidth="1"/>
    <col min="6407" max="6407" width="8.7109375" style="16" customWidth="1"/>
    <col min="6408" max="6408" width="8.42578125" style="16" customWidth="1"/>
    <col min="6409" max="6415" width="8.710937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8.42578125" style="16" customWidth="1"/>
    <col min="6659" max="6659" width="8.7109375" style="16" customWidth="1"/>
    <col min="6660" max="6660" width="8.42578125" style="16" customWidth="1"/>
    <col min="6661" max="6661" width="8.5703125" style="16" customWidth="1"/>
    <col min="6662" max="6662" width="8.42578125" style="16" customWidth="1"/>
    <col min="6663" max="6663" width="8.7109375" style="16" customWidth="1"/>
    <col min="6664" max="6664" width="8.42578125" style="16" customWidth="1"/>
    <col min="6665" max="6671" width="8.710937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8.42578125" style="16" customWidth="1"/>
    <col min="6915" max="6915" width="8.7109375" style="16" customWidth="1"/>
    <col min="6916" max="6916" width="8.42578125" style="16" customWidth="1"/>
    <col min="6917" max="6917" width="8.5703125" style="16" customWidth="1"/>
    <col min="6918" max="6918" width="8.42578125" style="16" customWidth="1"/>
    <col min="6919" max="6919" width="8.7109375" style="16" customWidth="1"/>
    <col min="6920" max="6920" width="8.42578125" style="16" customWidth="1"/>
    <col min="6921" max="6927" width="8.710937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8.42578125" style="16" customWidth="1"/>
    <col min="7171" max="7171" width="8.7109375" style="16" customWidth="1"/>
    <col min="7172" max="7172" width="8.42578125" style="16" customWidth="1"/>
    <col min="7173" max="7173" width="8.5703125" style="16" customWidth="1"/>
    <col min="7174" max="7174" width="8.42578125" style="16" customWidth="1"/>
    <col min="7175" max="7175" width="8.7109375" style="16" customWidth="1"/>
    <col min="7176" max="7176" width="8.42578125" style="16" customWidth="1"/>
    <col min="7177" max="7183" width="8.710937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8.42578125" style="16" customWidth="1"/>
    <col min="7427" max="7427" width="8.7109375" style="16" customWidth="1"/>
    <col min="7428" max="7428" width="8.42578125" style="16" customWidth="1"/>
    <col min="7429" max="7429" width="8.5703125" style="16" customWidth="1"/>
    <col min="7430" max="7430" width="8.42578125" style="16" customWidth="1"/>
    <col min="7431" max="7431" width="8.7109375" style="16" customWidth="1"/>
    <col min="7432" max="7432" width="8.42578125" style="16" customWidth="1"/>
    <col min="7433" max="7439" width="8.710937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8.42578125" style="16" customWidth="1"/>
    <col min="7683" max="7683" width="8.7109375" style="16" customWidth="1"/>
    <col min="7684" max="7684" width="8.42578125" style="16" customWidth="1"/>
    <col min="7685" max="7685" width="8.5703125" style="16" customWidth="1"/>
    <col min="7686" max="7686" width="8.42578125" style="16" customWidth="1"/>
    <col min="7687" max="7687" width="8.7109375" style="16" customWidth="1"/>
    <col min="7688" max="7688" width="8.42578125" style="16" customWidth="1"/>
    <col min="7689" max="7695" width="8.710937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8.42578125" style="16" customWidth="1"/>
    <col min="7939" max="7939" width="8.7109375" style="16" customWidth="1"/>
    <col min="7940" max="7940" width="8.42578125" style="16" customWidth="1"/>
    <col min="7941" max="7941" width="8.5703125" style="16" customWidth="1"/>
    <col min="7942" max="7942" width="8.42578125" style="16" customWidth="1"/>
    <col min="7943" max="7943" width="8.7109375" style="16" customWidth="1"/>
    <col min="7944" max="7944" width="8.42578125" style="16" customWidth="1"/>
    <col min="7945" max="7951" width="8.710937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8.42578125" style="16" customWidth="1"/>
    <col min="8195" max="8195" width="8.7109375" style="16" customWidth="1"/>
    <col min="8196" max="8196" width="8.42578125" style="16" customWidth="1"/>
    <col min="8197" max="8197" width="8.5703125" style="16" customWidth="1"/>
    <col min="8198" max="8198" width="8.42578125" style="16" customWidth="1"/>
    <col min="8199" max="8199" width="8.7109375" style="16" customWidth="1"/>
    <col min="8200" max="8200" width="8.42578125" style="16" customWidth="1"/>
    <col min="8201" max="8207" width="8.710937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8.42578125" style="16" customWidth="1"/>
    <col min="8451" max="8451" width="8.7109375" style="16" customWidth="1"/>
    <col min="8452" max="8452" width="8.42578125" style="16" customWidth="1"/>
    <col min="8453" max="8453" width="8.5703125" style="16" customWidth="1"/>
    <col min="8454" max="8454" width="8.42578125" style="16" customWidth="1"/>
    <col min="8455" max="8455" width="8.7109375" style="16" customWidth="1"/>
    <col min="8456" max="8456" width="8.42578125" style="16" customWidth="1"/>
    <col min="8457" max="8463" width="8.710937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8.42578125" style="16" customWidth="1"/>
    <col min="8707" max="8707" width="8.7109375" style="16" customWidth="1"/>
    <col min="8708" max="8708" width="8.42578125" style="16" customWidth="1"/>
    <col min="8709" max="8709" width="8.5703125" style="16" customWidth="1"/>
    <col min="8710" max="8710" width="8.42578125" style="16" customWidth="1"/>
    <col min="8711" max="8711" width="8.7109375" style="16" customWidth="1"/>
    <col min="8712" max="8712" width="8.42578125" style="16" customWidth="1"/>
    <col min="8713" max="8719" width="8.710937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8.42578125" style="16" customWidth="1"/>
    <col min="8963" max="8963" width="8.7109375" style="16" customWidth="1"/>
    <col min="8964" max="8964" width="8.42578125" style="16" customWidth="1"/>
    <col min="8965" max="8965" width="8.5703125" style="16" customWidth="1"/>
    <col min="8966" max="8966" width="8.42578125" style="16" customWidth="1"/>
    <col min="8967" max="8967" width="8.7109375" style="16" customWidth="1"/>
    <col min="8968" max="8968" width="8.42578125" style="16" customWidth="1"/>
    <col min="8969" max="8975" width="8.710937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8.42578125" style="16" customWidth="1"/>
    <col min="9219" max="9219" width="8.7109375" style="16" customWidth="1"/>
    <col min="9220" max="9220" width="8.42578125" style="16" customWidth="1"/>
    <col min="9221" max="9221" width="8.5703125" style="16" customWidth="1"/>
    <col min="9222" max="9222" width="8.42578125" style="16" customWidth="1"/>
    <col min="9223" max="9223" width="8.7109375" style="16" customWidth="1"/>
    <col min="9224" max="9224" width="8.42578125" style="16" customWidth="1"/>
    <col min="9225" max="9231" width="8.710937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8.42578125" style="16" customWidth="1"/>
    <col min="9475" max="9475" width="8.7109375" style="16" customWidth="1"/>
    <col min="9476" max="9476" width="8.42578125" style="16" customWidth="1"/>
    <col min="9477" max="9477" width="8.5703125" style="16" customWidth="1"/>
    <col min="9478" max="9478" width="8.42578125" style="16" customWidth="1"/>
    <col min="9479" max="9479" width="8.7109375" style="16" customWidth="1"/>
    <col min="9480" max="9480" width="8.42578125" style="16" customWidth="1"/>
    <col min="9481" max="9487" width="8.710937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8.42578125" style="16" customWidth="1"/>
    <col min="9731" max="9731" width="8.7109375" style="16" customWidth="1"/>
    <col min="9732" max="9732" width="8.42578125" style="16" customWidth="1"/>
    <col min="9733" max="9733" width="8.5703125" style="16" customWidth="1"/>
    <col min="9734" max="9734" width="8.42578125" style="16" customWidth="1"/>
    <col min="9735" max="9735" width="8.7109375" style="16" customWidth="1"/>
    <col min="9736" max="9736" width="8.42578125" style="16" customWidth="1"/>
    <col min="9737" max="9743" width="8.710937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8.42578125" style="16" customWidth="1"/>
    <col min="9987" max="9987" width="8.7109375" style="16" customWidth="1"/>
    <col min="9988" max="9988" width="8.42578125" style="16" customWidth="1"/>
    <col min="9989" max="9989" width="8.5703125" style="16" customWidth="1"/>
    <col min="9990" max="9990" width="8.42578125" style="16" customWidth="1"/>
    <col min="9991" max="9991" width="8.7109375" style="16" customWidth="1"/>
    <col min="9992" max="9992" width="8.42578125" style="16" customWidth="1"/>
    <col min="9993" max="9999" width="8.710937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8.42578125" style="16" customWidth="1"/>
    <col min="10243" max="10243" width="8.7109375" style="16" customWidth="1"/>
    <col min="10244" max="10244" width="8.42578125" style="16" customWidth="1"/>
    <col min="10245" max="10245" width="8.5703125" style="16" customWidth="1"/>
    <col min="10246" max="10246" width="8.42578125" style="16" customWidth="1"/>
    <col min="10247" max="10247" width="8.7109375" style="16" customWidth="1"/>
    <col min="10248" max="10248" width="8.42578125" style="16" customWidth="1"/>
    <col min="10249" max="10255" width="8.710937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8.42578125" style="16" customWidth="1"/>
    <col min="10499" max="10499" width="8.7109375" style="16" customWidth="1"/>
    <col min="10500" max="10500" width="8.42578125" style="16" customWidth="1"/>
    <col min="10501" max="10501" width="8.5703125" style="16" customWidth="1"/>
    <col min="10502" max="10502" width="8.42578125" style="16" customWidth="1"/>
    <col min="10503" max="10503" width="8.7109375" style="16" customWidth="1"/>
    <col min="10504" max="10504" width="8.42578125" style="16" customWidth="1"/>
    <col min="10505" max="10511" width="8.710937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8.42578125" style="16" customWidth="1"/>
    <col min="10755" max="10755" width="8.7109375" style="16" customWidth="1"/>
    <col min="10756" max="10756" width="8.42578125" style="16" customWidth="1"/>
    <col min="10757" max="10757" width="8.5703125" style="16" customWidth="1"/>
    <col min="10758" max="10758" width="8.42578125" style="16" customWidth="1"/>
    <col min="10759" max="10759" width="8.7109375" style="16" customWidth="1"/>
    <col min="10760" max="10760" width="8.42578125" style="16" customWidth="1"/>
    <col min="10761" max="10767" width="8.710937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8.42578125" style="16" customWidth="1"/>
    <col min="11011" max="11011" width="8.7109375" style="16" customWidth="1"/>
    <col min="11012" max="11012" width="8.42578125" style="16" customWidth="1"/>
    <col min="11013" max="11013" width="8.5703125" style="16" customWidth="1"/>
    <col min="11014" max="11014" width="8.42578125" style="16" customWidth="1"/>
    <col min="11015" max="11015" width="8.7109375" style="16" customWidth="1"/>
    <col min="11016" max="11016" width="8.42578125" style="16" customWidth="1"/>
    <col min="11017" max="11023" width="8.710937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8.42578125" style="16" customWidth="1"/>
    <col min="11267" max="11267" width="8.7109375" style="16" customWidth="1"/>
    <col min="11268" max="11268" width="8.42578125" style="16" customWidth="1"/>
    <col min="11269" max="11269" width="8.5703125" style="16" customWidth="1"/>
    <col min="11270" max="11270" width="8.42578125" style="16" customWidth="1"/>
    <col min="11271" max="11271" width="8.7109375" style="16" customWidth="1"/>
    <col min="11272" max="11272" width="8.42578125" style="16" customWidth="1"/>
    <col min="11273" max="11279" width="8.710937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8.42578125" style="16" customWidth="1"/>
    <col min="11523" max="11523" width="8.7109375" style="16" customWidth="1"/>
    <col min="11524" max="11524" width="8.42578125" style="16" customWidth="1"/>
    <col min="11525" max="11525" width="8.5703125" style="16" customWidth="1"/>
    <col min="11526" max="11526" width="8.42578125" style="16" customWidth="1"/>
    <col min="11527" max="11527" width="8.7109375" style="16" customWidth="1"/>
    <col min="11528" max="11528" width="8.42578125" style="16" customWidth="1"/>
    <col min="11529" max="11535" width="8.710937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8.42578125" style="16" customWidth="1"/>
    <col min="11779" max="11779" width="8.7109375" style="16" customWidth="1"/>
    <col min="11780" max="11780" width="8.42578125" style="16" customWidth="1"/>
    <col min="11781" max="11781" width="8.5703125" style="16" customWidth="1"/>
    <col min="11782" max="11782" width="8.42578125" style="16" customWidth="1"/>
    <col min="11783" max="11783" width="8.7109375" style="16" customWidth="1"/>
    <col min="11784" max="11784" width="8.42578125" style="16" customWidth="1"/>
    <col min="11785" max="11791" width="8.710937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8.42578125" style="16" customWidth="1"/>
    <col min="12035" max="12035" width="8.7109375" style="16" customWidth="1"/>
    <col min="12036" max="12036" width="8.42578125" style="16" customWidth="1"/>
    <col min="12037" max="12037" width="8.5703125" style="16" customWidth="1"/>
    <col min="12038" max="12038" width="8.42578125" style="16" customWidth="1"/>
    <col min="12039" max="12039" width="8.7109375" style="16" customWidth="1"/>
    <col min="12040" max="12040" width="8.42578125" style="16" customWidth="1"/>
    <col min="12041" max="12047" width="8.710937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8.42578125" style="16" customWidth="1"/>
    <col min="12291" max="12291" width="8.7109375" style="16" customWidth="1"/>
    <col min="12292" max="12292" width="8.42578125" style="16" customWidth="1"/>
    <col min="12293" max="12293" width="8.5703125" style="16" customWidth="1"/>
    <col min="12294" max="12294" width="8.42578125" style="16" customWidth="1"/>
    <col min="12295" max="12295" width="8.7109375" style="16" customWidth="1"/>
    <col min="12296" max="12296" width="8.42578125" style="16" customWidth="1"/>
    <col min="12297" max="12303" width="8.710937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8.42578125" style="16" customWidth="1"/>
    <col min="12547" max="12547" width="8.7109375" style="16" customWidth="1"/>
    <col min="12548" max="12548" width="8.42578125" style="16" customWidth="1"/>
    <col min="12549" max="12549" width="8.5703125" style="16" customWidth="1"/>
    <col min="12550" max="12550" width="8.42578125" style="16" customWidth="1"/>
    <col min="12551" max="12551" width="8.7109375" style="16" customWidth="1"/>
    <col min="12552" max="12552" width="8.42578125" style="16" customWidth="1"/>
    <col min="12553" max="12559" width="8.710937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8.42578125" style="16" customWidth="1"/>
    <col min="12803" max="12803" width="8.7109375" style="16" customWidth="1"/>
    <col min="12804" max="12804" width="8.42578125" style="16" customWidth="1"/>
    <col min="12805" max="12805" width="8.5703125" style="16" customWidth="1"/>
    <col min="12806" max="12806" width="8.42578125" style="16" customWidth="1"/>
    <col min="12807" max="12807" width="8.7109375" style="16" customWidth="1"/>
    <col min="12808" max="12808" width="8.42578125" style="16" customWidth="1"/>
    <col min="12809" max="12815" width="8.710937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8.42578125" style="16" customWidth="1"/>
    <col min="13059" max="13059" width="8.7109375" style="16" customWidth="1"/>
    <col min="13060" max="13060" width="8.42578125" style="16" customWidth="1"/>
    <col min="13061" max="13061" width="8.5703125" style="16" customWidth="1"/>
    <col min="13062" max="13062" width="8.42578125" style="16" customWidth="1"/>
    <col min="13063" max="13063" width="8.7109375" style="16" customWidth="1"/>
    <col min="13064" max="13064" width="8.42578125" style="16" customWidth="1"/>
    <col min="13065" max="13071" width="8.710937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8.42578125" style="16" customWidth="1"/>
    <col min="13315" max="13315" width="8.7109375" style="16" customWidth="1"/>
    <col min="13316" max="13316" width="8.42578125" style="16" customWidth="1"/>
    <col min="13317" max="13317" width="8.5703125" style="16" customWidth="1"/>
    <col min="13318" max="13318" width="8.42578125" style="16" customWidth="1"/>
    <col min="13319" max="13319" width="8.7109375" style="16" customWidth="1"/>
    <col min="13320" max="13320" width="8.42578125" style="16" customWidth="1"/>
    <col min="13321" max="13327" width="8.710937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8.42578125" style="16" customWidth="1"/>
    <col min="13571" max="13571" width="8.7109375" style="16" customWidth="1"/>
    <col min="13572" max="13572" width="8.42578125" style="16" customWidth="1"/>
    <col min="13573" max="13573" width="8.5703125" style="16" customWidth="1"/>
    <col min="13574" max="13574" width="8.42578125" style="16" customWidth="1"/>
    <col min="13575" max="13575" width="8.7109375" style="16" customWidth="1"/>
    <col min="13576" max="13576" width="8.42578125" style="16" customWidth="1"/>
    <col min="13577" max="13583" width="8.710937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8.42578125" style="16" customWidth="1"/>
    <col min="13827" max="13827" width="8.7109375" style="16" customWidth="1"/>
    <col min="13828" max="13828" width="8.42578125" style="16" customWidth="1"/>
    <col min="13829" max="13829" width="8.5703125" style="16" customWidth="1"/>
    <col min="13830" max="13830" width="8.42578125" style="16" customWidth="1"/>
    <col min="13831" max="13831" width="8.7109375" style="16" customWidth="1"/>
    <col min="13832" max="13832" width="8.42578125" style="16" customWidth="1"/>
    <col min="13833" max="13839" width="8.710937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8.42578125" style="16" customWidth="1"/>
    <col min="14083" max="14083" width="8.7109375" style="16" customWidth="1"/>
    <col min="14084" max="14084" width="8.42578125" style="16" customWidth="1"/>
    <col min="14085" max="14085" width="8.5703125" style="16" customWidth="1"/>
    <col min="14086" max="14086" width="8.42578125" style="16" customWidth="1"/>
    <col min="14087" max="14087" width="8.7109375" style="16" customWidth="1"/>
    <col min="14088" max="14088" width="8.42578125" style="16" customWidth="1"/>
    <col min="14089" max="14095" width="8.710937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8.42578125" style="16" customWidth="1"/>
    <col min="14339" max="14339" width="8.7109375" style="16" customWidth="1"/>
    <col min="14340" max="14340" width="8.42578125" style="16" customWidth="1"/>
    <col min="14341" max="14341" width="8.5703125" style="16" customWidth="1"/>
    <col min="14342" max="14342" width="8.42578125" style="16" customWidth="1"/>
    <col min="14343" max="14343" width="8.7109375" style="16" customWidth="1"/>
    <col min="14344" max="14344" width="8.42578125" style="16" customWidth="1"/>
    <col min="14345" max="14351" width="8.710937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8.42578125" style="16" customWidth="1"/>
    <col min="14595" max="14595" width="8.7109375" style="16" customWidth="1"/>
    <col min="14596" max="14596" width="8.42578125" style="16" customWidth="1"/>
    <col min="14597" max="14597" width="8.5703125" style="16" customWidth="1"/>
    <col min="14598" max="14598" width="8.42578125" style="16" customWidth="1"/>
    <col min="14599" max="14599" width="8.7109375" style="16" customWidth="1"/>
    <col min="14600" max="14600" width="8.42578125" style="16" customWidth="1"/>
    <col min="14601" max="14607" width="8.710937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8.42578125" style="16" customWidth="1"/>
    <col min="14851" max="14851" width="8.7109375" style="16" customWidth="1"/>
    <col min="14852" max="14852" width="8.42578125" style="16" customWidth="1"/>
    <col min="14853" max="14853" width="8.5703125" style="16" customWidth="1"/>
    <col min="14854" max="14854" width="8.42578125" style="16" customWidth="1"/>
    <col min="14855" max="14855" width="8.7109375" style="16" customWidth="1"/>
    <col min="14856" max="14856" width="8.42578125" style="16" customWidth="1"/>
    <col min="14857" max="14863" width="8.710937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8.42578125" style="16" customWidth="1"/>
    <col min="15107" max="15107" width="8.7109375" style="16" customWidth="1"/>
    <col min="15108" max="15108" width="8.42578125" style="16" customWidth="1"/>
    <col min="15109" max="15109" width="8.5703125" style="16" customWidth="1"/>
    <col min="15110" max="15110" width="8.42578125" style="16" customWidth="1"/>
    <col min="15111" max="15111" width="8.7109375" style="16" customWidth="1"/>
    <col min="15112" max="15112" width="8.42578125" style="16" customWidth="1"/>
    <col min="15113" max="15119" width="8.710937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8.42578125" style="16" customWidth="1"/>
    <col min="15363" max="15363" width="8.7109375" style="16" customWidth="1"/>
    <col min="15364" max="15364" width="8.42578125" style="16" customWidth="1"/>
    <col min="15365" max="15365" width="8.5703125" style="16" customWidth="1"/>
    <col min="15366" max="15366" width="8.42578125" style="16" customWidth="1"/>
    <col min="15367" max="15367" width="8.7109375" style="16" customWidth="1"/>
    <col min="15368" max="15368" width="8.42578125" style="16" customWidth="1"/>
    <col min="15369" max="15375" width="8.710937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8.42578125" style="16" customWidth="1"/>
    <col min="15619" max="15619" width="8.7109375" style="16" customWidth="1"/>
    <col min="15620" max="15620" width="8.42578125" style="16" customWidth="1"/>
    <col min="15621" max="15621" width="8.5703125" style="16" customWidth="1"/>
    <col min="15622" max="15622" width="8.42578125" style="16" customWidth="1"/>
    <col min="15623" max="15623" width="8.7109375" style="16" customWidth="1"/>
    <col min="15624" max="15624" width="8.42578125" style="16" customWidth="1"/>
    <col min="15625" max="15631" width="8.710937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8.42578125" style="16" customWidth="1"/>
    <col min="15875" max="15875" width="8.7109375" style="16" customWidth="1"/>
    <col min="15876" max="15876" width="8.42578125" style="16" customWidth="1"/>
    <col min="15877" max="15877" width="8.5703125" style="16" customWidth="1"/>
    <col min="15878" max="15878" width="8.42578125" style="16" customWidth="1"/>
    <col min="15879" max="15879" width="8.7109375" style="16" customWidth="1"/>
    <col min="15880" max="15880" width="8.42578125" style="16" customWidth="1"/>
    <col min="15881" max="15887" width="8.710937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8.42578125" style="16" customWidth="1"/>
    <col min="16131" max="16131" width="8.7109375" style="16" customWidth="1"/>
    <col min="16132" max="16132" width="8.42578125" style="16" customWidth="1"/>
    <col min="16133" max="16133" width="8.5703125" style="16" customWidth="1"/>
    <col min="16134" max="16134" width="8.42578125" style="16" customWidth="1"/>
    <col min="16135" max="16135" width="8.7109375" style="16" customWidth="1"/>
    <col min="16136" max="16136" width="8.42578125" style="16" customWidth="1"/>
    <col min="16137" max="16143" width="8.710937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67" t="s">
        <v>100</v>
      </c>
      <c r="B1" s="868"/>
      <c r="C1" s="868"/>
      <c r="D1" s="911" t="s">
        <v>971</v>
      </c>
      <c r="E1" s="868"/>
      <c r="F1" s="868"/>
      <c r="G1" s="867" t="s">
        <v>102</v>
      </c>
      <c r="H1" s="869"/>
      <c r="I1" s="869" t="s">
        <v>922</v>
      </c>
      <c r="J1" s="868"/>
      <c r="K1" s="868"/>
      <c r="L1" s="870"/>
      <c r="M1" s="870"/>
      <c r="N1" s="870"/>
      <c r="O1" s="870"/>
    </row>
    <row r="2" spans="1:15" s="1" customFormat="1" x14ac:dyDescent="0.2">
      <c r="A2" s="867" t="s">
        <v>103</v>
      </c>
      <c r="B2" s="868"/>
      <c r="C2" s="868"/>
      <c r="D2" s="869"/>
      <c r="E2" s="868"/>
      <c r="F2" s="868"/>
      <c r="G2" s="867" t="s">
        <v>104</v>
      </c>
      <c r="H2" s="869"/>
      <c r="I2" s="869" t="s">
        <v>105</v>
      </c>
      <c r="J2" s="868"/>
      <c r="K2" s="868"/>
      <c r="L2" s="870"/>
      <c r="M2" s="870"/>
      <c r="N2" s="870"/>
      <c r="O2" s="870"/>
    </row>
    <row r="3" spans="1:15" s="1" customFormat="1" x14ac:dyDescent="0.2">
      <c r="A3" s="867" t="s">
        <v>106</v>
      </c>
      <c r="B3" s="868"/>
      <c r="C3" s="868"/>
      <c r="D3" s="883" t="s">
        <v>972</v>
      </c>
      <c r="E3" s="868"/>
      <c r="F3" s="868"/>
      <c r="G3" s="867" t="s">
        <v>107</v>
      </c>
      <c r="H3" s="869"/>
      <c r="I3" s="869" t="s">
        <v>108</v>
      </c>
      <c r="J3" s="868"/>
      <c r="K3" s="868"/>
      <c r="L3" s="870"/>
      <c r="M3" s="870"/>
      <c r="N3" s="870"/>
      <c r="O3" s="870"/>
    </row>
    <row r="4" spans="1:15" s="1" customFormat="1" x14ac:dyDescent="0.2">
      <c r="A4" s="867" t="s">
        <v>476</v>
      </c>
      <c r="B4" s="868"/>
      <c r="C4" s="868"/>
      <c r="D4" s="869" t="s">
        <v>973</v>
      </c>
      <c r="E4" s="868"/>
      <c r="F4" s="868"/>
      <c r="G4" s="867" t="s">
        <v>110</v>
      </c>
      <c r="H4" s="869"/>
      <c r="I4" s="869" t="s">
        <v>392</v>
      </c>
      <c r="J4" s="868"/>
      <c r="K4" s="868"/>
      <c r="L4" s="870"/>
      <c r="M4" s="870"/>
      <c r="N4" s="870"/>
      <c r="O4" s="870"/>
    </row>
    <row r="5" spans="1:15" s="1" customFormat="1" x14ac:dyDescent="0.2">
      <c r="A5" s="867" t="s">
        <v>112</v>
      </c>
      <c r="B5" s="868"/>
      <c r="C5" s="868"/>
      <c r="D5" s="869"/>
      <c r="E5" s="868"/>
      <c r="F5" s="868"/>
      <c r="G5" s="867"/>
      <c r="H5" s="868"/>
      <c r="I5" s="869" t="s">
        <v>113</v>
      </c>
      <c r="J5" s="868"/>
      <c r="K5" s="868"/>
      <c r="L5" s="870"/>
      <c r="M5" s="870"/>
      <c r="N5" s="870"/>
      <c r="O5" s="870"/>
    </row>
    <row r="6" spans="1:15" s="1" customFormat="1" x14ac:dyDescent="0.2">
      <c r="A6" s="871" t="s">
        <v>114</v>
      </c>
      <c r="B6" s="872"/>
      <c r="C6" s="872"/>
      <c r="D6" s="868" t="s">
        <v>785</v>
      </c>
      <c r="E6" s="868"/>
      <c r="F6" s="868"/>
      <c r="G6" s="871" t="s">
        <v>115</v>
      </c>
      <c r="H6" s="871"/>
      <c r="I6" s="2" t="s">
        <v>116</v>
      </c>
      <c r="J6" s="873"/>
      <c r="K6" s="873"/>
      <c r="L6" s="873"/>
      <c r="M6" s="873"/>
      <c r="N6" s="873"/>
      <c r="O6" s="874"/>
    </row>
    <row r="7" spans="1:15" s="1" customFormat="1" ht="13.5" thickBot="1" x14ac:dyDescent="0.25">
      <c r="A7" s="3"/>
      <c r="B7" s="4"/>
      <c r="C7" s="5"/>
      <c r="D7" s="6"/>
      <c r="E7" s="6"/>
      <c r="F7" s="6"/>
      <c r="G7" s="6"/>
      <c r="H7" s="6"/>
      <c r="I7" s="6"/>
      <c r="J7" s="7"/>
      <c r="K7" s="8"/>
      <c r="L7" s="875" t="s">
        <v>223</v>
      </c>
      <c r="M7" s="875"/>
      <c r="N7" s="875"/>
      <c r="O7" s="875"/>
    </row>
    <row r="8" spans="1:15" s="11" customFormat="1" x14ac:dyDescent="0.2">
      <c r="A8" s="876" t="str">
        <f>I1</f>
        <v>Mr. N. H. CHOUGLE</v>
      </c>
      <c r="B8" s="877"/>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68000</v>
      </c>
      <c r="D9" s="14">
        <v>68000</v>
      </c>
      <c r="E9" s="14">
        <v>68000</v>
      </c>
      <c r="F9" s="14">
        <v>68000</v>
      </c>
      <c r="G9" s="14">
        <v>70000</v>
      </c>
      <c r="H9" s="14">
        <v>70000</v>
      </c>
      <c r="I9" s="14">
        <v>70000</v>
      </c>
      <c r="J9" s="14">
        <v>70000</v>
      </c>
      <c r="K9" s="14">
        <v>70000</v>
      </c>
      <c r="L9" s="14">
        <v>70000</v>
      </c>
      <c r="M9" s="14">
        <v>70000</v>
      </c>
      <c r="N9" s="14">
        <v>70000</v>
      </c>
      <c r="O9" s="15">
        <f>SUM(C9:N9)</f>
        <v>832000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3400</v>
      </c>
      <c r="D11" s="17">
        <v>4760</v>
      </c>
      <c r="E11" s="17">
        <v>4760</v>
      </c>
      <c r="F11" s="17">
        <v>4760</v>
      </c>
      <c r="G11" s="17">
        <v>4900</v>
      </c>
      <c r="H11" s="17">
        <v>4900</v>
      </c>
      <c r="I11" s="17">
        <v>4900</v>
      </c>
      <c r="J11" s="17">
        <v>4900</v>
      </c>
      <c r="K11" s="17">
        <v>4900</v>
      </c>
      <c r="L11" s="17">
        <v>4900</v>
      </c>
      <c r="M11" s="17">
        <v>4900</v>
      </c>
      <c r="N11" s="17">
        <v>4900</v>
      </c>
      <c r="O11" s="18">
        <f>SUM(C11:N11)</f>
        <v>56880</v>
      </c>
    </row>
    <row r="12" spans="1:15" ht="15" x14ac:dyDescent="0.2">
      <c r="A12" s="12"/>
      <c r="B12" s="13" t="s">
        <v>124</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x14ac:dyDescent="0.2">
      <c r="A14" s="12"/>
      <c r="B14" s="13" t="s">
        <v>123</v>
      </c>
      <c r="C14" s="17">
        <v>3780</v>
      </c>
      <c r="D14" s="17">
        <v>3852</v>
      </c>
      <c r="E14" s="17">
        <v>3852</v>
      </c>
      <c r="F14" s="17">
        <v>3852</v>
      </c>
      <c r="G14" s="17">
        <v>3852</v>
      </c>
      <c r="H14" s="17">
        <v>3852</v>
      </c>
      <c r="I14" s="17">
        <v>3852</v>
      </c>
      <c r="J14" s="17">
        <v>3924</v>
      </c>
      <c r="K14" s="17">
        <v>3924</v>
      </c>
      <c r="L14" s="17">
        <v>3924</v>
      </c>
      <c r="M14" s="17">
        <v>3924</v>
      </c>
      <c r="N14" s="17">
        <v>3924</v>
      </c>
      <c r="O14" s="18">
        <f t="shared" si="0"/>
        <v>46512</v>
      </c>
    </row>
    <row r="15" spans="1:15"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hidden="1"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458</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16320</v>
      </c>
      <c r="D19" s="17">
        <v>16320</v>
      </c>
      <c r="E19" s="17">
        <v>16320</v>
      </c>
      <c r="F19" s="17">
        <v>16320</v>
      </c>
      <c r="G19" s="17">
        <v>16800</v>
      </c>
      <c r="H19" s="17">
        <v>16800</v>
      </c>
      <c r="I19" s="17">
        <v>16800</v>
      </c>
      <c r="J19" s="17">
        <v>16800</v>
      </c>
      <c r="K19" s="17">
        <v>16800</v>
      </c>
      <c r="L19" s="17">
        <v>16800</v>
      </c>
      <c r="M19" s="17">
        <v>16800</v>
      </c>
      <c r="N19" s="17">
        <v>16800</v>
      </c>
      <c r="O19" s="18">
        <f t="shared" si="0"/>
        <v>199680</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78"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79"/>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5" ht="15" hidden="1" customHeight="1" x14ac:dyDescent="0.2">
      <c r="A23" s="879"/>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79"/>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79"/>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79"/>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79"/>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79"/>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79"/>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79"/>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79"/>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79"/>
      <c r="B32" s="21" t="s">
        <v>142</v>
      </c>
      <c r="C32" s="17">
        <v>0</v>
      </c>
      <c r="D32" s="17">
        <v>0</v>
      </c>
      <c r="E32" s="17">
        <v>66828</v>
      </c>
      <c r="F32" s="17">
        <v>0</v>
      </c>
      <c r="G32" s="17">
        <v>0</v>
      </c>
      <c r="H32" s="17">
        <v>0</v>
      </c>
      <c r="I32" s="17">
        <v>0</v>
      </c>
      <c r="J32" s="17">
        <v>0</v>
      </c>
      <c r="K32" s="17">
        <v>0</v>
      </c>
      <c r="L32" s="17">
        <v>0</v>
      </c>
      <c r="M32" s="17">
        <v>0</v>
      </c>
      <c r="N32" s="17">
        <v>0</v>
      </c>
      <c r="O32" s="18">
        <f t="shared" si="0"/>
        <v>66828</v>
      </c>
    </row>
    <row r="33" spans="1:15" ht="15" hidden="1" customHeight="1" x14ac:dyDescent="0.2">
      <c r="A33" s="880"/>
      <c r="B33" s="19" t="s">
        <v>226</v>
      </c>
      <c r="C33" s="17">
        <v>0</v>
      </c>
      <c r="D33" s="17">
        <v>0</v>
      </c>
      <c r="E33" s="17">
        <v>0</v>
      </c>
      <c r="F33" s="17">
        <v>0</v>
      </c>
      <c r="G33" s="17">
        <v>0</v>
      </c>
      <c r="H33" s="17">
        <v>0</v>
      </c>
      <c r="I33" s="17">
        <v>0</v>
      </c>
      <c r="J33" s="17">
        <v>0</v>
      </c>
      <c r="K33" s="17">
        <v>0</v>
      </c>
      <c r="L33" s="17">
        <v>0</v>
      </c>
      <c r="M33" s="17">
        <v>0</v>
      </c>
      <c r="N33" s="17">
        <v>0</v>
      </c>
      <c r="O33" s="18">
        <f t="shared" si="0"/>
        <v>0</v>
      </c>
    </row>
    <row r="34" spans="1:15" ht="15" customHeight="1" x14ac:dyDescent="0.2">
      <c r="A34" s="865" t="s">
        <v>143</v>
      </c>
      <c r="B34" s="866"/>
      <c r="C34" s="17">
        <v>0</v>
      </c>
      <c r="D34" s="17">
        <v>0</v>
      </c>
      <c r="E34" s="17">
        <v>0</v>
      </c>
      <c r="F34" s="17">
        <v>0</v>
      </c>
      <c r="G34" s="17">
        <v>0</v>
      </c>
      <c r="H34" s="17">
        <v>0</v>
      </c>
      <c r="I34" s="17">
        <v>0</v>
      </c>
      <c r="J34" s="17">
        <v>0</v>
      </c>
      <c r="K34" s="17">
        <v>0</v>
      </c>
      <c r="L34" s="17">
        <v>0</v>
      </c>
      <c r="M34" s="17">
        <v>0</v>
      </c>
      <c r="N34" s="17">
        <v>0</v>
      </c>
      <c r="O34" s="18">
        <f t="shared" si="0"/>
        <v>0</v>
      </c>
    </row>
    <row r="35" spans="1:15" ht="15" customHeight="1" x14ac:dyDescent="0.2">
      <c r="A35" s="865" t="s">
        <v>145</v>
      </c>
      <c r="B35" s="866"/>
      <c r="C35" s="17">
        <v>0</v>
      </c>
      <c r="D35" s="17">
        <v>216</v>
      </c>
      <c r="E35" s="17">
        <v>0</v>
      </c>
      <c r="F35" s="17">
        <v>0</v>
      </c>
      <c r="G35" s="17">
        <v>0</v>
      </c>
      <c r="H35" s="17">
        <v>0</v>
      </c>
      <c r="I35" s="17">
        <v>0</v>
      </c>
      <c r="J35" s="17">
        <v>216</v>
      </c>
      <c r="K35" s="17">
        <v>0</v>
      </c>
      <c r="L35" s="17">
        <v>0</v>
      </c>
      <c r="M35" s="17">
        <v>0</v>
      </c>
      <c r="N35" s="17">
        <v>0</v>
      </c>
      <c r="O35" s="18">
        <f t="shared" si="0"/>
        <v>432</v>
      </c>
    </row>
    <row r="36" spans="1:15" ht="15" customHeight="1" x14ac:dyDescent="0.2">
      <c r="A36" s="865" t="s">
        <v>146</v>
      </c>
      <c r="B36" s="866"/>
      <c r="C36" s="17">
        <v>0</v>
      </c>
      <c r="D36" s="17">
        <v>4080</v>
      </c>
      <c r="E36" s="17">
        <v>0</v>
      </c>
      <c r="F36" s="17">
        <v>0</v>
      </c>
      <c r="G36" s="17">
        <v>0</v>
      </c>
      <c r="H36" s="17">
        <v>0</v>
      </c>
      <c r="I36" s="17">
        <v>0</v>
      </c>
      <c r="J36" s="17">
        <v>4200</v>
      </c>
      <c r="K36" s="17">
        <v>0</v>
      </c>
      <c r="L36" s="17">
        <v>0</v>
      </c>
      <c r="M36" s="17">
        <v>0</v>
      </c>
      <c r="N36" s="17">
        <v>0</v>
      </c>
      <c r="O36" s="18">
        <f t="shared" si="0"/>
        <v>8280</v>
      </c>
    </row>
    <row r="37" spans="1:15" ht="15" customHeight="1" x14ac:dyDescent="0.2">
      <c r="A37" s="22"/>
      <c r="B37" s="23" t="s">
        <v>147</v>
      </c>
      <c r="C37" s="24">
        <f t="shared" ref="C37:N37" si="1">SUM(C9:C36)</f>
        <v>91500</v>
      </c>
      <c r="D37" s="24">
        <f t="shared" si="1"/>
        <v>97228</v>
      </c>
      <c r="E37" s="24">
        <f t="shared" si="1"/>
        <v>159760</v>
      </c>
      <c r="F37" s="24">
        <f t="shared" si="1"/>
        <v>92932</v>
      </c>
      <c r="G37" s="24">
        <f t="shared" si="1"/>
        <v>95552</v>
      </c>
      <c r="H37" s="24">
        <f t="shared" si="1"/>
        <v>95552</v>
      </c>
      <c r="I37" s="24">
        <f t="shared" si="1"/>
        <v>95552</v>
      </c>
      <c r="J37" s="24">
        <f t="shared" si="1"/>
        <v>106948</v>
      </c>
      <c r="K37" s="24">
        <f t="shared" si="1"/>
        <v>95624</v>
      </c>
      <c r="L37" s="24">
        <f t="shared" si="1"/>
        <v>95624</v>
      </c>
      <c r="M37" s="24">
        <f t="shared" si="1"/>
        <v>95624</v>
      </c>
      <c r="N37" s="24">
        <f t="shared" si="1"/>
        <v>95624</v>
      </c>
      <c r="O37" s="25">
        <f>SUM(C37:N37)</f>
        <v>1217520</v>
      </c>
    </row>
    <row r="38" spans="1:15" ht="15" customHeight="1" x14ac:dyDescent="0.25">
      <c r="A38" s="853" t="s">
        <v>148</v>
      </c>
      <c r="B38" s="27" t="s">
        <v>149</v>
      </c>
      <c r="C38" s="28">
        <v>4400</v>
      </c>
      <c r="D38" s="28">
        <v>5000</v>
      </c>
      <c r="E38" s="28">
        <v>11683</v>
      </c>
      <c r="F38" s="28">
        <v>5000</v>
      </c>
      <c r="G38" s="28">
        <v>5000</v>
      </c>
      <c r="H38" s="28">
        <v>5000</v>
      </c>
      <c r="I38" s="28">
        <v>5000</v>
      </c>
      <c r="J38" s="28">
        <v>5000</v>
      </c>
      <c r="K38" s="28">
        <v>5000</v>
      </c>
      <c r="L38" s="28">
        <v>5165</v>
      </c>
      <c r="M38" s="28">
        <v>5165</v>
      </c>
      <c r="N38">
        <v>5815</v>
      </c>
      <c r="O38" s="18">
        <f>SUM(C38:N38)</f>
        <v>67228</v>
      </c>
    </row>
    <row r="39" spans="1:15" ht="15" x14ac:dyDescent="0.2">
      <c r="A39" s="854"/>
      <c r="B39" s="27" t="s">
        <v>150</v>
      </c>
      <c r="C39" s="28">
        <v>0</v>
      </c>
      <c r="D39" s="28">
        <v>0</v>
      </c>
      <c r="E39" s="28">
        <v>0</v>
      </c>
      <c r="F39" s="28">
        <v>0</v>
      </c>
      <c r="G39" s="28">
        <v>0</v>
      </c>
      <c r="H39" s="28">
        <v>0</v>
      </c>
      <c r="I39" s="28">
        <v>0</v>
      </c>
      <c r="J39" s="28">
        <v>0</v>
      </c>
      <c r="K39" s="28">
        <v>0</v>
      </c>
      <c r="L39" s="28">
        <v>0</v>
      </c>
      <c r="M39" s="28">
        <v>0</v>
      </c>
      <c r="N39" s="28">
        <v>0</v>
      </c>
      <c r="O39" s="18">
        <f>SUM(C39:N39)</f>
        <v>0</v>
      </c>
    </row>
    <row r="40" spans="1:15" ht="15" x14ac:dyDescent="0.2">
      <c r="A40" s="854"/>
      <c r="B40" s="27" t="s">
        <v>151</v>
      </c>
      <c r="C40" s="28">
        <v>60</v>
      </c>
      <c r="D40" s="28">
        <v>60</v>
      </c>
      <c r="E40" s="28">
        <v>60</v>
      </c>
      <c r="F40" s="28">
        <v>60</v>
      </c>
      <c r="G40" s="28">
        <v>60</v>
      </c>
      <c r="H40" s="28">
        <v>60</v>
      </c>
      <c r="I40" s="28">
        <v>60</v>
      </c>
      <c r="J40" s="28">
        <v>60</v>
      </c>
      <c r="K40" s="28">
        <v>60</v>
      </c>
      <c r="L40" s="28">
        <v>60</v>
      </c>
      <c r="M40" s="28">
        <v>60</v>
      </c>
      <c r="N40" s="28">
        <v>60</v>
      </c>
      <c r="O40" s="18">
        <f t="shared" ref="O40:O50" si="2">SUM(C40:N40)</f>
        <v>720</v>
      </c>
    </row>
    <row r="41" spans="1:15" ht="15" x14ac:dyDescent="0.2">
      <c r="A41" s="854"/>
      <c r="B41" s="27" t="s">
        <v>152</v>
      </c>
      <c r="C41" s="28">
        <v>0</v>
      </c>
      <c r="D41" s="28">
        <v>0</v>
      </c>
      <c r="E41" s="28">
        <v>0</v>
      </c>
      <c r="F41" s="28">
        <v>0</v>
      </c>
      <c r="G41" s="28">
        <v>0</v>
      </c>
      <c r="H41" s="28">
        <v>0</v>
      </c>
      <c r="I41" s="28">
        <v>0</v>
      </c>
      <c r="J41" s="28">
        <v>0</v>
      </c>
      <c r="K41" s="28">
        <v>0</v>
      </c>
      <c r="L41" s="28">
        <v>0</v>
      </c>
      <c r="M41" s="28">
        <v>0</v>
      </c>
      <c r="N41" s="28">
        <v>0</v>
      </c>
      <c r="O41" s="18">
        <f t="shared" si="2"/>
        <v>0</v>
      </c>
    </row>
    <row r="42" spans="1:15" ht="15" x14ac:dyDescent="0.2">
      <c r="A42" s="854"/>
      <c r="B42" s="27" t="s">
        <v>153</v>
      </c>
      <c r="C42" s="28">
        <v>650</v>
      </c>
      <c r="D42" s="28">
        <v>650</v>
      </c>
      <c r="E42" s="28">
        <v>650</v>
      </c>
      <c r="F42" s="28">
        <v>650</v>
      </c>
      <c r="G42" s="28">
        <v>650</v>
      </c>
      <c r="H42" s="28">
        <v>650</v>
      </c>
      <c r="I42" s="28">
        <v>650</v>
      </c>
      <c r="J42" s="28">
        <v>650</v>
      </c>
      <c r="K42" s="28">
        <v>650</v>
      </c>
      <c r="L42" s="28">
        <v>650</v>
      </c>
      <c r="M42" s="28">
        <v>650</v>
      </c>
      <c r="N42" s="28">
        <v>650</v>
      </c>
      <c r="O42" s="18">
        <f t="shared" si="2"/>
        <v>7800</v>
      </c>
    </row>
    <row r="43" spans="1:15" ht="15" x14ac:dyDescent="0.2">
      <c r="A43" s="854"/>
      <c r="B43" s="27" t="s">
        <v>154</v>
      </c>
      <c r="C43" s="28">
        <v>15000</v>
      </c>
      <c r="D43" s="28">
        <v>15000</v>
      </c>
      <c r="E43" s="28">
        <v>15000</v>
      </c>
      <c r="F43" s="28">
        <v>15000</v>
      </c>
      <c r="G43" s="28">
        <v>15000</v>
      </c>
      <c r="H43" s="28">
        <v>15000</v>
      </c>
      <c r="I43" s="28">
        <v>15000</v>
      </c>
      <c r="J43" s="28">
        <v>15000</v>
      </c>
      <c r="K43" s="28">
        <v>15000</v>
      </c>
      <c r="L43" s="28">
        <v>15000</v>
      </c>
      <c r="M43" s="28">
        <v>15000</v>
      </c>
      <c r="N43" s="28">
        <v>15000</v>
      </c>
      <c r="O43" s="18">
        <f t="shared" si="2"/>
        <v>180000</v>
      </c>
    </row>
    <row r="44" spans="1:15" ht="15" x14ac:dyDescent="0.2">
      <c r="A44" s="854"/>
      <c r="B44" s="27" t="s">
        <v>155</v>
      </c>
      <c r="C44" s="28">
        <v>200</v>
      </c>
      <c r="D44" s="28">
        <v>200</v>
      </c>
      <c r="E44" s="28">
        <v>200</v>
      </c>
      <c r="F44" s="28">
        <v>200</v>
      </c>
      <c r="G44" s="28">
        <v>200</v>
      </c>
      <c r="H44" s="28">
        <v>200</v>
      </c>
      <c r="I44" s="28">
        <v>200</v>
      </c>
      <c r="J44" s="28">
        <v>200</v>
      </c>
      <c r="K44" s="28">
        <v>200</v>
      </c>
      <c r="L44" s="28">
        <v>200</v>
      </c>
      <c r="M44" s="28">
        <v>200</v>
      </c>
      <c r="N44" s="28">
        <v>300</v>
      </c>
      <c r="O44" s="18">
        <f t="shared" si="2"/>
        <v>2500</v>
      </c>
    </row>
    <row r="45" spans="1:15" ht="15" x14ac:dyDescent="0.2">
      <c r="A45" s="854"/>
      <c r="B45" s="27" t="s">
        <v>156</v>
      </c>
      <c r="C45" s="28">
        <v>0</v>
      </c>
      <c r="D45" s="28">
        <v>0</v>
      </c>
      <c r="E45" s="28">
        <v>0</v>
      </c>
      <c r="F45" s="28">
        <v>0</v>
      </c>
      <c r="G45" s="28">
        <v>0</v>
      </c>
      <c r="H45" s="28">
        <v>0</v>
      </c>
      <c r="I45" s="28">
        <v>0</v>
      </c>
      <c r="J45" s="28">
        <v>0</v>
      </c>
      <c r="K45" s="28">
        <v>0</v>
      </c>
      <c r="L45" s="28">
        <v>0</v>
      </c>
      <c r="M45" s="28">
        <v>0</v>
      </c>
      <c r="N45" s="28">
        <v>0</v>
      </c>
      <c r="O45" s="18">
        <f t="shared" si="2"/>
        <v>0</v>
      </c>
    </row>
    <row r="46" spans="1:15" ht="15" x14ac:dyDescent="0.2">
      <c r="A46" s="854"/>
      <c r="B46" s="27" t="s">
        <v>157</v>
      </c>
      <c r="C46" s="28">
        <v>0</v>
      </c>
      <c r="D46" s="28">
        <v>0</v>
      </c>
      <c r="E46" s="28">
        <v>0</v>
      </c>
      <c r="F46" s="28">
        <v>0</v>
      </c>
      <c r="G46" s="28">
        <v>0</v>
      </c>
      <c r="H46" s="28">
        <v>0</v>
      </c>
      <c r="I46" s="28">
        <v>0</v>
      </c>
      <c r="J46" s="28">
        <v>0</v>
      </c>
      <c r="K46" s="28">
        <v>0</v>
      </c>
      <c r="L46" s="28">
        <v>0</v>
      </c>
      <c r="M46" s="28">
        <v>0</v>
      </c>
      <c r="N46" s="28">
        <v>0</v>
      </c>
      <c r="O46" s="18">
        <f t="shared" si="2"/>
        <v>0</v>
      </c>
    </row>
    <row r="47" spans="1:15" ht="28.5" customHeight="1" x14ac:dyDescent="0.2">
      <c r="A47" s="855"/>
      <c r="B47" s="30" t="s">
        <v>158</v>
      </c>
      <c r="C47" s="28">
        <v>325</v>
      </c>
      <c r="D47" s="28">
        <v>325</v>
      </c>
      <c r="E47" s="28">
        <v>325</v>
      </c>
      <c r="F47" s="28">
        <v>325</v>
      </c>
      <c r="G47" s="28">
        <v>325</v>
      </c>
      <c r="H47" s="28">
        <v>325</v>
      </c>
      <c r="I47" s="28">
        <v>325</v>
      </c>
      <c r="J47" s="28">
        <v>325</v>
      </c>
      <c r="K47" s="28">
        <v>325</v>
      </c>
      <c r="L47" s="28">
        <v>325</v>
      </c>
      <c r="M47" s="28">
        <v>325</v>
      </c>
      <c r="N47" s="28">
        <v>325</v>
      </c>
      <c r="O47" s="31">
        <f t="shared" si="2"/>
        <v>3900</v>
      </c>
    </row>
    <row r="48" spans="1:15" ht="30" x14ac:dyDescent="0.2">
      <c r="A48" s="856"/>
      <c r="B48" s="127" t="s">
        <v>974</v>
      </c>
      <c r="C48" s="28">
        <v>0</v>
      </c>
      <c r="D48" s="28">
        <v>0</v>
      </c>
      <c r="E48" s="28">
        <v>0</v>
      </c>
      <c r="F48" s="28">
        <v>0</v>
      </c>
      <c r="G48" s="28">
        <v>0</v>
      </c>
      <c r="H48" s="28">
        <v>0</v>
      </c>
      <c r="I48" s="28">
        <v>0</v>
      </c>
      <c r="J48" s="28">
        <v>0</v>
      </c>
      <c r="K48" s="28">
        <v>0</v>
      </c>
      <c r="L48" s="28">
        <v>0</v>
      </c>
      <c r="M48" s="28">
        <v>0</v>
      </c>
      <c r="N48" s="28">
        <v>0</v>
      </c>
      <c r="O48" s="31">
        <f t="shared" si="2"/>
        <v>0</v>
      </c>
    </row>
    <row r="49" spans="1:18" ht="15" x14ac:dyDescent="0.2">
      <c r="A49" s="857" t="s">
        <v>160</v>
      </c>
      <c r="B49" s="858"/>
      <c r="C49" s="33">
        <f t="shared" ref="C49:N49" si="3">SUM(C38:C48)</f>
        <v>20635</v>
      </c>
      <c r="D49" s="33">
        <f t="shared" si="3"/>
        <v>21235</v>
      </c>
      <c r="E49" s="33">
        <f t="shared" si="3"/>
        <v>27918</v>
      </c>
      <c r="F49" s="33">
        <f t="shared" si="3"/>
        <v>21235</v>
      </c>
      <c r="G49" s="33">
        <f t="shared" si="3"/>
        <v>21235</v>
      </c>
      <c r="H49" s="33">
        <f t="shared" si="3"/>
        <v>21235</v>
      </c>
      <c r="I49" s="33">
        <f t="shared" si="3"/>
        <v>21235</v>
      </c>
      <c r="J49" s="33">
        <f t="shared" si="3"/>
        <v>21235</v>
      </c>
      <c r="K49" s="33">
        <f t="shared" si="3"/>
        <v>21235</v>
      </c>
      <c r="L49" s="33">
        <f t="shared" si="3"/>
        <v>21400</v>
      </c>
      <c r="M49" s="33">
        <f t="shared" si="3"/>
        <v>21400</v>
      </c>
      <c r="N49" s="33">
        <f t="shared" si="3"/>
        <v>22150</v>
      </c>
      <c r="O49" s="34">
        <f t="shared" si="2"/>
        <v>262148</v>
      </c>
    </row>
    <row r="50" spans="1:18" ht="15.75" thickBot="1" x14ac:dyDescent="0.25">
      <c r="A50" s="859" t="s">
        <v>161</v>
      </c>
      <c r="B50" s="860"/>
      <c r="C50" s="35">
        <f t="shared" ref="C50:N50" si="4">C37-C49</f>
        <v>70865</v>
      </c>
      <c r="D50" s="35">
        <f t="shared" si="4"/>
        <v>75993</v>
      </c>
      <c r="E50" s="35">
        <f t="shared" si="4"/>
        <v>131842</v>
      </c>
      <c r="F50" s="35">
        <f t="shared" si="4"/>
        <v>71697</v>
      </c>
      <c r="G50" s="35">
        <f t="shared" si="4"/>
        <v>74317</v>
      </c>
      <c r="H50" s="35">
        <f t="shared" si="4"/>
        <v>74317</v>
      </c>
      <c r="I50" s="35">
        <f t="shared" si="4"/>
        <v>74317</v>
      </c>
      <c r="J50" s="35">
        <f t="shared" si="4"/>
        <v>85713</v>
      </c>
      <c r="K50" s="35">
        <f t="shared" si="4"/>
        <v>74389</v>
      </c>
      <c r="L50" s="35">
        <f t="shared" si="4"/>
        <v>74224</v>
      </c>
      <c r="M50" s="35">
        <f t="shared" si="4"/>
        <v>74224</v>
      </c>
      <c r="N50" s="35">
        <f t="shared" si="4"/>
        <v>73474</v>
      </c>
      <c r="O50" s="36">
        <f t="shared" si="2"/>
        <v>955372</v>
      </c>
    </row>
    <row r="51" spans="1:18" x14ac:dyDescent="0.2">
      <c r="J51" s="300">
        <f>+J37-SUM(J22:J36)</f>
        <v>95624</v>
      </c>
      <c r="M51" s="38">
        <f>+M50-M20</f>
        <v>74224</v>
      </c>
      <c r="Q51" s="38"/>
    </row>
    <row r="52" spans="1:18" ht="13.5" thickBot="1" x14ac:dyDescent="0.25">
      <c r="J52" s="38">
        <f>+J51-J49</f>
        <v>74389</v>
      </c>
    </row>
    <row r="53" spans="1:18" ht="13.5" thickBot="1" x14ac:dyDescent="0.25">
      <c r="B53" s="789" t="s">
        <v>162</v>
      </c>
      <c r="C53" s="861"/>
      <c r="D53" s="861"/>
      <c r="E53" s="861"/>
      <c r="F53" s="862"/>
      <c r="G53" s="863">
        <f>O37</f>
        <v>1217520</v>
      </c>
      <c r="H53" s="864"/>
    </row>
    <row r="54" spans="1:18" ht="13.5" thickBot="1" x14ac:dyDescent="0.25"/>
    <row r="55" spans="1:18" x14ac:dyDescent="0.2">
      <c r="B55" s="830" t="s">
        <v>163</v>
      </c>
      <c r="C55" s="833" t="s">
        <v>164</v>
      </c>
      <c r="D55" s="836" t="s">
        <v>229</v>
      </c>
      <c r="E55" s="837"/>
      <c r="F55" s="838"/>
      <c r="G55" s="839">
        <v>40000</v>
      </c>
      <c r="H55" s="840"/>
    </row>
    <row r="56" spans="1:18" x14ac:dyDescent="0.2">
      <c r="B56" s="831"/>
      <c r="C56" s="834"/>
      <c r="D56" s="841" t="s">
        <v>166</v>
      </c>
      <c r="E56" s="842"/>
      <c r="F56" s="843"/>
      <c r="G56" s="844">
        <f>+O44</f>
        <v>2500</v>
      </c>
      <c r="H56" s="845"/>
      <c r="I56" s="39"/>
      <c r="J56" s="846"/>
      <c r="K56" s="846"/>
      <c r="L56" s="846"/>
      <c r="M56" s="847"/>
      <c r="N56" s="847"/>
      <c r="O56" s="847"/>
    </row>
    <row r="57" spans="1:18" ht="13.5" thickBot="1" x14ac:dyDescent="0.25">
      <c r="B57" s="832"/>
      <c r="C57" s="835"/>
      <c r="D57" s="848" t="s">
        <v>266</v>
      </c>
      <c r="E57" s="849"/>
      <c r="F57" s="850"/>
      <c r="G57" s="851">
        <v>0</v>
      </c>
      <c r="H57" s="852"/>
      <c r="J57" s="47"/>
      <c r="K57" s="47"/>
      <c r="L57" s="47"/>
      <c r="M57" s="47"/>
      <c r="N57" s="47"/>
      <c r="O57" s="47"/>
    </row>
    <row r="58" spans="1:18" ht="13.5" thickBot="1" x14ac:dyDescent="0.25">
      <c r="B58" s="48"/>
      <c r="J58" s="47"/>
      <c r="K58" s="47"/>
      <c r="L58" s="47"/>
      <c r="M58" s="47"/>
      <c r="N58" s="47"/>
      <c r="O58" s="47"/>
    </row>
    <row r="59" spans="1:18" ht="13.5" thickBot="1" x14ac:dyDescent="0.25">
      <c r="B59" s="789" t="s">
        <v>168</v>
      </c>
      <c r="C59" s="790"/>
      <c r="D59" s="790"/>
      <c r="E59" s="790"/>
      <c r="F59" s="791"/>
      <c r="G59" s="825">
        <f>+G53-SUM(G55:H57)</f>
        <v>1175020</v>
      </c>
      <c r="H59" s="826"/>
      <c r="J59" s="827" t="s">
        <v>169</v>
      </c>
      <c r="K59" s="828"/>
      <c r="L59" s="828"/>
      <c r="M59" s="828"/>
      <c r="N59" s="828"/>
      <c r="O59" s="829"/>
    </row>
    <row r="60" spans="1:18" ht="13.5" thickBot="1" x14ac:dyDescent="0.25">
      <c r="B60" s="49"/>
      <c r="C60" s="50"/>
      <c r="D60" s="50"/>
      <c r="E60" s="50"/>
      <c r="F60" s="50"/>
      <c r="G60" s="45"/>
      <c r="H60" s="50"/>
      <c r="J60" s="129"/>
      <c r="K60" s="130"/>
      <c r="L60" s="130"/>
      <c r="M60" s="130"/>
      <c r="N60" s="130"/>
      <c r="O60" s="131"/>
    </row>
    <row r="61" spans="1:18" ht="13.5" thickBot="1" x14ac:dyDescent="0.25">
      <c r="B61" s="789" t="s">
        <v>170</v>
      </c>
      <c r="C61" s="790"/>
      <c r="D61" s="790"/>
      <c r="E61" s="790"/>
      <c r="F61" s="791"/>
      <c r="G61" s="805"/>
      <c r="H61" s="791"/>
      <c r="J61" s="129"/>
      <c r="K61" s="130"/>
      <c r="L61" s="130"/>
      <c r="M61" s="130"/>
      <c r="N61" s="130"/>
      <c r="O61" s="131"/>
    </row>
    <row r="62" spans="1:18" ht="12.75" customHeight="1" x14ac:dyDescent="0.2">
      <c r="B62" s="57" t="s">
        <v>171</v>
      </c>
      <c r="C62" s="806" t="s">
        <v>172</v>
      </c>
      <c r="D62" s="807"/>
      <c r="E62" s="807"/>
      <c r="F62" s="808"/>
      <c r="G62" s="809">
        <v>256538</v>
      </c>
      <c r="H62" s="809"/>
      <c r="I62" s="58"/>
      <c r="J62" s="810" t="s">
        <v>173</v>
      </c>
      <c r="K62" s="811"/>
      <c r="L62" s="811"/>
      <c r="M62" s="811"/>
      <c r="N62" s="811"/>
      <c r="O62" s="812"/>
      <c r="Q62" s="59"/>
      <c r="R62" s="59"/>
    </row>
    <row r="63" spans="1:18" ht="13.5" thickBot="1" x14ac:dyDescent="0.25">
      <c r="D63" s="37"/>
      <c r="I63" s="58"/>
      <c r="J63" s="60" t="s">
        <v>975</v>
      </c>
      <c r="K63" s="61"/>
      <c r="L63" s="61"/>
      <c r="M63" s="61"/>
      <c r="N63" s="61"/>
      <c r="O63" s="62">
        <v>0</v>
      </c>
      <c r="P63" s="1"/>
      <c r="Q63" s="59"/>
      <c r="R63" s="59"/>
    </row>
    <row r="64" spans="1:18" ht="13.5" thickBot="1" x14ac:dyDescent="0.25">
      <c r="B64" s="789" t="s">
        <v>175</v>
      </c>
      <c r="C64" s="790"/>
      <c r="D64" s="790"/>
      <c r="E64" s="790"/>
      <c r="F64" s="791"/>
      <c r="G64" s="805">
        <f>+G59-G62</f>
        <v>918482</v>
      </c>
      <c r="H64" s="791"/>
      <c r="I64" s="63"/>
      <c r="J64" s="60" t="s">
        <v>976</v>
      </c>
      <c r="K64" s="39"/>
      <c r="L64" s="39"/>
      <c r="M64" s="39"/>
      <c r="N64" s="39" t="s">
        <v>977</v>
      </c>
      <c r="O64" s="65">
        <v>0</v>
      </c>
      <c r="P64" s="1"/>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6.25" customHeight="1" thickBot="1" x14ac:dyDescent="0.25">
      <c r="B67" s="66"/>
      <c r="C67" s="48"/>
      <c r="G67" s="70" t="s">
        <v>177</v>
      </c>
      <c r="H67" s="70" t="s">
        <v>178</v>
      </c>
      <c r="I67" s="63"/>
      <c r="J67" s="810" t="s">
        <v>179</v>
      </c>
      <c r="K67" s="811"/>
      <c r="L67" s="71"/>
      <c r="M67" s="71"/>
      <c r="N67" s="71"/>
      <c r="O67" s="72"/>
      <c r="Q67" s="59"/>
      <c r="R67" s="59"/>
    </row>
    <row r="68" spans="2:18" ht="12.75" customHeight="1" x14ac:dyDescent="0.2">
      <c r="B68" s="802" t="s">
        <v>180</v>
      </c>
      <c r="C68" s="821" t="s">
        <v>181</v>
      </c>
      <c r="D68" s="823" t="s">
        <v>182</v>
      </c>
      <c r="E68" s="824"/>
      <c r="F68" s="824"/>
      <c r="G68" s="73">
        <f>+O43</f>
        <v>180000</v>
      </c>
      <c r="H68" s="74">
        <f t="shared" ref="H68:H76" si="5">+G68</f>
        <v>180000</v>
      </c>
      <c r="I68" s="63"/>
      <c r="J68" s="75" t="s">
        <v>183</v>
      </c>
      <c r="K68" s="58"/>
      <c r="L68" s="58"/>
      <c r="M68" s="135"/>
      <c r="N68" s="135"/>
      <c r="O68" s="76"/>
      <c r="Q68" s="59"/>
      <c r="R68" s="59"/>
    </row>
    <row r="69" spans="2:18" ht="12.75" customHeight="1" x14ac:dyDescent="0.2">
      <c r="B69" s="803"/>
      <c r="C69" s="822"/>
      <c r="D69" s="782" t="s">
        <v>184</v>
      </c>
      <c r="E69" s="783"/>
      <c r="F69" s="783"/>
      <c r="G69" s="77">
        <f>+O47</f>
        <v>3900</v>
      </c>
      <c r="H69" s="78">
        <f t="shared" si="5"/>
        <v>3900</v>
      </c>
      <c r="I69" s="63"/>
      <c r="J69" s="181"/>
      <c r="K69" s="135"/>
      <c r="L69" s="135"/>
      <c r="M69" s="135"/>
      <c r="N69" s="135"/>
      <c r="O69" s="136"/>
      <c r="Q69" s="59"/>
      <c r="R69" s="59"/>
    </row>
    <row r="70" spans="2:18" ht="12.75" customHeight="1" x14ac:dyDescent="0.2">
      <c r="B70" s="803"/>
      <c r="C70" s="822"/>
      <c r="D70" s="819" t="s">
        <v>185</v>
      </c>
      <c r="E70" s="820"/>
      <c r="F70" s="820"/>
      <c r="G70" s="80">
        <f>O40</f>
        <v>720</v>
      </c>
      <c r="H70" s="78">
        <f t="shared" si="5"/>
        <v>720</v>
      </c>
      <c r="I70" s="63"/>
      <c r="J70" s="181"/>
      <c r="K70" s="182"/>
      <c r="L70" s="135"/>
      <c r="M70" s="135"/>
      <c r="N70" s="135"/>
      <c r="O70" s="136"/>
    </row>
    <row r="71" spans="2:18" x14ac:dyDescent="0.2">
      <c r="B71" s="803"/>
      <c r="C71" s="822"/>
      <c r="D71" s="782" t="s">
        <v>186</v>
      </c>
      <c r="E71" s="783"/>
      <c r="F71" s="783"/>
      <c r="G71" s="81">
        <v>0</v>
      </c>
      <c r="H71" s="78">
        <f t="shared" si="5"/>
        <v>0</v>
      </c>
      <c r="I71" s="63"/>
      <c r="J71" s="181"/>
      <c r="K71" s="183"/>
      <c r="L71" s="183"/>
      <c r="M71" s="135"/>
      <c r="N71" s="135"/>
      <c r="O71" s="184"/>
    </row>
    <row r="72" spans="2:18" ht="12.75" customHeight="1" x14ac:dyDescent="0.2">
      <c r="B72" s="803"/>
      <c r="C72" s="822"/>
      <c r="D72" s="784" t="s">
        <v>188</v>
      </c>
      <c r="E72" s="783"/>
      <c r="F72" s="783"/>
      <c r="G72" s="80">
        <v>0</v>
      </c>
      <c r="H72" s="78">
        <f t="shared" si="5"/>
        <v>0</v>
      </c>
      <c r="I72" s="63"/>
      <c r="J72" s="181"/>
      <c r="K72" s="183"/>
      <c r="L72" s="183"/>
      <c r="M72" s="135"/>
      <c r="N72" s="135"/>
      <c r="O72" s="184"/>
    </row>
    <row r="73" spans="2:18" ht="14.25" customHeight="1" x14ac:dyDescent="0.2">
      <c r="B73" s="803"/>
      <c r="C73" s="822"/>
      <c r="D73" s="782" t="s">
        <v>190</v>
      </c>
      <c r="E73" s="783"/>
      <c r="F73" s="783"/>
      <c r="G73" s="84">
        <v>0</v>
      </c>
      <c r="H73" s="78">
        <f t="shared" si="5"/>
        <v>0</v>
      </c>
      <c r="I73" s="63"/>
      <c r="J73" s="181"/>
      <c r="K73" s="183"/>
      <c r="L73" s="183"/>
      <c r="M73" s="183"/>
      <c r="N73" s="183"/>
      <c r="O73" s="184"/>
    </row>
    <row r="74" spans="2:18" x14ac:dyDescent="0.2">
      <c r="B74" s="803"/>
      <c r="C74" s="822"/>
      <c r="D74" s="782" t="s">
        <v>191</v>
      </c>
      <c r="E74" s="783"/>
      <c r="F74" s="783"/>
      <c r="G74" s="81">
        <v>73104</v>
      </c>
      <c r="H74" s="78">
        <f t="shared" si="5"/>
        <v>73104</v>
      </c>
      <c r="I74" s="58"/>
      <c r="J74" s="150"/>
      <c r="K74" s="50"/>
      <c r="L74" s="50"/>
      <c r="M74" s="50"/>
      <c r="N74" s="50"/>
      <c r="O74" s="83"/>
    </row>
    <row r="75" spans="2:18" x14ac:dyDescent="0.2">
      <c r="B75" s="803"/>
      <c r="C75" s="88" t="s">
        <v>192</v>
      </c>
      <c r="D75" s="813" t="s">
        <v>193</v>
      </c>
      <c r="E75" s="814"/>
      <c r="F75" s="814"/>
      <c r="G75" s="80">
        <v>0</v>
      </c>
      <c r="H75" s="78">
        <f t="shared" si="5"/>
        <v>0</v>
      </c>
      <c r="I75" s="58"/>
      <c r="J75" s="82" t="s">
        <v>187</v>
      </c>
      <c r="K75" s="71"/>
      <c r="L75" s="71"/>
      <c r="M75" s="71"/>
      <c r="N75" s="71"/>
      <c r="O75" s="72"/>
    </row>
    <row r="76" spans="2:18" ht="13.5" customHeight="1" thickBot="1" x14ac:dyDescent="0.25">
      <c r="B76" s="803"/>
      <c r="C76" s="88" t="s">
        <v>194</v>
      </c>
      <c r="D76" s="815" t="s">
        <v>195</v>
      </c>
      <c r="E76" s="815"/>
      <c r="F76" s="815"/>
      <c r="G76" s="89">
        <v>0</v>
      </c>
      <c r="H76" s="90">
        <f t="shared" si="5"/>
        <v>0</v>
      </c>
      <c r="I76" s="63"/>
      <c r="J76" s="75" t="s">
        <v>189</v>
      </c>
      <c r="K76" s="50"/>
      <c r="L76" s="50"/>
      <c r="M76" s="50"/>
      <c r="N76" s="50"/>
      <c r="O76" s="83">
        <f>O42</f>
        <v>7800</v>
      </c>
    </row>
    <row r="77" spans="2:18" ht="13.5" thickBot="1" x14ac:dyDescent="0.25">
      <c r="B77" s="803"/>
      <c r="C77" s="93"/>
      <c r="D77" s="94"/>
      <c r="E77" s="816" t="s">
        <v>117</v>
      </c>
      <c r="F77" s="817"/>
      <c r="G77" s="95">
        <f>SUM(G68:G76)</f>
        <v>257724</v>
      </c>
      <c r="H77" s="96">
        <f>IF(SUM(G68:G74)&lt;150000,SUM(G68:G74),150000)+IF(+G75&lt;20000,+G75,20000)</f>
        <v>150000</v>
      </c>
      <c r="I77" s="63"/>
      <c r="J77" s="140"/>
      <c r="K77" s="141"/>
      <c r="L77" s="141"/>
      <c r="M77" s="142"/>
      <c r="N77" s="142"/>
      <c r="O77" s="143"/>
    </row>
    <row r="78" spans="2:18" ht="12.75" customHeight="1" x14ac:dyDescent="0.2">
      <c r="B78" s="803"/>
      <c r="C78" s="100" t="s">
        <v>196</v>
      </c>
      <c r="D78" s="782" t="s">
        <v>187</v>
      </c>
      <c r="E78" s="783"/>
      <c r="F78" s="818"/>
      <c r="G78" s="73">
        <f>+O42</f>
        <v>7800</v>
      </c>
      <c r="H78" s="101">
        <f>+IF(+G78&lt;25000,+G78,25000)</f>
        <v>7800</v>
      </c>
      <c r="I78" s="87"/>
    </row>
    <row r="79" spans="2:18" x14ac:dyDescent="0.2">
      <c r="B79" s="803"/>
      <c r="C79" s="100" t="s">
        <v>197</v>
      </c>
      <c r="D79" s="784" t="s">
        <v>198</v>
      </c>
      <c r="E79" s="785"/>
      <c r="F79" s="786"/>
      <c r="G79" s="102"/>
      <c r="H79" s="103">
        <f>+IF(+G79&lt;40000,+G79,40000)</f>
        <v>0</v>
      </c>
      <c r="I79" s="63"/>
    </row>
    <row r="80" spans="2:18" x14ac:dyDescent="0.2">
      <c r="B80" s="803"/>
      <c r="C80" s="100" t="s">
        <v>199</v>
      </c>
      <c r="D80" s="784" t="s">
        <v>200</v>
      </c>
      <c r="E80" s="785"/>
      <c r="F80" s="786"/>
      <c r="G80" s="81"/>
      <c r="H80" s="104">
        <v>0</v>
      </c>
      <c r="I80" s="63"/>
      <c r="J80" s="106"/>
    </row>
    <row r="81" spans="2:12" x14ac:dyDescent="0.2">
      <c r="B81" s="803"/>
      <c r="C81" s="100" t="s">
        <v>201</v>
      </c>
      <c r="D81" s="784" t="s">
        <v>202</v>
      </c>
      <c r="E81" s="785"/>
      <c r="F81" s="786"/>
      <c r="G81" s="81"/>
      <c r="H81" s="104">
        <v>0</v>
      </c>
      <c r="I81" s="63"/>
    </row>
    <row r="82" spans="2:12" ht="13.5" thickBot="1" x14ac:dyDescent="0.25">
      <c r="B82" s="804"/>
      <c r="C82" s="100" t="s">
        <v>203</v>
      </c>
      <c r="D82" s="784" t="s">
        <v>204</v>
      </c>
      <c r="E82" s="785"/>
      <c r="F82" s="786"/>
      <c r="G82" s="102"/>
      <c r="H82" s="103">
        <f>+IF(+G82&lt;100000,+G82,10000)</f>
        <v>0</v>
      </c>
      <c r="I82" s="63"/>
    </row>
    <row r="83" spans="2:12" ht="13.5" thickBot="1" x14ac:dyDescent="0.25">
      <c r="B83" s="787" t="s">
        <v>205</v>
      </c>
      <c r="C83" s="788"/>
      <c r="D83" s="788"/>
      <c r="E83" s="788"/>
      <c r="F83" s="788"/>
      <c r="G83" s="107">
        <f>SUM(G78:G82)</f>
        <v>7800</v>
      </c>
      <c r="H83" s="108">
        <f>SUM(H77:H82)</f>
        <v>157800</v>
      </c>
    </row>
    <row r="84" spans="2:12" ht="13.5" thickBot="1" x14ac:dyDescent="0.25"/>
    <row r="85" spans="2:12" ht="13.5" thickBot="1" x14ac:dyDescent="0.25">
      <c r="B85" s="789" t="s">
        <v>206</v>
      </c>
      <c r="C85" s="790"/>
      <c r="D85" s="790"/>
      <c r="E85" s="790"/>
      <c r="F85" s="791"/>
      <c r="G85" s="792">
        <f>+G64-H83</f>
        <v>760682</v>
      </c>
      <c r="H85" s="791"/>
      <c r="J85" s="109">
        <f>C37+D37+E37+F37</f>
        <v>441420</v>
      </c>
      <c r="K85" s="16" t="s">
        <v>235</v>
      </c>
    </row>
    <row r="86" spans="2:12" x14ac:dyDescent="0.2">
      <c r="B86" s="110"/>
      <c r="F86" s="105"/>
      <c r="J86" s="109">
        <f>G37+H37+I37</f>
        <v>286656</v>
      </c>
      <c r="K86" s="16" t="s">
        <v>236</v>
      </c>
      <c r="L86" s="16">
        <f>+J86/3</f>
        <v>95552</v>
      </c>
    </row>
    <row r="87" spans="2:12" x14ac:dyDescent="0.2">
      <c r="C87" s="793" t="s">
        <v>207</v>
      </c>
      <c r="D87" s="794"/>
      <c r="E87" s="111" t="s">
        <v>208</v>
      </c>
      <c r="F87" s="111" t="s">
        <v>209</v>
      </c>
      <c r="G87" s="111" t="s">
        <v>210</v>
      </c>
      <c r="H87" s="111" t="s">
        <v>211</v>
      </c>
      <c r="J87" s="109">
        <f>J37+K37+L37</f>
        <v>298196</v>
      </c>
      <c r="K87" s="47" t="s">
        <v>237</v>
      </c>
      <c r="L87" s="16">
        <f>+J87/3</f>
        <v>99398.666666666672</v>
      </c>
    </row>
    <row r="88" spans="2:12" x14ac:dyDescent="0.2">
      <c r="C88" s="795" t="str">
        <f>IF(I6="M","0          - 250000","0          -  250000")</f>
        <v>0          - 250000</v>
      </c>
      <c r="D88" s="796"/>
      <c r="E88" s="112">
        <v>0</v>
      </c>
      <c r="F88" s="113">
        <f>IF(I6="M",(IF(G85&lt;250000,G85,250000)),(IF(G85&lt;250000,G85,250000)))</f>
        <v>250000</v>
      </c>
      <c r="G88" s="113">
        <f>G85-F88</f>
        <v>510682</v>
      </c>
      <c r="H88" s="113">
        <f>E88*F88</f>
        <v>0</v>
      </c>
      <c r="J88" s="16">
        <f>M37+N37</f>
        <v>191248</v>
      </c>
      <c r="K88" s="1" t="s">
        <v>238</v>
      </c>
      <c r="L88" s="16">
        <f>+J88/2</f>
        <v>95624</v>
      </c>
    </row>
    <row r="89" spans="2:12" x14ac:dyDescent="0.2">
      <c r="C89" s="795" t="str">
        <f>IF(I6="M","250001 - 500000","250001-500000")</f>
        <v>250001 - 500000</v>
      </c>
      <c r="D89" s="796"/>
      <c r="E89" s="112">
        <v>0.05</v>
      </c>
      <c r="F89" s="113">
        <f>IF(I6="M",(IF(G88&lt;250000,G88,250000)),(IF(G88&lt;250000,G88,250000)))</f>
        <v>250000</v>
      </c>
      <c r="G89" s="113">
        <f>G88-F89</f>
        <v>260682</v>
      </c>
      <c r="H89" s="114">
        <f>ROUND(E89*F89,0.1)</f>
        <v>12500</v>
      </c>
      <c r="J89" s="115">
        <f>SUM(J85:J88)</f>
        <v>1217520</v>
      </c>
    </row>
    <row r="90" spans="2:12" x14ac:dyDescent="0.2">
      <c r="C90" s="797" t="s">
        <v>212</v>
      </c>
      <c r="D90" s="798"/>
      <c r="E90" s="112">
        <v>0.2</v>
      </c>
      <c r="F90" s="113">
        <f>IF(G89&lt;500000,G89,500000)</f>
        <v>260682</v>
      </c>
      <c r="G90" s="113">
        <f>G89-F90</f>
        <v>0</v>
      </c>
      <c r="H90" s="114">
        <f>ROUND(E90*F90,0.1)</f>
        <v>52136</v>
      </c>
      <c r="J90" s="16">
        <f>+G85</f>
        <v>760682</v>
      </c>
    </row>
    <row r="91" spans="2:12" x14ac:dyDescent="0.2">
      <c r="C91" s="795" t="s">
        <v>213</v>
      </c>
      <c r="D91" s="796"/>
      <c r="E91" s="112">
        <v>0.3</v>
      </c>
      <c r="F91" s="113">
        <f>G90</f>
        <v>0</v>
      </c>
      <c r="G91" s="113">
        <f>G90-F91</f>
        <v>0</v>
      </c>
      <c r="H91" s="114">
        <f>ROUND(E91*F91,0.1)</f>
        <v>0</v>
      </c>
      <c r="J91" s="87"/>
      <c r="K91" s="87"/>
    </row>
    <row r="92" spans="2:12" ht="12.75" customHeight="1" thickBot="1" x14ac:dyDescent="0.25">
      <c r="B92" s="116"/>
      <c r="C92" s="117"/>
      <c r="D92" s="47"/>
      <c r="E92" s="47"/>
      <c r="F92" s="47"/>
      <c r="J92" s="87"/>
      <c r="K92" s="118"/>
    </row>
    <row r="93" spans="2:12" ht="13.5" thickBot="1" x14ac:dyDescent="0.25">
      <c r="B93" s="799" t="s">
        <v>239</v>
      </c>
      <c r="C93" s="800"/>
      <c r="D93" s="800"/>
      <c r="E93" s="800"/>
      <c r="F93" s="801"/>
      <c r="G93" s="771">
        <f>H88+H89+H90+H91</f>
        <v>64636</v>
      </c>
      <c r="H93" s="772"/>
      <c r="J93" s="87"/>
      <c r="K93" s="87"/>
    </row>
    <row r="94" spans="2:12" ht="13.5" thickBot="1" x14ac:dyDescent="0.25">
      <c r="B94" s="119" t="s">
        <v>215</v>
      </c>
      <c r="C94" s="120"/>
      <c r="D94" s="120"/>
      <c r="E94" s="120"/>
      <c r="F94" s="120"/>
      <c r="G94" s="884">
        <f>IF((G64&lt;500000),5000,0)</f>
        <v>0</v>
      </c>
      <c r="H94" s="885">
        <f>IF(H92&lt;200000,0,IF(H92&lt;220000,((H92-200000)*10%),IF(H92&lt;=500000,2000,IF(H92&gt;=500000,0))))</f>
        <v>0</v>
      </c>
      <c r="J94" s="1"/>
      <c r="K94" s="121"/>
      <c r="L94" s="121"/>
    </row>
    <row r="95" spans="2:12" ht="13.5" thickBot="1" x14ac:dyDescent="0.25">
      <c r="B95" s="122" t="s">
        <v>216</v>
      </c>
      <c r="C95" s="123"/>
      <c r="D95" s="123"/>
      <c r="E95" s="123"/>
      <c r="F95" s="123"/>
      <c r="G95" s="771">
        <f>IF((G93-G94)&lt;0,0,(G93-G94))</f>
        <v>64636</v>
      </c>
      <c r="H95" s="772"/>
      <c r="I95" s="37"/>
    </row>
    <row r="96" spans="2:12" ht="13.5" thickBot="1" x14ac:dyDescent="0.25">
      <c r="B96" s="773" t="s">
        <v>240</v>
      </c>
      <c r="C96" s="774"/>
      <c r="D96" s="774"/>
      <c r="E96" s="774"/>
      <c r="F96" s="775"/>
      <c r="G96" s="776">
        <f>ROUND((IF(G95&gt;0,(G95*4%),0)),0)</f>
        <v>2585</v>
      </c>
      <c r="H96" s="777"/>
      <c r="I96" s="37"/>
    </row>
    <row r="97" spans="2:9" ht="13.5" thickBot="1" x14ac:dyDescent="0.25">
      <c r="B97" s="778" t="s">
        <v>218</v>
      </c>
      <c r="C97" s="779"/>
      <c r="D97" s="779"/>
      <c r="E97" s="779"/>
      <c r="F97" s="779"/>
      <c r="G97" s="780">
        <f>G95+G96</f>
        <v>67221</v>
      </c>
      <c r="H97" s="781"/>
      <c r="I97" s="121"/>
    </row>
    <row r="98" spans="2:9" ht="13.5" thickBot="1" x14ac:dyDescent="0.25">
      <c r="B98" s="765" t="s">
        <v>219</v>
      </c>
      <c r="C98" s="766"/>
      <c r="D98" s="766"/>
      <c r="E98" s="766"/>
      <c r="F98" s="766"/>
      <c r="G98" s="767">
        <f>O38</f>
        <v>67228</v>
      </c>
      <c r="H98" s="768"/>
      <c r="I98" s="121"/>
    </row>
    <row r="99" spans="2:9" ht="13.5" thickBot="1" x14ac:dyDescent="0.25">
      <c r="B99" s="765" t="str">
        <f>IF(G99&gt;0,"TAX PAYABLE","TAX REFUND")</f>
        <v>TAX REFUND</v>
      </c>
      <c r="C99" s="766"/>
      <c r="D99" s="766"/>
      <c r="E99" s="766"/>
      <c r="F99" s="766"/>
      <c r="G99" s="767">
        <f>+G97-G98</f>
        <v>-7</v>
      </c>
      <c r="H99" s="768"/>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0:F90 B99:F99 B93:F97">
    <cfRule type="cellIs" dxfId="439" priority="5" stopIfTrue="1" operator="equal">
      <formula>"TAX PAYABLE"</formula>
    </cfRule>
    <cfRule type="cellIs" dxfId="438" priority="6" stopIfTrue="1" operator="equal">
      <formula>"TAX REFUND"</formula>
    </cfRule>
  </conditionalFormatting>
  <conditionalFormatting sqref="G90:H90">
    <cfRule type="cellIs" dxfId="437" priority="3" stopIfTrue="1" operator="lessThan">
      <formula>0</formula>
    </cfRule>
    <cfRule type="cellIs" dxfId="436" priority="4" stopIfTrue="1" operator="greaterThan">
      <formula>0</formula>
    </cfRule>
  </conditionalFormatting>
  <conditionalFormatting sqref="G99:H99">
    <cfRule type="cellIs" dxfId="435" priority="1" stopIfTrue="1" operator="greaterThan">
      <formula>0</formula>
    </cfRule>
    <cfRule type="cellIs" dxfId="434"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hyperlinks>
    <hyperlink ref="J51" r:id="rId1" display="+J37-@sum(J22:J36)"/>
  </hyperlinks>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8"/>
  <sheetViews>
    <sheetView topLeftCell="A50" workbookViewId="0">
      <selection activeCell="G98" sqref="G98:H98"/>
    </sheetView>
  </sheetViews>
  <sheetFormatPr defaultRowHeight="12.75" x14ac:dyDescent="0.2"/>
  <cols>
    <col min="1" max="1" width="5" style="16" customWidth="1"/>
    <col min="2" max="2" width="18.85546875" style="37" customWidth="1"/>
    <col min="3" max="3" width="11.140625" style="16" bestFit="1" customWidth="1"/>
    <col min="4" max="4" width="6.7109375" style="16" bestFit="1" customWidth="1"/>
    <col min="5" max="5" width="8.5703125" style="16" bestFit="1" customWidth="1"/>
    <col min="6" max="6" width="9.28515625" style="16" bestFit="1" customWidth="1"/>
    <col min="7" max="7" width="10.42578125" style="16" bestFit="1" customWidth="1"/>
    <col min="8" max="8" width="10.28515625" style="16" bestFit="1" customWidth="1"/>
    <col min="9" max="9" width="7.140625" style="16" bestFit="1" customWidth="1"/>
    <col min="10" max="10" width="8" style="16" customWidth="1"/>
    <col min="11" max="12" width="7" style="16" bestFit="1" customWidth="1"/>
    <col min="13" max="13" width="6.85546875" style="16" bestFit="1" customWidth="1"/>
    <col min="14" max="14" width="7" style="16" bestFit="1" customWidth="1"/>
    <col min="15" max="15" width="8.42578125" style="16" customWidth="1"/>
    <col min="16" max="18" width="9.140625" style="16"/>
    <col min="19" max="19" width="12.42578125" style="16" customWidth="1"/>
    <col min="20" max="20" width="9.140625" style="16"/>
    <col min="21" max="21" width="12" style="16" customWidth="1"/>
    <col min="22" max="256" width="9.140625" style="16"/>
    <col min="257" max="257" width="5" style="16" customWidth="1"/>
    <col min="258" max="258" width="18.85546875" style="16" customWidth="1"/>
    <col min="259" max="259" width="11.140625" style="16" bestFit="1" customWidth="1"/>
    <col min="260" max="260" width="6.7109375" style="16" bestFit="1" customWidth="1"/>
    <col min="261" max="261" width="8.5703125" style="16" bestFit="1" customWidth="1"/>
    <col min="262" max="262" width="9.28515625" style="16" bestFit="1" customWidth="1"/>
    <col min="263" max="263" width="10.42578125" style="16" bestFit="1" customWidth="1"/>
    <col min="264" max="264" width="10.28515625" style="16" bestFit="1" customWidth="1"/>
    <col min="265" max="265" width="7.140625" style="16" bestFit="1" customWidth="1"/>
    <col min="266" max="266" width="8" style="16" customWidth="1"/>
    <col min="267" max="268" width="7" style="16" bestFit="1" customWidth="1"/>
    <col min="269" max="269" width="6.85546875" style="16" bestFit="1" customWidth="1"/>
    <col min="270" max="270" width="7" style="16" bestFit="1" customWidth="1"/>
    <col min="271" max="271" width="8.42578125" style="16" customWidth="1"/>
    <col min="272" max="274" width="9.140625" style="16"/>
    <col min="275" max="275" width="12.42578125" style="16" customWidth="1"/>
    <col min="276" max="276" width="9.140625" style="16"/>
    <col min="277" max="277" width="12" style="16" customWidth="1"/>
    <col min="278" max="512" width="9.140625" style="16"/>
    <col min="513" max="513" width="5" style="16" customWidth="1"/>
    <col min="514" max="514" width="18.85546875" style="16" customWidth="1"/>
    <col min="515" max="515" width="11.140625" style="16" bestFit="1" customWidth="1"/>
    <col min="516" max="516" width="6.7109375" style="16" bestFit="1" customWidth="1"/>
    <col min="517" max="517" width="8.5703125" style="16" bestFit="1" customWidth="1"/>
    <col min="518" max="518" width="9.28515625" style="16" bestFit="1" customWidth="1"/>
    <col min="519" max="519" width="10.42578125" style="16" bestFit="1" customWidth="1"/>
    <col min="520" max="520" width="10.28515625" style="16" bestFit="1" customWidth="1"/>
    <col min="521" max="521" width="7.140625" style="16" bestFit="1" customWidth="1"/>
    <col min="522" max="522" width="8" style="16" customWidth="1"/>
    <col min="523" max="524" width="7" style="16" bestFit="1" customWidth="1"/>
    <col min="525" max="525" width="6.85546875" style="16" bestFit="1" customWidth="1"/>
    <col min="526" max="526" width="7" style="16" bestFit="1" customWidth="1"/>
    <col min="527" max="527" width="8.42578125" style="16" customWidth="1"/>
    <col min="528" max="530" width="9.140625" style="16"/>
    <col min="531" max="531" width="12.42578125" style="16" customWidth="1"/>
    <col min="532" max="532" width="9.140625" style="16"/>
    <col min="533" max="533" width="12" style="16" customWidth="1"/>
    <col min="534" max="768" width="9.140625" style="16"/>
    <col min="769" max="769" width="5" style="16" customWidth="1"/>
    <col min="770" max="770" width="18.85546875" style="16" customWidth="1"/>
    <col min="771" max="771" width="11.140625" style="16" bestFit="1" customWidth="1"/>
    <col min="772" max="772" width="6.7109375" style="16" bestFit="1" customWidth="1"/>
    <col min="773" max="773" width="8.5703125" style="16" bestFit="1" customWidth="1"/>
    <col min="774" max="774" width="9.28515625" style="16" bestFit="1" customWidth="1"/>
    <col min="775" max="775" width="10.42578125" style="16" bestFit="1" customWidth="1"/>
    <col min="776" max="776" width="10.28515625" style="16" bestFit="1" customWidth="1"/>
    <col min="777" max="777" width="7.140625" style="16" bestFit="1" customWidth="1"/>
    <col min="778" max="778" width="8" style="16" customWidth="1"/>
    <col min="779" max="780" width="7" style="16" bestFit="1" customWidth="1"/>
    <col min="781" max="781" width="6.85546875" style="16" bestFit="1" customWidth="1"/>
    <col min="782" max="782" width="7" style="16" bestFit="1" customWidth="1"/>
    <col min="783" max="783" width="8.42578125" style="16" customWidth="1"/>
    <col min="784" max="786" width="9.140625" style="16"/>
    <col min="787" max="787" width="12.42578125" style="16" customWidth="1"/>
    <col min="788" max="788" width="9.140625" style="16"/>
    <col min="789" max="789" width="12" style="16" customWidth="1"/>
    <col min="790" max="1024" width="9.140625" style="16"/>
    <col min="1025" max="1025" width="5" style="16" customWidth="1"/>
    <col min="1026" max="1026" width="18.85546875" style="16" customWidth="1"/>
    <col min="1027" max="1027" width="11.140625" style="16" bestFit="1" customWidth="1"/>
    <col min="1028" max="1028" width="6.7109375" style="16" bestFit="1" customWidth="1"/>
    <col min="1029" max="1029" width="8.5703125" style="16" bestFit="1" customWidth="1"/>
    <col min="1030" max="1030" width="9.28515625" style="16" bestFit="1" customWidth="1"/>
    <col min="1031" max="1031" width="10.42578125" style="16" bestFit="1" customWidth="1"/>
    <col min="1032" max="1032" width="10.28515625" style="16" bestFit="1" customWidth="1"/>
    <col min="1033" max="1033" width="7.140625" style="16" bestFit="1" customWidth="1"/>
    <col min="1034" max="1034" width="8" style="16" customWidth="1"/>
    <col min="1035" max="1036" width="7" style="16" bestFit="1" customWidth="1"/>
    <col min="1037" max="1037" width="6.85546875" style="16" bestFit="1" customWidth="1"/>
    <col min="1038" max="1038" width="7" style="16" bestFit="1" customWidth="1"/>
    <col min="1039" max="1039" width="8.42578125" style="16" customWidth="1"/>
    <col min="1040" max="1042" width="9.140625" style="16"/>
    <col min="1043" max="1043" width="12.42578125" style="16" customWidth="1"/>
    <col min="1044" max="1044" width="9.140625" style="16"/>
    <col min="1045" max="1045" width="12" style="16" customWidth="1"/>
    <col min="1046" max="1280" width="9.140625" style="16"/>
    <col min="1281" max="1281" width="5" style="16" customWidth="1"/>
    <col min="1282" max="1282" width="18.85546875" style="16" customWidth="1"/>
    <col min="1283" max="1283" width="11.140625" style="16" bestFit="1" customWidth="1"/>
    <col min="1284" max="1284" width="6.7109375" style="16" bestFit="1" customWidth="1"/>
    <col min="1285" max="1285" width="8.5703125" style="16" bestFit="1" customWidth="1"/>
    <col min="1286" max="1286" width="9.28515625" style="16" bestFit="1" customWidth="1"/>
    <col min="1287" max="1287" width="10.42578125" style="16" bestFit="1" customWidth="1"/>
    <col min="1288" max="1288" width="10.28515625" style="16" bestFit="1" customWidth="1"/>
    <col min="1289" max="1289" width="7.140625" style="16" bestFit="1" customWidth="1"/>
    <col min="1290" max="1290" width="8" style="16" customWidth="1"/>
    <col min="1291" max="1292" width="7" style="16" bestFit="1" customWidth="1"/>
    <col min="1293" max="1293" width="6.85546875" style="16" bestFit="1" customWidth="1"/>
    <col min="1294" max="1294" width="7" style="16" bestFit="1" customWidth="1"/>
    <col min="1295" max="1295" width="8.42578125" style="16" customWidth="1"/>
    <col min="1296" max="1298" width="9.140625" style="16"/>
    <col min="1299" max="1299" width="12.42578125" style="16" customWidth="1"/>
    <col min="1300" max="1300" width="9.140625" style="16"/>
    <col min="1301" max="1301" width="12" style="16" customWidth="1"/>
    <col min="1302" max="1536" width="9.140625" style="16"/>
    <col min="1537" max="1537" width="5" style="16" customWidth="1"/>
    <col min="1538" max="1538" width="18.85546875" style="16" customWidth="1"/>
    <col min="1539" max="1539" width="11.140625" style="16" bestFit="1" customWidth="1"/>
    <col min="1540" max="1540" width="6.7109375" style="16" bestFit="1" customWidth="1"/>
    <col min="1541" max="1541" width="8.5703125" style="16" bestFit="1" customWidth="1"/>
    <col min="1542" max="1542" width="9.28515625" style="16" bestFit="1" customWidth="1"/>
    <col min="1543" max="1543" width="10.42578125" style="16" bestFit="1" customWidth="1"/>
    <col min="1544" max="1544" width="10.28515625" style="16" bestFit="1" customWidth="1"/>
    <col min="1545" max="1545" width="7.140625" style="16" bestFit="1" customWidth="1"/>
    <col min="1546" max="1546" width="8" style="16" customWidth="1"/>
    <col min="1547" max="1548" width="7" style="16" bestFit="1" customWidth="1"/>
    <col min="1549" max="1549" width="6.85546875" style="16" bestFit="1" customWidth="1"/>
    <col min="1550" max="1550" width="7" style="16" bestFit="1" customWidth="1"/>
    <col min="1551" max="1551" width="8.42578125" style="16" customWidth="1"/>
    <col min="1552" max="1554" width="9.140625" style="16"/>
    <col min="1555" max="1555" width="12.42578125" style="16" customWidth="1"/>
    <col min="1556" max="1556" width="9.140625" style="16"/>
    <col min="1557" max="1557" width="12" style="16" customWidth="1"/>
    <col min="1558" max="1792" width="9.140625" style="16"/>
    <col min="1793" max="1793" width="5" style="16" customWidth="1"/>
    <col min="1794" max="1794" width="18.85546875" style="16" customWidth="1"/>
    <col min="1795" max="1795" width="11.140625" style="16" bestFit="1" customWidth="1"/>
    <col min="1796" max="1796" width="6.7109375" style="16" bestFit="1" customWidth="1"/>
    <col min="1797" max="1797" width="8.5703125" style="16" bestFit="1" customWidth="1"/>
    <col min="1798" max="1798" width="9.28515625" style="16" bestFit="1" customWidth="1"/>
    <col min="1799" max="1799" width="10.42578125" style="16" bestFit="1" customWidth="1"/>
    <col min="1800" max="1800" width="10.28515625" style="16" bestFit="1" customWidth="1"/>
    <col min="1801" max="1801" width="7.140625" style="16" bestFit="1" customWidth="1"/>
    <col min="1802" max="1802" width="8" style="16" customWidth="1"/>
    <col min="1803" max="1804" width="7" style="16" bestFit="1" customWidth="1"/>
    <col min="1805" max="1805" width="6.85546875" style="16" bestFit="1" customWidth="1"/>
    <col min="1806" max="1806" width="7" style="16" bestFit="1" customWidth="1"/>
    <col min="1807" max="1807" width="8.42578125" style="16" customWidth="1"/>
    <col min="1808" max="1810" width="9.140625" style="16"/>
    <col min="1811" max="1811" width="12.42578125" style="16" customWidth="1"/>
    <col min="1812" max="1812" width="9.140625" style="16"/>
    <col min="1813" max="1813" width="12" style="16" customWidth="1"/>
    <col min="1814" max="2048" width="9.140625" style="16"/>
    <col min="2049" max="2049" width="5" style="16" customWidth="1"/>
    <col min="2050" max="2050" width="18.85546875" style="16" customWidth="1"/>
    <col min="2051" max="2051" width="11.140625" style="16" bestFit="1" customWidth="1"/>
    <col min="2052" max="2052" width="6.7109375" style="16" bestFit="1" customWidth="1"/>
    <col min="2053" max="2053" width="8.5703125" style="16" bestFit="1" customWidth="1"/>
    <col min="2054" max="2054" width="9.28515625" style="16" bestFit="1" customWidth="1"/>
    <col min="2055" max="2055" width="10.42578125" style="16" bestFit="1" customWidth="1"/>
    <col min="2056" max="2056" width="10.28515625" style="16" bestFit="1" customWidth="1"/>
    <col min="2057" max="2057" width="7.140625" style="16" bestFit="1" customWidth="1"/>
    <col min="2058" max="2058" width="8" style="16" customWidth="1"/>
    <col min="2059" max="2060" width="7" style="16" bestFit="1" customWidth="1"/>
    <col min="2061" max="2061" width="6.85546875" style="16" bestFit="1" customWidth="1"/>
    <col min="2062" max="2062" width="7" style="16" bestFit="1" customWidth="1"/>
    <col min="2063" max="2063" width="8.42578125" style="16" customWidth="1"/>
    <col min="2064" max="2066" width="9.140625" style="16"/>
    <col min="2067" max="2067" width="12.42578125" style="16" customWidth="1"/>
    <col min="2068" max="2068" width="9.140625" style="16"/>
    <col min="2069" max="2069" width="12" style="16" customWidth="1"/>
    <col min="2070" max="2304" width="9.140625" style="16"/>
    <col min="2305" max="2305" width="5" style="16" customWidth="1"/>
    <col min="2306" max="2306" width="18.85546875" style="16" customWidth="1"/>
    <col min="2307" max="2307" width="11.140625" style="16" bestFit="1" customWidth="1"/>
    <col min="2308" max="2308" width="6.7109375" style="16" bestFit="1" customWidth="1"/>
    <col min="2309" max="2309" width="8.5703125" style="16" bestFit="1" customWidth="1"/>
    <col min="2310" max="2310" width="9.28515625" style="16" bestFit="1" customWidth="1"/>
    <col min="2311" max="2311" width="10.42578125" style="16" bestFit="1" customWidth="1"/>
    <col min="2312" max="2312" width="10.28515625" style="16" bestFit="1" customWidth="1"/>
    <col min="2313" max="2313" width="7.140625" style="16" bestFit="1" customWidth="1"/>
    <col min="2314" max="2314" width="8" style="16" customWidth="1"/>
    <col min="2315" max="2316" width="7" style="16" bestFit="1" customWidth="1"/>
    <col min="2317" max="2317" width="6.85546875" style="16" bestFit="1" customWidth="1"/>
    <col min="2318" max="2318" width="7" style="16" bestFit="1" customWidth="1"/>
    <col min="2319" max="2319" width="8.42578125" style="16" customWidth="1"/>
    <col min="2320" max="2322" width="9.140625" style="16"/>
    <col min="2323" max="2323" width="12.42578125" style="16" customWidth="1"/>
    <col min="2324" max="2324" width="9.140625" style="16"/>
    <col min="2325" max="2325" width="12" style="16" customWidth="1"/>
    <col min="2326" max="2560" width="9.140625" style="16"/>
    <col min="2561" max="2561" width="5" style="16" customWidth="1"/>
    <col min="2562" max="2562" width="18.85546875" style="16" customWidth="1"/>
    <col min="2563" max="2563" width="11.140625" style="16" bestFit="1" customWidth="1"/>
    <col min="2564" max="2564" width="6.7109375" style="16" bestFit="1" customWidth="1"/>
    <col min="2565" max="2565" width="8.5703125" style="16" bestFit="1" customWidth="1"/>
    <col min="2566" max="2566" width="9.28515625" style="16" bestFit="1" customWidth="1"/>
    <col min="2567" max="2567" width="10.42578125" style="16" bestFit="1" customWidth="1"/>
    <col min="2568" max="2568" width="10.28515625" style="16" bestFit="1" customWidth="1"/>
    <col min="2569" max="2569" width="7.140625" style="16" bestFit="1" customWidth="1"/>
    <col min="2570" max="2570" width="8" style="16" customWidth="1"/>
    <col min="2571" max="2572" width="7" style="16" bestFit="1" customWidth="1"/>
    <col min="2573" max="2573" width="6.85546875" style="16" bestFit="1" customWidth="1"/>
    <col min="2574" max="2574" width="7" style="16" bestFit="1" customWidth="1"/>
    <col min="2575" max="2575" width="8.42578125" style="16" customWidth="1"/>
    <col min="2576" max="2578" width="9.140625" style="16"/>
    <col min="2579" max="2579" width="12.42578125" style="16" customWidth="1"/>
    <col min="2580" max="2580" width="9.140625" style="16"/>
    <col min="2581" max="2581" width="12" style="16" customWidth="1"/>
    <col min="2582" max="2816" width="9.140625" style="16"/>
    <col min="2817" max="2817" width="5" style="16" customWidth="1"/>
    <col min="2818" max="2818" width="18.85546875" style="16" customWidth="1"/>
    <col min="2819" max="2819" width="11.140625" style="16" bestFit="1" customWidth="1"/>
    <col min="2820" max="2820" width="6.7109375" style="16" bestFit="1" customWidth="1"/>
    <col min="2821" max="2821" width="8.5703125" style="16" bestFit="1" customWidth="1"/>
    <col min="2822" max="2822" width="9.28515625" style="16" bestFit="1" customWidth="1"/>
    <col min="2823" max="2823" width="10.42578125" style="16" bestFit="1" customWidth="1"/>
    <col min="2824" max="2824" width="10.28515625" style="16" bestFit="1" customWidth="1"/>
    <col min="2825" max="2825" width="7.140625" style="16" bestFit="1" customWidth="1"/>
    <col min="2826" max="2826" width="8" style="16" customWidth="1"/>
    <col min="2827" max="2828" width="7" style="16" bestFit="1" customWidth="1"/>
    <col min="2829" max="2829" width="6.85546875" style="16" bestFit="1" customWidth="1"/>
    <col min="2830" max="2830" width="7" style="16" bestFit="1" customWidth="1"/>
    <col min="2831" max="2831" width="8.42578125" style="16" customWidth="1"/>
    <col min="2832" max="2834" width="9.140625" style="16"/>
    <col min="2835" max="2835" width="12.42578125" style="16" customWidth="1"/>
    <col min="2836" max="2836" width="9.140625" style="16"/>
    <col min="2837" max="2837" width="12" style="16" customWidth="1"/>
    <col min="2838" max="3072" width="9.140625" style="16"/>
    <col min="3073" max="3073" width="5" style="16" customWidth="1"/>
    <col min="3074" max="3074" width="18.85546875" style="16" customWidth="1"/>
    <col min="3075" max="3075" width="11.140625" style="16" bestFit="1" customWidth="1"/>
    <col min="3076" max="3076" width="6.7109375" style="16" bestFit="1" customWidth="1"/>
    <col min="3077" max="3077" width="8.5703125" style="16" bestFit="1" customWidth="1"/>
    <col min="3078" max="3078" width="9.28515625" style="16" bestFit="1" customWidth="1"/>
    <col min="3079" max="3079" width="10.42578125" style="16" bestFit="1" customWidth="1"/>
    <col min="3080" max="3080" width="10.28515625" style="16" bestFit="1" customWidth="1"/>
    <col min="3081" max="3081" width="7.140625" style="16" bestFit="1" customWidth="1"/>
    <col min="3082" max="3082" width="8" style="16" customWidth="1"/>
    <col min="3083" max="3084" width="7" style="16" bestFit="1" customWidth="1"/>
    <col min="3085" max="3085" width="6.85546875" style="16" bestFit="1" customWidth="1"/>
    <col min="3086" max="3086" width="7" style="16" bestFit="1" customWidth="1"/>
    <col min="3087" max="3087" width="8.42578125" style="16" customWidth="1"/>
    <col min="3088" max="3090" width="9.140625" style="16"/>
    <col min="3091" max="3091" width="12.42578125" style="16" customWidth="1"/>
    <col min="3092" max="3092" width="9.140625" style="16"/>
    <col min="3093" max="3093" width="12" style="16" customWidth="1"/>
    <col min="3094" max="3328" width="9.140625" style="16"/>
    <col min="3329" max="3329" width="5" style="16" customWidth="1"/>
    <col min="3330" max="3330" width="18.85546875" style="16" customWidth="1"/>
    <col min="3331" max="3331" width="11.140625" style="16" bestFit="1" customWidth="1"/>
    <col min="3332" max="3332" width="6.7109375" style="16" bestFit="1" customWidth="1"/>
    <col min="3333" max="3333" width="8.5703125" style="16" bestFit="1" customWidth="1"/>
    <col min="3334" max="3334" width="9.28515625" style="16" bestFit="1" customWidth="1"/>
    <col min="3335" max="3335" width="10.42578125" style="16" bestFit="1" customWidth="1"/>
    <col min="3336" max="3336" width="10.28515625" style="16" bestFit="1" customWidth="1"/>
    <col min="3337" max="3337" width="7.140625" style="16" bestFit="1" customWidth="1"/>
    <col min="3338" max="3338" width="8" style="16" customWidth="1"/>
    <col min="3339" max="3340" width="7" style="16" bestFit="1" customWidth="1"/>
    <col min="3341" max="3341" width="6.85546875" style="16" bestFit="1" customWidth="1"/>
    <col min="3342" max="3342" width="7" style="16" bestFit="1" customWidth="1"/>
    <col min="3343" max="3343" width="8.42578125" style="16" customWidth="1"/>
    <col min="3344" max="3346" width="9.140625" style="16"/>
    <col min="3347" max="3347" width="12.42578125" style="16" customWidth="1"/>
    <col min="3348" max="3348" width="9.140625" style="16"/>
    <col min="3349" max="3349" width="12" style="16" customWidth="1"/>
    <col min="3350" max="3584" width="9.140625" style="16"/>
    <col min="3585" max="3585" width="5" style="16" customWidth="1"/>
    <col min="3586" max="3586" width="18.85546875" style="16" customWidth="1"/>
    <col min="3587" max="3587" width="11.140625" style="16" bestFit="1" customWidth="1"/>
    <col min="3588" max="3588" width="6.7109375" style="16" bestFit="1" customWidth="1"/>
    <col min="3589" max="3589" width="8.5703125" style="16" bestFit="1" customWidth="1"/>
    <col min="3590" max="3590" width="9.28515625" style="16" bestFit="1" customWidth="1"/>
    <col min="3591" max="3591" width="10.42578125" style="16" bestFit="1" customWidth="1"/>
    <col min="3592" max="3592" width="10.28515625" style="16" bestFit="1" customWidth="1"/>
    <col min="3593" max="3593" width="7.140625" style="16" bestFit="1" customWidth="1"/>
    <col min="3594" max="3594" width="8" style="16" customWidth="1"/>
    <col min="3595" max="3596" width="7" style="16" bestFit="1" customWidth="1"/>
    <col min="3597" max="3597" width="6.85546875" style="16" bestFit="1" customWidth="1"/>
    <col min="3598" max="3598" width="7" style="16" bestFit="1" customWidth="1"/>
    <col min="3599" max="3599" width="8.42578125" style="16" customWidth="1"/>
    <col min="3600" max="3602" width="9.140625" style="16"/>
    <col min="3603" max="3603" width="12.42578125" style="16" customWidth="1"/>
    <col min="3604" max="3604" width="9.140625" style="16"/>
    <col min="3605" max="3605" width="12" style="16" customWidth="1"/>
    <col min="3606" max="3840" width="9.140625" style="16"/>
    <col min="3841" max="3841" width="5" style="16" customWidth="1"/>
    <col min="3842" max="3842" width="18.85546875" style="16" customWidth="1"/>
    <col min="3843" max="3843" width="11.140625" style="16" bestFit="1" customWidth="1"/>
    <col min="3844" max="3844" width="6.7109375" style="16" bestFit="1" customWidth="1"/>
    <col min="3845" max="3845" width="8.5703125" style="16" bestFit="1" customWidth="1"/>
    <col min="3846" max="3846" width="9.28515625" style="16" bestFit="1" customWidth="1"/>
    <col min="3847" max="3847" width="10.42578125" style="16" bestFit="1" customWidth="1"/>
    <col min="3848" max="3848" width="10.28515625" style="16" bestFit="1" customWidth="1"/>
    <col min="3849" max="3849" width="7.140625" style="16" bestFit="1" customWidth="1"/>
    <col min="3850" max="3850" width="8" style="16" customWidth="1"/>
    <col min="3851" max="3852" width="7" style="16" bestFit="1" customWidth="1"/>
    <col min="3853" max="3853" width="6.85546875" style="16" bestFit="1" customWidth="1"/>
    <col min="3854" max="3854" width="7" style="16" bestFit="1" customWidth="1"/>
    <col min="3855" max="3855" width="8.42578125" style="16" customWidth="1"/>
    <col min="3856" max="3858" width="9.140625" style="16"/>
    <col min="3859" max="3859" width="12.42578125" style="16" customWidth="1"/>
    <col min="3860" max="3860" width="9.140625" style="16"/>
    <col min="3861" max="3861" width="12" style="16" customWidth="1"/>
    <col min="3862" max="4096" width="9.140625" style="16"/>
    <col min="4097" max="4097" width="5" style="16" customWidth="1"/>
    <col min="4098" max="4098" width="18.85546875" style="16" customWidth="1"/>
    <col min="4099" max="4099" width="11.140625" style="16" bestFit="1" customWidth="1"/>
    <col min="4100" max="4100" width="6.7109375" style="16" bestFit="1" customWidth="1"/>
    <col min="4101" max="4101" width="8.5703125" style="16" bestFit="1" customWidth="1"/>
    <col min="4102" max="4102" width="9.28515625" style="16" bestFit="1" customWidth="1"/>
    <col min="4103" max="4103" width="10.42578125" style="16" bestFit="1" customWidth="1"/>
    <col min="4104" max="4104" width="10.28515625" style="16" bestFit="1" customWidth="1"/>
    <col min="4105" max="4105" width="7.140625" style="16" bestFit="1" customWidth="1"/>
    <col min="4106" max="4106" width="8" style="16" customWidth="1"/>
    <col min="4107" max="4108" width="7" style="16" bestFit="1" customWidth="1"/>
    <col min="4109" max="4109" width="6.85546875" style="16" bestFit="1" customWidth="1"/>
    <col min="4110" max="4110" width="7" style="16" bestFit="1" customWidth="1"/>
    <col min="4111" max="4111" width="8.42578125" style="16" customWidth="1"/>
    <col min="4112" max="4114" width="9.140625" style="16"/>
    <col min="4115" max="4115" width="12.42578125" style="16" customWidth="1"/>
    <col min="4116" max="4116" width="9.140625" style="16"/>
    <col min="4117" max="4117" width="12" style="16" customWidth="1"/>
    <col min="4118" max="4352" width="9.140625" style="16"/>
    <col min="4353" max="4353" width="5" style="16" customWidth="1"/>
    <col min="4354" max="4354" width="18.85546875" style="16" customWidth="1"/>
    <col min="4355" max="4355" width="11.140625" style="16" bestFit="1" customWidth="1"/>
    <col min="4356" max="4356" width="6.7109375" style="16" bestFit="1" customWidth="1"/>
    <col min="4357" max="4357" width="8.5703125" style="16" bestFit="1" customWidth="1"/>
    <col min="4358" max="4358" width="9.28515625" style="16" bestFit="1" customWidth="1"/>
    <col min="4359" max="4359" width="10.42578125" style="16" bestFit="1" customWidth="1"/>
    <col min="4360" max="4360" width="10.28515625" style="16" bestFit="1" customWidth="1"/>
    <col min="4361" max="4361" width="7.140625" style="16" bestFit="1" customWidth="1"/>
    <col min="4362" max="4362" width="8" style="16" customWidth="1"/>
    <col min="4363" max="4364" width="7" style="16" bestFit="1" customWidth="1"/>
    <col min="4365" max="4365" width="6.85546875" style="16" bestFit="1" customWidth="1"/>
    <col min="4366" max="4366" width="7" style="16" bestFit="1" customWidth="1"/>
    <col min="4367" max="4367" width="8.42578125" style="16" customWidth="1"/>
    <col min="4368" max="4370" width="9.140625" style="16"/>
    <col min="4371" max="4371" width="12.42578125" style="16" customWidth="1"/>
    <col min="4372" max="4372" width="9.140625" style="16"/>
    <col min="4373" max="4373" width="12" style="16" customWidth="1"/>
    <col min="4374" max="4608" width="9.140625" style="16"/>
    <col min="4609" max="4609" width="5" style="16" customWidth="1"/>
    <col min="4610" max="4610" width="18.85546875" style="16" customWidth="1"/>
    <col min="4611" max="4611" width="11.140625" style="16" bestFit="1" customWidth="1"/>
    <col min="4612" max="4612" width="6.7109375" style="16" bestFit="1" customWidth="1"/>
    <col min="4613" max="4613" width="8.5703125" style="16" bestFit="1" customWidth="1"/>
    <col min="4614" max="4614" width="9.28515625" style="16" bestFit="1" customWidth="1"/>
    <col min="4615" max="4615" width="10.42578125" style="16" bestFit="1" customWidth="1"/>
    <col min="4616" max="4616" width="10.28515625" style="16" bestFit="1" customWidth="1"/>
    <col min="4617" max="4617" width="7.140625" style="16" bestFit="1" customWidth="1"/>
    <col min="4618" max="4618" width="8" style="16" customWidth="1"/>
    <col min="4619" max="4620" width="7" style="16" bestFit="1" customWidth="1"/>
    <col min="4621" max="4621" width="6.85546875" style="16" bestFit="1" customWidth="1"/>
    <col min="4622" max="4622" width="7" style="16" bestFit="1" customWidth="1"/>
    <col min="4623" max="4623" width="8.42578125" style="16" customWidth="1"/>
    <col min="4624" max="4626" width="9.140625" style="16"/>
    <col min="4627" max="4627" width="12.42578125" style="16" customWidth="1"/>
    <col min="4628" max="4628" width="9.140625" style="16"/>
    <col min="4629" max="4629" width="12" style="16" customWidth="1"/>
    <col min="4630" max="4864" width="9.140625" style="16"/>
    <col min="4865" max="4865" width="5" style="16" customWidth="1"/>
    <col min="4866" max="4866" width="18.85546875" style="16" customWidth="1"/>
    <col min="4867" max="4867" width="11.140625" style="16" bestFit="1" customWidth="1"/>
    <col min="4868" max="4868" width="6.7109375" style="16" bestFit="1" customWidth="1"/>
    <col min="4869" max="4869" width="8.5703125" style="16" bestFit="1" customWidth="1"/>
    <col min="4870" max="4870" width="9.28515625" style="16" bestFit="1" customWidth="1"/>
    <col min="4871" max="4871" width="10.42578125" style="16" bestFit="1" customWidth="1"/>
    <col min="4872" max="4872" width="10.28515625" style="16" bestFit="1" customWidth="1"/>
    <col min="4873" max="4873" width="7.140625" style="16" bestFit="1" customWidth="1"/>
    <col min="4874" max="4874" width="8" style="16" customWidth="1"/>
    <col min="4875" max="4876" width="7" style="16" bestFit="1" customWidth="1"/>
    <col min="4877" max="4877" width="6.85546875" style="16" bestFit="1" customWidth="1"/>
    <col min="4878" max="4878" width="7" style="16" bestFit="1" customWidth="1"/>
    <col min="4879" max="4879" width="8.42578125" style="16" customWidth="1"/>
    <col min="4880" max="4882" width="9.140625" style="16"/>
    <col min="4883" max="4883" width="12.42578125" style="16" customWidth="1"/>
    <col min="4884" max="4884" width="9.140625" style="16"/>
    <col min="4885" max="4885" width="12" style="16" customWidth="1"/>
    <col min="4886" max="5120" width="9.140625" style="16"/>
    <col min="5121" max="5121" width="5" style="16" customWidth="1"/>
    <col min="5122" max="5122" width="18.85546875" style="16" customWidth="1"/>
    <col min="5123" max="5123" width="11.140625" style="16" bestFit="1" customWidth="1"/>
    <col min="5124" max="5124" width="6.7109375" style="16" bestFit="1" customWidth="1"/>
    <col min="5125" max="5125" width="8.5703125" style="16" bestFit="1" customWidth="1"/>
    <col min="5126" max="5126" width="9.28515625" style="16" bestFit="1" customWidth="1"/>
    <col min="5127" max="5127" width="10.42578125" style="16" bestFit="1" customWidth="1"/>
    <col min="5128" max="5128" width="10.28515625" style="16" bestFit="1" customWidth="1"/>
    <col min="5129" max="5129" width="7.140625" style="16" bestFit="1" customWidth="1"/>
    <col min="5130" max="5130" width="8" style="16" customWidth="1"/>
    <col min="5131" max="5132" width="7" style="16" bestFit="1" customWidth="1"/>
    <col min="5133" max="5133" width="6.85546875" style="16" bestFit="1" customWidth="1"/>
    <col min="5134" max="5134" width="7" style="16" bestFit="1" customWidth="1"/>
    <col min="5135" max="5135" width="8.42578125" style="16" customWidth="1"/>
    <col min="5136" max="5138" width="9.140625" style="16"/>
    <col min="5139" max="5139" width="12.42578125" style="16" customWidth="1"/>
    <col min="5140" max="5140" width="9.140625" style="16"/>
    <col min="5141" max="5141" width="12" style="16" customWidth="1"/>
    <col min="5142" max="5376" width="9.140625" style="16"/>
    <col min="5377" max="5377" width="5" style="16" customWidth="1"/>
    <col min="5378" max="5378" width="18.85546875" style="16" customWidth="1"/>
    <col min="5379" max="5379" width="11.140625" style="16" bestFit="1" customWidth="1"/>
    <col min="5380" max="5380" width="6.7109375" style="16" bestFit="1" customWidth="1"/>
    <col min="5381" max="5381" width="8.5703125" style="16" bestFit="1" customWidth="1"/>
    <col min="5382" max="5382" width="9.28515625" style="16" bestFit="1" customWidth="1"/>
    <col min="5383" max="5383" width="10.42578125" style="16" bestFit="1" customWidth="1"/>
    <col min="5384" max="5384" width="10.28515625" style="16" bestFit="1" customWidth="1"/>
    <col min="5385" max="5385" width="7.140625" style="16" bestFit="1" customWidth="1"/>
    <col min="5386" max="5386" width="8" style="16" customWidth="1"/>
    <col min="5387" max="5388" width="7" style="16" bestFit="1" customWidth="1"/>
    <col min="5389" max="5389" width="6.85546875" style="16" bestFit="1" customWidth="1"/>
    <col min="5390" max="5390" width="7" style="16" bestFit="1" customWidth="1"/>
    <col min="5391" max="5391" width="8.42578125" style="16" customWidth="1"/>
    <col min="5392" max="5394" width="9.140625" style="16"/>
    <col min="5395" max="5395" width="12.42578125" style="16" customWidth="1"/>
    <col min="5396" max="5396" width="9.140625" style="16"/>
    <col min="5397" max="5397" width="12" style="16" customWidth="1"/>
    <col min="5398" max="5632" width="9.140625" style="16"/>
    <col min="5633" max="5633" width="5" style="16" customWidth="1"/>
    <col min="5634" max="5634" width="18.85546875" style="16" customWidth="1"/>
    <col min="5635" max="5635" width="11.140625" style="16" bestFit="1" customWidth="1"/>
    <col min="5636" max="5636" width="6.7109375" style="16" bestFit="1" customWidth="1"/>
    <col min="5637" max="5637" width="8.5703125" style="16" bestFit="1" customWidth="1"/>
    <col min="5638" max="5638" width="9.28515625" style="16" bestFit="1" customWidth="1"/>
    <col min="5639" max="5639" width="10.42578125" style="16" bestFit="1" customWidth="1"/>
    <col min="5640" max="5640" width="10.28515625" style="16" bestFit="1" customWidth="1"/>
    <col min="5641" max="5641" width="7.140625" style="16" bestFit="1" customWidth="1"/>
    <col min="5642" max="5642" width="8" style="16" customWidth="1"/>
    <col min="5643" max="5644" width="7" style="16" bestFit="1" customWidth="1"/>
    <col min="5645" max="5645" width="6.85546875" style="16" bestFit="1" customWidth="1"/>
    <col min="5646" max="5646" width="7" style="16" bestFit="1" customWidth="1"/>
    <col min="5647" max="5647" width="8.42578125" style="16" customWidth="1"/>
    <col min="5648" max="5650" width="9.140625" style="16"/>
    <col min="5651" max="5651" width="12.42578125" style="16" customWidth="1"/>
    <col min="5652" max="5652" width="9.140625" style="16"/>
    <col min="5653" max="5653" width="12" style="16" customWidth="1"/>
    <col min="5654" max="5888" width="9.140625" style="16"/>
    <col min="5889" max="5889" width="5" style="16" customWidth="1"/>
    <col min="5890" max="5890" width="18.85546875" style="16" customWidth="1"/>
    <col min="5891" max="5891" width="11.140625" style="16" bestFit="1" customWidth="1"/>
    <col min="5892" max="5892" width="6.7109375" style="16" bestFit="1" customWidth="1"/>
    <col min="5893" max="5893" width="8.5703125" style="16" bestFit="1" customWidth="1"/>
    <col min="5894" max="5894" width="9.28515625" style="16" bestFit="1" customWidth="1"/>
    <col min="5895" max="5895" width="10.42578125" style="16" bestFit="1" customWidth="1"/>
    <col min="5896" max="5896" width="10.28515625" style="16" bestFit="1" customWidth="1"/>
    <col min="5897" max="5897" width="7.140625" style="16" bestFit="1" customWidth="1"/>
    <col min="5898" max="5898" width="8" style="16" customWidth="1"/>
    <col min="5899" max="5900" width="7" style="16" bestFit="1" customWidth="1"/>
    <col min="5901" max="5901" width="6.85546875" style="16" bestFit="1" customWidth="1"/>
    <col min="5902" max="5902" width="7" style="16" bestFit="1" customWidth="1"/>
    <col min="5903" max="5903" width="8.42578125" style="16" customWidth="1"/>
    <col min="5904" max="5906" width="9.140625" style="16"/>
    <col min="5907" max="5907" width="12.42578125" style="16" customWidth="1"/>
    <col min="5908" max="5908" width="9.140625" style="16"/>
    <col min="5909" max="5909" width="12" style="16" customWidth="1"/>
    <col min="5910" max="6144" width="9.140625" style="16"/>
    <col min="6145" max="6145" width="5" style="16" customWidth="1"/>
    <col min="6146" max="6146" width="18.85546875" style="16" customWidth="1"/>
    <col min="6147" max="6147" width="11.140625" style="16" bestFit="1" customWidth="1"/>
    <col min="6148" max="6148" width="6.7109375" style="16" bestFit="1" customWidth="1"/>
    <col min="6149" max="6149" width="8.5703125" style="16" bestFit="1" customWidth="1"/>
    <col min="6150" max="6150" width="9.28515625" style="16" bestFit="1" customWidth="1"/>
    <col min="6151" max="6151" width="10.42578125" style="16" bestFit="1" customWidth="1"/>
    <col min="6152" max="6152" width="10.28515625" style="16" bestFit="1" customWidth="1"/>
    <col min="6153" max="6153" width="7.140625" style="16" bestFit="1" customWidth="1"/>
    <col min="6154" max="6154" width="8" style="16" customWidth="1"/>
    <col min="6155" max="6156" width="7" style="16" bestFit="1" customWidth="1"/>
    <col min="6157" max="6157" width="6.85546875" style="16" bestFit="1" customWidth="1"/>
    <col min="6158" max="6158" width="7" style="16" bestFit="1" customWidth="1"/>
    <col min="6159" max="6159" width="8.42578125" style="16" customWidth="1"/>
    <col min="6160" max="6162" width="9.140625" style="16"/>
    <col min="6163" max="6163" width="12.42578125" style="16" customWidth="1"/>
    <col min="6164" max="6164" width="9.140625" style="16"/>
    <col min="6165" max="6165" width="12" style="16" customWidth="1"/>
    <col min="6166" max="6400" width="9.140625" style="16"/>
    <col min="6401" max="6401" width="5" style="16" customWidth="1"/>
    <col min="6402" max="6402" width="18.85546875" style="16" customWidth="1"/>
    <col min="6403" max="6403" width="11.140625" style="16" bestFit="1" customWidth="1"/>
    <col min="6404" max="6404" width="6.7109375" style="16" bestFit="1" customWidth="1"/>
    <col min="6405" max="6405" width="8.5703125" style="16" bestFit="1" customWidth="1"/>
    <col min="6406" max="6406" width="9.28515625" style="16" bestFit="1" customWidth="1"/>
    <col min="6407" max="6407" width="10.42578125" style="16" bestFit="1" customWidth="1"/>
    <col min="6408" max="6408" width="10.28515625" style="16" bestFit="1" customWidth="1"/>
    <col min="6409" max="6409" width="7.140625" style="16" bestFit="1" customWidth="1"/>
    <col min="6410" max="6410" width="8" style="16" customWidth="1"/>
    <col min="6411" max="6412" width="7" style="16" bestFit="1" customWidth="1"/>
    <col min="6413" max="6413" width="6.85546875" style="16" bestFit="1" customWidth="1"/>
    <col min="6414" max="6414" width="7" style="16" bestFit="1" customWidth="1"/>
    <col min="6415" max="6415" width="8.42578125" style="16" customWidth="1"/>
    <col min="6416" max="6418" width="9.140625" style="16"/>
    <col min="6419" max="6419" width="12.42578125" style="16" customWidth="1"/>
    <col min="6420" max="6420" width="9.140625" style="16"/>
    <col min="6421" max="6421" width="12" style="16" customWidth="1"/>
    <col min="6422" max="6656" width="9.140625" style="16"/>
    <col min="6657" max="6657" width="5" style="16" customWidth="1"/>
    <col min="6658" max="6658" width="18.85546875" style="16" customWidth="1"/>
    <col min="6659" max="6659" width="11.140625" style="16" bestFit="1" customWidth="1"/>
    <col min="6660" max="6660" width="6.7109375" style="16" bestFit="1" customWidth="1"/>
    <col min="6661" max="6661" width="8.5703125" style="16" bestFit="1" customWidth="1"/>
    <col min="6662" max="6662" width="9.28515625" style="16" bestFit="1" customWidth="1"/>
    <col min="6663" max="6663" width="10.42578125" style="16" bestFit="1" customWidth="1"/>
    <col min="6664" max="6664" width="10.28515625" style="16" bestFit="1" customWidth="1"/>
    <col min="6665" max="6665" width="7.140625" style="16" bestFit="1" customWidth="1"/>
    <col min="6666" max="6666" width="8" style="16" customWidth="1"/>
    <col min="6667" max="6668" width="7" style="16" bestFit="1" customWidth="1"/>
    <col min="6669" max="6669" width="6.85546875" style="16" bestFit="1" customWidth="1"/>
    <col min="6670" max="6670" width="7" style="16" bestFit="1" customWidth="1"/>
    <col min="6671" max="6671" width="8.42578125" style="16" customWidth="1"/>
    <col min="6672" max="6674" width="9.140625" style="16"/>
    <col min="6675" max="6675" width="12.42578125" style="16" customWidth="1"/>
    <col min="6676" max="6676" width="9.140625" style="16"/>
    <col min="6677" max="6677" width="12" style="16" customWidth="1"/>
    <col min="6678" max="6912" width="9.140625" style="16"/>
    <col min="6913" max="6913" width="5" style="16" customWidth="1"/>
    <col min="6914" max="6914" width="18.85546875" style="16" customWidth="1"/>
    <col min="6915" max="6915" width="11.140625" style="16" bestFit="1" customWidth="1"/>
    <col min="6916" max="6916" width="6.7109375" style="16" bestFit="1" customWidth="1"/>
    <col min="6917" max="6917" width="8.5703125" style="16" bestFit="1" customWidth="1"/>
    <col min="6918" max="6918" width="9.28515625" style="16" bestFit="1" customWidth="1"/>
    <col min="6919" max="6919" width="10.42578125" style="16" bestFit="1" customWidth="1"/>
    <col min="6920" max="6920" width="10.28515625" style="16" bestFit="1" customWidth="1"/>
    <col min="6921" max="6921" width="7.140625" style="16" bestFit="1" customWidth="1"/>
    <col min="6922" max="6922" width="8" style="16" customWidth="1"/>
    <col min="6923" max="6924" width="7" style="16" bestFit="1" customWidth="1"/>
    <col min="6925" max="6925" width="6.85546875" style="16" bestFit="1" customWidth="1"/>
    <col min="6926" max="6926" width="7" style="16" bestFit="1" customWidth="1"/>
    <col min="6927" max="6927" width="8.42578125" style="16" customWidth="1"/>
    <col min="6928" max="6930" width="9.140625" style="16"/>
    <col min="6931" max="6931" width="12.42578125" style="16" customWidth="1"/>
    <col min="6932" max="6932" width="9.140625" style="16"/>
    <col min="6933" max="6933" width="12" style="16" customWidth="1"/>
    <col min="6934" max="7168" width="9.140625" style="16"/>
    <col min="7169" max="7169" width="5" style="16" customWidth="1"/>
    <col min="7170" max="7170" width="18.85546875" style="16" customWidth="1"/>
    <col min="7171" max="7171" width="11.140625" style="16" bestFit="1" customWidth="1"/>
    <col min="7172" max="7172" width="6.7109375" style="16" bestFit="1" customWidth="1"/>
    <col min="7173" max="7173" width="8.5703125" style="16" bestFit="1" customWidth="1"/>
    <col min="7174" max="7174" width="9.28515625" style="16" bestFit="1" customWidth="1"/>
    <col min="7175" max="7175" width="10.42578125" style="16" bestFit="1" customWidth="1"/>
    <col min="7176" max="7176" width="10.28515625" style="16" bestFit="1" customWidth="1"/>
    <col min="7177" max="7177" width="7.140625" style="16" bestFit="1" customWidth="1"/>
    <col min="7178" max="7178" width="8" style="16" customWidth="1"/>
    <col min="7179" max="7180" width="7" style="16" bestFit="1" customWidth="1"/>
    <col min="7181" max="7181" width="6.85546875" style="16" bestFit="1" customWidth="1"/>
    <col min="7182" max="7182" width="7" style="16" bestFit="1" customWidth="1"/>
    <col min="7183" max="7183" width="8.42578125" style="16" customWidth="1"/>
    <col min="7184" max="7186" width="9.140625" style="16"/>
    <col min="7187" max="7187" width="12.42578125" style="16" customWidth="1"/>
    <col min="7188" max="7188" width="9.140625" style="16"/>
    <col min="7189" max="7189" width="12" style="16" customWidth="1"/>
    <col min="7190" max="7424" width="9.140625" style="16"/>
    <col min="7425" max="7425" width="5" style="16" customWidth="1"/>
    <col min="7426" max="7426" width="18.85546875" style="16" customWidth="1"/>
    <col min="7427" max="7427" width="11.140625" style="16" bestFit="1" customWidth="1"/>
    <col min="7428" max="7428" width="6.7109375" style="16" bestFit="1" customWidth="1"/>
    <col min="7429" max="7429" width="8.5703125" style="16" bestFit="1" customWidth="1"/>
    <col min="7430" max="7430" width="9.28515625" style="16" bestFit="1" customWidth="1"/>
    <col min="7431" max="7431" width="10.42578125" style="16" bestFit="1" customWidth="1"/>
    <col min="7432" max="7432" width="10.28515625" style="16" bestFit="1" customWidth="1"/>
    <col min="7433" max="7433" width="7.140625" style="16" bestFit="1" customWidth="1"/>
    <col min="7434" max="7434" width="8" style="16" customWidth="1"/>
    <col min="7435" max="7436" width="7" style="16" bestFit="1" customWidth="1"/>
    <col min="7437" max="7437" width="6.85546875" style="16" bestFit="1" customWidth="1"/>
    <col min="7438" max="7438" width="7" style="16" bestFit="1" customWidth="1"/>
    <col min="7439" max="7439" width="8.42578125" style="16" customWidth="1"/>
    <col min="7440" max="7442" width="9.140625" style="16"/>
    <col min="7443" max="7443" width="12.42578125" style="16" customWidth="1"/>
    <col min="7444" max="7444" width="9.140625" style="16"/>
    <col min="7445" max="7445" width="12" style="16" customWidth="1"/>
    <col min="7446" max="7680" width="9.140625" style="16"/>
    <col min="7681" max="7681" width="5" style="16" customWidth="1"/>
    <col min="7682" max="7682" width="18.85546875" style="16" customWidth="1"/>
    <col min="7683" max="7683" width="11.140625" style="16" bestFit="1" customWidth="1"/>
    <col min="7684" max="7684" width="6.7109375" style="16" bestFit="1" customWidth="1"/>
    <col min="7685" max="7685" width="8.5703125" style="16" bestFit="1" customWidth="1"/>
    <col min="7686" max="7686" width="9.28515625" style="16" bestFit="1" customWidth="1"/>
    <col min="7687" max="7687" width="10.42578125" style="16" bestFit="1" customWidth="1"/>
    <col min="7688" max="7688" width="10.28515625" style="16" bestFit="1" customWidth="1"/>
    <col min="7689" max="7689" width="7.140625" style="16" bestFit="1" customWidth="1"/>
    <col min="7690" max="7690" width="8" style="16" customWidth="1"/>
    <col min="7691" max="7692" width="7" style="16" bestFit="1" customWidth="1"/>
    <col min="7693" max="7693" width="6.85546875" style="16" bestFit="1" customWidth="1"/>
    <col min="7694" max="7694" width="7" style="16" bestFit="1" customWidth="1"/>
    <col min="7695" max="7695" width="8.42578125" style="16" customWidth="1"/>
    <col min="7696" max="7698" width="9.140625" style="16"/>
    <col min="7699" max="7699" width="12.42578125" style="16" customWidth="1"/>
    <col min="7700" max="7700" width="9.140625" style="16"/>
    <col min="7701" max="7701" width="12" style="16" customWidth="1"/>
    <col min="7702" max="7936" width="9.140625" style="16"/>
    <col min="7937" max="7937" width="5" style="16" customWidth="1"/>
    <col min="7938" max="7938" width="18.85546875" style="16" customWidth="1"/>
    <col min="7939" max="7939" width="11.140625" style="16" bestFit="1" customWidth="1"/>
    <col min="7940" max="7940" width="6.7109375" style="16" bestFit="1" customWidth="1"/>
    <col min="7941" max="7941" width="8.5703125" style="16" bestFit="1" customWidth="1"/>
    <col min="7942" max="7942" width="9.28515625" style="16" bestFit="1" customWidth="1"/>
    <col min="7943" max="7943" width="10.42578125" style="16" bestFit="1" customWidth="1"/>
    <col min="7944" max="7944" width="10.28515625" style="16" bestFit="1" customWidth="1"/>
    <col min="7945" max="7945" width="7.140625" style="16" bestFit="1" customWidth="1"/>
    <col min="7946" max="7946" width="8" style="16" customWidth="1"/>
    <col min="7947" max="7948" width="7" style="16" bestFit="1" customWidth="1"/>
    <col min="7949" max="7949" width="6.85546875" style="16" bestFit="1" customWidth="1"/>
    <col min="7950" max="7950" width="7" style="16" bestFit="1" customWidth="1"/>
    <col min="7951" max="7951" width="8.42578125" style="16" customWidth="1"/>
    <col min="7952" max="7954" width="9.140625" style="16"/>
    <col min="7955" max="7955" width="12.42578125" style="16" customWidth="1"/>
    <col min="7956" max="7956" width="9.140625" style="16"/>
    <col min="7957" max="7957" width="12" style="16" customWidth="1"/>
    <col min="7958" max="8192" width="9.140625" style="16"/>
    <col min="8193" max="8193" width="5" style="16" customWidth="1"/>
    <col min="8194" max="8194" width="18.85546875" style="16" customWidth="1"/>
    <col min="8195" max="8195" width="11.140625" style="16" bestFit="1" customWidth="1"/>
    <col min="8196" max="8196" width="6.7109375" style="16" bestFit="1" customWidth="1"/>
    <col min="8197" max="8197" width="8.5703125" style="16" bestFit="1" customWidth="1"/>
    <col min="8198" max="8198" width="9.28515625" style="16" bestFit="1" customWidth="1"/>
    <col min="8199" max="8199" width="10.42578125" style="16" bestFit="1" customWidth="1"/>
    <col min="8200" max="8200" width="10.28515625" style="16" bestFit="1" customWidth="1"/>
    <col min="8201" max="8201" width="7.140625" style="16" bestFit="1" customWidth="1"/>
    <col min="8202" max="8202" width="8" style="16" customWidth="1"/>
    <col min="8203" max="8204" width="7" style="16" bestFit="1" customWidth="1"/>
    <col min="8205" max="8205" width="6.85546875" style="16" bestFit="1" customWidth="1"/>
    <col min="8206" max="8206" width="7" style="16" bestFit="1" customWidth="1"/>
    <col min="8207" max="8207" width="8.42578125" style="16" customWidth="1"/>
    <col min="8208" max="8210" width="9.140625" style="16"/>
    <col min="8211" max="8211" width="12.42578125" style="16" customWidth="1"/>
    <col min="8212" max="8212" width="9.140625" style="16"/>
    <col min="8213" max="8213" width="12" style="16" customWidth="1"/>
    <col min="8214" max="8448" width="9.140625" style="16"/>
    <col min="8449" max="8449" width="5" style="16" customWidth="1"/>
    <col min="8450" max="8450" width="18.85546875" style="16" customWidth="1"/>
    <col min="8451" max="8451" width="11.140625" style="16" bestFit="1" customWidth="1"/>
    <col min="8452" max="8452" width="6.7109375" style="16" bestFit="1" customWidth="1"/>
    <col min="8453" max="8453" width="8.5703125" style="16" bestFit="1" customWidth="1"/>
    <col min="8454" max="8454" width="9.28515625" style="16" bestFit="1" customWidth="1"/>
    <col min="8455" max="8455" width="10.42578125" style="16" bestFit="1" customWidth="1"/>
    <col min="8456" max="8456" width="10.28515625" style="16" bestFit="1" customWidth="1"/>
    <col min="8457" max="8457" width="7.140625" style="16" bestFit="1" customWidth="1"/>
    <col min="8458" max="8458" width="8" style="16" customWidth="1"/>
    <col min="8459" max="8460" width="7" style="16" bestFit="1" customWidth="1"/>
    <col min="8461" max="8461" width="6.85546875" style="16" bestFit="1" customWidth="1"/>
    <col min="8462" max="8462" width="7" style="16" bestFit="1" customWidth="1"/>
    <col min="8463" max="8463" width="8.42578125" style="16" customWidth="1"/>
    <col min="8464" max="8466" width="9.140625" style="16"/>
    <col min="8467" max="8467" width="12.42578125" style="16" customWidth="1"/>
    <col min="8468" max="8468" width="9.140625" style="16"/>
    <col min="8469" max="8469" width="12" style="16" customWidth="1"/>
    <col min="8470" max="8704" width="9.140625" style="16"/>
    <col min="8705" max="8705" width="5" style="16" customWidth="1"/>
    <col min="8706" max="8706" width="18.85546875" style="16" customWidth="1"/>
    <col min="8707" max="8707" width="11.140625" style="16" bestFit="1" customWidth="1"/>
    <col min="8708" max="8708" width="6.7109375" style="16" bestFit="1" customWidth="1"/>
    <col min="8709" max="8709" width="8.5703125" style="16" bestFit="1" customWidth="1"/>
    <col min="8710" max="8710" width="9.28515625" style="16" bestFit="1" customWidth="1"/>
    <col min="8711" max="8711" width="10.42578125" style="16" bestFit="1" customWidth="1"/>
    <col min="8712" max="8712" width="10.28515625" style="16" bestFit="1" customWidth="1"/>
    <col min="8713" max="8713" width="7.140625" style="16" bestFit="1" customWidth="1"/>
    <col min="8714" max="8714" width="8" style="16" customWidth="1"/>
    <col min="8715" max="8716" width="7" style="16" bestFit="1" customWidth="1"/>
    <col min="8717" max="8717" width="6.85546875" style="16" bestFit="1" customWidth="1"/>
    <col min="8718" max="8718" width="7" style="16" bestFit="1" customWidth="1"/>
    <col min="8719" max="8719" width="8.42578125" style="16" customWidth="1"/>
    <col min="8720" max="8722" width="9.140625" style="16"/>
    <col min="8723" max="8723" width="12.42578125" style="16" customWidth="1"/>
    <col min="8724" max="8724" width="9.140625" style="16"/>
    <col min="8725" max="8725" width="12" style="16" customWidth="1"/>
    <col min="8726" max="8960" width="9.140625" style="16"/>
    <col min="8961" max="8961" width="5" style="16" customWidth="1"/>
    <col min="8962" max="8962" width="18.85546875" style="16" customWidth="1"/>
    <col min="8963" max="8963" width="11.140625" style="16" bestFit="1" customWidth="1"/>
    <col min="8964" max="8964" width="6.7109375" style="16" bestFit="1" customWidth="1"/>
    <col min="8965" max="8965" width="8.5703125" style="16" bestFit="1" customWidth="1"/>
    <col min="8966" max="8966" width="9.28515625" style="16" bestFit="1" customWidth="1"/>
    <col min="8967" max="8967" width="10.42578125" style="16" bestFit="1" customWidth="1"/>
    <col min="8968" max="8968" width="10.28515625" style="16" bestFit="1" customWidth="1"/>
    <col min="8969" max="8969" width="7.140625" style="16" bestFit="1" customWidth="1"/>
    <col min="8970" max="8970" width="8" style="16" customWidth="1"/>
    <col min="8971" max="8972" width="7" style="16" bestFit="1" customWidth="1"/>
    <col min="8973" max="8973" width="6.85546875" style="16" bestFit="1" customWidth="1"/>
    <col min="8974" max="8974" width="7" style="16" bestFit="1" customWidth="1"/>
    <col min="8975" max="8975" width="8.42578125" style="16" customWidth="1"/>
    <col min="8976" max="8978" width="9.140625" style="16"/>
    <col min="8979" max="8979" width="12.42578125" style="16" customWidth="1"/>
    <col min="8980" max="8980" width="9.140625" style="16"/>
    <col min="8981" max="8981" width="12" style="16" customWidth="1"/>
    <col min="8982" max="9216" width="9.140625" style="16"/>
    <col min="9217" max="9217" width="5" style="16" customWidth="1"/>
    <col min="9218" max="9218" width="18.85546875" style="16" customWidth="1"/>
    <col min="9219" max="9219" width="11.140625" style="16" bestFit="1" customWidth="1"/>
    <col min="9220" max="9220" width="6.7109375" style="16" bestFit="1" customWidth="1"/>
    <col min="9221" max="9221" width="8.5703125" style="16" bestFit="1" customWidth="1"/>
    <col min="9222" max="9222" width="9.28515625" style="16" bestFit="1" customWidth="1"/>
    <col min="9223" max="9223" width="10.42578125" style="16" bestFit="1" customWidth="1"/>
    <col min="9224" max="9224" width="10.28515625" style="16" bestFit="1" customWidth="1"/>
    <col min="9225" max="9225" width="7.140625" style="16" bestFit="1" customWidth="1"/>
    <col min="9226" max="9226" width="8" style="16" customWidth="1"/>
    <col min="9227" max="9228" width="7" style="16" bestFit="1" customWidth="1"/>
    <col min="9229" max="9229" width="6.85546875" style="16" bestFit="1" customWidth="1"/>
    <col min="9230" max="9230" width="7" style="16" bestFit="1" customWidth="1"/>
    <col min="9231" max="9231" width="8.42578125" style="16" customWidth="1"/>
    <col min="9232" max="9234" width="9.140625" style="16"/>
    <col min="9235" max="9235" width="12.42578125" style="16" customWidth="1"/>
    <col min="9236" max="9236" width="9.140625" style="16"/>
    <col min="9237" max="9237" width="12" style="16" customWidth="1"/>
    <col min="9238" max="9472" width="9.140625" style="16"/>
    <col min="9473" max="9473" width="5" style="16" customWidth="1"/>
    <col min="9474" max="9474" width="18.85546875" style="16" customWidth="1"/>
    <col min="9475" max="9475" width="11.140625" style="16" bestFit="1" customWidth="1"/>
    <col min="9476" max="9476" width="6.7109375" style="16" bestFit="1" customWidth="1"/>
    <col min="9477" max="9477" width="8.5703125" style="16" bestFit="1" customWidth="1"/>
    <col min="9478" max="9478" width="9.28515625" style="16" bestFit="1" customWidth="1"/>
    <col min="9479" max="9479" width="10.42578125" style="16" bestFit="1" customWidth="1"/>
    <col min="9480" max="9480" width="10.28515625" style="16" bestFit="1" customWidth="1"/>
    <col min="9481" max="9481" width="7.140625" style="16" bestFit="1" customWidth="1"/>
    <col min="9482" max="9482" width="8" style="16" customWidth="1"/>
    <col min="9483" max="9484" width="7" style="16" bestFit="1" customWidth="1"/>
    <col min="9485" max="9485" width="6.85546875" style="16" bestFit="1" customWidth="1"/>
    <col min="9486" max="9486" width="7" style="16" bestFit="1" customWidth="1"/>
    <col min="9487" max="9487" width="8.42578125" style="16" customWidth="1"/>
    <col min="9488" max="9490" width="9.140625" style="16"/>
    <col min="9491" max="9491" width="12.42578125" style="16" customWidth="1"/>
    <col min="9492" max="9492" width="9.140625" style="16"/>
    <col min="9493" max="9493" width="12" style="16" customWidth="1"/>
    <col min="9494" max="9728" width="9.140625" style="16"/>
    <col min="9729" max="9729" width="5" style="16" customWidth="1"/>
    <col min="9730" max="9730" width="18.85546875" style="16" customWidth="1"/>
    <col min="9731" max="9731" width="11.140625" style="16" bestFit="1" customWidth="1"/>
    <col min="9732" max="9732" width="6.7109375" style="16" bestFit="1" customWidth="1"/>
    <col min="9733" max="9733" width="8.5703125" style="16" bestFit="1" customWidth="1"/>
    <col min="9734" max="9734" width="9.28515625" style="16" bestFit="1" customWidth="1"/>
    <col min="9735" max="9735" width="10.42578125" style="16" bestFit="1" customWidth="1"/>
    <col min="9736" max="9736" width="10.28515625" style="16" bestFit="1" customWidth="1"/>
    <col min="9737" max="9737" width="7.140625" style="16" bestFit="1" customWidth="1"/>
    <col min="9738" max="9738" width="8" style="16" customWidth="1"/>
    <col min="9739" max="9740" width="7" style="16" bestFit="1" customWidth="1"/>
    <col min="9741" max="9741" width="6.85546875" style="16" bestFit="1" customWidth="1"/>
    <col min="9742" max="9742" width="7" style="16" bestFit="1" customWidth="1"/>
    <col min="9743" max="9743" width="8.42578125" style="16" customWidth="1"/>
    <col min="9744" max="9746" width="9.140625" style="16"/>
    <col min="9747" max="9747" width="12.42578125" style="16" customWidth="1"/>
    <col min="9748" max="9748" width="9.140625" style="16"/>
    <col min="9749" max="9749" width="12" style="16" customWidth="1"/>
    <col min="9750" max="9984" width="9.140625" style="16"/>
    <col min="9985" max="9985" width="5" style="16" customWidth="1"/>
    <col min="9986" max="9986" width="18.85546875" style="16" customWidth="1"/>
    <col min="9987" max="9987" width="11.140625" style="16" bestFit="1" customWidth="1"/>
    <col min="9988" max="9988" width="6.7109375" style="16" bestFit="1" customWidth="1"/>
    <col min="9989" max="9989" width="8.5703125" style="16" bestFit="1" customWidth="1"/>
    <col min="9990" max="9990" width="9.28515625" style="16" bestFit="1" customWidth="1"/>
    <col min="9991" max="9991" width="10.42578125" style="16" bestFit="1" customWidth="1"/>
    <col min="9992" max="9992" width="10.28515625" style="16" bestFit="1" customWidth="1"/>
    <col min="9993" max="9993" width="7.140625" style="16" bestFit="1" customWidth="1"/>
    <col min="9994" max="9994" width="8" style="16" customWidth="1"/>
    <col min="9995" max="9996" width="7" style="16" bestFit="1" customWidth="1"/>
    <col min="9997" max="9997" width="6.85546875" style="16" bestFit="1" customWidth="1"/>
    <col min="9998" max="9998" width="7" style="16" bestFit="1" customWidth="1"/>
    <col min="9999" max="9999" width="8.42578125" style="16" customWidth="1"/>
    <col min="10000" max="10002" width="9.140625" style="16"/>
    <col min="10003" max="10003" width="12.42578125" style="16" customWidth="1"/>
    <col min="10004" max="10004" width="9.140625" style="16"/>
    <col min="10005" max="10005" width="12" style="16" customWidth="1"/>
    <col min="10006" max="10240" width="9.140625" style="16"/>
    <col min="10241" max="10241" width="5" style="16" customWidth="1"/>
    <col min="10242" max="10242" width="18.85546875" style="16" customWidth="1"/>
    <col min="10243" max="10243" width="11.140625" style="16" bestFit="1" customWidth="1"/>
    <col min="10244" max="10244" width="6.7109375" style="16" bestFit="1" customWidth="1"/>
    <col min="10245" max="10245" width="8.5703125" style="16" bestFit="1" customWidth="1"/>
    <col min="10246" max="10246" width="9.28515625" style="16" bestFit="1" customWidth="1"/>
    <col min="10247" max="10247" width="10.42578125" style="16" bestFit="1" customWidth="1"/>
    <col min="10248" max="10248" width="10.28515625" style="16" bestFit="1" customWidth="1"/>
    <col min="10249" max="10249" width="7.140625" style="16" bestFit="1" customWidth="1"/>
    <col min="10250" max="10250" width="8" style="16" customWidth="1"/>
    <col min="10251" max="10252" width="7" style="16" bestFit="1" customWidth="1"/>
    <col min="10253" max="10253" width="6.85546875" style="16" bestFit="1" customWidth="1"/>
    <col min="10254" max="10254" width="7" style="16" bestFit="1" customWidth="1"/>
    <col min="10255" max="10255" width="8.42578125" style="16" customWidth="1"/>
    <col min="10256" max="10258" width="9.140625" style="16"/>
    <col min="10259" max="10259" width="12.42578125" style="16" customWidth="1"/>
    <col min="10260" max="10260" width="9.140625" style="16"/>
    <col min="10261" max="10261" width="12" style="16" customWidth="1"/>
    <col min="10262" max="10496" width="9.140625" style="16"/>
    <col min="10497" max="10497" width="5" style="16" customWidth="1"/>
    <col min="10498" max="10498" width="18.85546875" style="16" customWidth="1"/>
    <col min="10499" max="10499" width="11.140625" style="16" bestFit="1" customWidth="1"/>
    <col min="10500" max="10500" width="6.7109375" style="16" bestFit="1" customWidth="1"/>
    <col min="10501" max="10501" width="8.5703125" style="16" bestFit="1" customWidth="1"/>
    <col min="10502" max="10502" width="9.28515625" style="16" bestFit="1" customWidth="1"/>
    <col min="10503" max="10503" width="10.42578125" style="16" bestFit="1" customWidth="1"/>
    <col min="10504" max="10504" width="10.28515625" style="16" bestFit="1" customWidth="1"/>
    <col min="10505" max="10505" width="7.140625" style="16" bestFit="1" customWidth="1"/>
    <col min="10506" max="10506" width="8" style="16" customWidth="1"/>
    <col min="10507" max="10508" width="7" style="16" bestFit="1" customWidth="1"/>
    <col min="10509" max="10509" width="6.85546875" style="16" bestFit="1" customWidth="1"/>
    <col min="10510" max="10510" width="7" style="16" bestFit="1" customWidth="1"/>
    <col min="10511" max="10511" width="8.42578125" style="16" customWidth="1"/>
    <col min="10512" max="10514" width="9.140625" style="16"/>
    <col min="10515" max="10515" width="12.42578125" style="16" customWidth="1"/>
    <col min="10516" max="10516" width="9.140625" style="16"/>
    <col min="10517" max="10517" width="12" style="16" customWidth="1"/>
    <col min="10518" max="10752" width="9.140625" style="16"/>
    <col min="10753" max="10753" width="5" style="16" customWidth="1"/>
    <col min="10754" max="10754" width="18.85546875" style="16" customWidth="1"/>
    <col min="10755" max="10755" width="11.140625" style="16" bestFit="1" customWidth="1"/>
    <col min="10756" max="10756" width="6.7109375" style="16" bestFit="1" customWidth="1"/>
    <col min="10757" max="10757" width="8.5703125" style="16" bestFit="1" customWidth="1"/>
    <col min="10758" max="10758" width="9.28515625" style="16" bestFit="1" customWidth="1"/>
    <col min="10759" max="10759" width="10.42578125" style="16" bestFit="1" customWidth="1"/>
    <col min="10760" max="10760" width="10.28515625" style="16" bestFit="1" customWidth="1"/>
    <col min="10761" max="10761" width="7.140625" style="16" bestFit="1" customWidth="1"/>
    <col min="10762" max="10762" width="8" style="16" customWidth="1"/>
    <col min="10763" max="10764" width="7" style="16" bestFit="1" customWidth="1"/>
    <col min="10765" max="10765" width="6.85546875" style="16" bestFit="1" customWidth="1"/>
    <col min="10766" max="10766" width="7" style="16" bestFit="1" customWidth="1"/>
    <col min="10767" max="10767" width="8.42578125" style="16" customWidth="1"/>
    <col min="10768" max="10770" width="9.140625" style="16"/>
    <col min="10771" max="10771" width="12.42578125" style="16" customWidth="1"/>
    <col min="10772" max="10772" width="9.140625" style="16"/>
    <col min="10773" max="10773" width="12" style="16" customWidth="1"/>
    <col min="10774" max="11008" width="9.140625" style="16"/>
    <col min="11009" max="11009" width="5" style="16" customWidth="1"/>
    <col min="11010" max="11010" width="18.85546875" style="16" customWidth="1"/>
    <col min="11011" max="11011" width="11.140625" style="16" bestFit="1" customWidth="1"/>
    <col min="11012" max="11012" width="6.7109375" style="16" bestFit="1" customWidth="1"/>
    <col min="11013" max="11013" width="8.5703125" style="16" bestFit="1" customWidth="1"/>
    <col min="11014" max="11014" width="9.28515625" style="16" bestFit="1" customWidth="1"/>
    <col min="11015" max="11015" width="10.42578125" style="16" bestFit="1" customWidth="1"/>
    <col min="11016" max="11016" width="10.28515625" style="16" bestFit="1" customWidth="1"/>
    <col min="11017" max="11017" width="7.140625" style="16" bestFit="1" customWidth="1"/>
    <col min="11018" max="11018" width="8" style="16" customWidth="1"/>
    <col min="11019" max="11020" width="7" style="16" bestFit="1" customWidth="1"/>
    <col min="11021" max="11021" width="6.85546875" style="16" bestFit="1" customWidth="1"/>
    <col min="11022" max="11022" width="7" style="16" bestFit="1" customWidth="1"/>
    <col min="11023" max="11023" width="8.42578125" style="16" customWidth="1"/>
    <col min="11024" max="11026" width="9.140625" style="16"/>
    <col min="11027" max="11027" width="12.42578125" style="16" customWidth="1"/>
    <col min="11028" max="11028" width="9.140625" style="16"/>
    <col min="11029" max="11029" width="12" style="16" customWidth="1"/>
    <col min="11030" max="11264" width="9.140625" style="16"/>
    <col min="11265" max="11265" width="5" style="16" customWidth="1"/>
    <col min="11266" max="11266" width="18.85546875" style="16" customWidth="1"/>
    <col min="11267" max="11267" width="11.140625" style="16" bestFit="1" customWidth="1"/>
    <col min="11268" max="11268" width="6.7109375" style="16" bestFit="1" customWidth="1"/>
    <col min="11269" max="11269" width="8.5703125" style="16" bestFit="1" customWidth="1"/>
    <col min="11270" max="11270" width="9.28515625" style="16" bestFit="1" customWidth="1"/>
    <col min="11271" max="11271" width="10.42578125" style="16" bestFit="1" customWidth="1"/>
    <col min="11272" max="11272" width="10.28515625" style="16" bestFit="1" customWidth="1"/>
    <col min="11273" max="11273" width="7.140625" style="16" bestFit="1" customWidth="1"/>
    <col min="11274" max="11274" width="8" style="16" customWidth="1"/>
    <col min="11275" max="11276" width="7" style="16" bestFit="1" customWidth="1"/>
    <col min="11277" max="11277" width="6.85546875" style="16" bestFit="1" customWidth="1"/>
    <col min="11278" max="11278" width="7" style="16" bestFit="1" customWidth="1"/>
    <col min="11279" max="11279" width="8.42578125" style="16" customWidth="1"/>
    <col min="11280" max="11282" width="9.140625" style="16"/>
    <col min="11283" max="11283" width="12.42578125" style="16" customWidth="1"/>
    <col min="11284" max="11284" width="9.140625" style="16"/>
    <col min="11285" max="11285" width="12" style="16" customWidth="1"/>
    <col min="11286" max="11520" width="9.140625" style="16"/>
    <col min="11521" max="11521" width="5" style="16" customWidth="1"/>
    <col min="11522" max="11522" width="18.85546875" style="16" customWidth="1"/>
    <col min="11523" max="11523" width="11.140625" style="16" bestFit="1" customWidth="1"/>
    <col min="11524" max="11524" width="6.7109375" style="16" bestFit="1" customWidth="1"/>
    <col min="11525" max="11525" width="8.5703125" style="16" bestFit="1" customWidth="1"/>
    <col min="11526" max="11526" width="9.28515625" style="16" bestFit="1" customWidth="1"/>
    <col min="11527" max="11527" width="10.42578125" style="16" bestFit="1" customWidth="1"/>
    <col min="11528" max="11528" width="10.28515625" style="16" bestFit="1" customWidth="1"/>
    <col min="11529" max="11529" width="7.140625" style="16" bestFit="1" customWidth="1"/>
    <col min="11530" max="11530" width="8" style="16" customWidth="1"/>
    <col min="11531" max="11532" width="7" style="16" bestFit="1" customWidth="1"/>
    <col min="11533" max="11533" width="6.85546875" style="16" bestFit="1" customWidth="1"/>
    <col min="11534" max="11534" width="7" style="16" bestFit="1" customWidth="1"/>
    <col min="11535" max="11535" width="8.42578125" style="16" customWidth="1"/>
    <col min="11536" max="11538" width="9.140625" style="16"/>
    <col min="11539" max="11539" width="12.42578125" style="16" customWidth="1"/>
    <col min="11540" max="11540" width="9.140625" style="16"/>
    <col min="11541" max="11541" width="12" style="16" customWidth="1"/>
    <col min="11542" max="11776" width="9.140625" style="16"/>
    <col min="11777" max="11777" width="5" style="16" customWidth="1"/>
    <col min="11778" max="11778" width="18.85546875" style="16" customWidth="1"/>
    <col min="11779" max="11779" width="11.140625" style="16" bestFit="1" customWidth="1"/>
    <col min="11780" max="11780" width="6.7109375" style="16" bestFit="1" customWidth="1"/>
    <col min="11781" max="11781" width="8.5703125" style="16" bestFit="1" customWidth="1"/>
    <col min="11782" max="11782" width="9.28515625" style="16" bestFit="1" customWidth="1"/>
    <col min="11783" max="11783" width="10.42578125" style="16" bestFit="1" customWidth="1"/>
    <col min="11784" max="11784" width="10.28515625" style="16" bestFit="1" customWidth="1"/>
    <col min="11785" max="11785" width="7.140625" style="16" bestFit="1" customWidth="1"/>
    <col min="11786" max="11786" width="8" style="16" customWidth="1"/>
    <col min="11787" max="11788" width="7" style="16" bestFit="1" customWidth="1"/>
    <col min="11789" max="11789" width="6.85546875" style="16" bestFit="1" customWidth="1"/>
    <col min="11790" max="11790" width="7" style="16" bestFit="1" customWidth="1"/>
    <col min="11791" max="11791" width="8.42578125" style="16" customWidth="1"/>
    <col min="11792" max="11794" width="9.140625" style="16"/>
    <col min="11795" max="11795" width="12.42578125" style="16" customWidth="1"/>
    <col min="11796" max="11796" width="9.140625" style="16"/>
    <col min="11797" max="11797" width="12" style="16" customWidth="1"/>
    <col min="11798" max="12032" width="9.140625" style="16"/>
    <col min="12033" max="12033" width="5" style="16" customWidth="1"/>
    <col min="12034" max="12034" width="18.85546875" style="16" customWidth="1"/>
    <col min="12035" max="12035" width="11.140625" style="16" bestFit="1" customWidth="1"/>
    <col min="12036" max="12036" width="6.7109375" style="16" bestFit="1" customWidth="1"/>
    <col min="12037" max="12037" width="8.5703125" style="16" bestFit="1" customWidth="1"/>
    <col min="12038" max="12038" width="9.28515625" style="16" bestFit="1" customWidth="1"/>
    <col min="12039" max="12039" width="10.42578125" style="16" bestFit="1" customWidth="1"/>
    <col min="12040" max="12040" width="10.28515625" style="16" bestFit="1" customWidth="1"/>
    <col min="12041" max="12041" width="7.140625" style="16" bestFit="1" customWidth="1"/>
    <col min="12042" max="12042" width="8" style="16" customWidth="1"/>
    <col min="12043" max="12044" width="7" style="16" bestFit="1" customWidth="1"/>
    <col min="12045" max="12045" width="6.85546875" style="16" bestFit="1" customWidth="1"/>
    <col min="12046" max="12046" width="7" style="16" bestFit="1" customWidth="1"/>
    <col min="12047" max="12047" width="8.42578125" style="16" customWidth="1"/>
    <col min="12048" max="12050" width="9.140625" style="16"/>
    <col min="12051" max="12051" width="12.42578125" style="16" customWidth="1"/>
    <col min="12052" max="12052" width="9.140625" style="16"/>
    <col min="12053" max="12053" width="12" style="16" customWidth="1"/>
    <col min="12054" max="12288" width="9.140625" style="16"/>
    <col min="12289" max="12289" width="5" style="16" customWidth="1"/>
    <col min="12290" max="12290" width="18.85546875" style="16" customWidth="1"/>
    <col min="12291" max="12291" width="11.140625" style="16" bestFit="1" customWidth="1"/>
    <col min="12292" max="12292" width="6.7109375" style="16" bestFit="1" customWidth="1"/>
    <col min="12293" max="12293" width="8.5703125" style="16" bestFit="1" customWidth="1"/>
    <col min="12294" max="12294" width="9.28515625" style="16" bestFit="1" customWidth="1"/>
    <col min="12295" max="12295" width="10.42578125" style="16" bestFit="1" customWidth="1"/>
    <col min="12296" max="12296" width="10.28515625" style="16" bestFit="1" customWidth="1"/>
    <col min="12297" max="12297" width="7.140625" style="16" bestFit="1" customWidth="1"/>
    <col min="12298" max="12298" width="8" style="16" customWidth="1"/>
    <col min="12299" max="12300" width="7" style="16" bestFit="1" customWidth="1"/>
    <col min="12301" max="12301" width="6.85546875" style="16" bestFit="1" customWidth="1"/>
    <col min="12302" max="12302" width="7" style="16" bestFit="1" customWidth="1"/>
    <col min="12303" max="12303" width="8.42578125" style="16" customWidth="1"/>
    <col min="12304" max="12306" width="9.140625" style="16"/>
    <col min="12307" max="12307" width="12.42578125" style="16" customWidth="1"/>
    <col min="12308" max="12308" width="9.140625" style="16"/>
    <col min="12309" max="12309" width="12" style="16" customWidth="1"/>
    <col min="12310" max="12544" width="9.140625" style="16"/>
    <col min="12545" max="12545" width="5" style="16" customWidth="1"/>
    <col min="12546" max="12546" width="18.85546875" style="16" customWidth="1"/>
    <col min="12547" max="12547" width="11.140625" style="16" bestFit="1" customWidth="1"/>
    <col min="12548" max="12548" width="6.7109375" style="16" bestFit="1" customWidth="1"/>
    <col min="12549" max="12549" width="8.5703125" style="16" bestFit="1" customWidth="1"/>
    <col min="12550" max="12550" width="9.28515625" style="16" bestFit="1" customWidth="1"/>
    <col min="12551" max="12551" width="10.42578125" style="16" bestFit="1" customWidth="1"/>
    <col min="12552" max="12552" width="10.28515625" style="16" bestFit="1" customWidth="1"/>
    <col min="12553" max="12553" width="7.140625" style="16" bestFit="1" customWidth="1"/>
    <col min="12554" max="12554" width="8" style="16" customWidth="1"/>
    <col min="12555" max="12556" width="7" style="16" bestFit="1" customWidth="1"/>
    <col min="12557" max="12557" width="6.85546875" style="16" bestFit="1" customWidth="1"/>
    <col min="12558" max="12558" width="7" style="16" bestFit="1" customWidth="1"/>
    <col min="12559" max="12559" width="8.42578125" style="16" customWidth="1"/>
    <col min="12560" max="12562" width="9.140625" style="16"/>
    <col min="12563" max="12563" width="12.42578125" style="16" customWidth="1"/>
    <col min="12564" max="12564" width="9.140625" style="16"/>
    <col min="12565" max="12565" width="12" style="16" customWidth="1"/>
    <col min="12566" max="12800" width="9.140625" style="16"/>
    <col min="12801" max="12801" width="5" style="16" customWidth="1"/>
    <col min="12802" max="12802" width="18.85546875" style="16" customWidth="1"/>
    <col min="12803" max="12803" width="11.140625" style="16" bestFit="1" customWidth="1"/>
    <col min="12804" max="12804" width="6.7109375" style="16" bestFit="1" customWidth="1"/>
    <col min="12805" max="12805" width="8.5703125" style="16" bestFit="1" customWidth="1"/>
    <col min="12806" max="12806" width="9.28515625" style="16" bestFit="1" customWidth="1"/>
    <col min="12807" max="12807" width="10.42578125" style="16" bestFit="1" customWidth="1"/>
    <col min="12808" max="12808" width="10.28515625" style="16" bestFit="1" customWidth="1"/>
    <col min="12809" max="12809" width="7.140625" style="16" bestFit="1" customWidth="1"/>
    <col min="12810" max="12810" width="8" style="16" customWidth="1"/>
    <col min="12811" max="12812" width="7" style="16" bestFit="1" customWidth="1"/>
    <col min="12813" max="12813" width="6.85546875" style="16" bestFit="1" customWidth="1"/>
    <col min="12814" max="12814" width="7" style="16" bestFit="1" customWidth="1"/>
    <col min="12815" max="12815" width="8.42578125" style="16" customWidth="1"/>
    <col min="12816" max="12818" width="9.140625" style="16"/>
    <col min="12819" max="12819" width="12.42578125" style="16" customWidth="1"/>
    <col min="12820" max="12820" width="9.140625" style="16"/>
    <col min="12821" max="12821" width="12" style="16" customWidth="1"/>
    <col min="12822" max="13056" width="9.140625" style="16"/>
    <col min="13057" max="13057" width="5" style="16" customWidth="1"/>
    <col min="13058" max="13058" width="18.85546875" style="16" customWidth="1"/>
    <col min="13059" max="13059" width="11.140625" style="16" bestFit="1" customWidth="1"/>
    <col min="13060" max="13060" width="6.7109375" style="16" bestFit="1" customWidth="1"/>
    <col min="13061" max="13061" width="8.5703125" style="16" bestFit="1" customWidth="1"/>
    <col min="13062" max="13062" width="9.28515625" style="16" bestFit="1" customWidth="1"/>
    <col min="13063" max="13063" width="10.42578125" style="16" bestFit="1" customWidth="1"/>
    <col min="13064" max="13064" width="10.28515625" style="16" bestFit="1" customWidth="1"/>
    <col min="13065" max="13065" width="7.140625" style="16" bestFit="1" customWidth="1"/>
    <col min="13066" max="13066" width="8" style="16" customWidth="1"/>
    <col min="13067" max="13068" width="7" style="16" bestFit="1" customWidth="1"/>
    <col min="13069" max="13069" width="6.85546875" style="16" bestFit="1" customWidth="1"/>
    <col min="13070" max="13070" width="7" style="16" bestFit="1" customWidth="1"/>
    <col min="13071" max="13071" width="8.42578125" style="16" customWidth="1"/>
    <col min="13072" max="13074" width="9.140625" style="16"/>
    <col min="13075" max="13075" width="12.42578125" style="16" customWidth="1"/>
    <col min="13076" max="13076" width="9.140625" style="16"/>
    <col min="13077" max="13077" width="12" style="16" customWidth="1"/>
    <col min="13078" max="13312" width="9.140625" style="16"/>
    <col min="13313" max="13313" width="5" style="16" customWidth="1"/>
    <col min="13314" max="13314" width="18.85546875" style="16" customWidth="1"/>
    <col min="13315" max="13315" width="11.140625" style="16" bestFit="1" customWidth="1"/>
    <col min="13316" max="13316" width="6.7109375" style="16" bestFit="1" customWidth="1"/>
    <col min="13317" max="13317" width="8.5703125" style="16" bestFit="1" customWidth="1"/>
    <col min="13318" max="13318" width="9.28515625" style="16" bestFit="1" customWidth="1"/>
    <col min="13319" max="13319" width="10.42578125" style="16" bestFit="1" customWidth="1"/>
    <col min="13320" max="13320" width="10.28515625" style="16" bestFit="1" customWidth="1"/>
    <col min="13321" max="13321" width="7.140625" style="16" bestFit="1" customWidth="1"/>
    <col min="13322" max="13322" width="8" style="16" customWidth="1"/>
    <col min="13323" max="13324" width="7" style="16" bestFit="1" customWidth="1"/>
    <col min="13325" max="13325" width="6.85546875" style="16" bestFit="1" customWidth="1"/>
    <col min="13326" max="13326" width="7" style="16" bestFit="1" customWidth="1"/>
    <col min="13327" max="13327" width="8.42578125" style="16" customWidth="1"/>
    <col min="13328" max="13330" width="9.140625" style="16"/>
    <col min="13331" max="13331" width="12.42578125" style="16" customWidth="1"/>
    <col min="13332" max="13332" width="9.140625" style="16"/>
    <col min="13333" max="13333" width="12" style="16" customWidth="1"/>
    <col min="13334" max="13568" width="9.140625" style="16"/>
    <col min="13569" max="13569" width="5" style="16" customWidth="1"/>
    <col min="13570" max="13570" width="18.85546875" style="16" customWidth="1"/>
    <col min="13571" max="13571" width="11.140625" style="16" bestFit="1" customWidth="1"/>
    <col min="13572" max="13572" width="6.7109375" style="16" bestFit="1" customWidth="1"/>
    <col min="13573" max="13573" width="8.5703125" style="16" bestFit="1" customWidth="1"/>
    <col min="13574" max="13574" width="9.28515625" style="16" bestFit="1" customWidth="1"/>
    <col min="13575" max="13575" width="10.42578125" style="16" bestFit="1" customWidth="1"/>
    <col min="13576" max="13576" width="10.28515625" style="16" bestFit="1" customWidth="1"/>
    <col min="13577" max="13577" width="7.140625" style="16" bestFit="1" customWidth="1"/>
    <col min="13578" max="13578" width="8" style="16" customWidth="1"/>
    <col min="13579" max="13580" width="7" style="16" bestFit="1" customWidth="1"/>
    <col min="13581" max="13581" width="6.85546875" style="16" bestFit="1" customWidth="1"/>
    <col min="13582" max="13582" width="7" style="16" bestFit="1" customWidth="1"/>
    <col min="13583" max="13583" width="8.42578125" style="16" customWidth="1"/>
    <col min="13584" max="13586" width="9.140625" style="16"/>
    <col min="13587" max="13587" width="12.42578125" style="16" customWidth="1"/>
    <col min="13588" max="13588" width="9.140625" style="16"/>
    <col min="13589" max="13589" width="12" style="16" customWidth="1"/>
    <col min="13590" max="13824" width="9.140625" style="16"/>
    <col min="13825" max="13825" width="5" style="16" customWidth="1"/>
    <col min="13826" max="13826" width="18.85546875" style="16" customWidth="1"/>
    <col min="13827" max="13827" width="11.140625" style="16" bestFit="1" customWidth="1"/>
    <col min="13828" max="13828" width="6.7109375" style="16" bestFit="1" customWidth="1"/>
    <col min="13829" max="13829" width="8.5703125" style="16" bestFit="1" customWidth="1"/>
    <col min="13830" max="13830" width="9.28515625" style="16" bestFit="1" customWidth="1"/>
    <col min="13831" max="13831" width="10.42578125" style="16" bestFit="1" customWidth="1"/>
    <col min="13832" max="13832" width="10.28515625" style="16" bestFit="1" customWidth="1"/>
    <col min="13833" max="13833" width="7.140625" style="16" bestFit="1" customWidth="1"/>
    <col min="13834" max="13834" width="8" style="16" customWidth="1"/>
    <col min="13835" max="13836" width="7" style="16" bestFit="1" customWidth="1"/>
    <col min="13837" max="13837" width="6.85546875" style="16" bestFit="1" customWidth="1"/>
    <col min="13838" max="13838" width="7" style="16" bestFit="1" customWidth="1"/>
    <col min="13839" max="13839" width="8.42578125" style="16" customWidth="1"/>
    <col min="13840" max="13842" width="9.140625" style="16"/>
    <col min="13843" max="13843" width="12.42578125" style="16" customWidth="1"/>
    <col min="13844" max="13844" width="9.140625" style="16"/>
    <col min="13845" max="13845" width="12" style="16" customWidth="1"/>
    <col min="13846" max="14080" width="9.140625" style="16"/>
    <col min="14081" max="14081" width="5" style="16" customWidth="1"/>
    <col min="14082" max="14082" width="18.85546875" style="16" customWidth="1"/>
    <col min="14083" max="14083" width="11.140625" style="16" bestFit="1" customWidth="1"/>
    <col min="14084" max="14084" width="6.7109375" style="16" bestFit="1" customWidth="1"/>
    <col min="14085" max="14085" width="8.5703125" style="16" bestFit="1" customWidth="1"/>
    <col min="14086" max="14086" width="9.28515625" style="16" bestFit="1" customWidth="1"/>
    <col min="14087" max="14087" width="10.42578125" style="16" bestFit="1" customWidth="1"/>
    <col min="14088" max="14088" width="10.28515625" style="16" bestFit="1" customWidth="1"/>
    <col min="14089" max="14089" width="7.140625" style="16" bestFit="1" customWidth="1"/>
    <col min="14090" max="14090" width="8" style="16" customWidth="1"/>
    <col min="14091" max="14092" width="7" style="16" bestFit="1" customWidth="1"/>
    <col min="14093" max="14093" width="6.85546875" style="16" bestFit="1" customWidth="1"/>
    <col min="14094" max="14094" width="7" style="16" bestFit="1" customWidth="1"/>
    <col min="14095" max="14095" width="8.42578125" style="16" customWidth="1"/>
    <col min="14096" max="14098" width="9.140625" style="16"/>
    <col min="14099" max="14099" width="12.42578125" style="16" customWidth="1"/>
    <col min="14100" max="14100" width="9.140625" style="16"/>
    <col min="14101" max="14101" width="12" style="16" customWidth="1"/>
    <col min="14102" max="14336" width="9.140625" style="16"/>
    <col min="14337" max="14337" width="5" style="16" customWidth="1"/>
    <col min="14338" max="14338" width="18.85546875" style="16" customWidth="1"/>
    <col min="14339" max="14339" width="11.140625" style="16" bestFit="1" customWidth="1"/>
    <col min="14340" max="14340" width="6.7109375" style="16" bestFit="1" customWidth="1"/>
    <col min="14341" max="14341" width="8.5703125" style="16" bestFit="1" customWidth="1"/>
    <col min="14342" max="14342" width="9.28515625" style="16" bestFit="1" customWidth="1"/>
    <col min="14343" max="14343" width="10.42578125" style="16" bestFit="1" customWidth="1"/>
    <col min="14344" max="14344" width="10.28515625" style="16" bestFit="1" customWidth="1"/>
    <col min="14345" max="14345" width="7.140625" style="16" bestFit="1" customWidth="1"/>
    <col min="14346" max="14346" width="8" style="16" customWidth="1"/>
    <col min="14347" max="14348" width="7" style="16" bestFit="1" customWidth="1"/>
    <col min="14349" max="14349" width="6.85546875" style="16" bestFit="1" customWidth="1"/>
    <col min="14350" max="14350" width="7" style="16" bestFit="1" customWidth="1"/>
    <col min="14351" max="14351" width="8.42578125" style="16" customWidth="1"/>
    <col min="14352" max="14354" width="9.140625" style="16"/>
    <col min="14355" max="14355" width="12.42578125" style="16" customWidth="1"/>
    <col min="14356" max="14356" width="9.140625" style="16"/>
    <col min="14357" max="14357" width="12" style="16" customWidth="1"/>
    <col min="14358" max="14592" width="9.140625" style="16"/>
    <col min="14593" max="14593" width="5" style="16" customWidth="1"/>
    <col min="14594" max="14594" width="18.85546875" style="16" customWidth="1"/>
    <col min="14595" max="14595" width="11.140625" style="16" bestFit="1" customWidth="1"/>
    <col min="14596" max="14596" width="6.7109375" style="16" bestFit="1" customWidth="1"/>
    <col min="14597" max="14597" width="8.5703125" style="16" bestFit="1" customWidth="1"/>
    <col min="14598" max="14598" width="9.28515625" style="16" bestFit="1" customWidth="1"/>
    <col min="14599" max="14599" width="10.42578125" style="16" bestFit="1" customWidth="1"/>
    <col min="14600" max="14600" width="10.28515625" style="16" bestFit="1" customWidth="1"/>
    <col min="14601" max="14601" width="7.140625" style="16" bestFit="1" customWidth="1"/>
    <col min="14602" max="14602" width="8" style="16" customWidth="1"/>
    <col min="14603" max="14604" width="7" style="16" bestFit="1" customWidth="1"/>
    <col min="14605" max="14605" width="6.85546875" style="16" bestFit="1" customWidth="1"/>
    <col min="14606" max="14606" width="7" style="16" bestFit="1" customWidth="1"/>
    <col min="14607" max="14607" width="8.42578125" style="16" customWidth="1"/>
    <col min="14608" max="14610" width="9.140625" style="16"/>
    <col min="14611" max="14611" width="12.42578125" style="16" customWidth="1"/>
    <col min="14612" max="14612" width="9.140625" style="16"/>
    <col min="14613" max="14613" width="12" style="16" customWidth="1"/>
    <col min="14614" max="14848" width="9.140625" style="16"/>
    <col min="14849" max="14849" width="5" style="16" customWidth="1"/>
    <col min="14850" max="14850" width="18.85546875" style="16" customWidth="1"/>
    <col min="14851" max="14851" width="11.140625" style="16" bestFit="1" customWidth="1"/>
    <col min="14852" max="14852" width="6.7109375" style="16" bestFit="1" customWidth="1"/>
    <col min="14853" max="14853" width="8.5703125" style="16" bestFit="1" customWidth="1"/>
    <col min="14854" max="14854" width="9.28515625" style="16" bestFit="1" customWidth="1"/>
    <col min="14855" max="14855" width="10.42578125" style="16" bestFit="1" customWidth="1"/>
    <col min="14856" max="14856" width="10.28515625" style="16" bestFit="1" customWidth="1"/>
    <col min="14857" max="14857" width="7.140625" style="16" bestFit="1" customWidth="1"/>
    <col min="14858" max="14858" width="8" style="16" customWidth="1"/>
    <col min="14859" max="14860" width="7" style="16" bestFit="1" customWidth="1"/>
    <col min="14861" max="14861" width="6.85546875" style="16" bestFit="1" customWidth="1"/>
    <col min="14862" max="14862" width="7" style="16" bestFit="1" customWidth="1"/>
    <col min="14863" max="14863" width="8.42578125" style="16" customWidth="1"/>
    <col min="14864" max="14866" width="9.140625" style="16"/>
    <col min="14867" max="14867" width="12.42578125" style="16" customWidth="1"/>
    <col min="14868" max="14868" width="9.140625" style="16"/>
    <col min="14869" max="14869" width="12" style="16" customWidth="1"/>
    <col min="14870" max="15104" width="9.140625" style="16"/>
    <col min="15105" max="15105" width="5" style="16" customWidth="1"/>
    <col min="15106" max="15106" width="18.85546875" style="16" customWidth="1"/>
    <col min="15107" max="15107" width="11.140625" style="16" bestFit="1" customWidth="1"/>
    <col min="15108" max="15108" width="6.7109375" style="16" bestFit="1" customWidth="1"/>
    <col min="15109" max="15109" width="8.5703125" style="16" bestFit="1" customWidth="1"/>
    <col min="15110" max="15110" width="9.28515625" style="16" bestFit="1" customWidth="1"/>
    <col min="15111" max="15111" width="10.42578125" style="16" bestFit="1" customWidth="1"/>
    <col min="15112" max="15112" width="10.28515625" style="16" bestFit="1" customWidth="1"/>
    <col min="15113" max="15113" width="7.140625" style="16" bestFit="1" customWidth="1"/>
    <col min="15114" max="15114" width="8" style="16" customWidth="1"/>
    <col min="15115" max="15116" width="7" style="16" bestFit="1" customWidth="1"/>
    <col min="15117" max="15117" width="6.85546875" style="16" bestFit="1" customWidth="1"/>
    <col min="15118" max="15118" width="7" style="16" bestFit="1" customWidth="1"/>
    <col min="15119" max="15119" width="8.42578125" style="16" customWidth="1"/>
    <col min="15120" max="15122" width="9.140625" style="16"/>
    <col min="15123" max="15123" width="12.42578125" style="16" customWidth="1"/>
    <col min="15124" max="15124" width="9.140625" style="16"/>
    <col min="15125" max="15125" width="12" style="16" customWidth="1"/>
    <col min="15126" max="15360" width="9.140625" style="16"/>
    <col min="15361" max="15361" width="5" style="16" customWidth="1"/>
    <col min="15362" max="15362" width="18.85546875" style="16" customWidth="1"/>
    <col min="15363" max="15363" width="11.140625" style="16" bestFit="1" customWidth="1"/>
    <col min="15364" max="15364" width="6.7109375" style="16" bestFit="1" customWidth="1"/>
    <col min="15365" max="15365" width="8.5703125" style="16" bestFit="1" customWidth="1"/>
    <col min="15366" max="15366" width="9.28515625" style="16" bestFit="1" customWidth="1"/>
    <col min="15367" max="15367" width="10.42578125" style="16" bestFit="1" customWidth="1"/>
    <col min="15368" max="15368" width="10.28515625" style="16" bestFit="1" customWidth="1"/>
    <col min="15369" max="15369" width="7.140625" style="16" bestFit="1" customWidth="1"/>
    <col min="15370" max="15370" width="8" style="16" customWidth="1"/>
    <col min="15371" max="15372" width="7" style="16" bestFit="1" customWidth="1"/>
    <col min="15373" max="15373" width="6.85546875" style="16" bestFit="1" customWidth="1"/>
    <col min="15374" max="15374" width="7" style="16" bestFit="1" customWidth="1"/>
    <col min="15375" max="15375" width="8.42578125" style="16" customWidth="1"/>
    <col min="15376" max="15378" width="9.140625" style="16"/>
    <col min="15379" max="15379" width="12.42578125" style="16" customWidth="1"/>
    <col min="15380" max="15380" width="9.140625" style="16"/>
    <col min="15381" max="15381" width="12" style="16" customWidth="1"/>
    <col min="15382" max="15616" width="9.140625" style="16"/>
    <col min="15617" max="15617" width="5" style="16" customWidth="1"/>
    <col min="15618" max="15618" width="18.85546875" style="16" customWidth="1"/>
    <col min="15619" max="15619" width="11.140625" style="16" bestFit="1" customWidth="1"/>
    <col min="15620" max="15620" width="6.7109375" style="16" bestFit="1" customWidth="1"/>
    <col min="15621" max="15621" width="8.5703125" style="16" bestFit="1" customWidth="1"/>
    <col min="15622" max="15622" width="9.28515625" style="16" bestFit="1" customWidth="1"/>
    <col min="15623" max="15623" width="10.42578125" style="16" bestFit="1" customWidth="1"/>
    <col min="15624" max="15624" width="10.28515625" style="16" bestFit="1" customWidth="1"/>
    <col min="15625" max="15625" width="7.140625" style="16" bestFit="1" customWidth="1"/>
    <col min="15626" max="15626" width="8" style="16" customWidth="1"/>
    <col min="15627" max="15628" width="7" style="16" bestFit="1" customWidth="1"/>
    <col min="15629" max="15629" width="6.85546875" style="16" bestFit="1" customWidth="1"/>
    <col min="15630" max="15630" width="7" style="16" bestFit="1" customWidth="1"/>
    <col min="15631" max="15631" width="8.42578125" style="16" customWidth="1"/>
    <col min="15632" max="15634" width="9.140625" style="16"/>
    <col min="15635" max="15635" width="12.42578125" style="16" customWidth="1"/>
    <col min="15636" max="15636" width="9.140625" style="16"/>
    <col min="15637" max="15637" width="12" style="16" customWidth="1"/>
    <col min="15638" max="15872" width="9.140625" style="16"/>
    <col min="15873" max="15873" width="5" style="16" customWidth="1"/>
    <col min="15874" max="15874" width="18.85546875" style="16" customWidth="1"/>
    <col min="15875" max="15875" width="11.140625" style="16" bestFit="1" customWidth="1"/>
    <col min="15876" max="15876" width="6.7109375" style="16" bestFit="1" customWidth="1"/>
    <col min="15877" max="15877" width="8.5703125" style="16" bestFit="1" customWidth="1"/>
    <col min="15878" max="15878" width="9.28515625" style="16" bestFit="1" customWidth="1"/>
    <col min="15879" max="15879" width="10.42578125" style="16" bestFit="1" customWidth="1"/>
    <col min="15880" max="15880" width="10.28515625" style="16" bestFit="1" customWidth="1"/>
    <col min="15881" max="15881" width="7.140625" style="16" bestFit="1" customWidth="1"/>
    <col min="15882" max="15882" width="8" style="16" customWidth="1"/>
    <col min="15883" max="15884" width="7" style="16" bestFit="1" customWidth="1"/>
    <col min="15885" max="15885" width="6.85546875" style="16" bestFit="1" customWidth="1"/>
    <col min="15886" max="15886" width="7" style="16" bestFit="1" customWidth="1"/>
    <col min="15887" max="15887" width="8.42578125" style="16" customWidth="1"/>
    <col min="15888" max="15890" width="9.140625" style="16"/>
    <col min="15891" max="15891" width="12.42578125" style="16" customWidth="1"/>
    <col min="15892" max="15892" width="9.140625" style="16"/>
    <col min="15893" max="15893" width="12" style="16" customWidth="1"/>
    <col min="15894" max="16128" width="9.140625" style="16"/>
    <col min="16129" max="16129" width="5" style="16" customWidth="1"/>
    <col min="16130" max="16130" width="18.85546875" style="16" customWidth="1"/>
    <col min="16131" max="16131" width="11.140625" style="16" bestFit="1" customWidth="1"/>
    <col min="16132" max="16132" width="6.7109375" style="16" bestFit="1" customWidth="1"/>
    <col min="16133" max="16133" width="8.5703125" style="16" bestFit="1" customWidth="1"/>
    <col min="16134" max="16134" width="9.28515625" style="16" bestFit="1" customWidth="1"/>
    <col min="16135" max="16135" width="10.42578125" style="16" bestFit="1" customWidth="1"/>
    <col min="16136" max="16136" width="10.28515625" style="16" bestFit="1" customWidth="1"/>
    <col min="16137" max="16137" width="7.140625" style="16" bestFit="1" customWidth="1"/>
    <col min="16138" max="16138" width="8" style="16" customWidth="1"/>
    <col min="16139" max="16140" width="7" style="16" bestFit="1" customWidth="1"/>
    <col min="16141" max="16141" width="6.85546875" style="16" bestFit="1" customWidth="1"/>
    <col min="16142" max="16142" width="7" style="16" bestFit="1" customWidth="1"/>
    <col min="16143" max="16143" width="8.42578125" style="16" customWidth="1"/>
    <col min="16144" max="16146" width="9.140625" style="16"/>
    <col min="16147" max="16147" width="12.42578125" style="16" customWidth="1"/>
    <col min="16148" max="16148" width="9.140625" style="16"/>
    <col min="16149" max="16149" width="12" style="16" customWidth="1"/>
    <col min="16150" max="16384" width="9.140625" style="16"/>
  </cols>
  <sheetData>
    <row r="1" spans="1:15" s="1" customFormat="1" x14ac:dyDescent="0.2">
      <c r="A1" s="867" t="s">
        <v>449</v>
      </c>
      <c r="B1" s="868"/>
      <c r="C1" s="868"/>
      <c r="D1" s="869"/>
      <c r="E1" s="868"/>
      <c r="F1" s="868"/>
      <c r="G1" s="867" t="s">
        <v>102</v>
      </c>
      <c r="H1" s="869"/>
      <c r="I1" s="869" t="s">
        <v>918</v>
      </c>
      <c r="J1" s="868"/>
      <c r="K1" s="868"/>
      <c r="L1" s="870"/>
      <c r="M1" s="870"/>
      <c r="N1" s="870"/>
      <c r="O1" s="870"/>
    </row>
    <row r="2" spans="1:15" s="1" customFormat="1" x14ac:dyDescent="0.2">
      <c r="A2" s="867" t="s">
        <v>103</v>
      </c>
      <c r="B2" s="868"/>
      <c r="C2" s="868"/>
      <c r="D2" s="869"/>
      <c r="E2" s="868"/>
      <c r="F2" s="868"/>
      <c r="G2" s="867" t="s">
        <v>104</v>
      </c>
      <c r="H2" s="869"/>
      <c r="I2" s="869" t="s">
        <v>105</v>
      </c>
      <c r="J2" s="868"/>
      <c r="K2" s="868"/>
      <c r="L2" s="870"/>
      <c r="M2" s="870"/>
      <c r="N2" s="870"/>
      <c r="O2" s="870"/>
    </row>
    <row r="3" spans="1:15" s="1" customFormat="1" x14ac:dyDescent="0.2">
      <c r="A3" s="867" t="s">
        <v>106</v>
      </c>
      <c r="B3" s="868"/>
      <c r="C3" s="868"/>
      <c r="D3" s="881">
        <v>21337</v>
      </c>
      <c r="E3" s="882"/>
      <c r="F3" s="882"/>
      <c r="G3" s="867" t="s">
        <v>107</v>
      </c>
      <c r="H3" s="869"/>
      <c r="I3" s="869" t="s">
        <v>108</v>
      </c>
      <c r="J3" s="868"/>
      <c r="K3" s="868"/>
      <c r="L3" s="870"/>
      <c r="M3" s="870"/>
      <c r="N3" s="870"/>
      <c r="O3" s="870"/>
    </row>
    <row r="4" spans="1:15" s="1" customFormat="1" x14ac:dyDescent="0.2">
      <c r="A4" s="867" t="s">
        <v>109</v>
      </c>
      <c r="B4" s="868"/>
      <c r="C4" s="868"/>
      <c r="D4" s="883"/>
      <c r="E4" s="868"/>
      <c r="F4" s="868"/>
      <c r="G4" s="867" t="s">
        <v>110</v>
      </c>
      <c r="H4" s="869"/>
      <c r="I4" s="869" t="s">
        <v>478</v>
      </c>
      <c r="J4" s="868"/>
      <c r="K4" s="868"/>
      <c r="L4" s="870"/>
      <c r="M4" s="870"/>
      <c r="N4" s="870"/>
      <c r="O4" s="870"/>
    </row>
    <row r="5" spans="1:15" s="1" customFormat="1" x14ac:dyDescent="0.2">
      <c r="A5" s="867" t="s">
        <v>476</v>
      </c>
      <c r="B5" s="868"/>
      <c r="C5" s="868"/>
      <c r="D5" s="869" t="s">
        <v>1136</v>
      </c>
      <c r="E5" s="868"/>
      <c r="F5" s="868"/>
      <c r="G5" s="867"/>
      <c r="H5" s="868"/>
      <c r="I5" s="869" t="s">
        <v>113</v>
      </c>
      <c r="J5" s="868"/>
      <c r="K5" s="868"/>
      <c r="L5" s="870"/>
      <c r="M5" s="870"/>
      <c r="N5" s="870"/>
      <c r="O5" s="870"/>
    </row>
    <row r="6" spans="1:15" s="1" customFormat="1" x14ac:dyDescent="0.2">
      <c r="A6" s="871" t="s">
        <v>114</v>
      </c>
      <c r="B6" s="872"/>
      <c r="C6" s="872"/>
      <c r="D6" s="868" t="s">
        <v>919</v>
      </c>
      <c r="E6" s="868"/>
      <c r="F6" s="868"/>
      <c r="G6" s="871" t="s">
        <v>115</v>
      </c>
      <c r="H6" s="871"/>
      <c r="I6" s="2" t="s">
        <v>116</v>
      </c>
      <c r="J6" s="888"/>
      <c r="K6" s="888"/>
      <c r="L6" s="888"/>
      <c r="M6" s="888"/>
      <c r="N6" s="888"/>
      <c r="O6" s="889"/>
    </row>
    <row r="7" spans="1:15" s="1" customFormat="1" ht="13.5" thickBot="1" x14ac:dyDescent="0.25">
      <c r="A7" s="3"/>
      <c r="B7" s="4"/>
      <c r="C7" s="5"/>
      <c r="D7" s="6"/>
      <c r="E7" s="6"/>
      <c r="F7" s="6"/>
      <c r="G7" s="6"/>
      <c r="H7" s="6"/>
      <c r="I7" s="6"/>
      <c r="J7" s="7"/>
      <c r="K7" s="8"/>
      <c r="L7" s="875" t="s">
        <v>223</v>
      </c>
      <c r="M7" s="875"/>
      <c r="N7" s="875"/>
      <c r="O7" s="875"/>
    </row>
    <row r="8" spans="1:15" s="11" customFormat="1" x14ac:dyDescent="0.2">
      <c r="A8" s="876" t="str">
        <f>I1</f>
        <v>Mr. Lalahmed Babulal Shaikh</v>
      </c>
      <c r="B8" s="877"/>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101700</v>
      </c>
      <c r="D9" s="14">
        <v>101700</v>
      </c>
      <c r="E9" s="14">
        <v>101700</v>
      </c>
      <c r="F9" s="14">
        <v>0</v>
      </c>
      <c r="G9" s="14">
        <v>0</v>
      </c>
      <c r="H9" s="14">
        <v>0</v>
      </c>
      <c r="I9" s="14">
        <v>0</v>
      </c>
      <c r="J9" s="14">
        <v>0</v>
      </c>
      <c r="K9" s="14">
        <v>0</v>
      </c>
      <c r="L9" s="14">
        <v>0</v>
      </c>
      <c r="M9" s="14">
        <v>0</v>
      </c>
      <c r="N9" s="14">
        <v>0</v>
      </c>
      <c r="O9" s="15">
        <f>SUM(C9:N9)</f>
        <v>305100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5085</v>
      </c>
      <c r="D11" s="17">
        <v>7119</v>
      </c>
      <c r="E11" s="17">
        <v>7119</v>
      </c>
      <c r="F11" s="17">
        <v>0</v>
      </c>
      <c r="G11" s="17">
        <v>0</v>
      </c>
      <c r="H11" s="17">
        <v>0</v>
      </c>
      <c r="I11" s="17">
        <v>0</v>
      </c>
      <c r="J11" s="17">
        <v>0</v>
      </c>
      <c r="K11" s="17">
        <v>0</v>
      </c>
      <c r="L11" s="17">
        <v>0</v>
      </c>
      <c r="M11" s="17">
        <v>0</v>
      </c>
      <c r="N11" s="17">
        <v>0</v>
      </c>
      <c r="O11" s="18">
        <f>SUM(C11:N11)</f>
        <v>19323</v>
      </c>
    </row>
    <row r="12" spans="1:15"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7" si="0">SUM(C13:N13)</f>
        <v>0</v>
      </c>
    </row>
    <row r="14" spans="1:15" ht="15" x14ac:dyDescent="0.2">
      <c r="A14" s="12"/>
      <c r="B14" s="13" t="s">
        <v>123</v>
      </c>
      <c r="C14" s="17">
        <v>7560</v>
      </c>
      <c r="D14" s="17">
        <v>7704</v>
      </c>
      <c r="E14" s="17">
        <v>7704</v>
      </c>
      <c r="F14" s="17">
        <v>0</v>
      </c>
      <c r="G14" s="17">
        <v>0</v>
      </c>
      <c r="H14" s="17">
        <v>0</v>
      </c>
      <c r="I14" s="17">
        <v>0</v>
      </c>
      <c r="J14" s="17">
        <v>0</v>
      </c>
      <c r="K14" s="17">
        <v>0</v>
      </c>
      <c r="L14" s="17">
        <v>0</v>
      </c>
      <c r="M14" s="17">
        <v>0</v>
      </c>
      <c r="N14" s="17">
        <v>0</v>
      </c>
      <c r="O14" s="18">
        <f t="shared" si="0"/>
        <v>22968</v>
      </c>
    </row>
    <row r="15" spans="1:15"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hidden="1"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127</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0</v>
      </c>
      <c r="D19" s="17">
        <v>0</v>
      </c>
      <c r="E19" s="17">
        <v>0</v>
      </c>
      <c r="F19" s="17">
        <v>0</v>
      </c>
      <c r="G19" s="17">
        <v>0</v>
      </c>
      <c r="H19" s="17">
        <v>0</v>
      </c>
      <c r="I19" s="17">
        <v>0</v>
      </c>
      <c r="J19" s="17">
        <v>0</v>
      </c>
      <c r="K19" s="17">
        <v>0</v>
      </c>
      <c r="L19" s="17">
        <v>0</v>
      </c>
      <c r="M19" s="17">
        <v>0</v>
      </c>
      <c r="N19" s="17">
        <v>0</v>
      </c>
      <c r="O19" s="18">
        <f t="shared" si="0"/>
        <v>0</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78"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79"/>
      <c r="B22" s="19" t="s">
        <v>132</v>
      </c>
      <c r="C22" s="17">
        <v>0</v>
      </c>
      <c r="D22" s="17">
        <v>0</v>
      </c>
      <c r="E22" s="17">
        <v>0</v>
      </c>
      <c r="F22" s="17">
        <v>0</v>
      </c>
      <c r="G22" s="17">
        <v>0</v>
      </c>
      <c r="H22" s="17">
        <v>0</v>
      </c>
      <c r="I22" s="17">
        <v>0</v>
      </c>
      <c r="J22" s="17">
        <v>0</v>
      </c>
      <c r="K22" s="17">
        <v>0</v>
      </c>
      <c r="L22" s="17">
        <v>0</v>
      </c>
      <c r="M22" s="17">
        <v>0</v>
      </c>
      <c r="N22" s="17">
        <v>0</v>
      </c>
      <c r="O22" s="18">
        <f t="shared" si="0"/>
        <v>0</v>
      </c>
    </row>
    <row r="23" spans="1:15" ht="15" hidden="1" customHeight="1" x14ac:dyDescent="0.2">
      <c r="A23" s="879"/>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79"/>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79"/>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79"/>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79"/>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79"/>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79"/>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79"/>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79"/>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79"/>
      <c r="B32" s="21" t="s">
        <v>142</v>
      </c>
      <c r="C32" s="17">
        <v>0</v>
      </c>
      <c r="D32" s="17">
        <v>0</v>
      </c>
      <c r="E32" s="17">
        <v>0</v>
      </c>
      <c r="F32" s="17">
        <v>0</v>
      </c>
      <c r="G32" s="17">
        <v>0</v>
      </c>
      <c r="H32" s="17">
        <v>0</v>
      </c>
      <c r="I32" s="17">
        <v>0</v>
      </c>
      <c r="J32" s="17">
        <v>0</v>
      </c>
      <c r="K32" s="17">
        <v>0</v>
      </c>
      <c r="L32" s="17">
        <v>0</v>
      </c>
      <c r="M32" s="17">
        <v>0</v>
      </c>
      <c r="N32" s="17">
        <v>0</v>
      </c>
      <c r="O32" s="18">
        <f t="shared" si="0"/>
        <v>0</v>
      </c>
    </row>
    <row r="33" spans="1:16" ht="15" hidden="1" customHeight="1" x14ac:dyDescent="0.2">
      <c r="A33" s="880"/>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865" t="s">
        <v>144</v>
      </c>
      <c r="B34" s="866"/>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215"/>
      <c r="B35" s="216" t="s">
        <v>1137</v>
      </c>
      <c r="C35" s="17">
        <v>0</v>
      </c>
      <c r="D35" s="17">
        <v>0</v>
      </c>
      <c r="E35" s="17">
        <v>0</v>
      </c>
      <c r="F35" s="17">
        <v>0</v>
      </c>
      <c r="G35" s="17">
        <v>0</v>
      </c>
      <c r="H35" s="17">
        <v>0</v>
      </c>
      <c r="I35" s="17">
        <v>0</v>
      </c>
      <c r="J35" s="17">
        <v>0</v>
      </c>
      <c r="K35" s="17">
        <v>0</v>
      </c>
      <c r="L35" s="17">
        <v>0</v>
      </c>
      <c r="M35" s="17">
        <v>0</v>
      </c>
      <c r="N35" s="17">
        <v>0</v>
      </c>
      <c r="O35" s="18">
        <f t="shared" si="0"/>
        <v>0</v>
      </c>
      <c r="P35" s="39"/>
    </row>
    <row r="36" spans="1:16" ht="15" customHeight="1" x14ac:dyDescent="0.2">
      <c r="A36" s="865" t="s">
        <v>145</v>
      </c>
      <c r="B36" s="866"/>
      <c r="C36" s="17">
        <v>0</v>
      </c>
      <c r="D36" s="17">
        <v>432</v>
      </c>
      <c r="E36" s="17">
        <v>0</v>
      </c>
      <c r="F36" s="17">
        <v>0</v>
      </c>
      <c r="G36" s="17">
        <v>0</v>
      </c>
      <c r="H36" s="17">
        <v>0</v>
      </c>
      <c r="I36" s="17">
        <v>0</v>
      </c>
      <c r="J36" s="17">
        <v>0</v>
      </c>
      <c r="K36" s="17">
        <v>0</v>
      </c>
      <c r="L36" s="17">
        <v>0</v>
      </c>
      <c r="M36" s="17">
        <v>0</v>
      </c>
      <c r="N36" s="17">
        <v>0</v>
      </c>
      <c r="O36" s="18">
        <f t="shared" si="0"/>
        <v>432</v>
      </c>
    </row>
    <row r="37" spans="1:16" ht="15" customHeight="1" x14ac:dyDescent="0.2">
      <c r="A37" s="865" t="s">
        <v>146</v>
      </c>
      <c r="B37" s="866"/>
      <c r="C37" s="17">
        <v>0</v>
      </c>
      <c r="D37" s="17">
        <v>6102</v>
      </c>
      <c r="E37" s="17">
        <v>0</v>
      </c>
      <c r="F37" s="17">
        <v>0</v>
      </c>
      <c r="G37" s="17">
        <v>0</v>
      </c>
      <c r="H37" s="17">
        <v>0</v>
      </c>
      <c r="I37" s="17">
        <v>0</v>
      </c>
      <c r="J37" s="17">
        <v>0</v>
      </c>
      <c r="K37" s="17">
        <v>0</v>
      </c>
      <c r="L37" s="17">
        <v>0</v>
      </c>
      <c r="M37" s="17">
        <v>0</v>
      </c>
      <c r="N37" s="17">
        <v>0</v>
      </c>
      <c r="O37" s="18">
        <f t="shared" si="0"/>
        <v>6102</v>
      </c>
    </row>
    <row r="38" spans="1:16" ht="15" customHeight="1" x14ac:dyDescent="0.2">
      <c r="A38" s="22"/>
      <c r="B38" s="23" t="s">
        <v>147</v>
      </c>
      <c r="C38" s="14">
        <v>0</v>
      </c>
      <c r="D38" s="14">
        <v>0</v>
      </c>
      <c r="E38" s="14">
        <v>0</v>
      </c>
      <c r="F38" s="14">
        <v>0</v>
      </c>
      <c r="G38" s="14">
        <v>0</v>
      </c>
      <c r="H38" s="14">
        <v>0</v>
      </c>
      <c r="I38" s="14">
        <v>0</v>
      </c>
      <c r="J38" s="14">
        <v>0</v>
      </c>
      <c r="K38" s="14">
        <v>0</v>
      </c>
      <c r="L38" s="14">
        <v>0</v>
      </c>
      <c r="M38" s="14">
        <v>0</v>
      </c>
      <c r="N38" s="14">
        <v>0</v>
      </c>
      <c r="O38" s="25">
        <f>SUM(C38:N38)</f>
        <v>0</v>
      </c>
    </row>
    <row r="39" spans="1:16" ht="15" customHeight="1" x14ac:dyDescent="0.2">
      <c r="A39" s="853" t="s">
        <v>148</v>
      </c>
      <c r="B39" s="27" t="s">
        <v>149</v>
      </c>
      <c r="C39" s="17">
        <v>0</v>
      </c>
      <c r="D39" s="17">
        <v>0</v>
      </c>
      <c r="E39" s="17">
        <v>0</v>
      </c>
      <c r="F39" s="17">
        <v>0</v>
      </c>
      <c r="G39" s="17">
        <v>0</v>
      </c>
      <c r="H39" s="17">
        <v>0</v>
      </c>
      <c r="I39" s="17">
        <v>0</v>
      </c>
      <c r="J39" s="17">
        <v>0</v>
      </c>
      <c r="K39" s="17">
        <v>0</v>
      </c>
      <c r="L39" s="17">
        <v>0</v>
      </c>
      <c r="M39" s="17">
        <v>0</v>
      </c>
      <c r="N39" s="17">
        <v>0</v>
      </c>
      <c r="O39" s="18">
        <f>SUM(C39:N39)</f>
        <v>0</v>
      </c>
      <c r="P39" s="29"/>
    </row>
    <row r="40" spans="1:16" ht="15" x14ac:dyDescent="0.2">
      <c r="A40" s="854"/>
      <c r="B40" s="27" t="s">
        <v>150</v>
      </c>
      <c r="C40" s="17">
        <v>0</v>
      </c>
      <c r="D40" s="17">
        <v>0</v>
      </c>
      <c r="E40" s="17">
        <v>0</v>
      </c>
      <c r="F40" s="17">
        <v>0</v>
      </c>
      <c r="G40" s="17">
        <v>0</v>
      </c>
      <c r="H40" s="17">
        <v>0</v>
      </c>
      <c r="I40" s="17">
        <v>0</v>
      </c>
      <c r="J40" s="17">
        <v>0</v>
      </c>
      <c r="K40" s="17">
        <v>0</v>
      </c>
      <c r="L40" s="17">
        <v>0</v>
      </c>
      <c r="M40" s="17">
        <v>0</v>
      </c>
      <c r="N40" s="17">
        <v>0</v>
      </c>
      <c r="O40" s="18">
        <f>SUM(C40:N40)</f>
        <v>0</v>
      </c>
    </row>
    <row r="41" spans="1:16" ht="15" x14ac:dyDescent="0.2">
      <c r="A41" s="854"/>
      <c r="B41" s="27" t="s">
        <v>151</v>
      </c>
      <c r="C41" s="17">
        <v>60</v>
      </c>
      <c r="D41" s="17">
        <v>60</v>
      </c>
      <c r="E41" s="17">
        <v>60</v>
      </c>
      <c r="F41" s="17">
        <v>0</v>
      </c>
      <c r="G41" s="17">
        <v>0</v>
      </c>
      <c r="H41" s="17">
        <v>0</v>
      </c>
      <c r="I41" s="17">
        <v>0</v>
      </c>
      <c r="J41" s="17">
        <v>0</v>
      </c>
      <c r="K41" s="17">
        <v>0</v>
      </c>
      <c r="L41" s="17">
        <v>0</v>
      </c>
      <c r="M41" s="17">
        <v>0</v>
      </c>
      <c r="N41" s="17">
        <v>0</v>
      </c>
      <c r="O41" s="18">
        <f t="shared" ref="O41:O51" si="1">SUM(C41:N41)</f>
        <v>180</v>
      </c>
    </row>
    <row r="42" spans="1:16" ht="15" x14ac:dyDescent="0.2">
      <c r="A42" s="854"/>
      <c r="B42" s="27" t="s">
        <v>152</v>
      </c>
      <c r="C42" s="17">
        <v>0</v>
      </c>
      <c r="D42" s="17">
        <v>0</v>
      </c>
      <c r="E42" s="17">
        <v>0</v>
      </c>
      <c r="F42" s="17">
        <v>0</v>
      </c>
      <c r="G42" s="17">
        <v>0</v>
      </c>
      <c r="H42" s="17">
        <v>0</v>
      </c>
      <c r="I42" s="17">
        <v>0</v>
      </c>
      <c r="J42" s="17">
        <v>0</v>
      </c>
      <c r="K42" s="17">
        <v>0</v>
      </c>
      <c r="L42" s="17">
        <v>0</v>
      </c>
      <c r="M42" s="17">
        <v>0</v>
      </c>
      <c r="N42" s="17">
        <v>0</v>
      </c>
      <c r="O42" s="18">
        <f t="shared" si="1"/>
        <v>0</v>
      </c>
    </row>
    <row r="43" spans="1:16" ht="15" x14ac:dyDescent="0.2">
      <c r="A43" s="854"/>
      <c r="B43" s="27" t="s">
        <v>153</v>
      </c>
      <c r="C43" s="17">
        <v>650</v>
      </c>
      <c r="D43" s="17">
        <v>650</v>
      </c>
      <c r="E43" s="17">
        <v>650</v>
      </c>
      <c r="F43" s="17">
        <v>0</v>
      </c>
      <c r="G43" s="17">
        <v>0</v>
      </c>
      <c r="H43" s="17">
        <v>0</v>
      </c>
      <c r="I43" s="17">
        <v>0</v>
      </c>
      <c r="J43" s="17">
        <v>0</v>
      </c>
      <c r="K43" s="17">
        <v>0</v>
      </c>
      <c r="L43" s="17">
        <v>0</v>
      </c>
      <c r="M43" s="17">
        <v>0</v>
      </c>
      <c r="N43" s="17">
        <v>0</v>
      </c>
      <c r="O43" s="18">
        <f t="shared" si="1"/>
        <v>1950</v>
      </c>
    </row>
    <row r="44" spans="1:16" ht="15" x14ac:dyDescent="0.2">
      <c r="A44" s="854"/>
      <c r="B44" s="27" t="s">
        <v>154</v>
      </c>
      <c r="C44" s="17">
        <v>0</v>
      </c>
      <c r="D44" s="17">
        <v>0</v>
      </c>
      <c r="E44" s="17">
        <v>0</v>
      </c>
      <c r="F44" s="17">
        <v>0</v>
      </c>
      <c r="G44" s="17">
        <v>0</v>
      </c>
      <c r="H44" s="17">
        <v>0</v>
      </c>
      <c r="I44" s="17">
        <v>0</v>
      </c>
      <c r="J44" s="17">
        <v>0</v>
      </c>
      <c r="K44" s="17">
        <v>0</v>
      </c>
      <c r="L44" s="17">
        <v>0</v>
      </c>
      <c r="M44" s="17">
        <v>0</v>
      </c>
      <c r="N44" s="17">
        <v>0</v>
      </c>
      <c r="O44" s="18">
        <f t="shared" si="1"/>
        <v>0</v>
      </c>
    </row>
    <row r="45" spans="1:16" ht="15" x14ac:dyDescent="0.2">
      <c r="A45" s="854"/>
      <c r="B45" s="27" t="s">
        <v>155</v>
      </c>
      <c r="C45" s="17">
        <v>200</v>
      </c>
      <c r="D45" s="17">
        <v>200</v>
      </c>
      <c r="E45" s="17">
        <v>200</v>
      </c>
      <c r="F45" s="17">
        <v>0</v>
      </c>
      <c r="G45" s="17">
        <v>0</v>
      </c>
      <c r="H45" s="17">
        <v>0</v>
      </c>
      <c r="I45" s="17">
        <v>0</v>
      </c>
      <c r="J45" s="17">
        <v>0</v>
      </c>
      <c r="K45" s="17">
        <v>0</v>
      </c>
      <c r="L45" s="17">
        <v>0</v>
      </c>
      <c r="M45" s="17">
        <v>0</v>
      </c>
      <c r="N45" s="17">
        <v>0</v>
      </c>
      <c r="O45" s="18">
        <f t="shared" si="1"/>
        <v>600</v>
      </c>
    </row>
    <row r="46" spans="1:16" ht="15" x14ac:dyDescent="0.2">
      <c r="A46" s="854"/>
      <c r="B46" s="27" t="s">
        <v>293</v>
      </c>
      <c r="C46" s="17">
        <v>713</v>
      </c>
      <c r="D46" s="17">
        <v>713</v>
      </c>
      <c r="E46" s="17">
        <v>713</v>
      </c>
      <c r="F46" s="17">
        <v>0</v>
      </c>
      <c r="G46" s="17">
        <v>0</v>
      </c>
      <c r="H46" s="17">
        <v>0</v>
      </c>
      <c r="I46" s="17">
        <v>0</v>
      </c>
      <c r="J46" s="17">
        <v>0</v>
      </c>
      <c r="K46" s="17">
        <v>0</v>
      </c>
      <c r="L46" s="17">
        <v>0</v>
      </c>
      <c r="M46" s="17">
        <v>0</v>
      </c>
      <c r="N46" s="17">
        <v>0</v>
      </c>
      <c r="O46" s="18">
        <f t="shared" si="1"/>
        <v>2139</v>
      </c>
    </row>
    <row r="47" spans="1:16" ht="15" x14ac:dyDescent="0.2">
      <c r="A47" s="854"/>
      <c r="B47" s="27" t="s">
        <v>157</v>
      </c>
      <c r="C47" s="17">
        <v>0</v>
      </c>
      <c r="D47" s="17">
        <v>0</v>
      </c>
      <c r="E47" s="17">
        <v>0</v>
      </c>
      <c r="F47" s="17">
        <v>0</v>
      </c>
      <c r="G47" s="17">
        <v>0</v>
      </c>
      <c r="H47" s="17">
        <v>0</v>
      </c>
      <c r="I47" s="17">
        <v>0</v>
      </c>
      <c r="J47" s="17">
        <v>0</v>
      </c>
      <c r="K47" s="17">
        <v>0</v>
      </c>
      <c r="L47" s="17">
        <v>0</v>
      </c>
      <c r="M47" s="17">
        <v>0</v>
      </c>
      <c r="N47" s="17">
        <v>0</v>
      </c>
      <c r="O47" s="18">
        <f t="shared" si="1"/>
        <v>0</v>
      </c>
    </row>
    <row r="48" spans="1:16" ht="28.5" customHeight="1" x14ac:dyDescent="0.2">
      <c r="A48" s="855"/>
      <c r="B48" s="30" t="s">
        <v>158</v>
      </c>
      <c r="C48" s="17">
        <v>0</v>
      </c>
      <c r="D48" s="17">
        <v>0</v>
      </c>
      <c r="E48" s="17">
        <v>0</v>
      </c>
      <c r="F48" s="17">
        <v>0</v>
      </c>
      <c r="G48" s="17">
        <v>0</v>
      </c>
      <c r="H48" s="17">
        <v>0</v>
      </c>
      <c r="I48" s="17">
        <v>0</v>
      </c>
      <c r="J48" s="17">
        <v>0</v>
      </c>
      <c r="K48" s="17">
        <v>0</v>
      </c>
      <c r="L48" s="17">
        <v>0</v>
      </c>
      <c r="M48" s="17">
        <v>0</v>
      </c>
      <c r="N48" s="17">
        <v>0</v>
      </c>
      <c r="O48" s="31">
        <f t="shared" si="1"/>
        <v>0</v>
      </c>
    </row>
    <row r="49" spans="1:17" ht="15" x14ac:dyDescent="0.2">
      <c r="A49" s="856"/>
      <c r="B49" s="127" t="s">
        <v>479</v>
      </c>
      <c r="C49" s="17">
        <v>0</v>
      </c>
      <c r="D49" s="17">
        <v>0</v>
      </c>
      <c r="E49" s="17">
        <v>0</v>
      </c>
      <c r="F49" s="17">
        <v>0</v>
      </c>
      <c r="G49" s="17">
        <v>0</v>
      </c>
      <c r="H49" s="17">
        <v>0</v>
      </c>
      <c r="I49" s="17">
        <v>0</v>
      </c>
      <c r="J49" s="17">
        <v>0</v>
      </c>
      <c r="K49" s="17">
        <v>0</v>
      </c>
      <c r="L49" s="17">
        <v>0</v>
      </c>
      <c r="M49" s="17">
        <v>0</v>
      </c>
      <c r="N49" s="17">
        <v>0</v>
      </c>
      <c r="O49" s="31">
        <f t="shared" si="1"/>
        <v>0</v>
      </c>
    </row>
    <row r="50" spans="1:17" ht="15" x14ac:dyDescent="0.2">
      <c r="A50" s="857" t="s">
        <v>160</v>
      </c>
      <c r="B50" s="858"/>
      <c r="C50" s="33">
        <f t="shared" ref="C50:N50" si="2">SUM(C39:C49)</f>
        <v>1623</v>
      </c>
      <c r="D50" s="33">
        <f t="shared" si="2"/>
        <v>1623</v>
      </c>
      <c r="E50" s="33">
        <f t="shared" si="2"/>
        <v>1623</v>
      </c>
      <c r="F50" s="33">
        <f t="shared" si="2"/>
        <v>0</v>
      </c>
      <c r="G50" s="33">
        <f t="shared" si="2"/>
        <v>0</v>
      </c>
      <c r="H50" s="33">
        <f t="shared" si="2"/>
        <v>0</v>
      </c>
      <c r="I50" s="33">
        <f t="shared" si="2"/>
        <v>0</v>
      </c>
      <c r="J50" s="33">
        <f t="shared" si="2"/>
        <v>0</v>
      </c>
      <c r="K50" s="33">
        <f t="shared" si="2"/>
        <v>0</v>
      </c>
      <c r="L50" s="33">
        <f t="shared" si="2"/>
        <v>0</v>
      </c>
      <c r="M50" s="33">
        <f t="shared" si="2"/>
        <v>0</v>
      </c>
      <c r="N50" s="33">
        <f t="shared" si="2"/>
        <v>0</v>
      </c>
      <c r="O50" s="34">
        <f t="shared" si="1"/>
        <v>4869</v>
      </c>
    </row>
    <row r="51" spans="1:17" ht="15.75" thickBot="1" x14ac:dyDescent="0.25">
      <c r="A51" s="859" t="s">
        <v>161</v>
      </c>
      <c r="B51" s="860"/>
      <c r="C51" s="35">
        <f t="shared" ref="C51:N51" si="3">C38-C50</f>
        <v>-1623</v>
      </c>
      <c r="D51" s="35">
        <f t="shared" si="3"/>
        <v>-1623</v>
      </c>
      <c r="E51" s="35">
        <f t="shared" si="3"/>
        <v>-1623</v>
      </c>
      <c r="F51" s="35">
        <f t="shared" si="3"/>
        <v>0</v>
      </c>
      <c r="G51" s="35">
        <f t="shared" si="3"/>
        <v>0</v>
      </c>
      <c r="H51" s="35">
        <f t="shared" si="3"/>
        <v>0</v>
      </c>
      <c r="I51" s="35">
        <f t="shared" si="3"/>
        <v>0</v>
      </c>
      <c r="J51" s="35">
        <f t="shared" si="3"/>
        <v>0</v>
      </c>
      <c r="K51" s="35">
        <f t="shared" si="3"/>
        <v>0</v>
      </c>
      <c r="L51" s="35">
        <f t="shared" si="3"/>
        <v>0</v>
      </c>
      <c r="M51" s="35">
        <f t="shared" si="3"/>
        <v>0</v>
      </c>
      <c r="N51" s="35">
        <f t="shared" si="3"/>
        <v>0</v>
      </c>
      <c r="O51" s="36">
        <f t="shared" si="1"/>
        <v>-4869</v>
      </c>
    </row>
    <row r="52" spans="1:17" x14ac:dyDescent="0.2">
      <c r="J52" s="300">
        <f>+J38-SUM(J22:J37)</f>
        <v>0</v>
      </c>
      <c r="Q52" s="38"/>
    </row>
    <row r="53" spans="1:17" ht="13.5" thickBot="1" x14ac:dyDescent="0.25">
      <c r="J53" s="38">
        <f>+J52-J50</f>
        <v>0</v>
      </c>
    </row>
    <row r="54" spans="1:17" ht="13.5" thickBot="1" x14ac:dyDescent="0.25">
      <c r="B54" s="789" t="s">
        <v>162</v>
      </c>
      <c r="C54" s="861"/>
      <c r="D54" s="861"/>
      <c r="E54" s="861"/>
      <c r="F54" s="862"/>
      <c r="G54" s="863">
        <f>O38</f>
        <v>0</v>
      </c>
      <c r="H54" s="864"/>
    </row>
    <row r="55" spans="1:17" ht="13.5" thickBot="1" x14ac:dyDescent="0.25"/>
    <row r="56" spans="1:17" x14ac:dyDescent="0.2">
      <c r="B56" s="830" t="s">
        <v>163</v>
      </c>
      <c r="C56" s="833" t="s">
        <v>164</v>
      </c>
      <c r="D56" s="836" t="s">
        <v>165</v>
      </c>
      <c r="E56" s="837"/>
      <c r="F56" s="838"/>
      <c r="G56" s="839">
        <f>1600*12</f>
        <v>19200</v>
      </c>
      <c r="H56" s="840"/>
    </row>
    <row r="57" spans="1:17" x14ac:dyDescent="0.2">
      <c r="B57" s="831"/>
      <c r="C57" s="834"/>
      <c r="D57" s="841" t="s">
        <v>166</v>
      </c>
      <c r="E57" s="842"/>
      <c r="F57" s="843"/>
      <c r="G57" s="844">
        <f>+O45</f>
        <v>600</v>
      </c>
      <c r="H57" s="845"/>
      <c r="I57" s="39"/>
      <c r="J57" s="846"/>
      <c r="K57" s="846"/>
      <c r="L57" s="846"/>
      <c r="M57" s="847"/>
      <c r="N57" s="847"/>
      <c r="O57" s="847"/>
    </row>
    <row r="58" spans="1:17" ht="13.5" thickBot="1" x14ac:dyDescent="0.25">
      <c r="B58" s="832"/>
      <c r="C58" s="835"/>
      <c r="D58" s="848" t="s">
        <v>243</v>
      </c>
      <c r="E58" s="849"/>
      <c r="F58" s="850"/>
      <c r="G58" s="851">
        <f>IF(O18&gt;15000,15000,+O18)</f>
        <v>0</v>
      </c>
      <c r="H58" s="852"/>
      <c r="J58" s="47"/>
      <c r="K58" s="47"/>
      <c r="L58" s="47"/>
      <c r="M58" s="47"/>
      <c r="N58" s="47"/>
      <c r="O58" s="47"/>
    </row>
    <row r="59" spans="1:17" ht="13.5" thickBot="1" x14ac:dyDescent="0.25">
      <c r="B59" s="48"/>
      <c r="J59" s="47"/>
      <c r="K59" s="47"/>
      <c r="L59" s="47"/>
      <c r="M59" s="47"/>
      <c r="N59" s="47"/>
      <c r="O59" s="47"/>
    </row>
    <row r="60" spans="1:17" ht="13.5" thickBot="1" x14ac:dyDescent="0.25">
      <c r="B60" s="789" t="s">
        <v>168</v>
      </c>
      <c r="C60" s="790"/>
      <c r="D60" s="790"/>
      <c r="E60" s="790"/>
      <c r="F60" s="791"/>
      <c r="G60" s="825">
        <f>+G54-SUM(G56:H58)</f>
        <v>-19800</v>
      </c>
      <c r="H60" s="826"/>
      <c r="J60" s="827" t="s">
        <v>169</v>
      </c>
      <c r="K60" s="828"/>
      <c r="L60" s="828"/>
      <c r="M60" s="828"/>
      <c r="N60" s="828"/>
      <c r="O60" s="829"/>
    </row>
    <row r="61" spans="1:17" ht="13.5" thickBot="1" x14ac:dyDescent="0.25">
      <c r="B61" s="49"/>
      <c r="C61" s="50"/>
      <c r="D61" s="50"/>
      <c r="E61" s="50"/>
      <c r="F61" s="50"/>
      <c r="G61" s="45"/>
      <c r="H61" s="50"/>
      <c r="J61" s="129"/>
      <c r="K61" s="130"/>
      <c r="L61" s="130"/>
      <c r="M61" s="130"/>
      <c r="N61" s="130"/>
      <c r="O61" s="131"/>
    </row>
    <row r="62" spans="1:17" ht="13.5" thickBot="1" x14ac:dyDescent="0.25">
      <c r="B62" s="789" t="s">
        <v>170</v>
      </c>
      <c r="C62" s="790"/>
      <c r="D62" s="790"/>
      <c r="E62" s="790"/>
      <c r="F62" s="791"/>
      <c r="G62" s="805"/>
      <c r="H62" s="791"/>
      <c r="J62" s="129"/>
      <c r="K62" s="130"/>
      <c r="L62" s="130"/>
      <c r="M62" s="130"/>
      <c r="N62" s="130"/>
      <c r="O62" s="131"/>
    </row>
    <row r="63" spans="1:17" ht="12.75" customHeight="1" x14ac:dyDescent="0.2">
      <c r="B63" s="57" t="s">
        <v>171</v>
      </c>
      <c r="C63" s="806" t="s">
        <v>172</v>
      </c>
      <c r="D63" s="807"/>
      <c r="E63" s="807"/>
      <c r="F63" s="808"/>
      <c r="G63" s="809">
        <v>0</v>
      </c>
      <c r="H63" s="809"/>
      <c r="I63" s="58"/>
      <c r="J63" s="810" t="s">
        <v>173</v>
      </c>
      <c r="K63" s="811"/>
      <c r="L63" s="811"/>
      <c r="M63" s="811"/>
      <c r="N63" s="811"/>
      <c r="O63" s="812"/>
      <c r="Q63" s="59"/>
    </row>
    <row r="64" spans="1:17" ht="13.5" thickBot="1" x14ac:dyDescent="0.25">
      <c r="D64" s="37"/>
      <c r="I64" s="58"/>
      <c r="J64" s="60" t="s">
        <v>254</v>
      </c>
      <c r="K64" s="132"/>
      <c r="L64" s="132"/>
      <c r="M64" s="133"/>
      <c r="N64" s="133"/>
      <c r="O64" s="134"/>
      <c r="Q64" s="59"/>
    </row>
    <row r="65" spans="2:17" ht="13.5" thickBot="1" x14ac:dyDescent="0.25">
      <c r="B65" s="789" t="s">
        <v>175</v>
      </c>
      <c r="C65" s="790"/>
      <c r="D65" s="790"/>
      <c r="E65" s="790"/>
      <c r="F65" s="791"/>
      <c r="G65" s="805">
        <f>+G60-G63</f>
        <v>-19800</v>
      </c>
      <c r="H65" s="791"/>
      <c r="I65" s="63"/>
      <c r="J65" s="64"/>
      <c r="K65" s="39"/>
      <c r="L65" s="39"/>
      <c r="M65" s="39"/>
      <c r="N65" s="39"/>
      <c r="O65" s="65"/>
      <c r="Q65" s="59"/>
    </row>
    <row r="66" spans="2:17" ht="12.75" customHeight="1" x14ac:dyDescent="0.2">
      <c r="B66" s="48"/>
      <c r="C66" s="48"/>
      <c r="I66" s="63"/>
      <c r="J66" s="64"/>
      <c r="K66" s="39"/>
      <c r="L66" s="39"/>
      <c r="M66" s="39"/>
      <c r="N66" s="39"/>
      <c r="O66" s="65"/>
      <c r="Q66" s="59"/>
    </row>
    <row r="67" spans="2:17" x14ac:dyDescent="0.2">
      <c r="B67" s="66" t="s">
        <v>176</v>
      </c>
      <c r="C67" s="48"/>
      <c r="I67" s="63"/>
      <c r="J67" s="67"/>
      <c r="K67" s="68"/>
      <c r="L67" s="68"/>
      <c r="M67" s="68"/>
      <c r="N67" s="68"/>
      <c r="O67" s="69"/>
      <c r="Q67" s="59"/>
    </row>
    <row r="68" spans="2:17" ht="26.25" customHeight="1" thickBot="1" x14ac:dyDescent="0.25">
      <c r="B68" s="66"/>
      <c r="C68" s="48"/>
      <c r="G68" s="70" t="s">
        <v>177</v>
      </c>
      <c r="H68" s="70" t="s">
        <v>178</v>
      </c>
      <c r="I68" s="63"/>
      <c r="J68" s="810" t="s">
        <v>179</v>
      </c>
      <c r="K68" s="811"/>
      <c r="L68" s="71"/>
      <c r="M68" s="71"/>
      <c r="N68" s="71"/>
      <c r="O68" s="72"/>
      <c r="Q68" s="59"/>
    </row>
    <row r="69" spans="2:17" ht="12.75" customHeight="1" x14ac:dyDescent="0.2">
      <c r="B69" s="802" t="s">
        <v>180</v>
      </c>
      <c r="C69" s="821" t="s">
        <v>181</v>
      </c>
      <c r="D69" s="823" t="s">
        <v>182</v>
      </c>
      <c r="E69" s="824"/>
      <c r="F69" s="824"/>
      <c r="G69" s="73">
        <f>+O44</f>
        <v>0</v>
      </c>
      <c r="H69" s="74">
        <f t="shared" ref="H69:H77" si="4">+G69</f>
        <v>0</v>
      </c>
      <c r="I69" s="63"/>
      <c r="J69" s="75" t="s">
        <v>1138</v>
      </c>
      <c r="K69" s="58"/>
      <c r="L69" s="58"/>
      <c r="M69" s="135" t="s">
        <v>232</v>
      </c>
      <c r="N69" s="135" t="s">
        <v>670</v>
      </c>
      <c r="O69" s="76">
        <v>13503</v>
      </c>
      <c r="Q69" s="59"/>
    </row>
    <row r="70" spans="2:17" ht="12.75" customHeight="1" x14ac:dyDescent="0.2">
      <c r="B70" s="803"/>
      <c r="C70" s="822"/>
      <c r="D70" s="782" t="s">
        <v>184</v>
      </c>
      <c r="E70" s="783"/>
      <c r="F70" s="783"/>
      <c r="G70" s="77">
        <f>+O48+13503</f>
        <v>13503</v>
      </c>
      <c r="H70" s="78">
        <f t="shared" si="4"/>
        <v>13503</v>
      </c>
      <c r="I70" s="63"/>
      <c r="J70" s="79"/>
      <c r="K70" s="68"/>
      <c r="L70" s="68"/>
      <c r="M70" s="68"/>
      <c r="N70" s="68"/>
      <c r="O70" s="69"/>
      <c r="Q70" s="59"/>
    </row>
    <row r="71" spans="2:17" ht="12.75" customHeight="1" x14ac:dyDescent="0.2">
      <c r="B71" s="803"/>
      <c r="C71" s="822"/>
      <c r="D71" s="819" t="s">
        <v>185</v>
      </c>
      <c r="E71" s="820"/>
      <c r="F71" s="820"/>
      <c r="G71" s="80">
        <f>O41</f>
        <v>180</v>
      </c>
      <c r="H71" s="78">
        <f t="shared" si="4"/>
        <v>180</v>
      </c>
      <c r="I71" s="63"/>
      <c r="J71" s="67"/>
      <c r="K71" s="68"/>
      <c r="L71" s="68"/>
      <c r="M71" s="68"/>
      <c r="N71" s="68"/>
      <c r="O71" s="69"/>
    </row>
    <row r="72" spans="2:17" x14ac:dyDescent="0.2">
      <c r="B72" s="803"/>
      <c r="C72" s="822"/>
      <c r="D72" s="784" t="s">
        <v>1139</v>
      </c>
      <c r="E72" s="783"/>
      <c r="F72" s="783"/>
      <c r="G72" s="81">
        <f>2025*12</f>
        <v>24300</v>
      </c>
      <c r="H72" s="78">
        <f t="shared" si="4"/>
        <v>24300</v>
      </c>
      <c r="I72" s="63"/>
      <c r="J72" s="82" t="s">
        <v>187</v>
      </c>
      <c r="K72" s="71"/>
      <c r="L72" s="71"/>
      <c r="M72" s="71"/>
      <c r="N72" s="71"/>
      <c r="O72" s="72"/>
    </row>
    <row r="73" spans="2:17" ht="12.75" customHeight="1" x14ac:dyDescent="0.2">
      <c r="B73" s="803"/>
      <c r="C73" s="822"/>
      <c r="D73" s="784" t="s">
        <v>188</v>
      </c>
      <c r="E73" s="783"/>
      <c r="F73" s="783"/>
      <c r="G73" s="80">
        <v>0</v>
      </c>
      <c r="H73" s="78">
        <f t="shared" si="4"/>
        <v>0</v>
      </c>
      <c r="I73" s="63"/>
      <c r="J73" s="75" t="s">
        <v>189</v>
      </c>
      <c r="K73" s="50"/>
      <c r="L73" s="50"/>
      <c r="M73" s="50"/>
      <c r="N73" s="50"/>
      <c r="O73" s="83">
        <f>+O43</f>
        <v>1950</v>
      </c>
    </row>
    <row r="74" spans="2:17" ht="14.25" customHeight="1" x14ac:dyDescent="0.2">
      <c r="B74" s="803"/>
      <c r="C74" s="822"/>
      <c r="D74" s="782" t="s">
        <v>190</v>
      </c>
      <c r="E74" s="783"/>
      <c r="F74" s="783"/>
      <c r="G74" s="84">
        <v>0</v>
      </c>
      <c r="H74" s="78">
        <f t="shared" si="4"/>
        <v>0</v>
      </c>
      <c r="I74" s="63"/>
      <c r="J74" s="64"/>
      <c r="K74" s="39"/>
      <c r="L74" s="39"/>
      <c r="M74" s="39"/>
      <c r="N74" s="39"/>
      <c r="O74" s="65"/>
    </row>
    <row r="75" spans="2:17" x14ac:dyDescent="0.2">
      <c r="B75" s="803"/>
      <c r="C75" s="822"/>
      <c r="D75" s="782" t="s">
        <v>191</v>
      </c>
      <c r="E75" s="783"/>
      <c r="F75" s="783"/>
      <c r="G75" s="81">
        <v>0</v>
      </c>
      <c r="H75" s="78">
        <f t="shared" si="4"/>
        <v>0</v>
      </c>
      <c r="I75" s="58"/>
      <c r="J75" s="150"/>
      <c r="K75" s="50"/>
      <c r="L75" s="50"/>
      <c r="M75" s="50"/>
      <c r="N75" s="50"/>
      <c r="O75" s="83"/>
    </row>
    <row r="76" spans="2:17" x14ac:dyDescent="0.2">
      <c r="B76" s="803"/>
      <c r="C76" s="88" t="s">
        <v>192</v>
      </c>
      <c r="D76" s="813" t="s">
        <v>193</v>
      </c>
      <c r="E76" s="814"/>
      <c r="F76" s="814"/>
      <c r="G76" s="80">
        <v>0</v>
      </c>
      <c r="H76" s="78">
        <f t="shared" si="4"/>
        <v>0</v>
      </c>
      <c r="I76" s="58"/>
      <c r="J76" s="79"/>
      <c r="K76" s="39"/>
      <c r="L76" s="39"/>
      <c r="M76" s="39"/>
      <c r="N76" s="39"/>
      <c r="O76" s="65"/>
    </row>
    <row r="77" spans="2:17" ht="13.5" customHeight="1" thickBot="1" x14ac:dyDescent="0.25">
      <c r="B77" s="803"/>
      <c r="C77" s="88" t="s">
        <v>194</v>
      </c>
      <c r="D77" s="815" t="s">
        <v>195</v>
      </c>
      <c r="E77" s="815"/>
      <c r="F77" s="815"/>
      <c r="G77" s="89">
        <v>0</v>
      </c>
      <c r="H77" s="90">
        <f t="shared" si="4"/>
        <v>0</v>
      </c>
      <c r="I77" s="63"/>
      <c r="J77" s="67"/>
      <c r="K77" s="68"/>
      <c r="L77" s="68"/>
      <c r="M77" s="91"/>
      <c r="N77" s="91"/>
      <c r="O77" s="92"/>
    </row>
    <row r="78" spans="2:17" ht="13.5" thickBot="1" x14ac:dyDescent="0.25">
      <c r="B78" s="803"/>
      <c r="C78" s="93"/>
      <c r="D78" s="94"/>
      <c r="E78" s="816" t="s">
        <v>117</v>
      </c>
      <c r="F78" s="817"/>
      <c r="G78" s="95">
        <f>SUM(G69:G77)</f>
        <v>37983</v>
      </c>
      <c r="H78" s="96">
        <f>IF(SUM(G69:G75)&lt;150000,SUM(G69:G75),150000)+IF(+G76&lt;20000,+G76,20000)</f>
        <v>37983</v>
      </c>
      <c r="I78" s="63"/>
      <c r="J78" s="140"/>
      <c r="K78" s="141"/>
      <c r="L78" s="141"/>
      <c r="M78" s="142"/>
      <c r="N78" s="142"/>
      <c r="O78" s="143"/>
    </row>
    <row r="79" spans="2:17" ht="12.75" customHeight="1" x14ac:dyDescent="0.2">
      <c r="B79" s="803"/>
      <c r="C79" s="100" t="s">
        <v>196</v>
      </c>
      <c r="D79" s="782" t="s">
        <v>187</v>
      </c>
      <c r="E79" s="783"/>
      <c r="F79" s="818"/>
      <c r="G79" s="73">
        <f>+O43</f>
        <v>1950</v>
      </c>
      <c r="H79" s="101">
        <f>+IF(+G79&lt;25000,+G79,25000)</f>
        <v>1950</v>
      </c>
      <c r="I79" s="87"/>
    </row>
    <row r="80" spans="2:17" x14ac:dyDescent="0.2">
      <c r="B80" s="803"/>
      <c r="C80" s="100" t="s">
        <v>197</v>
      </c>
      <c r="D80" s="784" t="s">
        <v>198</v>
      </c>
      <c r="E80" s="785"/>
      <c r="F80" s="786"/>
      <c r="G80" s="102"/>
      <c r="H80" s="103">
        <f>+IF(+G80&lt;40000,+G80,40000)</f>
        <v>0</v>
      </c>
      <c r="I80" s="63"/>
    </row>
    <row r="81" spans="2:12" x14ac:dyDescent="0.2">
      <c r="B81" s="803"/>
      <c r="C81" s="100" t="s">
        <v>199</v>
      </c>
      <c r="D81" s="784" t="s">
        <v>200</v>
      </c>
      <c r="E81" s="785"/>
      <c r="F81" s="786"/>
      <c r="G81" s="81"/>
      <c r="H81" s="104">
        <v>0</v>
      </c>
      <c r="I81" s="63"/>
      <c r="J81" s="106"/>
    </row>
    <row r="82" spans="2:12" x14ac:dyDescent="0.2">
      <c r="B82" s="803"/>
      <c r="C82" s="100" t="s">
        <v>201</v>
      </c>
      <c r="D82" s="784" t="s">
        <v>202</v>
      </c>
      <c r="E82" s="785"/>
      <c r="F82" s="786"/>
      <c r="G82" s="81"/>
      <c r="H82" s="104">
        <v>0</v>
      </c>
      <c r="I82" s="63"/>
    </row>
    <row r="83" spans="2:12" ht="13.5" thickBot="1" x14ac:dyDescent="0.25">
      <c r="B83" s="804"/>
      <c r="C83" s="100" t="s">
        <v>203</v>
      </c>
      <c r="D83" s="784" t="s">
        <v>204</v>
      </c>
      <c r="E83" s="785"/>
      <c r="F83" s="786"/>
      <c r="G83" s="102"/>
      <c r="H83" s="103">
        <f>+IF(+G83&lt;100000,+G83,10000)</f>
        <v>0</v>
      </c>
      <c r="I83" s="63"/>
    </row>
    <row r="84" spans="2:12" ht="13.5" thickBot="1" x14ac:dyDescent="0.25">
      <c r="B84" s="787" t="s">
        <v>205</v>
      </c>
      <c r="C84" s="788"/>
      <c r="D84" s="788"/>
      <c r="E84" s="788"/>
      <c r="F84" s="788"/>
      <c r="G84" s="107">
        <f>SUM(G79:G83)</f>
        <v>1950</v>
      </c>
      <c r="H84" s="108">
        <f>SUM(H78:H83)</f>
        <v>39933</v>
      </c>
    </row>
    <row r="85" spans="2:12" ht="13.5" thickBot="1" x14ac:dyDescent="0.25"/>
    <row r="86" spans="2:12" ht="13.5" thickBot="1" x14ac:dyDescent="0.25">
      <c r="B86" s="789" t="s">
        <v>206</v>
      </c>
      <c r="C86" s="790"/>
      <c r="D86" s="790"/>
      <c r="E86" s="790"/>
      <c r="F86" s="791"/>
      <c r="G86" s="792">
        <f>+G65-H84</f>
        <v>-59733</v>
      </c>
      <c r="H86" s="791"/>
      <c r="J86" s="109">
        <f>C38+D38+E38+F38</f>
        <v>0</v>
      </c>
      <c r="K86" s="16" t="s">
        <v>235</v>
      </c>
    </row>
    <row r="87" spans="2:12" x14ac:dyDescent="0.2">
      <c r="B87" s="110"/>
      <c r="F87" s="105"/>
      <c r="J87" s="109">
        <f>G38+H38+I38</f>
        <v>0</v>
      </c>
      <c r="K87" s="16" t="s">
        <v>236</v>
      </c>
    </row>
    <row r="88" spans="2:12" x14ac:dyDescent="0.2">
      <c r="C88" s="793" t="s">
        <v>207</v>
      </c>
      <c r="D88" s="794"/>
      <c r="E88" s="111" t="s">
        <v>208</v>
      </c>
      <c r="F88" s="111" t="s">
        <v>209</v>
      </c>
      <c r="G88" s="111" t="s">
        <v>210</v>
      </c>
      <c r="H88" s="111" t="s">
        <v>211</v>
      </c>
      <c r="J88" s="206">
        <f>J38+K38+L38</f>
        <v>0</v>
      </c>
      <c r="K88" s="47" t="s">
        <v>237</v>
      </c>
    </row>
    <row r="89" spans="2:12" x14ac:dyDescent="0.2">
      <c r="C89" s="795" t="str">
        <f>IF(I6="M","0          - 250000","0          -  250000")</f>
        <v>0          - 250000</v>
      </c>
      <c r="D89" s="796"/>
      <c r="E89" s="112">
        <v>0</v>
      </c>
      <c r="F89" s="113">
        <f>IF(I6="M",(IF(G86&lt;250000,G86,250000)),(IF(G86&lt;250000,G86,250000)))</f>
        <v>-59733</v>
      </c>
      <c r="G89" s="113">
        <f>G86-F89</f>
        <v>0</v>
      </c>
      <c r="H89" s="113">
        <f>E89*F89</f>
        <v>0</v>
      </c>
      <c r="J89" s="207">
        <f>M38+N38</f>
        <v>0</v>
      </c>
      <c r="K89" s="1" t="s">
        <v>238</v>
      </c>
    </row>
    <row r="90" spans="2:12" x14ac:dyDescent="0.2">
      <c r="C90" s="795" t="str">
        <f>IF(I6="M","250001 - 500000","250001-500000")</f>
        <v>250001 - 500000</v>
      </c>
      <c r="D90" s="796"/>
      <c r="E90" s="112">
        <v>0.05</v>
      </c>
      <c r="F90" s="113">
        <f>IF(I6="M",(IF(G89&lt;250000,G89,250000)),(IF(G89&lt;250000,G89,250000)))</f>
        <v>0</v>
      </c>
      <c r="G90" s="113">
        <f>G89-F90</f>
        <v>0</v>
      </c>
      <c r="H90" s="114">
        <f>ROUND(E90*F90,0.1)</f>
        <v>0</v>
      </c>
      <c r="J90" s="115">
        <f>SUM(J86:J89)</f>
        <v>0</v>
      </c>
    </row>
    <row r="91" spans="2:12" x14ac:dyDescent="0.2">
      <c r="C91" s="797" t="s">
        <v>212</v>
      </c>
      <c r="D91" s="798"/>
      <c r="E91" s="112">
        <v>0.2</v>
      </c>
      <c r="F91" s="113">
        <f>IF(G90&lt;500000,G90,500000)</f>
        <v>0</v>
      </c>
      <c r="G91" s="113">
        <f>G90-F91</f>
        <v>0</v>
      </c>
      <c r="H91" s="114">
        <f>ROUND(E91*F91,0.1)</f>
        <v>0</v>
      </c>
      <c r="J91" s="16">
        <f>+G86</f>
        <v>-59733</v>
      </c>
    </row>
    <row r="92" spans="2:12" x14ac:dyDescent="0.2">
      <c r="C92" s="795" t="s">
        <v>213</v>
      </c>
      <c r="D92" s="796"/>
      <c r="E92" s="112">
        <v>0.3</v>
      </c>
      <c r="F92" s="113">
        <f>G91</f>
        <v>0</v>
      </c>
      <c r="G92" s="113">
        <f>G91-F92</f>
        <v>0</v>
      </c>
      <c r="H92" s="114">
        <f>ROUND(E92*F92,0.1)</f>
        <v>0</v>
      </c>
      <c r="J92" s="16">
        <f>+J90-J91</f>
        <v>59733</v>
      </c>
    </row>
    <row r="93" spans="2:12" ht="12.75" customHeight="1" thickBot="1" x14ac:dyDescent="0.25">
      <c r="B93" s="116"/>
      <c r="C93" s="117"/>
      <c r="D93" s="47"/>
      <c r="E93" s="47"/>
      <c r="F93" s="47"/>
    </row>
    <row r="94" spans="2:12" ht="13.5" thickBot="1" x14ac:dyDescent="0.25">
      <c r="B94" s="799" t="s">
        <v>239</v>
      </c>
      <c r="C94" s="800"/>
      <c r="D94" s="800"/>
      <c r="E94" s="800"/>
      <c r="F94" s="801"/>
      <c r="G94" s="771">
        <f>H89+H90+H91+H92</f>
        <v>0</v>
      </c>
      <c r="H94" s="772"/>
    </row>
    <row r="95" spans="2:12" ht="13.5" thickBot="1" x14ac:dyDescent="0.25">
      <c r="B95" s="119" t="s">
        <v>215</v>
      </c>
      <c r="C95" s="120"/>
      <c r="D95" s="120"/>
      <c r="E95" s="120"/>
      <c r="F95" s="120"/>
      <c r="G95" s="884">
        <f>IF((G65&lt;500000),5000,0)</f>
        <v>5000</v>
      </c>
      <c r="H95" s="885">
        <f>IF(H93&lt;200000,0,IF(H93&lt;220000,((H93-200000)*10%),IF(H93&lt;=500000,2000,IF(H93&gt;=500000,0))))</f>
        <v>0</v>
      </c>
      <c r="J95" s="1"/>
      <c r="K95" s="121"/>
      <c r="L95" s="121"/>
    </row>
    <row r="96" spans="2:12" ht="13.5" thickBot="1" x14ac:dyDescent="0.25">
      <c r="B96" s="122" t="s">
        <v>216</v>
      </c>
      <c r="C96" s="123"/>
      <c r="D96" s="123"/>
      <c r="E96" s="123"/>
      <c r="F96" s="123"/>
      <c r="G96" s="771">
        <f>IF((G94-G95)&lt;0,0,(G94-G95))</f>
        <v>0</v>
      </c>
      <c r="H96" s="772"/>
      <c r="I96" s="37"/>
    </row>
    <row r="97" spans="2:9" ht="13.5" thickBot="1" x14ac:dyDescent="0.25">
      <c r="B97" s="773" t="s">
        <v>217</v>
      </c>
      <c r="C97" s="774"/>
      <c r="D97" s="774"/>
      <c r="E97" s="774"/>
      <c r="F97" s="775"/>
      <c r="G97" s="776">
        <f>ROUND((IF(G96&gt;0,(G96*3%),0)),0)</f>
        <v>0</v>
      </c>
      <c r="H97" s="777"/>
      <c r="I97" s="37"/>
    </row>
    <row r="98" spans="2:9" ht="13.5" thickBot="1" x14ac:dyDescent="0.25">
      <c r="B98" s="778" t="s">
        <v>218</v>
      </c>
      <c r="C98" s="779"/>
      <c r="D98" s="779"/>
      <c r="E98" s="779"/>
      <c r="F98" s="779"/>
      <c r="G98" s="780">
        <f>G96+G97</f>
        <v>0</v>
      </c>
      <c r="H98" s="781"/>
      <c r="I98" s="121"/>
    </row>
    <row r="99" spans="2:9" ht="13.5" thickBot="1" x14ac:dyDescent="0.25">
      <c r="B99" s="765" t="s">
        <v>219</v>
      </c>
      <c r="C99" s="766"/>
      <c r="D99" s="766"/>
      <c r="E99" s="766"/>
      <c r="F99" s="766"/>
      <c r="G99" s="767">
        <f>O39</f>
        <v>0</v>
      </c>
      <c r="H99" s="768"/>
      <c r="I99" s="121"/>
    </row>
    <row r="100" spans="2:9" ht="13.5" thickBot="1" x14ac:dyDescent="0.25">
      <c r="B100" s="765" t="str">
        <f>IF(G100&gt;0,"TAX PAYABLE","TAX REFUND")</f>
        <v>TAX REFUND</v>
      </c>
      <c r="C100" s="766"/>
      <c r="D100" s="766"/>
      <c r="E100" s="766"/>
      <c r="F100" s="766"/>
      <c r="G100" s="767">
        <f>+G98-G99</f>
        <v>0</v>
      </c>
      <c r="H100" s="768"/>
      <c r="I100" s="37"/>
    </row>
    <row r="101" spans="2:9" x14ac:dyDescent="0.2">
      <c r="C101" s="124"/>
      <c r="D101" s="45"/>
      <c r="E101" s="118"/>
      <c r="F101" s="118"/>
      <c r="G101" s="118"/>
      <c r="H101" s="118"/>
      <c r="I101" s="125"/>
    </row>
    <row r="102" spans="2:9" x14ac:dyDescent="0.2">
      <c r="C102" s="47"/>
      <c r="D102" s="50"/>
      <c r="E102" s="117"/>
      <c r="F102" s="47"/>
      <c r="G102" s="47"/>
      <c r="H102" s="47"/>
      <c r="I102" s="125"/>
    </row>
    <row r="103" spans="2:9" x14ac:dyDescent="0.2">
      <c r="C103" s="39"/>
      <c r="D103" s="126"/>
      <c r="E103" s="126"/>
      <c r="F103" s="126"/>
      <c r="G103" s="39"/>
      <c r="H103" s="39"/>
      <c r="I103" s="37"/>
    </row>
    <row r="104" spans="2:9" x14ac:dyDescent="0.2">
      <c r="C104" s="39"/>
      <c r="D104" s="126"/>
      <c r="E104" s="126"/>
      <c r="F104" s="39"/>
      <c r="G104" s="39"/>
      <c r="H104" s="39"/>
      <c r="I104" s="37"/>
    </row>
    <row r="105" spans="2:9" x14ac:dyDescent="0.2">
      <c r="C105" s="39"/>
      <c r="D105" s="126"/>
      <c r="E105" s="126"/>
      <c r="F105" s="39"/>
      <c r="G105" s="39"/>
      <c r="H105" s="39"/>
      <c r="I105" s="37"/>
    </row>
    <row r="106" spans="2:9" x14ac:dyDescent="0.2">
      <c r="C106" s="39"/>
      <c r="D106" s="39"/>
      <c r="E106" s="39"/>
      <c r="F106" s="39"/>
      <c r="G106" s="39"/>
      <c r="H106" s="39"/>
      <c r="I106" s="37"/>
    </row>
    <row r="107" spans="2:9" x14ac:dyDescent="0.2">
      <c r="C107" s="39"/>
      <c r="D107" s="39"/>
      <c r="E107" s="39"/>
      <c r="F107" s="39"/>
      <c r="G107" s="39"/>
      <c r="H107" s="39"/>
    </row>
    <row r="108" spans="2:9" x14ac:dyDescent="0.2">
      <c r="C108" s="39"/>
      <c r="D108" s="39"/>
      <c r="E108" s="39"/>
      <c r="F108" s="39"/>
      <c r="G108" s="39"/>
      <c r="H108"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7:B37"/>
    <mergeCell ref="A5:C5"/>
    <mergeCell ref="D5:F5"/>
    <mergeCell ref="G5:H5"/>
    <mergeCell ref="I5:O5"/>
    <mergeCell ref="A6:C6"/>
    <mergeCell ref="D6:F6"/>
    <mergeCell ref="G6:H6"/>
    <mergeCell ref="J6:O6"/>
    <mergeCell ref="L7:O7"/>
    <mergeCell ref="A8:B8"/>
    <mergeCell ref="A21:A33"/>
    <mergeCell ref="A34:B34"/>
    <mergeCell ref="A36:B36"/>
    <mergeCell ref="A39:A49"/>
    <mergeCell ref="A50:B50"/>
    <mergeCell ref="A51:B51"/>
    <mergeCell ref="B54:F54"/>
    <mergeCell ref="G54:H54"/>
    <mergeCell ref="B60:F60"/>
    <mergeCell ref="G60:H60"/>
    <mergeCell ref="J60:O60"/>
    <mergeCell ref="B56:B58"/>
    <mergeCell ref="C56:C58"/>
    <mergeCell ref="D56:F56"/>
    <mergeCell ref="G56:H56"/>
    <mergeCell ref="D57:F57"/>
    <mergeCell ref="G57:H57"/>
    <mergeCell ref="J57:L57"/>
    <mergeCell ref="M57:O57"/>
    <mergeCell ref="D58:F58"/>
    <mergeCell ref="G58:H58"/>
    <mergeCell ref="J63:O63"/>
    <mergeCell ref="D81:F81"/>
    <mergeCell ref="J68:K68"/>
    <mergeCell ref="B65:F65"/>
    <mergeCell ref="G65:H65"/>
    <mergeCell ref="D76:F76"/>
    <mergeCell ref="D77:F77"/>
    <mergeCell ref="E78:F78"/>
    <mergeCell ref="D79:F79"/>
    <mergeCell ref="D80:F80"/>
    <mergeCell ref="D71:F71"/>
    <mergeCell ref="D72:F72"/>
    <mergeCell ref="C69:C75"/>
    <mergeCell ref="D69:F69"/>
    <mergeCell ref="D70:F70"/>
    <mergeCell ref="D74:F74"/>
    <mergeCell ref="G62:H62"/>
    <mergeCell ref="C63:F63"/>
    <mergeCell ref="G63:H63"/>
    <mergeCell ref="B62:F62"/>
    <mergeCell ref="D73:F73"/>
    <mergeCell ref="D75:F75"/>
    <mergeCell ref="G94:H94"/>
    <mergeCell ref="D82:F82"/>
    <mergeCell ref="D83:F83"/>
    <mergeCell ref="B84:F84"/>
    <mergeCell ref="B86:F86"/>
    <mergeCell ref="G86:H86"/>
    <mergeCell ref="C88:D88"/>
    <mergeCell ref="C89:D89"/>
    <mergeCell ref="C90:D90"/>
    <mergeCell ref="C91:D91"/>
    <mergeCell ref="C92:D92"/>
    <mergeCell ref="B94:F94"/>
    <mergeCell ref="B69:B83"/>
    <mergeCell ref="B100:F100"/>
    <mergeCell ref="G100:H100"/>
    <mergeCell ref="G95:H95"/>
    <mergeCell ref="G96:H96"/>
    <mergeCell ref="B97:F97"/>
    <mergeCell ref="G97:H97"/>
    <mergeCell ref="B98:F98"/>
    <mergeCell ref="G98:H98"/>
    <mergeCell ref="B99:F99"/>
    <mergeCell ref="G99:H99"/>
  </mergeCells>
  <conditionalFormatting sqref="B100:F100 B94:F98">
    <cfRule type="cellIs" dxfId="433" priority="3" stopIfTrue="1" operator="equal">
      <formula>"TAX PAYABLE"</formula>
    </cfRule>
    <cfRule type="cellIs" dxfId="432" priority="4" stopIfTrue="1" operator="equal">
      <formula>"TAX REFUND"</formula>
    </cfRule>
  </conditionalFormatting>
  <conditionalFormatting sqref="G100:H100">
    <cfRule type="cellIs" dxfId="431" priority="1" stopIfTrue="1" operator="greaterThan">
      <formula>0</formula>
    </cfRule>
    <cfRule type="cellIs" dxfId="430"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07"/>
  <sheetViews>
    <sheetView topLeftCell="A65" workbookViewId="0">
      <selection activeCell="G68" sqref="G68"/>
    </sheetView>
  </sheetViews>
  <sheetFormatPr defaultRowHeight="12.75" x14ac:dyDescent="0.2"/>
  <cols>
    <col min="1" max="1" width="5" style="16" customWidth="1"/>
    <col min="2" max="2" width="18.85546875" style="37" customWidth="1"/>
    <col min="3" max="3" width="8.85546875" style="16" customWidth="1"/>
    <col min="4" max="4" width="7.28515625" style="16" customWidth="1"/>
    <col min="5" max="5" width="8.5703125" style="16" bestFit="1" customWidth="1"/>
    <col min="6" max="8" width="8.42578125" style="16" customWidth="1"/>
    <col min="9" max="9" width="8.28515625" style="16" customWidth="1"/>
    <col min="10" max="10" width="9.140625" style="16"/>
    <col min="11" max="14" width="8.140625" style="16" customWidth="1"/>
    <col min="15" max="16" width="9.140625" style="16"/>
    <col min="17" max="17" width="7" style="16" bestFit="1" customWidth="1"/>
    <col min="18" max="18" width="9.140625" style="16"/>
    <col min="19" max="19" width="12" style="16" customWidth="1"/>
    <col min="20" max="256" width="9.140625" style="16"/>
    <col min="257" max="257" width="5" style="16" customWidth="1"/>
    <col min="258" max="258" width="18.85546875" style="16" customWidth="1"/>
    <col min="259" max="259" width="8.85546875" style="16" customWidth="1"/>
    <col min="260" max="260" width="7.28515625" style="16" customWidth="1"/>
    <col min="261" max="261" width="8.5703125" style="16" bestFit="1" customWidth="1"/>
    <col min="262" max="264" width="8.42578125" style="16" customWidth="1"/>
    <col min="265" max="265" width="8.28515625" style="16" customWidth="1"/>
    <col min="266" max="266" width="9.140625" style="16"/>
    <col min="267" max="270" width="8.140625" style="16" customWidth="1"/>
    <col min="271" max="272" width="9.140625" style="16"/>
    <col min="273" max="273" width="7" style="16" bestFit="1" customWidth="1"/>
    <col min="274" max="274" width="9.140625" style="16"/>
    <col min="275" max="275" width="12" style="16" customWidth="1"/>
    <col min="276" max="512" width="9.140625" style="16"/>
    <col min="513" max="513" width="5" style="16" customWidth="1"/>
    <col min="514" max="514" width="18.85546875" style="16" customWidth="1"/>
    <col min="515" max="515" width="8.85546875" style="16" customWidth="1"/>
    <col min="516" max="516" width="7.28515625" style="16" customWidth="1"/>
    <col min="517" max="517" width="8.5703125" style="16" bestFit="1" customWidth="1"/>
    <col min="518" max="520" width="8.42578125" style="16" customWidth="1"/>
    <col min="521" max="521" width="8.28515625" style="16" customWidth="1"/>
    <col min="522" max="522" width="9.140625" style="16"/>
    <col min="523" max="526" width="8.140625" style="16" customWidth="1"/>
    <col min="527" max="528" width="9.140625" style="16"/>
    <col min="529" max="529" width="7" style="16" bestFit="1" customWidth="1"/>
    <col min="530" max="530" width="9.140625" style="16"/>
    <col min="531" max="531" width="12" style="16" customWidth="1"/>
    <col min="532" max="768" width="9.140625" style="16"/>
    <col min="769" max="769" width="5" style="16" customWidth="1"/>
    <col min="770" max="770" width="18.85546875" style="16" customWidth="1"/>
    <col min="771" max="771" width="8.85546875" style="16" customWidth="1"/>
    <col min="772" max="772" width="7.28515625" style="16" customWidth="1"/>
    <col min="773" max="773" width="8.5703125" style="16" bestFit="1" customWidth="1"/>
    <col min="774" max="776" width="8.42578125" style="16" customWidth="1"/>
    <col min="777" max="777" width="8.28515625" style="16" customWidth="1"/>
    <col min="778" max="778" width="9.140625" style="16"/>
    <col min="779" max="782" width="8.140625" style="16" customWidth="1"/>
    <col min="783" max="784" width="9.140625" style="16"/>
    <col min="785" max="785" width="7" style="16" bestFit="1" customWidth="1"/>
    <col min="786" max="786" width="9.140625" style="16"/>
    <col min="787" max="787" width="12" style="16" customWidth="1"/>
    <col min="788" max="1024" width="9.140625" style="16"/>
    <col min="1025" max="1025" width="5" style="16" customWidth="1"/>
    <col min="1026" max="1026" width="18.85546875" style="16" customWidth="1"/>
    <col min="1027" max="1027" width="8.85546875" style="16" customWidth="1"/>
    <col min="1028" max="1028" width="7.28515625" style="16" customWidth="1"/>
    <col min="1029" max="1029" width="8.5703125" style="16" bestFit="1" customWidth="1"/>
    <col min="1030" max="1032" width="8.42578125" style="16" customWidth="1"/>
    <col min="1033" max="1033" width="8.28515625" style="16" customWidth="1"/>
    <col min="1034" max="1034" width="9.140625" style="16"/>
    <col min="1035" max="1038" width="8.140625" style="16" customWidth="1"/>
    <col min="1039" max="1040" width="9.140625" style="16"/>
    <col min="1041" max="1041" width="7" style="16" bestFit="1" customWidth="1"/>
    <col min="1042" max="1042" width="9.140625" style="16"/>
    <col min="1043" max="1043" width="12" style="16" customWidth="1"/>
    <col min="1044" max="1280" width="9.140625" style="16"/>
    <col min="1281" max="1281" width="5" style="16" customWidth="1"/>
    <col min="1282" max="1282" width="18.85546875" style="16" customWidth="1"/>
    <col min="1283" max="1283" width="8.85546875" style="16" customWidth="1"/>
    <col min="1284" max="1284" width="7.28515625" style="16" customWidth="1"/>
    <col min="1285" max="1285" width="8.5703125" style="16" bestFit="1" customWidth="1"/>
    <col min="1286" max="1288" width="8.42578125" style="16" customWidth="1"/>
    <col min="1289" max="1289" width="8.28515625" style="16" customWidth="1"/>
    <col min="1290" max="1290" width="9.140625" style="16"/>
    <col min="1291" max="1294" width="8.140625" style="16" customWidth="1"/>
    <col min="1295" max="1296" width="9.140625" style="16"/>
    <col min="1297" max="1297" width="7" style="16" bestFit="1" customWidth="1"/>
    <col min="1298" max="1298" width="9.140625" style="16"/>
    <col min="1299" max="1299" width="12" style="16" customWidth="1"/>
    <col min="1300" max="1536" width="9.140625" style="16"/>
    <col min="1537" max="1537" width="5" style="16" customWidth="1"/>
    <col min="1538" max="1538" width="18.85546875" style="16" customWidth="1"/>
    <col min="1539" max="1539" width="8.85546875" style="16" customWidth="1"/>
    <col min="1540" max="1540" width="7.28515625" style="16" customWidth="1"/>
    <col min="1541" max="1541" width="8.5703125" style="16" bestFit="1" customWidth="1"/>
    <col min="1542" max="1544" width="8.42578125" style="16" customWidth="1"/>
    <col min="1545" max="1545" width="8.28515625" style="16" customWidth="1"/>
    <col min="1546" max="1546" width="9.140625" style="16"/>
    <col min="1547" max="1550" width="8.140625" style="16" customWidth="1"/>
    <col min="1551" max="1552" width="9.140625" style="16"/>
    <col min="1553" max="1553" width="7" style="16" bestFit="1" customWidth="1"/>
    <col min="1554" max="1554" width="9.140625" style="16"/>
    <col min="1555" max="1555" width="12" style="16" customWidth="1"/>
    <col min="1556" max="1792" width="9.140625" style="16"/>
    <col min="1793" max="1793" width="5" style="16" customWidth="1"/>
    <col min="1794" max="1794" width="18.85546875" style="16" customWidth="1"/>
    <col min="1795" max="1795" width="8.85546875" style="16" customWidth="1"/>
    <col min="1796" max="1796" width="7.28515625" style="16" customWidth="1"/>
    <col min="1797" max="1797" width="8.5703125" style="16" bestFit="1" customWidth="1"/>
    <col min="1798" max="1800" width="8.42578125" style="16" customWidth="1"/>
    <col min="1801" max="1801" width="8.28515625" style="16" customWidth="1"/>
    <col min="1802" max="1802" width="9.140625" style="16"/>
    <col min="1803" max="1806" width="8.140625" style="16" customWidth="1"/>
    <col min="1807" max="1808" width="9.140625" style="16"/>
    <col min="1809" max="1809" width="7" style="16" bestFit="1" customWidth="1"/>
    <col min="1810" max="1810" width="9.140625" style="16"/>
    <col min="1811" max="1811" width="12" style="16" customWidth="1"/>
    <col min="1812" max="2048" width="9.140625" style="16"/>
    <col min="2049" max="2049" width="5" style="16" customWidth="1"/>
    <col min="2050" max="2050" width="18.85546875" style="16" customWidth="1"/>
    <col min="2051" max="2051" width="8.85546875" style="16" customWidth="1"/>
    <col min="2052" max="2052" width="7.28515625" style="16" customWidth="1"/>
    <col min="2053" max="2053" width="8.5703125" style="16" bestFit="1" customWidth="1"/>
    <col min="2054" max="2056" width="8.42578125" style="16" customWidth="1"/>
    <col min="2057" max="2057" width="8.28515625" style="16" customWidth="1"/>
    <col min="2058" max="2058" width="9.140625" style="16"/>
    <col min="2059" max="2062" width="8.140625" style="16" customWidth="1"/>
    <col min="2063" max="2064" width="9.140625" style="16"/>
    <col min="2065" max="2065" width="7" style="16" bestFit="1" customWidth="1"/>
    <col min="2066" max="2066" width="9.140625" style="16"/>
    <col min="2067" max="2067" width="12" style="16" customWidth="1"/>
    <col min="2068" max="2304" width="9.140625" style="16"/>
    <col min="2305" max="2305" width="5" style="16" customWidth="1"/>
    <col min="2306" max="2306" width="18.85546875" style="16" customWidth="1"/>
    <col min="2307" max="2307" width="8.85546875" style="16" customWidth="1"/>
    <col min="2308" max="2308" width="7.28515625" style="16" customWidth="1"/>
    <col min="2309" max="2309" width="8.5703125" style="16" bestFit="1" customWidth="1"/>
    <col min="2310" max="2312" width="8.42578125" style="16" customWidth="1"/>
    <col min="2313" max="2313" width="8.28515625" style="16" customWidth="1"/>
    <col min="2314" max="2314" width="9.140625" style="16"/>
    <col min="2315" max="2318" width="8.140625" style="16" customWidth="1"/>
    <col min="2319" max="2320" width="9.140625" style="16"/>
    <col min="2321" max="2321" width="7" style="16" bestFit="1" customWidth="1"/>
    <col min="2322" max="2322" width="9.140625" style="16"/>
    <col min="2323" max="2323" width="12" style="16" customWidth="1"/>
    <col min="2324" max="2560" width="9.140625" style="16"/>
    <col min="2561" max="2561" width="5" style="16" customWidth="1"/>
    <col min="2562" max="2562" width="18.85546875" style="16" customWidth="1"/>
    <col min="2563" max="2563" width="8.85546875" style="16" customWidth="1"/>
    <col min="2564" max="2564" width="7.28515625" style="16" customWidth="1"/>
    <col min="2565" max="2565" width="8.5703125" style="16" bestFit="1" customWidth="1"/>
    <col min="2566" max="2568" width="8.42578125" style="16" customWidth="1"/>
    <col min="2569" max="2569" width="8.28515625" style="16" customWidth="1"/>
    <col min="2570" max="2570" width="9.140625" style="16"/>
    <col min="2571" max="2574" width="8.140625" style="16" customWidth="1"/>
    <col min="2575" max="2576" width="9.140625" style="16"/>
    <col min="2577" max="2577" width="7" style="16" bestFit="1" customWidth="1"/>
    <col min="2578" max="2578" width="9.140625" style="16"/>
    <col min="2579" max="2579" width="12" style="16" customWidth="1"/>
    <col min="2580" max="2816" width="9.140625" style="16"/>
    <col min="2817" max="2817" width="5" style="16" customWidth="1"/>
    <col min="2818" max="2818" width="18.85546875" style="16" customWidth="1"/>
    <col min="2819" max="2819" width="8.85546875" style="16" customWidth="1"/>
    <col min="2820" max="2820" width="7.28515625" style="16" customWidth="1"/>
    <col min="2821" max="2821" width="8.5703125" style="16" bestFit="1" customWidth="1"/>
    <col min="2822" max="2824" width="8.42578125" style="16" customWidth="1"/>
    <col min="2825" max="2825" width="8.28515625" style="16" customWidth="1"/>
    <col min="2826" max="2826" width="9.140625" style="16"/>
    <col min="2827" max="2830" width="8.140625" style="16" customWidth="1"/>
    <col min="2831" max="2832" width="9.140625" style="16"/>
    <col min="2833" max="2833" width="7" style="16" bestFit="1" customWidth="1"/>
    <col min="2834" max="2834" width="9.140625" style="16"/>
    <col min="2835" max="2835" width="12" style="16" customWidth="1"/>
    <col min="2836" max="3072" width="9.140625" style="16"/>
    <col min="3073" max="3073" width="5" style="16" customWidth="1"/>
    <col min="3074" max="3074" width="18.85546875" style="16" customWidth="1"/>
    <col min="3075" max="3075" width="8.85546875" style="16" customWidth="1"/>
    <col min="3076" max="3076" width="7.28515625" style="16" customWidth="1"/>
    <col min="3077" max="3077" width="8.5703125" style="16" bestFit="1" customWidth="1"/>
    <col min="3078" max="3080" width="8.42578125" style="16" customWidth="1"/>
    <col min="3081" max="3081" width="8.28515625" style="16" customWidth="1"/>
    <col min="3082" max="3082" width="9.140625" style="16"/>
    <col min="3083" max="3086" width="8.140625" style="16" customWidth="1"/>
    <col min="3087" max="3088" width="9.140625" style="16"/>
    <col min="3089" max="3089" width="7" style="16" bestFit="1" customWidth="1"/>
    <col min="3090" max="3090" width="9.140625" style="16"/>
    <col min="3091" max="3091" width="12" style="16" customWidth="1"/>
    <col min="3092" max="3328" width="9.140625" style="16"/>
    <col min="3329" max="3329" width="5" style="16" customWidth="1"/>
    <col min="3330" max="3330" width="18.85546875" style="16" customWidth="1"/>
    <col min="3331" max="3331" width="8.85546875" style="16" customWidth="1"/>
    <col min="3332" max="3332" width="7.28515625" style="16" customWidth="1"/>
    <col min="3333" max="3333" width="8.5703125" style="16" bestFit="1" customWidth="1"/>
    <col min="3334" max="3336" width="8.42578125" style="16" customWidth="1"/>
    <col min="3337" max="3337" width="8.28515625" style="16" customWidth="1"/>
    <col min="3338" max="3338" width="9.140625" style="16"/>
    <col min="3339" max="3342" width="8.140625" style="16" customWidth="1"/>
    <col min="3343" max="3344" width="9.140625" style="16"/>
    <col min="3345" max="3345" width="7" style="16" bestFit="1" customWidth="1"/>
    <col min="3346" max="3346" width="9.140625" style="16"/>
    <col min="3347" max="3347" width="12" style="16" customWidth="1"/>
    <col min="3348" max="3584" width="9.140625" style="16"/>
    <col min="3585" max="3585" width="5" style="16" customWidth="1"/>
    <col min="3586" max="3586" width="18.85546875" style="16" customWidth="1"/>
    <col min="3587" max="3587" width="8.85546875" style="16" customWidth="1"/>
    <col min="3588" max="3588" width="7.28515625" style="16" customWidth="1"/>
    <col min="3589" max="3589" width="8.5703125" style="16" bestFit="1" customWidth="1"/>
    <col min="3590" max="3592" width="8.42578125" style="16" customWidth="1"/>
    <col min="3593" max="3593" width="8.28515625" style="16" customWidth="1"/>
    <col min="3594" max="3594" width="9.140625" style="16"/>
    <col min="3595" max="3598" width="8.140625" style="16" customWidth="1"/>
    <col min="3599" max="3600" width="9.140625" style="16"/>
    <col min="3601" max="3601" width="7" style="16" bestFit="1" customWidth="1"/>
    <col min="3602" max="3602" width="9.140625" style="16"/>
    <col min="3603" max="3603" width="12" style="16" customWidth="1"/>
    <col min="3604" max="3840" width="9.140625" style="16"/>
    <col min="3841" max="3841" width="5" style="16" customWidth="1"/>
    <col min="3842" max="3842" width="18.85546875" style="16" customWidth="1"/>
    <col min="3843" max="3843" width="8.85546875" style="16" customWidth="1"/>
    <col min="3844" max="3844" width="7.28515625" style="16" customWidth="1"/>
    <col min="3845" max="3845" width="8.5703125" style="16" bestFit="1" customWidth="1"/>
    <col min="3846" max="3848" width="8.42578125" style="16" customWidth="1"/>
    <col min="3849" max="3849" width="8.28515625" style="16" customWidth="1"/>
    <col min="3850" max="3850" width="9.140625" style="16"/>
    <col min="3851" max="3854" width="8.140625" style="16" customWidth="1"/>
    <col min="3855" max="3856" width="9.140625" style="16"/>
    <col min="3857" max="3857" width="7" style="16" bestFit="1" customWidth="1"/>
    <col min="3858" max="3858" width="9.140625" style="16"/>
    <col min="3859" max="3859" width="12" style="16" customWidth="1"/>
    <col min="3860" max="4096" width="9.140625" style="16"/>
    <col min="4097" max="4097" width="5" style="16" customWidth="1"/>
    <col min="4098" max="4098" width="18.85546875" style="16" customWidth="1"/>
    <col min="4099" max="4099" width="8.85546875" style="16" customWidth="1"/>
    <col min="4100" max="4100" width="7.28515625" style="16" customWidth="1"/>
    <col min="4101" max="4101" width="8.5703125" style="16" bestFit="1" customWidth="1"/>
    <col min="4102" max="4104" width="8.42578125" style="16" customWidth="1"/>
    <col min="4105" max="4105" width="8.28515625" style="16" customWidth="1"/>
    <col min="4106" max="4106" width="9.140625" style="16"/>
    <col min="4107" max="4110" width="8.140625" style="16" customWidth="1"/>
    <col min="4111" max="4112" width="9.140625" style="16"/>
    <col min="4113" max="4113" width="7" style="16" bestFit="1" customWidth="1"/>
    <col min="4114" max="4114" width="9.140625" style="16"/>
    <col min="4115" max="4115" width="12" style="16" customWidth="1"/>
    <col min="4116" max="4352" width="9.140625" style="16"/>
    <col min="4353" max="4353" width="5" style="16" customWidth="1"/>
    <col min="4354" max="4354" width="18.85546875" style="16" customWidth="1"/>
    <col min="4355" max="4355" width="8.85546875" style="16" customWidth="1"/>
    <col min="4356" max="4356" width="7.28515625" style="16" customWidth="1"/>
    <col min="4357" max="4357" width="8.5703125" style="16" bestFit="1" customWidth="1"/>
    <col min="4358" max="4360" width="8.42578125" style="16" customWidth="1"/>
    <col min="4361" max="4361" width="8.28515625" style="16" customWidth="1"/>
    <col min="4362" max="4362" width="9.140625" style="16"/>
    <col min="4363" max="4366" width="8.140625" style="16" customWidth="1"/>
    <col min="4367" max="4368" width="9.140625" style="16"/>
    <col min="4369" max="4369" width="7" style="16" bestFit="1" customWidth="1"/>
    <col min="4370" max="4370" width="9.140625" style="16"/>
    <col min="4371" max="4371" width="12" style="16" customWidth="1"/>
    <col min="4372" max="4608" width="9.140625" style="16"/>
    <col min="4609" max="4609" width="5" style="16" customWidth="1"/>
    <col min="4610" max="4610" width="18.85546875" style="16" customWidth="1"/>
    <col min="4611" max="4611" width="8.85546875" style="16" customWidth="1"/>
    <col min="4612" max="4612" width="7.28515625" style="16" customWidth="1"/>
    <col min="4613" max="4613" width="8.5703125" style="16" bestFit="1" customWidth="1"/>
    <col min="4614" max="4616" width="8.42578125" style="16" customWidth="1"/>
    <col min="4617" max="4617" width="8.28515625" style="16" customWidth="1"/>
    <col min="4618" max="4618" width="9.140625" style="16"/>
    <col min="4619" max="4622" width="8.140625" style="16" customWidth="1"/>
    <col min="4623" max="4624" width="9.140625" style="16"/>
    <col min="4625" max="4625" width="7" style="16" bestFit="1" customWidth="1"/>
    <col min="4626" max="4626" width="9.140625" style="16"/>
    <col min="4627" max="4627" width="12" style="16" customWidth="1"/>
    <col min="4628" max="4864" width="9.140625" style="16"/>
    <col min="4865" max="4865" width="5" style="16" customWidth="1"/>
    <col min="4866" max="4866" width="18.85546875" style="16" customWidth="1"/>
    <col min="4867" max="4867" width="8.85546875" style="16" customWidth="1"/>
    <col min="4868" max="4868" width="7.28515625" style="16" customWidth="1"/>
    <col min="4869" max="4869" width="8.5703125" style="16" bestFit="1" customWidth="1"/>
    <col min="4870" max="4872" width="8.42578125" style="16" customWidth="1"/>
    <col min="4873" max="4873" width="8.28515625" style="16" customWidth="1"/>
    <col min="4874" max="4874" width="9.140625" style="16"/>
    <col min="4875" max="4878" width="8.140625" style="16" customWidth="1"/>
    <col min="4879" max="4880" width="9.140625" style="16"/>
    <col min="4881" max="4881" width="7" style="16" bestFit="1" customWidth="1"/>
    <col min="4882" max="4882" width="9.140625" style="16"/>
    <col min="4883" max="4883" width="12" style="16" customWidth="1"/>
    <col min="4884" max="5120" width="9.140625" style="16"/>
    <col min="5121" max="5121" width="5" style="16" customWidth="1"/>
    <col min="5122" max="5122" width="18.85546875" style="16" customWidth="1"/>
    <col min="5123" max="5123" width="8.85546875" style="16" customWidth="1"/>
    <col min="5124" max="5124" width="7.28515625" style="16" customWidth="1"/>
    <col min="5125" max="5125" width="8.5703125" style="16" bestFit="1" customWidth="1"/>
    <col min="5126" max="5128" width="8.42578125" style="16" customWidth="1"/>
    <col min="5129" max="5129" width="8.28515625" style="16" customWidth="1"/>
    <col min="5130" max="5130" width="9.140625" style="16"/>
    <col min="5131" max="5134" width="8.140625" style="16" customWidth="1"/>
    <col min="5135" max="5136" width="9.140625" style="16"/>
    <col min="5137" max="5137" width="7" style="16" bestFit="1" customWidth="1"/>
    <col min="5138" max="5138" width="9.140625" style="16"/>
    <col min="5139" max="5139" width="12" style="16" customWidth="1"/>
    <col min="5140" max="5376" width="9.140625" style="16"/>
    <col min="5377" max="5377" width="5" style="16" customWidth="1"/>
    <col min="5378" max="5378" width="18.85546875" style="16" customWidth="1"/>
    <col min="5379" max="5379" width="8.85546875" style="16" customWidth="1"/>
    <col min="5380" max="5380" width="7.28515625" style="16" customWidth="1"/>
    <col min="5381" max="5381" width="8.5703125" style="16" bestFit="1" customWidth="1"/>
    <col min="5382" max="5384" width="8.42578125" style="16" customWidth="1"/>
    <col min="5385" max="5385" width="8.28515625" style="16" customWidth="1"/>
    <col min="5386" max="5386" width="9.140625" style="16"/>
    <col min="5387" max="5390" width="8.140625" style="16" customWidth="1"/>
    <col min="5391" max="5392" width="9.140625" style="16"/>
    <col min="5393" max="5393" width="7" style="16" bestFit="1" customWidth="1"/>
    <col min="5394" max="5394" width="9.140625" style="16"/>
    <col min="5395" max="5395" width="12" style="16" customWidth="1"/>
    <col min="5396" max="5632" width="9.140625" style="16"/>
    <col min="5633" max="5633" width="5" style="16" customWidth="1"/>
    <col min="5634" max="5634" width="18.85546875" style="16" customWidth="1"/>
    <col min="5635" max="5635" width="8.85546875" style="16" customWidth="1"/>
    <col min="5636" max="5636" width="7.28515625" style="16" customWidth="1"/>
    <col min="5637" max="5637" width="8.5703125" style="16" bestFit="1" customWidth="1"/>
    <col min="5638" max="5640" width="8.42578125" style="16" customWidth="1"/>
    <col min="5641" max="5641" width="8.28515625" style="16" customWidth="1"/>
    <col min="5642" max="5642" width="9.140625" style="16"/>
    <col min="5643" max="5646" width="8.140625" style="16" customWidth="1"/>
    <col min="5647" max="5648" width="9.140625" style="16"/>
    <col min="5649" max="5649" width="7" style="16" bestFit="1" customWidth="1"/>
    <col min="5650" max="5650" width="9.140625" style="16"/>
    <col min="5651" max="5651" width="12" style="16" customWidth="1"/>
    <col min="5652" max="5888" width="9.140625" style="16"/>
    <col min="5889" max="5889" width="5" style="16" customWidth="1"/>
    <col min="5890" max="5890" width="18.85546875" style="16" customWidth="1"/>
    <col min="5891" max="5891" width="8.85546875" style="16" customWidth="1"/>
    <col min="5892" max="5892" width="7.28515625" style="16" customWidth="1"/>
    <col min="5893" max="5893" width="8.5703125" style="16" bestFit="1" customWidth="1"/>
    <col min="5894" max="5896" width="8.42578125" style="16" customWidth="1"/>
    <col min="5897" max="5897" width="8.28515625" style="16" customWidth="1"/>
    <col min="5898" max="5898" width="9.140625" style="16"/>
    <col min="5899" max="5902" width="8.140625" style="16" customWidth="1"/>
    <col min="5903" max="5904" width="9.140625" style="16"/>
    <col min="5905" max="5905" width="7" style="16" bestFit="1" customWidth="1"/>
    <col min="5906" max="5906" width="9.140625" style="16"/>
    <col min="5907" max="5907" width="12" style="16" customWidth="1"/>
    <col min="5908" max="6144" width="9.140625" style="16"/>
    <col min="6145" max="6145" width="5" style="16" customWidth="1"/>
    <col min="6146" max="6146" width="18.85546875" style="16" customWidth="1"/>
    <col min="6147" max="6147" width="8.85546875" style="16" customWidth="1"/>
    <col min="6148" max="6148" width="7.28515625" style="16" customWidth="1"/>
    <col min="6149" max="6149" width="8.5703125" style="16" bestFit="1" customWidth="1"/>
    <col min="6150" max="6152" width="8.42578125" style="16" customWidth="1"/>
    <col min="6153" max="6153" width="8.28515625" style="16" customWidth="1"/>
    <col min="6154" max="6154" width="9.140625" style="16"/>
    <col min="6155" max="6158" width="8.140625" style="16" customWidth="1"/>
    <col min="6159" max="6160" width="9.140625" style="16"/>
    <col min="6161" max="6161" width="7" style="16" bestFit="1" customWidth="1"/>
    <col min="6162" max="6162" width="9.140625" style="16"/>
    <col min="6163" max="6163" width="12" style="16" customWidth="1"/>
    <col min="6164" max="6400" width="9.140625" style="16"/>
    <col min="6401" max="6401" width="5" style="16" customWidth="1"/>
    <col min="6402" max="6402" width="18.85546875" style="16" customWidth="1"/>
    <col min="6403" max="6403" width="8.85546875" style="16" customWidth="1"/>
    <col min="6404" max="6404" width="7.28515625" style="16" customWidth="1"/>
    <col min="6405" max="6405" width="8.5703125" style="16" bestFit="1" customWidth="1"/>
    <col min="6406" max="6408" width="8.42578125" style="16" customWidth="1"/>
    <col min="6409" max="6409" width="8.28515625" style="16" customWidth="1"/>
    <col min="6410" max="6410" width="9.140625" style="16"/>
    <col min="6411" max="6414" width="8.140625" style="16" customWidth="1"/>
    <col min="6415" max="6416" width="9.140625" style="16"/>
    <col min="6417" max="6417" width="7" style="16" bestFit="1" customWidth="1"/>
    <col min="6418" max="6418" width="9.140625" style="16"/>
    <col min="6419" max="6419" width="12" style="16" customWidth="1"/>
    <col min="6420" max="6656" width="9.140625" style="16"/>
    <col min="6657" max="6657" width="5" style="16" customWidth="1"/>
    <col min="6658" max="6658" width="18.85546875" style="16" customWidth="1"/>
    <col min="6659" max="6659" width="8.85546875" style="16" customWidth="1"/>
    <col min="6660" max="6660" width="7.28515625" style="16" customWidth="1"/>
    <col min="6661" max="6661" width="8.5703125" style="16" bestFit="1" customWidth="1"/>
    <col min="6662" max="6664" width="8.42578125" style="16" customWidth="1"/>
    <col min="6665" max="6665" width="8.28515625" style="16" customWidth="1"/>
    <col min="6666" max="6666" width="9.140625" style="16"/>
    <col min="6667" max="6670" width="8.140625" style="16" customWidth="1"/>
    <col min="6671" max="6672" width="9.140625" style="16"/>
    <col min="6673" max="6673" width="7" style="16" bestFit="1" customWidth="1"/>
    <col min="6674" max="6674" width="9.140625" style="16"/>
    <col min="6675" max="6675" width="12" style="16" customWidth="1"/>
    <col min="6676" max="6912" width="9.140625" style="16"/>
    <col min="6913" max="6913" width="5" style="16" customWidth="1"/>
    <col min="6914" max="6914" width="18.85546875" style="16" customWidth="1"/>
    <col min="6915" max="6915" width="8.85546875" style="16" customWidth="1"/>
    <col min="6916" max="6916" width="7.28515625" style="16" customWidth="1"/>
    <col min="6917" max="6917" width="8.5703125" style="16" bestFit="1" customWidth="1"/>
    <col min="6918" max="6920" width="8.42578125" style="16" customWidth="1"/>
    <col min="6921" max="6921" width="8.28515625" style="16" customWidth="1"/>
    <col min="6922" max="6922" width="9.140625" style="16"/>
    <col min="6923" max="6926" width="8.140625" style="16" customWidth="1"/>
    <col min="6927" max="6928" width="9.140625" style="16"/>
    <col min="6929" max="6929" width="7" style="16" bestFit="1" customWidth="1"/>
    <col min="6930" max="6930" width="9.140625" style="16"/>
    <col min="6931" max="6931" width="12" style="16" customWidth="1"/>
    <col min="6932" max="7168" width="9.140625" style="16"/>
    <col min="7169" max="7169" width="5" style="16" customWidth="1"/>
    <col min="7170" max="7170" width="18.85546875" style="16" customWidth="1"/>
    <col min="7171" max="7171" width="8.85546875" style="16" customWidth="1"/>
    <col min="7172" max="7172" width="7.28515625" style="16" customWidth="1"/>
    <col min="7173" max="7173" width="8.5703125" style="16" bestFit="1" customWidth="1"/>
    <col min="7174" max="7176" width="8.42578125" style="16" customWidth="1"/>
    <col min="7177" max="7177" width="8.28515625" style="16" customWidth="1"/>
    <col min="7178" max="7178" width="9.140625" style="16"/>
    <col min="7179" max="7182" width="8.140625" style="16" customWidth="1"/>
    <col min="7183" max="7184" width="9.140625" style="16"/>
    <col min="7185" max="7185" width="7" style="16" bestFit="1" customWidth="1"/>
    <col min="7186" max="7186" width="9.140625" style="16"/>
    <col min="7187" max="7187" width="12" style="16" customWidth="1"/>
    <col min="7188" max="7424" width="9.140625" style="16"/>
    <col min="7425" max="7425" width="5" style="16" customWidth="1"/>
    <col min="7426" max="7426" width="18.85546875" style="16" customWidth="1"/>
    <col min="7427" max="7427" width="8.85546875" style="16" customWidth="1"/>
    <col min="7428" max="7428" width="7.28515625" style="16" customWidth="1"/>
    <col min="7429" max="7429" width="8.5703125" style="16" bestFit="1" customWidth="1"/>
    <col min="7430" max="7432" width="8.42578125" style="16" customWidth="1"/>
    <col min="7433" max="7433" width="8.28515625" style="16" customWidth="1"/>
    <col min="7434" max="7434" width="9.140625" style="16"/>
    <col min="7435" max="7438" width="8.140625" style="16" customWidth="1"/>
    <col min="7439" max="7440" width="9.140625" style="16"/>
    <col min="7441" max="7441" width="7" style="16" bestFit="1" customWidth="1"/>
    <col min="7442" max="7442" width="9.140625" style="16"/>
    <col min="7443" max="7443" width="12" style="16" customWidth="1"/>
    <col min="7444" max="7680" width="9.140625" style="16"/>
    <col min="7681" max="7681" width="5" style="16" customWidth="1"/>
    <col min="7682" max="7682" width="18.85546875" style="16" customWidth="1"/>
    <col min="7683" max="7683" width="8.85546875" style="16" customWidth="1"/>
    <col min="7684" max="7684" width="7.28515625" style="16" customWidth="1"/>
    <col min="7685" max="7685" width="8.5703125" style="16" bestFit="1" customWidth="1"/>
    <col min="7686" max="7688" width="8.42578125" style="16" customWidth="1"/>
    <col min="7689" max="7689" width="8.28515625" style="16" customWidth="1"/>
    <col min="7690" max="7690" width="9.140625" style="16"/>
    <col min="7691" max="7694" width="8.140625" style="16" customWidth="1"/>
    <col min="7695" max="7696" width="9.140625" style="16"/>
    <col min="7697" max="7697" width="7" style="16" bestFit="1" customWidth="1"/>
    <col min="7698" max="7698" width="9.140625" style="16"/>
    <col min="7699" max="7699" width="12" style="16" customWidth="1"/>
    <col min="7700" max="7936" width="9.140625" style="16"/>
    <col min="7937" max="7937" width="5" style="16" customWidth="1"/>
    <col min="7938" max="7938" width="18.85546875" style="16" customWidth="1"/>
    <col min="7939" max="7939" width="8.85546875" style="16" customWidth="1"/>
    <col min="7940" max="7940" width="7.28515625" style="16" customWidth="1"/>
    <col min="7941" max="7941" width="8.5703125" style="16" bestFit="1" customWidth="1"/>
    <col min="7942" max="7944" width="8.42578125" style="16" customWidth="1"/>
    <col min="7945" max="7945" width="8.28515625" style="16" customWidth="1"/>
    <col min="7946" max="7946" width="9.140625" style="16"/>
    <col min="7947" max="7950" width="8.140625" style="16" customWidth="1"/>
    <col min="7951" max="7952" width="9.140625" style="16"/>
    <col min="7953" max="7953" width="7" style="16" bestFit="1" customWidth="1"/>
    <col min="7954" max="7954" width="9.140625" style="16"/>
    <col min="7955" max="7955" width="12" style="16" customWidth="1"/>
    <col min="7956" max="8192" width="9.140625" style="16"/>
    <col min="8193" max="8193" width="5" style="16" customWidth="1"/>
    <col min="8194" max="8194" width="18.85546875" style="16" customWidth="1"/>
    <col min="8195" max="8195" width="8.85546875" style="16" customWidth="1"/>
    <col min="8196" max="8196" width="7.28515625" style="16" customWidth="1"/>
    <col min="8197" max="8197" width="8.5703125" style="16" bestFit="1" customWidth="1"/>
    <col min="8198" max="8200" width="8.42578125" style="16" customWidth="1"/>
    <col min="8201" max="8201" width="8.28515625" style="16" customWidth="1"/>
    <col min="8202" max="8202" width="9.140625" style="16"/>
    <col min="8203" max="8206" width="8.140625" style="16" customWidth="1"/>
    <col min="8207" max="8208" width="9.140625" style="16"/>
    <col min="8209" max="8209" width="7" style="16" bestFit="1" customWidth="1"/>
    <col min="8210" max="8210" width="9.140625" style="16"/>
    <col min="8211" max="8211" width="12" style="16" customWidth="1"/>
    <col min="8212" max="8448" width="9.140625" style="16"/>
    <col min="8449" max="8449" width="5" style="16" customWidth="1"/>
    <col min="8450" max="8450" width="18.85546875" style="16" customWidth="1"/>
    <col min="8451" max="8451" width="8.85546875" style="16" customWidth="1"/>
    <col min="8452" max="8452" width="7.28515625" style="16" customWidth="1"/>
    <col min="8453" max="8453" width="8.5703125" style="16" bestFit="1" customWidth="1"/>
    <col min="8454" max="8456" width="8.42578125" style="16" customWidth="1"/>
    <col min="8457" max="8457" width="8.28515625" style="16" customWidth="1"/>
    <col min="8458" max="8458" width="9.140625" style="16"/>
    <col min="8459" max="8462" width="8.140625" style="16" customWidth="1"/>
    <col min="8463" max="8464" width="9.140625" style="16"/>
    <col min="8465" max="8465" width="7" style="16" bestFit="1" customWidth="1"/>
    <col min="8466" max="8466" width="9.140625" style="16"/>
    <col min="8467" max="8467" width="12" style="16" customWidth="1"/>
    <col min="8468" max="8704" width="9.140625" style="16"/>
    <col min="8705" max="8705" width="5" style="16" customWidth="1"/>
    <col min="8706" max="8706" width="18.85546875" style="16" customWidth="1"/>
    <col min="8707" max="8707" width="8.85546875" style="16" customWidth="1"/>
    <col min="8708" max="8708" width="7.28515625" style="16" customWidth="1"/>
    <col min="8709" max="8709" width="8.5703125" style="16" bestFit="1" customWidth="1"/>
    <col min="8710" max="8712" width="8.42578125" style="16" customWidth="1"/>
    <col min="8713" max="8713" width="8.28515625" style="16" customWidth="1"/>
    <col min="8714" max="8714" width="9.140625" style="16"/>
    <col min="8715" max="8718" width="8.140625" style="16" customWidth="1"/>
    <col min="8719" max="8720" width="9.140625" style="16"/>
    <col min="8721" max="8721" width="7" style="16" bestFit="1" customWidth="1"/>
    <col min="8722" max="8722" width="9.140625" style="16"/>
    <col min="8723" max="8723" width="12" style="16" customWidth="1"/>
    <col min="8724" max="8960" width="9.140625" style="16"/>
    <col min="8961" max="8961" width="5" style="16" customWidth="1"/>
    <col min="8962" max="8962" width="18.85546875" style="16" customWidth="1"/>
    <col min="8963" max="8963" width="8.85546875" style="16" customWidth="1"/>
    <col min="8964" max="8964" width="7.28515625" style="16" customWidth="1"/>
    <col min="8965" max="8965" width="8.5703125" style="16" bestFit="1" customWidth="1"/>
    <col min="8966" max="8968" width="8.42578125" style="16" customWidth="1"/>
    <col min="8969" max="8969" width="8.28515625" style="16" customWidth="1"/>
    <col min="8970" max="8970" width="9.140625" style="16"/>
    <col min="8971" max="8974" width="8.140625" style="16" customWidth="1"/>
    <col min="8975" max="8976" width="9.140625" style="16"/>
    <col min="8977" max="8977" width="7" style="16" bestFit="1" customWidth="1"/>
    <col min="8978" max="8978" width="9.140625" style="16"/>
    <col min="8979" max="8979" width="12" style="16" customWidth="1"/>
    <col min="8980" max="9216" width="9.140625" style="16"/>
    <col min="9217" max="9217" width="5" style="16" customWidth="1"/>
    <col min="9218" max="9218" width="18.85546875" style="16" customWidth="1"/>
    <col min="9219" max="9219" width="8.85546875" style="16" customWidth="1"/>
    <col min="9220" max="9220" width="7.28515625" style="16" customWidth="1"/>
    <col min="9221" max="9221" width="8.5703125" style="16" bestFit="1" customWidth="1"/>
    <col min="9222" max="9224" width="8.42578125" style="16" customWidth="1"/>
    <col min="9225" max="9225" width="8.28515625" style="16" customWidth="1"/>
    <col min="9226" max="9226" width="9.140625" style="16"/>
    <col min="9227" max="9230" width="8.140625" style="16" customWidth="1"/>
    <col min="9231" max="9232" width="9.140625" style="16"/>
    <col min="9233" max="9233" width="7" style="16" bestFit="1" customWidth="1"/>
    <col min="9234" max="9234" width="9.140625" style="16"/>
    <col min="9235" max="9235" width="12" style="16" customWidth="1"/>
    <col min="9236" max="9472" width="9.140625" style="16"/>
    <col min="9473" max="9473" width="5" style="16" customWidth="1"/>
    <col min="9474" max="9474" width="18.85546875" style="16" customWidth="1"/>
    <col min="9475" max="9475" width="8.85546875" style="16" customWidth="1"/>
    <col min="9476" max="9476" width="7.28515625" style="16" customWidth="1"/>
    <col min="9477" max="9477" width="8.5703125" style="16" bestFit="1" customWidth="1"/>
    <col min="9478" max="9480" width="8.42578125" style="16" customWidth="1"/>
    <col min="9481" max="9481" width="8.28515625" style="16" customWidth="1"/>
    <col min="9482" max="9482" width="9.140625" style="16"/>
    <col min="9483" max="9486" width="8.140625" style="16" customWidth="1"/>
    <col min="9487" max="9488" width="9.140625" style="16"/>
    <col min="9489" max="9489" width="7" style="16" bestFit="1" customWidth="1"/>
    <col min="9490" max="9490" width="9.140625" style="16"/>
    <col min="9491" max="9491" width="12" style="16" customWidth="1"/>
    <col min="9492" max="9728" width="9.140625" style="16"/>
    <col min="9729" max="9729" width="5" style="16" customWidth="1"/>
    <col min="9730" max="9730" width="18.85546875" style="16" customWidth="1"/>
    <col min="9731" max="9731" width="8.85546875" style="16" customWidth="1"/>
    <col min="9732" max="9732" width="7.28515625" style="16" customWidth="1"/>
    <col min="9733" max="9733" width="8.5703125" style="16" bestFit="1" customWidth="1"/>
    <col min="9734" max="9736" width="8.42578125" style="16" customWidth="1"/>
    <col min="9737" max="9737" width="8.28515625" style="16" customWidth="1"/>
    <col min="9738" max="9738" width="9.140625" style="16"/>
    <col min="9739" max="9742" width="8.140625" style="16" customWidth="1"/>
    <col min="9743" max="9744" width="9.140625" style="16"/>
    <col min="9745" max="9745" width="7" style="16" bestFit="1" customWidth="1"/>
    <col min="9746" max="9746" width="9.140625" style="16"/>
    <col min="9747" max="9747" width="12" style="16" customWidth="1"/>
    <col min="9748" max="9984" width="9.140625" style="16"/>
    <col min="9985" max="9985" width="5" style="16" customWidth="1"/>
    <col min="9986" max="9986" width="18.85546875" style="16" customWidth="1"/>
    <col min="9987" max="9987" width="8.85546875" style="16" customWidth="1"/>
    <col min="9988" max="9988" width="7.28515625" style="16" customWidth="1"/>
    <col min="9989" max="9989" width="8.5703125" style="16" bestFit="1" customWidth="1"/>
    <col min="9990" max="9992" width="8.42578125" style="16" customWidth="1"/>
    <col min="9993" max="9993" width="8.28515625" style="16" customWidth="1"/>
    <col min="9994" max="9994" width="9.140625" style="16"/>
    <col min="9995" max="9998" width="8.140625" style="16" customWidth="1"/>
    <col min="9999" max="10000" width="9.140625" style="16"/>
    <col min="10001" max="10001" width="7" style="16" bestFit="1" customWidth="1"/>
    <col min="10002" max="10002" width="9.140625" style="16"/>
    <col min="10003" max="10003" width="12" style="16" customWidth="1"/>
    <col min="10004" max="10240" width="9.140625" style="16"/>
    <col min="10241" max="10241" width="5" style="16" customWidth="1"/>
    <col min="10242" max="10242" width="18.85546875" style="16" customWidth="1"/>
    <col min="10243" max="10243" width="8.85546875" style="16" customWidth="1"/>
    <col min="10244" max="10244" width="7.28515625" style="16" customWidth="1"/>
    <col min="10245" max="10245" width="8.5703125" style="16" bestFit="1" customWidth="1"/>
    <col min="10246" max="10248" width="8.42578125" style="16" customWidth="1"/>
    <col min="10249" max="10249" width="8.28515625" style="16" customWidth="1"/>
    <col min="10250" max="10250" width="9.140625" style="16"/>
    <col min="10251" max="10254" width="8.140625" style="16" customWidth="1"/>
    <col min="10255" max="10256" width="9.140625" style="16"/>
    <col min="10257" max="10257" width="7" style="16" bestFit="1" customWidth="1"/>
    <col min="10258" max="10258" width="9.140625" style="16"/>
    <col min="10259" max="10259" width="12" style="16" customWidth="1"/>
    <col min="10260" max="10496" width="9.140625" style="16"/>
    <col min="10497" max="10497" width="5" style="16" customWidth="1"/>
    <col min="10498" max="10498" width="18.85546875" style="16" customWidth="1"/>
    <col min="10499" max="10499" width="8.85546875" style="16" customWidth="1"/>
    <col min="10500" max="10500" width="7.28515625" style="16" customWidth="1"/>
    <col min="10501" max="10501" width="8.5703125" style="16" bestFit="1" customWidth="1"/>
    <col min="10502" max="10504" width="8.42578125" style="16" customWidth="1"/>
    <col min="10505" max="10505" width="8.28515625" style="16" customWidth="1"/>
    <col min="10506" max="10506" width="9.140625" style="16"/>
    <col min="10507" max="10510" width="8.140625" style="16" customWidth="1"/>
    <col min="10511" max="10512" width="9.140625" style="16"/>
    <col min="10513" max="10513" width="7" style="16" bestFit="1" customWidth="1"/>
    <col min="10514" max="10514" width="9.140625" style="16"/>
    <col min="10515" max="10515" width="12" style="16" customWidth="1"/>
    <col min="10516" max="10752" width="9.140625" style="16"/>
    <col min="10753" max="10753" width="5" style="16" customWidth="1"/>
    <col min="10754" max="10754" width="18.85546875" style="16" customWidth="1"/>
    <col min="10755" max="10755" width="8.85546875" style="16" customWidth="1"/>
    <col min="10756" max="10756" width="7.28515625" style="16" customWidth="1"/>
    <col min="10757" max="10757" width="8.5703125" style="16" bestFit="1" customWidth="1"/>
    <col min="10758" max="10760" width="8.42578125" style="16" customWidth="1"/>
    <col min="10761" max="10761" width="8.28515625" style="16" customWidth="1"/>
    <col min="10762" max="10762" width="9.140625" style="16"/>
    <col min="10763" max="10766" width="8.140625" style="16" customWidth="1"/>
    <col min="10767" max="10768" width="9.140625" style="16"/>
    <col min="10769" max="10769" width="7" style="16" bestFit="1" customWidth="1"/>
    <col min="10770" max="10770" width="9.140625" style="16"/>
    <col min="10771" max="10771" width="12" style="16" customWidth="1"/>
    <col min="10772" max="11008" width="9.140625" style="16"/>
    <col min="11009" max="11009" width="5" style="16" customWidth="1"/>
    <col min="11010" max="11010" width="18.85546875" style="16" customWidth="1"/>
    <col min="11011" max="11011" width="8.85546875" style="16" customWidth="1"/>
    <col min="11012" max="11012" width="7.28515625" style="16" customWidth="1"/>
    <col min="11013" max="11013" width="8.5703125" style="16" bestFit="1" customWidth="1"/>
    <col min="11014" max="11016" width="8.42578125" style="16" customWidth="1"/>
    <col min="11017" max="11017" width="8.28515625" style="16" customWidth="1"/>
    <col min="11018" max="11018" width="9.140625" style="16"/>
    <col min="11019" max="11022" width="8.140625" style="16" customWidth="1"/>
    <col min="11023" max="11024" width="9.140625" style="16"/>
    <col min="11025" max="11025" width="7" style="16" bestFit="1" customWidth="1"/>
    <col min="11026" max="11026" width="9.140625" style="16"/>
    <col min="11027" max="11027" width="12" style="16" customWidth="1"/>
    <col min="11028" max="11264" width="9.140625" style="16"/>
    <col min="11265" max="11265" width="5" style="16" customWidth="1"/>
    <col min="11266" max="11266" width="18.85546875" style="16" customWidth="1"/>
    <col min="11267" max="11267" width="8.85546875" style="16" customWidth="1"/>
    <col min="11268" max="11268" width="7.28515625" style="16" customWidth="1"/>
    <col min="11269" max="11269" width="8.5703125" style="16" bestFit="1" customWidth="1"/>
    <col min="11270" max="11272" width="8.42578125" style="16" customWidth="1"/>
    <col min="11273" max="11273" width="8.28515625" style="16" customWidth="1"/>
    <col min="11274" max="11274" width="9.140625" style="16"/>
    <col min="11275" max="11278" width="8.140625" style="16" customWidth="1"/>
    <col min="11279" max="11280" width="9.140625" style="16"/>
    <col min="11281" max="11281" width="7" style="16" bestFit="1" customWidth="1"/>
    <col min="11282" max="11282" width="9.140625" style="16"/>
    <col min="11283" max="11283" width="12" style="16" customWidth="1"/>
    <col min="11284" max="11520" width="9.140625" style="16"/>
    <col min="11521" max="11521" width="5" style="16" customWidth="1"/>
    <col min="11522" max="11522" width="18.85546875" style="16" customWidth="1"/>
    <col min="11523" max="11523" width="8.85546875" style="16" customWidth="1"/>
    <col min="11524" max="11524" width="7.28515625" style="16" customWidth="1"/>
    <col min="11525" max="11525" width="8.5703125" style="16" bestFit="1" customWidth="1"/>
    <col min="11526" max="11528" width="8.42578125" style="16" customWidth="1"/>
    <col min="11529" max="11529" width="8.28515625" style="16" customWidth="1"/>
    <col min="11530" max="11530" width="9.140625" style="16"/>
    <col min="11531" max="11534" width="8.140625" style="16" customWidth="1"/>
    <col min="11535" max="11536" width="9.140625" style="16"/>
    <col min="11537" max="11537" width="7" style="16" bestFit="1" customWidth="1"/>
    <col min="11538" max="11538" width="9.140625" style="16"/>
    <col min="11539" max="11539" width="12" style="16" customWidth="1"/>
    <col min="11540" max="11776" width="9.140625" style="16"/>
    <col min="11777" max="11777" width="5" style="16" customWidth="1"/>
    <col min="11778" max="11778" width="18.85546875" style="16" customWidth="1"/>
    <col min="11779" max="11779" width="8.85546875" style="16" customWidth="1"/>
    <col min="11780" max="11780" width="7.28515625" style="16" customWidth="1"/>
    <col min="11781" max="11781" width="8.5703125" style="16" bestFit="1" customWidth="1"/>
    <col min="11782" max="11784" width="8.42578125" style="16" customWidth="1"/>
    <col min="11785" max="11785" width="8.28515625" style="16" customWidth="1"/>
    <col min="11786" max="11786" width="9.140625" style="16"/>
    <col min="11787" max="11790" width="8.140625" style="16" customWidth="1"/>
    <col min="11791" max="11792" width="9.140625" style="16"/>
    <col min="11793" max="11793" width="7" style="16" bestFit="1" customWidth="1"/>
    <col min="11794" max="11794" width="9.140625" style="16"/>
    <col min="11795" max="11795" width="12" style="16" customWidth="1"/>
    <col min="11796" max="12032" width="9.140625" style="16"/>
    <col min="12033" max="12033" width="5" style="16" customWidth="1"/>
    <col min="12034" max="12034" width="18.85546875" style="16" customWidth="1"/>
    <col min="12035" max="12035" width="8.85546875" style="16" customWidth="1"/>
    <col min="12036" max="12036" width="7.28515625" style="16" customWidth="1"/>
    <col min="12037" max="12037" width="8.5703125" style="16" bestFit="1" customWidth="1"/>
    <col min="12038" max="12040" width="8.42578125" style="16" customWidth="1"/>
    <col min="12041" max="12041" width="8.28515625" style="16" customWidth="1"/>
    <col min="12042" max="12042" width="9.140625" style="16"/>
    <col min="12043" max="12046" width="8.140625" style="16" customWidth="1"/>
    <col min="12047" max="12048" width="9.140625" style="16"/>
    <col min="12049" max="12049" width="7" style="16" bestFit="1" customWidth="1"/>
    <col min="12050" max="12050" width="9.140625" style="16"/>
    <col min="12051" max="12051" width="12" style="16" customWidth="1"/>
    <col min="12052" max="12288" width="9.140625" style="16"/>
    <col min="12289" max="12289" width="5" style="16" customWidth="1"/>
    <col min="12290" max="12290" width="18.85546875" style="16" customWidth="1"/>
    <col min="12291" max="12291" width="8.85546875" style="16" customWidth="1"/>
    <col min="12292" max="12292" width="7.28515625" style="16" customWidth="1"/>
    <col min="12293" max="12293" width="8.5703125" style="16" bestFit="1" customWidth="1"/>
    <col min="12294" max="12296" width="8.42578125" style="16" customWidth="1"/>
    <col min="12297" max="12297" width="8.28515625" style="16" customWidth="1"/>
    <col min="12298" max="12298" width="9.140625" style="16"/>
    <col min="12299" max="12302" width="8.140625" style="16" customWidth="1"/>
    <col min="12303" max="12304" width="9.140625" style="16"/>
    <col min="12305" max="12305" width="7" style="16" bestFit="1" customWidth="1"/>
    <col min="12306" max="12306" width="9.140625" style="16"/>
    <col min="12307" max="12307" width="12" style="16" customWidth="1"/>
    <col min="12308" max="12544" width="9.140625" style="16"/>
    <col min="12545" max="12545" width="5" style="16" customWidth="1"/>
    <col min="12546" max="12546" width="18.85546875" style="16" customWidth="1"/>
    <col min="12547" max="12547" width="8.85546875" style="16" customWidth="1"/>
    <col min="12548" max="12548" width="7.28515625" style="16" customWidth="1"/>
    <col min="12549" max="12549" width="8.5703125" style="16" bestFit="1" customWidth="1"/>
    <col min="12550" max="12552" width="8.42578125" style="16" customWidth="1"/>
    <col min="12553" max="12553" width="8.28515625" style="16" customWidth="1"/>
    <col min="12554" max="12554" width="9.140625" style="16"/>
    <col min="12555" max="12558" width="8.140625" style="16" customWidth="1"/>
    <col min="12559" max="12560" width="9.140625" style="16"/>
    <col min="12561" max="12561" width="7" style="16" bestFit="1" customWidth="1"/>
    <col min="12562" max="12562" width="9.140625" style="16"/>
    <col min="12563" max="12563" width="12" style="16" customWidth="1"/>
    <col min="12564" max="12800" width="9.140625" style="16"/>
    <col min="12801" max="12801" width="5" style="16" customWidth="1"/>
    <col min="12802" max="12802" width="18.85546875" style="16" customWidth="1"/>
    <col min="12803" max="12803" width="8.85546875" style="16" customWidth="1"/>
    <col min="12804" max="12804" width="7.28515625" style="16" customWidth="1"/>
    <col min="12805" max="12805" width="8.5703125" style="16" bestFit="1" customWidth="1"/>
    <col min="12806" max="12808" width="8.42578125" style="16" customWidth="1"/>
    <col min="12809" max="12809" width="8.28515625" style="16" customWidth="1"/>
    <col min="12810" max="12810" width="9.140625" style="16"/>
    <col min="12811" max="12814" width="8.140625" style="16" customWidth="1"/>
    <col min="12815" max="12816" width="9.140625" style="16"/>
    <col min="12817" max="12817" width="7" style="16" bestFit="1" customWidth="1"/>
    <col min="12818" max="12818" width="9.140625" style="16"/>
    <col min="12819" max="12819" width="12" style="16" customWidth="1"/>
    <col min="12820" max="13056" width="9.140625" style="16"/>
    <col min="13057" max="13057" width="5" style="16" customWidth="1"/>
    <col min="13058" max="13058" width="18.85546875" style="16" customWidth="1"/>
    <col min="13059" max="13059" width="8.85546875" style="16" customWidth="1"/>
    <col min="13060" max="13060" width="7.28515625" style="16" customWidth="1"/>
    <col min="13061" max="13061" width="8.5703125" style="16" bestFit="1" customWidth="1"/>
    <col min="13062" max="13064" width="8.42578125" style="16" customWidth="1"/>
    <col min="13065" max="13065" width="8.28515625" style="16" customWidth="1"/>
    <col min="13066" max="13066" width="9.140625" style="16"/>
    <col min="13067" max="13070" width="8.140625" style="16" customWidth="1"/>
    <col min="13071" max="13072" width="9.140625" style="16"/>
    <col min="13073" max="13073" width="7" style="16" bestFit="1" customWidth="1"/>
    <col min="13074" max="13074" width="9.140625" style="16"/>
    <col min="13075" max="13075" width="12" style="16" customWidth="1"/>
    <col min="13076" max="13312" width="9.140625" style="16"/>
    <col min="13313" max="13313" width="5" style="16" customWidth="1"/>
    <col min="13314" max="13314" width="18.85546875" style="16" customWidth="1"/>
    <col min="13315" max="13315" width="8.85546875" style="16" customWidth="1"/>
    <col min="13316" max="13316" width="7.28515625" style="16" customWidth="1"/>
    <col min="13317" max="13317" width="8.5703125" style="16" bestFit="1" customWidth="1"/>
    <col min="13318" max="13320" width="8.42578125" style="16" customWidth="1"/>
    <col min="13321" max="13321" width="8.28515625" style="16" customWidth="1"/>
    <col min="13322" max="13322" width="9.140625" style="16"/>
    <col min="13323" max="13326" width="8.140625" style="16" customWidth="1"/>
    <col min="13327" max="13328" width="9.140625" style="16"/>
    <col min="13329" max="13329" width="7" style="16" bestFit="1" customWidth="1"/>
    <col min="13330" max="13330" width="9.140625" style="16"/>
    <col min="13331" max="13331" width="12" style="16" customWidth="1"/>
    <col min="13332" max="13568" width="9.140625" style="16"/>
    <col min="13569" max="13569" width="5" style="16" customWidth="1"/>
    <col min="13570" max="13570" width="18.85546875" style="16" customWidth="1"/>
    <col min="13571" max="13571" width="8.85546875" style="16" customWidth="1"/>
    <col min="13572" max="13572" width="7.28515625" style="16" customWidth="1"/>
    <col min="13573" max="13573" width="8.5703125" style="16" bestFit="1" customWidth="1"/>
    <col min="13574" max="13576" width="8.42578125" style="16" customWidth="1"/>
    <col min="13577" max="13577" width="8.28515625" style="16" customWidth="1"/>
    <col min="13578" max="13578" width="9.140625" style="16"/>
    <col min="13579" max="13582" width="8.140625" style="16" customWidth="1"/>
    <col min="13583" max="13584" width="9.140625" style="16"/>
    <col min="13585" max="13585" width="7" style="16" bestFit="1" customWidth="1"/>
    <col min="13586" max="13586" width="9.140625" style="16"/>
    <col min="13587" max="13587" width="12" style="16" customWidth="1"/>
    <col min="13588" max="13824" width="9.140625" style="16"/>
    <col min="13825" max="13825" width="5" style="16" customWidth="1"/>
    <col min="13826" max="13826" width="18.85546875" style="16" customWidth="1"/>
    <col min="13827" max="13827" width="8.85546875" style="16" customWidth="1"/>
    <col min="13828" max="13828" width="7.28515625" style="16" customWidth="1"/>
    <col min="13829" max="13829" width="8.5703125" style="16" bestFit="1" customWidth="1"/>
    <col min="13830" max="13832" width="8.42578125" style="16" customWidth="1"/>
    <col min="13833" max="13833" width="8.28515625" style="16" customWidth="1"/>
    <col min="13834" max="13834" width="9.140625" style="16"/>
    <col min="13835" max="13838" width="8.140625" style="16" customWidth="1"/>
    <col min="13839" max="13840" width="9.140625" style="16"/>
    <col min="13841" max="13841" width="7" style="16" bestFit="1" customWidth="1"/>
    <col min="13842" max="13842" width="9.140625" style="16"/>
    <col min="13843" max="13843" width="12" style="16" customWidth="1"/>
    <col min="13844" max="14080" width="9.140625" style="16"/>
    <col min="14081" max="14081" width="5" style="16" customWidth="1"/>
    <col min="14082" max="14082" width="18.85546875" style="16" customWidth="1"/>
    <col min="14083" max="14083" width="8.85546875" style="16" customWidth="1"/>
    <col min="14084" max="14084" width="7.28515625" style="16" customWidth="1"/>
    <col min="14085" max="14085" width="8.5703125" style="16" bestFit="1" customWidth="1"/>
    <col min="14086" max="14088" width="8.42578125" style="16" customWidth="1"/>
    <col min="14089" max="14089" width="8.28515625" style="16" customWidth="1"/>
    <col min="14090" max="14090" width="9.140625" style="16"/>
    <col min="14091" max="14094" width="8.140625" style="16" customWidth="1"/>
    <col min="14095" max="14096" width="9.140625" style="16"/>
    <col min="14097" max="14097" width="7" style="16" bestFit="1" customWidth="1"/>
    <col min="14098" max="14098" width="9.140625" style="16"/>
    <col min="14099" max="14099" width="12" style="16" customWidth="1"/>
    <col min="14100" max="14336" width="9.140625" style="16"/>
    <col min="14337" max="14337" width="5" style="16" customWidth="1"/>
    <col min="14338" max="14338" width="18.85546875" style="16" customWidth="1"/>
    <col min="14339" max="14339" width="8.85546875" style="16" customWidth="1"/>
    <col min="14340" max="14340" width="7.28515625" style="16" customWidth="1"/>
    <col min="14341" max="14341" width="8.5703125" style="16" bestFit="1" customWidth="1"/>
    <col min="14342" max="14344" width="8.42578125" style="16" customWidth="1"/>
    <col min="14345" max="14345" width="8.28515625" style="16" customWidth="1"/>
    <col min="14346" max="14346" width="9.140625" style="16"/>
    <col min="14347" max="14350" width="8.140625" style="16" customWidth="1"/>
    <col min="14351" max="14352" width="9.140625" style="16"/>
    <col min="14353" max="14353" width="7" style="16" bestFit="1" customWidth="1"/>
    <col min="14354" max="14354" width="9.140625" style="16"/>
    <col min="14355" max="14355" width="12" style="16" customWidth="1"/>
    <col min="14356" max="14592" width="9.140625" style="16"/>
    <col min="14593" max="14593" width="5" style="16" customWidth="1"/>
    <col min="14594" max="14594" width="18.85546875" style="16" customWidth="1"/>
    <col min="14595" max="14595" width="8.85546875" style="16" customWidth="1"/>
    <col min="14596" max="14596" width="7.28515625" style="16" customWidth="1"/>
    <col min="14597" max="14597" width="8.5703125" style="16" bestFit="1" customWidth="1"/>
    <col min="14598" max="14600" width="8.42578125" style="16" customWidth="1"/>
    <col min="14601" max="14601" width="8.28515625" style="16" customWidth="1"/>
    <col min="14602" max="14602" width="9.140625" style="16"/>
    <col min="14603" max="14606" width="8.140625" style="16" customWidth="1"/>
    <col min="14607" max="14608" width="9.140625" style="16"/>
    <col min="14609" max="14609" width="7" style="16" bestFit="1" customWidth="1"/>
    <col min="14610" max="14610" width="9.140625" style="16"/>
    <col min="14611" max="14611" width="12" style="16" customWidth="1"/>
    <col min="14612" max="14848" width="9.140625" style="16"/>
    <col min="14849" max="14849" width="5" style="16" customWidth="1"/>
    <col min="14850" max="14850" width="18.85546875" style="16" customWidth="1"/>
    <col min="14851" max="14851" width="8.85546875" style="16" customWidth="1"/>
    <col min="14852" max="14852" width="7.28515625" style="16" customWidth="1"/>
    <col min="14853" max="14853" width="8.5703125" style="16" bestFit="1" customWidth="1"/>
    <col min="14854" max="14856" width="8.42578125" style="16" customWidth="1"/>
    <col min="14857" max="14857" width="8.28515625" style="16" customWidth="1"/>
    <col min="14858" max="14858" width="9.140625" style="16"/>
    <col min="14859" max="14862" width="8.140625" style="16" customWidth="1"/>
    <col min="14863" max="14864" width="9.140625" style="16"/>
    <col min="14865" max="14865" width="7" style="16" bestFit="1" customWidth="1"/>
    <col min="14866" max="14866" width="9.140625" style="16"/>
    <col min="14867" max="14867" width="12" style="16" customWidth="1"/>
    <col min="14868" max="15104" width="9.140625" style="16"/>
    <col min="15105" max="15105" width="5" style="16" customWidth="1"/>
    <col min="15106" max="15106" width="18.85546875" style="16" customWidth="1"/>
    <col min="15107" max="15107" width="8.85546875" style="16" customWidth="1"/>
    <col min="15108" max="15108" width="7.28515625" style="16" customWidth="1"/>
    <col min="15109" max="15109" width="8.5703125" style="16" bestFit="1" customWidth="1"/>
    <col min="15110" max="15112" width="8.42578125" style="16" customWidth="1"/>
    <col min="15113" max="15113" width="8.28515625" style="16" customWidth="1"/>
    <col min="15114" max="15114" width="9.140625" style="16"/>
    <col min="15115" max="15118" width="8.140625" style="16" customWidth="1"/>
    <col min="15119" max="15120" width="9.140625" style="16"/>
    <col min="15121" max="15121" width="7" style="16" bestFit="1" customWidth="1"/>
    <col min="15122" max="15122" width="9.140625" style="16"/>
    <col min="15123" max="15123" width="12" style="16" customWidth="1"/>
    <col min="15124" max="15360" width="9.140625" style="16"/>
    <col min="15361" max="15361" width="5" style="16" customWidth="1"/>
    <col min="15362" max="15362" width="18.85546875" style="16" customWidth="1"/>
    <col min="15363" max="15363" width="8.85546875" style="16" customWidth="1"/>
    <col min="15364" max="15364" width="7.28515625" style="16" customWidth="1"/>
    <col min="15365" max="15365" width="8.5703125" style="16" bestFit="1" customWidth="1"/>
    <col min="15366" max="15368" width="8.42578125" style="16" customWidth="1"/>
    <col min="15369" max="15369" width="8.28515625" style="16" customWidth="1"/>
    <col min="15370" max="15370" width="9.140625" style="16"/>
    <col min="15371" max="15374" width="8.140625" style="16" customWidth="1"/>
    <col min="15375" max="15376" width="9.140625" style="16"/>
    <col min="15377" max="15377" width="7" style="16" bestFit="1" customWidth="1"/>
    <col min="15378" max="15378" width="9.140625" style="16"/>
    <col min="15379" max="15379" width="12" style="16" customWidth="1"/>
    <col min="15380" max="15616" width="9.140625" style="16"/>
    <col min="15617" max="15617" width="5" style="16" customWidth="1"/>
    <col min="15618" max="15618" width="18.85546875" style="16" customWidth="1"/>
    <col min="15619" max="15619" width="8.85546875" style="16" customWidth="1"/>
    <col min="15620" max="15620" width="7.28515625" style="16" customWidth="1"/>
    <col min="15621" max="15621" width="8.5703125" style="16" bestFit="1" customWidth="1"/>
    <col min="15622" max="15624" width="8.42578125" style="16" customWidth="1"/>
    <col min="15625" max="15625" width="8.28515625" style="16" customWidth="1"/>
    <col min="15626" max="15626" width="9.140625" style="16"/>
    <col min="15627" max="15630" width="8.140625" style="16" customWidth="1"/>
    <col min="15631" max="15632" width="9.140625" style="16"/>
    <col min="15633" max="15633" width="7" style="16" bestFit="1" customWidth="1"/>
    <col min="15634" max="15634" width="9.140625" style="16"/>
    <col min="15635" max="15635" width="12" style="16" customWidth="1"/>
    <col min="15636" max="15872" width="9.140625" style="16"/>
    <col min="15873" max="15873" width="5" style="16" customWidth="1"/>
    <col min="15874" max="15874" width="18.85546875" style="16" customWidth="1"/>
    <col min="15875" max="15875" width="8.85546875" style="16" customWidth="1"/>
    <col min="15876" max="15876" width="7.28515625" style="16" customWidth="1"/>
    <col min="15877" max="15877" width="8.5703125" style="16" bestFit="1" customWidth="1"/>
    <col min="15878" max="15880" width="8.42578125" style="16" customWidth="1"/>
    <col min="15881" max="15881" width="8.28515625" style="16" customWidth="1"/>
    <col min="15882" max="15882" width="9.140625" style="16"/>
    <col min="15883" max="15886" width="8.140625" style="16" customWidth="1"/>
    <col min="15887" max="15888" width="9.140625" style="16"/>
    <col min="15889" max="15889" width="7" style="16" bestFit="1" customWidth="1"/>
    <col min="15890" max="15890" width="9.140625" style="16"/>
    <col min="15891" max="15891" width="12" style="16" customWidth="1"/>
    <col min="15892" max="16128" width="9.140625" style="16"/>
    <col min="16129" max="16129" width="5" style="16" customWidth="1"/>
    <col min="16130" max="16130" width="18.85546875" style="16" customWidth="1"/>
    <col min="16131" max="16131" width="8.85546875" style="16" customWidth="1"/>
    <col min="16132" max="16132" width="7.28515625" style="16" customWidth="1"/>
    <col min="16133" max="16133" width="8.5703125" style="16" bestFit="1" customWidth="1"/>
    <col min="16134" max="16136" width="8.42578125" style="16" customWidth="1"/>
    <col min="16137" max="16137" width="8.28515625" style="16" customWidth="1"/>
    <col min="16138" max="16138" width="9.140625" style="16"/>
    <col min="16139" max="16142" width="8.140625" style="16" customWidth="1"/>
    <col min="16143" max="16144" width="9.140625" style="16"/>
    <col min="16145" max="16145" width="7" style="16" bestFit="1" customWidth="1"/>
    <col min="16146" max="16146" width="9.140625" style="16"/>
    <col min="16147" max="16147" width="12" style="16" customWidth="1"/>
    <col min="16148" max="16384" width="9.140625" style="16"/>
  </cols>
  <sheetData>
    <row r="1" spans="1:15" s="1" customFormat="1" x14ac:dyDescent="0.2">
      <c r="A1" s="867" t="s">
        <v>449</v>
      </c>
      <c r="B1" s="868"/>
      <c r="C1" s="868"/>
      <c r="D1" s="911" t="s">
        <v>1118</v>
      </c>
      <c r="E1" s="868"/>
      <c r="F1" s="868"/>
      <c r="G1" s="867" t="s">
        <v>102</v>
      </c>
      <c r="H1" s="869"/>
      <c r="I1" s="869" t="s">
        <v>923</v>
      </c>
      <c r="J1" s="868"/>
      <c r="K1" s="868"/>
      <c r="L1" s="870"/>
      <c r="M1" s="870"/>
      <c r="N1" s="870"/>
      <c r="O1" s="870"/>
    </row>
    <row r="2" spans="1:15" s="1" customFormat="1" x14ac:dyDescent="0.2">
      <c r="A2" s="867" t="s">
        <v>103</v>
      </c>
      <c r="B2" s="868"/>
      <c r="C2" s="868"/>
      <c r="D2" s="869"/>
      <c r="E2" s="868"/>
      <c r="F2" s="868"/>
      <c r="G2" s="867" t="s">
        <v>104</v>
      </c>
      <c r="H2" s="869"/>
      <c r="I2" s="869" t="s">
        <v>105</v>
      </c>
      <c r="J2" s="868"/>
      <c r="K2" s="868"/>
      <c r="L2" s="870"/>
      <c r="M2" s="870"/>
      <c r="N2" s="870"/>
      <c r="O2" s="870"/>
    </row>
    <row r="3" spans="1:15" s="1" customFormat="1" x14ac:dyDescent="0.2">
      <c r="A3" s="867" t="s">
        <v>106</v>
      </c>
      <c r="B3" s="868"/>
      <c r="C3" s="868"/>
      <c r="D3" s="881">
        <v>24235</v>
      </c>
      <c r="E3" s="882"/>
      <c r="F3" s="882"/>
      <c r="G3" s="867" t="s">
        <v>107</v>
      </c>
      <c r="H3" s="869"/>
      <c r="I3" s="869" t="s">
        <v>108</v>
      </c>
      <c r="J3" s="868"/>
      <c r="K3" s="868"/>
      <c r="L3" s="870"/>
      <c r="M3" s="870"/>
      <c r="N3" s="870"/>
      <c r="O3" s="870"/>
    </row>
    <row r="4" spans="1:15" s="1" customFormat="1" x14ac:dyDescent="0.2">
      <c r="A4" s="867" t="s">
        <v>109</v>
      </c>
      <c r="B4" s="868"/>
      <c r="C4" s="868"/>
      <c r="D4" s="883"/>
      <c r="E4" s="868"/>
      <c r="F4" s="868"/>
      <c r="G4" s="867" t="s">
        <v>110</v>
      </c>
      <c r="H4" s="869"/>
      <c r="I4" s="869" t="s">
        <v>478</v>
      </c>
      <c r="J4" s="868"/>
      <c r="K4" s="868"/>
      <c r="L4" s="870"/>
      <c r="M4" s="870"/>
      <c r="N4" s="870"/>
      <c r="O4" s="870"/>
    </row>
    <row r="5" spans="1:15" s="1" customFormat="1" x14ac:dyDescent="0.2">
      <c r="A5" s="867" t="s">
        <v>112</v>
      </c>
      <c r="B5" s="868"/>
      <c r="C5" s="868"/>
      <c r="D5" s="869"/>
      <c r="E5" s="868"/>
      <c r="F5" s="868"/>
      <c r="G5" s="867"/>
      <c r="H5" s="868"/>
      <c r="I5" s="869" t="s">
        <v>113</v>
      </c>
      <c r="J5" s="868"/>
      <c r="K5" s="868"/>
      <c r="L5" s="870"/>
      <c r="M5" s="870"/>
      <c r="N5" s="870"/>
      <c r="O5" s="870"/>
    </row>
    <row r="6" spans="1:15" s="1" customFormat="1" x14ac:dyDescent="0.2">
      <c r="A6" s="871" t="s">
        <v>114</v>
      </c>
      <c r="B6" s="872"/>
      <c r="C6" s="872"/>
      <c r="D6" s="868" t="s">
        <v>924</v>
      </c>
      <c r="E6" s="868"/>
      <c r="F6" s="868"/>
      <c r="G6" s="871" t="s">
        <v>115</v>
      </c>
      <c r="H6" s="871"/>
      <c r="I6" s="2" t="s">
        <v>116</v>
      </c>
      <c r="J6" s="888"/>
      <c r="K6" s="888"/>
      <c r="L6" s="888"/>
      <c r="M6" s="888"/>
      <c r="N6" s="888"/>
      <c r="O6" s="889"/>
    </row>
    <row r="7" spans="1:15" s="1" customFormat="1" ht="13.5" thickBot="1" x14ac:dyDescent="0.25">
      <c r="A7" s="3"/>
      <c r="B7" s="4"/>
      <c r="C7" s="5"/>
      <c r="D7" s="6"/>
      <c r="E7" s="6"/>
      <c r="F7" s="6"/>
      <c r="G7" s="6"/>
      <c r="H7" s="6"/>
      <c r="I7" s="6"/>
      <c r="J7" s="7"/>
      <c r="K7" s="8"/>
      <c r="L7" s="875" t="s">
        <v>223</v>
      </c>
      <c r="M7" s="875"/>
      <c r="N7" s="875"/>
      <c r="O7" s="875"/>
    </row>
    <row r="8" spans="1:15" s="11" customFormat="1" x14ac:dyDescent="0.2">
      <c r="A8" s="876" t="str">
        <f>I1</f>
        <v>Mr. P. S. Gawande</v>
      </c>
      <c r="B8" s="877"/>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95800</v>
      </c>
      <c r="D9" s="14">
        <v>95800</v>
      </c>
      <c r="E9" s="14">
        <v>95800</v>
      </c>
      <c r="F9" s="14">
        <v>95800</v>
      </c>
      <c r="G9" s="14">
        <v>98700</v>
      </c>
      <c r="H9" s="14">
        <v>98700</v>
      </c>
      <c r="I9" s="14">
        <v>98700</v>
      </c>
      <c r="J9" s="14">
        <v>98700</v>
      </c>
      <c r="K9" s="14">
        <v>98700</v>
      </c>
      <c r="L9" s="14">
        <v>98700</v>
      </c>
      <c r="M9" s="14">
        <v>98700</v>
      </c>
      <c r="N9" s="14">
        <v>98700</v>
      </c>
      <c r="O9" s="15">
        <f>SUM(C9:N9)</f>
        <v>1172800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4790</v>
      </c>
      <c r="D11" s="17">
        <v>6706</v>
      </c>
      <c r="E11" s="17">
        <v>6706</v>
      </c>
      <c r="F11" s="17">
        <v>6706</v>
      </c>
      <c r="G11" s="17">
        <v>6909</v>
      </c>
      <c r="H11" s="17">
        <v>6909</v>
      </c>
      <c r="I11" s="17">
        <v>6909</v>
      </c>
      <c r="J11" s="17">
        <v>8883</v>
      </c>
      <c r="K11" s="17">
        <v>8883</v>
      </c>
      <c r="L11" s="17">
        <v>8883</v>
      </c>
      <c r="M11" s="17">
        <v>8883</v>
      </c>
      <c r="N11" s="17">
        <v>8883</v>
      </c>
      <c r="O11" s="18">
        <f>SUM(C11:N11)</f>
        <v>90050</v>
      </c>
    </row>
    <row r="12" spans="1:15"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x14ac:dyDescent="0.2">
      <c r="A14" s="12"/>
      <c r="B14" s="13" t="s">
        <v>123</v>
      </c>
      <c r="C14" s="17">
        <v>7560</v>
      </c>
      <c r="D14" s="17">
        <v>7704</v>
      </c>
      <c r="E14" s="17">
        <v>7704</v>
      </c>
      <c r="F14" s="17">
        <v>7704</v>
      </c>
      <c r="G14" s="17">
        <v>7704</v>
      </c>
      <c r="H14" s="17">
        <v>7704</v>
      </c>
      <c r="I14" s="17">
        <v>7704</v>
      </c>
      <c r="J14" s="17">
        <v>7848</v>
      </c>
      <c r="K14" s="17">
        <v>7848</v>
      </c>
      <c r="L14" s="17">
        <v>7848</v>
      </c>
      <c r="M14" s="17">
        <v>7848</v>
      </c>
      <c r="N14" s="17">
        <v>7848</v>
      </c>
      <c r="O14" s="18">
        <f t="shared" si="0"/>
        <v>93024</v>
      </c>
    </row>
    <row r="15" spans="1:15"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hidden="1"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row>
    <row r="17" spans="1:15" ht="15.75" customHeight="1" x14ac:dyDescent="0.2">
      <c r="A17" s="12"/>
      <c r="B17" s="151" t="s">
        <v>246</v>
      </c>
      <c r="C17" s="17">
        <v>0</v>
      </c>
      <c r="D17" s="17">
        <v>0</v>
      </c>
      <c r="E17" s="17">
        <v>0</v>
      </c>
      <c r="F17" s="17">
        <v>0</v>
      </c>
      <c r="G17" s="17">
        <v>0</v>
      </c>
      <c r="H17" s="17">
        <v>0</v>
      </c>
      <c r="I17" s="17">
        <v>0</v>
      </c>
      <c r="J17" s="17">
        <v>0</v>
      </c>
      <c r="K17" s="17">
        <v>0</v>
      </c>
      <c r="L17" s="17">
        <v>0</v>
      </c>
      <c r="M17" s="17">
        <v>0</v>
      </c>
      <c r="N17" s="17">
        <v>0</v>
      </c>
      <c r="O17" s="18">
        <f t="shared" si="0"/>
        <v>0</v>
      </c>
    </row>
    <row r="18" spans="1:15" ht="15" customHeight="1" x14ac:dyDescent="0.2">
      <c r="A18" s="12"/>
      <c r="B18" s="13" t="s">
        <v>1119</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22992</v>
      </c>
      <c r="D19" s="17">
        <v>22992</v>
      </c>
      <c r="E19" s="17">
        <v>22992</v>
      </c>
      <c r="F19" s="17">
        <v>22992</v>
      </c>
      <c r="G19" s="17">
        <v>23688</v>
      </c>
      <c r="H19" s="17">
        <v>23688</v>
      </c>
      <c r="I19" s="17">
        <v>23688</v>
      </c>
      <c r="J19" s="17">
        <v>23688</v>
      </c>
      <c r="K19" s="17">
        <v>23688</v>
      </c>
      <c r="L19" s="17">
        <v>23688</v>
      </c>
      <c r="M19" s="17">
        <v>23688</v>
      </c>
      <c r="N19" s="17">
        <v>23688</v>
      </c>
      <c r="O19" s="18">
        <f t="shared" si="0"/>
        <v>281472</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78"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79"/>
      <c r="B22" s="19" t="s">
        <v>132</v>
      </c>
      <c r="C22" s="17">
        <v>0</v>
      </c>
      <c r="D22" s="17">
        <v>0</v>
      </c>
      <c r="E22" s="17">
        <v>0</v>
      </c>
      <c r="F22" s="17">
        <v>26250</v>
      </c>
      <c r="G22" s="17">
        <v>0</v>
      </c>
      <c r="H22" s="17">
        <v>0</v>
      </c>
      <c r="I22" s="17">
        <v>0</v>
      </c>
      <c r="J22" s="17">
        <v>0</v>
      </c>
      <c r="K22" s="17">
        <v>0</v>
      </c>
      <c r="L22" s="17">
        <v>0</v>
      </c>
      <c r="M22" s="17">
        <v>0</v>
      </c>
      <c r="N22" s="17">
        <v>0</v>
      </c>
      <c r="O22" s="18">
        <f t="shared" si="0"/>
        <v>26250</v>
      </c>
    </row>
    <row r="23" spans="1:15" ht="15" hidden="1" customHeight="1" x14ac:dyDescent="0.2">
      <c r="A23" s="879"/>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79"/>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79"/>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79"/>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79"/>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79"/>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79"/>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79"/>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79"/>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79"/>
      <c r="B32" s="21" t="s">
        <v>142</v>
      </c>
      <c r="C32" s="17">
        <v>0</v>
      </c>
      <c r="D32" s="17">
        <v>0</v>
      </c>
      <c r="E32" s="17">
        <v>0</v>
      </c>
      <c r="F32" s="17">
        <v>0</v>
      </c>
      <c r="G32" s="17">
        <v>0</v>
      </c>
      <c r="H32" s="17">
        <v>0</v>
      </c>
      <c r="I32" s="17">
        <v>0</v>
      </c>
      <c r="J32" s="17">
        <v>0</v>
      </c>
      <c r="K32" s="17">
        <v>0</v>
      </c>
      <c r="L32" s="17">
        <v>0</v>
      </c>
      <c r="M32" s="17">
        <v>0</v>
      </c>
      <c r="N32" s="17">
        <v>0</v>
      </c>
      <c r="O32" s="18">
        <f t="shared" si="0"/>
        <v>0</v>
      </c>
    </row>
    <row r="33" spans="1:16" ht="15" hidden="1" customHeight="1" x14ac:dyDescent="0.2">
      <c r="A33" s="880"/>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865" t="s">
        <v>144</v>
      </c>
      <c r="B34" s="866"/>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865" t="s">
        <v>145</v>
      </c>
      <c r="B35" s="866"/>
      <c r="C35" s="17">
        <v>0</v>
      </c>
      <c r="D35" s="17">
        <v>432</v>
      </c>
      <c r="E35" s="17">
        <v>0</v>
      </c>
      <c r="F35" s="17">
        <v>0</v>
      </c>
      <c r="G35" s="17">
        <v>0</v>
      </c>
      <c r="H35" s="17">
        <v>0</v>
      </c>
      <c r="I35" s="17">
        <v>0</v>
      </c>
      <c r="J35" s="17">
        <v>432</v>
      </c>
      <c r="K35" s="17">
        <v>0</v>
      </c>
      <c r="L35" s="17">
        <v>0</v>
      </c>
      <c r="M35" s="17">
        <v>0</v>
      </c>
      <c r="N35" s="17">
        <v>0</v>
      </c>
      <c r="O35" s="18">
        <f t="shared" si="0"/>
        <v>864</v>
      </c>
    </row>
    <row r="36" spans="1:16" ht="15" customHeight="1" x14ac:dyDescent="0.2">
      <c r="A36" s="865" t="s">
        <v>146</v>
      </c>
      <c r="B36" s="866"/>
      <c r="C36" s="17">
        <v>0</v>
      </c>
      <c r="D36" s="17">
        <v>5748</v>
      </c>
      <c r="E36" s="17">
        <v>0</v>
      </c>
      <c r="F36" s="17">
        <v>0</v>
      </c>
      <c r="G36" s="17">
        <v>0</v>
      </c>
      <c r="H36" s="17">
        <v>0</v>
      </c>
      <c r="I36" s="17">
        <v>0</v>
      </c>
      <c r="J36" s="17">
        <v>5922</v>
      </c>
      <c r="K36" s="17">
        <v>0</v>
      </c>
      <c r="L36" s="17">
        <v>0</v>
      </c>
      <c r="M36" s="17">
        <v>0</v>
      </c>
      <c r="N36" s="17">
        <v>0</v>
      </c>
      <c r="O36" s="18">
        <f t="shared" si="0"/>
        <v>11670</v>
      </c>
    </row>
    <row r="37" spans="1:16" ht="15" customHeight="1" x14ac:dyDescent="0.2">
      <c r="A37" s="22"/>
      <c r="B37" s="23" t="s">
        <v>147</v>
      </c>
      <c r="C37" s="24">
        <f t="shared" ref="C37:N37" si="1">SUM(C9:C36)</f>
        <v>131142</v>
      </c>
      <c r="D37" s="24">
        <f t="shared" si="1"/>
        <v>139382</v>
      </c>
      <c r="E37" s="24">
        <f t="shared" si="1"/>
        <v>133202</v>
      </c>
      <c r="F37" s="24">
        <f t="shared" si="1"/>
        <v>159452</v>
      </c>
      <c r="G37" s="24">
        <f t="shared" si="1"/>
        <v>137001</v>
      </c>
      <c r="H37" s="24">
        <f t="shared" si="1"/>
        <v>137001</v>
      </c>
      <c r="I37" s="24">
        <f t="shared" si="1"/>
        <v>137001</v>
      </c>
      <c r="J37" s="24">
        <f t="shared" si="1"/>
        <v>145473</v>
      </c>
      <c r="K37" s="24">
        <f t="shared" si="1"/>
        <v>139119</v>
      </c>
      <c r="L37" s="24">
        <f t="shared" si="1"/>
        <v>139119</v>
      </c>
      <c r="M37" s="24">
        <f t="shared" si="1"/>
        <v>139119</v>
      </c>
      <c r="N37" s="24">
        <f t="shared" si="1"/>
        <v>139119</v>
      </c>
      <c r="O37" s="25">
        <f>SUM(C37:N37)</f>
        <v>1676130</v>
      </c>
    </row>
    <row r="38" spans="1:16" ht="15" customHeight="1" x14ac:dyDescent="0.25">
      <c r="A38" s="853" t="s">
        <v>148</v>
      </c>
      <c r="B38" s="27" t="s">
        <v>149</v>
      </c>
      <c r="C38" s="28">
        <v>18800</v>
      </c>
      <c r="D38" s="28">
        <v>19000</v>
      </c>
      <c r="E38" s="28">
        <v>19000</v>
      </c>
      <c r="F38" s="28">
        <v>19000</v>
      </c>
      <c r="G38" s="28">
        <v>19000</v>
      </c>
      <c r="H38" s="28">
        <v>19000</v>
      </c>
      <c r="I38" s="28">
        <v>19000</v>
      </c>
      <c r="J38" s="28">
        <v>19000</v>
      </c>
      <c r="K38" s="28">
        <v>24000</v>
      </c>
      <c r="L38" s="28">
        <v>23660</v>
      </c>
      <c r="M38" s="28">
        <v>23660</v>
      </c>
      <c r="N38">
        <v>26060</v>
      </c>
      <c r="O38" s="18">
        <f>SUM(C38:N38)</f>
        <v>249180</v>
      </c>
      <c r="P38" s="29"/>
    </row>
    <row r="39" spans="1:16" ht="15" x14ac:dyDescent="0.2">
      <c r="A39" s="854"/>
      <c r="B39" s="27" t="s">
        <v>150</v>
      </c>
      <c r="C39" s="28">
        <v>0</v>
      </c>
      <c r="D39" s="28">
        <v>0</v>
      </c>
      <c r="E39" s="28">
        <v>0</v>
      </c>
      <c r="F39" s="28">
        <v>0</v>
      </c>
      <c r="G39" s="28">
        <v>0</v>
      </c>
      <c r="H39" s="28">
        <v>0</v>
      </c>
      <c r="I39" s="28">
        <v>0</v>
      </c>
      <c r="J39" s="28">
        <v>0</v>
      </c>
      <c r="K39" s="28">
        <v>0</v>
      </c>
      <c r="L39" s="28">
        <v>0</v>
      </c>
      <c r="M39" s="28">
        <v>0</v>
      </c>
      <c r="N39" s="28">
        <v>0</v>
      </c>
      <c r="O39" s="18">
        <f>SUM(C39:N39)</f>
        <v>0</v>
      </c>
    </row>
    <row r="40" spans="1:16" ht="15" x14ac:dyDescent="0.2">
      <c r="A40" s="854"/>
      <c r="B40" s="27" t="s">
        <v>151</v>
      </c>
      <c r="C40" s="28">
        <v>60</v>
      </c>
      <c r="D40" s="28">
        <v>60</v>
      </c>
      <c r="E40" s="28">
        <v>60</v>
      </c>
      <c r="F40" s="28">
        <v>60</v>
      </c>
      <c r="G40" s="28">
        <v>60</v>
      </c>
      <c r="H40" s="28">
        <v>60</v>
      </c>
      <c r="I40" s="28">
        <v>60</v>
      </c>
      <c r="J40" s="28">
        <v>60</v>
      </c>
      <c r="K40" s="28">
        <v>60</v>
      </c>
      <c r="L40" s="28">
        <v>60</v>
      </c>
      <c r="M40" s="28">
        <v>60</v>
      </c>
      <c r="N40" s="28">
        <v>60</v>
      </c>
      <c r="O40" s="18">
        <f t="shared" ref="O40:O50" si="2">SUM(C40:N40)</f>
        <v>720</v>
      </c>
    </row>
    <row r="41" spans="1:16" ht="15" x14ac:dyDescent="0.2">
      <c r="A41" s="854"/>
      <c r="B41" s="27" t="s">
        <v>152</v>
      </c>
      <c r="C41" s="28">
        <v>0</v>
      </c>
      <c r="D41" s="28">
        <v>0</v>
      </c>
      <c r="E41" s="28">
        <v>0</v>
      </c>
      <c r="F41" s="28">
        <v>0</v>
      </c>
      <c r="G41" s="28">
        <v>0</v>
      </c>
      <c r="H41" s="28">
        <v>0</v>
      </c>
      <c r="I41" s="28">
        <v>0</v>
      </c>
      <c r="J41" s="28">
        <v>0</v>
      </c>
      <c r="K41" s="28">
        <v>0</v>
      </c>
      <c r="L41" s="28">
        <v>0</v>
      </c>
      <c r="M41" s="28">
        <v>0</v>
      </c>
      <c r="N41" s="28">
        <v>0</v>
      </c>
      <c r="O41" s="18">
        <f t="shared" si="2"/>
        <v>0</v>
      </c>
    </row>
    <row r="42" spans="1:16" ht="15" x14ac:dyDescent="0.2">
      <c r="A42" s="854"/>
      <c r="B42" s="27" t="s">
        <v>153</v>
      </c>
      <c r="C42" s="28">
        <v>0</v>
      </c>
      <c r="D42" s="28">
        <v>0</v>
      </c>
      <c r="E42" s="28">
        <v>0</v>
      </c>
      <c r="F42" s="28">
        <v>0</v>
      </c>
      <c r="G42" s="28">
        <v>0</v>
      </c>
      <c r="H42" s="28">
        <v>0</v>
      </c>
      <c r="I42" s="28">
        <v>0</v>
      </c>
      <c r="J42" s="28">
        <v>0</v>
      </c>
      <c r="K42" s="28">
        <v>0</v>
      </c>
      <c r="L42" s="28">
        <v>0</v>
      </c>
      <c r="M42" s="28">
        <v>0</v>
      </c>
      <c r="N42" s="28">
        <v>0</v>
      </c>
      <c r="O42" s="18">
        <f t="shared" si="2"/>
        <v>0</v>
      </c>
    </row>
    <row r="43" spans="1:16" ht="15" x14ac:dyDescent="0.2">
      <c r="A43" s="854"/>
      <c r="B43" s="27" t="s">
        <v>154</v>
      </c>
      <c r="C43" s="28">
        <v>15000</v>
      </c>
      <c r="D43" s="28">
        <v>15000</v>
      </c>
      <c r="E43" s="28">
        <v>15000</v>
      </c>
      <c r="F43" s="28">
        <v>15000</v>
      </c>
      <c r="G43" s="28">
        <v>15000</v>
      </c>
      <c r="H43" s="28">
        <v>15000</v>
      </c>
      <c r="I43" s="28">
        <v>15000</v>
      </c>
      <c r="J43" s="28">
        <v>15000</v>
      </c>
      <c r="K43" s="28">
        <v>15000</v>
      </c>
      <c r="L43" s="28">
        <v>15000</v>
      </c>
      <c r="M43" s="28">
        <v>15000</v>
      </c>
      <c r="N43" s="28">
        <v>15000</v>
      </c>
      <c r="O43" s="18">
        <f t="shared" si="2"/>
        <v>180000</v>
      </c>
    </row>
    <row r="44" spans="1:16" ht="15" x14ac:dyDescent="0.2">
      <c r="A44" s="854"/>
      <c r="B44" s="27" t="s">
        <v>155</v>
      </c>
      <c r="C44" s="28">
        <v>200</v>
      </c>
      <c r="D44" s="28">
        <v>200</v>
      </c>
      <c r="E44" s="28">
        <v>200</v>
      </c>
      <c r="F44" s="28">
        <v>200</v>
      </c>
      <c r="G44" s="28">
        <v>200</v>
      </c>
      <c r="H44" s="28">
        <v>200</v>
      </c>
      <c r="I44" s="28">
        <v>200</v>
      </c>
      <c r="J44" s="28">
        <v>200</v>
      </c>
      <c r="K44" s="28">
        <v>200</v>
      </c>
      <c r="L44" s="28">
        <v>200</v>
      </c>
      <c r="M44" s="28">
        <v>200</v>
      </c>
      <c r="N44" s="28">
        <v>300</v>
      </c>
      <c r="O44" s="18">
        <f t="shared" si="2"/>
        <v>2500</v>
      </c>
    </row>
    <row r="45" spans="1:16" ht="15" x14ac:dyDescent="0.2">
      <c r="A45" s="854"/>
      <c r="B45" s="27" t="s">
        <v>156</v>
      </c>
      <c r="C45" s="28">
        <v>0</v>
      </c>
      <c r="D45" s="28">
        <v>0</v>
      </c>
      <c r="E45" s="28">
        <v>0</v>
      </c>
      <c r="F45" s="28">
        <v>0</v>
      </c>
      <c r="G45" s="28">
        <v>0</v>
      </c>
      <c r="H45" s="28">
        <v>0</v>
      </c>
      <c r="I45" s="28">
        <v>0</v>
      </c>
      <c r="J45" s="28">
        <v>0</v>
      </c>
      <c r="K45" s="28">
        <v>0</v>
      </c>
      <c r="L45" s="28">
        <v>0</v>
      </c>
      <c r="M45" s="28">
        <v>0</v>
      </c>
      <c r="N45" s="28">
        <v>0</v>
      </c>
      <c r="O45" s="18">
        <f t="shared" si="2"/>
        <v>0</v>
      </c>
    </row>
    <row r="46" spans="1:16" ht="15" x14ac:dyDescent="0.2">
      <c r="A46" s="854"/>
      <c r="B46" s="27" t="s">
        <v>1120</v>
      </c>
      <c r="C46" s="28">
        <v>0</v>
      </c>
      <c r="D46" s="28">
        <v>0</v>
      </c>
      <c r="E46" s="28">
        <v>0</v>
      </c>
      <c r="F46" s="28">
        <v>0</v>
      </c>
      <c r="G46" s="28">
        <v>0</v>
      </c>
      <c r="H46" s="28">
        <v>0</v>
      </c>
      <c r="I46" s="28">
        <v>0</v>
      </c>
      <c r="J46" s="28">
        <v>0</v>
      </c>
      <c r="K46" s="28">
        <v>0</v>
      </c>
      <c r="L46" s="28">
        <v>0</v>
      </c>
      <c r="M46" s="28">
        <v>0</v>
      </c>
      <c r="N46" s="28">
        <v>0</v>
      </c>
      <c r="O46" s="18">
        <f t="shared" si="2"/>
        <v>0</v>
      </c>
    </row>
    <row r="47" spans="1:16" ht="28.5" customHeight="1" x14ac:dyDescent="0.2">
      <c r="A47" s="855"/>
      <c r="B47" s="30" t="s">
        <v>158</v>
      </c>
      <c r="C47" s="28">
        <v>0</v>
      </c>
      <c r="D47" s="28">
        <v>0</v>
      </c>
      <c r="E47" s="28">
        <v>0</v>
      </c>
      <c r="F47" s="28">
        <v>0</v>
      </c>
      <c r="G47" s="28">
        <v>0</v>
      </c>
      <c r="H47" s="28">
        <v>0</v>
      </c>
      <c r="I47" s="28">
        <v>0</v>
      </c>
      <c r="J47" s="28">
        <v>0</v>
      </c>
      <c r="K47" s="28">
        <v>0</v>
      </c>
      <c r="L47" s="28">
        <v>0</v>
      </c>
      <c r="M47" s="28">
        <v>0</v>
      </c>
      <c r="N47" s="28">
        <v>0</v>
      </c>
      <c r="O47" s="31">
        <f t="shared" si="2"/>
        <v>0</v>
      </c>
    </row>
    <row r="48" spans="1:16" ht="15" x14ac:dyDescent="0.2">
      <c r="A48" s="856"/>
      <c r="B48" s="127" t="s">
        <v>479</v>
      </c>
      <c r="C48" s="28">
        <v>0</v>
      </c>
      <c r="D48" s="28">
        <v>0</v>
      </c>
      <c r="E48" s="28">
        <v>0</v>
      </c>
      <c r="F48" s="28">
        <v>0</v>
      </c>
      <c r="G48" s="28">
        <v>0</v>
      </c>
      <c r="H48" s="28">
        <v>0</v>
      </c>
      <c r="I48" s="28">
        <v>0</v>
      </c>
      <c r="J48" s="28">
        <v>0</v>
      </c>
      <c r="K48" s="28">
        <v>0</v>
      </c>
      <c r="L48" s="28">
        <v>0</v>
      </c>
      <c r="M48" s="28">
        <v>0</v>
      </c>
      <c r="N48" s="28">
        <v>0</v>
      </c>
      <c r="O48" s="31">
        <f t="shared" si="2"/>
        <v>0</v>
      </c>
    </row>
    <row r="49" spans="1:17" ht="15" x14ac:dyDescent="0.2">
      <c r="A49" s="857" t="s">
        <v>160</v>
      </c>
      <c r="B49" s="858"/>
      <c r="C49" s="33">
        <f t="shared" ref="C49:N49" si="3">SUM(C38:C48)</f>
        <v>34060</v>
      </c>
      <c r="D49" s="33">
        <f t="shared" si="3"/>
        <v>34260</v>
      </c>
      <c r="E49" s="33">
        <f t="shared" si="3"/>
        <v>34260</v>
      </c>
      <c r="F49" s="33">
        <f t="shared" si="3"/>
        <v>34260</v>
      </c>
      <c r="G49" s="33">
        <f t="shared" si="3"/>
        <v>34260</v>
      </c>
      <c r="H49" s="33">
        <f t="shared" si="3"/>
        <v>34260</v>
      </c>
      <c r="I49" s="33">
        <f t="shared" si="3"/>
        <v>34260</v>
      </c>
      <c r="J49" s="33">
        <f t="shared" si="3"/>
        <v>34260</v>
      </c>
      <c r="K49" s="33">
        <f t="shared" si="3"/>
        <v>39260</v>
      </c>
      <c r="L49" s="33">
        <f t="shared" si="3"/>
        <v>38920</v>
      </c>
      <c r="M49" s="33">
        <f t="shared" si="3"/>
        <v>38920</v>
      </c>
      <c r="N49" s="33">
        <f t="shared" si="3"/>
        <v>41420</v>
      </c>
      <c r="O49" s="34">
        <f t="shared" si="2"/>
        <v>432400</v>
      </c>
    </row>
    <row r="50" spans="1:17" ht="15.75" thickBot="1" x14ac:dyDescent="0.25">
      <c r="A50" s="859" t="s">
        <v>161</v>
      </c>
      <c r="B50" s="860"/>
      <c r="C50" s="35">
        <f t="shared" ref="C50:N50" si="4">C37-C49</f>
        <v>97082</v>
      </c>
      <c r="D50" s="35">
        <f t="shared" si="4"/>
        <v>105122</v>
      </c>
      <c r="E50" s="35">
        <f t="shared" si="4"/>
        <v>98942</v>
      </c>
      <c r="F50" s="35">
        <f t="shared" si="4"/>
        <v>125192</v>
      </c>
      <c r="G50" s="35">
        <f t="shared" si="4"/>
        <v>102741</v>
      </c>
      <c r="H50" s="35">
        <f t="shared" si="4"/>
        <v>102741</v>
      </c>
      <c r="I50" s="35">
        <f t="shared" si="4"/>
        <v>102741</v>
      </c>
      <c r="J50" s="35">
        <f t="shared" si="4"/>
        <v>111213</v>
      </c>
      <c r="K50" s="35">
        <f t="shared" si="4"/>
        <v>99859</v>
      </c>
      <c r="L50" s="35">
        <f t="shared" si="4"/>
        <v>100199</v>
      </c>
      <c r="M50" s="35">
        <f t="shared" si="4"/>
        <v>100199</v>
      </c>
      <c r="N50" s="35">
        <f t="shared" si="4"/>
        <v>97699</v>
      </c>
      <c r="O50" s="36">
        <f t="shared" si="2"/>
        <v>1243730</v>
      </c>
      <c r="Q50" s="16">
        <f>57282+49582+10828+52179+52299+54336+54636*2+10443+56917*4+56721</f>
        <v>680610</v>
      </c>
    </row>
    <row r="51" spans="1:17" x14ac:dyDescent="0.2">
      <c r="J51" s="300">
        <f>+J37-SUM(J22:J36)</f>
        <v>139119</v>
      </c>
      <c r="Q51" s="38"/>
    </row>
    <row r="52" spans="1:17" ht="13.5" thickBot="1" x14ac:dyDescent="0.25">
      <c r="J52" s="38">
        <f>+J51-J49</f>
        <v>104859</v>
      </c>
    </row>
    <row r="53" spans="1:17" ht="13.5" thickBot="1" x14ac:dyDescent="0.25">
      <c r="B53" s="789" t="s">
        <v>162</v>
      </c>
      <c r="C53" s="861"/>
      <c r="D53" s="861"/>
      <c r="E53" s="861"/>
      <c r="F53" s="862"/>
      <c r="G53" s="863">
        <f>O37</f>
        <v>1676130</v>
      </c>
      <c r="H53" s="864"/>
    </row>
    <row r="54" spans="1:17" ht="13.5" thickBot="1" x14ac:dyDescent="0.25"/>
    <row r="55" spans="1:17" x14ac:dyDescent="0.2">
      <c r="B55" s="830" t="s">
        <v>163</v>
      </c>
      <c r="C55" s="833" t="s">
        <v>164</v>
      </c>
      <c r="D55" s="836" t="s">
        <v>229</v>
      </c>
      <c r="E55" s="837"/>
      <c r="F55" s="838"/>
      <c r="G55" s="839">
        <v>40000</v>
      </c>
      <c r="H55" s="840"/>
    </row>
    <row r="56" spans="1:17" x14ac:dyDescent="0.2">
      <c r="B56" s="831"/>
      <c r="C56" s="834"/>
      <c r="D56" s="841" t="s">
        <v>166</v>
      </c>
      <c r="E56" s="842"/>
      <c r="F56" s="843"/>
      <c r="G56" s="844">
        <f>O44</f>
        <v>2500</v>
      </c>
      <c r="H56" s="845"/>
      <c r="I56" s="39"/>
      <c r="J56" s="846"/>
      <c r="K56" s="846"/>
      <c r="L56" s="846"/>
      <c r="M56" s="847"/>
      <c r="N56" s="847"/>
      <c r="O56" s="847"/>
    </row>
    <row r="57" spans="1:17" ht="13.5" thickBot="1" x14ac:dyDescent="0.25">
      <c r="B57" s="832"/>
      <c r="C57" s="835"/>
      <c r="D57" s="848" t="s">
        <v>243</v>
      </c>
      <c r="E57" s="849"/>
      <c r="F57" s="850"/>
      <c r="G57" s="851">
        <f>IF(O18&gt;15000,15000,+O18)</f>
        <v>0</v>
      </c>
      <c r="H57" s="852"/>
      <c r="J57" s="47"/>
      <c r="K57" s="47"/>
      <c r="L57" s="47"/>
      <c r="M57" s="47"/>
      <c r="N57" s="47"/>
      <c r="O57" s="47"/>
    </row>
    <row r="58" spans="1:17" ht="13.5" thickBot="1" x14ac:dyDescent="0.25">
      <c r="B58" s="48"/>
      <c r="J58" s="47"/>
      <c r="K58" s="47"/>
      <c r="L58" s="47"/>
      <c r="M58" s="47"/>
      <c r="N58" s="47"/>
      <c r="O58" s="47"/>
    </row>
    <row r="59" spans="1:17" ht="13.5" thickBot="1" x14ac:dyDescent="0.25">
      <c r="B59" s="789" t="s">
        <v>168</v>
      </c>
      <c r="C59" s="790"/>
      <c r="D59" s="790"/>
      <c r="E59" s="790"/>
      <c r="F59" s="791"/>
      <c r="G59" s="825">
        <f>+G53-SUM(G55:H57)</f>
        <v>1633630</v>
      </c>
      <c r="H59" s="826"/>
      <c r="J59" s="827" t="s">
        <v>169</v>
      </c>
      <c r="K59" s="828"/>
      <c r="L59" s="828"/>
      <c r="M59" s="828"/>
      <c r="N59" s="828"/>
      <c r="O59" s="829"/>
    </row>
    <row r="60" spans="1:17" ht="13.5" thickBot="1" x14ac:dyDescent="0.25">
      <c r="B60" s="49"/>
      <c r="C60" s="50"/>
      <c r="D60" s="50"/>
      <c r="E60" s="50"/>
      <c r="F60" s="50"/>
      <c r="G60" s="45"/>
      <c r="H60" s="50"/>
      <c r="J60" s="129"/>
      <c r="K60" s="130"/>
      <c r="L60" s="130"/>
      <c r="M60" s="130"/>
      <c r="N60" s="130"/>
      <c r="O60" s="131"/>
    </row>
    <row r="61" spans="1:17" ht="13.5" thickBot="1" x14ac:dyDescent="0.25">
      <c r="B61" s="789" t="s">
        <v>170</v>
      </c>
      <c r="C61" s="790"/>
      <c r="D61" s="790"/>
      <c r="E61" s="790"/>
      <c r="F61" s="791"/>
      <c r="G61" s="805"/>
      <c r="H61" s="791"/>
      <c r="J61" s="129"/>
      <c r="K61" s="130"/>
      <c r="L61" s="130"/>
      <c r="M61" s="130"/>
      <c r="N61" s="130"/>
      <c r="O61" s="131"/>
    </row>
    <row r="62" spans="1:17" ht="12.75" customHeight="1" x14ac:dyDescent="0.2">
      <c r="B62" s="57" t="s">
        <v>171</v>
      </c>
      <c r="C62" s="806" t="s">
        <v>172</v>
      </c>
      <c r="D62" s="807"/>
      <c r="E62" s="807"/>
      <c r="F62" s="808"/>
      <c r="G62" s="809">
        <v>60000</v>
      </c>
      <c r="H62" s="809"/>
      <c r="I62" s="58"/>
      <c r="J62" s="810" t="s">
        <v>173</v>
      </c>
      <c r="K62" s="811"/>
      <c r="L62" s="811"/>
      <c r="M62" s="811"/>
      <c r="N62" s="811"/>
      <c r="O62" s="812"/>
      <c r="P62" s="59"/>
    </row>
    <row r="63" spans="1:17" ht="13.5" thickBot="1" x14ac:dyDescent="0.25">
      <c r="D63" s="37"/>
      <c r="I63" s="58"/>
      <c r="J63" s="60" t="s">
        <v>1121</v>
      </c>
      <c r="K63" s="132"/>
      <c r="L63" s="132"/>
      <c r="M63" s="133"/>
      <c r="N63" s="133"/>
      <c r="O63" s="134"/>
      <c r="P63" s="59"/>
    </row>
    <row r="64" spans="1:17" ht="13.5" thickBot="1" x14ac:dyDescent="0.25">
      <c r="B64" s="789" t="s">
        <v>175</v>
      </c>
      <c r="C64" s="790"/>
      <c r="D64" s="790"/>
      <c r="E64" s="790"/>
      <c r="F64" s="791"/>
      <c r="G64" s="805">
        <f>+G59-G62</f>
        <v>1573630</v>
      </c>
      <c r="H64" s="791"/>
      <c r="I64" s="63"/>
      <c r="J64" s="64"/>
      <c r="K64" s="39"/>
      <c r="L64" s="39"/>
      <c r="M64" s="39"/>
      <c r="N64" s="39"/>
      <c r="O64" s="65"/>
      <c r="P64" s="59"/>
    </row>
    <row r="65" spans="2:19" ht="12.75" customHeight="1" x14ac:dyDescent="0.2">
      <c r="B65" s="48"/>
      <c r="C65" s="48"/>
      <c r="I65" s="63"/>
      <c r="J65" s="64"/>
      <c r="K65" s="39"/>
      <c r="L65" s="39"/>
      <c r="M65" s="39"/>
      <c r="N65" s="39"/>
      <c r="O65" s="65"/>
      <c r="P65" s="59"/>
    </row>
    <row r="66" spans="2:19" x14ac:dyDescent="0.2">
      <c r="B66" s="66" t="s">
        <v>176</v>
      </c>
      <c r="C66" s="48"/>
      <c r="I66" s="63"/>
      <c r="J66" s="67"/>
      <c r="K66" s="68"/>
      <c r="L66" s="68"/>
      <c r="M66" s="68"/>
      <c r="N66" s="68"/>
      <c r="O66" s="69"/>
      <c r="P66" s="59"/>
    </row>
    <row r="67" spans="2:19" ht="26.25" customHeight="1" thickBot="1" x14ac:dyDescent="0.25">
      <c r="B67" s="66"/>
      <c r="C67" s="48"/>
      <c r="G67" s="70" t="s">
        <v>177</v>
      </c>
      <c r="H67" s="70" t="s">
        <v>178</v>
      </c>
      <c r="I67" s="63"/>
      <c r="J67" s="810" t="s">
        <v>179</v>
      </c>
      <c r="K67" s="811"/>
      <c r="L67" s="71"/>
      <c r="M67" s="71"/>
      <c r="N67" s="71"/>
      <c r="O67" s="72"/>
      <c r="P67" s="59"/>
    </row>
    <row r="68" spans="2:19" ht="12.75" customHeight="1" x14ac:dyDescent="0.2">
      <c r="B68" s="802" t="s">
        <v>180</v>
      </c>
      <c r="C68" s="821" t="s">
        <v>181</v>
      </c>
      <c r="D68" s="823" t="s">
        <v>182</v>
      </c>
      <c r="E68" s="824"/>
      <c r="F68" s="824"/>
      <c r="G68" s="73">
        <f>+O43</f>
        <v>180000</v>
      </c>
      <c r="H68" s="74">
        <f t="shared" ref="H68:H76" si="5">+G68</f>
        <v>180000</v>
      </c>
      <c r="I68" s="63"/>
      <c r="J68" s="75"/>
      <c r="K68" s="58"/>
      <c r="L68" s="58"/>
      <c r="M68" s="58"/>
      <c r="N68" s="58"/>
      <c r="O68" s="76"/>
      <c r="P68" s="59"/>
    </row>
    <row r="69" spans="2:19" ht="12.75" customHeight="1" x14ac:dyDescent="0.2">
      <c r="B69" s="803"/>
      <c r="C69" s="822"/>
      <c r="D69" s="782" t="s">
        <v>184</v>
      </c>
      <c r="E69" s="783"/>
      <c r="F69" s="783"/>
      <c r="G69" s="77">
        <f>O69</f>
        <v>0</v>
      </c>
      <c r="H69" s="78">
        <f t="shared" si="5"/>
        <v>0</v>
      </c>
      <c r="I69" s="63"/>
      <c r="J69" s="393"/>
      <c r="K69" s="1067"/>
      <c r="L69" s="1067"/>
      <c r="M69" s="68"/>
      <c r="N69" s="68"/>
      <c r="O69" s="69"/>
      <c r="P69" s="59"/>
      <c r="S69" s="16">
        <v>6610.66</v>
      </c>
    </row>
    <row r="70" spans="2:19" ht="12.75" customHeight="1" x14ac:dyDescent="0.2">
      <c r="B70" s="803"/>
      <c r="C70" s="822"/>
      <c r="D70" s="819" t="s">
        <v>185</v>
      </c>
      <c r="E70" s="820"/>
      <c r="F70" s="820"/>
      <c r="G70" s="80">
        <f>O40</f>
        <v>720</v>
      </c>
      <c r="H70" s="78">
        <f t="shared" si="5"/>
        <v>720</v>
      </c>
      <c r="I70" s="63"/>
      <c r="J70" s="67"/>
      <c r="K70" s="68"/>
      <c r="L70" s="68"/>
      <c r="M70" s="68"/>
      <c r="N70" s="68"/>
      <c r="O70" s="69"/>
      <c r="S70" s="16">
        <v>6473.89</v>
      </c>
    </row>
    <row r="71" spans="2:19" x14ac:dyDescent="0.2">
      <c r="B71" s="803"/>
      <c r="C71" s="822"/>
      <c r="D71" s="782" t="s">
        <v>1122</v>
      </c>
      <c r="E71" s="783"/>
      <c r="F71" s="783"/>
      <c r="G71" s="81">
        <v>0</v>
      </c>
      <c r="H71" s="78">
        <f t="shared" si="5"/>
        <v>0</v>
      </c>
      <c r="I71" s="63"/>
      <c r="J71" s="82" t="s">
        <v>187</v>
      </c>
      <c r="K71" s="71"/>
      <c r="L71" s="71"/>
      <c r="M71" s="71"/>
      <c r="N71" s="71"/>
      <c r="O71" s="72"/>
      <c r="S71" s="16">
        <v>6335.98</v>
      </c>
    </row>
    <row r="72" spans="2:19" ht="12.75" customHeight="1" x14ac:dyDescent="0.2">
      <c r="B72" s="803"/>
      <c r="C72" s="822"/>
      <c r="D72" s="784" t="s">
        <v>188</v>
      </c>
      <c r="E72" s="783"/>
      <c r="F72" s="783"/>
      <c r="G72" s="80">
        <v>0</v>
      </c>
      <c r="H72" s="78">
        <f t="shared" si="5"/>
        <v>0</v>
      </c>
      <c r="I72" s="63"/>
      <c r="J72" s="75" t="s">
        <v>189</v>
      </c>
      <c r="K72" s="50"/>
      <c r="L72" s="50"/>
      <c r="M72" s="50"/>
      <c r="N72" s="50"/>
      <c r="O72" s="83">
        <f>O42</f>
        <v>0</v>
      </c>
      <c r="S72" s="16">
        <v>6196.9</v>
      </c>
    </row>
    <row r="73" spans="2:19" ht="14.25" customHeight="1" x14ac:dyDescent="0.2">
      <c r="B73" s="803"/>
      <c r="C73" s="822"/>
      <c r="D73" s="782" t="s">
        <v>190</v>
      </c>
      <c r="E73" s="783"/>
      <c r="F73" s="783"/>
      <c r="G73" s="84">
        <v>0</v>
      </c>
      <c r="H73" s="78">
        <f t="shared" si="5"/>
        <v>0</v>
      </c>
      <c r="I73" s="63"/>
      <c r="J73" s="64"/>
      <c r="K73" s="39"/>
      <c r="L73" s="39"/>
      <c r="M73" s="39"/>
      <c r="N73" s="39"/>
      <c r="O73" s="65"/>
      <c r="S73" s="16">
        <f>SUM(S69:S72)</f>
        <v>25617.43</v>
      </c>
    </row>
    <row r="74" spans="2:19" x14ac:dyDescent="0.2">
      <c r="B74" s="803"/>
      <c r="C74" s="822"/>
      <c r="D74" s="782" t="s">
        <v>191</v>
      </c>
      <c r="E74" s="783"/>
      <c r="F74" s="783"/>
      <c r="G74" s="81">
        <v>0</v>
      </c>
      <c r="H74" s="78">
        <f t="shared" si="5"/>
        <v>0</v>
      </c>
      <c r="I74" s="58"/>
      <c r="J74" s="150"/>
      <c r="K74" s="50"/>
      <c r="L74" s="50"/>
      <c r="M74" s="50"/>
      <c r="N74" s="50"/>
      <c r="O74" s="83"/>
      <c r="S74" s="16" t="s">
        <v>1123</v>
      </c>
    </row>
    <row r="75" spans="2:19" x14ac:dyDescent="0.2">
      <c r="B75" s="803"/>
      <c r="C75" s="88" t="s">
        <v>192</v>
      </c>
      <c r="D75" s="813" t="s">
        <v>193</v>
      </c>
      <c r="E75" s="814"/>
      <c r="F75" s="814"/>
      <c r="G75" s="80">
        <v>0</v>
      </c>
      <c r="H75" s="78">
        <f t="shared" si="5"/>
        <v>0</v>
      </c>
      <c r="I75" s="58"/>
      <c r="J75" s="79"/>
      <c r="K75" s="39"/>
      <c r="L75" s="39"/>
      <c r="M75" s="39"/>
      <c r="N75" s="39"/>
      <c r="O75" s="65"/>
    </row>
    <row r="76" spans="2:19" ht="13.5" customHeight="1" thickBot="1" x14ac:dyDescent="0.25">
      <c r="B76" s="803"/>
      <c r="C76" s="88" t="s">
        <v>194</v>
      </c>
      <c r="D76" s="815" t="s">
        <v>195</v>
      </c>
      <c r="E76" s="815"/>
      <c r="F76" s="815"/>
      <c r="G76" s="89">
        <v>0</v>
      </c>
      <c r="H76" s="90">
        <f t="shared" si="5"/>
        <v>0</v>
      </c>
      <c r="I76" s="63"/>
      <c r="J76" s="67"/>
      <c r="K76" s="68"/>
      <c r="L76" s="68"/>
      <c r="M76" s="91"/>
      <c r="N76" s="91"/>
      <c r="O76" s="92"/>
    </row>
    <row r="77" spans="2:19" ht="13.5" thickBot="1" x14ac:dyDescent="0.25">
      <c r="B77" s="803"/>
      <c r="C77" s="93"/>
      <c r="D77" s="94"/>
      <c r="E77" s="816" t="s">
        <v>117</v>
      </c>
      <c r="F77" s="817"/>
      <c r="G77" s="95">
        <f>SUM(G68:G76)</f>
        <v>180720</v>
      </c>
      <c r="H77" s="96">
        <f>IF(SUM(G68:G74)&lt;150000,SUM(G68:G74),150000)+IF(+G75&lt;20000,+G75,20000)</f>
        <v>150000</v>
      </c>
      <c r="I77" s="63"/>
      <c r="J77" s="140"/>
      <c r="K77" s="141"/>
      <c r="L77" s="141"/>
      <c r="M77" s="142"/>
      <c r="N77" s="142"/>
      <c r="O77" s="143"/>
    </row>
    <row r="78" spans="2:19" ht="12.75" customHeight="1" x14ac:dyDescent="0.2">
      <c r="B78" s="803"/>
      <c r="C78" s="100" t="s">
        <v>196</v>
      </c>
      <c r="D78" s="782" t="s">
        <v>187</v>
      </c>
      <c r="E78" s="783"/>
      <c r="F78" s="818"/>
      <c r="G78" s="73">
        <f>+O42</f>
        <v>0</v>
      </c>
      <c r="H78" s="101">
        <f>+IF(+G78&lt;25000,+G78,25000)</f>
        <v>0</v>
      </c>
      <c r="I78" s="87"/>
    </row>
    <row r="79" spans="2:19" x14ac:dyDescent="0.2">
      <c r="B79" s="803"/>
      <c r="C79" s="100" t="s">
        <v>197</v>
      </c>
      <c r="D79" s="784" t="s">
        <v>198</v>
      </c>
      <c r="E79" s="785"/>
      <c r="F79" s="786"/>
      <c r="G79" s="102"/>
      <c r="H79" s="103">
        <f>+IF(+G79&lt;40000,+G79,40000)</f>
        <v>0</v>
      </c>
      <c r="I79" s="63"/>
    </row>
    <row r="80" spans="2:19" x14ac:dyDescent="0.2">
      <c r="B80" s="803"/>
      <c r="C80" s="100" t="s">
        <v>199</v>
      </c>
      <c r="D80" s="784" t="s">
        <v>200</v>
      </c>
      <c r="E80" s="785"/>
      <c r="F80" s="786"/>
      <c r="G80" s="81"/>
      <c r="H80" s="104">
        <v>0</v>
      </c>
      <c r="I80" s="63"/>
      <c r="J80" s="106"/>
    </row>
    <row r="81" spans="2:22" x14ac:dyDescent="0.2">
      <c r="B81" s="803"/>
      <c r="C81" s="100" t="s">
        <v>201</v>
      </c>
      <c r="D81" s="784" t="s">
        <v>202</v>
      </c>
      <c r="E81" s="785"/>
      <c r="F81" s="786"/>
      <c r="G81" s="81"/>
      <c r="H81" s="104">
        <v>0</v>
      </c>
      <c r="I81" s="63"/>
    </row>
    <row r="82" spans="2:22" ht="13.5" thickBot="1" x14ac:dyDescent="0.25">
      <c r="B82" s="804"/>
      <c r="C82" s="100" t="s">
        <v>203</v>
      </c>
      <c r="D82" s="784" t="s">
        <v>204</v>
      </c>
      <c r="E82" s="785"/>
      <c r="F82" s="786"/>
      <c r="G82" s="102"/>
      <c r="H82" s="103">
        <f>+IF(+G82&lt;100000,+G82,10000)</f>
        <v>0</v>
      </c>
      <c r="I82" s="63"/>
    </row>
    <row r="83" spans="2:22" ht="13.5" thickBot="1" x14ac:dyDescent="0.25">
      <c r="B83" s="787" t="s">
        <v>205</v>
      </c>
      <c r="C83" s="788"/>
      <c r="D83" s="788"/>
      <c r="E83" s="788"/>
      <c r="F83" s="788"/>
      <c r="G83" s="107">
        <f>SUM(G78:G82)</f>
        <v>0</v>
      </c>
      <c r="H83" s="108">
        <f>SUM(H77:H82)</f>
        <v>150000</v>
      </c>
    </row>
    <row r="84" spans="2:22" ht="13.5" thickBot="1" x14ac:dyDescent="0.25"/>
    <row r="85" spans="2:22" ht="13.5" thickBot="1" x14ac:dyDescent="0.25">
      <c r="B85" s="789" t="s">
        <v>206</v>
      </c>
      <c r="C85" s="790"/>
      <c r="D85" s="790"/>
      <c r="E85" s="790"/>
      <c r="F85" s="791"/>
      <c r="G85" s="792">
        <f>+G64-H83</f>
        <v>1423630</v>
      </c>
      <c r="H85" s="791"/>
      <c r="J85" s="109">
        <f>C37+D37+E37+F37</f>
        <v>563178</v>
      </c>
      <c r="K85" s="16" t="s">
        <v>235</v>
      </c>
    </row>
    <row r="86" spans="2:22" x14ac:dyDescent="0.2">
      <c r="B86" s="110"/>
      <c r="F86" s="105"/>
      <c r="J86" s="109">
        <f>G37+H37+I37</f>
        <v>411003</v>
      </c>
      <c r="K86" s="16" t="s">
        <v>236</v>
      </c>
    </row>
    <row r="87" spans="2:22" x14ac:dyDescent="0.2">
      <c r="C87" s="793" t="s">
        <v>207</v>
      </c>
      <c r="D87" s="794"/>
      <c r="E87" s="111" t="s">
        <v>208</v>
      </c>
      <c r="F87" s="111" t="s">
        <v>209</v>
      </c>
      <c r="G87" s="111" t="s">
        <v>210</v>
      </c>
      <c r="H87" s="111" t="s">
        <v>211</v>
      </c>
      <c r="J87" s="206">
        <f>J37+K37+L37</f>
        <v>423711</v>
      </c>
      <c r="K87" s="47" t="s">
        <v>237</v>
      </c>
    </row>
    <row r="88" spans="2:22" x14ac:dyDescent="0.2">
      <c r="C88" s="795" t="str">
        <f>IF(I6="M","0          - 250000","0          -  250000")</f>
        <v>0          - 250000</v>
      </c>
      <c r="D88" s="796"/>
      <c r="E88" s="112">
        <v>0</v>
      </c>
      <c r="F88" s="113">
        <f>IF(I6="M",(IF(G85&lt;250000,G85,250000)),(IF(G85&lt;250000,G85,250000)))</f>
        <v>250000</v>
      </c>
      <c r="G88" s="113">
        <f>G85-F88</f>
        <v>1173630</v>
      </c>
      <c r="H88" s="113">
        <f>E88*F88</f>
        <v>0</v>
      </c>
      <c r="J88" s="207">
        <f>M37+N37</f>
        <v>278238</v>
      </c>
      <c r="K88" s="1" t="s">
        <v>238</v>
      </c>
    </row>
    <row r="89" spans="2:22" x14ac:dyDescent="0.2">
      <c r="C89" s="795" t="str">
        <f>IF(I6="M","250001 - 500000","250001-500000")</f>
        <v>250001 - 500000</v>
      </c>
      <c r="D89" s="796"/>
      <c r="E89" s="112">
        <v>0.05</v>
      </c>
      <c r="F89" s="113">
        <f>IF(I6="M",(IF(G88&lt;250000,G88,250000)),(IF(G88&lt;250000,G88,250000)))</f>
        <v>250000</v>
      </c>
      <c r="G89" s="113">
        <f>G88-F89</f>
        <v>923630</v>
      </c>
      <c r="H89" s="114">
        <f>ROUND(E89*F89,0.1)</f>
        <v>12500</v>
      </c>
      <c r="J89" s="115">
        <f>SUM(J85:J88)</f>
        <v>1676130</v>
      </c>
    </row>
    <row r="90" spans="2:22" x14ac:dyDescent="0.2">
      <c r="C90" s="797" t="s">
        <v>212</v>
      </c>
      <c r="D90" s="798"/>
      <c r="E90" s="112">
        <v>0.2</v>
      </c>
      <c r="F90" s="113">
        <f>IF(G89&lt;500000,G89,500000)</f>
        <v>500000</v>
      </c>
      <c r="G90" s="113">
        <f>G89-F90</f>
        <v>423630</v>
      </c>
      <c r="H90" s="114">
        <f>ROUND(E90*F90,0.1)</f>
        <v>100000</v>
      </c>
      <c r="J90" s="16">
        <f>+G85</f>
        <v>1423630</v>
      </c>
      <c r="O90" s="394"/>
      <c r="P90" s="394"/>
      <c r="Q90" s="394"/>
      <c r="R90" s="394"/>
      <c r="S90" s="394"/>
      <c r="T90" s="394"/>
      <c r="U90" s="394"/>
      <c r="V90" s="394"/>
    </row>
    <row r="91" spans="2:22" x14ac:dyDescent="0.2">
      <c r="C91" s="795" t="s">
        <v>213</v>
      </c>
      <c r="D91" s="796"/>
      <c r="E91" s="112">
        <v>0.3</v>
      </c>
      <c r="F91" s="113">
        <f>G90</f>
        <v>423630</v>
      </c>
      <c r="G91" s="113">
        <f>G90-F91</f>
        <v>0</v>
      </c>
      <c r="H91" s="114">
        <f>ROUND(E91*F91,0.1)</f>
        <v>127089</v>
      </c>
      <c r="J91" s="16">
        <f>+J89-J90</f>
        <v>252500</v>
      </c>
    </row>
    <row r="92" spans="2:22" ht="12.75" customHeight="1" thickBot="1" x14ac:dyDescent="0.25">
      <c r="B92" s="116"/>
      <c r="C92" s="117"/>
      <c r="D92" s="47"/>
      <c r="E92" s="47"/>
      <c r="F92" s="47"/>
    </row>
    <row r="93" spans="2:22" ht="13.5" thickBot="1" x14ac:dyDescent="0.25">
      <c r="B93" s="799" t="s">
        <v>239</v>
      </c>
      <c r="C93" s="800"/>
      <c r="D93" s="800"/>
      <c r="E93" s="800"/>
      <c r="F93" s="801"/>
      <c r="G93" s="771">
        <f>H88+H89+H90+H91</f>
        <v>239589</v>
      </c>
      <c r="H93" s="772"/>
    </row>
    <row r="94" spans="2:22" ht="13.5" thickBot="1" x14ac:dyDescent="0.25">
      <c r="B94" s="119" t="s">
        <v>215</v>
      </c>
      <c r="C94" s="120"/>
      <c r="D94" s="120"/>
      <c r="E94" s="120"/>
      <c r="F94" s="120"/>
      <c r="G94" s="884">
        <f>IF((G64&lt;500000),5000,0)</f>
        <v>0</v>
      </c>
      <c r="H94" s="885">
        <f>IF(H92&lt;200000,0,IF(H92&lt;220000,((H92-200000)*10%),IF(H92&lt;=500000,2000,IF(H92&gt;=500000,0))))</f>
        <v>0</v>
      </c>
      <c r="J94" s="1"/>
      <c r="K94" s="121"/>
      <c r="L94" s="121"/>
    </row>
    <row r="95" spans="2:22" ht="13.5" thickBot="1" x14ac:dyDescent="0.25">
      <c r="B95" s="122" t="s">
        <v>216</v>
      </c>
      <c r="C95" s="123"/>
      <c r="D95" s="123"/>
      <c r="E95" s="123"/>
      <c r="F95" s="123"/>
      <c r="G95" s="771">
        <f>IF((G93-G94)&lt;0,0,(G93-G94))</f>
        <v>239589</v>
      </c>
      <c r="H95" s="772"/>
      <c r="I95" s="37"/>
    </row>
    <row r="96" spans="2:22" ht="13.5" thickBot="1" x14ac:dyDescent="0.25">
      <c r="B96" s="773" t="s">
        <v>240</v>
      </c>
      <c r="C96" s="774"/>
      <c r="D96" s="774"/>
      <c r="E96" s="774"/>
      <c r="F96" s="775"/>
      <c r="G96" s="776">
        <f>ROUND((IF(G95&gt;0,(G95*4%),0)),0)</f>
        <v>9584</v>
      </c>
      <c r="H96" s="777"/>
      <c r="I96" s="37"/>
    </row>
    <row r="97" spans="2:9" ht="13.5" thickBot="1" x14ac:dyDescent="0.25">
      <c r="B97" s="778" t="s">
        <v>218</v>
      </c>
      <c r="C97" s="779"/>
      <c r="D97" s="779"/>
      <c r="E97" s="779"/>
      <c r="F97" s="779"/>
      <c r="G97" s="780">
        <f>G95+G96</f>
        <v>249173</v>
      </c>
      <c r="H97" s="781"/>
      <c r="I97" s="121"/>
    </row>
    <row r="98" spans="2:9" ht="13.5" thickBot="1" x14ac:dyDescent="0.25">
      <c r="B98" s="765" t="s">
        <v>219</v>
      </c>
      <c r="C98" s="766"/>
      <c r="D98" s="766"/>
      <c r="E98" s="766"/>
      <c r="F98" s="766"/>
      <c r="G98" s="767">
        <f>O38</f>
        <v>249180</v>
      </c>
      <c r="H98" s="768"/>
      <c r="I98" s="121"/>
    </row>
    <row r="99" spans="2:9" ht="13.5" thickBot="1" x14ac:dyDescent="0.25">
      <c r="B99" s="765" t="str">
        <f>IF(G99&gt;0,"TAX PAYABLE","TAX REFUND")</f>
        <v>TAX REFUND</v>
      </c>
      <c r="C99" s="766"/>
      <c r="D99" s="766"/>
      <c r="E99" s="766"/>
      <c r="F99" s="766"/>
      <c r="G99" s="767">
        <f>+G97-G98</f>
        <v>-7</v>
      </c>
      <c r="H99" s="768"/>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4">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G61:H61"/>
    <mergeCell ref="C62:F62"/>
    <mergeCell ref="G62:H62"/>
    <mergeCell ref="J62:O62"/>
    <mergeCell ref="J67:K67"/>
    <mergeCell ref="B64:F64"/>
    <mergeCell ref="G64:H64"/>
    <mergeCell ref="B61:F61"/>
    <mergeCell ref="K69:L69"/>
    <mergeCell ref="D70:F70"/>
    <mergeCell ref="D71:F71"/>
    <mergeCell ref="D72:F72"/>
    <mergeCell ref="D73:F73"/>
    <mergeCell ref="G85:H85"/>
    <mergeCell ref="D74:F74"/>
    <mergeCell ref="D75:F75"/>
    <mergeCell ref="D76:F76"/>
    <mergeCell ref="E77:F77"/>
    <mergeCell ref="D78:F78"/>
    <mergeCell ref="D79:F79"/>
    <mergeCell ref="D80:F80"/>
    <mergeCell ref="D81:F81"/>
    <mergeCell ref="D82:F82"/>
    <mergeCell ref="B83:F83"/>
    <mergeCell ref="B85:F85"/>
    <mergeCell ref="B68:B82"/>
    <mergeCell ref="C68:C74"/>
    <mergeCell ref="D68:F68"/>
    <mergeCell ref="D69:F69"/>
    <mergeCell ref="C87:D87"/>
    <mergeCell ref="C88:D88"/>
    <mergeCell ref="C89:D89"/>
    <mergeCell ref="C90:D90"/>
    <mergeCell ref="C91:D91"/>
    <mergeCell ref="B98:F98"/>
    <mergeCell ref="G98:H98"/>
    <mergeCell ref="B99:F99"/>
    <mergeCell ref="G99:H99"/>
    <mergeCell ref="G93:H93"/>
    <mergeCell ref="G94:H94"/>
    <mergeCell ref="G95:H95"/>
    <mergeCell ref="B96:F96"/>
    <mergeCell ref="G96:H96"/>
    <mergeCell ref="B97:F97"/>
    <mergeCell ref="G97:H97"/>
    <mergeCell ref="B93:F93"/>
  </mergeCells>
  <conditionalFormatting sqref="B90:F90 B99:F99 B93:F97">
    <cfRule type="cellIs" dxfId="429" priority="3" stopIfTrue="1" operator="equal">
      <formula>"TAX PAYABLE"</formula>
    </cfRule>
    <cfRule type="cellIs" dxfId="428" priority="4" stopIfTrue="1" operator="equal">
      <formula>"TAX REFUND"</formula>
    </cfRule>
  </conditionalFormatting>
  <conditionalFormatting sqref="G99:H99">
    <cfRule type="cellIs" dxfId="427" priority="1" stopIfTrue="1" operator="greaterThan">
      <formula>0</formula>
    </cfRule>
    <cfRule type="cellIs" dxfId="426"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17"/>
  <sheetViews>
    <sheetView topLeftCell="A56" workbookViewId="0">
      <selection activeCell="H77" sqref="H77"/>
    </sheetView>
  </sheetViews>
  <sheetFormatPr defaultRowHeight="12.75" x14ac:dyDescent="0.2"/>
  <cols>
    <col min="1" max="1" width="5" style="16" customWidth="1"/>
    <col min="2" max="2" width="19" style="37" customWidth="1"/>
    <col min="3" max="3" width="7.28515625" style="16" customWidth="1"/>
    <col min="4" max="4" width="6.7109375" style="16" bestFit="1" customWidth="1"/>
    <col min="5" max="5" width="8.5703125" style="16" bestFit="1" customWidth="1"/>
    <col min="6" max="8" width="8.28515625" style="16" customWidth="1"/>
    <col min="9" max="9" width="7.140625" style="16" bestFit="1" customWidth="1"/>
    <col min="10" max="10" width="8.42578125" style="16" customWidth="1"/>
    <col min="11" max="12" width="7" style="16" bestFit="1" customWidth="1"/>
    <col min="13" max="13" width="6.85546875" style="16" bestFit="1" customWidth="1"/>
    <col min="14" max="14" width="7" style="16" bestFit="1" customWidth="1"/>
    <col min="15" max="15" width="7.7109375" style="16" customWidth="1"/>
    <col min="16" max="18" width="9.140625" style="16"/>
    <col min="19" max="19" width="12.42578125" style="16" customWidth="1"/>
    <col min="20" max="20" width="9.140625" style="16"/>
    <col min="21" max="21" width="12" style="16" customWidth="1"/>
    <col min="22" max="256" width="9.140625" style="16"/>
    <col min="257" max="257" width="5" style="16" customWidth="1"/>
    <col min="258" max="258" width="19" style="16" customWidth="1"/>
    <col min="259" max="259" width="7.28515625" style="16" customWidth="1"/>
    <col min="260" max="260" width="6.7109375" style="16" bestFit="1" customWidth="1"/>
    <col min="261" max="261" width="8.5703125" style="16" bestFit="1" customWidth="1"/>
    <col min="262" max="264" width="8.28515625" style="16" customWidth="1"/>
    <col min="265" max="265" width="7.140625" style="16" bestFit="1" customWidth="1"/>
    <col min="266" max="266" width="8.42578125" style="16" customWidth="1"/>
    <col min="267" max="268" width="7" style="16" bestFit="1" customWidth="1"/>
    <col min="269" max="269" width="6.85546875" style="16" bestFit="1" customWidth="1"/>
    <col min="270" max="270" width="7" style="16" bestFit="1" customWidth="1"/>
    <col min="271" max="271" width="7.7109375" style="16" customWidth="1"/>
    <col min="272" max="274" width="9.140625" style="16"/>
    <col min="275" max="275" width="12.42578125" style="16" customWidth="1"/>
    <col min="276" max="276" width="9.140625" style="16"/>
    <col min="277" max="277" width="12" style="16" customWidth="1"/>
    <col min="278" max="512" width="9.140625" style="16"/>
    <col min="513" max="513" width="5" style="16" customWidth="1"/>
    <col min="514" max="514" width="19" style="16" customWidth="1"/>
    <col min="515" max="515" width="7.28515625" style="16" customWidth="1"/>
    <col min="516" max="516" width="6.7109375" style="16" bestFit="1" customWidth="1"/>
    <col min="517" max="517" width="8.5703125" style="16" bestFit="1" customWidth="1"/>
    <col min="518" max="520" width="8.28515625" style="16" customWidth="1"/>
    <col min="521" max="521" width="7.140625" style="16" bestFit="1" customWidth="1"/>
    <col min="522" max="522" width="8.42578125" style="16" customWidth="1"/>
    <col min="523" max="524" width="7" style="16" bestFit="1" customWidth="1"/>
    <col min="525" max="525" width="6.85546875" style="16" bestFit="1" customWidth="1"/>
    <col min="526" max="526" width="7" style="16" bestFit="1" customWidth="1"/>
    <col min="527" max="527" width="7.7109375" style="16" customWidth="1"/>
    <col min="528" max="530" width="9.140625" style="16"/>
    <col min="531" max="531" width="12.42578125" style="16" customWidth="1"/>
    <col min="532" max="532" width="9.140625" style="16"/>
    <col min="533" max="533" width="12" style="16" customWidth="1"/>
    <col min="534" max="768" width="9.140625" style="16"/>
    <col min="769" max="769" width="5" style="16" customWidth="1"/>
    <col min="770" max="770" width="19" style="16" customWidth="1"/>
    <col min="771" max="771" width="7.28515625" style="16" customWidth="1"/>
    <col min="772" max="772" width="6.7109375" style="16" bestFit="1" customWidth="1"/>
    <col min="773" max="773" width="8.5703125" style="16" bestFit="1" customWidth="1"/>
    <col min="774" max="776" width="8.28515625" style="16" customWidth="1"/>
    <col min="777" max="777" width="7.140625" style="16" bestFit="1" customWidth="1"/>
    <col min="778" max="778" width="8.42578125" style="16" customWidth="1"/>
    <col min="779" max="780" width="7" style="16" bestFit="1" customWidth="1"/>
    <col min="781" max="781" width="6.85546875" style="16" bestFit="1" customWidth="1"/>
    <col min="782" max="782" width="7" style="16" bestFit="1" customWidth="1"/>
    <col min="783" max="783" width="7.7109375" style="16" customWidth="1"/>
    <col min="784" max="786" width="9.140625" style="16"/>
    <col min="787" max="787" width="12.42578125" style="16" customWidth="1"/>
    <col min="788" max="788" width="9.140625" style="16"/>
    <col min="789" max="789" width="12" style="16" customWidth="1"/>
    <col min="790" max="1024" width="9.140625" style="16"/>
    <col min="1025" max="1025" width="5" style="16" customWidth="1"/>
    <col min="1026" max="1026" width="19" style="16" customWidth="1"/>
    <col min="1027" max="1027" width="7.28515625" style="16" customWidth="1"/>
    <col min="1028" max="1028" width="6.7109375" style="16" bestFit="1" customWidth="1"/>
    <col min="1029" max="1029" width="8.5703125" style="16" bestFit="1" customWidth="1"/>
    <col min="1030" max="1032" width="8.28515625" style="16" customWidth="1"/>
    <col min="1033" max="1033" width="7.140625" style="16" bestFit="1" customWidth="1"/>
    <col min="1034" max="1034" width="8.42578125" style="16" customWidth="1"/>
    <col min="1035" max="1036" width="7" style="16" bestFit="1" customWidth="1"/>
    <col min="1037" max="1037" width="6.85546875" style="16" bestFit="1" customWidth="1"/>
    <col min="1038" max="1038" width="7" style="16" bestFit="1" customWidth="1"/>
    <col min="1039" max="1039" width="7.7109375" style="16" customWidth="1"/>
    <col min="1040" max="1042" width="9.140625" style="16"/>
    <col min="1043" max="1043" width="12.42578125" style="16" customWidth="1"/>
    <col min="1044" max="1044" width="9.140625" style="16"/>
    <col min="1045" max="1045" width="12" style="16" customWidth="1"/>
    <col min="1046" max="1280" width="9.140625" style="16"/>
    <col min="1281" max="1281" width="5" style="16" customWidth="1"/>
    <col min="1282" max="1282" width="19" style="16" customWidth="1"/>
    <col min="1283" max="1283" width="7.28515625" style="16" customWidth="1"/>
    <col min="1284" max="1284" width="6.7109375" style="16" bestFit="1" customWidth="1"/>
    <col min="1285" max="1285" width="8.5703125" style="16" bestFit="1" customWidth="1"/>
    <col min="1286" max="1288" width="8.28515625" style="16" customWidth="1"/>
    <col min="1289" max="1289" width="7.140625" style="16" bestFit="1" customWidth="1"/>
    <col min="1290" max="1290" width="8.42578125" style="16" customWidth="1"/>
    <col min="1291" max="1292" width="7" style="16" bestFit="1" customWidth="1"/>
    <col min="1293" max="1293" width="6.85546875" style="16" bestFit="1" customWidth="1"/>
    <col min="1294" max="1294" width="7" style="16" bestFit="1" customWidth="1"/>
    <col min="1295" max="1295" width="7.7109375" style="16" customWidth="1"/>
    <col min="1296" max="1298" width="9.140625" style="16"/>
    <col min="1299" max="1299" width="12.42578125" style="16" customWidth="1"/>
    <col min="1300" max="1300" width="9.140625" style="16"/>
    <col min="1301" max="1301" width="12" style="16" customWidth="1"/>
    <col min="1302" max="1536" width="9.140625" style="16"/>
    <col min="1537" max="1537" width="5" style="16" customWidth="1"/>
    <col min="1538" max="1538" width="19" style="16" customWidth="1"/>
    <col min="1539" max="1539" width="7.28515625" style="16" customWidth="1"/>
    <col min="1540" max="1540" width="6.7109375" style="16" bestFit="1" customWidth="1"/>
    <col min="1541" max="1541" width="8.5703125" style="16" bestFit="1" customWidth="1"/>
    <col min="1542" max="1544" width="8.28515625" style="16" customWidth="1"/>
    <col min="1545" max="1545" width="7.140625" style="16" bestFit="1" customWidth="1"/>
    <col min="1546" max="1546" width="8.42578125" style="16" customWidth="1"/>
    <col min="1547" max="1548" width="7" style="16" bestFit="1" customWidth="1"/>
    <col min="1549" max="1549" width="6.85546875" style="16" bestFit="1" customWidth="1"/>
    <col min="1550" max="1550" width="7" style="16" bestFit="1" customWidth="1"/>
    <col min="1551" max="1551" width="7.7109375" style="16" customWidth="1"/>
    <col min="1552" max="1554" width="9.140625" style="16"/>
    <col min="1555" max="1555" width="12.42578125" style="16" customWidth="1"/>
    <col min="1556" max="1556" width="9.140625" style="16"/>
    <col min="1557" max="1557" width="12" style="16" customWidth="1"/>
    <col min="1558" max="1792" width="9.140625" style="16"/>
    <col min="1793" max="1793" width="5" style="16" customWidth="1"/>
    <col min="1794" max="1794" width="19" style="16" customWidth="1"/>
    <col min="1795" max="1795" width="7.28515625" style="16" customWidth="1"/>
    <col min="1796" max="1796" width="6.7109375" style="16" bestFit="1" customWidth="1"/>
    <col min="1797" max="1797" width="8.5703125" style="16" bestFit="1" customWidth="1"/>
    <col min="1798" max="1800" width="8.28515625" style="16" customWidth="1"/>
    <col min="1801" max="1801" width="7.140625" style="16" bestFit="1" customWidth="1"/>
    <col min="1802" max="1802" width="8.42578125" style="16" customWidth="1"/>
    <col min="1803" max="1804" width="7" style="16" bestFit="1" customWidth="1"/>
    <col min="1805" max="1805" width="6.85546875" style="16" bestFit="1" customWidth="1"/>
    <col min="1806" max="1806" width="7" style="16" bestFit="1" customWidth="1"/>
    <col min="1807" max="1807" width="7.7109375" style="16" customWidth="1"/>
    <col min="1808" max="1810" width="9.140625" style="16"/>
    <col min="1811" max="1811" width="12.42578125" style="16" customWidth="1"/>
    <col min="1812" max="1812" width="9.140625" style="16"/>
    <col min="1813" max="1813" width="12" style="16" customWidth="1"/>
    <col min="1814" max="2048" width="9.140625" style="16"/>
    <col min="2049" max="2049" width="5" style="16" customWidth="1"/>
    <col min="2050" max="2050" width="19" style="16" customWidth="1"/>
    <col min="2051" max="2051" width="7.28515625" style="16" customWidth="1"/>
    <col min="2052" max="2052" width="6.7109375" style="16" bestFit="1" customWidth="1"/>
    <col min="2053" max="2053" width="8.5703125" style="16" bestFit="1" customWidth="1"/>
    <col min="2054" max="2056" width="8.28515625" style="16" customWidth="1"/>
    <col min="2057" max="2057" width="7.140625" style="16" bestFit="1" customWidth="1"/>
    <col min="2058" max="2058" width="8.42578125" style="16" customWidth="1"/>
    <col min="2059" max="2060" width="7" style="16" bestFit="1" customWidth="1"/>
    <col min="2061" max="2061" width="6.85546875" style="16" bestFit="1" customWidth="1"/>
    <col min="2062" max="2062" width="7" style="16" bestFit="1" customWidth="1"/>
    <col min="2063" max="2063" width="7.7109375" style="16" customWidth="1"/>
    <col min="2064" max="2066" width="9.140625" style="16"/>
    <col min="2067" max="2067" width="12.42578125" style="16" customWidth="1"/>
    <col min="2068" max="2068" width="9.140625" style="16"/>
    <col min="2069" max="2069" width="12" style="16" customWidth="1"/>
    <col min="2070" max="2304" width="9.140625" style="16"/>
    <col min="2305" max="2305" width="5" style="16" customWidth="1"/>
    <col min="2306" max="2306" width="19" style="16" customWidth="1"/>
    <col min="2307" max="2307" width="7.28515625" style="16" customWidth="1"/>
    <col min="2308" max="2308" width="6.7109375" style="16" bestFit="1" customWidth="1"/>
    <col min="2309" max="2309" width="8.5703125" style="16" bestFit="1" customWidth="1"/>
    <col min="2310" max="2312" width="8.28515625" style="16" customWidth="1"/>
    <col min="2313" max="2313" width="7.140625" style="16" bestFit="1" customWidth="1"/>
    <col min="2314" max="2314" width="8.42578125" style="16" customWidth="1"/>
    <col min="2315" max="2316" width="7" style="16" bestFit="1" customWidth="1"/>
    <col min="2317" max="2317" width="6.85546875" style="16" bestFit="1" customWidth="1"/>
    <col min="2318" max="2318" width="7" style="16" bestFit="1" customWidth="1"/>
    <col min="2319" max="2319" width="7.7109375" style="16" customWidth="1"/>
    <col min="2320" max="2322" width="9.140625" style="16"/>
    <col min="2323" max="2323" width="12.42578125" style="16" customWidth="1"/>
    <col min="2324" max="2324" width="9.140625" style="16"/>
    <col min="2325" max="2325" width="12" style="16" customWidth="1"/>
    <col min="2326" max="2560" width="9.140625" style="16"/>
    <col min="2561" max="2561" width="5" style="16" customWidth="1"/>
    <col min="2562" max="2562" width="19" style="16" customWidth="1"/>
    <col min="2563" max="2563" width="7.28515625" style="16" customWidth="1"/>
    <col min="2564" max="2564" width="6.7109375" style="16" bestFit="1" customWidth="1"/>
    <col min="2565" max="2565" width="8.5703125" style="16" bestFit="1" customWidth="1"/>
    <col min="2566" max="2568" width="8.28515625" style="16" customWidth="1"/>
    <col min="2569" max="2569" width="7.140625" style="16" bestFit="1" customWidth="1"/>
    <col min="2570" max="2570" width="8.42578125" style="16" customWidth="1"/>
    <col min="2571" max="2572" width="7" style="16" bestFit="1" customWidth="1"/>
    <col min="2573" max="2573" width="6.85546875" style="16" bestFit="1" customWidth="1"/>
    <col min="2574" max="2574" width="7" style="16" bestFit="1" customWidth="1"/>
    <col min="2575" max="2575" width="7.7109375" style="16" customWidth="1"/>
    <col min="2576" max="2578" width="9.140625" style="16"/>
    <col min="2579" max="2579" width="12.42578125" style="16" customWidth="1"/>
    <col min="2580" max="2580" width="9.140625" style="16"/>
    <col min="2581" max="2581" width="12" style="16" customWidth="1"/>
    <col min="2582" max="2816" width="9.140625" style="16"/>
    <col min="2817" max="2817" width="5" style="16" customWidth="1"/>
    <col min="2818" max="2818" width="19" style="16" customWidth="1"/>
    <col min="2819" max="2819" width="7.28515625" style="16" customWidth="1"/>
    <col min="2820" max="2820" width="6.7109375" style="16" bestFit="1" customWidth="1"/>
    <col min="2821" max="2821" width="8.5703125" style="16" bestFit="1" customWidth="1"/>
    <col min="2822" max="2824" width="8.28515625" style="16" customWidth="1"/>
    <col min="2825" max="2825" width="7.140625" style="16" bestFit="1" customWidth="1"/>
    <col min="2826" max="2826" width="8.42578125" style="16" customWidth="1"/>
    <col min="2827" max="2828" width="7" style="16" bestFit="1" customWidth="1"/>
    <col min="2829" max="2829" width="6.85546875" style="16" bestFit="1" customWidth="1"/>
    <col min="2830" max="2830" width="7" style="16" bestFit="1" customWidth="1"/>
    <col min="2831" max="2831" width="7.7109375" style="16" customWidth="1"/>
    <col min="2832" max="2834" width="9.140625" style="16"/>
    <col min="2835" max="2835" width="12.42578125" style="16" customWidth="1"/>
    <col min="2836" max="2836" width="9.140625" style="16"/>
    <col min="2837" max="2837" width="12" style="16" customWidth="1"/>
    <col min="2838" max="3072" width="9.140625" style="16"/>
    <col min="3073" max="3073" width="5" style="16" customWidth="1"/>
    <col min="3074" max="3074" width="19" style="16" customWidth="1"/>
    <col min="3075" max="3075" width="7.28515625" style="16" customWidth="1"/>
    <col min="3076" max="3076" width="6.7109375" style="16" bestFit="1" customWidth="1"/>
    <col min="3077" max="3077" width="8.5703125" style="16" bestFit="1" customWidth="1"/>
    <col min="3078" max="3080" width="8.28515625" style="16" customWidth="1"/>
    <col min="3081" max="3081" width="7.140625" style="16" bestFit="1" customWidth="1"/>
    <col min="3082" max="3082" width="8.42578125" style="16" customWidth="1"/>
    <col min="3083" max="3084" width="7" style="16" bestFit="1" customWidth="1"/>
    <col min="3085" max="3085" width="6.85546875" style="16" bestFit="1" customWidth="1"/>
    <col min="3086" max="3086" width="7" style="16" bestFit="1" customWidth="1"/>
    <col min="3087" max="3087" width="7.7109375" style="16" customWidth="1"/>
    <col min="3088" max="3090" width="9.140625" style="16"/>
    <col min="3091" max="3091" width="12.42578125" style="16" customWidth="1"/>
    <col min="3092" max="3092" width="9.140625" style="16"/>
    <col min="3093" max="3093" width="12" style="16" customWidth="1"/>
    <col min="3094" max="3328" width="9.140625" style="16"/>
    <col min="3329" max="3329" width="5" style="16" customWidth="1"/>
    <col min="3330" max="3330" width="19" style="16" customWidth="1"/>
    <col min="3331" max="3331" width="7.28515625" style="16" customWidth="1"/>
    <col min="3332" max="3332" width="6.7109375" style="16" bestFit="1" customWidth="1"/>
    <col min="3333" max="3333" width="8.5703125" style="16" bestFit="1" customWidth="1"/>
    <col min="3334" max="3336" width="8.28515625" style="16" customWidth="1"/>
    <col min="3337" max="3337" width="7.140625" style="16" bestFit="1" customWidth="1"/>
    <col min="3338" max="3338" width="8.42578125" style="16" customWidth="1"/>
    <col min="3339" max="3340" width="7" style="16" bestFit="1" customWidth="1"/>
    <col min="3341" max="3341" width="6.85546875" style="16" bestFit="1" customWidth="1"/>
    <col min="3342" max="3342" width="7" style="16" bestFit="1" customWidth="1"/>
    <col min="3343" max="3343" width="7.7109375" style="16" customWidth="1"/>
    <col min="3344" max="3346" width="9.140625" style="16"/>
    <col min="3347" max="3347" width="12.42578125" style="16" customWidth="1"/>
    <col min="3348" max="3348" width="9.140625" style="16"/>
    <col min="3349" max="3349" width="12" style="16" customWidth="1"/>
    <col min="3350" max="3584" width="9.140625" style="16"/>
    <col min="3585" max="3585" width="5" style="16" customWidth="1"/>
    <col min="3586" max="3586" width="19" style="16" customWidth="1"/>
    <col min="3587" max="3587" width="7.28515625" style="16" customWidth="1"/>
    <col min="3588" max="3588" width="6.7109375" style="16" bestFit="1" customWidth="1"/>
    <col min="3589" max="3589" width="8.5703125" style="16" bestFit="1" customWidth="1"/>
    <col min="3590" max="3592" width="8.28515625" style="16" customWidth="1"/>
    <col min="3593" max="3593" width="7.140625" style="16" bestFit="1" customWidth="1"/>
    <col min="3594" max="3594" width="8.42578125" style="16" customWidth="1"/>
    <col min="3595" max="3596" width="7" style="16" bestFit="1" customWidth="1"/>
    <col min="3597" max="3597" width="6.85546875" style="16" bestFit="1" customWidth="1"/>
    <col min="3598" max="3598" width="7" style="16" bestFit="1" customWidth="1"/>
    <col min="3599" max="3599" width="7.7109375" style="16" customWidth="1"/>
    <col min="3600" max="3602" width="9.140625" style="16"/>
    <col min="3603" max="3603" width="12.42578125" style="16" customWidth="1"/>
    <col min="3604" max="3604" width="9.140625" style="16"/>
    <col min="3605" max="3605" width="12" style="16" customWidth="1"/>
    <col min="3606" max="3840" width="9.140625" style="16"/>
    <col min="3841" max="3841" width="5" style="16" customWidth="1"/>
    <col min="3842" max="3842" width="19" style="16" customWidth="1"/>
    <col min="3843" max="3843" width="7.28515625" style="16" customWidth="1"/>
    <col min="3844" max="3844" width="6.7109375" style="16" bestFit="1" customWidth="1"/>
    <col min="3845" max="3845" width="8.5703125" style="16" bestFit="1" customWidth="1"/>
    <col min="3846" max="3848" width="8.28515625" style="16" customWidth="1"/>
    <col min="3849" max="3849" width="7.140625" style="16" bestFit="1" customWidth="1"/>
    <col min="3850" max="3850" width="8.42578125" style="16" customWidth="1"/>
    <col min="3851" max="3852" width="7" style="16" bestFit="1" customWidth="1"/>
    <col min="3853" max="3853" width="6.85546875" style="16" bestFit="1" customWidth="1"/>
    <col min="3854" max="3854" width="7" style="16" bestFit="1" customWidth="1"/>
    <col min="3855" max="3855" width="7.7109375" style="16" customWidth="1"/>
    <col min="3856" max="3858" width="9.140625" style="16"/>
    <col min="3859" max="3859" width="12.42578125" style="16" customWidth="1"/>
    <col min="3860" max="3860" width="9.140625" style="16"/>
    <col min="3861" max="3861" width="12" style="16" customWidth="1"/>
    <col min="3862" max="4096" width="9.140625" style="16"/>
    <col min="4097" max="4097" width="5" style="16" customWidth="1"/>
    <col min="4098" max="4098" width="19" style="16" customWidth="1"/>
    <col min="4099" max="4099" width="7.28515625" style="16" customWidth="1"/>
    <col min="4100" max="4100" width="6.7109375" style="16" bestFit="1" customWidth="1"/>
    <col min="4101" max="4101" width="8.5703125" style="16" bestFit="1" customWidth="1"/>
    <col min="4102" max="4104" width="8.28515625" style="16" customWidth="1"/>
    <col min="4105" max="4105" width="7.140625" style="16" bestFit="1" customWidth="1"/>
    <col min="4106" max="4106" width="8.42578125" style="16" customWidth="1"/>
    <col min="4107" max="4108" width="7" style="16" bestFit="1" customWidth="1"/>
    <col min="4109" max="4109" width="6.85546875" style="16" bestFit="1" customWidth="1"/>
    <col min="4110" max="4110" width="7" style="16" bestFit="1" customWidth="1"/>
    <col min="4111" max="4111" width="7.7109375" style="16" customWidth="1"/>
    <col min="4112" max="4114" width="9.140625" style="16"/>
    <col min="4115" max="4115" width="12.42578125" style="16" customWidth="1"/>
    <col min="4116" max="4116" width="9.140625" style="16"/>
    <col min="4117" max="4117" width="12" style="16" customWidth="1"/>
    <col min="4118" max="4352" width="9.140625" style="16"/>
    <col min="4353" max="4353" width="5" style="16" customWidth="1"/>
    <col min="4354" max="4354" width="19" style="16" customWidth="1"/>
    <col min="4355" max="4355" width="7.28515625" style="16" customWidth="1"/>
    <col min="4356" max="4356" width="6.7109375" style="16" bestFit="1" customWidth="1"/>
    <col min="4357" max="4357" width="8.5703125" style="16" bestFit="1" customWidth="1"/>
    <col min="4358" max="4360" width="8.28515625" style="16" customWidth="1"/>
    <col min="4361" max="4361" width="7.140625" style="16" bestFit="1" customWidth="1"/>
    <col min="4362" max="4362" width="8.42578125" style="16" customWidth="1"/>
    <col min="4363" max="4364" width="7" style="16" bestFit="1" customWidth="1"/>
    <col min="4365" max="4365" width="6.85546875" style="16" bestFit="1" customWidth="1"/>
    <col min="4366" max="4366" width="7" style="16" bestFit="1" customWidth="1"/>
    <col min="4367" max="4367" width="7.7109375" style="16" customWidth="1"/>
    <col min="4368" max="4370" width="9.140625" style="16"/>
    <col min="4371" max="4371" width="12.42578125" style="16" customWidth="1"/>
    <col min="4372" max="4372" width="9.140625" style="16"/>
    <col min="4373" max="4373" width="12" style="16" customWidth="1"/>
    <col min="4374" max="4608" width="9.140625" style="16"/>
    <col min="4609" max="4609" width="5" style="16" customWidth="1"/>
    <col min="4610" max="4610" width="19" style="16" customWidth="1"/>
    <col min="4611" max="4611" width="7.28515625" style="16" customWidth="1"/>
    <col min="4612" max="4612" width="6.7109375" style="16" bestFit="1" customWidth="1"/>
    <col min="4613" max="4613" width="8.5703125" style="16" bestFit="1" customWidth="1"/>
    <col min="4614" max="4616" width="8.28515625" style="16" customWidth="1"/>
    <col min="4617" max="4617" width="7.140625" style="16" bestFit="1" customWidth="1"/>
    <col min="4618" max="4618" width="8.42578125" style="16" customWidth="1"/>
    <col min="4619" max="4620" width="7" style="16" bestFit="1" customWidth="1"/>
    <col min="4621" max="4621" width="6.85546875" style="16" bestFit="1" customWidth="1"/>
    <col min="4622" max="4622" width="7" style="16" bestFit="1" customWidth="1"/>
    <col min="4623" max="4623" width="7.7109375" style="16" customWidth="1"/>
    <col min="4624" max="4626" width="9.140625" style="16"/>
    <col min="4627" max="4627" width="12.42578125" style="16" customWidth="1"/>
    <col min="4628" max="4628" width="9.140625" style="16"/>
    <col min="4629" max="4629" width="12" style="16" customWidth="1"/>
    <col min="4630" max="4864" width="9.140625" style="16"/>
    <col min="4865" max="4865" width="5" style="16" customWidth="1"/>
    <col min="4866" max="4866" width="19" style="16" customWidth="1"/>
    <col min="4867" max="4867" width="7.28515625" style="16" customWidth="1"/>
    <col min="4868" max="4868" width="6.7109375" style="16" bestFit="1" customWidth="1"/>
    <col min="4869" max="4869" width="8.5703125" style="16" bestFit="1" customWidth="1"/>
    <col min="4870" max="4872" width="8.28515625" style="16" customWidth="1"/>
    <col min="4873" max="4873" width="7.140625" style="16" bestFit="1" customWidth="1"/>
    <col min="4874" max="4874" width="8.42578125" style="16" customWidth="1"/>
    <col min="4875" max="4876" width="7" style="16" bestFit="1" customWidth="1"/>
    <col min="4877" max="4877" width="6.85546875" style="16" bestFit="1" customWidth="1"/>
    <col min="4878" max="4878" width="7" style="16" bestFit="1" customWidth="1"/>
    <col min="4879" max="4879" width="7.7109375" style="16" customWidth="1"/>
    <col min="4880" max="4882" width="9.140625" style="16"/>
    <col min="4883" max="4883" width="12.42578125" style="16" customWidth="1"/>
    <col min="4884" max="4884" width="9.140625" style="16"/>
    <col min="4885" max="4885" width="12" style="16" customWidth="1"/>
    <col min="4886" max="5120" width="9.140625" style="16"/>
    <col min="5121" max="5121" width="5" style="16" customWidth="1"/>
    <col min="5122" max="5122" width="19" style="16" customWidth="1"/>
    <col min="5123" max="5123" width="7.28515625" style="16" customWidth="1"/>
    <col min="5124" max="5124" width="6.7109375" style="16" bestFit="1" customWidth="1"/>
    <col min="5125" max="5125" width="8.5703125" style="16" bestFit="1" customWidth="1"/>
    <col min="5126" max="5128" width="8.28515625" style="16" customWidth="1"/>
    <col min="5129" max="5129" width="7.140625" style="16" bestFit="1" customWidth="1"/>
    <col min="5130" max="5130" width="8.42578125" style="16" customWidth="1"/>
    <col min="5131" max="5132" width="7" style="16" bestFit="1" customWidth="1"/>
    <col min="5133" max="5133" width="6.85546875" style="16" bestFit="1" customWidth="1"/>
    <col min="5134" max="5134" width="7" style="16" bestFit="1" customWidth="1"/>
    <col min="5135" max="5135" width="7.7109375" style="16" customWidth="1"/>
    <col min="5136" max="5138" width="9.140625" style="16"/>
    <col min="5139" max="5139" width="12.42578125" style="16" customWidth="1"/>
    <col min="5140" max="5140" width="9.140625" style="16"/>
    <col min="5141" max="5141" width="12" style="16" customWidth="1"/>
    <col min="5142" max="5376" width="9.140625" style="16"/>
    <col min="5377" max="5377" width="5" style="16" customWidth="1"/>
    <col min="5378" max="5378" width="19" style="16" customWidth="1"/>
    <col min="5379" max="5379" width="7.28515625" style="16" customWidth="1"/>
    <col min="5380" max="5380" width="6.7109375" style="16" bestFit="1" customWidth="1"/>
    <col min="5381" max="5381" width="8.5703125" style="16" bestFit="1" customWidth="1"/>
    <col min="5382" max="5384" width="8.28515625" style="16" customWidth="1"/>
    <col min="5385" max="5385" width="7.140625" style="16" bestFit="1" customWidth="1"/>
    <col min="5386" max="5386" width="8.42578125" style="16" customWidth="1"/>
    <col min="5387" max="5388" width="7" style="16" bestFit="1" customWidth="1"/>
    <col min="5389" max="5389" width="6.85546875" style="16" bestFit="1" customWidth="1"/>
    <col min="5390" max="5390" width="7" style="16" bestFit="1" customWidth="1"/>
    <col min="5391" max="5391" width="7.7109375" style="16" customWidth="1"/>
    <col min="5392" max="5394" width="9.140625" style="16"/>
    <col min="5395" max="5395" width="12.42578125" style="16" customWidth="1"/>
    <col min="5396" max="5396" width="9.140625" style="16"/>
    <col min="5397" max="5397" width="12" style="16" customWidth="1"/>
    <col min="5398" max="5632" width="9.140625" style="16"/>
    <col min="5633" max="5633" width="5" style="16" customWidth="1"/>
    <col min="5634" max="5634" width="19" style="16" customWidth="1"/>
    <col min="5635" max="5635" width="7.28515625" style="16" customWidth="1"/>
    <col min="5636" max="5636" width="6.7109375" style="16" bestFit="1" customWidth="1"/>
    <col min="5637" max="5637" width="8.5703125" style="16" bestFit="1" customWidth="1"/>
    <col min="5638" max="5640" width="8.28515625" style="16" customWidth="1"/>
    <col min="5641" max="5641" width="7.140625" style="16" bestFit="1" customWidth="1"/>
    <col min="5642" max="5642" width="8.42578125" style="16" customWidth="1"/>
    <col min="5643" max="5644" width="7" style="16" bestFit="1" customWidth="1"/>
    <col min="5645" max="5645" width="6.85546875" style="16" bestFit="1" customWidth="1"/>
    <col min="5646" max="5646" width="7" style="16" bestFit="1" customWidth="1"/>
    <col min="5647" max="5647" width="7.7109375" style="16" customWidth="1"/>
    <col min="5648" max="5650" width="9.140625" style="16"/>
    <col min="5651" max="5651" width="12.42578125" style="16" customWidth="1"/>
    <col min="5652" max="5652" width="9.140625" style="16"/>
    <col min="5653" max="5653" width="12" style="16" customWidth="1"/>
    <col min="5654" max="5888" width="9.140625" style="16"/>
    <col min="5889" max="5889" width="5" style="16" customWidth="1"/>
    <col min="5890" max="5890" width="19" style="16" customWidth="1"/>
    <col min="5891" max="5891" width="7.28515625" style="16" customWidth="1"/>
    <col min="5892" max="5892" width="6.7109375" style="16" bestFit="1" customWidth="1"/>
    <col min="5893" max="5893" width="8.5703125" style="16" bestFit="1" customWidth="1"/>
    <col min="5894" max="5896" width="8.28515625" style="16" customWidth="1"/>
    <col min="5897" max="5897" width="7.140625" style="16" bestFit="1" customWidth="1"/>
    <col min="5898" max="5898" width="8.42578125" style="16" customWidth="1"/>
    <col min="5899" max="5900" width="7" style="16" bestFit="1" customWidth="1"/>
    <col min="5901" max="5901" width="6.85546875" style="16" bestFit="1" customWidth="1"/>
    <col min="5902" max="5902" width="7" style="16" bestFit="1" customWidth="1"/>
    <col min="5903" max="5903" width="7.7109375" style="16" customWidth="1"/>
    <col min="5904" max="5906" width="9.140625" style="16"/>
    <col min="5907" max="5907" width="12.42578125" style="16" customWidth="1"/>
    <col min="5908" max="5908" width="9.140625" style="16"/>
    <col min="5909" max="5909" width="12" style="16" customWidth="1"/>
    <col min="5910" max="6144" width="9.140625" style="16"/>
    <col min="6145" max="6145" width="5" style="16" customWidth="1"/>
    <col min="6146" max="6146" width="19" style="16" customWidth="1"/>
    <col min="6147" max="6147" width="7.28515625" style="16" customWidth="1"/>
    <col min="6148" max="6148" width="6.7109375" style="16" bestFit="1" customWidth="1"/>
    <col min="6149" max="6149" width="8.5703125" style="16" bestFit="1" customWidth="1"/>
    <col min="6150" max="6152" width="8.28515625" style="16" customWidth="1"/>
    <col min="6153" max="6153" width="7.140625" style="16" bestFit="1" customWidth="1"/>
    <col min="6154" max="6154" width="8.42578125" style="16" customWidth="1"/>
    <col min="6155" max="6156" width="7" style="16" bestFit="1" customWidth="1"/>
    <col min="6157" max="6157" width="6.85546875" style="16" bestFit="1" customWidth="1"/>
    <col min="6158" max="6158" width="7" style="16" bestFit="1" customWidth="1"/>
    <col min="6159" max="6159" width="7.7109375" style="16" customWidth="1"/>
    <col min="6160" max="6162" width="9.140625" style="16"/>
    <col min="6163" max="6163" width="12.42578125" style="16" customWidth="1"/>
    <col min="6164" max="6164" width="9.140625" style="16"/>
    <col min="6165" max="6165" width="12" style="16" customWidth="1"/>
    <col min="6166" max="6400" width="9.140625" style="16"/>
    <col min="6401" max="6401" width="5" style="16" customWidth="1"/>
    <col min="6402" max="6402" width="19" style="16" customWidth="1"/>
    <col min="6403" max="6403" width="7.28515625" style="16" customWidth="1"/>
    <col min="6404" max="6404" width="6.7109375" style="16" bestFit="1" customWidth="1"/>
    <col min="6405" max="6405" width="8.5703125" style="16" bestFit="1" customWidth="1"/>
    <col min="6406" max="6408" width="8.28515625" style="16" customWidth="1"/>
    <col min="6409" max="6409" width="7.140625" style="16" bestFit="1" customWidth="1"/>
    <col min="6410" max="6410" width="8.42578125" style="16" customWidth="1"/>
    <col min="6411" max="6412" width="7" style="16" bestFit="1" customWidth="1"/>
    <col min="6413" max="6413" width="6.85546875" style="16" bestFit="1" customWidth="1"/>
    <col min="6414" max="6414" width="7" style="16" bestFit="1" customWidth="1"/>
    <col min="6415" max="6415" width="7.7109375" style="16" customWidth="1"/>
    <col min="6416" max="6418" width="9.140625" style="16"/>
    <col min="6419" max="6419" width="12.42578125" style="16" customWidth="1"/>
    <col min="6420" max="6420" width="9.140625" style="16"/>
    <col min="6421" max="6421" width="12" style="16" customWidth="1"/>
    <col min="6422" max="6656" width="9.140625" style="16"/>
    <col min="6657" max="6657" width="5" style="16" customWidth="1"/>
    <col min="6658" max="6658" width="19" style="16" customWidth="1"/>
    <col min="6659" max="6659" width="7.28515625" style="16" customWidth="1"/>
    <col min="6660" max="6660" width="6.7109375" style="16" bestFit="1" customWidth="1"/>
    <col min="6661" max="6661" width="8.5703125" style="16" bestFit="1" customWidth="1"/>
    <col min="6662" max="6664" width="8.28515625" style="16" customWidth="1"/>
    <col min="6665" max="6665" width="7.140625" style="16" bestFit="1" customWidth="1"/>
    <col min="6666" max="6666" width="8.42578125" style="16" customWidth="1"/>
    <col min="6667" max="6668" width="7" style="16" bestFit="1" customWidth="1"/>
    <col min="6669" max="6669" width="6.85546875" style="16" bestFit="1" customWidth="1"/>
    <col min="6670" max="6670" width="7" style="16" bestFit="1" customWidth="1"/>
    <col min="6671" max="6671" width="7.7109375" style="16" customWidth="1"/>
    <col min="6672" max="6674" width="9.140625" style="16"/>
    <col min="6675" max="6675" width="12.42578125" style="16" customWidth="1"/>
    <col min="6676" max="6676" width="9.140625" style="16"/>
    <col min="6677" max="6677" width="12" style="16" customWidth="1"/>
    <col min="6678" max="6912" width="9.140625" style="16"/>
    <col min="6913" max="6913" width="5" style="16" customWidth="1"/>
    <col min="6914" max="6914" width="19" style="16" customWidth="1"/>
    <col min="6915" max="6915" width="7.28515625" style="16" customWidth="1"/>
    <col min="6916" max="6916" width="6.7109375" style="16" bestFit="1" customWidth="1"/>
    <col min="6917" max="6917" width="8.5703125" style="16" bestFit="1" customWidth="1"/>
    <col min="6918" max="6920" width="8.28515625" style="16" customWidth="1"/>
    <col min="6921" max="6921" width="7.140625" style="16" bestFit="1" customWidth="1"/>
    <col min="6922" max="6922" width="8.42578125" style="16" customWidth="1"/>
    <col min="6923" max="6924" width="7" style="16" bestFit="1" customWidth="1"/>
    <col min="6925" max="6925" width="6.85546875" style="16" bestFit="1" customWidth="1"/>
    <col min="6926" max="6926" width="7" style="16" bestFit="1" customWidth="1"/>
    <col min="6927" max="6927" width="7.7109375" style="16" customWidth="1"/>
    <col min="6928" max="6930" width="9.140625" style="16"/>
    <col min="6931" max="6931" width="12.42578125" style="16" customWidth="1"/>
    <col min="6932" max="6932" width="9.140625" style="16"/>
    <col min="6933" max="6933" width="12" style="16" customWidth="1"/>
    <col min="6934" max="7168" width="9.140625" style="16"/>
    <col min="7169" max="7169" width="5" style="16" customWidth="1"/>
    <col min="7170" max="7170" width="19" style="16" customWidth="1"/>
    <col min="7171" max="7171" width="7.28515625" style="16" customWidth="1"/>
    <col min="7172" max="7172" width="6.7109375" style="16" bestFit="1" customWidth="1"/>
    <col min="7173" max="7173" width="8.5703125" style="16" bestFit="1" customWidth="1"/>
    <col min="7174" max="7176" width="8.28515625" style="16" customWidth="1"/>
    <col min="7177" max="7177" width="7.140625" style="16" bestFit="1" customWidth="1"/>
    <col min="7178" max="7178" width="8.42578125" style="16" customWidth="1"/>
    <col min="7179" max="7180" width="7" style="16" bestFit="1" customWidth="1"/>
    <col min="7181" max="7181" width="6.85546875" style="16" bestFit="1" customWidth="1"/>
    <col min="7182" max="7182" width="7" style="16" bestFit="1" customWidth="1"/>
    <col min="7183" max="7183" width="7.7109375" style="16" customWidth="1"/>
    <col min="7184" max="7186" width="9.140625" style="16"/>
    <col min="7187" max="7187" width="12.42578125" style="16" customWidth="1"/>
    <col min="7188" max="7188" width="9.140625" style="16"/>
    <col min="7189" max="7189" width="12" style="16" customWidth="1"/>
    <col min="7190" max="7424" width="9.140625" style="16"/>
    <col min="7425" max="7425" width="5" style="16" customWidth="1"/>
    <col min="7426" max="7426" width="19" style="16" customWidth="1"/>
    <col min="7427" max="7427" width="7.28515625" style="16" customWidth="1"/>
    <col min="7428" max="7428" width="6.7109375" style="16" bestFit="1" customWidth="1"/>
    <col min="7429" max="7429" width="8.5703125" style="16" bestFit="1" customWidth="1"/>
    <col min="7430" max="7432" width="8.28515625" style="16" customWidth="1"/>
    <col min="7433" max="7433" width="7.140625" style="16" bestFit="1" customWidth="1"/>
    <col min="7434" max="7434" width="8.42578125" style="16" customWidth="1"/>
    <col min="7435" max="7436" width="7" style="16" bestFit="1" customWidth="1"/>
    <col min="7437" max="7437" width="6.85546875" style="16" bestFit="1" customWidth="1"/>
    <col min="7438" max="7438" width="7" style="16" bestFit="1" customWidth="1"/>
    <col min="7439" max="7439" width="7.7109375" style="16" customWidth="1"/>
    <col min="7440" max="7442" width="9.140625" style="16"/>
    <col min="7443" max="7443" width="12.42578125" style="16" customWidth="1"/>
    <col min="7444" max="7444" width="9.140625" style="16"/>
    <col min="7445" max="7445" width="12" style="16" customWidth="1"/>
    <col min="7446" max="7680" width="9.140625" style="16"/>
    <col min="7681" max="7681" width="5" style="16" customWidth="1"/>
    <col min="7682" max="7682" width="19" style="16" customWidth="1"/>
    <col min="7683" max="7683" width="7.28515625" style="16" customWidth="1"/>
    <col min="7684" max="7684" width="6.7109375" style="16" bestFit="1" customWidth="1"/>
    <col min="7685" max="7685" width="8.5703125" style="16" bestFit="1" customWidth="1"/>
    <col min="7686" max="7688" width="8.28515625" style="16" customWidth="1"/>
    <col min="7689" max="7689" width="7.140625" style="16" bestFit="1" customWidth="1"/>
    <col min="7690" max="7690" width="8.42578125" style="16" customWidth="1"/>
    <col min="7691" max="7692" width="7" style="16" bestFit="1" customWidth="1"/>
    <col min="7693" max="7693" width="6.85546875" style="16" bestFit="1" customWidth="1"/>
    <col min="7694" max="7694" width="7" style="16" bestFit="1" customWidth="1"/>
    <col min="7695" max="7695" width="7.7109375" style="16" customWidth="1"/>
    <col min="7696" max="7698" width="9.140625" style="16"/>
    <col min="7699" max="7699" width="12.42578125" style="16" customWidth="1"/>
    <col min="7700" max="7700" width="9.140625" style="16"/>
    <col min="7701" max="7701" width="12" style="16" customWidth="1"/>
    <col min="7702" max="7936" width="9.140625" style="16"/>
    <col min="7937" max="7937" width="5" style="16" customWidth="1"/>
    <col min="7938" max="7938" width="19" style="16" customWidth="1"/>
    <col min="7939" max="7939" width="7.28515625" style="16" customWidth="1"/>
    <col min="7940" max="7940" width="6.7109375" style="16" bestFit="1" customWidth="1"/>
    <col min="7941" max="7941" width="8.5703125" style="16" bestFit="1" customWidth="1"/>
    <col min="7942" max="7944" width="8.28515625" style="16" customWidth="1"/>
    <col min="7945" max="7945" width="7.140625" style="16" bestFit="1" customWidth="1"/>
    <col min="7946" max="7946" width="8.42578125" style="16" customWidth="1"/>
    <col min="7947" max="7948" width="7" style="16" bestFit="1" customWidth="1"/>
    <col min="7949" max="7949" width="6.85546875" style="16" bestFit="1" customWidth="1"/>
    <col min="7950" max="7950" width="7" style="16" bestFit="1" customWidth="1"/>
    <col min="7951" max="7951" width="7.7109375" style="16" customWidth="1"/>
    <col min="7952" max="7954" width="9.140625" style="16"/>
    <col min="7955" max="7955" width="12.42578125" style="16" customWidth="1"/>
    <col min="7956" max="7956" width="9.140625" style="16"/>
    <col min="7957" max="7957" width="12" style="16" customWidth="1"/>
    <col min="7958" max="8192" width="9.140625" style="16"/>
    <col min="8193" max="8193" width="5" style="16" customWidth="1"/>
    <col min="8194" max="8194" width="19" style="16" customWidth="1"/>
    <col min="8195" max="8195" width="7.28515625" style="16" customWidth="1"/>
    <col min="8196" max="8196" width="6.7109375" style="16" bestFit="1" customWidth="1"/>
    <col min="8197" max="8197" width="8.5703125" style="16" bestFit="1" customWidth="1"/>
    <col min="8198" max="8200" width="8.28515625" style="16" customWidth="1"/>
    <col min="8201" max="8201" width="7.140625" style="16" bestFit="1" customWidth="1"/>
    <col min="8202" max="8202" width="8.42578125" style="16" customWidth="1"/>
    <col min="8203" max="8204" width="7" style="16" bestFit="1" customWidth="1"/>
    <col min="8205" max="8205" width="6.85546875" style="16" bestFit="1" customWidth="1"/>
    <col min="8206" max="8206" width="7" style="16" bestFit="1" customWidth="1"/>
    <col min="8207" max="8207" width="7.7109375" style="16" customWidth="1"/>
    <col min="8208" max="8210" width="9.140625" style="16"/>
    <col min="8211" max="8211" width="12.42578125" style="16" customWidth="1"/>
    <col min="8212" max="8212" width="9.140625" style="16"/>
    <col min="8213" max="8213" width="12" style="16" customWidth="1"/>
    <col min="8214" max="8448" width="9.140625" style="16"/>
    <col min="8449" max="8449" width="5" style="16" customWidth="1"/>
    <col min="8450" max="8450" width="19" style="16" customWidth="1"/>
    <col min="8451" max="8451" width="7.28515625" style="16" customWidth="1"/>
    <col min="8452" max="8452" width="6.7109375" style="16" bestFit="1" customWidth="1"/>
    <col min="8453" max="8453" width="8.5703125" style="16" bestFit="1" customWidth="1"/>
    <col min="8454" max="8456" width="8.28515625" style="16" customWidth="1"/>
    <col min="8457" max="8457" width="7.140625" style="16" bestFit="1" customWidth="1"/>
    <col min="8458" max="8458" width="8.42578125" style="16" customWidth="1"/>
    <col min="8459" max="8460" width="7" style="16" bestFit="1" customWidth="1"/>
    <col min="8461" max="8461" width="6.85546875" style="16" bestFit="1" customWidth="1"/>
    <col min="8462" max="8462" width="7" style="16" bestFit="1" customWidth="1"/>
    <col min="8463" max="8463" width="7.7109375" style="16" customWidth="1"/>
    <col min="8464" max="8466" width="9.140625" style="16"/>
    <col min="8467" max="8467" width="12.42578125" style="16" customWidth="1"/>
    <col min="8468" max="8468" width="9.140625" style="16"/>
    <col min="8469" max="8469" width="12" style="16" customWidth="1"/>
    <col min="8470" max="8704" width="9.140625" style="16"/>
    <col min="8705" max="8705" width="5" style="16" customWidth="1"/>
    <col min="8706" max="8706" width="19" style="16" customWidth="1"/>
    <col min="8707" max="8707" width="7.28515625" style="16" customWidth="1"/>
    <col min="8708" max="8708" width="6.7109375" style="16" bestFit="1" customWidth="1"/>
    <col min="8709" max="8709" width="8.5703125" style="16" bestFit="1" customWidth="1"/>
    <col min="8710" max="8712" width="8.28515625" style="16" customWidth="1"/>
    <col min="8713" max="8713" width="7.140625" style="16" bestFit="1" customWidth="1"/>
    <col min="8714" max="8714" width="8.42578125" style="16" customWidth="1"/>
    <col min="8715" max="8716" width="7" style="16" bestFit="1" customWidth="1"/>
    <col min="8717" max="8717" width="6.85546875" style="16" bestFit="1" customWidth="1"/>
    <col min="8718" max="8718" width="7" style="16" bestFit="1" customWidth="1"/>
    <col min="8719" max="8719" width="7.7109375" style="16" customWidth="1"/>
    <col min="8720" max="8722" width="9.140625" style="16"/>
    <col min="8723" max="8723" width="12.42578125" style="16" customWidth="1"/>
    <col min="8724" max="8724" width="9.140625" style="16"/>
    <col min="8725" max="8725" width="12" style="16" customWidth="1"/>
    <col min="8726" max="8960" width="9.140625" style="16"/>
    <col min="8961" max="8961" width="5" style="16" customWidth="1"/>
    <col min="8962" max="8962" width="19" style="16" customWidth="1"/>
    <col min="8963" max="8963" width="7.28515625" style="16" customWidth="1"/>
    <col min="8964" max="8964" width="6.7109375" style="16" bestFit="1" customWidth="1"/>
    <col min="8965" max="8965" width="8.5703125" style="16" bestFit="1" customWidth="1"/>
    <col min="8966" max="8968" width="8.28515625" style="16" customWidth="1"/>
    <col min="8969" max="8969" width="7.140625" style="16" bestFit="1" customWidth="1"/>
    <col min="8970" max="8970" width="8.42578125" style="16" customWidth="1"/>
    <col min="8971" max="8972" width="7" style="16" bestFit="1" customWidth="1"/>
    <col min="8973" max="8973" width="6.85546875" style="16" bestFit="1" customWidth="1"/>
    <col min="8974" max="8974" width="7" style="16" bestFit="1" customWidth="1"/>
    <col min="8975" max="8975" width="7.7109375" style="16" customWidth="1"/>
    <col min="8976" max="8978" width="9.140625" style="16"/>
    <col min="8979" max="8979" width="12.42578125" style="16" customWidth="1"/>
    <col min="8980" max="8980" width="9.140625" style="16"/>
    <col min="8981" max="8981" width="12" style="16" customWidth="1"/>
    <col min="8982" max="9216" width="9.140625" style="16"/>
    <col min="9217" max="9217" width="5" style="16" customWidth="1"/>
    <col min="9218" max="9218" width="19" style="16" customWidth="1"/>
    <col min="9219" max="9219" width="7.28515625" style="16" customWidth="1"/>
    <col min="9220" max="9220" width="6.7109375" style="16" bestFit="1" customWidth="1"/>
    <col min="9221" max="9221" width="8.5703125" style="16" bestFit="1" customWidth="1"/>
    <col min="9222" max="9224" width="8.28515625" style="16" customWidth="1"/>
    <col min="9225" max="9225" width="7.140625" style="16" bestFit="1" customWidth="1"/>
    <col min="9226" max="9226" width="8.42578125" style="16" customWidth="1"/>
    <col min="9227" max="9228" width="7" style="16" bestFit="1" customWidth="1"/>
    <col min="9229" max="9229" width="6.85546875" style="16" bestFit="1" customWidth="1"/>
    <col min="9230" max="9230" width="7" style="16" bestFit="1" customWidth="1"/>
    <col min="9231" max="9231" width="7.7109375" style="16" customWidth="1"/>
    <col min="9232" max="9234" width="9.140625" style="16"/>
    <col min="9235" max="9235" width="12.42578125" style="16" customWidth="1"/>
    <col min="9236" max="9236" width="9.140625" style="16"/>
    <col min="9237" max="9237" width="12" style="16" customWidth="1"/>
    <col min="9238" max="9472" width="9.140625" style="16"/>
    <col min="9473" max="9473" width="5" style="16" customWidth="1"/>
    <col min="9474" max="9474" width="19" style="16" customWidth="1"/>
    <col min="9475" max="9475" width="7.28515625" style="16" customWidth="1"/>
    <col min="9476" max="9476" width="6.7109375" style="16" bestFit="1" customWidth="1"/>
    <col min="9477" max="9477" width="8.5703125" style="16" bestFit="1" customWidth="1"/>
    <col min="9478" max="9480" width="8.28515625" style="16" customWidth="1"/>
    <col min="9481" max="9481" width="7.140625" style="16" bestFit="1" customWidth="1"/>
    <col min="9482" max="9482" width="8.42578125" style="16" customWidth="1"/>
    <col min="9483" max="9484" width="7" style="16" bestFit="1" customWidth="1"/>
    <col min="9485" max="9485" width="6.85546875" style="16" bestFit="1" customWidth="1"/>
    <col min="9486" max="9486" width="7" style="16" bestFit="1" customWidth="1"/>
    <col min="9487" max="9487" width="7.7109375" style="16" customWidth="1"/>
    <col min="9488" max="9490" width="9.140625" style="16"/>
    <col min="9491" max="9491" width="12.42578125" style="16" customWidth="1"/>
    <col min="9492" max="9492" width="9.140625" style="16"/>
    <col min="9493" max="9493" width="12" style="16" customWidth="1"/>
    <col min="9494" max="9728" width="9.140625" style="16"/>
    <col min="9729" max="9729" width="5" style="16" customWidth="1"/>
    <col min="9730" max="9730" width="19" style="16" customWidth="1"/>
    <col min="9731" max="9731" width="7.28515625" style="16" customWidth="1"/>
    <col min="9732" max="9732" width="6.7109375" style="16" bestFit="1" customWidth="1"/>
    <col min="9733" max="9733" width="8.5703125" style="16" bestFit="1" customWidth="1"/>
    <col min="9734" max="9736" width="8.28515625" style="16" customWidth="1"/>
    <col min="9737" max="9737" width="7.140625" style="16" bestFit="1" customWidth="1"/>
    <col min="9738" max="9738" width="8.42578125" style="16" customWidth="1"/>
    <col min="9739" max="9740" width="7" style="16" bestFit="1" customWidth="1"/>
    <col min="9741" max="9741" width="6.85546875" style="16" bestFit="1" customWidth="1"/>
    <col min="9742" max="9742" width="7" style="16" bestFit="1" customWidth="1"/>
    <col min="9743" max="9743" width="7.7109375" style="16" customWidth="1"/>
    <col min="9744" max="9746" width="9.140625" style="16"/>
    <col min="9747" max="9747" width="12.42578125" style="16" customWidth="1"/>
    <col min="9748" max="9748" width="9.140625" style="16"/>
    <col min="9749" max="9749" width="12" style="16" customWidth="1"/>
    <col min="9750" max="9984" width="9.140625" style="16"/>
    <col min="9985" max="9985" width="5" style="16" customWidth="1"/>
    <col min="9986" max="9986" width="19" style="16" customWidth="1"/>
    <col min="9987" max="9987" width="7.28515625" style="16" customWidth="1"/>
    <col min="9988" max="9988" width="6.7109375" style="16" bestFit="1" customWidth="1"/>
    <col min="9989" max="9989" width="8.5703125" style="16" bestFit="1" customWidth="1"/>
    <col min="9990" max="9992" width="8.28515625" style="16" customWidth="1"/>
    <col min="9993" max="9993" width="7.140625" style="16" bestFit="1" customWidth="1"/>
    <col min="9994" max="9994" width="8.42578125" style="16" customWidth="1"/>
    <col min="9995" max="9996" width="7" style="16" bestFit="1" customWidth="1"/>
    <col min="9997" max="9997" width="6.85546875" style="16" bestFit="1" customWidth="1"/>
    <col min="9998" max="9998" width="7" style="16" bestFit="1" customWidth="1"/>
    <col min="9999" max="9999" width="7.7109375" style="16" customWidth="1"/>
    <col min="10000" max="10002" width="9.140625" style="16"/>
    <col min="10003" max="10003" width="12.42578125" style="16" customWidth="1"/>
    <col min="10004" max="10004" width="9.140625" style="16"/>
    <col min="10005" max="10005" width="12" style="16" customWidth="1"/>
    <col min="10006" max="10240" width="9.140625" style="16"/>
    <col min="10241" max="10241" width="5" style="16" customWidth="1"/>
    <col min="10242" max="10242" width="19" style="16" customWidth="1"/>
    <col min="10243" max="10243" width="7.28515625" style="16" customWidth="1"/>
    <col min="10244" max="10244" width="6.7109375" style="16" bestFit="1" customWidth="1"/>
    <col min="10245" max="10245" width="8.5703125" style="16" bestFit="1" customWidth="1"/>
    <col min="10246" max="10248" width="8.28515625" style="16" customWidth="1"/>
    <col min="10249" max="10249" width="7.140625" style="16" bestFit="1" customWidth="1"/>
    <col min="10250" max="10250" width="8.42578125" style="16" customWidth="1"/>
    <col min="10251" max="10252" width="7" style="16" bestFit="1" customWidth="1"/>
    <col min="10253" max="10253" width="6.85546875" style="16" bestFit="1" customWidth="1"/>
    <col min="10254" max="10254" width="7" style="16" bestFit="1" customWidth="1"/>
    <col min="10255" max="10255" width="7.7109375" style="16" customWidth="1"/>
    <col min="10256" max="10258" width="9.140625" style="16"/>
    <col min="10259" max="10259" width="12.42578125" style="16" customWidth="1"/>
    <col min="10260" max="10260" width="9.140625" style="16"/>
    <col min="10261" max="10261" width="12" style="16" customWidth="1"/>
    <col min="10262" max="10496" width="9.140625" style="16"/>
    <col min="10497" max="10497" width="5" style="16" customWidth="1"/>
    <col min="10498" max="10498" width="19" style="16" customWidth="1"/>
    <col min="10499" max="10499" width="7.28515625" style="16" customWidth="1"/>
    <col min="10500" max="10500" width="6.7109375" style="16" bestFit="1" customWidth="1"/>
    <col min="10501" max="10501" width="8.5703125" style="16" bestFit="1" customWidth="1"/>
    <col min="10502" max="10504" width="8.28515625" style="16" customWidth="1"/>
    <col min="10505" max="10505" width="7.140625" style="16" bestFit="1" customWidth="1"/>
    <col min="10506" max="10506" width="8.42578125" style="16" customWidth="1"/>
    <col min="10507" max="10508" width="7" style="16" bestFit="1" customWidth="1"/>
    <col min="10509" max="10509" width="6.85546875" style="16" bestFit="1" customWidth="1"/>
    <col min="10510" max="10510" width="7" style="16" bestFit="1" customWidth="1"/>
    <col min="10511" max="10511" width="7.7109375" style="16" customWidth="1"/>
    <col min="10512" max="10514" width="9.140625" style="16"/>
    <col min="10515" max="10515" width="12.42578125" style="16" customWidth="1"/>
    <col min="10516" max="10516" width="9.140625" style="16"/>
    <col min="10517" max="10517" width="12" style="16" customWidth="1"/>
    <col min="10518" max="10752" width="9.140625" style="16"/>
    <col min="10753" max="10753" width="5" style="16" customWidth="1"/>
    <col min="10754" max="10754" width="19" style="16" customWidth="1"/>
    <col min="10755" max="10755" width="7.28515625" style="16" customWidth="1"/>
    <col min="10756" max="10756" width="6.7109375" style="16" bestFit="1" customWidth="1"/>
    <col min="10757" max="10757" width="8.5703125" style="16" bestFit="1" customWidth="1"/>
    <col min="10758" max="10760" width="8.28515625" style="16" customWidth="1"/>
    <col min="10761" max="10761" width="7.140625" style="16" bestFit="1" customWidth="1"/>
    <col min="10762" max="10762" width="8.42578125" style="16" customWidth="1"/>
    <col min="10763" max="10764" width="7" style="16" bestFit="1" customWidth="1"/>
    <col min="10765" max="10765" width="6.85546875" style="16" bestFit="1" customWidth="1"/>
    <col min="10766" max="10766" width="7" style="16" bestFit="1" customWidth="1"/>
    <col min="10767" max="10767" width="7.7109375" style="16" customWidth="1"/>
    <col min="10768" max="10770" width="9.140625" style="16"/>
    <col min="10771" max="10771" width="12.42578125" style="16" customWidth="1"/>
    <col min="10772" max="10772" width="9.140625" style="16"/>
    <col min="10773" max="10773" width="12" style="16" customWidth="1"/>
    <col min="10774" max="11008" width="9.140625" style="16"/>
    <col min="11009" max="11009" width="5" style="16" customWidth="1"/>
    <col min="11010" max="11010" width="19" style="16" customWidth="1"/>
    <col min="11011" max="11011" width="7.28515625" style="16" customWidth="1"/>
    <col min="11012" max="11012" width="6.7109375" style="16" bestFit="1" customWidth="1"/>
    <col min="11013" max="11013" width="8.5703125" style="16" bestFit="1" customWidth="1"/>
    <col min="11014" max="11016" width="8.28515625" style="16" customWidth="1"/>
    <col min="11017" max="11017" width="7.140625" style="16" bestFit="1" customWidth="1"/>
    <col min="11018" max="11018" width="8.42578125" style="16" customWidth="1"/>
    <col min="11019" max="11020" width="7" style="16" bestFit="1" customWidth="1"/>
    <col min="11021" max="11021" width="6.85546875" style="16" bestFit="1" customWidth="1"/>
    <col min="11022" max="11022" width="7" style="16" bestFit="1" customWidth="1"/>
    <col min="11023" max="11023" width="7.7109375" style="16" customWidth="1"/>
    <col min="11024" max="11026" width="9.140625" style="16"/>
    <col min="11027" max="11027" width="12.42578125" style="16" customWidth="1"/>
    <col min="11028" max="11028" width="9.140625" style="16"/>
    <col min="11029" max="11029" width="12" style="16" customWidth="1"/>
    <col min="11030" max="11264" width="9.140625" style="16"/>
    <col min="11265" max="11265" width="5" style="16" customWidth="1"/>
    <col min="11266" max="11266" width="19" style="16" customWidth="1"/>
    <col min="11267" max="11267" width="7.28515625" style="16" customWidth="1"/>
    <col min="11268" max="11268" width="6.7109375" style="16" bestFit="1" customWidth="1"/>
    <col min="11269" max="11269" width="8.5703125" style="16" bestFit="1" customWidth="1"/>
    <col min="11270" max="11272" width="8.28515625" style="16" customWidth="1"/>
    <col min="11273" max="11273" width="7.140625" style="16" bestFit="1" customWidth="1"/>
    <col min="11274" max="11274" width="8.42578125" style="16" customWidth="1"/>
    <col min="11275" max="11276" width="7" style="16" bestFit="1" customWidth="1"/>
    <col min="11277" max="11277" width="6.85546875" style="16" bestFit="1" customWidth="1"/>
    <col min="11278" max="11278" width="7" style="16" bestFit="1" customWidth="1"/>
    <col min="11279" max="11279" width="7.7109375" style="16" customWidth="1"/>
    <col min="11280" max="11282" width="9.140625" style="16"/>
    <col min="11283" max="11283" width="12.42578125" style="16" customWidth="1"/>
    <col min="11284" max="11284" width="9.140625" style="16"/>
    <col min="11285" max="11285" width="12" style="16" customWidth="1"/>
    <col min="11286" max="11520" width="9.140625" style="16"/>
    <col min="11521" max="11521" width="5" style="16" customWidth="1"/>
    <col min="11522" max="11522" width="19" style="16" customWidth="1"/>
    <col min="11523" max="11523" width="7.28515625" style="16" customWidth="1"/>
    <col min="11524" max="11524" width="6.7109375" style="16" bestFit="1" customWidth="1"/>
    <col min="11525" max="11525" width="8.5703125" style="16" bestFit="1" customWidth="1"/>
    <col min="11526" max="11528" width="8.28515625" style="16" customWidth="1"/>
    <col min="11529" max="11529" width="7.140625" style="16" bestFit="1" customWidth="1"/>
    <col min="11530" max="11530" width="8.42578125" style="16" customWidth="1"/>
    <col min="11531" max="11532" width="7" style="16" bestFit="1" customWidth="1"/>
    <col min="11533" max="11533" width="6.85546875" style="16" bestFit="1" customWidth="1"/>
    <col min="11534" max="11534" width="7" style="16" bestFit="1" customWidth="1"/>
    <col min="11535" max="11535" width="7.7109375" style="16" customWidth="1"/>
    <col min="11536" max="11538" width="9.140625" style="16"/>
    <col min="11539" max="11539" width="12.42578125" style="16" customWidth="1"/>
    <col min="11540" max="11540" width="9.140625" style="16"/>
    <col min="11541" max="11541" width="12" style="16" customWidth="1"/>
    <col min="11542" max="11776" width="9.140625" style="16"/>
    <col min="11777" max="11777" width="5" style="16" customWidth="1"/>
    <col min="11778" max="11778" width="19" style="16" customWidth="1"/>
    <col min="11779" max="11779" width="7.28515625" style="16" customWidth="1"/>
    <col min="11780" max="11780" width="6.7109375" style="16" bestFit="1" customWidth="1"/>
    <col min="11781" max="11781" width="8.5703125" style="16" bestFit="1" customWidth="1"/>
    <col min="11782" max="11784" width="8.28515625" style="16" customWidth="1"/>
    <col min="11785" max="11785" width="7.140625" style="16" bestFit="1" customWidth="1"/>
    <col min="11786" max="11786" width="8.42578125" style="16" customWidth="1"/>
    <col min="11787" max="11788" width="7" style="16" bestFit="1" customWidth="1"/>
    <col min="11789" max="11789" width="6.85546875" style="16" bestFit="1" customWidth="1"/>
    <col min="11790" max="11790" width="7" style="16" bestFit="1" customWidth="1"/>
    <col min="11791" max="11791" width="7.7109375" style="16" customWidth="1"/>
    <col min="11792" max="11794" width="9.140625" style="16"/>
    <col min="11795" max="11795" width="12.42578125" style="16" customWidth="1"/>
    <col min="11796" max="11796" width="9.140625" style="16"/>
    <col min="11797" max="11797" width="12" style="16" customWidth="1"/>
    <col min="11798" max="12032" width="9.140625" style="16"/>
    <col min="12033" max="12033" width="5" style="16" customWidth="1"/>
    <col min="12034" max="12034" width="19" style="16" customWidth="1"/>
    <col min="12035" max="12035" width="7.28515625" style="16" customWidth="1"/>
    <col min="12036" max="12036" width="6.7109375" style="16" bestFit="1" customWidth="1"/>
    <col min="12037" max="12037" width="8.5703125" style="16" bestFit="1" customWidth="1"/>
    <col min="12038" max="12040" width="8.28515625" style="16" customWidth="1"/>
    <col min="12041" max="12041" width="7.140625" style="16" bestFit="1" customWidth="1"/>
    <col min="12042" max="12042" width="8.42578125" style="16" customWidth="1"/>
    <col min="12043" max="12044" width="7" style="16" bestFit="1" customWidth="1"/>
    <col min="12045" max="12045" width="6.85546875" style="16" bestFit="1" customWidth="1"/>
    <col min="12046" max="12046" width="7" style="16" bestFit="1" customWidth="1"/>
    <col min="12047" max="12047" width="7.7109375" style="16" customWidth="1"/>
    <col min="12048" max="12050" width="9.140625" style="16"/>
    <col min="12051" max="12051" width="12.42578125" style="16" customWidth="1"/>
    <col min="12052" max="12052" width="9.140625" style="16"/>
    <col min="12053" max="12053" width="12" style="16" customWidth="1"/>
    <col min="12054" max="12288" width="9.140625" style="16"/>
    <col min="12289" max="12289" width="5" style="16" customWidth="1"/>
    <col min="12290" max="12290" width="19" style="16" customWidth="1"/>
    <col min="12291" max="12291" width="7.28515625" style="16" customWidth="1"/>
    <col min="12292" max="12292" width="6.7109375" style="16" bestFit="1" customWidth="1"/>
    <col min="12293" max="12293" width="8.5703125" style="16" bestFit="1" customWidth="1"/>
    <col min="12294" max="12296" width="8.28515625" style="16" customWidth="1"/>
    <col min="12297" max="12297" width="7.140625" style="16" bestFit="1" customWidth="1"/>
    <col min="12298" max="12298" width="8.42578125" style="16" customWidth="1"/>
    <col min="12299" max="12300" width="7" style="16" bestFit="1" customWidth="1"/>
    <col min="12301" max="12301" width="6.85546875" style="16" bestFit="1" customWidth="1"/>
    <col min="12302" max="12302" width="7" style="16" bestFit="1" customWidth="1"/>
    <col min="12303" max="12303" width="7.7109375" style="16" customWidth="1"/>
    <col min="12304" max="12306" width="9.140625" style="16"/>
    <col min="12307" max="12307" width="12.42578125" style="16" customWidth="1"/>
    <col min="12308" max="12308" width="9.140625" style="16"/>
    <col min="12309" max="12309" width="12" style="16" customWidth="1"/>
    <col min="12310" max="12544" width="9.140625" style="16"/>
    <col min="12545" max="12545" width="5" style="16" customWidth="1"/>
    <col min="12546" max="12546" width="19" style="16" customWidth="1"/>
    <col min="12547" max="12547" width="7.28515625" style="16" customWidth="1"/>
    <col min="12548" max="12548" width="6.7109375" style="16" bestFit="1" customWidth="1"/>
    <col min="12549" max="12549" width="8.5703125" style="16" bestFit="1" customWidth="1"/>
    <col min="12550" max="12552" width="8.28515625" style="16" customWidth="1"/>
    <col min="12553" max="12553" width="7.140625" style="16" bestFit="1" customWidth="1"/>
    <col min="12554" max="12554" width="8.42578125" style="16" customWidth="1"/>
    <col min="12555" max="12556" width="7" style="16" bestFit="1" customWidth="1"/>
    <col min="12557" max="12557" width="6.85546875" style="16" bestFit="1" customWidth="1"/>
    <col min="12558" max="12558" width="7" style="16" bestFit="1" customWidth="1"/>
    <col min="12559" max="12559" width="7.7109375" style="16" customWidth="1"/>
    <col min="12560" max="12562" width="9.140625" style="16"/>
    <col min="12563" max="12563" width="12.42578125" style="16" customWidth="1"/>
    <col min="12564" max="12564" width="9.140625" style="16"/>
    <col min="12565" max="12565" width="12" style="16" customWidth="1"/>
    <col min="12566" max="12800" width="9.140625" style="16"/>
    <col min="12801" max="12801" width="5" style="16" customWidth="1"/>
    <col min="12802" max="12802" width="19" style="16" customWidth="1"/>
    <col min="12803" max="12803" width="7.28515625" style="16" customWidth="1"/>
    <col min="12804" max="12804" width="6.7109375" style="16" bestFit="1" customWidth="1"/>
    <col min="12805" max="12805" width="8.5703125" style="16" bestFit="1" customWidth="1"/>
    <col min="12806" max="12808" width="8.28515625" style="16" customWidth="1"/>
    <col min="12809" max="12809" width="7.140625" style="16" bestFit="1" customWidth="1"/>
    <col min="12810" max="12810" width="8.42578125" style="16" customWidth="1"/>
    <col min="12811" max="12812" width="7" style="16" bestFit="1" customWidth="1"/>
    <col min="12813" max="12813" width="6.85546875" style="16" bestFit="1" customWidth="1"/>
    <col min="12814" max="12814" width="7" style="16" bestFit="1" customWidth="1"/>
    <col min="12815" max="12815" width="7.7109375" style="16" customWidth="1"/>
    <col min="12816" max="12818" width="9.140625" style="16"/>
    <col min="12819" max="12819" width="12.42578125" style="16" customWidth="1"/>
    <col min="12820" max="12820" width="9.140625" style="16"/>
    <col min="12821" max="12821" width="12" style="16" customWidth="1"/>
    <col min="12822" max="13056" width="9.140625" style="16"/>
    <col min="13057" max="13057" width="5" style="16" customWidth="1"/>
    <col min="13058" max="13058" width="19" style="16" customWidth="1"/>
    <col min="13059" max="13059" width="7.28515625" style="16" customWidth="1"/>
    <col min="13060" max="13060" width="6.7109375" style="16" bestFit="1" customWidth="1"/>
    <col min="13061" max="13061" width="8.5703125" style="16" bestFit="1" customWidth="1"/>
    <col min="13062" max="13064" width="8.28515625" style="16" customWidth="1"/>
    <col min="13065" max="13065" width="7.140625" style="16" bestFit="1" customWidth="1"/>
    <col min="13066" max="13066" width="8.42578125" style="16" customWidth="1"/>
    <col min="13067" max="13068" width="7" style="16" bestFit="1" customWidth="1"/>
    <col min="13069" max="13069" width="6.85546875" style="16" bestFit="1" customWidth="1"/>
    <col min="13070" max="13070" width="7" style="16" bestFit="1" customWidth="1"/>
    <col min="13071" max="13071" width="7.7109375" style="16" customWidth="1"/>
    <col min="13072" max="13074" width="9.140625" style="16"/>
    <col min="13075" max="13075" width="12.42578125" style="16" customWidth="1"/>
    <col min="13076" max="13076" width="9.140625" style="16"/>
    <col min="13077" max="13077" width="12" style="16" customWidth="1"/>
    <col min="13078" max="13312" width="9.140625" style="16"/>
    <col min="13313" max="13313" width="5" style="16" customWidth="1"/>
    <col min="13314" max="13314" width="19" style="16" customWidth="1"/>
    <col min="13315" max="13315" width="7.28515625" style="16" customWidth="1"/>
    <col min="13316" max="13316" width="6.7109375" style="16" bestFit="1" customWidth="1"/>
    <col min="13317" max="13317" width="8.5703125" style="16" bestFit="1" customWidth="1"/>
    <col min="13318" max="13320" width="8.28515625" style="16" customWidth="1"/>
    <col min="13321" max="13321" width="7.140625" style="16" bestFit="1" customWidth="1"/>
    <col min="13322" max="13322" width="8.42578125" style="16" customWidth="1"/>
    <col min="13323" max="13324" width="7" style="16" bestFit="1" customWidth="1"/>
    <col min="13325" max="13325" width="6.85546875" style="16" bestFit="1" customWidth="1"/>
    <col min="13326" max="13326" width="7" style="16" bestFit="1" customWidth="1"/>
    <col min="13327" max="13327" width="7.7109375" style="16" customWidth="1"/>
    <col min="13328" max="13330" width="9.140625" style="16"/>
    <col min="13331" max="13331" width="12.42578125" style="16" customWidth="1"/>
    <col min="13332" max="13332" width="9.140625" style="16"/>
    <col min="13333" max="13333" width="12" style="16" customWidth="1"/>
    <col min="13334" max="13568" width="9.140625" style="16"/>
    <col min="13569" max="13569" width="5" style="16" customWidth="1"/>
    <col min="13570" max="13570" width="19" style="16" customWidth="1"/>
    <col min="13571" max="13571" width="7.28515625" style="16" customWidth="1"/>
    <col min="13572" max="13572" width="6.7109375" style="16" bestFit="1" customWidth="1"/>
    <col min="13573" max="13573" width="8.5703125" style="16" bestFit="1" customWidth="1"/>
    <col min="13574" max="13576" width="8.28515625" style="16" customWidth="1"/>
    <col min="13577" max="13577" width="7.140625" style="16" bestFit="1" customWidth="1"/>
    <col min="13578" max="13578" width="8.42578125" style="16" customWidth="1"/>
    <col min="13579" max="13580" width="7" style="16" bestFit="1" customWidth="1"/>
    <col min="13581" max="13581" width="6.85546875" style="16" bestFit="1" customWidth="1"/>
    <col min="13582" max="13582" width="7" style="16" bestFit="1" customWidth="1"/>
    <col min="13583" max="13583" width="7.7109375" style="16" customWidth="1"/>
    <col min="13584" max="13586" width="9.140625" style="16"/>
    <col min="13587" max="13587" width="12.42578125" style="16" customWidth="1"/>
    <col min="13588" max="13588" width="9.140625" style="16"/>
    <col min="13589" max="13589" width="12" style="16" customWidth="1"/>
    <col min="13590" max="13824" width="9.140625" style="16"/>
    <col min="13825" max="13825" width="5" style="16" customWidth="1"/>
    <col min="13826" max="13826" width="19" style="16" customWidth="1"/>
    <col min="13827" max="13827" width="7.28515625" style="16" customWidth="1"/>
    <col min="13828" max="13828" width="6.7109375" style="16" bestFit="1" customWidth="1"/>
    <col min="13829" max="13829" width="8.5703125" style="16" bestFit="1" customWidth="1"/>
    <col min="13830" max="13832" width="8.28515625" style="16" customWidth="1"/>
    <col min="13833" max="13833" width="7.140625" style="16" bestFit="1" customWidth="1"/>
    <col min="13834" max="13834" width="8.42578125" style="16" customWidth="1"/>
    <col min="13835" max="13836" width="7" style="16" bestFit="1" customWidth="1"/>
    <col min="13837" max="13837" width="6.85546875" style="16" bestFit="1" customWidth="1"/>
    <col min="13838" max="13838" width="7" style="16" bestFit="1" customWidth="1"/>
    <col min="13839" max="13839" width="7.7109375" style="16" customWidth="1"/>
    <col min="13840" max="13842" width="9.140625" style="16"/>
    <col min="13843" max="13843" width="12.42578125" style="16" customWidth="1"/>
    <col min="13844" max="13844" width="9.140625" style="16"/>
    <col min="13845" max="13845" width="12" style="16" customWidth="1"/>
    <col min="13846" max="14080" width="9.140625" style="16"/>
    <col min="14081" max="14081" width="5" style="16" customWidth="1"/>
    <col min="14082" max="14082" width="19" style="16" customWidth="1"/>
    <col min="14083" max="14083" width="7.28515625" style="16" customWidth="1"/>
    <col min="14084" max="14084" width="6.7109375" style="16" bestFit="1" customWidth="1"/>
    <col min="14085" max="14085" width="8.5703125" style="16" bestFit="1" customWidth="1"/>
    <col min="14086" max="14088" width="8.28515625" style="16" customWidth="1"/>
    <col min="14089" max="14089" width="7.140625" style="16" bestFit="1" customWidth="1"/>
    <col min="14090" max="14090" width="8.42578125" style="16" customWidth="1"/>
    <col min="14091" max="14092" width="7" style="16" bestFit="1" customWidth="1"/>
    <col min="14093" max="14093" width="6.85546875" style="16" bestFit="1" customWidth="1"/>
    <col min="14094" max="14094" width="7" style="16" bestFit="1" customWidth="1"/>
    <col min="14095" max="14095" width="7.7109375" style="16" customWidth="1"/>
    <col min="14096" max="14098" width="9.140625" style="16"/>
    <col min="14099" max="14099" width="12.42578125" style="16" customWidth="1"/>
    <col min="14100" max="14100" width="9.140625" style="16"/>
    <col min="14101" max="14101" width="12" style="16" customWidth="1"/>
    <col min="14102" max="14336" width="9.140625" style="16"/>
    <col min="14337" max="14337" width="5" style="16" customWidth="1"/>
    <col min="14338" max="14338" width="19" style="16" customWidth="1"/>
    <col min="14339" max="14339" width="7.28515625" style="16" customWidth="1"/>
    <col min="14340" max="14340" width="6.7109375" style="16" bestFit="1" customWidth="1"/>
    <col min="14341" max="14341" width="8.5703125" style="16" bestFit="1" customWidth="1"/>
    <col min="14342" max="14344" width="8.28515625" style="16" customWidth="1"/>
    <col min="14345" max="14345" width="7.140625" style="16" bestFit="1" customWidth="1"/>
    <col min="14346" max="14346" width="8.42578125" style="16" customWidth="1"/>
    <col min="14347" max="14348" width="7" style="16" bestFit="1" customWidth="1"/>
    <col min="14349" max="14349" width="6.85546875" style="16" bestFit="1" customWidth="1"/>
    <col min="14350" max="14350" width="7" style="16" bestFit="1" customWidth="1"/>
    <col min="14351" max="14351" width="7.7109375" style="16" customWidth="1"/>
    <col min="14352" max="14354" width="9.140625" style="16"/>
    <col min="14355" max="14355" width="12.42578125" style="16" customWidth="1"/>
    <col min="14356" max="14356" width="9.140625" style="16"/>
    <col min="14357" max="14357" width="12" style="16" customWidth="1"/>
    <col min="14358" max="14592" width="9.140625" style="16"/>
    <col min="14593" max="14593" width="5" style="16" customWidth="1"/>
    <col min="14594" max="14594" width="19" style="16" customWidth="1"/>
    <col min="14595" max="14595" width="7.28515625" style="16" customWidth="1"/>
    <col min="14596" max="14596" width="6.7109375" style="16" bestFit="1" customWidth="1"/>
    <col min="14597" max="14597" width="8.5703125" style="16" bestFit="1" customWidth="1"/>
    <col min="14598" max="14600" width="8.28515625" style="16" customWidth="1"/>
    <col min="14601" max="14601" width="7.140625" style="16" bestFit="1" customWidth="1"/>
    <col min="14602" max="14602" width="8.42578125" style="16" customWidth="1"/>
    <col min="14603" max="14604" width="7" style="16" bestFit="1" customWidth="1"/>
    <col min="14605" max="14605" width="6.85546875" style="16" bestFit="1" customWidth="1"/>
    <col min="14606" max="14606" width="7" style="16" bestFit="1" customWidth="1"/>
    <col min="14607" max="14607" width="7.7109375" style="16" customWidth="1"/>
    <col min="14608" max="14610" width="9.140625" style="16"/>
    <col min="14611" max="14611" width="12.42578125" style="16" customWidth="1"/>
    <col min="14612" max="14612" width="9.140625" style="16"/>
    <col min="14613" max="14613" width="12" style="16" customWidth="1"/>
    <col min="14614" max="14848" width="9.140625" style="16"/>
    <col min="14849" max="14849" width="5" style="16" customWidth="1"/>
    <col min="14850" max="14850" width="19" style="16" customWidth="1"/>
    <col min="14851" max="14851" width="7.28515625" style="16" customWidth="1"/>
    <col min="14852" max="14852" width="6.7109375" style="16" bestFit="1" customWidth="1"/>
    <col min="14853" max="14853" width="8.5703125" style="16" bestFit="1" customWidth="1"/>
    <col min="14854" max="14856" width="8.28515625" style="16" customWidth="1"/>
    <col min="14857" max="14857" width="7.140625" style="16" bestFit="1" customWidth="1"/>
    <col min="14858" max="14858" width="8.42578125" style="16" customWidth="1"/>
    <col min="14859" max="14860" width="7" style="16" bestFit="1" customWidth="1"/>
    <col min="14861" max="14861" width="6.85546875" style="16" bestFit="1" customWidth="1"/>
    <col min="14862" max="14862" width="7" style="16" bestFit="1" customWidth="1"/>
    <col min="14863" max="14863" width="7.7109375" style="16" customWidth="1"/>
    <col min="14864" max="14866" width="9.140625" style="16"/>
    <col min="14867" max="14867" width="12.42578125" style="16" customWidth="1"/>
    <col min="14868" max="14868" width="9.140625" style="16"/>
    <col min="14869" max="14869" width="12" style="16" customWidth="1"/>
    <col min="14870" max="15104" width="9.140625" style="16"/>
    <col min="15105" max="15105" width="5" style="16" customWidth="1"/>
    <col min="15106" max="15106" width="19" style="16" customWidth="1"/>
    <col min="15107" max="15107" width="7.28515625" style="16" customWidth="1"/>
    <col min="15108" max="15108" width="6.7109375" style="16" bestFit="1" customWidth="1"/>
    <col min="15109" max="15109" width="8.5703125" style="16" bestFit="1" customWidth="1"/>
    <col min="15110" max="15112" width="8.28515625" style="16" customWidth="1"/>
    <col min="15113" max="15113" width="7.140625" style="16" bestFit="1" customWidth="1"/>
    <col min="15114" max="15114" width="8.42578125" style="16" customWidth="1"/>
    <col min="15115" max="15116" width="7" style="16" bestFit="1" customWidth="1"/>
    <col min="15117" max="15117" width="6.85546875" style="16" bestFit="1" customWidth="1"/>
    <col min="15118" max="15118" width="7" style="16" bestFit="1" customWidth="1"/>
    <col min="15119" max="15119" width="7.7109375" style="16" customWidth="1"/>
    <col min="15120" max="15122" width="9.140625" style="16"/>
    <col min="15123" max="15123" width="12.42578125" style="16" customWidth="1"/>
    <col min="15124" max="15124" width="9.140625" style="16"/>
    <col min="15125" max="15125" width="12" style="16" customWidth="1"/>
    <col min="15126" max="15360" width="9.140625" style="16"/>
    <col min="15361" max="15361" width="5" style="16" customWidth="1"/>
    <col min="15362" max="15362" width="19" style="16" customWidth="1"/>
    <col min="15363" max="15363" width="7.28515625" style="16" customWidth="1"/>
    <col min="15364" max="15364" width="6.7109375" style="16" bestFit="1" customWidth="1"/>
    <col min="15365" max="15365" width="8.5703125" style="16" bestFit="1" customWidth="1"/>
    <col min="15366" max="15368" width="8.28515625" style="16" customWidth="1"/>
    <col min="15369" max="15369" width="7.140625" style="16" bestFit="1" customWidth="1"/>
    <col min="15370" max="15370" width="8.42578125" style="16" customWidth="1"/>
    <col min="15371" max="15372" width="7" style="16" bestFit="1" customWidth="1"/>
    <col min="15373" max="15373" width="6.85546875" style="16" bestFit="1" customWidth="1"/>
    <col min="15374" max="15374" width="7" style="16" bestFit="1" customWidth="1"/>
    <col min="15375" max="15375" width="7.7109375" style="16" customWidth="1"/>
    <col min="15376" max="15378" width="9.140625" style="16"/>
    <col min="15379" max="15379" width="12.42578125" style="16" customWidth="1"/>
    <col min="15380" max="15380" width="9.140625" style="16"/>
    <col min="15381" max="15381" width="12" style="16" customWidth="1"/>
    <col min="15382" max="15616" width="9.140625" style="16"/>
    <col min="15617" max="15617" width="5" style="16" customWidth="1"/>
    <col min="15618" max="15618" width="19" style="16" customWidth="1"/>
    <col min="15619" max="15619" width="7.28515625" style="16" customWidth="1"/>
    <col min="15620" max="15620" width="6.7109375" style="16" bestFit="1" customWidth="1"/>
    <col min="15621" max="15621" width="8.5703125" style="16" bestFit="1" customWidth="1"/>
    <col min="15622" max="15624" width="8.28515625" style="16" customWidth="1"/>
    <col min="15625" max="15625" width="7.140625" style="16" bestFit="1" customWidth="1"/>
    <col min="15626" max="15626" width="8.42578125" style="16" customWidth="1"/>
    <col min="15627" max="15628" width="7" style="16" bestFit="1" customWidth="1"/>
    <col min="15629" max="15629" width="6.85546875" style="16" bestFit="1" customWidth="1"/>
    <col min="15630" max="15630" width="7" style="16" bestFit="1" customWidth="1"/>
    <col min="15631" max="15631" width="7.7109375" style="16" customWidth="1"/>
    <col min="15632" max="15634" width="9.140625" style="16"/>
    <col min="15635" max="15635" width="12.42578125" style="16" customWidth="1"/>
    <col min="15636" max="15636" width="9.140625" style="16"/>
    <col min="15637" max="15637" width="12" style="16" customWidth="1"/>
    <col min="15638" max="15872" width="9.140625" style="16"/>
    <col min="15873" max="15873" width="5" style="16" customWidth="1"/>
    <col min="15874" max="15874" width="19" style="16" customWidth="1"/>
    <col min="15875" max="15875" width="7.28515625" style="16" customWidth="1"/>
    <col min="15876" max="15876" width="6.7109375" style="16" bestFit="1" customWidth="1"/>
    <col min="15877" max="15877" width="8.5703125" style="16" bestFit="1" customWidth="1"/>
    <col min="15878" max="15880" width="8.28515625" style="16" customWidth="1"/>
    <col min="15881" max="15881" width="7.140625" style="16" bestFit="1" customWidth="1"/>
    <col min="15882" max="15882" width="8.42578125" style="16" customWidth="1"/>
    <col min="15883" max="15884" width="7" style="16" bestFit="1" customWidth="1"/>
    <col min="15885" max="15885" width="6.85546875" style="16" bestFit="1" customWidth="1"/>
    <col min="15886" max="15886" width="7" style="16" bestFit="1" customWidth="1"/>
    <col min="15887" max="15887" width="7.7109375" style="16" customWidth="1"/>
    <col min="15888" max="15890" width="9.140625" style="16"/>
    <col min="15891" max="15891" width="12.42578125" style="16" customWidth="1"/>
    <col min="15892" max="15892" width="9.140625" style="16"/>
    <col min="15893" max="15893" width="12" style="16" customWidth="1"/>
    <col min="15894" max="16128" width="9.140625" style="16"/>
    <col min="16129" max="16129" width="5" style="16" customWidth="1"/>
    <col min="16130" max="16130" width="19" style="16" customWidth="1"/>
    <col min="16131" max="16131" width="7.28515625" style="16" customWidth="1"/>
    <col min="16132" max="16132" width="6.7109375" style="16" bestFit="1" customWidth="1"/>
    <col min="16133" max="16133" width="8.5703125" style="16" bestFit="1" customWidth="1"/>
    <col min="16134" max="16136" width="8.28515625" style="16" customWidth="1"/>
    <col min="16137" max="16137" width="7.140625" style="16" bestFit="1" customWidth="1"/>
    <col min="16138" max="16138" width="8.42578125" style="16" customWidth="1"/>
    <col min="16139" max="16140" width="7" style="16" bestFit="1" customWidth="1"/>
    <col min="16141" max="16141" width="6.85546875" style="16" bestFit="1" customWidth="1"/>
    <col min="16142" max="16142" width="7" style="16" bestFit="1" customWidth="1"/>
    <col min="16143" max="16143" width="7.7109375" style="16" customWidth="1"/>
    <col min="16144" max="16146" width="9.140625" style="16"/>
    <col min="16147" max="16147" width="12.42578125" style="16" customWidth="1"/>
    <col min="16148" max="16148" width="9.140625" style="16"/>
    <col min="16149" max="16149" width="12" style="16" customWidth="1"/>
    <col min="16150" max="16384" width="9.140625" style="16"/>
  </cols>
  <sheetData>
    <row r="1" spans="1:15" s="1" customFormat="1" x14ac:dyDescent="0.2">
      <c r="A1" s="867" t="s">
        <v>449</v>
      </c>
      <c r="B1" s="868"/>
      <c r="C1" s="868"/>
      <c r="D1" s="869"/>
      <c r="E1" s="868"/>
      <c r="F1" s="868"/>
      <c r="G1" s="867" t="s">
        <v>102</v>
      </c>
      <c r="H1" s="869"/>
      <c r="I1" s="869" t="s">
        <v>925</v>
      </c>
      <c r="J1" s="868"/>
      <c r="K1" s="868"/>
      <c r="L1" s="870"/>
      <c r="M1" s="870"/>
      <c r="N1" s="870"/>
      <c r="O1" s="870"/>
    </row>
    <row r="2" spans="1:15" s="1" customFormat="1" x14ac:dyDescent="0.2">
      <c r="A2" s="867" t="s">
        <v>103</v>
      </c>
      <c r="B2" s="868"/>
      <c r="C2" s="868"/>
      <c r="D2" s="869"/>
      <c r="E2" s="868"/>
      <c r="F2" s="868"/>
      <c r="G2" s="867" t="s">
        <v>104</v>
      </c>
      <c r="H2" s="869"/>
      <c r="I2" s="869" t="s">
        <v>105</v>
      </c>
      <c r="J2" s="868"/>
      <c r="K2" s="868"/>
      <c r="L2" s="870"/>
      <c r="M2" s="870"/>
      <c r="N2" s="870"/>
      <c r="O2" s="870"/>
    </row>
    <row r="3" spans="1:15" s="1" customFormat="1" x14ac:dyDescent="0.2">
      <c r="A3" s="867" t="s">
        <v>106</v>
      </c>
      <c r="B3" s="868"/>
      <c r="C3" s="868"/>
      <c r="D3" s="881" t="s">
        <v>1114</v>
      </c>
      <c r="E3" s="882"/>
      <c r="F3" s="882"/>
      <c r="G3" s="867" t="s">
        <v>107</v>
      </c>
      <c r="H3" s="869"/>
      <c r="I3" s="869" t="s">
        <v>108</v>
      </c>
      <c r="J3" s="868"/>
      <c r="K3" s="868"/>
      <c r="L3" s="870"/>
      <c r="M3" s="870"/>
      <c r="N3" s="870"/>
      <c r="O3" s="870"/>
    </row>
    <row r="4" spans="1:15" s="1" customFormat="1" x14ac:dyDescent="0.2">
      <c r="A4" s="867" t="s">
        <v>109</v>
      </c>
      <c r="B4" s="868"/>
      <c r="C4" s="868"/>
      <c r="D4" s="883"/>
      <c r="E4" s="868"/>
      <c r="F4" s="868"/>
      <c r="G4" s="867" t="s">
        <v>110</v>
      </c>
      <c r="H4" s="869"/>
      <c r="I4" s="869" t="s">
        <v>478</v>
      </c>
      <c r="J4" s="868"/>
      <c r="K4" s="868"/>
      <c r="L4" s="870"/>
      <c r="M4" s="870"/>
      <c r="N4" s="870"/>
      <c r="O4" s="870"/>
    </row>
    <row r="5" spans="1:15" s="1" customFormat="1" x14ac:dyDescent="0.2">
      <c r="A5" s="867" t="s">
        <v>476</v>
      </c>
      <c r="B5" s="868"/>
      <c r="C5" s="868"/>
      <c r="D5" s="869" t="s">
        <v>1115</v>
      </c>
      <c r="E5" s="868"/>
      <c r="F5" s="868"/>
      <c r="G5" s="867"/>
      <c r="H5" s="868"/>
      <c r="I5" s="869" t="s">
        <v>113</v>
      </c>
      <c r="J5" s="868"/>
      <c r="K5" s="868"/>
      <c r="L5" s="870"/>
      <c r="M5" s="870"/>
      <c r="N5" s="870"/>
      <c r="O5" s="870"/>
    </row>
    <row r="6" spans="1:15" s="1" customFormat="1" x14ac:dyDescent="0.2">
      <c r="A6" s="871" t="s">
        <v>114</v>
      </c>
      <c r="B6" s="872"/>
      <c r="C6" s="872"/>
      <c r="D6" s="868" t="s">
        <v>926</v>
      </c>
      <c r="E6" s="868"/>
      <c r="F6" s="868"/>
      <c r="G6" s="871" t="s">
        <v>115</v>
      </c>
      <c r="H6" s="871"/>
      <c r="I6" s="2" t="s">
        <v>222</v>
      </c>
      <c r="J6" s="873"/>
      <c r="K6" s="873"/>
      <c r="L6" s="873"/>
      <c r="M6" s="873"/>
      <c r="N6" s="873"/>
      <c r="O6" s="874"/>
    </row>
    <row r="7" spans="1:15" s="1" customFormat="1" ht="13.5" thickBot="1" x14ac:dyDescent="0.25">
      <c r="A7" s="3"/>
      <c r="B7" s="4"/>
      <c r="C7" s="5"/>
      <c r="D7" s="6"/>
      <c r="E7" s="6"/>
      <c r="F7" s="6"/>
      <c r="G7" s="6"/>
      <c r="H7" s="6"/>
      <c r="I7" s="6"/>
      <c r="J7" s="7"/>
      <c r="K7" s="8"/>
      <c r="L7" s="875" t="s">
        <v>223</v>
      </c>
      <c r="M7" s="875"/>
      <c r="N7" s="875"/>
      <c r="O7" s="875"/>
    </row>
    <row r="8" spans="1:15" s="11" customFormat="1" x14ac:dyDescent="0.2">
      <c r="A8" s="876" t="str">
        <f>I1</f>
        <v>Mr. N. R. Soni</v>
      </c>
      <c r="B8" s="877"/>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98700</v>
      </c>
      <c r="D9" s="14">
        <v>98700</v>
      </c>
      <c r="E9" s="14">
        <v>98700</v>
      </c>
      <c r="F9" s="14">
        <v>98700</v>
      </c>
      <c r="G9" s="14">
        <v>101700</v>
      </c>
      <c r="H9" s="14">
        <v>3281</v>
      </c>
      <c r="I9" s="14">
        <v>0</v>
      </c>
      <c r="J9" s="14">
        <v>0</v>
      </c>
      <c r="K9" s="14">
        <v>0</v>
      </c>
      <c r="L9" s="14">
        <v>0</v>
      </c>
      <c r="M9" s="14">
        <v>0</v>
      </c>
      <c r="N9" s="14">
        <v>0</v>
      </c>
      <c r="O9" s="15">
        <f>SUM(C9:N9)</f>
        <v>499781</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4935</v>
      </c>
      <c r="D11" s="17">
        <v>6909</v>
      </c>
      <c r="E11" s="17">
        <v>6909</v>
      </c>
      <c r="F11" s="17">
        <v>6909</v>
      </c>
      <c r="G11" s="17">
        <v>7119</v>
      </c>
      <c r="H11" s="17">
        <v>230</v>
      </c>
      <c r="I11" s="17">
        <v>0</v>
      </c>
      <c r="J11" s="17">
        <v>0</v>
      </c>
      <c r="K11" s="17">
        <v>0</v>
      </c>
      <c r="L11" s="17">
        <v>0</v>
      </c>
      <c r="M11" s="17">
        <v>0</v>
      </c>
      <c r="N11" s="17">
        <v>0</v>
      </c>
      <c r="O11" s="18">
        <f>SUM(C11:N11)</f>
        <v>33011</v>
      </c>
    </row>
    <row r="12" spans="1:15"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x14ac:dyDescent="0.2">
      <c r="A14" s="12"/>
      <c r="B14" s="13" t="s">
        <v>123</v>
      </c>
      <c r="C14" s="17">
        <v>7560</v>
      </c>
      <c r="D14" s="17">
        <v>7704</v>
      </c>
      <c r="E14" s="17">
        <v>7704</v>
      </c>
      <c r="F14" s="17">
        <v>7704</v>
      </c>
      <c r="G14" s="17">
        <v>7704</v>
      </c>
      <c r="H14" s="17">
        <v>7704</v>
      </c>
      <c r="I14" s="17">
        <v>0</v>
      </c>
      <c r="J14" s="17">
        <v>0</v>
      </c>
      <c r="K14" s="17">
        <v>0</v>
      </c>
      <c r="L14" s="17">
        <v>0</v>
      </c>
      <c r="M14" s="17">
        <v>0</v>
      </c>
      <c r="N14" s="17">
        <v>0</v>
      </c>
      <c r="O14" s="18">
        <f t="shared" si="0"/>
        <v>46080</v>
      </c>
    </row>
    <row r="15" spans="1:15"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hidden="1"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23688</v>
      </c>
      <c r="D19" s="17">
        <v>23688</v>
      </c>
      <c r="E19" s="17">
        <v>23688</v>
      </c>
      <c r="F19" s="17">
        <v>23688</v>
      </c>
      <c r="G19" s="17">
        <v>24408</v>
      </c>
      <c r="H19" s="17">
        <v>787</v>
      </c>
      <c r="I19" s="17">
        <v>0</v>
      </c>
      <c r="J19" s="17">
        <v>0</v>
      </c>
      <c r="K19" s="17">
        <v>0</v>
      </c>
      <c r="L19" s="17">
        <v>0</v>
      </c>
      <c r="M19" s="17">
        <v>0</v>
      </c>
      <c r="N19" s="17">
        <v>0</v>
      </c>
      <c r="O19" s="18">
        <f t="shared" si="0"/>
        <v>119947</v>
      </c>
    </row>
    <row r="20" spans="1:15" ht="15" customHeight="1" x14ac:dyDescent="0.2">
      <c r="A20" s="12"/>
      <c r="B20" s="13" t="s">
        <v>129</v>
      </c>
      <c r="C20" s="17">
        <v>0</v>
      </c>
      <c r="D20" s="17">
        <v>0</v>
      </c>
      <c r="E20" s="17">
        <v>0</v>
      </c>
      <c r="F20" s="17">
        <v>0</v>
      </c>
      <c r="G20" s="17">
        <v>26250</v>
      </c>
      <c r="H20" s="17">
        <v>0</v>
      </c>
      <c r="I20" s="17">
        <v>0</v>
      </c>
      <c r="J20" s="17">
        <v>0</v>
      </c>
      <c r="K20" s="17">
        <v>0</v>
      </c>
      <c r="L20" s="17">
        <v>0</v>
      </c>
      <c r="M20" s="17">
        <v>0</v>
      </c>
      <c r="N20" s="17">
        <v>0</v>
      </c>
      <c r="O20" s="18">
        <f t="shared" si="0"/>
        <v>26250</v>
      </c>
    </row>
    <row r="21" spans="1:15" ht="15" hidden="1" customHeight="1" x14ac:dyDescent="0.2">
      <c r="A21" s="878"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79"/>
      <c r="B22" s="19" t="s">
        <v>137</v>
      </c>
      <c r="C22" s="17">
        <v>0</v>
      </c>
      <c r="D22" s="17">
        <v>0</v>
      </c>
      <c r="E22" s="17">
        <v>0</v>
      </c>
      <c r="F22" s="17">
        <v>0</v>
      </c>
      <c r="G22" s="17">
        <v>0</v>
      </c>
      <c r="H22" s="17">
        <v>0</v>
      </c>
      <c r="I22" s="17">
        <v>0</v>
      </c>
      <c r="J22" s="17">
        <v>0</v>
      </c>
      <c r="K22" s="17">
        <v>0</v>
      </c>
      <c r="L22" s="17">
        <v>0</v>
      </c>
      <c r="M22" s="17">
        <v>0</v>
      </c>
      <c r="N22" s="17">
        <v>0</v>
      </c>
      <c r="O22" s="18">
        <f t="shared" si="0"/>
        <v>0</v>
      </c>
    </row>
    <row r="23" spans="1:15" ht="15" hidden="1" customHeight="1" x14ac:dyDescent="0.2">
      <c r="A23" s="879"/>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79"/>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79"/>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79"/>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79"/>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79"/>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79"/>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79"/>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79"/>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79"/>
      <c r="B32" s="392" t="s">
        <v>133</v>
      </c>
      <c r="C32" s="17">
        <v>0</v>
      </c>
      <c r="D32" s="17">
        <v>0</v>
      </c>
      <c r="E32" s="17">
        <v>0</v>
      </c>
      <c r="F32" s="17">
        <v>0</v>
      </c>
      <c r="G32" s="17">
        <v>0</v>
      </c>
      <c r="H32" s="17">
        <v>0</v>
      </c>
      <c r="I32" s="17">
        <v>0</v>
      </c>
      <c r="J32" s="17">
        <v>0</v>
      </c>
      <c r="K32" s="17">
        <v>0</v>
      </c>
      <c r="L32" s="17">
        <v>0</v>
      </c>
      <c r="M32" s="17">
        <v>0</v>
      </c>
      <c r="N32" s="17">
        <v>0</v>
      </c>
      <c r="O32" s="18">
        <f t="shared" si="0"/>
        <v>0</v>
      </c>
    </row>
    <row r="33" spans="1:17" ht="15" hidden="1" customHeight="1" x14ac:dyDescent="0.2">
      <c r="A33" s="880"/>
      <c r="B33" s="19" t="s">
        <v>226</v>
      </c>
      <c r="C33" s="17">
        <v>0</v>
      </c>
      <c r="D33" s="17">
        <v>0</v>
      </c>
      <c r="E33" s="17">
        <v>0</v>
      </c>
      <c r="F33" s="17">
        <v>0</v>
      </c>
      <c r="G33" s="17">
        <v>0</v>
      </c>
      <c r="H33" s="17">
        <v>0</v>
      </c>
      <c r="I33" s="17">
        <v>0</v>
      </c>
      <c r="J33" s="17">
        <v>0</v>
      </c>
      <c r="K33" s="17">
        <v>0</v>
      </c>
      <c r="L33" s="17">
        <v>0</v>
      </c>
      <c r="M33" s="17">
        <v>0</v>
      </c>
      <c r="N33" s="17">
        <v>0</v>
      </c>
      <c r="O33" s="18">
        <f t="shared" si="0"/>
        <v>0</v>
      </c>
    </row>
    <row r="34" spans="1:17" ht="15" customHeight="1" x14ac:dyDescent="0.2">
      <c r="A34" s="865" t="s">
        <v>144</v>
      </c>
      <c r="B34" s="866"/>
      <c r="C34" s="17">
        <v>0</v>
      </c>
      <c r="D34" s="17">
        <v>0</v>
      </c>
      <c r="E34" s="17">
        <v>0</v>
      </c>
      <c r="F34" s="17">
        <v>0</v>
      </c>
      <c r="G34" s="17">
        <v>0</v>
      </c>
      <c r="H34" s="17">
        <v>0</v>
      </c>
      <c r="I34" s="17">
        <v>0</v>
      </c>
      <c r="J34" s="17">
        <v>0</v>
      </c>
      <c r="K34" s="17">
        <v>0</v>
      </c>
      <c r="L34" s="17">
        <v>0</v>
      </c>
      <c r="M34" s="17">
        <v>0</v>
      </c>
      <c r="N34" s="17">
        <v>0</v>
      </c>
      <c r="O34" s="18">
        <f t="shared" si="0"/>
        <v>0</v>
      </c>
    </row>
    <row r="35" spans="1:17" ht="15" customHeight="1" x14ac:dyDescent="0.2">
      <c r="A35" s="865" t="s">
        <v>145</v>
      </c>
      <c r="B35" s="866"/>
      <c r="C35" s="17">
        <v>0</v>
      </c>
      <c r="D35" s="17">
        <v>432</v>
      </c>
      <c r="E35" s="17">
        <v>0</v>
      </c>
      <c r="F35" s="17">
        <v>0</v>
      </c>
      <c r="G35" s="17">
        <v>0</v>
      </c>
      <c r="H35" s="17">
        <v>0</v>
      </c>
      <c r="I35" s="17">
        <v>0</v>
      </c>
      <c r="J35" s="17">
        <v>288</v>
      </c>
      <c r="K35" s="17">
        <v>0</v>
      </c>
      <c r="L35" s="17">
        <v>0</v>
      </c>
      <c r="M35" s="17">
        <v>0</v>
      </c>
      <c r="N35" s="17">
        <v>0</v>
      </c>
      <c r="O35" s="18">
        <f t="shared" si="0"/>
        <v>720</v>
      </c>
    </row>
    <row r="36" spans="1:17" ht="15" customHeight="1" x14ac:dyDescent="0.2">
      <c r="A36" s="865" t="s">
        <v>146</v>
      </c>
      <c r="B36" s="866"/>
      <c r="C36" s="17">
        <v>0</v>
      </c>
      <c r="D36" s="17">
        <v>5922</v>
      </c>
      <c r="E36" s="17">
        <v>0</v>
      </c>
      <c r="F36" s="17">
        <v>0</v>
      </c>
      <c r="G36" s="17">
        <v>0</v>
      </c>
      <c r="H36" s="17">
        <v>0</v>
      </c>
      <c r="I36" s="17">
        <v>0</v>
      </c>
      <c r="J36" s="17">
        <v>2114</v>
      </c>
      <c r="K36" s="17">
        <v>0</v>
      </c>
      <c r="L36" s="17">
        <v>0</v>
      </c>
      <c r="M36" s="17">
        <v>0</v>
      </c>
      <c r="N36" s="17">
        <v>0</v>
      </c>
      <c r="O36" s="18">
        <f t="shared" si="0"/>
        <v>8036</v>
      </c>
    </row>
    <row r="37" spans="1:17" ht="15" customHeight="1" x14ac:dyDescent="0.2">
      <c r="A37" s="22"/>
      <c r="B37" s="23" t="s">
        <v>147</v>
      </c>
      <c r="C37" s="24">
        <f t="shared" ref="C37:N37" si="1">SUM(C9:C36)</f>
        <v>134883</v>
      </c>
      <c r="D37" s="24">
        <f t="shared" si="1"/>
        <v>143355</v>
      </c>
      <c r="E37" s="24">
        <f t="shared" si="1"/>
        <v>137001</v>
      </c>
      <c r="F37" s="24">
        <f t="shared" si="1"/>
        <v>137001</v>
      </c>
      <c r="G37" s="24">
        <f t="shared" si="1"/>
        <v>167181</v>
      </c>
      <c r="H37" s="24">
        <f t="shared" si="1"/>
        <v>12002</v>
      </c>
      <c r="I37" s="24">
        <f t="shared" si="1"/>
        <v>0</v>
      </c>
      <c r="J37" s="24">
        <f t="shared" si="1"/>
        <v>2402</v>
      </c>
      <c r="K37" s="24">
        <f t="shared" si="1"/>
        <v>0</v>
      </c>
      <c r="L37" s="24">
        <f t="shared" si="1"/>
        <v>0</v>
      </c>
      <c r="M37" s="24">
        <f t="shared" si="1"/>
        <v>0</v>
      </c>
      <c r="N37" s="24">
        <f t="shared" si="1"/>
        <v>0</v>
      </c>
      <c r="O37" s="25">
        <f>SUM(C37:N37)</f>
        <v>733825</v>
      </c>
      <c r="Q37" s="16">
        <f>72790*2+11684+75711*2+77811*3+11253+81562*5</f>
        <v>961182</v>
      </c>
    </row>
    <row r="38" spans="1:17" ht="15" customHeight="1" x14ac:dyDescent="0.2">
      <c r="A38" s="853" t="s">
        <v>148</v>
      </c>
      <c r="B38" s="27" t="s">
        <v>149</v>
      </c>
      <c r="C38" s="28">
        <v>21800</v>
      </c>
      <c r="D38" s="28">
        <v>22000</v>
      </c>
      <c r="E38" s="28">
        <v>20000</v>
      </c>
      <c r="F38" s="28">
        <v>20000</v>
      </c>
      <c r="G38" s="28">
        <v>20000</v>
      </c>
      <c r="H38" s="28">
        <v>0</v>
      </c>
      <c r="I38" s="28">
        <v>0</v>
      </c>
      <c r="J38" s="28">
        <v>0</v>
      </c>
      <c r="K38" s="28">
        <v>0</v>
      </c>
      <c r="L38" s="28">
        <v>0</v>
      </c>
      <c r="M38" s="28">
        <v>0</v>
      </c>
      <c r="N38" s="28">
        <v>0</v>
      </c>
      <c r="O38" s="18">
        <f>SUM(C38:N38)</f>
        <v>103800</v>
      </c>
      <c r="P38" s="29" t="s">
        <v>524</v>
      </c>
    </row>
    <row r="39" spans="1:17" ht="15" x14ac:dyDescent="0.2">
      <c r="A39" s="854"/>
      <c r="B39" s="27" t="s">
        <v>150</v>
      </c>
      <c r="C39" s="28">
        <v>0</v>
      </c>
      <c r="D39" s="28">
        <v>0</v>
      </c>
      <c r="E39" s="28">
        <v>0</v>
      </c>
      <c r="F39" s="28">
        <v>0</v>
      </c>
      <c r="G39" s="28">
        <v>0</v>
      </c>
      <c r="H39" s="28">
        <v>0</v>
      </c>
      <c r="I39" s="28">
        <v>0</v>
      </c>
      <c r="J39" s="28">
        <v>0</v>
      </c>
      <c r="K39" s="28">
        <v>0</v>
      </c>
      <c r="L39" s="28">
        <v>0</v>
      </c>
      <c r="M39" s="28">
        <v>0</v>
      </c>
      <c r="N39" s="28">
        <v>0</v>
      </c>
      <c r="O39" s="18">
        <f>SUM(C39:N39)</f>
        <v>0</v>
      </c>
    </row>
    <row r="40" spans="1:17" ht="15" x14ac:dyDescent="0.2">
      <c r="A40" s="854"/>
      <c r="B40" s="27" t="s">
        <v>151</v>
      </c>
      <c r="C40" s="28">
        <v>60</v>
      </c>
      <c r="D40" s="28">
        <v>60</v>
      </c>
      <c r="E40" s="28">
        <v>60</v>
      </c>
      <c r="F40" s="28">
        <v>60</v>
      </c>
      <c r="G40" s="28">
        <v>60</v>
      </c>
      <c r="H40" s="28">
        <v>60</v>
      </c>
      <c r="I40" s="28">
        <v>0</v>
      </c>
      <c r="J40" s="28">
        <v>0</v>
      </c>
      <c r="K40" s="28">
        <v>0</v>
      </c>
      <c r="L40" s="28">
        <v>0</v>
      </c>
      <c r="M40" s="28">
        <v>0</v>
      </c>
      <c r="N40" s="28">
        <v>0</v>
      </c>
      <c r="O40" s="18">
        <f t="shared" ref="O40:O50" si="2">SUM(C40:N40)</f>
        <v>360</v>
      </c>
    </row>
    <row r="41" spans="1:17" ht="15" x14ac:dyDescent="0.2">
      <c r="A41" s="854"/>
      <c r="B41" s="27" t="s">
        <v>152</v>
      </c>
      <c r="C41" s="28">
        <v>0</v>
      </c>
      <c r="D41" s="28">
        <v>0</v>
      </c>
      <c r="E41" s="28">
        <v>0</v>
      </c>
      <c r="F41" s="28">
        <v>0</v>
      </c>
      <c r="G41" s="28">
        <v>0</v>
      </c>
      <c r="H41" s="28">
        <v>0</v>
      </c>
      <c r="I41" s="28">
        <v>0</v>
      </c>
      <c r="J41" s="28">
        <v>0</v>
      </c>
      <c r="K41" s="28">
        <v>0</v>
      </c>
      <c r="L41" s="28">
        <v>0</v>
      </c>
      <c r="M41" s="28">
        <v>0</v>
      </c>
      <c r="N41" s="28">
        <v>0</v>
      </c>
      <c r="O41" s="18">
        <f t="shared" si="2"/>
        <v>0</v>
      </c>
    </row>
    <row r="42" spans="1:17" ht="15" x14ac:dyDescent="0.2">
      <c r="A42" s="854"/>
      <c r="B42" s="27" t="s">
        <v>153</v>
      </c>
      <c r="C42" s="28">
        <v>650</v>
      </c>
      <c r="D42" s="28">
        <v>650</v>
      </c>
      <c r="E42" s="28">
        <v>650</v>
      </c>
      <c r="F42" s="28">
        <v>650</v>
      </c>
      <c r="G42" s="28">
        <v>650</v>
      </c>
      <c r="H42" s="28">
        <v>0</v>
      </c>
      <c r="I42" s="28">
        <v>0</v>
      </c>
      <c r="J42" s="28">
        <v>0</v>
      </c>
      <c r="K42" s="28">
        <v>0</v>
      </c>
      <c r="L42" s="28">
        <v>0</v>
      </c>
      <c r="M42" s="28">
        <v>0</v>
      </c>
      <c r="N42" s="28">
        <v>0</v>
      </c>
      <c r="O42" s="18">
        <f t="shared" si="2"/>
        <v>3250</v>
      </c>
    </row>
    <row r="43" spans="1:17" ht="15" x14ac:dyDescent="0.2">
      <c r="A43" s="854"/>
      <c r="B43" s="27" t="s">
        <v>154</v>
      </c>
      <c r="C43" s="28">
        <v>15000</v>
      </c>
      <c r="D43" s="28">
        <v>15000</v>
      </c>
      <c r="E43" s="28">
        <v>15000</v>
      </c>
      <c r="F43" s="28">
        <v>15000</v>
      </c>
      <c r="G43" s="28">
        <v>15000</v>
      </c>
      <c r="H43" s="28">
        <v>0</v>
      </c>
      <c r="I43" s="28">
        <v>0</v>
      </c>
      <c r="J43" s="28">
        <v>0</v>
      </c>
      <c r="K43" s="28">
        <v>0</v>
      </c>
      <c r="L43" s="28">
        <v>0</v>
      </c>
      <c r="M43" s="28">
        <v>0</v>
      </c>
      <c r="N43" s="28">
        <v>0</v>
      </c>
      <c r="O43" s="18">
        <f t="shared" si="2"/>
        <v>75000</v>
      </c>
    </row>
    <row r="44" spans="1:17" ht="15" x14ac:dyDescent="0.2">
      <c r="A44" s="854"/>
      <c r="B44" s="27" t="s">
        <v>155</v>
      </c>
      <c r="C44" s="28">
        <v>200</v>
      </c>
      <c r="D44" s="28">
        <v>200</v>
      </c>
      <c r="E44" s="28">
        <v>200</v>
      </c>
      <c r="F44" s="28">
        <v>200</v>
      </c>
      <c r="G44" s="28">
        <v>200</v>
      </c>
      <c r="H44" s="28">
        <v>200</v>
      </c>
      <c r="I44" s="28">
        <v>0</v>
      </c>
      <c r="J44" s="28">
        <v>0</v>
      </c>
      <c r="K44" s="28">
        <v>0</v>
      </c>
      <c r="L44" s="28">
        <v>0</v>
      </c>
      <c r="M44" s="28">
        <v>0</v>
      </c>
      <c r="N44" s="28">
        <v>0</v>
      </c>
      <c r="O44" s="18">
        <f t="shared" si="2"/>
        <v>1200</v>
      </c>
    </row>
    <row r="45" spans="1:17" ht="15" x14ac:dyDescent="0.2">
      <c r="A45" s="854"/>
      <c r="B45" s="27" t="s">
        <v>156</v>
      </c>
      <c r="C45" s="28">
        <v>0</v>
      </c>
      <c r="D45" s="28">
        <v>0</v>
      </c>
      <c r="E45" s="28">
        <v>0</v>
      </c>
      <c r="F45" s="28">
        <v>0</v>
      </c>
      <c r="G45" s="28">
        <v>0</v>
      </c>
      <c r="H45" s="28">
        <v>0</v>
      </c>
      <c r="I45" s="28">
        <v>0</v>
      </c>
      <c r="J45" s="28">
        <v>0</v>
      </c>
      <c r="K45" s="28">
        <v>0</v>
      </c>
      <c r="L45" s="28">
        <v>0</v>
      </c>
      <c r="M45" s="28">
        <v>0</v>
      </c>
      <c r="N45" s="28">
        <v>0</v>
      </c>
      <c r="O45" s="18">
        <f t="shared" si="2"/>
        <v>0</v>
      </c>
    </row>
    <row r="46" spans="1:17" ht="15" x14ac:dyDescent="0.2">
      <c r="A46" s="854"/>
      <c r="B46" s="27" t="s">
        <v>157</v>
      </c>
      <c r="C46" s="28">
        <v>0</v>
      </c>
      <c r="D46" s="28">
        <v>0</v>
      </c>
      <c r="E46" s="28">
        <v>0</v>
      </c>
      <c r="F46" s="28">
        <v>0</v>
      </c>
      <c r="G46" s="28">
        <v>0</v>
      </c>
      <c r="H46" s="28">
        <v>0</v>
      </c>
      <c r="I46" s="28">
        <v>0</v>
      </c>
      <c r="J46" s="28">
        <v>0</v>
      </c>
      <c r="K46" s="28">
        <v>0</v>
      </c>
      <c r="L46" s="28">
        <v>0</v>
      </c>
      <c r="M46" s="28">
        <v>0</v>
      </c>
      <c r="N46" s="28">
        <v>0</v>
      </c>
      <c r="O46" s="18">
        <f t="shared" si="2"/>
        <v>0</v>
      </c>
    </row>
    <row r="47" spans="1:17" ht="28.5" customHeight="1" x14ac:dyDescent="0.2">
      <c r="A47" s="855"/>
      <c r="B47" s="30" t="s">
        <v>158</v>
      </c>
      <c r="C47" s="28">
        <v>0</v>
      </c>
      <c r="D47" s="28">
        <v>0</v>
      </c>
      <c r="E47" s="28">
        <v>0</v>
      </c>
      <c r="F47" s="28">
        <v>0</v>
      </c>
      <c r="G47" s="28">
        <v>0</v>
      </c>
      <c r="H47" s="28">
        <v>0</v>
      </c>
      <c r="I47" s="28">
        <v>0</v>
      </c>
      <c r="J47" s="28">
        <v>0</v>
      </c>
      <c r="K47" s="28">
        <v>0</v>
      </c>
      <c r="L47" s="28">
        <v>0</v>
      </c>
      <c r="M47" s="28">
        <v>0</v>
      </c>
      <c r="N47" s="28">
        <v>0</v>
      </c>
      <c r="O47" s="31">
        <f t="shared" si="2"/>
        <v>0</v>
      </c>
    </row>
    <row r="48" spans="1:17" ht="15" x14ac:dyDescent="0.2">
      <c r="A48" s="856"/>
      <c r="B48" s="127" t="s">
        <v>479</v>
      </c>
      <c r="C48" s="28">
        <v>0</v>
      </c>
      <c r="D48" s="28">
        <v>0</v>
      </c>
      <c r="E48" s="28">
        <v>0</v>
      </c>
      <c r="F48" s="28">
        <v>0</v>
      </c>
      <c r="G48" s="28">
        <v>0</v>
      </c>
      <c r="H48" s="28">
        <v>0</v>
      </c>
      <c r="I48" s="28">
        <v>0</v>
      </c>
      <c r="J48" s="28">
        <v>0</v>
      </c>
      <c r="K48" s="28">
        <v>0</v>
      </c>
      <c r="L48" s="28">
        <v>0</v>
      </c>
      <c r="M48" s="28">
        <v>0</v>
      </c>
      <c r="N48" s="28">
        <v>0</v>
      </c>
      <c r="O48" s="31">
        <f t="shared" si="2"/>
        <v>0</v>
      </c>
    </row>
    <row r="49" spans="1:17" ht="15" x14ac:dyDescent="0.2">
      <c r="A49" s="857" t="s">
        <v>160</v>
      </c>
      <c r="B49" s="858"/>
      <c r="C49" s="33">
        <f t="shared" ref="C49:N49" si="3">SUM(C38:C48)</f>
        <v>37710</v>
      </c>
      <c r="D49" s="33">
        <f t="shared" si="3"/>
        <v>37910</v>
      </c>
      <c r="E49" s="33">
        <f t="shared" si="3"/>
        <v>35910</v>
      </c>
      <c r="F49" s="33">
        <f t="shared" si="3"/>
        <v>35910</v>
      </c>
      <c r="G49" s="33">
        <f t="shared" si="3"/>
        <v>35910</v>
      </c>
      <c r="H49" s="33">
        <f t="shared" si="3"/>
        <v>260</v>
      </c>
      <c r="I49" s="33">
        <f t="shared" si="3"/>
        <v>0</v>
      </c>
      <c r="J49" s="33">
        <f t="shared" si="3"/>
        <v>0</v>
      </c>
      <c r="K49" s="33">
        <f t="shared" si="3"/>
        <v>0</v>
      </c>
      <c r="L49" s="33">
        <f t="shared" si="3"/>
        <v>0</v>
      </c>
      <c r="M49" s="33">
        <f t="shared" si="3"/>
        <v>0</v>
      </c>
      <c r="N49" s="33">
        <f t="shared" si="3"/>
        <v>0</v>
      </c>
      <c r="O49" s="34">
        <f t="shared" si="2"/>
        <v>183610</v>
      </c>
    </row>
    <row r="50" spans="1:17" ht="15.75" thickBot="1" x14ac:dyDescent="0.25">
      <c r="A50" s="859" t="s">
        <v>161</v>
      </c>
      <c r="B50" s="860"/>
      <c r="C50" s="35">
        <f t="shared" ref="C50:N50" si="4">C37-C49</f>
        <v>97173</v>
      </c>
      <c r="D50" s="35">
        <f t="shared" si="4"/>
        <v>105445</v>
      </c>
      <c r="E50" s="35">
        <f t="shared" si="4"/>
        <v>101091</v>
      </c>
      <c r="F50" s="35">
        <f t="shared" si="4"/>
        <v>101091</v>
      </c>
      <c r="G50" s="35">
        <f t="shared" si="4"/>
        <v>131271</v>
      </c>
      <c r="H50" s="35">
        <f t="shared" si="4"/>
        <v>11742</v>
      </c>
      <c r="I50" s="35">
        <f t="shared" si="4"/>
        <v>0</v>
      </c>
      <c r="J50" s="35">
        <f t="shared" si="4"/>
        <v>2402</v>
      </c>
      <c r="K50" s="35">
        <f t="shared" si="4"/>
        <v>0</v>
      </c>
      <c r="L50" s="35">
        <f t="shared" si="4"/>
        <v>0</v>
      </c>
      <c r="M50" s="35">
        <f t="shared" si="4"/>
        <v>0</v>
      </c>
      <c r="N50" s="35">
        <f t="shared" si="4"/>
        <v>0</v>
      </c>
      <c r="O50" s="36">
        <f t="shared" si="2"/>
        <v>550215</v>
      </c>
      <c r="Q50" s="16">
        <f>55195+47795+11684+50606+50726+52826+50826*2+11253+53277*4+53070</f>
        <v>647915</v>
      </c>
    </row>
    <row r="51" spans="1:17" x14ac:dyDescent="0.2">
      <c r="J51" s="300">
        <f>+J37-SUM(J22:J36)</f>
        <v>0</v>
      </c>
      <c r="Q51" s="38"/>
    </row>
    <row r="52" spans="1:17" ht="13.5" thickBot="1" x14ac:dyDescent="0.25">
      <c r="J52" s="38">
        <f>+J51-J49</f>
        <v>0</v>
      </c>
    </row>
    <row r="53" spans="1:17" ht="13.5" thickBot="1" x14ac:dyDescent="0.25">
      <c r="B53" s="789" t="s">
        <v>162</v>
      </c>
      <c r="C53" s="861"/>
      <c r="D53" s="861"/>
      <c r="E53" s="861"/>
      <c r="F53" s="862"/>
      <c r="G53" s="863">
        <f>O37</f>
        <v>733825</v>
      </c>
      <c r="H53" s="864"/>
    </row>
    <row r="54" spans="1:17" ht="13.5" thickBot="1" x14ac:dyDescent="0.25"/>
    <row r="55" spans="1:17" x14ac:dyDescent="0.2">
      <c r="B55" s="830" t="s">
        <v>163</v>
      </c>
      <c r="C55" s="833" t="s">
        <v>164</v>
      </c>
      <c r="D55" s="836" t="s">
        <v>229</v>
      </c>
      <c r="E55" s="837"/>
      <c r="F55" s="838"/>
      <c r="G55" s="839">
        <v>40000</v>
      </c>
      <c r="H55" s="840"/>
    </row>
    <row r="56" spans="1:17" x14ac:dyDescent="0.2">
      <c r="B56" s="831"/>
      <c r="C56" s="834"/>
      <c r="D56" s="841" t="s">
        <v>166</v>
      </c>
      <c r="E56" s="842"/>
      <c r="F56" s="843"/>
      <c r="G56" s="844">
        <f>+O44</f>
        <v>1200</v>
      </c>
      <c r="H56" s="845"/>
      <c r="I56" s="39"/>
      <c r="J56" s="846"/>
      <c r="K56" s="846"/>
      <c r="L56" s="846"/>
      <c r="M56" s="847"/>
      <c r="N56" s="847"/>
      <c r="O56" s="847"/>
    </row>
    <row r="57" spans="1:17" ht="13.5" thickBot="1" x14ac:dyDescent="0.25">
      <c r="B57" s="832"/>
      <c r="C57" s="835"/>
      <c r="D57" s="848" t="s">
        <v>1116</v>
      </c>
      <c r="E57" s="849"/>
      <c r="F57" s="850"/>
      <c r="G57" s="851">
        <v>6300</v>
      </c>
      <c r="H57" s="852"/>
      <c r="J57" s="47"/>
      <c r="K57" s="47"/>
      <c r="L57" s="47"/>
      <c r="M57" s="47"/>
      <c r="N57" s="47"/>
      <c r="O57" s="47"/>
    </row>
    <row r="58" spans="1:17" ht="13.5" thickBot="1" x14ac:dyDescent="0.25">
      <c r="B58" s="48"/>
      <c r="J58" s="47"/>
      <c r="K58" s="47"/>
      <c r="L58" s="47"/>
      <c r="M58" s="47"/>
      <c r="N58" s="47"/>
      <c r="O58" s="47"/>
    </row>
    <row r="59" spans="1:17" ht="13.5" thickBot="1" x14ac:dyDescent="0.25">
      <c r="B59" s="789" t="s">
        <v>168</v>
      </c>
      <c r="C59" s="790"/>
      <c r="D59" s="790"/>
      <c r="E59" s="790"/>
      <c r="F59" s="791"/>
      <c r="G59" s="825">
        <f>+G53-SUM(G55:H57)</f>
        <v>686325</v>
      </c>
      <c r="H59" s="826"/>
      <c r="J59" s="827" t="s">
        <v>169</v>
      </c>
      <c r="K59" s="828"/>
      <c r="L59" s="828"/>
      <c r="M59" s="828"/>
      <c r="N59" s="828"/>
      <c r="O59" s="829"/>
    </row>
    <row r="60" spans="1:17" ht="13.5" thickBot="1" x14ac:dyDescent="0.25">
      <c r="B60" s="49"/>
      <c r="C60" s="50"/>
      <c r="D60" s="50"/>
      <c r="E60" s="50"/>
      <c r="F60" s="50"/>
      <c r="G60" s="45"/>
      <c r="H60" s="50"/>
      <c r="J60" s="129"/>
      <c r="K60" s="130"/>
      <c r="L60" s="130"/>
      <c r="M60" s="130"/>
      <c r="N60" s="130"/>
      <c r="O60" s="131"/>
    </row>
    <row r="61" spans="1:17" ht="13.5" thickBot="1" x14ac:dyDescent="0.25">
      <c r="B61" s="789" t="s">
        <v>170</v>
      </c>
      <c r="C61" s="790"/>
      <c r="D61" s="790"/>
      <c r="E61" s="790"/>
      <c r="F61" s="791"/>
      <c r="G61" s="805"/>
      <c r="H61" s="791"/>
      <c r="J61" s="129"/>
      <c r="K61" s="130"/>
      <c r="L61" s="130"/>
      <c r="M61" s="130"/>
      <c r="N61" s="130"/>
      <c r="O61" s="131"/>
    </row>
    <row r="62" spans="1:17" ht="12.75" customHeight="1" x14ac:dyDescent="0.2">
      <c r="B62" s="57" t="s">
        <v>171</v>
      </c>
      <c r="C62" s="806" t="s">
        <v>172</v>
      </c>
      <c r="D62" s="807"/>
      <c r="E62" s="807"/>
      <c r="F62" s="808"/>
      <c r="G62" s="809">
        <v>0</v>
      </c>
      <c r="H62" s="809"/>
      <c r="I62" s="58"/>
      <c r="J62" s="810" t="s">
        <v>173</v>
      </c>
      <c r="K62" s="811"/>
      <c r="L62" s="811"/>
      <c r="M62" s="811"/>
      <c r="N62" s="811"/>
      <c r="O62" s="812"/>
      <c r="Q62" s="59"/>
    </row>
    <row r="63" spans="1:17" ht="13.5" thickBot="1" x14ac:dyDescent="0.25">
      <c r="D63" s="37"/>
      <c r="I63" s="58"/>
      <c r="J63" s="60" t="s">
        <v>254</v>
      </c>
      <c r="K63" s="132"/>
      <c r="L63" s="132"/>
      <c r="M63" s="133"/>
      <c r="N63" s="133"/>
      <c r="O63" s="134"/>
      <c r="Q63" s="59"/>
    </row>
    <row r="64" spans="1:17" ht="13.5" thickBot="1" x14ac:dyDescent="0.25">
      <c r="B64" s="789" t="s">
        <v>175</v>
      </c>
      <c r="C64" s="790"/>
      <c r="D64" s="790"/>
      <c r="E64" s="790"/>
      <c r="F64" s="791"/>
      <c r="G64" s="805">
        <f>+G59-G62</f>
        <v>686325</v>
      </c>
      <c r="H64" s="791"/>
      <c r="I64" s="63"/>
      <c r="J64" s="64"/>
      <c r="K64" s="39"/>
      <c r="L64" s="39"/>
      <c r="M64" s="39"/>
      <c r="N64" s="39"/>
      <c r="O64" s="65"/>
      <c r="Q64" s="59"/>
    </row>
    <row r="65" spans="2:17" ht="12.75" customHeight="1" x14ac:dyDescent="0.2">
      <c r="B65" s="48"/>
      <c r="C65" s="48"/>
      <c r="I65" s="63"/>
      <c r="J65" s="64"/>
      <c r="K65" s="39"/>
      <c r="L65" s="39"/>
      <c r="M65" s="39"/>
      <c r="N65" s="39"/>
      <c r="O65" s="65"/>
      <c r="Q65" s="59"/>
    </row>
    <row r="66" spans="2:17" x14ac:dyDescent="0.2">
      <c r="B66" s="66" t="s">
        <v>176</v>
      </c>
      <c r="C66" s="48"/>
      <c r="I66" s="63"/>
      <c r="J66" s="67"/>
      <c r="K66" s="68"/>
      <c r="L66" s="68"/>
      <c r="M66" s="68"/>
      <c r="N66" s="68"/>
      <c r="O66" s="69"/>
      <c r="Q66" s="59"/>
    </row>
    <row r="67" spans="2:17" ht="26.25" customHeight="1" thickBot="1" x14ac:dyDescent="0.25">
      <c r="B67" s="66"/>
      <c r="C67" s="48"/>
      <c r="G67" s="70" t="s">
        <v>177</v>
      </c>
      <c r="H67" s="70" t="s">
        <v>178</v>
      </c>
      <c r="I67" s="63"/>
      <c r="J67" s="810" t="s">
        <v>179</v>
      </c>
      <c r="K67" s="811"/>
      <c r="L67" s="71"/>
      <c r="M67" s="71"/>
      <c r="N67" s="71"/>
      <c r="O67" s="72"/>
      <c r="Q67" s="59"/>
    </row>
    <row r="68" spans="2:17" ht="12.75" customHeight="1" x14ac:dyDescent="0.2">
      <c r="B68" s="802" t="s">
        <v>180</v>
      </c>
      <c r="C68" s="821" t="s">
        <v>181</v>
      </c>
      <c r="D68" s="823" t="s">
        <v>182</v>
      </c>
      <c r="E68" s="824"/>
      <c r="F68" s="824"/>
      <c r="G68" s="73">
        <f>+O43</f>
        <v>75000</v>
      </c>
      <c r="H68" s="74">
        <f t="shared" ref="H68:H76" si="5">+G68</f>
        <v>75000</v>
      </c>
      <c r="I68" s="63"/>
      <c r="J68" s="75" t="s">
        <v>183</v>
      </c>
      <c r="K68" s="58"/>
      <c r="L68" s="58"/>
      <c r="M68" s="135"/>
      <c r="N68" s="135"/>
      <c r="O68" s="76"/>
      <c r="Q68" s="59"/>
    </row>
    <row r="69" spans="2:17" ht="12.75" customHeight="1" x14ac:dyDescent="0.2">
      <c r="B69" s="803"/>
      <c r="C69" s="822"/>
      <c r="D69" s="782" t="s">
        <v>184</v>
      </c>
      <c r="E69" s="783"/>
      <c r="F69" s="783"/>
      <c r="G69" s="77">
        <v>20000</v>
      </c>
      <c r="H69" s="78">
        <f t="shared" si="5"/>
        <v>20000</v>
      </c>
      <c r="I69" s="63"/>
      <c r="J69" s="79"/>
      <c r="K69" s="68"/>
      <c r="L69" s="68"/>
      <c r="M69" s="68"/>
      <c r="N69" s="68"/>
      <c r="O69" s="69"/>
      <c r="Q69" s="59"/>
    </row>
    <row r="70" spans="2:17" ht="12.75" customHeight="1" x14ac:dyDescent="0.2">
      <c r="B70" s="803"/>
      <c r="C70" s="822"/>
      <c r="D70" s="819" t="s">
        <v>185</v>
      </c>
      <c r="E70" s="820"/>
      <c r="F70" s="820"/>
      <c r="G70" s="80">
        <f>O40</f>
        <v>360</v>
      </c>
      <c r="H70" s="78">
        <f t="shared" si="5"/>
        <v>360</v>
      </c>
      <c r="I70" s="63"/>
      <c r="J70" s="67"/>
      <c r="K70" s="68"/>
      <c r="L70" s="68"/>
      <c r="M70" s="68"/>
      <c r="N70" s="68"/>
      <c r="O70" s="69"/>
    </row>
    <row r="71" spans="2:17" x14ac:dyDescent="0.2">
      <c r="B71" s="803"/>
      <c r="C71" s="822"/>
      <c r="D71" s="782" t="s">
        <v>186</v>
      </c>
      <c r="E71" s="783"/>
      <c r="F71" s="783"/>
      <c r="G71" s="81">
        <v>0</v>
      </c>
      <c r="H71" s="78">
        <f t="shared" si="5"/>
        <v>0</v>
      </c>
      <c r="I71" s="63"/>
      <c r="J71" s="82" t="s">
        <v>187</v>
      </c>
      <c r="K71" s="71"/>
      <c r="L71" s="71"/>
      <c r="M71" s="71"/>
      <c r="N71" s="71"/>
      <c r="O71" s="72"/>
    </row>
    <row r="72" spans="2:17" ht="12.75" customHeight="1" x14ac:dyDescent="0.2">
      <c r="B72" s="803"/>
      <c r="C72" s="822"/>
      <c r="D72" s="784" t="s">
        <v>188</v>
      </c>
      <c r="E72" s="783"/>
      <c r="F72" s="783"/>
      <c r="G72" s="80">
        <v>0</v>
      </c>
      <c r="H72" s="78">
        <f t="shared" si="5"/>
        <v>0</v>
      </c>
      <c r="I72" s="63"/>
      <c r="J72" s="75" t="s">
        <v>189</v>
      </c>
      <c r="K72" s="50"/>
      <c r="L72" s="50"/>
      <c r="M72" s="50"/>
      <c r="N72" s="50"/>
      <c r="O72" s="83">
        <v>7800</v>
      </c>
    </row>
    <row r="73" spans="2:17" ht="14.25" customHeight="1" x14ac:dyDescent="0.2">
      <c r="B73" s="803"/>
      <c r="C73" s="822"/>
      <c r="D73" s="782" t="s">
        <v>190</v>
      </c>
      <c r="E73" s="783"/>
      <c r="F73" s="783"/>
      <c r="G73" s="84">
        <v>0</v>
      </c>
      <c r="H73" s="78">
        <f t="shared" si="5"/>
        <v>0</v>
      </c>
      <c r="I73" s="63"/>
      <c r="J73" s="64"/>
      <c r="K73" s="39"/>
      <c r="L73" s="39"/>
      <c r="M73" s="39"/>
      <c r="N73" s="39"/>
      <c r="O73" s="65"/>
    </row>
    <row r="74" spans="2:17" x14ac:dyDescent="0.2">
      <c r="B74" s="803"/>
      <c r="C74" s="822"/>
      <c r="D74" s="782" t="s">
        <v>191</v>
      </c>
      <c r="E74" s="783"/>
      <c r="F74" s="783"/>
      <c r="G74" s="81">
        <v>0</v>
      </c>
      <c r="H74" s="78">
        <f t="shared" si="5"/>
        <v>0</v>
      </c>
      <c r="I74" s="58"/>
      <c r="J74" s="150"/>
      <c r="K74" s="50"/>
      <c r="L74" s="50"/>
      <c r="M74" s="50"/>
      <c r="N74" s="50"/>
      <c r="O74" s="83"/>
    </row>
    <row r="75" spans="2:17" x14ac:dyDescent="0.2">
      <c r="B75" s="803"/>
      <c r="C75" s="88" t="s">
        <v>192</v>
      </c>
      <c r="D75" s="813" t="s">
        <v>193</v>
      </c>
      <c r="E75" s="814"/>
      <c r="F75" s="814"/>
      <c r="G75" s="80">
        <v>0</v>
      </c>
      <c r="H75" s="78">
        <f t="shared" si="5"/>
        <v>0</v>
      </c>
      <c r="I75" s="58"/>
      <c r="J75" s="79"/>
      <c r="K75" s="39"/>
      <c r="L75" s="39"/>
      <c r="M75" s="39"/>
      <c r="N75" s="39"/>
      <c r="O75" s="65"/>
    </row>
    <row r="76" spans="2:17" ht="13.5" customHeight="1" thickBot="1" x14ac:dyDescent="0.25">
      <c r="B76" s="803"/>
      <c r="C76" s="88" t="s">
        <v>194</v>
      </c>
      <c r="D76" s="815" t="s">
        <v>195</v>
      </c>
      <c r="E76" s="815"/>
      <c r="F76" s="815"/>
      <c r="G76" s="89">
        <v>0</v>
      </c>
      <c r="H76" s="90">
        <f t="shared" si="5"/>
        <v>0</v>
      </c>
      <c r="I76" s="63"/>
      <c r="J76" s="67"/>
      <c r="K76" s="68"/>
      <c r="L76" s="68"/>
      <c r="M76" s="91"/>
      <c r="N76" s="91"/>
      <c r="O76" s="92"/>
    </row>
    <row r="77" spans="2:17" ht="13.5" thickBot="1" x14ac:dyDescent="0.25">
      <c r="B77" s="803"/>
      <c r="C77" s="93"/>
      <c r="D77" s="94"/>
      <c r="E77" s="816" t="s">
        <v>117</v>
      </c>
      <c r="F77" s="817"/>
      <c r="G77" s="95">
        <f>SUM(G68:G76)</f>
        <v>95360</v>
      </c>
      <c r="H77" s="96">
        <f>IF(SUM(G68:G74)&lt;150000,SUM(G68:G74),150000)+IF(+G75&lt;20000,+G75,20000)</f>
        <v>95360</v>
      </c>
      <c r="I77" s="63"/>
      <c r="J77" s="140"/>
      <c r="K77" s="141"/>
      <c r="L77" s="141"/>
      <c r="M77" s="142"/>
      <c r="N77" s="142"/>
      <c r="O77" s="143"/>
    </row>
    <row r="78" spans="2:17" ht="12.75" customHeight="1" x14ac:dyDescent="0.2">
      <c r="B78" s="803"/>
      <c r="C78" s="100" t="s">
        <v>196</v>
      </c>
      <c r="D78" s="782" t="s">
        <v>187</v>
      </c>
      <c r="E78" s="783"/>
      <c r="F78" s="818"/>
      <c r="G78" s="73">
        <f>+O42</f>
        <v>3250</v>
      </c>
      <c r="H78" s="101">
        <f>+IF(+G78&lt;25000,+G78,25000)</f>
        <v>3250</v>
      </c>
      <c r="I78" s="87"/>
    </row>
    <row r="79" spans="2:17" x14ac:dyDescent="0.2">
      <c r="B79" s="803"/>
      <c r="C79" s="100" t="s">
        <v>197</v>
      </c>
      <c r="D79" s="784" t="s">
        <v>198</v>
      </c>
      <c r="E79" s="785"/>
      <c r="F79" s="786"/>
      <c r="G79" s="102"/>
      <c r="H79" s="103">
        <f>+IF(+G79&lt;40000,+G79,40000)</f>
        <v>0</v>
      </c>
      <c r="I79" s="63"/>
      <c r="J79" s="106" t="s">
        <v>525</v>
      </c>
    </row>
    <row r="80" spans="2:17" x14ac:dyDescent="0.2">
      <c r="B80" s="803"/>
      <c r="C80" s="100" t="s">
        <v>199</v>
      </c>
      <c r="D80" s="784" t="s">
        <v>200</v>
      </c>
      <c r="E80" s="785"/>
      <c r="F80" s="786"/>
      <c r="G80" s="81"/>
      <c r="H80" s="104">
        <v>0</v>
      </c>
      <c r="I80" s="63"/>
    </row>
    <row r="81" spans="2:12" x14ac:dyDescent="0.2">
      <c r="B81" s="803"/>
      <c r="C81" s="100" t="s">
        <v>201</v>
      </c>
      <c r="D81" s="784" t="s">
        <v>202</v>
      </c>
      <c r="E81" s="785"/>
      <c r="F81" s="786"/>
      <c r="G81" s="81"/>
      <c r="H81" s="104">
        <v>0</v>
      </c>
      <c r="I81" s="63"/>
    </row>
    <row r="82" spans="2:12" ht="13.5" thickBot="1" x14ac:dyDescent="0.25">
      <c r="B82" s="804"/>
      <c r="C82" s="100" t="s">
        <v>203</v>
      </c>
      <c r="D82" s="784" t="s">
        <v>204</v>
      </c>
      <c r="E82" s="785"/>
      <c r="F82" s="786"/>
      <c r="G82" s="102"/>
      <c r="H82" s="103">
        <f>+IF(+G82&lt;100000,+G82,10000)</f>
        <v>0</v>
      </c>
      <c r="I82" s="63"/>
    </row>
    <row r="83" spans="2:12" ht="13.5" thickBot="1" x14ac:dyDescent="0.25">
      <c r="B83" s="787" t="s">
        <v>205</v>
      </c>
      <c r="C83" s="788"/>
      <c r="D83" s="788"/>
      <c r="E83" s="788"/>
      <c r="F83" s="788"/>
      <c r="G83" s="107">
        <f>SUM(G78:G82)</f>
        <v>3250</v>
      </c>
      <c r="H83" s="108">
        <f>SUM(H77:H82)</f>
        <v>98610</v>
      </c>
    </row>
    <row r="84" spans="2:12" ht="13.5" thickBot="1" x14ac:dyDescent="0.25"/>
    <row r="85" spans="2:12" ht="13.5" thickBot="1" x14ac:dyDescent="0.25">
      <c r="B85" s="789" t="s">
        <v>206</v>
      </c>
      <c r="C85" s="790"/>
      <c r="D85" s="790"/>
      <c r="E85" s="790"/>
      <c r="F85" s="791"/>
      <c r="G85" s="792">
        <f>+G64-H83</f>
        <v>587715</v>
      </c>
      <c r="H85" s="791"/>
      <c r="J85" s="109">
        <f>C37+D37+E37+F37</f>
        <v>552240</v>
      </c>
      <c r="K85" s="16" t="s">
        <v>235</v>
      </c>
    </row>
    <row r="86" spans="2:12" x14ac:dyDescent="0.2">
      <c r="B86" s="110"/>
      <c r="F86" s="105"/>
      <c r="J86" s="109">
        <f>G37+H37+I37</f>
        <v>179183</v>
      </c>
      <c r="K86" s="16" t="s">
        <v>236</v>
      </c>
    </row>
    <row r="87" spans="2:12" x14ac:dyDescent="0.2">
      <c r="C87" s="793" t="s">
        <v>207</v>
      </c>
      <c r="D87" s="794"/>
      <c r="E87" s="111" t="s">
        <v>208</v>
      </c>
      <c r="F87" s="111" t="s">
        <v>209</v>
      </c>
      <c r="G87" s="111" t="s">
        <v>210</v>
      </c>
      <c r="H87" s="111" t="s">
        <v>211</v>
      </c>
      <c r="J87" s="206">
        <f>J37+K37+L37</f>
        <v>2402</v>
      </c>
      <c r="K87" s="47" t="s">
        <v>237</v>
      </c>
    </row>
    <row r="88" spans="2:12" x14ac:dyDescent="0.2">
      <c r="C88" s="795" t="str">
        <f>IF(I6="M","0          - 250000","0          -  250000")</f>
        <v>0          -  250000</v>
      </c>
      <c r="D88" s="796"/>
      <c r="E88" s="112">
        <v>0</v>
      </c>
      <c r="F88" s="113">
        <f>IF(I6="M",(IF(G85&lt;250000,G85,250000)),(IF(G85&lt;250000,G85,250000)))</f>
        <v>250000</v>
      </c>
      <c r="G88" s="113">
        <f>G85-F88</f>
        <v>337715</v>
      </c>
      <c r="H88" s="113">
        <f>E88*F88</f>
        <v>0</v>
      </c>
      <c r="J88" s="207">
        <f>M37+N37</f>
        <v>0</v>
      </c>
      <c r="K88" s="1" t="s">
        <v>238</v>
      </c>
    </row>
    <row r="89" spans="2:12" x14ac:dyDescent="0.2">
      <c r="C89" s="795" t="str">
        <f>IF(I6="M","250001 - 500000","250001-500000")</f>
        <v>250001-500000</v>
      </c>
      <c r="D89" s="796"/>
      <c r="E89" s="112">
        <v>0.05</v>
      </c>
      <c r="F89" s="113">
        <f>IF(I6="M",(IF(G88&lt;250000,G88,250000)),(IF(G88&lt;250000,G88,250000)))</f>
        <v>250000</v>
      </c>
      <c r="G89" s="113">
        <f>G88-F89</f>
        <v>87715</v>
      </c>
      <c r="H89" s="114">
        <f>ROUND(E89*F89,0.1)</f>
        <v>12500</v>
      </c>
      <c r="J89" s="115">
        <f>SUM(J85:J88)</f>
        <v>733825</v>
      </c>
    </row>
    <row r="90" spans="2:12" x14ac:dyDescent="0.2">
      <c r="C90" s="797" t="s">
        <v>212</v>
      </c>
      <c r="D90" s="798"/>
      <c r="E90" s="112">
        <v>0.2</v>
      </c>
      <c r="F90" s="113">
        <f>IF(G89&lt;500000,G89,500000)</f>
        <v>87715</v>
      </c>
      <c r="G90" s="113">
        <f>G89-F90</f>
        <v>0</v>
      </c>
      <c r="H90" s="114">
        <f>ROUND(E90*F90,0.1)</f>
        <v>17543</v>
      </c>
      <c r="J90" s="16">
        <f>+G85</f>
        <v>587715</v>
      </c>
    </row>
    <row r="91" spans="2:12" x14ac:dyDescent="0.2">
      <c r="C91" s="795" t="s">
        <v>213</v>
      </c>
      <c r="D91" s="796"/>
      <c r="E91" s="112">
        <v>0.3</v>
      </c>
      <c r="F91" s="113">
        <f>G90</f>
        <v>0</v>
      </c>
      <c r="G91" s="113">
        <f>G90-F91</f>
        <v>0</v>
      </c>
      <c r="H91" s="114">
        <f>ROUND(E91*F91,0.1)</f>
        <v>0</v>
      </c>
      <c r="J91" s="16">
        <f>+J89-J90</f>
        <v>146110</v>
      </c>
    </row>
    <row r="92" spans="2:12" ht="12.75" customHeight="1" thickBot="1" x14ac:dyDescent="0.25">
      <c r="B92" s="116"/>
      <c r="C92" s="117"/>
      <c r="D92" s="47"/>
      <c r="E92" s="47"/>
      <c r="F92" s="47"/>
    </row>
    <row r="93" spans="2:12" ht="13.5" thickBot="1" x14ac:dyDescent="0.25">
      <c r="B93" s="799" t="s">
        <v>239</v>
      </c>
      <c r="C93" s="800"/>
      <c r="D93" s="800"/>
      <c r="E93" s="800"/>
      <c r="F93" s="801"/>
      <c r="G93" s="771">
        <f>H88+H89+H90+H91</f>
        <v>30043</v>
      </c>
      <c r="H93" s="772"/>
    </row>
    <row r="94" spans="2:12" ht="13.5" thickBot="1" x14ac:dyDescent="0.25">
      <c r="B94" s="154" t="s">
        <v>215</v>
      </c>
      <c r="C94" s="155"/>
      <c r="D94" s="155"/>
      <c r="E94" s="155"/>
      <c r="F94" s="155"/>
      <c r="G94" s="1072">
        <f>IF((G64&lt;500000),5000,0)</f>
        <v>0</v>
      </c>
      <c r="H94" s="1073">
        <f>IF(H92&lt;200000,0,IF(H92&lt;220000,((H92-200000)*10%),IF(H92&lt;=500000,2000,IF(H92&gt;=500000,0))))</f>
        <v>0</v>
      </c>
      <c r="J94" s="1"/>
      <c r="K94" s="121"/>
      <c r="L94" s="121"/>
    </row>
    <row r="95" spans="2:12" ht="13.5" thickBot="1" x14ac:dyDescent="0.25">
      <c r="B95" s="122" t="s">
        <v>216</v>
      </c>
      <c r="C95" s="123"/>
      <c r="D95" s="123"/>
      <c r="E95" s="123"/>
      <c r="F95" s="123"/>
      <c r="G95" s="771">
        <f>IF((G93-G94)&lt;0,0,(G93-G94))</f>
        <v>30043</v>
      </c>
      <c r="H95" s="772"/>
      <c r="I95" s="37"/>
    </row>
    <row r="96" spans="2:12" ht="13.5" thickBot="1" x14ac:dyDescent="0.25">
      <c r="B96" s="773" t="s">
        <v>240</v>
      </c>
      <c r="C96" s="774"/>
      <c r="D96" s="774"/>
      <c r="E96" s="774"/>
      <c r="F96" s="775"/>
      <c r="G96" s="776">
        <f>ROUND((IF(G95&gt;0,(G95*4%),0)),0)</f>
        <v>1202</v>
      </c>
      <c r="H96" s="777"/>
      <c r="I96" s="37"/>
    </row>
    <row r="97" spans="2:9" ht="13.5" thickBot="1" x14ac:dyDescent="0.25">
      <c r="B97" s="778" t="s">
        <v>218</v>
      </c>
      <c r="C97" s="779"/>
      <c r="D97" s="779"/>
      <c r="E97" s="779"/>
      <c r="F97" s="779"/>
      <c r="G97" s="780">
        <f>G95+G96</f>
        <v>31245</v>
      </c>
      <c r="H97" s="781"/>
      <c r="I97" s="121"/>
    </row>
    <row r="98" spans="2:9" ht="13.5" thickBot="1" x14ac:dyDescent="0.25">
      <c r="B98" s="765" t="s">
        <v>219</v>
      </c>
      <c r="C98" s="766"/>
      <c r="D98" s="766"/>
      <c r="E98" s="766"/>
      <c r="F98" s="766"/>
      <c r="G98" s="767">
        <f>O38</f>
        <v>103800</v>
      </c>
      <c r="H98" s="768"/>
      <c r="I98" s="121"/>
    </row>
    <row r="99" spans="2:9" ht="13.5" thickBot="1" x14ac:dyDescent="0.25">
      <c r="B99" s="765" t="str">
        <f>IF(G99&gt;0,"TAX PAYABLE","TAX REFUND")</f>
        <v>TAX REFUND</v>
      </c>
      <c r="C99" s="766"/>
      <c r="D99" s="766"/>
      <c r="E99" s="766"/>
      <c r="F99" s="766"/>
      <c r="G99" s="767">
        <f>+G97-G98</f>
        <v>-72555</v>
      </c>
      <c r="H99" s="768"/>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row r="117" spans="15:16" x14ac:dyDescent="0.2">
      <c r="O117" s="16" t="s">
        <v>1117</v>
      </c>
      <c r="P117" s="16" t="s">
        <v>1117</v>
      </c>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9:F99 B93:F97">
    <cfRule type="cellIs" dxfId="425" priority="3" stopIfTrue="1" operator="equal">
      <formula>"TAX PAYABLE"</formula>
    </cfRule>
    <cfRule type="cellIs" dxfId="424" priority="4" stopIfTrue="1" operator="equal">
      <formula>"TAX REFUND"</formula>
    </cfRule>
  </conditionalFormatting>
  <conditionalFormatting sqref="G99:H99">
    <cfRule type="cellIs" dxfId="423" priority="1" stopIfTrue="1" operator="greaterThan">
      <formula>0</formula>
    </cfRule>
    <cfRule type="cellIs" dxfId="422"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107"/>
  <sheetViews>
    <sheetView tabSelected="1" topLeftCell="A80" zoomScaleNormal="100" workbookViewId="0">
      <selection activeCell="H78" sqref="H78"/>
    </sheetView>
  </sheetViews>
  <sheetFormatPr defaultRowHeight="12.75" x14ac:dyDescent="0.2"/>
  <cols>
    <col min="1" max="1" width="5" style="16" customWidth="1"/>
    <col min="2" max="2" width="19.42578125" style="37" customWidth="1"/>
    <col min="3" max="8" width="8.85546875" style="16" customWidth="1"/>
    <col min="9" max="9" width="7.140625" style="16" bestFit="1" customWidth="1"/>
    <col min="10" max="10" width="7.42578125" style="16" customWidth="1"/>
    <col min="11" max="12" width="7" style="16" bestFit="1" customWidth="1"/>
    <col min="13" max="13" width="6.85546875" style="16" bestFit="1" customWidth="1"/>
    <col min="14" max="14" width="7" style="16" bestFit="1" customWidth="1"/>
    <col min="15" max="15" width="8.7109375" style="16" bestFit="1" customWidth="1"/>
    <col min="16" max="18" width="9.140625" style="16"/>
    <col min="19" max="19" width="12.42578125" style="16" customWidth="1"/>
    <col min="20" max="20" width="9.140625" style="16"/>
    <col min="21" max="21" width="12" style="16" customWidth="1"/>
    <col min="22" max="256" width="9.140625" style="16"/>
    <col min="257" max="257" width="5" style="16" customWidth="1"/>
    <col min="258" max="258" width="19.42578125" style="16" customWidth="1"/>
    <col min="259" max="264" width="8.85546875" style="16" customWidth="1"/>
    <col min="265" max="265" width="7.140625" style="16" bestFit="1" customWidth="1"/>
    <col min="266" max="266" width="7.42578125" style="16" customWidth="1"/>
    <col min="267" max="268" width="7" style="16" bestFit="1" customWidth="1"/>
    <col min="269" max="269" width="6.85546875" style="16" bestFit="1" customWidth="1"/>
    <col min="270" max="270" width="7" style="16" bestFit="1" customWidth="1"/>
    <col min="271" max="271" width="8.7109375" style="16" bestFit="1" customWidth="1"/>
    <col min="272" max="274" width="9.140625" style="16"/>
    <col min="275" max="275" width="12.42578125" style="16" customWidth="1"/>
    <col min="276" max="276" width="9.140625" style="16"/>
    <col min="277" max="277" width="12" style="16" customWidth="1"/>
    <col min="278" max="512" width="9.140625" style="16"/>
    <col min="513" max="513" width="5" style="16" customWidth="1"/>
    <col min="514" max="514" width="19.42578125" style="16" customWidth="1"/>
    <col min="515" max="520" width="8.85546875" style="16" customWidth="1"/>
    <col min="521" max="521" width="7.140625" style="16" bestFit="1" customWidth="1"/>
    <col min="522" max="522" width="7.42578125" style="16" customWidth="1"/>
    <col min="523" max="524" width="7" style="16" bestFit="1" customWidth="1"/>
    <col min="525" max="525" width="6.85546875" style="16" bestFit="1" customWidth="1"/>
    <col min="526" max="526" width="7" style="16" bestFit="1" customWidth="1"/>
    <col min="527" max="527" width="8.7109375" style="16" bestFit="1" customWidth="1"/>
    <col min="528" max="530" width="9.140625" style="16"/>
    <col min="531" max="531" width="12.42578125" style="16" customWidth="1"/>
    <col min="532" max="532" width="9.140625" style="16"/>
    <col min="533" max="533" width="12" style="16" customWidth="1"/>
    <col min="534" max="768" width="9.140625" style="16"/>
    <col min="769" max="769" width="5" style="16" customWidth="1"/>
    <col min="770" max="770" width="19.42578125" style="16" customWidth="1"/>
    <col min="771" max="776" width="8.85546875" style="16" customWidth="1"/>
    <col min="777" max="777" width="7.140625" style="16" bestFit="1" customWidth="1"/>
    <col min="778" max="778" width="7.42578125" style="16" customWidth="1"/>
    <col min="779" max="780" width="7" style="16" bestFit="1" customWidth="1"/>
    <col min="781" max="781" width="6.85546875" style="16" bestFit="1" customWidth="1"/>
    <col min="782" max="782" width="7" style="16" bestFit="1" customWidth="1"/>
    <col min="783" max="783" width="8.7109375" style="16" bestFit="1" customWidth="1"/>
    <col min="784" max="786" width="9.140625" style="16"/>
    <col min="787" max="787" width="12.42578125" style="16" customWidth="1"/>
    <col min="788" max="788" width="9.140625" style="16"/>
    <col min="789" max="789" width="12" style="16" customWidth="1"/>
    <col min="790" max="1024" width="9.140625" style="16"/>
    <col min="1025" max="1025" width="5" style="16" customWidth="1"/>
    <col min="1026" max="1026" width="19.42578125" style="16" customWidth="1"/>
    <col min="1027" max="1032" width="8.85546875" style="16" customWidth="1"/>
    <col min="1033" max="1033" width="7.140625" style="16" bestFit="1" customWidth="1"/>
    <col min="1034" max="1034" width="7.42578125" style="16" customWidth="1"/>
    <col min="1035" max="1036" width="7" style="16" bestFit="1" customWidth="1"/>
    <col min="1037" max="1037" width="6.85546875" style="16" bestFit="1" customWidth="1"/>
    <col min="1038" max="1038" width="7" style="16" bestFit="1" customWidth="1"/>
    <col min="1039" max="1039" width="8.7109375" style="16" bestFit="1" customWidth="1"/>
    <col min="1040" max="1042" width="9.140625" style="16"/>
    <col min="1043" max="1043" width="12.42578125" style="16" customWidth="1"/>
    <col min="1044" max="1044" width="9.140625" style="16"/>
    <col min="1045" max="1045" width="12" style="16" customWidth="1"/>
    <col min="1046" max="1280" width="9.140625" style="16"/>
    <col min="1281" max="1281" width="5" style="16" customWidth="1"/>
    <col min="1282" max="1282" width="19.42578125" style="16" customWidth="1"/>
    <col min="1283" max="1288" width="8.85546875" style="16" customWidth="1"/>
    <col min="1289" max="1289" width="7.140625" style="16" bestFit="1" customWidth="1"/>
    <col min="1290" max="1290" width="7.42578125" style="16" customWidth="1"/>
    <col min="1291" max="1292" width="7" style="16" bestFit="1" customWidth="1"/>
    <col min="1293" max="1293" width="6.85546875" style="16" bestFit="1" customWidth="1"/>
    <col min="1294" max="1294" width="7" style="16" bestFit="1" customWidth="1"/>
    <col min="1295" max="1295" width="8.7109375" style="16" bestFit="1" customWidth="1"/>
    <col min="1296" max="1298" width="9.140625" style="16"/>
    <col min="1299" max="1299" width="12.42578125" style="16" customWidth="1"/>
    <col min="1300" max="1300" width="9.140625" style="16"/>
    <col min="1301" max="1301" width="12" style="16" customWidth="1"/>
    <col min="1302" max="1536" width="9.140625" style="16"/>
    <col min="1537" max="1537" width="5" style="16" customWidth="1"/>
    <col min="1538" max="1538" width="19.42578125" style="16" customWidth="1"/>
    <col min="1539" max="1544" width="8.85546875" style="16" customWidth="1"/>
    <col min="1545" max="1545" width="7.140625" style="16" bestFit="1" customWidth="1"/>
    <col min="1546" max="1546" width="7.42578125" style="16" customWidth="1"/>
    <col min="1547" max="1548" width="7" style="16" bestFit="1" customWidth="1"/>
    <col min="1549" max="1549" width="6.85546875" style="16" bestFit="1" customWidth="1"/>
    <col min="1550" max="1550" width="7" style="16" bestFit="1" customWidth="1"/>
    <col min="1551" max="1551" width="8.7109375" style="16" bestFit="1" customWidth="1"/>
    <col min="1552" max="1554" width="9.140625" style="16"/>
    <col min="1555" max="1555" width="12.42578125" style="16" customWidth="1"/>
    <col min="1556" max="1556" width="9.140625" style="16"/>
    <col min="1557" max="1557" width="12" style="16" customWidth="1"/>
    <col min="1558" max="1792" width="9.140625" style="16"/>
    <col min="1793" max="1793" width="5" style="16" customWidth="1"/>
    <col min="1794" max="1794" width="19.42578125" style="16" customWidth="1"/>
    <col min="1795" max="1800" width="8.85546875" style="16" customWidth="1"/>
    <col min="1801" max="1801" width="7.140625" style="16" bestFit="1" customWidth="1"/>
    <col min="1802" max="1802" width="7.42578125" style="16" customWidth="1"/>
    <col min="1803" max="1804" width="7" style="16" bestFit="1" customWidth="1"/>
    <col min="1805" max="1805" width="6.85546875" style="16" bestFit="1" customWidth="1"/>
    <col min="1806" max="1806" width="7" style="16" bestFit="1" customWidth="1"/>
    <col min="1807" max="1807" width="8.7109375" style="16" bestFit="1" customWidth="1"/>
    <col min="1808" max="1810" width="9.140625" style="16"/>
    <col min="1811" max="1811" width="12.42578125" style="16" customWidth="1"/>
    <col min="1812" max="1812" width="9.140625" style="16"/>
    <col min="1813" max="1813" width="12" style="16" customWidth="1"/>
    <col min="1814" max="2048" width="9.140625" style="16"/>
    <col min="2049" max="2049" width="5" style="16" customWidth="1"/>
    <col min="2050" max="2050" width="19.42578125" style="16" customWidth="1"/>
    <col min="2051" max="2056" width="8.85546875" style="16" customWidth="1"/>
    <col min="2057" max="2057" width="7.140625" style="16" bestFit="1" customWidth="1"/>
    <col min="2058" max="2058" width="7.42578125" style="16" customWidth="1"/>
    <col min="2059" max="2060" width="7" style="16" bestFit="1" customWidth="1"/>
    <col min="2061" max="2061" width="6.85546875" style="16" bestFit="1" customWidth="1"/>
    <col min="2062" max="2062" width="7" style="16" bestFit="1" customWidth="1"/>
    <col min="2063" max="2063" width="8.7109375" style="16" bestFit="1" customWidth="1"/>
    <col min="2064" max="2066" width="9.140625" style="16"/>
    <col min="2067" max="2067" width="12.42578125" style="16" customWidth="1"/>
    <col min="2068" max="2068" width="9.140625" style="16"/>
    <col min="2069" max="2069" width="12" style="16" customWidth="1"/>
    <col min="2070" max="2304" width="9.140625" style="16"/>
    <col min="2305" max="2305" width="5" style="16" customWidth="1"/>
    <col min="2306" max="2306" width="19.42578125" style="16" customWidth="1"/>
    <col min="2307" max="2312" width="8.85546875" style="16" customWidth="1"/>
    <col min="2313" max="2313" width="7.140625" style="16" bestFit="1" customWidth="1"/>
    <col min="2314" max="2314" width="7.42578125" style="16" customWidth="1"/>
    <col min="2315" max="2316" width="7" style="16" bestFit="1" customWidth="1"/>
    <col min="2317" max="2317" width="6.85546875" style="16" bestFit="1" customWidth="1"/>
    <col min="2318" max="2318" width="7" style="16" bestFit="1" customWidth="1"/>
    <col min="2319" max="2319" width="8.7109375" style="16" bestFit="1" customWidth="1"/>
    <col min="2320" max="2322" width="9.140625" style="16"/>
    <col min="2323" max="2323" width="12.42578125" style="16" customWidth="1"/>
    <col min="2324" max="2324" width="9.140625" style="16"/>
    <col min="2325" max="2325" width="12" style="16" customWidth="1"/>
    <col min="2326" max="2560" width="9.140625" style="16"/>
    <col min="2561" max="2561" width="5" style="16" customWidth="1"/>
    <col min="2562" max="2562" width="19.42578125" style="16" customWidth="1"/>
    <col min="2563" max="2568" width="8.85546875" style="16" customWidth="1"/>
    <col min="2569" max="2569" width="7.140625" style="16" bestFit="1" customWidth="1"/>
    <col min="2570" max="2570" width="7.42578125" style="16" customWidth="1"/>
    <col min="2571" max="2572" width="7" style="16" bestFit="1" customWidth="1"/>
    <col min="2573" max="2573" width="6.85546875" style="16" bestFit="1" customWidth="1"/>
    <col min="2574" max="2574" width="7" style="16" bestFit="1" customWidth="1"/>
    <col min="2575" max="2575" width="8.7109375" style="16" bestFit="1" customWidth="1"/>
    <col min="2576" max="2578" width="9.140625" style="16"/>
    <col min="2579" max="2579" width="12.42578125" style="16" customWidth="1"/>
    <col min="2580" max="2580" width="9.140625" style="16"/>
    <col min="2581" max="2581" width="12" style="16" customWidth="1"/>
    <col min="2582" max="2816" width="9.140625" style="16"/>
    <col min="2817" max="2817" width="5" style="16" customWidth="1"/>
    <col min="2818" max="2818" width="19.42578125" style="16" customWidth="1"/>
    <col min="2819" max="2824" width="8.85546875" style="16" customWidth="1"/>
    <col min="2825" max="2825" width="7.140625" style="16" bestFit="1" customWidth="1"/>
    <col min="2826" max="2826" width="7.42578125" style="16" customWidth="1"/>
    <col min="2827" max="2828" width="7" style="16" bestFit="1" customWidth="1"/>
    <col min="2829" max="2829" width="6.85546875" style="16" bestFit="1" customWidth="1"/>
    <col min="2830" max="2830" width="7" style="16" bestFit="1" customWidth="1"/>
    <col min="2831" max="2831" width="8.7109375" style="16" bestFit="1" customWidth="1"/>
    <col min="2832" max="2834" width="9.140625" style="16"/>
    <col min="2835" max="2835" width="12.42578125" style="16" customWidth="1"/>
    <col min="2836" max="2836" width="9.140625" style="16"/>
    <col min="2837" max="2837" width="12" style="16" customWidth="1"/>
    <col min="2838" max="3072" width="9.140625" style="16"/>
    <col min="3073" max="3073" width="5" style="16" customWidth="1"/>
    <col min="3074" max="3074" width="19.42578125" style="16" customWidth="1"/>
    <col min="3075" max="3080" width="8.85546875" style="16" customWidth="1"/>
    <col min="3081" max="3081" width="7.140625" style="16" bestFit="1" customWidth="1"/>
    <col min="3082" max="3082" width="7.42578125" style="16" customWidth="1"/>
    <col min="3083" max="3084" width="7" style="16" bestFit="1" customWidth="1"/>
    <col min="3085" max="3085" width="6.85546875" style="16" bestFit="1" customWidth="1"/>
    <col min="3086" max="3086" width="7" style="16" bestFit="1" customWidth="1"/>
    <col min="3087" max="3087" width="8.7109375" style="16" bestFit="1" customWidth="1"/>
    <col min="3088" max="3090" width="9.140625" style="16"/>
    <col min="3091" max="3091" width="12.42578125" style="16" customWidth="1"/>
    <col min="3092" max="3092" width="9.140625" style="16"/>
    <col min="3093" max="3093" width="12" style="16" customWidth="1"/>
    <col min="3094" max="3328" width="9.140625" style="16"/>
    <col min="3329" max="3329" width="5" style="16" customWidth="1"/>
    <col min="3330" max="3330" width="19.42578125" style="16" customWidth="1"/>
    <col min="3331" max="3336" width="8.85546875" style="16" customWidth="1"/>
    <col min="3337" max="3337" width="7.140625" style="16" bestFit="1" customWidth="1"/>
    <col min="3338" max="3338" width="7.42578125" style="16" customWidth="1"/>
    <col min="3339" max="3340" width="7" style="16" bestFit="1" customWidth="1"/>
    <col min="3341" max="3341" width="6.85546875" style="16" bestFit="1" customWidth="1"/>
    <col min="3342" max="3342" width="7" style="16" bestFit="1" customWidth="1"/>
    <col min="3343" max="3343" width="8.7109375" style="16" bestFit="1" customWidth="1"/>
    <col min="3344" max="3346" width="9.140625" style="16"/>
    <col min="3347" max="3347" width="12.42578125" style="16" customWidth="1"/>
    <col min="3348" max="3348" width="9.140625" style="16"/>
    <col min="3349" max="3349" width="12" style="16" customWidth="1"/>
    <col min="3350" max="3584" width="9.140625" style="16"/>
    <col min="3585" max="3585" width="5" style="16" customWidth="1"/>
    <col min="3586" max="3586" width="19.42578125" style="16" customWidth="1"/>
    <col min="3587" max="3592" width="8.85546875" style="16" customWidth="1"/>
    <col min="3593" max="3593" width="7.140625" style="16" bestFit="1" customWidth="1"/>
    <col min="3594" max="3594" width="7.42578125" style="16" customWidth="1"/>
    <col min="3595" max="3596" width="7" style="16" bestFit="1" customWidth="1"/>
    <col min="3597" max="3597" width="6.85546875" style="16" bestFit="1" customWidth="1"/>
    <col min="3598" max="3598" width="7" style="16" bestFit="1" customWidth="1"/>
    <col min="3599" max="3599" width="8.7109375" style="16" bestFit="1" customWidth="1"/>
    <col min="3600" max="3602" width="9.140625" style="16"/>
    <col min="3603" max="3603" width="12.42578125" style="16" customWidth="1"/>
    <col min="3604" max="3604" width="9.140625" style="16"/>
    <col min="3605" max="3605" width="12" style="16" customWidth="1"/>
    <col min="3606" max="3840" width="9.140625" style="16"/>
    <col min="3841" max="3841" width="5" style="16" customWidth="1"/>
    <col min="3842" max="3842" width="19.42578125" style="16" customWidth="1"/>
    <col min="3843" max="3848" width="8.85546875" style="16" customWidth="1"/>
    <col min="3849" max="3849" width="7.140625" style="16" bestFit="1" customWidth="1"/>
    <col min="3850" max="3850" width="7.42578125" style="16" customWidth="1"/>
    <col min="3851" max="3852" width="7" style="16" bestFit="1" customWidth="1"/>
    <col min="3853" max="3853" width="6.85546875" style="16" bestFit="1" customWidth="1"/>
    <col min="3854" max="3854" width="7" style="16" bestFit="1" customWidth="1"/>
    <col min="3855" max="3855" width="8.7109375" style="16" bestFit="1" customWidth="1"/>
    <col min="3856" max="3858" width="9.140625" style="16"/>
    <col min="3859" max="3859" width="12.42578125" style="16" customWidth="1"/>
    <col min="3860" max="3860" width="9.140625" style="16"/>
    <col min="3861" max="3861" width="12" style="16" customWidth="1"/>
    <col min="3862" max="4096" width="9.140625" style="16"/>
    <col min="4097" max="4097" width="5" style="16" customWidth="1"/>
    <col min="4098" max="4098" width="19.42578125" style="16" customWidth="1"/>
    <col min="4099" max="4104" width="8.85546875" style="16" customWidth="1"/>
    <col min="4105" max="4105" width="7.140625" style="16" bestFit="1" customWidth="1"/>
    <col min="4106" max="4106" width="7.42578125" style="16" customWidth="1"/>
    <col min="4107" max="4108" width="7" style="16" bestFit="1" customWidth="1"/>
    <col min="4109" max="4109" width="6.85546875" style="16" bestFit="1" customWidth="1"/>
    <col min="4110" max="4110" width="7" style="16" bestFit="1" customWidth="1"/>
    <col min="4111" max="4111" width="8.7109375" style="16" bestFit="1" customWidth="1"/>
    <col min="4112" max="4114" width="9.140625" style="16"/>
    <col min="4115" max="4115" width="12.42578125" style="16" customWidth="1"/>
    <col min="4116" max="4116" width="9.140625" style="16"/>
    <col min="4117" max="4117" width="12" style="16" customWidth="1"/>
    <col min="4118" max="4352" width="9.140625" style="16"/>
    <col min="4353" max="4353" width="5" style="16" customWidth="1"/>
    <col min="4354" max="4354" width="19.42578125" style="16" customWidth="1"/>
    <col min="4355" max="4360" width="8.85546875" style="16" customWidth="1"/>
    <col min="4361" max="4361" width="7.140625" style="16" bestFit="1" customWidth="1"/>
    <col min="4362" max="4362" width="7.42578125" style="16" customWidth="1"/>
    <col min="4363" max="4364" width="7" style="16" bestFit="1" customWidth="1"/>
    <col min="4365" max="4365" width="6.85546875" style="16" bestFit="1" customWidth="1"/>
    <col min="4366" max="4366" width="7" style="16" bestFit="1" customWidth="1"/>
    <col min="4367" max="4367" width="8.7109375" style="16" bestFit="1" customWidth="1"/>
    <col min="4368" max="4370" width="9.140625" style="16"/>
    <col min="4371" max="4371" width="12.42578125" style="16" customWidth="1"/>
    <col min="4372" max="4372" width="9.140625" style="16"/>
    <col min="4373" max="4373" width="12" style="16" customWidth="1"/>
    <col min="4374" max="4608" width="9.140625" style="16"/>
    <col min="4609" max="4609" width="5" style="16" customWidth="1"/>
    <col min="4610" max="4610" width="19.42578125" style="16" customWidth="1"/>
    <col min="4611" max="4616" width="8.85546875" style="16" customWidth="1"/>
    <col min="4617" max="4617" width="7.140625" style="16" bestFit="1" customWidth="1"/>
    <col min="4618" max="4618" width="7.42578125" style="16" customWidth="1"/>
    <col min="4619" max="4620" width="7" style="16" bestFit="1" customWidth="1"/>
    <col min="4621" max="4621" width="6.85546875" style="16" bestFit="1" customWidth="1"/>
    <col min="4622" max="4622" width="7" style="16" bestFit="1" customWidth="1"/>
    <col min="4623" max="4623" width="8.7109375" style="16" bestFit="1" customWidth="1"/>
    <col min="4624" max="4626" width="9.140625" style="16"/>
    <col min="4627" max="4627" width="12.42578125" style="16" customWidth="1"/>
    <col min="4628" max="4628" width="9.140625" style="16"/>
    <col min="4629" max="4629" width="12" style="16" customWidth="1"/>
    <col min="4630" max="4864" width="9.140625" style="16"/>
    <col min="4865" max="4865" width="5" style="16" customWidth="1"/>
    <col min="4866" max="4866" width="19.42578125" style="16" customWidth="1"/>
    <col min="4867" max="4872" width="8.85546875" style="16" customWidth="1"/>
    <col min="4873" max="4873" width="7.140625" style="16" bestFit="1" customWidth="1"/>
    <col min="4874" max="4874" width="7.42578125" style="16" customWidth="1"/>
    <col min="4875" max="4876" width="7" style="16" bestFit="1" customWidth="1"/>
    <col min="4877" max="4877" width="6.85546875" style="16" bestFit="1" customWidth="1"/>
    <col min="4878" max="4878" width="7" style="16" bestFit="1" customWidth="1"/>
    <col min="4879" max="4879" width="8.7109375" style="16" bestFit="1" customWidth="1"/>
    <col min="4880" max="4882" width="9.140625" style="16"/>
    <col min="4883" max="4883" width="12.42578125" style="16" customWidth="1"/>
    <col min="4884" max="4884" width="9.140625" style="16"/>
    <col min="4885" max="4885" width="12" style="16" customWidth="1"/>
    <col min="4886" max="5120" width="9.140625" style="16"/>
    <col min="5121" max="5121" width="5" style="16" customWidth="1"/>
    <col min="5122" max="5122" width="19.42578125" style="16" customWidth="1"/>
    <col min="5123" max="5128" width="8.85546875" style="16" customWidth="1"/>
    <col min="5129" max="5129" width="7.140625" style="16" bestFit="1" customWidth="1"/>
    <col min="5130" max="5130" width="7.42578125" style="16" customWidth="1"/>
    <col min="5131" max="5132" width="7" style="16" bestFit="1" customWidth="1"/>
    <col min="5133" max="5133" width="6.85546875" style="16" bestFit="1" customWidth="1"/>
    <col min="5134" max="5134" width="7" style="16" bestFit="1" customWidth="1"/>
    <col min="5135" max="5135" width="8.7109375" style="16" bestFit="1" customWidth="1"/>
    <col min="5136" max="5138" width="9.140625" style="16"/>
    <col min="5139" max="5139" width="12.42578125" style="16" customWidth="1"/>
    <col min="5140" max="5140" width="9.140625" style="16"/>
    <col min="5141" max="5141" width="12" style="16" customWidth="1"/>
    <col min="5142" max="5376" width="9.140625" style="16"/>
    <col min="5377" max="5377" width="5" style="16" customWidth="1"/>
    <col min="5378" max="5378" width="19.42578125" style="16" customWidth="1"/>
    <col min="5379" max="5384" width="8.85546875" style="16" customWidth="1"/>
    <col min="5385" max="5385" width="7.140625" style="16" bestFit="1" customWidth="1"/>
    <col min="5386" max="5386" width="7.42578125" style="16" customWidth="1"/>
    <col min="5387" max="5388" width="7" style="16" bestFit="1" customWidth="1"/>
    <col min="5389" max="5389" width="6.85546875" style="16" bestFit="1" customWidth="1"/>
    <col min="5390" max="5390" width="7" style="16" bestFit="1" customWidth="1"/>
    <col min="5391" max="5391" width="8.7109375" style="16" bestFit="1" customWidth="1"/>
    <col min="5392" max="5394" width="9.140625" style="16"/>
    <col min="5395" max="5395" width="12.42578125" style="16" customWidth="1"/>
    <col min="5396" max="5396" width="9.140625" style="16"/>
    <col min="5397" max="5397" width="12" style="16" customWidth="1"/>
    <col min="5398" max="5632" width="9.140625" style="16"/>
    <col min="5633" max="5633" width="5" style="16" customWidth="1"/>
    <col min="5634" max="5634" width="19.42578125" style="16" customWidth="1"/>
    <col min="5635" max="5640" width="8.85546875" style="16" customWidth="1"/>
    <col min="5641" max="5641" width="7.140625" style="16" bestFit="1" customWidth="1"/>
    <col min="5642" max="5642" width="7.42578125" style="16" customWidth="1"/>
    <col min="5643" max="5644" width="7" style="16" bestFit="1" customWidth="1"/>
    <col min="5645" max="5645" width="6.85546875" style="16" bestFit="1" customWidth="1"/>
    <col min="5646" max="5646" width="7" style="16" bestFit="1" customWidth="1"/>
    <col min="5647" max="5647" width="8.7109375" style="16" bestFit="1" customWidth="1"/>
    <col min="5648" max="5650" width="9.140625" style="16"/>
    <col min="5651" max="5651" width="12.42578125" style="16" customWidth="1"/>
    <col min="5652" max="5652" width="9.140625" style="16"/>
    <col min="5653" max="5653" width="12" style="16" customWidth="1"/>
    <col min="5654" max="5888" width="9.140625" style="16"/>
    <col min="5889" max="5889" width="5" style="16" customWidth="1"/>
    <col min="5890" max="5890" width="19.42578125" style="16" customWidth="1"/>
    <col min="5891" max="5896" width="8.85546875" style="16" customWidth="1"/>
    <col min="5897" max="5897" width="7.140625" style="16" bestFit="1" customWidth="1"/>
    <col min="5898" max="5898" width="7.42578125" style="16" customWidth="1"/>
    <col min="5899" max="5900" width="7" style="16" bestFit="1" customWidth="1"/>
    <col min="5901" max="5901" width="6.85546875" style="16" bestFit="1" customWidth="1"/>
    <col min="5902" max="5902" width="7" style="16" bestFit="1" customWidth="1"/>
    <col min="5903" max="5903" width="8.7109375" style="16" bestFit="1" customWidth="1"/>
    <col min="5904" max="5906" width="9.140625" style="16"/>
    <col min="5907" max="5907" width="12.42578125" style="16" customWidth="1"/>
    <col min="5908" max="5908" width="9.140625" style="16"/>
    <col min="5909" max="5909" width="12" style="16" customWidth="1"/>
    <col min="5910" max="6144" width="9.140625" style="16"/>
    <col min="6145" max="6145" width="5" style="16" customWidth="1"/>
    <col min="6146" max="6146" width="19.42578125" style="16" customWidth="1"/>
    <col min="6147" max="6152" width="8.85546875" style="16" customWidth="1"/>
    <col min="6153" max="6153" width="7.140625" style="16" bestFit="1" customWidth="1"/>
    <col min="6154" max="6154" width="7.42578125" style="16" customWidth="1"/>
    <col min="6155" max="6156" width="7" style="16" bestFit="1" customWidth="1"/>
    <col min="6157" max="6157" width="6.85546875" style="16" bestFit="1" customWidth="1"/>
    <col min="6158" max="6158" width="7" style="16" bestFit="1" customWidth="1"/>
    <col min="6159" max="6159" width="8.7109375" style="16" bestFit="1" customWidth="1"/>
    <col min="6160" max="6162" width="9.140625" style="16"/>
    <col min="6163" max="6163" width="12.42578125" style="16" customWidth="1"/>
    <col min="6164" max="6164" width="9.140625" style="16"/>
    <col min="6165" max="6165" width="12" style="16" customWidth="1"/>
    <col min="6166" max="6400" width="9.140625" style="16"/>
    <col min="6401" max="6401" width="5" style="16" customWidth="1"/>
    <col min="6402" max="6402" width="19.42578125" style="16" customWidth="1"/>
    <col min="6403" max="6408" width="8.85546875" style="16" customWidth="1"/>
    <col min="6409" max="6409" width="7.140625" style="16" bestFit="1" customWidth="1"/>
    <col min="6410" max="6410" width="7.42578125" style="16" customWidth="1"/>
    <col min="6411" max="6412" width="7" style="16" bestFit="1" customWidth="1"/>
    <col min="6413" max="6413" width="6.85546875" style="16" bestFit="1" customWidth="1"/>
    <col min="6414" max="6414" width="7" style="16" bestFit="1" customWidth="1"/>
    <col min="6415" max="6415" width="8.7109375" style="16" bestFit="1" customWidth="1"/>
    <col min="6416" max="6418" width="9.140625" style="16"/>
    <col min="6419" max="6419" width="12.42578125" style="16" customWidth="1"/>
    <col min="6420" max="6420" width="9.140625" style="16"/>
    <col min="6421" max="6421" width="12" style="16" customWidth="1"/>
    <col min="6422" max="6656" width="9.140625" style="16"/>
    <col min="6657" max="6657" width="5" style="16" customWidth="1"/>
    <col min="6658" max="6658" width="19.42578125" style="16" customWidth="1"/>
    <col min="6659" max="6664" width="8.85546875" style="16" customWidth="1"/>
    <col min="6665" max="6665" width="7.140625" style="16" bestFit="1" customWidth="1"/>
    <col min="6666" max="6666" width="7.42578125" style="16" customWidth="1"/>
    <col min="6667" max="6668" width="7" style="16" bestFit="1" customWidth="1"/>
    <col min="6669" max="6669" width="6.85546875" style="16" bestFit="1" customWidth="1"/>
    <col min="6670" max="6670" width="7" style="16" bestFit="1" customWidth="1"/>
    <col min="6671" max="6671" width="8.7109375" style="16" bestFit="1" customWidth="1"/>
    <col min="6672" max="6674" width="9.140625" style="16"/>
    <col min="6675" max="6675" width="12.42578125" style="16" customWidth="1"/>
    <col min="6676" max="6676" width="9.140625" style="16"/>
    <col min="6677" max="6677" width="12" style="16" customWidth="1"/>
    <col min="6678" max="6912" width="9.140625" style="16"/>
    <col min="6913" max="6913" width="5" style="16" customWidth="1"/>
    <col min="6914" max="6914" width="19.42578125" style="16" customWidth="1"/>
    <col min="6915" max="6920" width="8.85546875" style="16" customWidth="1"/>
    <col min="6921" max="6921" width="7.140625" style="16" bestFit="1" customWidth="1"/>
    <col min="6922" max="6922" width="7.42578125" style="16" customWidth="1"/>
    <col min="6923" max="6924" width="7" style="16" bestFit="1" customWidth="1"/>
    <col min="6925" max="6925" width="6.85546875" style="16" bestFit="1" customWidth="1"/>
    <col min="6926" max="6926" width="7" style="16" bestFit="1" customWidth="1"/>
    <col min="6927" max="6927" width="8.7109375" style="16" bestFit="1" customWidth="1"/>
    <col min="6928" max="6930" width="9.140625" style="16"/>
    <col min="6931" max="6931" width="12.42578125" style="16" customWidth="1"/>
    <col min="6932" max="6932" width="9.140625" style="16"/>
    <col min="6933" max="6933" width="12" style="16" customWidth="1"/>
    <col min="6934" max="7168" width="9.140625" style="16"/>
    <col min="7169" max="7169" width="5" style="16" customWidth="1"/>
    <col min="7170" max="7170" width="19.42578125" style="16" customWidth="1"/>
    <col min="7171" max="7176" width="8.85546875" style="16" customWidth="1"/>
    <col min="7177" max="7177" width="7.140625" style="16" bestFit="1" customWidth="1"/>
    <col min="7178" max="7178" width="7.42578125" style="16" customWidth="1"/>
    <col min="7179" max="7180" width="7" style="16" bestFit="1" customWidth="1"/>
    <col min="7181" max="7181" width="6.85546875" style="16" bestFit="1" customWidth="1"/>
    <col min="7182" max="7182" width="7" style="16" bestFit="1" customWidth="1"/>
    <col min="7183" max="7183" width="8.7109375" style="16" bestFit="1" customWidth="1"/>
    <col min="7184" max="7186" width="9.140625" style="16"/>
    <col min="7187" max="7187" width="12.42578125" style="16" customWidth="1"/>
    <col min="7188" max="7188" width="9.140625" style="16"/>
    <col min="7189" max="7189" width="12" style="16" customWidth="1"/>
    <col min="7190" max="7424" width="9.140625" style="16"/>
    <col min="7425" max="7425" width="5" style="16" customWidth="1"/>
    <col min="7426" max="7426" width="19.42578125" style="16" customWidth="1"/>
    <col min="7427" max="7432" width="8.85546875" style="16" customWidth="1"/>
    <col min="7433" max="7433" width="7.140625" style="16" bestFit="1" customWidth="1"/>
    <col min="7434" max="7434" width="7.42578125" style="16" customWidth="1"/>
    <col min="7435" max="7436" width="7" style="16" bestFit="1" customWidth="1"/>
    <col min="7437" max="7437" width="6.85546875" style="16" bestFit="1" customWidth="1"/>
    <col min="7438" max="7438" width="7" style="16" bestFit="1" customWidth="1"/>
    <col min="7439" max="7439" width="8.7109375" style="16" bestFit="1" customWidth="1"/>
    <col min="7440" max="7442" width="9.140625" style="16"/>
    <col min="7443" max="7443" width="12.42578125" style="16" customWidth="1"/>
    <col min="7444" max="7444" width="9.140625" style="16"/>
    <col min="7445" max="7445" width="12" style="16" customWidth="1"/>
    <col min="7446" max="7680" width="9.140625" style="16"/>
    <col min="7681" max="7681" width="5" style="16" customWidth="1"/>
    <col min="7682" max="7682" width="19.42578125" style="16" customWidth="1"/>
    <col min="7683" max="7688" width="8.85546875" style="16" customWidth="1"/>
    <col min="7689" max="7689" width="7.140625" style="16" bestFit="1" customWidth="1"/>
    <col min="7690" max="7690" width="7.42578125" style="16" customWidth="1"/>
    <col min="7691" max="7692" width="7" style="16" bestFit="1" customWidth="1"/>
    <col min="7693" max="7693" width="6.85546875" style="16" bestFit="1" customWidth="1"/>
    <col min="7694" max="7694" width="7" style="16" bestFit="1" customWidth="1"/>
    <col min="7695" max="7695" width="8.7109375" style="16" bestFit="1" customWidth="1"/>
    <col min="7696" max="7698" width="9.140625" style="16"/>
    <col min="7699" max="7699" width="12.42578125" style="16" customWidth="1"/>
    <col min="7700" max="7700" width="9.140625" style="16"/>
    <col min="7701" max="7701" width="12" style="16" customWidth="1"/>
    <col min="7702" max="7936" width="9.140625" style="16"/>
    <col min="7937" max="7937" width="5" style="16" customWidth="1"/>
    <col min="7938" max="7938" width="19.42578125" style="16" customWidth="1"/>
    <col min="7939" max="7944" width="8.85546875" style="16" customWidth="1"/>
    <col min="7945" max="7945" width="7.140625" style="16" bestFit="1" customWidth="1"/>
    <col min="7946" max="7946" width="7.42578125" style="16" customWidth="1"/>
    <col min="7947" max="7948" width="7" style="16" bestFit="1" customWidth="1"/>
    <col min="7949" max="7949" width="6.85546875" style="16" bestFit="1" customWidth="1"/>
    <col min="7950" max="7950" width="7" style="16" bestFit="1" customWidth="1"/>
    <col min="7951" max="7951" width="8.7109375" style="16" bestFit="1" customWidth="1"/>
    <col min="7952" max="7954" width="9.140625" style="16"/>
    <col min="7955" max="7955" width="12.42578125" style="16" customWidth="1"/>
    <col min="7956" max="7956" width="9.140625" style="16"/>
    <col min="7957" max="7957" width="12" style="16" customWidth="1"/>
    <col min="7958" max="8192" width="9.140625" style="16"/>
    <col min="8193" max="8193" width="5" style="16" customWidth="1"/>
    <col min="8194" max="8194" width="19.42578125" style="16" customWidth="1"/>
    <col min="8195" max="8200" width="8.85546875" style="16" customWidth="1"/>
    <col min="8201" max="8201" width="7.140625" style="16" bestFit="1" customWidth="1"/>
    <col min="8202" max="8202" width="7.42578125" style="16" customWidth="1"/>
    <col min="8203" max="8204" width="7" style="16" bestFit="1" customWidth="1"/>
    <col min="8205" max="8205" width="6.85546875" style="16" bestFit="1" customWidth="1"/>
    <col min="8206" max="8206" width="7" style="16" bestFit="1" customWidth="1"/>
    <col min="8207" max="8207" width="8.7109375" style="16" bestFit="1" customWidth="1"/>
    <col min="8208" max="8210" width="9.140625" style="16"/>
    <col min="8211" max="8211" width="12.42578125" style="16" customWidth="1"/>
    <col min="8212" max="8212" width="9.140625" style="16"/>
    <col min="8213" max="8213" width="12" style="16" customWidth="1"/>
    <col min="8214" max="8448" width="9.140625" style="16"/>
    <col min="8449" max="8449" width="5" style="16" customWidth="1"/>
    <col min="8450" max="8450" width="19.42578125" style="16" customWidth="1"/>
    <col min="8451" max="8456" width="8.85546875" style="16" customWidth="1"/>
    <col min="8457" max="8457" width="7.140625" style="16" bestFit="1" customWidth="1"/>
    <col min="8458" max="8458" width="7.42578125" style="16" customWidth="1"/>
    <col min="8459" max="8460" width="7" style="16" bestFit="1" customWidth="1"/>
    <col min="8461" max="8461" width="6.85546875" style="16" bestFit="1" customWidth="1"/>
    <col min="8462" max="8462" width="7" style="16" bestFit="1" customWidth="1"/>
    <col min="8463" max="8463" width="8.7109375" style="16" bestFit="1" customWidth="1"/>
    <col min="8464" max="8466" width="9.140625" style="16"/>
    <col min="8467" max="8467" width="12.42578125" style="16" customWidth="1"/>
    <col min="8468" max="8468" width="9.140625" style="16"/>
    <col min="8469" max="8469" width="12" style="16" customWidth="1"/>
    <col min="8470" max="8704" width="9.140625" style="16"/>
    <col min="8705" max="8705" width="5" style="16" customWidth="1"/>
    <col min="8706" max="8706" width="19.42578125" style="16" customWidth="1"/>
    <col min="8707" max="8712" width="8.85546875" style="16" customWidth="1"/>
    <col min="8713" max="8713" width="7.140625" style="16" bestFit="1" customWidth="1"/>
    <col min="8714" max="8714" width="7.42578125" style="16" customWidth="1"/>
    <col min="8715" max="8716" width="7" style="16" bestFit="1" customWidth="1"/>
    <col min="8717" max="8717" width="6.85546875" style="16" bestFit="1" customWidth="1"/>
    <col min="8718" max="8718" width="7" style="16" bestFit="1" customWidth="1"/>
    <col min="8719" max="8719" width="8.7109375" style="16" bestFit="1" customWidth="1"/>
    <col min="8720" max="8722" width="9.140625" style="16"/>
    <col min="8723" max="8723" width="12.42578125" style="16" customWidth="1"/>
    <col min="8724" max="8724" width="9.140625" style="16"/>
    <col min="8725" max="8725" width="12" style="16" customWidth="1"/>
    <col min="8726" max="8960" width="9.140625" style="16"/>
    <col min="8961" max="8961" width="5" style="16" customWidth="1"/>
    <col min="8962" max="8962" width="19.42578125" style="16" customWidth="1"/>
    <col min="8963" max="8968" width="8.85546875" style="16" customWidth="1"/>
    <col min="8969" max="8969" width="7.140625" style="16" bestFit="1" customWidth="1"/>
    <col min="8970" max="8970" width="7.42578125" style="16" customWidth="1"/>
    <col min="8971" max="8972" width="7" style="16" bestFit="1" customWidth="1"/>
    <col min="8973" max="8973" width="6.85546875" style="16" bestFit="1" customWidth="1"/>
    <col min="8974" max="8974" width="7" style="16" bestFit="1" customWidth="1"/>
    <col min="8975" max="8975" width="8.7109375" style="16" bestFit="1" customWidth="1"/>
    <col min="8976" max="8978" width="9.140625" style="16"/>
    <col min="8979" max="8979" width="12.42578125" style="16" customWidth="1"/>
    <col min="8980" max="8980" width="9.140625" style="16"/>
    <col min="8981" max="8981" width="12" style="16" customWidth="1"/>
    <col min="8982" max="9216" width="9.140625" style="16"/>
    <col min="9217" max="9217" width="5" style="16" customWidth="1"/>
    <col min="9218" max="9218" width="19.42578125" style="16" customWidth="1"/>
    <col min="9219" max="9224" width="8.85546875" style="16" customWidth="1"/>
    <col min="9225" max="9225" width="7.140625" style="16" bestFit="1" customWidth="1"/>
    <col min="9226" max="9226" width="7.42578125" style="16" customWidth="1"/>
    <col min="9227" max="9228" width="7" style="16" bestFit="1" customWidth="1"/>
    <col min="9229" max="9229" width="6.85546875" style="16" bestFit="1" customWidth="1"/>
    <col min="9230" max="9230" width="7" style="16" bestFit="1" customWidth="1"/>
    <col min="9231" max="9231" width="8.7109375" style="16" bestFit="1" customWidth="1"/>
    <col min="9232" max="9234" width="9.140625" style="16"/>
    <col min="9235" max="9235" width="12.42578125" style="16" customWidth="1"/>
    <col min="9236" max="9236" width="9.140625" style="16"/>
    <col min="9237" max="9237" width="12" style="16" customWidth="1"/>
    <col min="9238" max="9472" width="9.140625" style="16"/>
    <col min="9473" max="9473" width="5" style="16" customWidth="1"/>
    <col min="9474" max="9474" width="19.42578125" style="16" customWidth="1"/>
    <col min="9475" max="9480" width="8.85546875" style="16" customWidth="1"/>
    <col min="9481" max="9481" width="7.140625" style="16" bestFit="1" customWidth="1"/>
    <col min="9482" max="9482" width="7.42578125" style="16" customWidth="1"/>
    <col min="9483" max="9484" width="7" style="16" bestFit="1" customWidth="1"/>
    <col min="9485" max="9485" width="6.85546875" style="16" bestFit="1" customWidth="1"/>
    <col min="9486" max="9486" width="7" style="16" bestFit="1" customWidth="1"/>
    <col min="9487" max="9487" width="8.7109375" style="16" bestFit="1" customWidth="1"/>
    <col min="9488" max="9490" width="9.140625" style="16"/>
    <col min="9491" max="9491" width="12.42578125" style="16" customWidth="1"/>
    <col min="9492" max="9492" width="9.140625" style="16"/>
    <col min="9493" max="9493" width="12" style="16" customWidth="1"/>
    <col min="9494" max="9728" width="9.140625" style="16"/>
    <col min="9729" max="9729" width="5" style="16" customWidth="1"/>
    <col min="9730" max="9730" width="19.42578125" style="16" customWidth="1"/>
    <col min="9731" max="9736" width="8.85546875" style="16" customWidth="1"/>
    <col min="9737" max="9737" width="7.140625" style="16" bestFit="1" customWidth="1"/>
    <col min="9738" max="9738" width="7.42578125" style="16" customWidth="1"/>
    <col min="9739" max="9740" width="7" style="16" bestFit="1" customWidth="1"/>
    <col min="9741" max="9741" width="6.85546875" style="16" bestFit="1" customWidth="1"/>
    <col min="9742" max="9742" width="7" style="16" bestFit="1" customWidth="1"/>
    <col min="9743" max="9743" width="8.7109375" style="16" bestFit="1" customWidth="1"/>
    <col min="9744" max="9746" width="9.140625" style="16"/>
    <col min="9747" max="9747" width="12.42578125" style="16" customWidth="1"/>
    <col min="9748" max="9748" width="9.140625" style="16"/>
    <col min="9749" max="9749" width="12" style="16" customWidth="1"/>
    <col min="9750" max="9984" width="9.140625" style="16"/>
    <col min="9985" max="9985" width="5" style="16" customWidth="1"/>
    <col min="9986" max="9986" width="19.42578125" style="16" customWidth="1"/>
    <col min="9987" max="9992" width="8.85546875" style="16" customWidth="1"/>
    <col min="9993" max="9993" width="7.140625" style="16" bestFit="1" customWidth="1"/>
    <col min="9994" max="9994" width="7.42578125" style="16" customWidth="1"/>
    <col min="9995" max="9996" width="7" style="16" bestFit="1" customWidth="1"/>
    <col min="9997" max="9997" width="6.85546875" style="16" bestFit="1" customWidth="1"/>
    <col min="9998" max="9998" width="7" style="16" bestFit="1" customWidth="1"/>
    <col min="9999" max="9999" width="8.7109375" style="16" bestFit="1" customWidth="1"/>
    <col min="10000" max="10002" width="9.140625" style="16"/>
    <col min="10003" max="10003" width="12.42578125" style="16" customWidth="1"/>
    <col min="10004" max="10004" width="9.140625" style="16"/>
    <col min="10005" max="10005" width="12" style="16" customWidth="1"/>
    <col min="10006" max="10240" width="9.140625" style="16"/>
    <col min="10241" max="10241" width="5" style="16" customWidth="1"/>
    <col min="10242" max="10242" width="19.42578125" style="16" customWidth="1"/>
    <col min="10243" max="10248" width="8.85546875" style="16" customWidth="1"/>
    <col min="10249" max="10249" width="7.140625" style="16" bestFit="1" customWidth="1"/>
    <col min="10250" max="10250" width="7.42578125" style="16" customWidth="1"/>
    <col min="10251" max="10252" width="7" style="16" bestFit="1" customWidth="1"/>
    <col min="10253" max="10253" width="6.85546875" style="16" bestFit="1" customWidth="1"/>
    <col min="10254" max="10254" width="7" style="16" bestFit="1" customWidth="1"/>
    <col min="10255" max="10255" width="8.7109375" style="16" bestFit="1" customWidth="1"/>
    <col min="10256" max="10258" width="9.140625" style="16"/>
    <col min="10259" max="10259" width="12.42578125" style="16" customWidth="1"/>
    <col min="10260" max="10260" width="9.140625" style="16"/>
    <col min="10261" max="10261" width="12" style="16" customWidth="1"/>
    <col min="10262" max="10496" width="9.140625" style="16"/>
    <col min="10497" max="10497" width="5" style="16" customWidth="1"/>
    <col min="10498" max="10498" width="19.42578125" style="16" customWidth="1"/>
    <col min="10499" max="10504" width="8.85546875" style="16" customWidth="1"/>
    <col min="10505" max="10505" width="7.140625" style="16" bestFit="1" customWidth="1"/>
    <col min="10506" max="10506" width="7.42578125" style="16" customWidth="1"/>
    <col min="10507" max="10508" width="7" style="16" bestFit="1" customWidth="1"/>
    <col min="10509" max="10509" width="6.85546875" style="16" bestFit="1" customWidth="1"/>
    <col min="10510" max="10510" width="7" style="16" bestFit="1" customWidth="1"/>
    <col min="10511" max="10511" width="8.7109375" style="16" bestFit="1" customWidth="1"/>
    <col min="10512" max="10514" width="9.140625" style="16"/>
    <col min="10515" max="10515" width="12.42578125" style="16" customWidth="1"/>
    <col min="10516" max="10516" width="9.140625" style="16"/>
    <col min="10517" max="10517" width="12" style="16" customWidth="1"/>
    <col min="10518" max="10752" width="9.140625" style="16"/>
    <col min="10753" max="10753" width="5" style="16" customWidth="1"/>
    <col min="10754" max="10754" width="19.42578125" style="16" customWidth="1"/>
    <col min="10755" max="10760" width="8.85546875" style="16" customWidth="1"/>
    <col min="10761" max="10761" width="7.140625" style="16" bestFit="1" customWidth="1"/>
    <col min="10762" max="10762" width="7.42578125" style="16" customWidth="1"/>
    <col min="10763" max="10764" width="7" style="16" bestFit="1" customWidth="1"/>
    <col min="10765" max="10765" width="6.85546875" style="16" bestFit="1" customWidth="1"/>
    <col min="10766" max="10766" width="7" style="16" bestFit="1" customWidth="1"/>
    <col min="10767" max="10767" width="8.7109375" style="16" bestFit="1" customWidth="1"/>
    <col min="10768" max="10770" width="9.140625" style="16"/>
    <col min="10771" max="10771" width="12.42578125" style="16" customWidth="1"/>
    <col min="10772" max="10772" width="9.140625" style="16"/>
    <col min="10773" max="10773" width="12" style="16" customWidth="1"/>
    <col min="10774" max="11008" width="9.140625" style="16"/>
    <col min="11009" max="11009" width="5" style="16" customWidth="1"/>
    <col min="11010" max="11010" width="19.42578125" style="16" customWidth="1"/>
    <col min="11011" max="11016" width="8.85546875" style="16" customWidth="1"/>
    <col min="11017" max="11017" width="7.140625" style="16" bestFit="1" customWidth="1"/>
    <col min="11018" max="11018" width="7.42578125" style="16" customWidth="1"/>
    <col min="11019" max="11020" width="7" style="16" bestFit="1" customWidth="1"/>
    <col min="11021" max="11021" width="6.85546875" style="16" bestFit="1" customWidth="1"/>
    <col min="11022" max="11022" width="7" style="16" bestFit="1" customWidth="1"/>
    <col min="11023" max="11023" width="8.7109375" style="16" bestFit="1" customWidth="1"/>
    <col min="11024" max="11026" width="9.140625" style="16"/>
    <col min="11027" max="11027" width="12.42578125" style="16" customWidth="1"/>
    <col min="11028" max="11028" width="9.140625" style="16"/>
    <col min="11029" max="11029" width="12" style="16" customWidth="1"/>
    <col min="11030" max="11264" width="9.140625" style="16"/>
    <col min="11265" max="11265" width="5" style="16" customWidth="1"/>
    <col min="11266" max="11266" width="19.42578125" style="16" customWidth="1"/>
    <col min="11267" max="11272" width="8.85546875" style="16" customWidth="1"/>
    <col min="11273" max="11273" width="7.140625" style="16" bestFit="1" customWidth="1"/>
    <col min="11274" max="11274" width="7.42578125" style="16" customWidth="1"/>
    <col min="11275" max="11276" width="7" style="16" bestFit="1" customWidth="1"/>
    <col min="11277" max="11277" width="6.85546875" style="16" bestFit="1" customWidth="1"/>
    <col min="11278" max="11278" width="7" style="16" bestFit="1" customWidth="1"/>
    <col min="11279" max="11279" width="8.7109375" style="16" bestFit="1" customWidth="1"/>
    <col min="11280" max="11282" width="9.140625" style="16"/>
    <col min="11283" max="11283" width="12.42578125" style="16" customWidth="1"/>
    <col min="11284" max="11284" width="9.140625" style="16"/>
    <col min="11285" max="11285" width="12" style="16" customWidth="1"/>
    <col min="11286" max="11520" width="9.140625" style="16"/>
    <col min="11521" max="11521" width="5" style="16" customWidth="1"/>
    <col min="11522" max="11522" width="19.42578125" style="16" customWidth="1"/>
    <col min="11523" max="11528" width="8.85546875" style="16" customWidth="1"/>
    <col min="11529" max="11529" width="7.140625" style="16" bestFit="1" customWidth="1"/>
    <col min="11530" max="11530" width="7.42578125" style="16" customWidth="1"/>
    <col min="11531" max="11532" width="7" style="16" bestFit="1" customWidth="1"/>
    <col min="11533" max="11533" width="6.85546875" style="16" bestFit="1" customWidth="1"/>
    <col min="11534" max="11534" width="7" style="16" bestFit="1" customWidth="1"/>
    <col min="11535" max="11535" width="8.7109375" style="16" bestFit="1" customWidth="1"/>
    <col min="11536" max="11538" width="9.140625" style="16"/>
    <col min="11539" max="11539" width="12.42578125" style="16" customWidth="1"/>
    <col min="11540" max="11540" width="9.140625" style="16"/>
    <col min="11541" max="11541" width="12" style="16" customWidth="1"/>
    <col min="11542" max="11776" width="9.140625" style="16"/>
    <col min="11777" max="11777" width="5" style="16" customWidth="1"/>
    <col min="11778" max="11778" width="19.42578125" style="16" customWidth="1"/>
    <col min="11779" max="11784" width="8.85546875" style="16" customWidth="1"/>
    <col min="11785" max="11785" width="7.140625" style="16" bestFit="1" customWidth="1"/>
    <col min="11786" max="11786" width="7.42578125" style="16" customWidth="1"/>
    <col min="11787" max="11788" width="7" style="16" bestFit="1" customWidth="1"/>
    <col min="11789" max="11789" width="6.85546875" style="16" bestFit="1" customWidth="1"/>
    <col min="11790" max="11790" width="7" style="16" bestFit="1" customWidth="1"/>
    <col min="11791" max="11791" width="8.7109375" style="16" bestFit="1" customWidth="1"/>
    <col min="11792" max="11794" width="9.140625" style="16"/>
    <col min="11795" max="11795" width="12.42578125" style="16" customWidth="1"/>
    <col min="11796" max="11796" width="9.140625" style="16"/>
    <col min="11797" max="11797" width="12" style="16" customWidth="1"/>
    <col min="11798" max="12032" width="9.140625" style="16"/>
    <col min="12033" max="12033" width="5" style="16" customWidth="1"/>
    <col min="12034" max="12034" width="19.42578125" style="16" customWidth="1"/>
    <col min="12035" max="12040" width="8.85546875" style="16" customWidth="1"/>
    <col min="12041" max="12041" width="7.140625" style="16" bestFit="1" customWidth="1"/>
    <col min="12042" max="12042" width="7.42578125" style="16" customWidth="1"/>
    <col min="12043" max="12044" width="7" style="16" bestFit="1" customWidth="1"/>
    <col min="12045" max="12045" width="6.85546875" style="16" bestFit="1" customWidth="1"/>
    <col min="12046" max="12046" width="7" style="16" bestFit="1" customWidth="1"/>
    <col min="12047" max="12047" width="8.7109375" style="16" bestFit="1" customWidth="1"/>
    <col min="12048" max="12050" width="9.140625" style="16"/>
    <col min="12051" max="12051" width="12.42578125" style="16" customWidth="1"/>
    <col min="12052" max="12052" width="9.140625" style="16"/>
    <col min="12053" max="12053" width="12" style="16" customWidth="1"/>
    <col min="12054" max="12288" width="9.140625" style="16"/>
    <col min="12289" max="12289" width="5" style="16" customWidth="1"/>
    <col min="12290" max="12290" width="19.42578125" style="16" customWidth="1"/>
    <col min="12291" max="12296" width="8.85546875" style="16" customWidth="1"/>
    <col min="12297" max="12297" width="7.140625" style="16" bestFit="1" customWidth="1"/>
    <col min="12298" max="12298" width="7.42578125" style="16" customWidth="1"/>
    <col min="12299" max="12300" width="7" style="16" bestFit="1" customWidth="1"/>
    <col min="12301" max="12301" width="6.85546875" style="16" bestFit="1" customWidth="1"/>
    <col min="12302" max="12302" width="7" style="16" bestFit="1" customWidth="1"/>
    <col min="12303" max="12303" width="8.7109375" style="16" bestFit="1" customWidth="1"/>
    <col min="12304" max="12306" width="9.140625" style="16"/>
    <col min="12307" max="12307" width="12.42578125" style="16" customWidth="1"/>
    <col min="12308" max="12308" width="9.140625" style="16"/>
    <col min="12309" max="12309" width="12" style="16" customWidth="1"/>
    <col min="12310" max="12544" width="9.140625" style="16"/>
    <col min="12545" max="12545" width="5" style="16" customWidth="1"/>
    <col min="12546" max="12546" width="19.42578125" style="16" customWidth="1"/>
    <col min="12547" max="12552" width="8.85546875" style="16" customWidth="1"/>
    <col min="12553" max="12553" width="7.140625" style="16" bestFit="1" customWidth="1"/>
    <col min="12554" max="12554" width="7.42578125" style="16" customWidth="1"/>
    <col min="12555" max="12556" width="7" style="16" bestFit="1" customWidth="1"/>
    <col min="12557" max="12557" width="6.85546875" style="16" bestFit="1" customWidth="1"/>
    <col min="12558" max="12558" width="7" style="16" bestFit="1" customWidth="1"/>
    <col min="12559" max="12559" width="8.7109375" style="16" bestFit="1" customWidth="1"/>
    <col min="12560" max="12562" width="9.140625" style="16"/>
    <col min="12563" max="12563" width="12.42578125" style="16" customWidth="1"/>
    <col min="12564" max="12564" width="9.140625" style="16"/>
    <col min="12565" max="12565" width="12" style="16" customWidth="1"/>
    <col min="12566" max="12800" width="9.140625" style="16"/>
    <col min="12801" max="12801" width="5" style="16" customWidth="1"/>
    <col min="12802" max="12802" width="19.42578125" style="16" customWidth="1"/>
    <col min="12803" max="12808" width="8.85546875" style="16" customWidth="1"/>
    <col min="12809" max="12809" width="7.140625" style="16" bestFit="1" customWidth="1"/>
    <col min="12810" max="12810" width="7.42578125" style="16" customWidth="1"/>
    <col min="12811" max="12812" width="7" style="16" bestFit="1" customWidth="1"/>
    <col min="12813" max="12813" width="6.85546875" style="16" bestFit="1" customWidth="1"/>
    <col min="12814" max="12814" width="7" style="16" bestFit="1" customWidth="1"/>
    <col min="12815" max="12815" width="8.7109375" style="16" bestFit="1" customWidth="1"/>
    <col min="12816" max="12818" width="9.140625" style="16"/>
    <col min="12819" max="12819" width="12.42578125" style="16" customWidth="1"/>
    <col min="12820" max="12820" width="9.140625" style="16"/>
    <col min="12821" max="12821" width="12" style="16" customWidth="1"/>
    <col min="12822" max="13056" width="9.140625" style="16"/>
    <col min="13057" max="13057" width="5" style="16" customWidth="1"/>
    <col min="13058" max="13058" width="19.42578125" style="16" customWidth="1"/>
    <col min="13059" max="13064" width="8.85546875" style="16" customWidth="1"/>
    <col min="13065" max="13065" width="7.140625" style="16" bestFit="1" customWidth="1"/>
    <col min="13066" max="13066" width="7.42578125" style="16" customWidth="1"/>
    <col min="13067" max="13068" width="7" style="16" bestFit="1" customWidth="1"/>
    <col min="13069" max="13069" width="6.85546875" style="16" bestFit="1" customWidth="1"/>
    <col min="13070" max="13070" width="7" style="16" bestFit="1" customWidth="1"/>
    <col min="13071" max="13071" width="8.7109375" style="16" bestFit="1" customWidth="1"/>
    <col min="13072" max="13074" width="9.140625" style="16"/>
    <col min="13075" max="13075" width="12.42578125" style="16" customWidth="1"/>
    <col min="13076" max="13076" width="9.140625" style="16"/>
    <col min="13077" max="13077" width="12" style="16" customWidth="1"/>
    <col min="13078" max="13312" width="9.140625" style="16"/>
    <col min="13313" max="13313" width="5" style="16" customWidth="1"/>
    <col min="13314" max="13314" width="19.42578125" style="16" customWidth="1"/>
    <col min="13315" max="13320" width="8.85546875" style="16" customWidth="1"/>
    <col min="13321" max="13321" width="7.140625" style="16" bestFit="1" customWidth="1"/>
    <col min="13322" max="13322" width="7.42578125" style="16" customWidth="1"/>
    <col min="13323" max="13324" width="7" style="16" bestFit="1" customWidth="1"/>
    <col min="13325" max="13325" width="6.85546875" style="16" bestFit="1" customWidth="1"/>
    <col min="13326" max="13326" width="7" style="16" bestFit="1" customWidth="1"/>
    <col min="13327" max="13327" width="8.7109375" style="16" bestFit="1" customWidth="1"/>
    <col min="13328" max="13330" width="9.140625" style="16"/>
    <col min="13331" max="13331" width="12.42578125" style="16" customWidth="1"/>
    <col min="13332" max="13332" width="9.140625" style="16"/>
    <col min="13333" max="13333" width="12" style="16" customWidth="1"/>
    <col min="13334" max="13568" width="9.140625" style="16"/>
    <col min="13569" max="13569" width="5" style="16" customWidth="1"/>
    <col min="13570" max="13570" width="19.42578125" style="16" customWidth="1"/>
    <col min="13571" max="13576" width="8.85546875" style="16" customWidth="1"/>
    <col min="13577" max="13577" width="7.140625" style="16" bestFit="1" customWidth="1"/>
    <col min="13578" max="13578" width="7.42578125" style="16" customWidth="1"/>
    <col min="13579" max="13580" width="7" style="16" bestFit="1" customWidth="1"/>
    <col min="13581" max="13581" width="6.85546875" style="16" bestFit="1" customWidth="1"/>
    <col min="13582" max="13582" width="7" style="16" bestFit="1" customWidth="1"/>
    <col min="13583" max="13583" width="8.7109375" style="16" bestFit="1" customWidth="1"/>
    <col min="13584" max="13586" width="9.140625" style="16"/>
    <col min="13587" max="13587" width="12.42578125" style="16" customWidth="1"/>
    <col min="13588" max="13588" width="9.140625" style="16"/>
    <col min="13589" max="13589" width="12" style="16" customWidth="1"/>
    <col min="13590" max="13824" width="9.140625" style="16"/>
    <col min="13825" max="13825" width="5" style="16" customWidth="1"/>
    <col min="13826" max="13826" width="19.42578125" style="16" customWidth="1"/>
    <col min="13827" max="13832" width="8.85546875" style="16" customWidth="1"/>
    <col min="13833" max="13833" width="7.140625" style="16" bestFit="1" customWidth="1"/>
    <col min="13834" max="13834" width="7.42578125" style="16" customWidth="1"/>
    <col min="13835" max="13836" width="7" style="16" bestFit="1" customWidth="1"/>
    <col min="13837" max="13837" width="6.85546875" style="16" bestFit="1" customWidth="1"/>
    <col min="13838" max="13838" width="7" style="16" bestFit="1" customWidth="1"/>
    <col min="13839" max="13839" width="8.7109375" style="16" bestFit="1" customWidth="1"/>
    <col min="13840" max="13842" width="9.140625" style="16"/>
    <col min="13843" max="13843" width="12.42578125" style="16" customWidth="1"/>
    <col min="13844" max="13844" width="9.140625" style="16"/>
    <col min="13845" max="13845" width="12" style="16" customWidth="1"/>
    <col min="13846" max="14080" width="9.140625" style="16"/>
    <col min="14081" max="14081" width="5" style="16" customWidth="1"/>
    <col min="14082" max="14082" width="19.42578125" style="16" customWidth="1"/>
    <col min="14083" max="14088" width="8.85546875" style="16" customWidth="1"/>
    <col min="14089" max="14089" width="7.140625" style="16" bestFit="1" customWidth="1"/>
    <col min="14090" max="14090" width="7.42578125" style="16" customWidth="1"/>
    <col min="14091" max="14092" width="7" style="16" bestFit="1" customWidth="1"/>
    <col min="14093" max="14093" width="6.85546875" style="16" bestFit="1" customWidth="1"/>
    <col min="14094" max="14094" width="7" style="16" bestFit="1" customWidth="1"/>
    <col min="14095" max="14095" width="8.7109375" style="16" bestFit="1" customWidth="1"/>
    <col min="14096" max="14098" width="9.140625" style="16"/>
    <col min="14099" max="14099" width="12.42578125" style="16" customWidth="1"/>
    <col min="14100" max="14100" width="9.140625" style="16"/>
    <col min="14101" max="14101" width="12" style="16" customWidth="1"/>
    <col min="14102" max="14336" width="9.140625" style="16"/>
    <col min="14337" max="14337" width="5" style="16" customWidth="1"/>
    <col min="14338" max="14338" width="19.42578125" style="16" customWidth="1"/>
    <col min="14339" max="14344" width="8.85546875" style="16" customWidth="1"/>
    <col min="14345" max="14345" width="7.140625" style="16" bestFit="1" customWidth="1"/>
    <col min="14346" max="14346" width="7.42578125" style="16" customWidth="1"/>
    <col min="14347" max="14348" width="7" style="16" bestFit="1" customWidth="1"/>
    <col min="14349" max="14349" width="6.85546875" style="16" bestFit="1" customWidth="1"/>
    <col min="14350" max="14350" width="7" style="16" bestFit="1" customWidth="1"/>
    <col min="14351" max="14351" width="8.7109375" style="16" bestFit="1" customWidth="1"/>
    <col min="14352" max="14354" width="9.140625" style="16"/>
    <col min="14355" max="14355" width="12.42578125" style="16" customWidth="1"/>
    <col min="14356" max="14356" width="9.140625" style="16"/>
    <col min="14357" max="14357" width="12" style="16" customWidth="1"/>
    <col min="14358" max="14592" width="9.140625" style="16"/>
    <col min="14593" max="14593" width="5" style="16" customWidth="1"/>
    <col min="14594" max="14594" width="19.42578125" style="16" customWidth="1"/>
    <col min="14595" max="14600" width="8.85546875" style="16" customWidth="1"/>
    <col min="14601" max="14601" width="7.140625" style="16" bestFit="1" customWidth="1"/>
    <col min="14602" max="14602" width="7.42578125" style="16" customWidth="1"/>
    <col min="14603" max="14604" width="7" style="16" bestFit="1" customWidth="1"/>
    <col min="14605" max="14605" width="6.85546875" style="16" bestFit="1" customWidth="1"/>
    <col min="14606" max="14606" width="7" style="16" bestFit="1" customWidth="1"/>
    <col min="14607" max="14607" width="8.7109375" style="16" bestFit="1" customWidth="1"/>
    <col min="14608" max="14610" width="9.140625" style="16"/>
    <col min="14611" max="14611" width="12.42578125" style="16" customWidth="1"/>
    <col min="14612" max="14612" width="9.140625" style="16"/>
    <col min="14613" max="14613" width="12" style="16" customWidth="1"/>
    <col min="14614" max="14848" width="9.140625" style="16"/>
    <col min="14849" max="14849" width="5" style="16" customWidth="1"/>
    <col min="14850" max="14850" width="19.42578125" style="16" customWidth="1"/>
    <col min="14851" max="14856" width="8.85546875" style="16" customWidth="1"/>
    <col min="14857" max="14857" width="7.140625" style="16" bestFit="1" customWidth="1"/>
    <col min="14858" max="14858" width="7.42578125" style="16" customWidth="1"/>
    <col min="14859" max="14860" width="7" style="16" bestFit="1" customWidth="1"/>
    <col min="14861" max="14861" width="6.85546875" style="16" bestFit="1" customWidth="1"/>
    <col min="14862" max="14862" width="7" style="16" bestFit="1" customWidth="1"/>
    <col min="14863" max="14863" width="8.7109375" style="16" bestFit="1" customWidth="1"/>
    <col min="14864" max="14866" width="9.140625" style="16"/>
    <col min="14867" max="14867" width="12.42578125" style="16" customWidth="1"/>
    <col min="14868" max="14868" width="9.140625" style="16"/>
    <col min="14869" max="14869" width="12" style="16" customWidth="1"/>
    <col min="14870" max="15104" width="9.140625" style="16"/>
    <col min="15105" max="15105" width="5" style="16" customWidth="1"/>
    <col min="15106" max="15106" width="19.42578125" style="16" customWidth="1"/>
    <col min="15107" max="15112" width="8.85546875" style="16" customWidth="1"/>
    <col min="15113" max="15113" width="7.140625" style="16" bestFit="1" customWidth="1"/>
    <col min="15114" max="15114" width="7.42578125" style="16" customWidth="1"/>
    <col min="15115" max="15116" width="7" style="16" bestFit="1" customWidth="1"/>
    <col min="15117" max="15117" width="6.85546875" style="16" bestFit="1" customWidth="1"/>
    <col min="15118" max="15118" width="7" style="16" bestFit="1" customWidth="1"/>
    <col min="15119" max="15119" width="8.7109375" style="16" bestFit="1" customWidth="1"/>
    <col min="15120" max="15122" width="9.140625" style="16"/>
    <col min="15123" max="15123" width="12.42578125" style="16" customWidth="1"/>
    <col min="15124" max="15124" width="9.140625" style="16"/>
    <col min="15125" max="15125" width="12" style="16" customWidth="1"/>
    <col min="15126" max="15360" width="9.140625" style="16"/>
    <col min="15361" max="15361" width="5" style="16" customWidth="1"/>
    <col min="15362" max="15362" width="19.42578125" style="16" customWidth="1"/>
    <col min="15363" max="15368" width="8.85546875" style="16" customWidth="1"/>
    <col min="15369" max="15369" width="7.140625" style="16" bestFit="1" customWidth="1"/>
    <col min="15370" max="15370" width="7.42578125" style="16" customWidth="1"/>
    <col min="15371" max="15372" width="7" style="16" bestFit="1" customWidth="1"/>
    <col min="15373" max="15373" width="6.85546875" style="16" bestFit="1" customWidth="1"/>
    <col min="15374" max="15374" width="7" style="16" bestFit="1" customWidth="1"/>
    <col min="15375" max="15375" width="8.7109375" style="16" bestFit="1" customWidth="1"/>
    <col min="15376" max="15378" width="9.140625" style="16"/>
    <col min="15379" max="15379" width="12.42578125" style="16" customWidth="1"/>
    <col min="15380" max="15380" width="9.140625" style="16"/>
    <col min="15381" max="15381" width="12" style="16" customWidth="1"/>
    <col min="15382" max="15616" width="9.140625" style="16"/>
    <col min="15617" max="15617" width="5" style="16" customWidth="1"/>
    <col min="15618" max="15618" width="19.42578125" style="16" customWidth="1"/>
    <col min="15619" max="15624" width="8.85546875" style="16" customWidth="1"/>
    <col min="15625" max="15625" width="7.140625" style="16" bestFit="1" customWidth="1"/>
    <col min="15626" max="15626" width="7.42578125" style="16" customWidth="1"/>
    <col min="15627" max="15628" width="7" style="16" bestFit="1" customWidth="1"/>
    <col min="15629" max="15629" width="6.85546875" style="16" bestFit="1" customWidth="1"/>
    <col min="15630" max="15630" width="7" style="16" bestFit="1" customWidth="1"/>
    <col min="15631" max="15631" width="8.7109375" style="16" bestFit="1" customWidth="1"/>
    <col min="15632" max="15634" width="9.140625" style="16"/>
    <col min="15635" max="15635" width="12.42578125" style="16" customWidth="1"/>
    <col min="15636" max="15636" width="9.140625" style="16"/>
    <col min="15637" max="15637" width="12" style="16" customWidth="1"/>
    <col min="15638" max="15872" width="9.140625" style="16"/>
    <col min="15873" max="15873" width="5" style="16" customWidth="1"/>
    <col min="15874" max="15874" width="19.42578125" style="16" customWidth="1"/>
    <col min="15875" max="15880" width="8.85546875" style="16" customWidth="1"/>
    <col min="15881" max="15881" width="7.140625" style="16" bestFit="1" customWidth="1"/>
    <col min="15882" max="15882" width="7.42578125" style="16" customWidth="1"/>
    <col min="15883" max="15884" width="7" style="16" bestFit="1" customWidth="1"/>
    <col min="15885" max="15885" width="6.85546875" style="16" bestFit="1" customWidth="1"/>
    <col min="15886" max="15886" width="7" style="16" bestFit="1" customWidth="1"/>
    <col min="15887" max="15887" width="8.7109375" style="16" bestFit="1" customWidth="1"/>
    <col min="15888" max="15890" width="9.140625" style="16"/>
    <col min="15891" max="15891" width="12.42578125" style="16" customWidth="1"/>
    <col min="15892" max="15892" width="9.140625" style="16"/>
    <col min="15893" max="15893" width="12" style="16" customWidth="1"/>
    <col min="15894" max="16128" width="9.140625" style="16"/>
    <col min="16129" max="16129" width="5" style="16" customWidth="1"/>
    <col min="16130" max="16130" width="19.42578125" style="16" customWidth="1"/>
    <col min="16131" max="16136" width="8.85546875" style="16" customWidth="1"/>
    <col min="16137" max="16137" width="7.140625" style="16" bestFit="1" customWidth="1"/>
    <col min="16138" max="16138" width="7.42578125" style="16" customWidth="1"/>
    <col min="16139" max="16140" width="7" style="16" bestFit="1" customWidth="1"/>
    <col min="16141" max="16141" width="6.85546875" style="16" bestFit="1" customWidth="1"/>
    <col min="16142" max="16142" width="7" style="16" bestFit="1" customWidth="1"/>
    <col min="16143" max="16143" width="8.7109375" style="16" bestFit="1" customWidth="1"/>
    <col min="16144" max="16146" width="9.140625" style="16"/>
    <col min="16147" max="16147" width="12.42578125" style="16" customWidth="1"/>
    <col min="16148" max="16148" width="9.140625" style="16"/>
    <col min="16149" max="16149" width="12" style="16" customWidth="1"/>
    <col min="16150" max="16384" width="9.140625" style="16"/>
  </cols>
  <sheetData>
    <row r="1" spans="1:15" s="1" customFormat="1" ht="12.75" customHeight="1" x14ac:dyDescent="0.2">
      <c r="A1" s="867" t="s">
        <v>449</v>
      </c>
      <c r="B1" s="868"/>
      <c r="C1" s="868"/>
      <c r="D1" s="869"/>
      <c r="E1" s="868"/>
      <c r="F1" s="868"/>
      <c r="G1" s="867" t="s">
        <v>102</v>
      </c>
      <c r="H1" s="869"/>
      <c r="I1" s="869" t="s">
        <v>1108</v>
      </c>
      <c r="J1" s="868"/>
      <c r="K1" s="868"/>
      <c r="L1" s="870"/>
      <c r="M1" s="870"/>
      <c r="N1" s="870"/>
      <c r="O1" s="870"/>
    </row>
    <row r="2" spans="1:15" s="1" customFormat="1" ht="12.75" customHeight="1" x14ac:dyDescent="0.2">
      <c r="A2" s="867" t="s">
        <v>103</v>
      </c>
      <c r="B2" s="868"/>
      <c r="C2" s="868"/>
      <c r="D2" s="869"/>
      <c r="E2" s="868"/>
      <c r="F2" s="868"/>
      <c r="G2" s="867" t="s">
        <v>104</v>
      </c>
      <c r="H2" s="869"/>
      <c r="I2" s="869" t="s">
        <v>105</v>
      </c>
      <c r="J2" s="868"/>
      <c r="K2" s="868"/>
      <c r="L2" s="870"/>
      <c r="M2" s="870"/>
      <c r="N2" s="870"/>
      <c r="O2" s="870"/>
    </row>
    <row r="3" spans="1:15" s="1" customFormat="1" ht="12.75" customHeight="1" x14ac:dyDescent="0.2">
      <c r="A3" s="867" t="s">
        <v>106</v>
      </c>
      <c r="B3" s="868"/>
      <c r="C3" s="868"/>
      <c r="D3" s="881" t="s">
        <v>1109</v>
      </c>
      <c r="E3" s="882"/>
      <c r="F3" s="882"/>
      <c r="G3" s="867" t="s">
        <v>107</v>
      </c>
      <c r="H3" s="869"/>
      <c r="I3" s="869" t="s">
        <v>108</v>
      </c>
      <c r="J3" s="868"/>
      <c r="K3" s="868"/>
      <c r="L3" s="870"/>
      <c r="M3" s="870"/>
      <c r="N3" s="870"/>
      <c r="O3" s="870"/>
    </row>
    <row r="4" spans="1:15" s="1" customFormat="1" x14ac:dyDescent="0.2">
      <c r="A4" s="867" t="s">
        <v>109</v>
      </c>
      <c r="B4" s="868"/>
      <c r="C4" s="868"/>
      <c r="D4" s="883"/>
      <c r="E4" s="868"/>
      <c r="F4" s="868"/>
      <c r="G4" s="867" t="s">
        <v>110</v>
      </c>
      <c r="H4" s="869"/>
      <c r="I4" s="869" t="s">
        <v>1110</v>
      </c>
      <c r="J4" s="868"/>
      <c r="K4" s="868"/>
      <c r="L4" s="870"/>
      <c r="M4" s="870"/>
      <c r="N4" s="870"/>
      <c r="O4" s="870"/>
    </row>
    <row r="5" spans="1:15" s="1" customFormat="1" ht="12.75" customHeight="1" x14ac:dyDescent="0.2">
      <c r="A5" s="867" t="s">
        <v>443</v>
      </c>
      <c r="B5" s="868"/>
      <c r="C5" s="868"/>
      <c r="D5" s="869"/>
      <c r="E5" s="868"/>
      <c r="F5" s="868"/>
      <c r="G5" s="867"/>
      <c r="H5" s="868"/>
      <c r="I5" s="869" t="s">
        <v>113</v>
      </c>
      <c r="J5" s="868"/>
      <c r="K5" s="868"/>
      <c r="L5" s="870"/>
      <c r="M5" s="870"/>
      <c r="N5" s="870"/>
      <c r="O5" s="870"/>
    </row>
    <row r="6" spans="1:15" s="1" customFormat="1" x14ac:dyDescent="0.2">
      <c r="A6" s="1099" t="s">
        <v>114</v>
      </c>
      <c r="B6" s="1097"/>
      <c r="C6" s="1097"/>
      <c r="D6" s="1098" t="s">
        <v>928</v>
      </c>
      <c r="E6" s="1098"/>
      <c r="F6" s="1098"/>
      <c r="G6" s="1099" t="s">
        <v>115</v>
      </c>
      <c r="H6" s="1099"/>
      <c r="I6" s="2" t="s">
        <v>222</v>
      </c>
      <c r="J6" s="1128"/>
      <c r="K6" s="1128"/>
      <c r="L6" s="1128"/>
      <c r="M6" s="1128"/>
      <c r="N6" s="1128"/>
      <c r="O6" s="1129"/>
    </row>
    <row r="7" spans="1:15" s="1" customFormat="1" ht="13.5" thickBot="1" x14ac:dyDescent="0.25">
      <c r="A7" s="384"/>
      <c r="B7" s="317"/>
      <c r="C7" s="317"/>
      <c r="D7" s="318"/>
      <c r="E7" s="318"/>
      <c r="F7" s="318"/>
      <c r="G7" s="318"/>
      <c r="H7" s="318"/>
      <c r="I7" s="318"/>
      <c r="J7" s="1130"/>
      <c r="K7" s="1130"/>
      <c r="L7" s="1130"/>
      <c r="M7" s="1130"/>
      <c r="N7" s="1130"/>
      <c r="O7" s="1130"/>
    </row>
    <row r="8" spans="1:15" s="11" customFormat="1" x14ac:dyDescent="0.2">
      <c r="A8" s="1131" t="str">
        <f>I1</f>
        <v>Ms. SEEMA A. SHENDE</v>
      </c>
      <c r="B8" s="1132"/>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72100</v>
      </c>
      <c r="D9" s="14">
        <v>72100</v>
      </c>
      <c r="E9" s="14">
        <v>72100</v>
      </c>
      <c r="F9" s="14">
        <v>72100</v>
      </c>
      <c r="G9" s="14">
        <v>74300</v>
      </c>
      <c r="H9" s="14">
        <v>74300</v>
      </c>
      <c r="I9" s="14">
        <v>74300</v>
      </c>
      <c r="J9" s="14">
        <v>77900</v>
      </c>
      <c r="K9" s="14">
        <v>77900</v>
      </c>
      <c r="L9" s="14">
        <v>77900</v>
      </c>
      <c r="M9" s="14">
        <v>77900</v>
      </c>
      <c r="N9" s="14">
        <v>77900</v>
      </c>
      <c r="O9" s="15">
        <f>SUM(C9:N9)</f>
        <v>900800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3605</v>
      </c>
      <c r="D11" s="17">
        <v>5047</v>
      </c>
      <c r="E11" s="17">
        <v>5047</v>
      </c>
      <c r="F11" s="17">
        <v>5047</v>
      </c>
      <c r="G11" s="17">
        <v>5201</v>
      </c>
      <c r="H11" s="17">
        <v>5201</v>
      </c>
      <c r="I11" s="17">
        <v>5201</v>
      </c>
      <c r="J11" s="17">
        <v>7011</v>
      </c>
      <c r="K11" s="17">
        <v>7011</v>
      </c>
      <c r="L11" s="17">
        <v>7011</v>
      </c>
      <c r="M11" s="17">
        <v>7011</v>
      </c>
      <c r="N11" s="17">
        <v>7011</v>
      </c>
      <c r="O11" s="18">
        <f>SUM(C11:N11)</f>
        <v>69404</v>
      </c>
    </row>
    <row r="12" spans="1:15"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x14ac:dyDescent="0.2">
      <c r="A14" s="12"/>
      <c r="B14" s="13" t="s">
        <v>123</v>
      </c>
      <c r="C14" s="17">
        <v>3780</v>
      </c>
      <c r="D14" s="17">
        <v>3852</v>
      </c>
      <c r="E14" s="17">
        <v>3852</v>
      </c>
      <c r="F14" s="17">
        <v>3852</v>
      </c>
      <c r="G14" s="17">
        <v>3852</v>
      </c>
      <c r="H14" s="17">
        <v>3852</v>
      </c>
      <c r="I14" s="17">
        <v>3852</v>
      </c>
      <c r="J14" s="17">
        <v>3924</v>
      </c>
      <c r="K14" s="17">
        <v>3924</v>
      </c>
      <c r="L14" s="17">
        <v>3924</v>
      </c>
      <c r="M14" s="17">
        <v>3924</v>
      </c>
      <c r="N14" s="17">
        <v>3924</v>
      </c>
      <c r="O14" s="18">
        <f t="shared" si="0"/>
        <v>46512</v>
      </c>
    </row>
    <row r="15" spans="1:15"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hidden="1"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17304</v>
      </c>
      <c r="D19" s="17">
        <v>17304</v>
      </c>
      <c r="E19" s="17">
        <v>17304</v>
      </c>
      <c r="F19" s="17">
        <v>17304</v>
      </c>
      <c r="G19" s="17">
        <v>17832</v>
      </c>
      <c r="H19" s="17">
        <v>17832</v>
      </c>
      <c r="I19" s="17">
        <v>17832</v>
      </c>
      <c r="J19" s="17">
        <v>18696</v>
      </c>
      <c r="K19" s="17">
        <v>18696</v>
      </c>
      <c r="L19" s="17">
        <v>18696</v>
      </c>
      <c r="M19" s="17">
        <v>18696</v>
      </c>
      <c r="N19" s="17">
        <v>18696</v>
      </c>
      <c r="O19" s="18">
        <f t="shared" si="0"/>
        <v>216192</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1133"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1133"/>
      <c r="B22" s="19" t="s">
        <v>132</v>
      </c>
      <c r="C22" s="17">
        <v>0</v>
      </c>
      <c r="D22" s="17">
        <v>0</v>
      </c>
      <c r="E22" s="17">
        <v>0</v>
      </c>
      <c r="F22" s="17">
        <v>0</v>
      </c>
      <c r="G22" s="17">
        <v>0</v>
      </c>
      <c r="H22" s="17">
        <v>0</v>
      </c>
      <c r="I22" s="17">
        <v>0</v>
      </c>
      <c r="J22" s="17">
        <v>0</v>
      </c>
      <c r="K22" s="17">
        <v>0</v>
      </c>
      <c r="L22" s="17">
        <v>0</v>
      </c>
      <c r="M22" s="17">
        <v>0</v>
      </c>
      <c r="N22" s="17">
        <v>0</v>
      </c>
      <c r="O22" s="18">
        <f t="shared" si="0"/>
        <v>0</v>
      </c>
    </row>
    <row r="23" spans="1:15" ht="15" hidden="1" customHeight="1" x14ac:dyDescent="0.2">
      <c r="A23" s="1133"/>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1133"/>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1133"/>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1133"/>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1133"/>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1133"/>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1133"/>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1133"/>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1133"/>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1133"/>
      <c r="B32" s="21" t="s">
        <v>142</v>
      </c>
      <c r="C32" s="17">
        <v>0</v>
      </c>
      <c r="D32" s="17">
        <v>0</v>
      </c>
      <c r="E32" s="17">
        <v>0</v>
      </c>
      <c r="F32" s="17">
        <v>0</v>
      </c>
      <c r="G32" s="17">
        <v>0</v>
      </c>
      <c r="H32" s="17">
        <v>0</v>
      </c>
      <c r="I32" s="17">
        <v>0</v>
      </c>
      <c r="J32" s="17">
        <v>0</v>
      </c>
      <c r="K32" s="17">
        <v>0</v>
      </c>
      <c r="L32" s="17">
        <v>0</v>
      </c>
      <c r="M32" s="17">
        <v>0</v>
      </c>
      <c r="N32" s="17">
        <v>0</v>
      </c>
      <c r="O32" s="18">
        <f t="shared" si="0"/>
        <v>0</v>
      </c>
    </row>
    <row r="33" spans="1:15" ht="15" hidden="1" customHeight="1" x14ac:dyDescent="0.2">
      <c r="A33" s="1133"/>
      <c r="B33" s="19" t="s">
        <v>226</v>
      </c>
      <c r="C33" s="17">
        <v>0</v>
      </c>
      <c r="D33" s="17">
        <v>0</v>
      </c>
      <c r="E33" s="17">
        <v>0</v>
      </c>
      <c r="F33" s="17">
        <v>0</v>
      </c>
      <c r="G33" s="17">
        <v>0</v>
      </c>
      <c r="H33" s="17">
        <v>0</v>
      </c>
      <c r="I33" s="17">
        <v>0</v>
      </c>
      <c r="J33" s="17">
        <v>0</v>
      </c>
      <c r="K33" s="17">
        <v>0</v>
      </c>
      <c r="L33" s="17">
        <v>0</v>
      </c>
      <c r="M33" s="17">
        <v>0</v>
      </c>
      <c r="N33" s="17">
        <v>0</v>
      </c>
      <c r="O33" s="18">
        <f t="shared" si="0"/>
        <v>0</v>
      </c>
    </row>
    <row r="34" spans="1:15" ht="15" customHeight="1" x14ac:dyDescent="0.2">
      <c r="A34" s="1126" t="s">
        <v>1111</v>
      </c>
      <c r="B34" s="1127"/>
      <c r="C34" s="17">
        <v>0</v>
      </c>
      <c r="D34" s="17">
        <v>0</v>
      </c>
      <c r="E34" s="17">
        <v>0</v>
      </c>
      <c r="F34" s="17">
        <v>0</v>
      </c>
      <c r="G34" s="17">
        <v>0</v>
      </c>
      <c r="H34" s="17">
        <v>0</v>
      </c>
      <c r="I34" s="17">
        <v>0</v>
      </c>
      <c r="J34" s="17">
        <v>0</v>
      </c>
      <c r="K34" s="17">
        <v>0</v>
      </c>
      <c r="L34" s="17">
        <v>0</v>
      </c>
      <c r="M34" s="17">
        <v>0</v>
      </c>
      <c r="N34" s="17">
        <v>0</v>
      </c>
      <c r="O34" s="18">
        <f t="shared" si="0"/>
        <v>0</v>
      </c>
    </row>
    <row r="35" spans="1:15" ht="15" customHeight="1" x14ac:dyDescent="0.2">
      <c r="A35" s="1126" t="s">
        <v>145</v>
      </c>
      <c r="B35" s="1127"/>
      <c r="C35" s="17">
        <v>0</v>
      </c>
      <c r="D35" s="17">
        <v>216</v>
      </c>
      <c r="E35" s="17">
        <v>0</v>
      </c>
      <c r="F35" s="17">
        <v>0</v>
      </c>
      <c r="G35" s="17">
        <v>0</v>
      </c>
      <c r="H35" s="17">
        <v>0</v>
      </c>
      <c r="I35" s="17">
        <v>0</v>
      </c>
      <c r="J35" s="17">
        <v>216</v>
      </c>
      <c r="K35" s="17">
        <v>0</v>
      </c>
      <c r="L35" s="17">
        <v>0</v>
      </c>
      <c r="M35" s="17">
        <v>0</v>
      </c>
      <c r="N35" s="17">
        <v>0</v>
      </c>
      <c r="O35" s="18">
        <f t="shared" si="0"/>
        <v>432</v>
      </c>
    </row>
    <row r="36" spans="1:15" ht="15" customHeight="1" x14ac:dyDescent="0.2">
      <c r="A36" s="1126" t="s">
        <v>146</v>
      </c>
      <c r="B36" s="1127"/>
      <c r="C36" s="17">
        <v>0</v>
      </c>
      <c r="D36" s="17">
        <v>4326</v>
      </c>
      <c r="E36" s="17">
        <v>0</v>
      </c>
      <c r="F36" s="17">
        <v>0</v>
      </c>
      <c r="G36" s="17">
        <v>0</v>
      </c>
      <c r="H36" s="17">
        <v>0</v>
      </c>
      <c r="I36" s="17">
        <v>0</v>
      </c>
      <c r="J36" s="17">
        <v>4458</v>
      </c>
      <c r="K36" s="17">
        <v>0</v>
      </c>
      <c r="L36" s="17">
        <v>0</v>
      </c>
      <c r="M36" s="17">
        <v>0</v>
      </c>
      <c r="N36" s="17">
        <v>0</v>
      </c>
      <c r="O36" s="18">
        <f t="shared" si="0"/>
        <v>8784</v>
      </c>
    </row>
    <row r="37" spans="1:15" ht="15" customHeight="1" x14ac:dyDescent="0.2">
      <c r="A37" s="22"/>
      <c r="B37" s="23" t="s">
        <v>147</v>
      </c>
      <c r="C37" s="24">
        <f t="shared" ref="C37:N37" si="1">SUM(C9:C36)</f>
        <v>96789</v>
      </c>
      <c r="D37" s="24">
        <f t="shared" si="1"/>
        <v>102845</v>
      </c>
      <c r="E37" s="24">
        <f t="shared" si="1"/>
        <v>98303</v>
      </c>
      <c r="F37" s="24">
        <f t="shared" si="1"/>
        <v>98303</v>
      </c>
      <c r="G37" s="24">
        <f t="shared" si="1"/>
        <v>101185</v>
      </c>
      <c r="H37" s="24">
        <f t="shared" si="1"/>
        <v>101185</v>
      </c>
      <c r="I37" s="24">
        <f t="shared" si="1"/>
        <v>101185</v>
      </c>
      <c r="J37" s="24">
        <f t="shared" si="1"/>
        <v>112205</v>
      </c>
      <c r="K37" s="24">
        <f t="shared" si="1"/>
        <v>107531</v>
      </c>
      <c r="L37" s="24">
        <f t="shared" si="1"/>
        <v>107531</v>
      </c>
      <c r="M37" s="24">
        <f t="shared" si="1"/>
        <v>107531</v>
      </c>
      <c r="N37" s="24">
        <f t="shared" si="1"/>
        <v>107531</v>
      </c>
      <c r="O37" s="25">
        <f>SUM(C37:N37)</f>
        <v>1242124</v>
      </c>
    </row>
    <row r="38" spans="1:15" ht="15" customHeight="1" x14ac:dyDescent="0.25">
      <c r="A38" s="1121" t="s">
        <v>148</v>
      </c>
      <c r="B38" s="27" t="s">
        <v>149</v>
      </c>
      <c r="C38" s="28">
        <v>6800</v>
      </c>
      <c r="D38" s="28">
        <v>7000</v>
      </c>
      <c r="E38" s="28">
        <v>7000</v>
      </c>
      <c r="F38" s="28">
        <v>7000</v>
      </c>
      <c r="G38" s="28">
        <v>7000</v>
      </c>
      <c r="H38" s="28">
        <v>7000</v>
      </c>
      <c r="I38" s="28">
        <v>7000</v>
      </c>
      <c r="J38" s="28">
        <v>7000</v>
      </c>
      <c r="K38" s="28">
        <v>20000</v>
      </c>
      <c r="L38" s="28">
        <v>22000</v>
      </c>
      <c r="M38" s="28">
        <v>23227</v>
      </c>
      <c r="N38">
        <v>24627</v>
      </c>
      <c r="O38" s="18">
        <f>SUM(C38:N38)</f>
        <v>145654</v>
      </c>
    </row>
    <row r="39" spans="1:15" ht="15" x14ac:dyDescent="0.2">
      <c r="A39" s="1121"/>
      <c r="B39" s="27" t="s">
        <v>150</v>
      </c>
      <c r="C39" s="28">
        <v>0</v>
      </c>
      <c r="D39" s="28">
        <v>0</v>
      </c>
      <c r="E39" s="28">
        <v>0</v>
      </c>
      <c r="F39" s="28">
        <v>0</v>
      </c>
      <c r="G39" s="28">
        <v>0</v>
      </c>
      <c r="H39" s="28">
        <v>0</v>
      </c>
      <c r="I39" s="28">
        <v>0</v>
      </c>
      <c r="J39" s="28">
        <v>0</v>
      </c>
      <c r="K39" s="28">
        <v>0</v>
      </c>
      <c r="L39" s="28">
        <v>0</v>
      </c>
      <c r="M39" s="28">
        <v>0</v>
      </c>
      <c r="N39" s="28">
        <v>0</v>
      </c>
      <c r="O39" s="18">
        <f>SUM(C39:N39)</f>
        <v>0</v>
      </c>
    </row>
    <row r="40" spans="1:15" ht="15" x14ac:dyDescent="0.2">
      <c r="A40" s="1121"/>
      <c r="B40" s="27" t="s">
        <v>151</v>
      </c>
      <c r="C40" s="28">
        <v>60</v>
      </c>
      <c r="D40" s="28">
        <v>60</v>
      </c>
      <c r="E40" s="28">
        <v>60</v>
      </c>
      <c r="F40" s="28">
        <v>60</v>
      </c>
      <c r="G40" s="28">
        <v>60</v>
      </c>
      <c r="H40" s="28">
        <v>60</v>
      </c>
      <c r="I40" s="28">
        <v>60</v>
      </c>
      <c r="J40" s="28">
        <v>60</v>
      </c>
      <c r="K40" s="28">
        <v>60</v>
      </c>
      <c r="L40" s="28">
        <v>60</v>
      </c>
      <c r="M40" s="28">
        <v>60</v>
      </c>
      <c r="N40" s="28">
        <v>60</v>
      </c>
      <c r="O40" s="18">
        <f t="shared" ref="O40:O50" si="2">SUM(C40:N40)</f>
        <v>720</v>
      </c>
    </row>
    <row r="41" spans="1:15" ht="15" x14ac:dyDescent="0.2">
      <c r="A41" s="1121"/>
      <c r="B41" s="27" t="s">
        <v>152</v>
      </c>
      <c r="C41" s="28">
        <v>0</v>
      </c>
      <c r="D41" s="28">
        <v>0</v>
      </c>
      <c r="E41" s="28">
        <v>0</v>
      </c>
      <c r="F41" s="28">
        <v>0</v>
      </c>
      <c r="G41" s="28">
        <v>0</v>
      </c>
      <c r="H41" s="28">
        <v>0</v>
      </c>
      <c r="I41" s="28">
        <v>0</v>
      </c>
      <c r="J41" s="28">
        <v>0</v>
      </c>
      <c r="K41" s="28">
        <v>0</v>
      </c>
      <c r="L41" s="28">
        <v>0</v>
      </c>
      <c r="M41" s="28">
        <v>0</v>
      </c>
      <c r="N41" s="28">
        <v>0</v>
      </c>
      <c r="O41" s="18">
        <f t="shared" si="2"/>
        <v>0</v>
      </c>
    </row>
    <row r="42" spans="1:15" ht="15" x14ac:dyDescent="0.2">
      <c r="A42" s="1121"/>
      <c r="B42" s="27" t="s">
        <v>153</v>
      </c>
      <c r="C42" s="28">
        <v>650</v>
      </c>
      <c r="D42" s="28">
        <v>650</v>
      </c>
      <c r="E42" s="28">
        <v>650</v>
      </c>
      <c r="F42" s="28">
        <v>650</v>
      </c>
      <c r="G42" s="28">
        <v>650</v>
      </c>
      <c r="H42" s="28">
        <v>650</v>
      </c>
      <c r="I42" s="28">
        <v>650</v>
      </c>
      <c r="J42" s="28">
        <v>650</v>
      </c>
      <c r="K42" s="28">
        <v>650</v>
      </c>
      <c r="L42" s="28">
        <v>650</v>
      </c>
      <c r="M42" s="28">
        <v>650</v>
      </c>
      <c r="N42" s="28">
        <v>650</v>
      </c>
      <c r="O42" s="18">
        <f t="shared" si="2"/>
        <v>7800</v>
      </c>
    </row>
    <row r="43" spans="1:15" ht="15" x14ac:dyDescent="0.2">
      <c r="A43" s="1121"/>
      <c r="B43" s="27" t="s">
        <v>154</v>
      </c>
      <c r="C43" s="28">
        <v>12000</v>
      </c>
      <c r="D43" s="28">
        <v>12000</v>
      </c>
      <c r="E43" s="28">
        <v>12000</v>
      </c>
      <c r="F43" s="28">
        <v>12000</v>
      </c>
      <c r="G43" s="28">
        <v>12000</v>
      </c>
      <c r="H43" s="28">
        <v>15000</v>
      </c>
      <c r="I43" s="28">
        <v>15000</v>
      </c>
      <c r="J43" s="28">
        <v>25000</v>
      </c>
      <c r="K43" s="28">
        <v>25000</v>
      </c>
      <c r="L43" s="28">
        <v>25000</v>
      </c>
      <c r="M43" s="28">
        <v>25000</v>
      </c>
      <c r="N43" s="28">
        <v>25000</v>
      </c>
      <c r="O43" s="18">
        <f t="shared" si="2"/>
        <v>215000</v>
      </c>
    </row>
    <row r="44" spans="1:15" ht="15" x14ac:dyDescent="0.2">
      <c r="A44" s="1121"/>
      <c r="B44" s="27" t="s">
        <v>155</v>
      </c>
      <c r="C44" s="28">
        <v>200</v>
      </c>
      <c r="D44" s="28">
        <v>200</v>
      </c>
      <c r="E44" s="28">
        <v>200</v>
      </c>
      <c r="F44" s="28">
        <v>200</v>
      </c>
      <c r="G44" s="28">
        <v>200</v>
      </c>
      <c r="H44" s="28">
        <v>200</v>
      </c>
      <c r="I44" s="28">
        <v>200</v>
      </c>
      <c r="J44" s="28">
        <v>200</v>
      </c>
      <c r="K44" s="28">
        <v>200</v>
      </c>
      <c r="L44" s="28">
        <v>200</v>
      </c>
      <c r="M44" s="28">
        <v>200</v>
      </c>
      <c r="N44" s="28">
        <v>300</v>
      </c>
      <c r="O44" s="18">
        <f t="shared" si="2"/>
        <v>2500</v>
      </c>
    </row>
    <row r="45" spans="1:15" ht="15.75" customHeight="1" x14ac:dyDescent="0.2">
      <c r="A45" s="1121"/>
      <c r="B45" s="385" t="s">
        <v>1112</v>
      </c>
      <c r="C45" s="28">
        <v>40</v>
      </c>
      <c r="D45" s="28">
        <v>40</v>
      </c>
      <c r="E45" s="28">
        <v>40</v>
      </c>
      <c r="F45" s="28">
        <v>40</v>
      </c>
      <c r="G45" s="28">
        <v>40</v>
      </c>
      <c r="H45" s="28">
        <v>40</v>
      </c>
      <c r="I45" s="28">
        <v>40</v>
      </c>
      <c r="J45" s="28">
        <v>1200</v>
      </c>
      <c r="K45" s="28">
        <v>0</v>
      </c>
      <c r="L45" s="28">
        <v>0</v>
      </c>
      <c r="M45" s="28">
        <v>0</v>
      </c>
      <c r="N45" s="28">
        <v>0</v>
      </c>
      <c r="O45" s="18">
        <f t="shared" si="2"/>
        <v>1480</v>
      </c>
    </row>
    <row r="46" spans="1:15" ht="15" x14ac:dyDescent="0.2">
      <c r="A46" s="1121"/>
      <c r="B46" s="27" t="s">
        <v>157</v>
      </c>
      <c r="C46" s="28">
        <v>0</v>
      </c>
      <c r="D46" s="28">
        <v>0</v>
      </c>
      <c r="E46" s="28">
        <v>0</v>
      </c>
      <c r="F46" s="28">
        <v>0</v>
      </c>
      <c r="G46" s="28">
        <v>0</v>
      </c>
      <c r="H46" s="28">
        <v>0</v>
      </c>
      <c r="I46" s="28">
        <v>0</v>
      </c>
      <c r="J46" s="28">
        <v>0</v>
      </c>
      <c r="K46" s="28">
        <v>0</v>
      </c>
      <c r="L46" s="28">
        <v>0</v>
      </c>
      <c r="M46" s="28">
        <v>0</v>
      </c>
      <c r="N46" s="28">
        <v>0</v>
      </c>
      <c r="O46" s="18">
        <f t="shared" si="2"/>
        <v>0</v>
      </c>
    </row>
    <row r="47" spans="1:15" ht="28.5" customHeight="1" x14ac:dyDescent="0.2">
      <c r="A47" s="1122"/>
      <c r="B47" s="30" t="s">
        <v>158</v>
      </c>
      <c r="C47" s="28">
        <v>0</v>
      </c>
      <c r="D47" s="28">
        <v>0</v>
      </c>
      <c r="E47" s="28">
        <v>0</v>
      </c>
      <c r="F47" s="28">
        <v>0</v>
      </c>
      <c r="G47" s="28">
        <v>0</v>
      </c>
      <c r="H47" s="28">
        <v>0</v>
      </c>
      <c r="I47" s="28">
        <v>0</v>
      </c>
      <c r="J47" s="28">
        <v>0</v>
      </c>
      <c r="K47" s="28">
        <v>0</v>
      </c>
      <c r="L47" s="28">
        <v>0</v>
      </c>
      <c r="M47" s="28">
        <v>0</v>
      </c>
      <c r="N47" s="28">
        <v>0</v>
      </c>
      <c r="O47" s="31">
        <f t="shared" si="2"/>
        <v>0</v>
      </c>
    </row>
    <row r="48" spans="1:15" ht="30.75" thickBot="1" x14ac:dyDescent="0.25">
      <c r="A48" s="1123"/>
      <c r="B48" s="386" t="s">
        <v>1008</v>
      </c>
      <c r="C48" s="28">
        <v>0</v>
      </c>
      <c r="D48" s="28">
        <v>0</v>
      </c>
      <c r="E48" s="28">
        <v>0</v>
      </c>
      <c r="F48" s="28">
        <v>0</v>
      </c>
      <c r="G48" s="28">
        <v>0</v>
      </c>
      <c r="H48" s="28">
        <v>0</v>
      </c>
      <c r="I48" s="28">
        <v>0</v>
      </c>
      <c r="J48" s="28">
        <v>0</v>
      </c>
      <c r="K48" s="28">
        <v>0</v>
      </c>
      <c r="L48" s="28">
        <v>0</v>
      </c>
      <c r="M48" s="28">
        <v>0</v>
      </c>
      <c r="N48" s="28">
        <v>0</v>
      </c>
      <c r="O48" s="31">
        <f t="shared" si="2"/>
        <v>0</v>
      </c>
    </row>
    <row r="49" spans="1:17" ht="15" x14ac:dyDescent="0.2">
      <c r="A49" s="1124" t="s">
        <v>160</v>
      </c>
      <c r="B49" s="1125"/>
      <c r="C49" s="33">
        <f t="shared" ref="C49:N49" si="3">SUM(C38:C48)</f>
        <v>19750</v>
      </c>
      <c r="D49" s="33">
        <f t="shared" si="3"/>
        <v>19950</v>
      </c>
      <c r="E49" s="33">
        <f t="shared" si="3"/>
        <v>19950</v>
      </c>
      <c r="F49" s="33">
        <f t="shared" si="3"/>
        <v>19950</v>
      </c>
      <c r="G49" s="33">
        <f t="shared" si="3"/>
        <v>19950</v>
      </c>
      <c r="H49" s="33">
        <f t="shared" si="3"/>
        <v>22950</v>
      </c>
      <c r="I49" s="33">
        <f t="shared" si="3"/>
        <v>22950</v>
      </c>
      <c r="J49" s="33">
        <f t="shared" si="3"/>
        <v>34110</v>
      </c>
      <c r="K49" s="33">
        <f t="shared" si="3"/>
        <v>45910</v>
      </c>
      <c r="L49" s="33">
        <f t="shared" si="3"/>
        <v>47910</v>
      </c>
      <c r="M49" s="33">
        <f t="shared" si="3"/>
        <v>49137</v>
      </c>
      <c r="N49" s="33">
        <f t="shared" si="3"/>
        <v>50637</v>
      </c>
      <c r="O49" s="34">
        <f t="shared" si="2"/>
        <v>373154</v>
      </c>
    </row>
    <row r="50" spans="1:17" ht="15.75" thickBot="1" x14ac:dyDescent="0.25">
      <c r="A50" s="859" t="s">
        <v>161</v>
      </c>
      <c r="B50" s="860"/>
      <c r="C50" s="35">
        <f t="shared" ref="C50:N50" si="4">C37-C49</f>
        <v>77039</v>
      </c>
      <c r="D50" s="35">
        <f t="shared" si="4"/>
        <v>82895</v>
      </c>
      <c r="E50" s="35">
        <f t="shared" si="4"/>
        <v>78353</v>
      </c>
      <c r="F50" s="35">
        <f t="shared" si="4"/>
        <v>78353</v>
      </c>
      <c r="G50" s="35">
        <f t="shared" si="4"/>
        <v>81235</v>
      </c>
      <c r="H50" s="35">
        <f t="shared" si="4"/>
        <v>78235</v>
      </c>
      <c r="I50" s="35">
        <f t="shared" si="4"/>
        <v>78235</v>
      </c>
      <c r="J50" s="35">
        <f t="shared" si="4"/>
        <v>78095</v>
      </c>
      <c r="K50" s="35">
        <f t="shared" si="4"/>
        <v>61621</v>
      </c>
      <c r="L50" s="35">
        <f t="shared" si="4"/>
        <v>59621</v>
      </c>
      <c r="M50" s="35">
        <f t="shared" si="4"/>
        <v>58394</v>
      </c>
      <c r="N50" s="35">
        <f t="shared" si="4"/>
        <v>56894</v>
      </c>
      <c r="O50" s="36">
        <f t="shared" si="2"/>
        <v>868970</v>
      </c>
    </row>
    <row r="51" spans="1:17" x14ac:dyDescent="0.2">
      <c r="C51" s="38"/>
      <c r="G51" s="38"/>
      <c r="J51" s="300">
        <f>+J37-SUM(J22:J36)</f>
        <v>107531</v>
      </c>
      <c r="L51" s="38"/>
      <c r="Q51" s="38"/>
    </row>
    <row r="52" spans="1:17" ht="13.5" thickBot="1" x14ac:dyDescent="0.25">
      <c r="J52" s="38">
        <f>+J51-J49</f>
        <v>73421</v>
      </c>
    </row>
    <row r="53" spans="1:17" ht="13.5" thickBot="1" x14ac:dyDescent="0.25">
      <c r="B53" s="789" t="s">
        <v>162</v>
      </c>
      <c r="C53" s="861"/>
      <c r="D53" s="861"/>
      <c r="E53" s="861"/>
      <c r="F53" s="862"/>
      <c r="G53" s="863">
        <f>O37</f>
        <v>1242124</v>
      </c>
      <c r="H53" s="864"/>
    </row>
    <row r="54" spans="1:17" ht="13.5" thickBot="1" x14ac:dyDescent="0.25"/>
    <row r="55" spans="1:17" x14ac:dyDescent="0.2">
      <c r="B55" s="830" t="s">
        <v>163</v>
      </c>
      <c r="C55" s="833" t="s">
        <v>164</v>
      </c>
      <c r="D55" s="836" t="s">
        <v>1113</v>
      </c>
      <c r="E55" s="837"/>
      <c r="F55" s="838"/>
      <c r="G55" s="839">
        <v>40000</v>
      </c>
      <c r="H55" s="840"/>
    </row>
    <row r="56" spans="1:17" x14ac:dyDescent="0.2">
      <c r="B56" s="831"/>
      <c r="C56" s="834"/>
      <c r="D56" s="841" t="s">
        <v>166</v>
      </c>
      <c r="E56" s="842"/>
      <c r="F56" s="843"/>
      <c r="G56" s="844">
        <f>+O44</f>
        <v>2500</v>
      </c>
      <c r="H56" s="845"/>
      <c r="I56" s="39"/>
      <c r="J56" s="846"/>
      <c r="K56" s="846"/>
      <c r="L56" s="846"/>
      <c r="M56" s="847"/>
      <c r="N56" s="847"/>
      <c r="O56" s="847"/>
    </row>
    <row r="57" spans="1:17" ht="13.5" thickBot="1" x14ac:dyDescent="0.25">
      <c r="B57" s="832"/>
      <c r="C57" s="835"/>
      <c r="D57" s="848" t="s">
        <v>243</v>
      </c>
      <c r="E57" s="849"/>
      <c r="F57" s="850"/>
      <c r="G57" s="851">
        <f>IF(O18&gt;15000,15000,+O18)</f>
        <v>0</v>
      </c>
      <c r="H57" s="852"/>
      <c r="J57" s="47"/>
      <c r="K57" s="47"/>
      <c r="L57" s="47"/>
      <c r="M57" s="47"/>
      <c r="N57" s="47"/>
      <c r="O57" s="47"/>
    </row>
    <row r="58" spans="1:17" ht="13.5" thickBot="1" x14ac:dyDescent="0.25">
      <c r="B58" s="48"/>
      <c r="J58" s="47"/>
      <c r="K58" s="47"/>
      <c r="L58" s="47"/>
      <c r="M58" s="47"/>
      <c r="N58" s="47"/>
      <c r="O58" s="47"/>
    </row>
    <row r="59" spans="1:17" ht="13.5" thickBot="1" x14ac:dyDescent="0.25">
      <c r="B59" s="789" t="s">
        <v>168</v>
      </c>
      <c r="C59" s="790"/>
      <c r="D59" s="790"/>
      <c r="E59" s="790"/>
      <c r="F59" s="791"/>
      <c r="G59" s="825">
        <f>+G53-SUM(G55:H57)</f>
        <v>1199624</v>
      </c>
      <c r="H59" s="826"/>
      <c r="J59" s="827" t="s">
        <v>169</v>
      </c>
      <c r="K59" s="828"/>
      <c r="L59" s="828"/>
      <c r="M59" s="828"/>
      <c r="N59" s="828"/>
      <c r="O59" s="829"/>
    </row>
    <row r="60" spans="1:17" ht="13.5" thickBot="1" x14ac:dyDescent="0.25">
      <c r="B60" s="49"/>
      <c r="C60" s="50"/>
      <c r="D60" s="50"/>
      <c r="E60" s="50"/>
      <c r="F60" s="50"/>
      <c r="G60" s="45"/>
      <c r="H60" s="50"/>
      <c r="J60" s="129"/>
      <c r="K60" s="130"/>
      <c r="L60" s="130"/>
      <c r="M60" s="130"/>
      <c r="N60" s="130"/>
      <c r="O60" s="131"/>
    </row>
    <row r="61" spans="1:17" ht="13.5" thickBot="1" x14ac:dyDescent="0.25">
      <c r="B61" s="789" t="s">
        <v>170</v>
      </c>
      <c r="C61" s="790"/>
      <c r="D61" s="790"/>
      <c r="E61" s="790"/>
      <c r="F61" s="791"/>
      <c r="G61" s="805"/>
      <c r="H61" s="791"/>
      <c r="J61" s="129"/>
      <c r="K61" s="130"/>
      <c r="L61" s="130"/>
      <c r="M61" s="130"/>
      <c r="N61" s="130"/>
      <c r="O61" s="131"/>
    </row>
    <row r="62" spans="1:17" ht="12.75" customHeight="1" x14ac:dyDescent="0.2">
      <c r="B62" s="57" t="s">
        <v>171</v>
      </c>
      <c r="C62" s="806" t="s">
        <v>172</v>
      </c>
      <c r="D62" s="807"/>
      <c r="E62" s="807"/>
      <c r="F62" s="808"/>
      <c r="G62" s="809">
        <f>SUM(O65:O66)</f>
        <v>0</v>
      </c>
      <c r="H62" s="809"/>
      <c r="I62" s="58"/>
      <c r="J62" s="810" t="s">
        <v>173</v>
      </c>
      <c r="K62" s="811"/>
      <c r="L62" s="811"/>
      <c r="M62" s="811"/>
      <c r="N62" s="811"/>
      <c r="O62" s="812"/>
      <c r="Q62" s="59"/>
    </row>
    <row r="63" spans="1:17" ht="13.5" thickBot="1" x14ac:dyDescent="0.25">
      <c r="D63" s="37"/>
      <c r="I63" s="58"/>
      <c r="J63" s="387" t="s">
        <v>254</v>
      </c>
      <c r="K63" s="132"/>
      <c r="L63" s="132"/>
      <c r="M63" s="133"/>
      <c r="N63" s="133"/>
      <c r="O63" s="134"/>
      <c r="Q63" s="59"/>
    </row>
    <row r="64" spans="1:17" ht="13.5" thickBot="1" x14ac:dyDescent="0.25">
      <c r="B64" s="789" t="s">
        <v>175</v>
      </c>
      <c r="C64" s="790"/>
      <c r="D64" s="790"/>
      <c r="E64" s="790"/>
      <c r="F64" s="791"/>
      <c r="G64" s="805">
        <f>+G59-G62</f>
        <v>1199624</v>
      </c>
      <c r="H64" s="791"/>
      <c r="I64" s="63"/>
      <c r="J64" s="75"/>
      <c r="K64" s="39"/>
      <c r="L64" s="39"/>
      <c r="M64" s="39"/>
      <c r="N64" s="39"/>
      <c r="O64" s="65"/>
      <c r="Q64" s="59"/>
    </row>
    <row r="65" spans="2:17" ht="12.75" customHeight="1" x14ac:dyDescent="0.2">
      <c r="B65" s="48"/>
      <c r="C65" s="48"/>
      <c r="I65" s="63"/>
      <c r="J65" s="388"/>
      <c r="K65" s="389"/>
      <c r="L65" s="39"/>
      <c r="M65" s="390"/>
      <c r="N65" s="39"/>
      <c r="O65" s="65"/>
      <c r="Q65" s="59"/>
    </row>
    <row r="66" spans="2:17" x14ac:dyDescent="0.2">
      <c r="B66" s="66" t="s">
        <v>176</v>
      </c>
      <c r="C66" s="48"/>
      <c r="I66" s="63"/>
      <c r="J66" s="391"/>
      <c r="K66" s="389"/>
      <c r="L66" s="39"/>
      <c r="M66" s="39"/>
      <c r="N66" s="39"/>
      <c r="O66" s="65"/>
      <c r="Q66" s="59"/>
    </row>
    <row r="67" spans="2:17" ht="26.25" customHeight="1" thickBot="1" x14ac:dyDescent="0.25">
      <c r="B67" s="66"/>
      <c r="C67" s="48"/>
      <c r="G67" s="70" t="s">
        <v>177</v>
      </c>
      <c r="H67" s="70" t="s">
        <v>178</v>
      </c>
      <c r="I67" s="63"/>
      <c r="J67" s="810" t="s">
        <v>179</v>
      </c>
      <c r="K67" s="811"/>
      <c r="L67" s="71"/>
      <c r="M67" s="71"/>
      <c r="N67" s="71"/>
      <c r="O67" s="72"/>
      <c r="Q67" s="59"/>
    </row>
    <row r="68" spans="2:17" ht="12.75" customHeight="1" x14ac:dyDescent="0.2">
      <c r="B68" s="802" t="s">
        <v>180</v>
      </c>
      <c r="C68" s="821" t="s">
        <v>181</v>
      </c>
      <c r="D68" s="823" t="s">
        <v>182</v>
      </c>
      <c r="E68" s="824"/>
      <c r="F68" s="824"/>
      <c r="G68" s="73">
        <f>+O43</f>
        <v>215000</v>
      </c>
      <c r="H68" s="74">
        <f t="shared" ref="H68:H76" si="5">+G68</f>
        <v>215000</v>
      </c>
      <c r="I68" s="63"/>
      <c r="J68" s="75" t="s">
        <v>183</v>
      </c>
      <c r="K68" s="58"/>
      <c r="L68" s="58"/>
      <c r="M68" s="58"/>
      <c r="N68" s="58"/>
      <c r="O68" s="76"/>
      <c r="Q68" s="59"/>
    </row>
    <row r="69" spans="2:17" ht="12.75" customHeight="1" x14ac:dyDescent="0.2">
      <c r="B69" s="803"/>
      <c r="C69" s="822"/>
      <c r="D69" s="782" t="s">
        <v>184</v>
      </c>
      <c r="E69" s="783"/>
      <c r="F69" s="783"/>
      <c r="G69" s="77">
        <f>+O47</f>
        <v>0</v>
      </c>
      <c r="H69" s="78">
        <f t="shared" si="5"/>
        <v>0</v>
      </c>
      <c r="I69" s="63"/>
      <c r="J69" s="79"/>
      <c r="K69" s="68"/>
      <c r="L69" s="68"/>
      <c r="M69" s="68"/>
      <c r="N69" s="68"/>
      <c r="O69" s="69"/>
      <c r="Q69" s="59"/>
    </row>
    <row r="70" spans="2:17" ht="12.75" customHeight="1" x14ac:dyDescent="0.2">
      <c r="B70" s="803"/>
      <c r="C70" s="822"/>
      <c r="D70" s="819" t="s">
        <v>185</v>
      </c>
      <c r="E70" s="820"/>
      <c r="F70" s="820"/>
      <c r="G70" s="80">
        <f>O40</f>
        <v>720</v>
      </c>
      <c r="H70" s="78">
        <f t="shared" si="5"/>
        <v>720</v>
      </c>
      <c r="I70" s="63"/>
      <c r="J70" s="79"/>
      <c r="K70" s="39"/>
      <c r="L70" s="39"/>
      <c r="M70" s="39"/>
      <c r="N70" s="39"/>
      <c r="O70" s="65"/>
    </row>
    <row r="71" spans="2:17" x14ac:dyDescent="0.2">
      <c r="B71" s="803"/>
      <c r="C71" s="822"/>
      <c r="D71" s="782" t="s">
        <v>186</v>
      </c>
      <c r="E71" s="783"/>
      <c r="F71" s="783"/>
      <c r="G71" s="81">
        <v>0</v>
      </c>
      <c r="H71" s="78">
        <f t="shared" si="5"/>
        <v>0</v>
      </c>
      <c r="I71" s="63"/>
      <c r="J71" s="79"/>
      <c r="K71" s="39"/>
      <c r="L71" s="39"/>
      <c r="M71" s="39"/>
      <c r="N71" s="39"/>
      <c r="O71" s="65"/>
    </row>
    <row r="72" spans="2:17" ht="12.75" customHeight="1" x14ac:dyDescent="0.2">
      <c r="B72" s="803"/>
      <c r="C72" s="822"/>
      <c r="D72" s="784" t="s">
        <v>188</v>
      </c>
      <c r="E72" s="783"/>
      <c r="F72" s="783"/>
      <c r="G72" s="80">
        <v>0</v>
      </c>
      <c r="H72" s="78">
        <f t="shared" si="5"/>
        <v>0</v>
      </c>
      <c r="I72" s="63"/>
      <c r="J72" s="79"/>
      <c r="K72" s="39"/>
      <c r="L72" s="39"/>
      <c r="M72" s="39"/>
      <c r="N72" s="39"/>
      <c r="O72" s="65"/>
    </row>
    <row r="73" spans="2:17" ht="14.25" customHeight="1" x14ac:dyDescent="0.2">
      <c r="B73" s="803"/>
      <c r="C73" s="822"/>
      <c r="D73" s="782" t="s">
        <v>190</v>
      </c>
      <c r="E73" s="783"/>
      <c r="F73" s="783"/>
      <c r="G73" s="84">
        <v>0</v>
      </c>
      <c r="H73" s="78">
        <f t="shared" si="5"/>
        <v>0</v>
      </c>
      <c r="I73" s="63"/>
      <c r="J73" s="82" t="s">
        <v>187</v>
      </c>
      <c r="K73" s="71"/>
      <c r="L73" s="71"/>
      <c r="M73" s="71"/>
      <c r="N73" s="71"/>
      <c r="O73" s="72"/>
    </row>
    <row r="74" spans="2:17" x14ac:dyDescent="0.2">
      <c r="B74" s="803"/>
      <c r="C74" s="822"/>
      <c r="D74" s="782" t="s">
        <v>191</v>
      </c>
      <c r="E74" s="783"/>
      <c r="F74" s="783"/>
      <c r="G74" s="81">
        <v>0</v>
      </c>
      <c r="H74" s="78">
        <f t="shared" si="5"/>
        <v>0</v>
      </c>
      <c r="I74" s="58"/>
      <c r="J74" s="75" t="s">
        <v>189</v>
      </c>
      <c r="K74" s="50"/>
      <c r="L74" s="50"/>
      <c r="M74" s="50"/>
      <c r="N74" s="50"/>
      <c r="O74" s="83">
        <f>O42</f>
        <v>7800</v>
      </c>
    </row>
    <row r="75" spans="2:17" x14ac:dyDescent="0.2">
      <c r="B75" s="803"/>
      <c r="C75" s="88" t="s">
        <v>192</v>
      </c>
      <c r="D75" s="813" t="s">
        <v>193</v>
      </c>
      <c r="E75" s="814"/>
      <c r="F75" s="814"/>
      <c r="G75" s="80">
        <v>0</v>
      </c>
      <c r="H75" s="78">
        <f t="shared" si="5"/>
        <v>0</v>
      </c>
      <c r="I75" s="58"/>
      <c r="J75" s="79"/>
      <c r="K75" s="39"/>
      <c r="L75" s="39"/>
      <c r="M75" s="39"/>
      <c r="N75" s="39"/>
      <c r="O75" s="65"/>
    </row>
    <row r="76" spans="2:17" ht="13.5" customHeight="1" thickBot="1" x14ac:dyDescent="0.25">
      <c r="B76" s="803"/>
      <c r="C76" s="88" t="s">
        <v>194</v>
      </c>
      <c r="D76" s="815" t="s">
        <v>195</v>
      </c>
      <c r="E76" s="815"/>
      <c r="F76" s="815"/>
      <c r="G76" s="89">
        <v>0</v>
      </c>
      <c r="H76" s="90">
        <f t="shared" si="5"/>
        <v>0</v>
      </c>
      <c r="I76" s="63"/>
      <c r="J76" s="79"/>
      <c r="K76" s="39"/>
      <c r="L76" s="39"/>
      <c r="M76" s="39"/>
      <c r="N76" s="39"/>
      <c r="O76" s="65"/>
    </row>
    <row r="77" spans="2:17" ht="13.5" thickBot="1" x14ac:dyDescent="0.25">
      <c r="B77" s="803"/>
      <c r="C77" s="93"/>
      <c r="D77" s="94"/>
      <c r="E77" s="816" t="s">
        <v>117</v>
      </c>
      <c r="F77" s="817"/>
      <c r="G77" s="95">
        <f>SUM(G68:G76)</f>
        <v>215720</v>
      </c>
      <c r="H77" s="96">
        <f>IF(SUM(G68:G74)&lt;150000,SUM(G68:G74),150000)+IF(+G75&lt;20000,+G75,20000)</f>
        <v>150000</v>
      </c>
      <c r="I77" s="63"/>
      <c r="J77" s="140"/>
      <c r="K77" s="141"/>
      <c r="L77" s="141"/>
      <c r="M77" s="142"/>
      <c r="N77" s="142"/>
      <c r="O77" s="143"/>
    </row>
    <row r="78" spans="2:17" ht="12.75" customHeight="1" x14ac:dyDescent="0.2">
      <c r="B78" s="803"/>
      <c r="C78" s="100" t="s">
        <v>196</v>
      </c>
      <c r="D78" s="782" t="s">
        <v>187</v>
      </c>
      <c r="E78" s="783"/>
      <c r="F78" s="818"/>
      <c r="G78" s="73">
        <f>+O42</f>
        <v>7800</v>
      </c>
      <c r="H78" s="101">
        <f>+IF(+G78&lt;25000,+G78,25000)</f>
        <v>7800</v>
      </c>
      <c r="I78" s="87"/>
    </row>
    <row r="79" spans="2:17" x14ac:dyDescent="0.2">
      <c r="B79" s="803"/>
      <c r="C79" s="100" t="s">
        <v>197</v>
      </c>
      <c r="D79" s="784" t="s">
        <v>198</v>
      </c>
      <c r="E79" s="785"/>
      <c r="F79" s="786"/>
      <c r="G79" s="102"/>
      <c r="H79" s="103">
        <f>+IF(+G79&lt;40000,+G79,40000)</f>
        <v>0</v>
      </c>
      <c r="I79" s="63"/>
    </row>
    <row r="80" spans="2:17" x14ac:dyDescent="0.2">
      <c r="B80" s="803"/>
      <c r="C80" s="100" t="s">
        <v>199</v>
      </c>
      <c r="D80" s="784" t="s">
        <v>200</v>
      </c>
      <c r="E80" s="785"/>
      <c r="F80" s="786"/>
      <c r="G80" s="81"/>
      <c r="H80" s="104">
        <v>0</v>
      </c>
      <c r="I80" s="63"/>
    </row>
    <row r="81" spans="2:12" x14ac:dyDescent="0.2">
      <c r="B81" s="803"/>
      <c r="C81" s="100" t="s">
        <v>201</v>
      </c>
      <c r="D81" s="784" t="s">
        <v>202</v>
      </c>
      <c r="E81" s="785"/>
      <c r="F81" s="786"/>
      <c r="G81" s="81"/>
      <c r="H81" s="104">
        <v>0</v>
      </c>
      <c r="I81" s="63"/>
    </row>
    <row r="82" spans="2:12" ht="13.5" thickBot="1" x14ac:dyDescent="0.25">
      <c r="B82" s="804"/>
      <c r="C82" s="100" t="s">
        <v>203</v>
      </c>
      <c r="D82" s="784" t="s">
        <v>204</v>
      </c>
      <c r="E82" s="785"/>
      <c r="F82" s="786"/>
      <c r="G82" s="102"/>
      <c r="H82" s="103">
        <f>+IF(+G82&lt;100000,+G82,10000)</f>
        <v>0</v>
      </c>
      <c r="I82" s="63"/>
    </row>
    <row r="83" spans="2:12" ht="13.5" thickBot="1" x14ac:dyDescent="0.25">
      <c r="B83" s="787" t="s">
        <v>205</v>
      </c>
      <c r="C83" s="788"/>
      <c r="D83" s="788"/>
      <c r="E83" s="788"/>
      <c r="F83" s="788"/>
      <c r="G83" s="107">
        <f>SUM(G78:G82)</f>
        <v>7800</v>
      </c>
      <c r="H83" s="108">
        <f>SUM(H77:H82)</f>
        <v>157800</v>
      </c>
    </row>
    <row r="84" spans="2:12" ht="13.5" thickBot="1" x14ac:dyDescent="0.25"/>
    <row r="85" spans="2:12" ht="13.5" thickBot="1" x14ac:dyDescent="0.25">
      <c r="B85" s="789" t="s">
        <v>206</v>
      </c>
      <c r="C85" s="790"/>
      <c r="D85" s="790"/>
      <c r="E85" s="790"/>
      <c r="F85" s="791"/>
      <c r="G85" s="792">
        <f>+G64-H83</f>
        <v>1041824</v>
      </c>
      <c r="H85" s="791"/>
      <c r="J85" s="109">
        <f>+D37+E37+F37</f>
        <v>299451</v>
      </c>
      <c r="K85" s="16" t="s">
        <v>235</v>
      </c>
    </row>
    <row r="86" spans="2:12" x14ac:dyDescent="0.2">
      <c r="B86" s="110"/>
      <c r="F86" s="105"/>
      <c r="J86" s="109">
        <v>171287</v>
      </c>
      <c r="K86" s="16" t="s">
        <v>236</v>
      </c>
    </row>
    <row r="87" spans="2:12" x14ac:dyDescent="0.2">
      <c r="C87" s="793" t="s">
        <v>207</v>
      </c>
      <c r="D87" s="794"/>
      <c r="E87" s="111" t="s">
        <v>208</v>
      </c>
      <c r="F87" s="111" t="s">
        <v>209</v>
      </c>
      <c r="G87" s="111" t="s">
        <v>210</v>
      </c>
      <c r="H87" s="111" t="s">
        <v>211</v>
      </c>
      <c r="J87" s="206">
        <f>49134*3</f>
        <v>147402</v>
      </c>
      <c r="K87" s="47" t="s">
        <v>237</v>
      </c>
    </row>
    <row r="88" spans="2:12" x14ac:dyDescent="0.2">
      <c r="C88" s="795" t="str">
        <f>IF(I6="M","0          - 250000","0          -  250000")</f>
        <v>0          -  250000</v>
      </c>
      <c r="D88" s="796"/>
      <c r="E88" s="112">
        <v>0</v>
      </c>
      <c r="F88" s="113">
        <f>IF(I6="M",(IF(G85&lt;250000,G85,250000)),(IF(G85&lt;250000,G85,250000)))</f>
        <v>250000</v>
      </c>
      <c r="G88" s="113">
        <f>G85-F88</f>
        <v>791824</v>
      </c>
      <c r="H88" s="113">
        <f>E88*F88</f>
        <v>0</v>
      </c>
      <c r="J88" s="207">
        <f>49134*2</f>
        <v>98268</v>
      </c>
      <c r="K88" s="1" t="s">
        <v>238</v>
      </c>
    </row>
    <row r="89" spans="2:12" x14ac:dyDescent="0.2">
      <c r="C89" s="795" t="str">
        <f>IF(I6="M","250001 - 500000","250001-500000")</f>
        <v>250001-500000</v>
      </c>
      <c r="D89" s="796"/>
      <c r="E89" s="112">
        <v>0.05</v>
      </c>
      <c r="F89" s="113">
        <f>IF(I6="M",(IF(G88&lt;250000,G88,250000)),(IF(G88&lt;250000,G88,250000)))</f>
        <v>250000</v>
      </c>
      <c r="G89" s="113">
        <f>G88-F89</f>
        <v>541824</v>
      </c>
      <c r="H89" s="114">
        <f>ROUND(E89*F89,0.1)</f>
        <v>12500</v>
      </c>
      <c r="J89" s="115">
        <f>SUM(J85:J88)</f>
        <v>716408</v>
      </c>
    </row>
    <row r="90" spans="2:12" x14ac:dyDescent="0.2">
      <c r="C90" s="797" t="s">
        <v>212</v>
      </c>
      <c r="D90" s="798"/>
      <c r="E90" s="112">
        <v>0.2</v>
      </c>
      <c r="F90" s="113">
        <f>IF(G89&lt;500000,G89,500000)</f>
        <v>500000</v>
      </c>
      <c r="G90" s="113">
        <f>G89-F90</f>
        <v>41824</v>
      </c>
      <c r="H90" s="114">
        <f>ROUND(E90*F90,0.1)</f>
        <v>100000</v>
      </c>
      <c r="J90" s="16">
        <f>+G85</f>
        <v>1041824</v>
      </c>
    </row>
    <row r="91" spans="2:12" x14ac:dyDescent="0.2">
      <c r="C91" s="795" t="s">
        <v>213</v>
      </c>
      <c r="D91" s="796"/>
      <c r="E91" s="112">
        <v>0.3</v>
      </c>
      <c r="F91" s="113">
        <f>G90</f>
        <v>41824</v>
      </c>
      <c r="G91" s="113">
        <f>G90-F91</f>
        <v>0</v>
      </c>
      <c r="H91" s="114">
        <f>ROUND(E91*F91,0.1)</f>
        <v>12547</v>
      </c>
      <c r="J91" s="16">
        <f>+J89-J90</f>
        <v>-325416</v>
      </c>
    </row>
    <row r="92" spans="2:12" ht="12.75" customHeight="1" thickBot="1" x14ac:dyDescent="0.25">
      <c r="B92" s="116"/>
      <c r="C92" s="117"/>
      <c r="D92" s="47"/>
      <c r="E92" s="47"/>
      <c r="F92" s="47"/>
    </row>
    <row r="93" spans="2:12" ht="13.5" thickBot="1" x14ac:dyDescent="0.25">
      <c r="B93" s="799" t="s">
        <v>239</v>
      </c>
      <c r="C93" s="800"/>
      <c r="D93" s="800"/>
      <c r="E93" s="800"/>
      <c r="F93" s="801"/>
      <c r="G93" s="771">
        <f>H88+H89+H90+H91</f>
        <v>125047</v>
      </c>
      <c r="H93" s="772"/>
    </row>
    <row r="94" spans="2:12" ht="13.5" thickBot="1" x14ac:dyDescent="0.25">
      <c r="B94" s="119" t="s">
        <v>215</v>
      </c>
      <c r="C94" s="120"/>
      <c r="D94" s="120"/>
      <c r="E94" s="120"/>
      <c r="F94" s="120"/>
      <c r="G94" s="884">
        <f>IF((G64&lt;500000),5000,0)</f>
        <v>0</v>
      </c>
      <c r="H94" s="885">
        <f>IF(H92&lt;200000,0,IF(H92&lt;220000,((H92-200000)*10%),IF(H92&lt;=500000,2000,IF(H92&gt;=500000,0))))</f>
        <v>0</v>
      </c>
      <c r="J94" s="1"/>
      <c r="K94" s="121"/>
      <c r="L94" s="121"/>
    </row>
    <row r="95" spans="2:12" ht="13.5" thickBot="1" x14ac:dyDescent="0.25">
      <c r="B95" s="122" t="s">
        <v>216</v>
      </c>
      <c r="C95" s="123"/>
      <c r="D95" s="123"/>
      <c r="E95" s="123"/>
      <c r="F95" s="123"/>
      <c r="G95" s="771">
        <f>IF((G93-G94)&lt;0,0,(G93-G94))</f>
        <v>125047</v>
      </c>
      <c r="H95" s="772"/>
      <c r="I95" s="37"/>
    </row>
    <row r="96" spans="2:12" ht="13.5" thickBot="1" x14ac:dyDescent="0.25">
      <c r="B96" s="773" t="s">
        <v>240</v>
      </c>
      <c r="C96" s="774"/>
      <c r="D96" s="774"/>
      <c r="E96" s="774"/>
      <c r="F96" s="775"/>
      <c r="G96" s="776">
        <f>ROUND((IF(G95&gt;0,(G95*4%),0)),0)</f>
        <v>5002</v>
      </c>
      <c r="H96" s="777"/>
      <c r="I96" s="37"/>
    </row>
    <row r="97" spans="2:9" ht="13.5" thickBot="1" x14ac:dyDescent="0.25">
      <c r="B97" s="778" t="s">
        <v>218</v>
      </c>
      <c r="C97" s="779"/>
      <c r="D97" s="779"/>
      <c r="E97" s="779"/>
      <c r="F97" s="779"/>
      <c r="G97" s="780">
        <f>G95+G96</f>
        <v>130049</v>
      </c>
      <c r="H97" s="781"/>
      <c r="I97" s="121"/>
    </row>
    <row r="98" spans="2:9" ht="13.5" thickBot="1" x14ac:dyDescent="0.25">
      <c r="B98" s="765" t="s">
        <v>219</v>
      </c>
      <c r="C98" s="766"/>
      <c r="D98" s="766"/>
      <c r="E98" s="766"/>
      <c r="F98" s="766"/>
      <c r="G98" s="767">
        <f>O38</f>
        <v>145654</v>
      </c>
      <c r="H98" s="768"/>
      <c r="I98" s="121"/>
    </row>
    <row r="99" spans="2:9" ht="13.5" thickBot="1" x14ac:dyDescent="0.25">
      <c r="B99" s="765" t="str">
        <f>IF(G99&gt;0,"TAX PAYABLE","TAX REFUND")</f>
        <v>TAX REFUND</v>
      </c>
      <c r="C99" s="766"/>
      <c r="D99" s="766"/>
      <c r="E99" s="766"/>
      <c r="F99" s="766"/>
      <c r="G99" s="767">
        <f>+G97-G98</f>
        <v>-15605</v>
      </c>
      <c r="H99" s="768"/>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J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0:F90 B99:F99 B93:F97">
    <cfRule type="cellIs" dxfId="421" priority="3" stopIfTrue="1" operator="equal">
      <formula>"TAX PAYABLE"</formula>
    </cfRule>
    <cfRule type="cellIs" dxfId="420" priority="4" stopIfTrue="1" operator="equal">
      <formula>"TAX REFUND"</formula>
    </cfRule>
  </conditionalFormatting>
  <conditionalFormatting sqref="G99:H99">
    <cfRule type="cellIs" dxfId="419" priority="1" stopIfTrue="1" operator="greaterThan">
      <formula>0</formula>
    </cfRule>
    <cfRule type="cellIs" dxfId="418"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9" scale="89" orientation="landscape" horizontalDpi="300" verticalDpi="300" r:id="rId1"/>
  <headerFooter alignWithMargins="0"/>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8"/>
  <sheetViews>
    <sheetView topLeftCell="A62" workbookViewId="0">
      <selection activeCell="O88" sqref="O88"/>
    </sheetView>
  </sheetViews>
  <sheetFormatPr defaultRowHeight="12.75" x14ac:dyDescent="0.2"/>
  <cols>
    <col min="1" max="1" width="5" style="16" customWidth="1"/>
    <col min="2" max="2" width="19.42578125" style="37" customWidth="1"/>
    <col min="3" max="3" width="8.5703125" style="16" customWidth="1"/>
    <col min="4" max="4" width="8.42578125" style="16" customWidth="1"/>
    <col min="5" max="5" width="8.5703125" style="16" bestFit="1" customWidth="1"/>
    <col min="6" max="6" width="7.85546875" style="16" customWidth="1"/>
    <col min="7" max="8" width="8" style="16" customWidth="1"/>
    <col min="9" max="14" width="7.7109375" style="16" customWidth="1"/>
    <col min="15" max="19" width="9.140625" style="16"/>
    <col min="20" max="20" width="12.42578125" style="16" customWidth="1"/>
    <col min="21" max="21" width="9.140625" style="16"/>
    <col min="22" max="22" width="12" style="16" customWidth="1"/>
    <col min="23" max="256" width="9.140625" style="16"/>
    <col min="257" max="257" width="5" style="16" customWidth="1"/>
    <col min="258" max="258" width="19.42578125" style="16" customWidth="1"/>
    <col min="259" max="259" width="8.5703125" style="16" customWidth="1"/>
    <col min="260" max="260" width="8.42578125" style="16" customWidth="1"/>
    <col min="261" max="261" width="8.5703125" style="16" bestFit="1" customWidth="1"/>
    <col min="262" max="262" width="7.85546875" style="16" customWidth="1"/>
    <col min="263" max="264" width="8" style="16" customWidth="1"/>
    <col min="265" max="270" width="7.7109375" style="16" customWidth="1"/>
    <col min="271" max="275" width="9.140625" style="16"/>
    <col min="276" max="276" width="12.42578125" style="16" customWidth="1"/>
    <col min="277" max="277" width="9.140625" style="16"/>
    <col min="278" max="278" width="12" style="16" customWidth="1"/>
    <col min="279" max="512" width="9.140625" style="16"/>
    <col min="513" max="513" width="5" style="16" customWidth="1"/>
    <col min="514" max="514" width="19.42578125" style="16" customWidth="1"/>
    <col min="515" max="515" width="8.5703125" style="16" customWidth="1"/>
    <col min="516" max="516" width="8.42578125" style="16" customWidth="1"/>
    <col min="517" max="517" width="8.5703125" style="16" bestFit="1" customWidth="1"/>
    <col min="518" max="518" width="7.85546875" style="16" customWidth="1"/>
    <col min="519" max="520" width="8" style="16" customWidth="1"/>
    <col min="521" max="526" width="7.7109375" style="16" customWidth="1"/>
    <col min="527" max="531" width="9.140625" style="16"/>
    <col min="532" max="532" width="12.42578125" style="16" customWidth="1"/>
    <col min="533" max="533" width="9.140625" style="16"/>
    <col min="534" max="534" width="12" style="16" customWidth="1"/>
    <col min="535" max="768" width="9.140625" style="16"/>
    <col min="769" max="769" width="5" style="16" customWidth="1"/>
    <col min="770" max="770" width="19.42578125" style="16" customWidth="1"/>
    <col min="771" max="771" width="8.5703125" style="16" customWidth="1"/>
    <col min="772" max="772" width="8.42578125" style="16" customWidth="1"/>
    <col min="773" max="773" width="8.5703125" style="16" bestFit="1" customWidth="1"/>
    <col min="774" max="774" width="7.85546875" style="16" customWidth="1"/>
    <col min="775" max="776" width="8" style="16" customWidth="1"/>
    <col min="777" max="782" width="7.7109375" style="16" customWidth="1"/>
    <col min="783"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9.42578125" style="16" customWidth="1"/>
    <col min="1027" max="1027" width="8.5703125" style="16" customWidth="1"/>
    <col min="1028" max="1028" width="8.42578125" style="16" customWidth="1"/>
    <col min="1029" max="1029" width="8.5703125" style="16" bestFit="1" customWidth="1"/>
    <col min="1030" max="1030" width="7.85546875" style="16" customWidth="1"/>
    <col min="1031" max="1032" width="8" style="16" customWidth="1"/>
    <col min="1033" max="1038" width="7.7109375" style="16" customWidth="1"/>
    <col min="1039"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9.42578125" style="16" customWidth="1"/>
    <col min="1283" max="1283" width="8.5703125" style="16" customWidth="1"/>
    <col min="1284" max="1284" width="8.42578125" style="16" customWidth="1"/>
    <col min="1285" max="1285" width="8.5703125" style="16" bestFit="1" customWidth="1"/>
    <col min="1286" max="1286" width="7.85546875" style="16" customWidth="1"/>
    <col min="1287" max="1288" width="8" style="16" customWidth="1"/>
    <col min="1289" max="1294" width="7.7109375" style="16" customWidth="1"/>
    <col min="1295"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9.42578125" style="16" customWidth="1"/>
    <col min="1539" max="1539" width="8.5703125" style="16" customWidth="1"/>
    <col min="1540" max="1540" width="8.42578125" style="16" customWidth="1"/>
    <col min="1541" max="1541" width="8.5703125" style="16" bestFit="1" customWidth="1"/>
    <col min="1542" max="1542" width="7.85546875" style="16" customWidth="1"/>
    <col min="1543" max="1544" width="8" style="16" customWidth="1"/>
    <col min="1545" max="1550" width="7.7109375" style="16" customWidth="1"/>
    <col min="1551"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9.42578125" style="16" customWidth="1"/>
    <col min="1795" max="1795" width="8.5703125" style="16" customWidth="1"/>
    <col min="1796" max="1796" width="8.42578125" style="16" customWidth="1"/>
    <col min="1797" max="1797" width="8.5703125" style="16" bestFit="1" customWidth="1"/>
    <col min="1798" max="1798" width="7.85546875" style="16" customWidth="1"/>
    <col min="1799" max="1800" width="8" style="16" customWidth="1"/>
    <col min="1801" max="1806" width="7.7109375" style="16" customWidth="1"/>
    <col min="1807"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9.42578125" style="16" customWidth="1"/>
    <col min="2051" max="2051" width="8.5703125" style="16" customWidth="1"/>
    <col min="2052" max="2052" width="8.42578125" style="16" customWidth="1"/>
    <col min="2053" max="2053" width="8.5703125" style="16" bestFit="1" customWidth="1"/>
    <col min="2054" max="2054" width="7.85546875" style="16" customWidth="1"/>
    <col min="2055" max="2056" width="8" style="16" customWidth="1"/>
    <col min="2057" max="2062" width="7.7109375" style="16" customWidth="1"/>
    <col min="2063"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9.42578125" style="16" customWidth="1"/>
    <col min="2307" max="2307" width="8.5703125" style="16" customWidth="1"/>
    <col min="2308" max="2308" width="8.42578125" style="16" customWidth="1"/>
    <col min="2309" max="2309" width="8.5703125" style="16" bestFit="1" customWidth="1"/>
    <col min="2310" max="2310" width="7.85546875" style="16" customWidth="1"/>
    <col min="2311" max="2312" width="8" style="16" customWidth="1"/>
    <col min="2313" max="2318" width="7.7109375" style="16" customWidth="1"/>
    <col min="2319"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9.42578125" style="16" customWidth="1"/>
    <col min="2563" max="2563" width="8.5703125" style="16" customWidth="1"/>
    <col min="2564" max="2564" width="8.42578125" style="16" customWidth="1"/>
    <col min="2565" max="2565" width="8.5703125" style="16" bestFit="1" customWidth="1"/>
    <col min="2566" max="2566" width="7.85546875" style="16" customWidth="1"/>
    <col min="2567" max="2568" width="8" style="16" customWidth="1"/>
    <col min="2569" max="2574" width="7.7109375" style="16" customWidth="1"/>
    <col min="2575"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9.42578125" style="16" customWidth="1"/>
    <col min="2819" max="2819" width="8.5703125" style="16" customWidth="1"/>
    <col min="2820" max="2820" width="8.42578125" style="16" customWidth="1"/>
    <col min="2821" max="2821" width="8.5703125" style="16" bestFit="1" customWidth="1"/>
    <col min="2822" max="2822" width="7.85546875" style="16" customWidth="1"/>
    <col min="2823" max="2824" width="8" style="16" customWidth="1"/>
    <col min="2825" max="2830" width="7.7109375" style="16" customWidth="1"/>
    <col min="2831"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9.42578125" style="16" customWidth="1"/>
    <col min="3075" max="3075" width="8.5703125" style="16" customWidth="1"/>
    <col min="3076" max="3076" width="8.42578125" style="16" customWidth="1"/>
    <col min="3077" max="3077" width="8.5703125" style="16" bestFit="1" customWidth="1"/>
    <col min="3078" max="3078" width="7.85546875" style="16" customWidth="1"/>
    <col min="3079" max="3080" width="8" style="16" customWidth="1"/>
    <col min="3081" max="3086" width="7.7109375" style="16" customWidth="1"/>
    <col min="3087"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9.42578125" style="16" customWidth="1"/>
    <col min="3331" max="3331" width="8.5703125" style="16" customWidth="1"/>
    <col min="3332" max="3332" width="8.42578125" style="16" customWidth="1"/>
    <col min="3333" max="3333" width="8.5703125" style="16" bestFit="1" customWidth="1"/>
    <col min="3334" max="3334" width="7.85546875" style="16" customWidth="1"/>
    <col min="3335" max="3336" width="8" style="16" customWidth="1"/>
    <col min="3337" max="3342" width="7.7109375" style="16" customWidth="1"/>
    <col min="3343"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9.42578125" style="16" customWidth="1"/>
    <col min="3587" max="3587" width="8.5703125" style="16" customWidth="1"/>
    <col min="3588" max="3588" width="8.42578125" style="16" customWidth="1"/>
    <col min="3589" max="3589" width="8.5703125" style="16" bestFit="1" customWidth="1"/>
    <col min="3590" max="3590" width="7.85546875" style="16" customWidth="1"/>
    <col min="3591" max="3592" width="8" style="16" customWidth="1"/>
    <col min="3593" max="3598" width="7.7109375" style="16" customWidth="1"/>
    <col min="3599"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9.42578125" style="16" customWidth="1"/>
    <col min="3843" max="3843" width="8.5703125" style="16" customWidth="1"/>
    <col min="3844" max="3844" width="8.42578125" style="16" customWidth="1"/>
    <col min="3845" max="3845" width="8.5703125" style="16" bestFit="1" customWidth="1"/>
    <col min="3846" max="3846" width="7.85546875" style="16" customWidth="1"/>
    <col min="3847" max="3848" width="8" style="16" customWidth="1"/>
    <col min="3849" max="3854" width="7.7109375" style="16" customWidth="1"/>
    <col min="3855"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9.42578125" style="16" customWidth="1"/>
    <col min="4099" max="4099" width="8.5703125" style="16" customWidth="1"/>
    <col min="4100" max="4100" width="8.42578125" style="16" customWidth="1"/>
    <col min="4101" max="4101" width="8.5703125" style="16" bestFit="1" customWidth="1"/>
    <col min="4102" max="4102" width="7.85546875" style="16" customWidth="1"/>
    <col min="4103" max="4104" width="8" style="16" customWidth="1"/>
    <col min="4105" max="4110" width="7.7109375" style="16" customWidth="1"/>
    <col min="4111"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9.42578125" style="16" customWidth="1"/>
    <col min="4355" max="4355" width="8.5703125" style="16" customWidth="1"/>
    <col min="4356" max="4356" width="8.42578125" style="16" customWidth="1"/>
    <col min="4357" max="4357" width="8.5703125" style="16" bestFit="1" customWidth="1"/>
    <col min="4358" max="4358" width="7.85546875" style="16" customWidth="1"/>
    <col min="4359" max="4360" width="8" style="16" customWidth="1"/>
    <col min="4361" max="4366" width="7.7109375" style="16" customWidth="1"/>
    <col min="4367"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9.42578125" style="16" customWidth="1"/>
    <col min="4611" max="4611" width="8.5703125" style="16" customWidth="1"/>
    <col min="4612" max="4612" width="8.42578125" style="16" customWidth="1"/>
    <col min="4613" max="4613" width="8.5703125" style="16" bestFit="1" customWidth="1"/>
    <col min="4614" max="4614" width="7.85546875" style="16" customWidth="1"/>
    <col min="4615" max="4616" width="8" style="16" customWidth="1"/>
    <col min="4617" max="4622" width="7.7109375" style="16" customWidth="1"/>
    <col min="4623"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9.42578125" style="16" customWidth="1"/>
    <col min="4867" max="4867" width="8.5703125" style="16" customWidth="1"/>
    <col min="4868" max="4868" width="8.42578125" style="16" customWidth="1"/>
    <col min="4869" max="4869" width="8.5703125" style="16" bestFit="1" customWidth="1"/>
    <col min="4870" max="4870" width="7.85546875" style="16" customWidth="1"/>
    <col min="4871" max="4872" width="8" style="16" customWidth="1"/>
    <col min="4873" max="4878" width="7.7109375" style="16" customWidth="1"/>
    <col min="4879"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9.42578125" style="16" customWidth="1"/>
    <col min="5123" max="5123" width="8.5703125" style="16" customWidth="1"/>
    <col min="5124" max="5124" width="8.42578125" style="16" customWidth="1"/>
    <col min="5125" max="5125" width="8.5703125" style="16" bestFit="1" customWidth="1"/>
    <col min="5126" max="5126" width="7.85546875" style="16" customWidth="1"/>
    <col min="5127" max="5128" width="8" style="16" customWidth="1"/>
    <col min="5129" max="5134" width="7.7109375" style="16" customWidth="1"/>
    <col min="5135"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9.42578125" style="16" customWidth="1"/>
    <col min="5379" max="5379" width="8.5703125" style="16" customWidth="1"/>
    <col min="5380" max="5380" width="8.42578125" style="16" customWidth="1"/>
    <col min="5381" max="5381" width="8.5703125" style="16" bestFit="1" customWidth="1"/>
    <col min="5382" max="5382" width="7.85546875" style="16" customWidth="1"/>
    <col min="5383" max="5384" width="8" style="16" customWidth="1"/>
    <col min="5385" max="5390" width="7.7109375" style="16" customWidth="1"/>
    <col min="5391"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9.42578125" style="16" customWidth="1"/>
    <col min="5635" max="5635" width="8.5703125" style="16" customWidth="1"/>
    <col min="5636" max="5636" width="8.42578125" style="16" customWidth="1"/>
    <col min="5637" max="5637" width="8.5703125" style="16" bestFit="1" customWidth="1"/>
    <col min="5638" max="5638" width="7.85546875" style="16" customWidth="1"/>
    <col min="5639" max="5640" width="8" style="16" customWidth="1"/>
    <col min="5641" max="5646" width="7.7109375" style="16" customWidth="1"/>
    <col min="5647"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9.42578125" style="16" customWidth="1"/>
    <col min="5891" max="5891" width="8.5703125" style="16" customWidth="1"/>
    <col min="5892" max="5892" width="8.42578125" style="16" customWidth="1"/>
    <col min="5893" max="5893" width="8.5703125" style="16" bestFit="1" customWidth="1"/>
    <col min="5894" max="5894" width="7.85546875" style="16" customWidth="1"/>
    <col min="5895" max="5896" width="8" style="16" customWidth="1"/>
    <col min="5897" max="5902" width="7.7109375" style="16" customWidth="1"/>
    <col min="5903"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9.42578125" style="16" customWidth="1"/>
    <col min="6147" max="6147" width="8.5703125" style="16" customWidth="1"/>
    <col min="6148" max="6148" width="8.42578125" style="16" customWidth="1"/>
    <col min="6149" max="6149" width="8.5703125" style="16" bestFit="1" customWidth="1"/>
    <col min="6150" max="6150" width="7.85546875" style="16" customWidth="1"/>
    <col min="6151" max="6152" width="8" style="16" customWidth="1"/>
    <col min="6153" max="6158" width="7.7109375" style="16" customWidth="1"/>
    <col min="6159"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9.42578125" style="16" customWidth="1"/>
    <col min="6403" max="6403" width="8.5703125" style="16" customWidth="1"/>
    <col min="6404" max="6404" width="8.42578125" style="16" customWidth="1"/>
    <col min="6405" max="6405" width="8.5703125" style="16" bestFit="1" customWidth="1"/>
    <col min="6406" max="6406" width="7.85546875" style="16" customWidth="1"/>
    <col min="6407" max="6408" width="8" style="16" customWidth="1"/>
    <col min="6409" max="6414" width="7.7109375" style="16" customWidth="1"/>
    <col min="6415"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9.42578125" style="16" customWidth="1"/>
    <col min="6659" max="6659" width="8.5703125" style="16" customWidth="1"/>
    <col min="6660" max="6660" width="8.42578125" style="16" customWidth="1"/>
    <col min="6661" max="6661" width="8.5703125" style="16" bestFit="1" customWidth="1"/>
    <col min="6662" max="6662" width="7.85546875" style="16" customWidth="1"/>
    <col min="6663" max="6664" width="8" style="16" customWidth="1"/>
    <col min="6665" max="6670" width="7.7109375" style="16" customWidth="1"/>
    <col min="6671"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9.42578125" style="16" customWidth="1"/>
    <col min="6915" max="6915" width="8.5703125" style="16" customWidth="1"/>
    <col min="6916" max="6916" width="8.42578125" style="16" customWidth="1"/>
    <col min="6917" max="6917" width="8.5703125" style="16" bestFit="1" customWidth="1"/>
    <col min="6918" max="6918" width="7.85546875" style="16" customWidth="1"/>
    <col min="6919" max="6920" width="8" style="16" customWidth="1"/>
    <col min="6921" max="6926" width="7.7109375" style="16" customWidth="1"/>
    <col min="6927"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9.42578125" style="16" customWidth="1"/>
    <col min="7171" max="7171" width="8.5703125" style="16" customWidth="1"/>
    <col min="7172" max="7172" width="8.42578125" style="16" customWidth="1"/>
    <col min="7173" max="7173" width="8.5703125" style="16" bestFit="1" customWidth="1"/>
    <col min="7174" max="7174" width="7.85546875" style="16" customWidth="1"/>
    <col min="7175" max="7176" width="8" style="16" customWidth="1"/>
    <col min="7177" max="7182" width="7.7109375" style="16" customWidth="1"/>
    <col min="7183"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9.42578125" style="16" customWidth="1"/>
    <col min="7427" max="7427" width="8.5703125" style="16" customWidth="1"/>
    <col min="7428" max="7428" width="8.42578125" style="16" customWidth="1"/>
    <col min="7429" max="7429" width="8.5703125" style="16" bestFit="1" customWidth="1"/>
    <col min="7430" max="7430" width="7.85546875" style="16" customWidth="1"/>
    <col min="7431" max="7432" width="8" style="16" customWidth="1"/>
    <col min="7433" max="7438" width="7.7109375" style="16" customWidth="1"/>
    <col min="7439"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9.42578125" style="16" customWidth="1"/>
    <col min="7683" max="7683" width="8.5703125" style="16" customWidth="1"/>
    <col min="7684" max="7684" width="8.42578125" style="16" customWidth="1"/>
    <col min="7685" max="7685" width="8.5703125" style="16" bestFit="1" customWidth="1"/>
    <col min="7686" max="7686" width="7.85546875" style="16" customWidth="1"/>
    <col min="7687" max="7688" width="8" style="16" customWidth="1"/>
    <col min="7689" max="7694" width="7.7109375" style="16" customWidth="1"/>
    <col min="7695"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9.42578125" style="16" customWidth="1"/>
    <col min="7939" max="7939" width="8.5703125" style="16" customWidth="1"/>
    <col min="7940" max="7940" width="8.42578125" style="16" customWidth="1"/>
    <col min="7941" max="7941" width="8.5703125" style="16" bestFit="1" customWidth="1"/>
    <col min="7942" max="7942" width="7.85546875" style="16" customWidth="1"/>
    <col min="7943" max="7944" width="8" style="16" customWidth="1"/>
    <col min="7945" max="7950" width="7.7109375" style="16" customWidth="1"/>
    <col min="7951"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9.42578125" style="16" customWidth="1"/>
    <col min="8195" max="8195" width="8.5703125" style="16" customWidth="1"/>
    <col min="8196" max="8196" width="8.42578125" style="16" customWidth="1"/>
    <col min="8197" max="8197" width="8.5703125" style="16" bestFit="1" customWidth="1"/>
    <col min="8198" max="8198" width="7.85546875" style="16" customWidth="1"/>
    <col min="8199" max="8200" width="8" style="16" customWidth="1"/>
    <col min="8201" max="8206" width="7.7109375" style="16" customWidth="1"/>
    <col min="8207"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9.42578125" style="16" customWidth="1"/>
    <col min="8451" max="8451" width="8.5703125" style="16" customWidth="1"/>
    <col min="8452" max="8452" width="8.42578125" style="16" customWidth="1"/>
    <col min="8453" max="8453" width="8.5703125" style="16" bestFit="1" customWidth="1"/>
    <col min="8454" max="8454" width="7.85546875" style="16" customWidth="1"/>
    <col min="8455" max="8456" width="8" style="16" customWidth="1"/>
    <col min="8457" max="8462" width="7.7109375" style="16" customWidth="1"/>
    <col min="8463"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9.42578125" style="16" customWidth="1"/>
    <col min="8707" max="8707" width="8.5703125" style="16" customWidth="1"/>
    <col min="8708" max="8708" width="8.42578125" style="16" customWidth="1"/>
    <col min="8709" max="8709" width="8.5703125" style="16" bestFit="1" customWidth="1"/>
    <col min="8710" max="8710" width="7.85546875" style="16" customWidth="1"/>
    <col min="8711" max="8712" width="8" style="16" customWidth="1"/>
    <col min="8713" max="8718" width="7.7109375" style="16" customWidth="1"/>
    <col min="8719"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9.42578125" style="16" customWidth="1"/>
    <col min="8963" max="8963" width="8.5703125" style="16" customWidth="1"/>
    <col min="8964" max="8964" width="8.42578125" style="16" customWidth="1"/>
    <col min="8965" max="8965" width="8.5703125" style="16" bestFit="1" customWidth="1"/>
    <col min="8966" max="8966" width="7.85546875" style="16" customWidth="1"/>
    <col min="8967" max="8968" width="8" style="16" customWidth="1"/>
    <col min="8969" max="8974" width="7.7109375" style="16" customWidth="1"/>
    <col min="8975"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9.42578125" style="16" customWidth="1"/>
    <col min="9219" max="9219" width="8.5703125" style="16" customWidth="1"/>
    <col min="9220" max="9220" width="8.42578125" style="16" customWidth="1"/>
    <col min="9221" max="9221" width="8.5703125" style="16" bestFit="1" customWidth="1"/>
    <col min="9222" max="9222" width="7.85546875" style="16" customWidth="1"/>
    <col min="9223" max="9224" width="8" style="16" customWidth="1"/>
    <col min="9225" max="9230" width="7.7109375" style="16" customWidth="1"/>
    <col min="9231"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9.42578125" style="16" customWidth="1"/>
    <col min="9475" max="9475" width="8.5703125" style="16" customWidth="1"/>
    <col min="9476" max="9476" width="8.42578125" style="16" customWidth="1"/>
    <col min="9477" max="9477" width="8.5703125" style="16" bestFit="1" customWidth="1"/>
    <col min="9478" max="9478" width="7.85546875" style="16" customWidth="1"/>
    <col min="9479" max="9480" width="8" style="16" customWidth="1"/>
    <col min="9481" max="9486" width="7.7109375" style="16" customWidth="1"/>
    <col min="9487"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9.42578125" style="16" customWidth="1"/>
    <col min="9731" max="9731" width="8.5703125" style="16" customWidth="1"/>
    <col min="9732" max="9732" width="8.42578125" style="16" customWidth="1"/>
    <col min="9733" max="9733" width="8.5703125" style="16" bestFit="1" customWidth="1"/>
    <col min="9734" max="9734" width="7.85546875" style="16" customWidth="1"/>
    <col min="9735" max="9736" width="8" style="16" customWidth="1"/>
    <col min="9737" max="9742" width="7.7109375" style="16" customWidth="1"/>
    <col min="9743"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9.42578125" style="16" customWidth="1"/>
    <col min="9987" max="9987" width="8.5703125" style="16" customWidth="1"/>
    <col min="9988" max="9988" width="8.42578125" style="16" customWidth="1"/>
    <col min="9989" max="9989" width="8.5703125" style="16" bestFit="1" customWidth="1"/>
    <col min="9990" max="9990" width="7.85546875" style="16" customWidth="1"/>
    <col min="9991" max="9992" width="8" style="16" customWidth="1"/>
    <col min="9993" max="9998" width="7.7109375" style="16" customWidth="1"/>
    <col min="9999"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9.42578125" style="16" customWidth="1"/>
    <col min="10243" max="10243" width="8.5703125" style="16" customWidth="1"/>
    <col min="10244" max="10244" width="8.42578125" style="16" customWidth="1"/>
    <col min="10245" max="10245" width="8.5703125" style="16" bestFit="1" customWidth="1"/>
    <col min="10246" max="10246" width="7.85546875" style="16" customWidth="1"/>
    <col min="10247" max="10248" width="8" style="16" customWidth="1"/>
    <col min="10249" max="10254" width="7.7109375" style="16" customWidth="1"/>
    <col min="10255"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9.42578125" style="16" customWidth="1"/>
    <col min="10499" max="10499" width="8.5703125" style="16" customWidth="1"/>
    <col min="10500" max="10500" width="8.42578125" style="16" customWidth="1"/>
    <col min="10501" max="10501" width="8.5703125" style="16" bestFit="1" customWidth="1"/>
    <col min="10502" max="10502" width="7.85546875" style="16" customWidth="1"/>
    <col min="10503" max="10504" width="8" style="16" customWidth="1"/>
    <col min="10505" max="10510" width="7.7109375" style="16" customWidth="1"/>
    <col min="10511"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9.42578125" style="16" customWidth="1"/>
    <col min="10755" max="10755" width="8.5703125" style="16" customWidth="1"/>
    <col min="10756" max="10756" width="8.42578125" style="16" customWidth="1"/>
    <col min="10757" max="10757" width="8.5703125" style="16" bestFit="1" customWidth="1"/>
    <col min="10758" max="10758" width="7.85546875" style="16" customWidth="1"/>
    <col min="10759" max="10760" width="8" style="16" customWidth="1"/>
    <col min="10761" max="10766" width="7.7109375" style="16" customWidth="1"/>
    <col min="10767"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9.42578125" style="16" customWidth="1"/>
    <col min="11011" max="11011" width="8.5703125" style="16" customWidth="1"/>
    <col min="11012" max="11012" width="8.42578125" style="16" customWidth="1"/>
    <col min="11013" max="11013" width="8.5703125" style="16" bestFit="1" customWidth="1"/>
    <col min="11014" max="11014" width="7.85546875" style="16" customWidth="1"/>
    <col min="11015" max="11016" width="8" style="16" customWidth="1"/>
    <col min="11017" max="11022" width="7.7109375" style="16" customWidth="1"/>
    <col min="11023"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9.42578125" style="16" customWidth="1"/>
    <col min="11267" max="11267" width="8.5703125" style="16" customWidth="1"/>
    <col min="11268" max="11268" width="8.42578125" style="16" customWidth="1"/>
    <col min="11269" max="11269" width="8.5703125" style="16" bestFit="1" customWidth="1"/>
    <col min="11270" max="11270" width="7.85546875" style="16" customWidth="1"/>
    <col min="11271" max="11272" width="8" style="16" customWidth="1"/>
    <col min="11273" max="11278" width="7.7109375" style="16" customWidth="1"/>
    <col min="11279"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9.42578125" style="16" customWidth="1"/>
    <col min="11523" max="11523" width="8.5703125" style="16" customWidth="1"/>
    <col min="11524" max="11524" width="8.42578125" style="16" customWidth="1"/>
    <col min="11525" max="11525" width="8.5703125" style="16" bestFit="1" customWidth="1"/>
    <col min="11526" max="11526" width="7.85546875" style="16" customWidth="1"/>
    <col min="11527" max="11528" width="8" style="16" customWidth="1"/>
    <col min="11529" max="11534" width="7.7109375" style="16" customWidth="1"/>
    <col min="11535"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9.42578125" style="16" customWidth="1"/>
    <col min="11779" max="11779" width="8.5703125" style="16" customWidth="1"/>
    <col min="11780" max="11780" width="8.42578125" style="16" customWidth="1"/>
    <col min="11781" max="11781" width="8.5703125" style="16" bestFit="1" customWidth="1"/>
    <col min="11782" max="11782" width="7.85546875" style="16" customWidth="1"/>
    <col min="11783" max="11784" width="8" style="16" customWidth="1"/>
    <col min="11785" max="11790" width="7.7109375" style="16" customWidth="1"/>
    <col min="11791"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9.42578125" style="16" customWidth="1"/>
    <col min="12035" max="12035" width="8.5703125" style="16" customWidth="1"/>
    <col min="12036" max="12036" width="8.42578125" style="16" customWidth="1"/>
    <col min="12037" max="12037" width="8.5703125" style="16" bestFit="1" customWidth="1"/>
    <col min="12038" max="12038" width="7.85546875" style="16" customWidth="1"/>
    <col min="12039" max="12040" width="8" style="16" customWidth="1"/>
    <col min="12041" max="12046" width="7.7109375" style="16" customWidth="1"/>
    <col min="12047"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9.42578125" style="16" customWidth="1"/>
    <col min="12291" max="12291" width="8.5703125" style="16" customWidth="1"/>
    <col min="12292" max="12292" width="8.42578125" style="16" customWidth="1"/>
    <col min="12293" max="12293" width="8.5703125" style="16" bestFit="1" customWidth="1"/>
    <col min="12294" max="12294" width="7.85546875" style="16" customWidth="1"/>
    <col min="12295" max="12296" width="8" style="16" customWidth="1"/>
    <col min="12297" max="12302" width="7.7109375" style="16" customWidth="1"/>
    <col min="12303"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9.42578125" style="16" customWidth="1"/>
    <col min="12547" max="12547" width="8.5703125" style="16" customWidth="1"/>
    <col min="12548" max="12548" width="8.42578125" style="16" customWidth="1"/>
    <col min="12549" max="12549" width="8.5703125" style="16" bestFit="1" customWidth="1"/>
    <col min="12550" max="12550" width="7.85546875" style="16" customWidth="1"/>
    <col min="12551" max="12552" width="8" style="16" customWidth="1"/>
    <col min="12553" max="12558" width="7.7109375" style="16" customWidth="1"/>
    <col min="12559"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9.42578125" style="16" customWidth="1"/>
    <col min="12803" max="12803" width="8.5703125" style="16" customWidth="1"/>
    <col min="12804" max="12804" width="8.42578125" style="16" customWidth="1"/>
    <col min="12805" max="12805" width="8.5703125" style="16" bestFit="1" customWidth="1"/>
    <col min="12806" max="12806" width="7.85546875" style="16" customWidth="1"/>
    <col min="12807" max="12808" width="8" style="16" customWidth="1"/>
    <col min="12809" max="12814" width="7.7109375" style="16" customWidth="1"/>
    <col min="12815"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9.42578125" style="16" customWidth="1"/>
    <col min="13059" max="13059" width="8.5703125" style="16" customWidth="1"/>
    <col min="13060" max="13060" width="8.42578125" style="16" customWidth="1"/>
    <col min="13061" max="13061" width="8.5703125" style="16" bestFit="1" customWidth="1"/>
    <col min="13062" max="13062" width="7.85546875" style="16" customWidth="1"/>
    <col min="13063" max="13064" width="8" style="16" customWidth="1"/>
    <col min="13065" max="13070" width="7.7109375" style="16" customWidth="1"/>
    <col min="13071"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9.42578125" style="16" customWidth="1"/>
    <col min="13315" max="13315" width="8.5703125" style="16" customWidth="1"/>
    <col min="13316" max="13316" width="8.42578125" style="16" customWidth="1"/>
    <col min="13317" max="13317" width="8.5703125" style="16" bestFit="1" customWidth="1"/>
    <col min="13318" max="13318" width="7.85546875" style="16" customWidth="1"/>
    <col min="13319" max="13320" width="8" style="16" customWidth="1"/>
    <col min="13321" max="13326" width="7.7109375" style="16" customWidth="1"/>
    <col min="13327"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9.42578125" style="16" customWidth="1"/>
    <col min="13571" max="13571" width="8.5703125" style="16" customWidth="1"/>
    <col min="13572" max="13572" width="8.42578125" style="16" customWidth="1"/>
    <col min="13573" max="13573" width="8.5703125" style="16" bestFit="1" customWidth="1"/>
    <col min="13574" max="13574" width="7.85546875" style="16" customWidth="1"/>
    <col min="13575" max="13576" width="8" style="16" customWidth="1"/>
    <col min="13577" max="13582" width="7.7109375" style="16" customWidth="1"/>
    <col min="13583"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9.42578125" style="16" customWidth="1"/>
    <col min="13827" max="13827" width="8.5703125" style="16" customWidth="1"/>
    <col min="13828" max="13828" width="8.42578125" style="16" customWidth="1"/>
    <col min="13829" max="13829" width="8.5703125" style="16" bestFit="1" customWidth="1"/>
    <col min="13830" max="13830" width="7.85546875" style="16" customWidth="1"/>
    <col min="13831" max="13832" width="8" style="16" customWidth="1"/>
    <col min="13833" max="13838" width="7.7109375" style="16" customWidth="1"/>
    <col min="13839"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9.42578125" style="16" customWidth="1"/>
    <col min="14083" max="14083" width="8.5703125" style="16" customWidth="1"/>
    <col min="14084" max="14084" width="8.42578125" style="16" customWidth="1"/>
    <col min="14085" max="14085" width="8.5703125" style="16" bestFit="1" customWidth="1"/>
    <col min="14086" max="14086" width="7.85546875" style="16" customWidth="1"/>
    <col min="14087" max="14088" width="8" style="16" customWidth="1"/>
    <col min="14089" max="14094" width="7.7109375" style="16" customWidth="1"/>
    <col min="14095"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9.42578125" style="16" customWidth="1"/>
    <col min="14339" max="14339" width="8.5703125" style="16" customWidth="1"/>
    <col min="14340" max="14340" width="8.42578125" style="16" customWidth="1"/>
    <col min="14341" max="14341" width="8.5703125" style="16" bestFit="1" customWidth="1"/>
    <col min="14342" max="14342" width="7.85546875" style="16" customWidth="1"/>
    <col min="14343" max="14344" width="8" style="16" customWidth="1"/>
    <col min="14345" max="14350" width="7.7109375" style="16" customWidth="1"/>
    <col min="14351"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9.42578125" style="16" customWidth="1"/>
    <col min="14595" max="14595" width="8.5703125" style="16" customWidth="1"/>
    <col min="14596" max="14596" width="8.42578125" style="16" customWidth="1"/>
    <col min="14597" max="14597" width="8.5703125" style="16" bestFit="1" customWidth="1"/>
    <col min="14598" max="14598" width="7.85546875" style="16" customWidth="1"/>
    <col min="14599" max="14600" width="8" style="16" customWidth="1"/>
    <col min="14601" max="14606" width="7.7109375" style="16" customWidth="1"/>
    <col min="14607"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9.42578125" style="16" customWidth="1"/>
    <col min="14851" max="14851" width="8.5703125" style="16" customWidth="1"/>
    <col min="14852" max="14852" width="8.42578125" style="16" customWidth="1"/>
    <col min="14853" max="14853" width="8.5703125" style="16" bestFit="1" customWidth="1"/>
    <col min="14854" max="14854" width="7.85546875" style="16" customWidth="1"/>
    <col min="14855" max="14856" width="8" style="16" customWidth="1"/>
    <col min="14857" max="14862" width="7.7109375" style="16" customWidth="1"/>
    <col min="14863"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9.42578125" style="16" customWidth="1"/>
    <col min="15107" max="15107" width="8.5703125" style="16" customWidth="1"/>
    <col min="15108" max="15108" width="8.42578125" style="16" customWidth="1"/>
    <col min="15109" max="15109" width="8.5703125" style="16" bestFit="1" customWidth="1"/>
    <col min="15110" max="15110" width="7.85546875" style="16" customWidth="1"/>
    <col min="15111" max="15112" width="8" style="16" customWidth="1"/>
    <col min="15113" max="15118" width="7.7109375" style="16" customWidth="1"/>
    <col min="15119"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9.42578125" style="16" customWidth="1"/>
    <col min="15363" max="15363" width="8.5703125" style="16" customWidth="1"/>
    <col min="15364" max="15364" width="8.42578125" style="16" customWidth="1"/>
    <col min="15365" max="15365" width="8.5703125" style="16" bestFit="1" customWidth="1"/>
    <col min="15366" max="15366" width="7.85546875" style="16" customWidth="1"/>
    <col min="15367" max="15368" width="8" style="16" customWidth="1"/>
    <col min="15369" max="15374" width="7.7109375" style="16" customWidth="1"/>
    <col min="15375"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9.42578125" style="16" customWidth="1"/>
    <col min="15619" max="15619" width="8.5703125" style="16" customWidth="1"/>
    <col min="15620" max="15620" width="8.42578125" style="16" customWidth="1"/>
    <col min="15621" max="15621" width="8.5703125" style="16" bestFit="1" customWidth="1"/>
    <col min="15622" max="15622" width="7.85546875" style="16" customWidth="1"/>
    <col min="15623" max="15624" width="8" style="16" customWidth="1"/>
    <col min="15625" max="15630" width="7.7109375" style="16" customWidth="1"/>
    <col min="15631"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9.42578125" style="16" customWidth="1"/>
    <col min="15875" max="15875" width="8.5703125" style="16" customWidth="1"/>
    <col min="15876" max="15876" width="8.42578125" style="16" customWidth="1"/>
    <col min="15877" max="15877" width="8.5703125" style="16" bestFit="1" customWidth="1"/>
    <col min="15878" max="15878" width="7.85546875" style="16" customWidth="1"/>
    <col min="15879" max="15880" width="8" style="16" customWidth="1"/>
    <col min="15881" max="15886" width="7.7109375" style="16" customWidth="1"/>
    <col min="15887"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9.42578125" style="16" customWidth="1"/>
    <col min="16131" max="16131" width="8.5703125" style="16" customWidth="1"/>
    <col min="16132" max="16132" width="8.42578125" style="16" customWidth="1"/>
    <col min="16133" max="16133" width="8.5703125" style="16" bestFit="1" customWidth="1"/>
    <col min="16134" max="16134" width="7.85546875" style="16" customWidth="1"/>
    <col min="16135" max="16136" width="8" style="16" customWidth="1"/>
    <col min="16137" max="16142" width="7.7109375" style="16" customWidth="1"/>
    <col min="16143" max="16147" width="9.140625" style="16"/>
    <col min="16148" max="16148" width="12.42578125" style="16" customWidth="1"/>
    <col min="16149" max="16149" width="9.140625" style="16"/>
    <col min="16150" max="16150" width="12" style="16" customWidth="1"/>
    <col min="16151" max="16384" width="9.140625" style="16"/>
  </cols>
  <sheetData>
    <row r="1" spans="1:15" s="1" customFormat="1" ht="15" customHeight="1" x14ac:dyDescent="0.2">
      <c r="A1" s="867" t="s">
        <v>449</v>
      </c>
      <c r="B1" s="868"/>
      <c r="C1" s="868"/>
      <c r="D1" s="869"/>
      <c r="E1" s="868"/>
      <c r="F1" s="868"/>
      <c r="G1" s="867" t="s">
        <v>102</v>
      </c>
      <c r="H1" s="869"/>
      <c r="I1" s="869" t="s">
        <v>1097</v>
      </c>
      <c r="J1" s="868"/>
      <c r="K1" s="868"/>
      <c r="L1" s="870"/>
      <c r="M1" s="870"/>
      <c r="N1" s="870"/>
      <c r="O1" s="870"/>
    </row>
    <row r="2" spans="1:15" s="1" customFormat="1" ht="15" customHeight="1" x14ac:dyDescent="0.2">
      <c r="A2" s="867" t="s">
        <v>103</v>
      </c>
      <c r="B2" s="868"/>
      <c r="C2" s="868"/>
      <c r="D2" s="869"/>
      <c r="E2" s="868"/>
      <c r="F2" s="868"/>
      <c r="G2" s="867" t="s">
        <v>104</v>
      </c>
      <c r="H2" s="869"/>
      <c r="I2" s="869" t="s">
        <v>105</v>
      </c>
      <c r="J2" s="868"/>
      <c r="K2" s="868"/>
      <c r="L2" s="870"/>
      <c r="M2" s="870"/>
      <c r="N2" s="870"/>
      <c r="O2" s="870"/>
    </row>
    <row r="3" spans="1:15" s="1" customFormat="1" ht="15" customHeight="1" x14ac:dyDescent="0.2">
      <c r="A3" s="867" t="s">
        <v>106</v>
      </c>
      <c r="B3" s="868"/>
      <c r="C3" s="868"/>
      <c r="D3" s="881" t="s">
        <v>1098</v>
      </c>
      <c r="E3" s="882"/>
      <c r="F3" s="882"/>
      <c r="G3" s="867" t="s">
        <v>107</v>
      </c>
      <c r="H3" s="869"/>
      <c r="I3" s="869" t="s">
        <v>108</v>
      </c>
      <c r="J3" s="868"/>
      <c r="K3" s="868"/>
      <c r="L3" s="870"/>
      <c r="M3" s="870"/>
      <c r="N3" s="870"/>
      <c r="O3" s="870"/>
    </row>
    <row r="4" spans="1:15" s="1" customFormat="1" ht="15" customHeight="1" x14ac:dyDescent="0.2">
      <c r="A4" s="867" t="s">
        <v>109</v>
      </c>
      <c r="B4" s="868"/>
      <c r="C4" s="868"/>
      <c r="D4" s="883"/>
      <c r="E4" s="868"/>
      <c r="F4" s="868"/>
      <c r="G4" s="867" t="s">
        <v>110</v>
      </c>
      <c r="H4" s="869"/>
      <c r="I4" s="869" t="s">
        <v>684</v>
      </c>
      <c r="J4" s="868"/>
      <c r="K4" s="868"/>
      <c r="L4" s="870"/>
      <c r="M4" s="870"/>
      <c r="N4" s="870"/>
      <c r="O4" s="870"/>
    </row>
    <row r="5" spans="1:15" s="1" customFormat="1" ht="15" customHeight="1" x14ac:dyDescent="0.2">
      <c r="A5" s="867" t="s">
        <v>476</v>
      </c>
      <c r="B5" s="868"/>
      <c r="C5" s="868"/>
      <c r="D5" s="869" t="s">
        <v>1099</v>
      </c>
      <c r="E5" s="868"/>
      <c r="F5" s="868"/>
      <c r="G5" s="867"/>
      <c r="H5" s="868"/>
      <c r="I5" s="869" t="s">
        <v>113</v>
      </c>
      <c r="J5" s="868"/>
      <c r="K5" s="868"/>
      <c r="L5" s="870"/>
      <c r="M5" s="870"/>
      <c r="N5" s="870"/>
      <c r="O5" s="870"/>
    </row>
    <row r="6" spans="1:15" s="1" customFormat="1" ht="15" customHeight="1" x14ac:dyDescent="0.2">
      <c r="A6" s="871" t="s">
        <v>114</v>
      </c>
      <c r="B6" s="872"/>
      <c r="C6" s="872"/>
      <c r="D6" s="868" t="s">
        <v>54</v>
      </c>
      <c r="E6" s="868"/>
      <c r="F6" s="868"/>
      <c r="G6" s="871" t="s">
        <v>115</v>
      </c>
      <c r="H6" s="871"/>
      <c r="I6" s="2" t="s">
        <v>116</v>
      </c>
      <c r="J6" s="873"/>
      <c r="K6" s="873"/>
      <c r="L6" s="873"/>
      <c r="M6" s="873"/>
      <c r="N6" s="873"/>
      <c r="O6" s="874"/>
    </row>
    <row r="7" spans="1:15" s="1" customFormat="1" ht="15" customHeight="1" thickBot="1" x14ac:dyDescent="0.25">
      <c r="A7" s="3"/>
      <c r="B7" s="4"/>
      <c r="C7" s="5"/>
      <c r="D7" s="6"/>
      <c r="E7" s="6"/>
      <c r="F7" s="6"/>
      <c r="G7" s="6"/>
      <c r="H7" s="6"/>
      <c r="I7" s="6"/>
      <c r="J7" s="7"/>
      <c r="K7" s="8"/>
      <c r="L7" s="875" t="s">
        <v>223</v>
      </c>
      <c r="M7" s="875"/>
      <c r="N7" s="875"/>
      <c r="O7" s="875"/>
    </row>
    <row r="8" spans="1:15" s="11" customFormat="1" ht="15" customHeight="1" x14ac:dyDescent="0.2">
      <c r="A8" s="876" t="str">
        <f>I1</f>
        <v>Mr. D.R. Sonawane</v>
      </c>
      <c r="B8" s="877"/>
      <c r="C8" s="9">
        <v>43160</v>
      </c>
      <c r="D8" s="9">
        <v>43191</v>
      </c>
      <c r="E8" s="9">
        <v>43221</v>
      </c>
      <c r="F8" s="9">
        <v>43252</v>
      </c>
      <c r="G8" s="9">
        <v>43282</v>
      </c>
      <c r="H8" s="9">
        <v>43313</v>
      </c>
      <c r="I8" s="9">
        <v>43344</v>
      </c>
      <c r="J8" s="9">
        <v>43374</v>
      </c>
      <c r="K8" s="9">
        <v>43405</v>
      </c>
      <c r="L8" s="9">
        <v>43435</v>
      </c>
      <c r="M8" s="9">
        <v>43466</v>
      </c>
      <c r="N8" s="9">
        <v>43497</v>
      </c>
      <c r="O8" s="10" t="s">
        <v>117</v>
      </c>
    </row>
    <row r="9" spans="1:15" ht="15" customHeight="1" x14ac:dyDescent="0.2">
      <c r="A9" s="12"/>
      <c r="B9" s="13" t="s">
        <v>118</v>
      </c>
      <c r="C9" s="14">
        <v>68000</v>
      </c>
      <c r="D9" s="14">
        <v>68000</v>
      </c>
      <c r="E9" s="14">
        <v>68000</v>
      </c>
      <c r="F9" s="14">
        <v>68000</v>
      </c>
      <c r="G9" s="14">
        <v>70000</v>
      </c>
      <c r="H9" s="14">
        <v>70000</v>
      </c>
      <c r="I9" s="14">
        <v>70000</v>
      </c>
      <c r="J9" s="14">
        <v>70000</v>
      </c>
      <c r="K9" s="14">
        <v>70000</v>
      </c>
      <c r="L9" s="14">
        <v>70000</v>
      </c>
      <c r="M9" s="14">
        <v>70000</v>
      </c>
      <c r="N9" s="14">
        <v>70000</v>
      </c>
      <c r="O9" s="15">
        <f>SUM(C9:N9)</f>
        <v>832000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8" customHeight="1" x14ac:dyDescent="0.2">
      <c r="A11" s="12"/>
      <c r="B11" s="13" t="s">
        <v>120</v>
      </c>
      <c r="C11" s="17">
        <v>3400</v>
      </c>
      <c r="D11" s="17">
        <v>4760</v>
      </c>
      <c r="E11" s="17">
        <v>4760</v>
      </c>
      <c r="F11" s="17">
        <v>4760</v>
      </c>
      <c r="G11" s="17">
        <v>4900</v>
      </c>
      <c r="H11" s="17">
        <v>4900</v>
      </c>
      <c r="I11" s="17">
        <v>4900</v>
      </c>
      <c r="J11" s="17">
        <v>6300</v>
      </c>
      <c r="K11" s="17">
        <v>6300</v>
      </c>
      <c r="L11" s="17">
        <v>6300</v>
      </c>
      <c r="M11" s="17">
        <v>6300</v>
      </c>
      <c r="N11" s="17">
        <v>6300</v>
      </c>
      <c r="O11" s="18">
        <f>SUM(C11:N11)</f>
        <v>63880</v>
      </c>
    </row>
    <row r="12" spans="1:15" ht="15" x14ac:dyDescent="0.2">
      <c r="A12" s="12"/>
      <c r="B12" s="13" t="s">
        <v>710</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5" si="0">SUM(C13:N13)</f>
        <v>0</v>
      </c>
    </row>
    <row r="14" spans="1:15" ht="15" x14ac:dyDescent="0.2">
      <c r="A14" s="12"/>
      <c r="B14" s="13" t="s">
        <v>123</v>
      </c>
      <c r="C14" s="17">
        <v>3780</v>
      </c>
      <c r="D14" s="17">
        <v>3852</v>
      </c>
      <c r="E14" s="17">
        <v>3852</v>
      </c>
      <c r="F14" s="17">
        <v>3852</v>
      </c>
      <c r="G14" s="17">
        <v>3852</v>
      </c>
      <c r="H14" s="17">
        <v>3852</v>
      </c>
      <c r="I14" s="17">
        <v>3852</v>
      </c>
      <c r="J14" s="17">
        <v>3924</v>
      </c>
      <c r="K14" s="17">
        <v>3924</v>
      </c>
      <c r="L14" s="17">
        <v>3924</v>
      </c>
      <c r="M14" s="17">
        <v>3924</v>
      </c>
      <c r="N14" s="17">
        <v>3924</v>
      </c>
      <c r="O14" s="18">
        <f t="shared" si="0"/>
        <v>46512</v>
      </c>
    </row>
    <row r="15" spans="1:15" x14ac:dyDescent="0.2">
      <c r="A15" s="12"/>
      <c r="B15" s="166" t="s">
        <v>280</v>
      </c>
      <c r="C15" s="17">
        <v>0</v>
      </c>
      <c r="D15" s="17">
        <v>0</v>
      </c>
      <c r="E15" s="17">
        <v>0</v>
      </c>
      <c r="F15" s="17">
        <v>0</v>
      </c>
      <c r="G15" s="17">
        <v>0</v>
      </c>
      <c r="H15" s="17">
        <v>0</v>
      </c>
      <c r="I15" s="17">
        <v>0</v>
      </c>
      <c r="J15" s="17">
        <v>0</v>
      </c>
      <c r="K15" s="17">
        <v>0</v>
      </c>
      <c r="L15" s="17">
        <v>0</v>
      </c>
      <c r="M15" s="17">
        <v>0</v>
      </c>
      <c r="N15" s="17">
        <v>0</v>
      </c>
      <c r="O15" s="18">
        <f t="shared" si="0"/>
        <v>0</v>
      </c>
    </row>
    <row r="16" spans="1:15" ht="15" hidden="1"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16320</v>
      </c>
      <c r="D19" s="17">
        <v>16320</v>
      </c>
      <c r="E19" s="17">
        <v>16320</v>
      </c>
      <c r="F19" s="17">
        <v>16320</v>
      </c>
      <c r="G19" s="17">
        <v>16800</v>
      </c>
      <c r="H19" s="17">
        <v>16800</v>
      </c>
      <c r="I19" s="17">
        <v>16800</v>
      </c>
      <c r="J19" s="17">
        <v>16800</v>
      </c>
      <c r="K19" s="17">
        <v>16800</v>
      </c>
      <c r="L19" s="17">
        <v>16800</v>
      </c>
      <c r="M19" s="17">
        <v>16800</v>
      </c>
      <c r="N19" s="17">
        <v>16800</v>
      </c>
      <c r="O19" s="18">
        <f t="shared" si="0"/>
        <v>199680</v>
      </c>
    </row>
    <row r="20" spans="1:15" ht="15" customHeight="1" x14ac:dyDescent="0.2">
      <c r="A20" s="12"/>
      <c r="B20" s="13" t="s">
        <v>129</v>
      </c>
      <c r="C20" s="17">
        <v>0</v>
      </c>
      <c r="D20" s="17">
        <v>0</v>
      </c>
      <c r="E20" s="17">
        <v>0</v>
      </c>
      <c r="F20" s="17">
        <v>0</v>
      </c>
      <c r="G20" s="17">
        <v>24253</v>
      </c>
      <c r="H20" s="17">
        <v>0</v>
      </c>
      <c r="I20" s="17">
        <v>0</v>
      </c>
      <c r="J20" s="17">
        <v>0</v>
      </c>
      <c r="K20" s="17">
        <v>0</v>
      </c>
      <c r="L20" s="17">
        <v>0</v>
      </c>
      <c r="M20" s="17">
        <v>0</v>
      </c>
      <c r="N20" s="17">
        <v>0</v>
      </c>
      <c r="O20" s="18">
        <f t="shared" si="0"/>
        <v>24253</v>
      </c>
    </row>
    <row r="21" spans="1:15" ht="15" hidden="1" customHeight="1" x14ac:dyDescent="0.2">
      <c r="A21" s="878"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79"/>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5" ht="15" hidden="1" customHeight="1" x14ac:dyDescent="0.2">
      <c r="A23" s="879"/>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79"/>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79"/>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79"/>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79"/>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79"/>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79"/>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79"/>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79"/>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79"/>
      <c r="B32" s="21" t="s">
        <v>142</v>
      </c>
      <c r="C32" s="17">
        <v>0</v>
      </c>
      <c r="D32" s="17">
        <v>0</v>
      </c>
      <c r="E32" s="17">
        <v>56091</v>
      </c>
      <c r="F32" s="17">
        <v>0</v>
      </c>
      <c r="G32" s="17">
        <v>0</v>
      </c>
      <c r="H32" s="17">
        <v>0</v>
      </c>
      <c r="I32" s="17">
        <v>0</v>
      </c>
      <c r="J32" s="17">
        <v>0</v>
      </c>
      <c r="K32" s="17">
        <v>0</v>
      </c>
      <c r="L32" s="17">
        <v>0</v>
      </c>
      <c r="M32" s="17">
        <v>0</v>
      </c>
      <c r="N32" s="17">
        <v>0</v>
      </c>
      <c r="O32" s="18">
        <f t="shared" si="0"/>
        <v>56091</v>
      </c>
    </row>
    <row r="33" spans="1:17" ht="15" hidden="1" customHeight="1" x14ac:dyDescent="0.2">
      <c r="A33" s="880"/>
      <c r="B33" s="19" t="s">
        <v>226</v>
      </c>
      <c r="C33" s="17">
        <v>0</v>
      </c>
      <c r="D33" s="17">
        <v>0</v>
      </c>
      <c r="E33" s="17">
        <v>0</v>
      </c>
      <c r="F33" s="17">
        <v>0</v>
      </c>
      <c r="G33" s="17">
        <v>0</v>
      </c>
      <c r="H33" s="17">
        <v>0</v>
      </c>
      <c r="I33" s="17">
        <v>0</v>
      </c>
      <c r="J33" s="17">
        <v>0</v>
      </c>
      <c r="K33" s="17">
        <v>0</v>
      </c>
      <c r="L33" s="17">
        <v>0</v>
      </c>
      <c r="M33" s="17">
        <v>0</v>
      </c>
      <c r="N33" s="17">
        <v>0</v>
      </c>
      <c r="O33" s="18">
        <f t="shared" si="0"/>
        <v>0</v>
      </c>
    </row>
    <row r="34" spans="1:17" ht="15" customHeight="1" x14ac:dyDescent="0.2">
      <c r="A34" s="865" t="s">
        <v>144</v>
      </c>
      <c r="B34" s="866"/>
      <c r="C34" s="17">
        <v>0</v>
      </c>
      <c r="D34" s="17">
        <v>0</v>
      </c>
      <c r="E34" s="17">
        <v>0</v>
      </c>
      <c r="F34" s="17">
        <v>0</v>
      </c>
      <c r="G34" s="17">
        <v>0</v>
      </c>
      <c r="H34" s="17">
        <v>0</v>
      </c>
      <c r="I34" s="17">
        <v>0</v>
      </c>
      <c r="J34" s="17">
        <v>0</v>
      </c>
      <c r="K34" s="17">
        <v>0</v>
      </c>
      <c r="L34" s="17">
        <v>0</v>
      </c>
      <c r="M34" s="17">
        <v>0</v>
      </c>
      <c r="N34" s="17">
        <v>0</v>
      </c>
      <c r="O34" s="18">
        <f t="shared" si="0"/>
        <v>0</v>
      </c>
    </row>
    <row r="35" spans="1:17" ht="15" customHeight="1" x14ac:dyDescent="0.2">
      <c r="A35" s="215"/>
      <c r="B35" s="216" t="s">
        <v>823</v>
      </c>
      <c r="C35" s="17">
        <v>0</v>
      </c>
      <c r="D35" s="17">
        <v>0</v>
      </c>
      <c r="E35" s="17">
        <v>0</v>
      </c>
      <c r="F35" s="17">
        <v>0</v>
      </c>
      <c r="G35" s="17">
        <v>0</v>
      </c>
      <c r="H35" s="17">
        <v>0</v>
      </c>
      <c r="I35" s="17">
        <v>0</v>
      </c>
      <c r="J35" s="17">
        <v>0</v>
      </c>
      <c r="K35" s="17">
        <v>0</v>
      </c>
      <c r="L35" s="17">
        <v>0</v>
      </c>
      <c r="M35" s="17">
        <v>0</v>
      </c>
      <c r="N35" s="17">
        <v>0</v>
      </c>
      <c r="O35" s="18">
        <f t="shared" si="0"/>
        <v>0</v>
      </c>
    </row>
    <row r="36" spans="1:17" ht="15" customHeight="1" x14ac:dyDescent="0.2">
      <c r="A36" s="865" t="s">
        <v>145</v>
      </c>
      <c r="B36" s="866"/>
      <c r="C36" s="17">
        <v>0</v>
      </c>
      <c r="D36" s="17">
        <v>216</v>
      </c>
      <c r="E36" s="17">
        <v>0</v>
      </c>
      <c r="F36" s="17">
        <v>0</v>
      </c>
      <c r="G36" s="17">
        <v>0</v>
      </c>
      <c r="H36" s="17">
        <v>0</v>
      </c>
      <c r="I36" s="17">
        <v>0</v>
      </c>
      <c r="J36" s="17">
        <v>216</v>
      </c>
      <c r="K36" s="17">
        <v>0</v>
      </c>
      <c r="L36" s="17">
        <v>0</v>
      </c>
      <c r="M36" s="17">
        <v>0</v>
      </c>
      <c r="N36" s="17">
        <v>0</v>
      </c>
      <c r="O36" s="18">
        <f>SUM(C36:N36)</f>
        <v>432</v>
      </c>
    </row>
    <row r="37" spans="1:17" ht="15" customHeight="1" x14ac:dyDescent="0.2">
      <c r="A37" s="865" t="s">
        <v>146</v>
      </c>
      <c r="B37" s="866"/>
      <c r="C37" s="17">
        <v>0</v>
      </c>
      <c r="D37" s="17">
        <v>4080</v>
      </c>
      <c r="E37" s="17">
        <v>0</v>
      </c>
      <c r="F37" s="17">
        <v>0</v>
      </c>
      <c r="G37" s="17">
        <v>0</v>
      </c>
      <c r="H37" s="17">
        <v>0</v>
      </c>
      <c r="I37" s="17">
        <v>0</v>
      </c>
      <c r="J37" s="17">
        <v>4200</v>
      </c>
      <c r="K37" s="17">
        <v>0</v>
      </c>
      <c r="L37" s="17">
        <v>0</v>
      </c>
      <c r="M37" s="17">
        <v>0</v>
      </c>
      <c r="N37" s="17">
        <v>0</v>
      </c>
      <c r="O37" s="18">
        <f>SUM(C37:N37)</f>
        <v>8280</v>
      </c>
    </row>
    <row r="38" spans="1:17" ht="15" customHeight="1" x14ac:dyDescent="0.2">
      <c r="A38" s="22"/>
      <c r="B38" s="23" t="s">
        <v>147</v>
      </c>
      <c r="C38" s="24">
        <f>SUM(C9:C37)</f>
        <v>91500</v>
      </c>
      <c r="D38" s="24">
        <f t="shared" ref="D38:N38" si="1">SUM(D9:D37)</f>
        <v>97228</v>
      </c>
      <c r="E38" s="24">
        <f t="shared" si="1"/>
        <v>149023</v>
      </c>
      <c r="F38" s="24">
        <f t="shared" si="1"/>
        <v>92932</v>
      </c>
      <c r="G38" s="24">
        <f t="shared" si="1"/>
        <v>119805</v>
      </c>
      <c r="H38" s="24">
        <f t="shared" si="1"/>
        <v>95552</v>
      </c>
      <c r="I38" s="24">
        <f t="shared" si="1"/>
        <v>95552</v>
      </c>
      <c r="J38" s="24">
        <f t="shared" si="1"/>
        <v>108348</v>
      </c>
      <c r="K38" s="24">
        <f t="shared" si="1"/>
        <v>97024</v>
      </c>
      <c r="L38" s="24">
        <f t="shared" si="1"/>
        <v>97024</v>
      </c>
      <c r="M38" s="24">
        <f t="shared" si="1"/>
        <v>97024</v>
      </c>
      <c r="N38" s="24">
        <f t="shared" si="1"/>
        <v>97024</v>
      </c>
      <c r="O38" s="25">
        <f>SUM(C38:N38)</f>
        <v>1238036</v>
      </c>
    </row>
    <row r="39" spans="1:17" ht="15" customHeight="1" x14ac:dyDescent="0.2">
      <c r="A39" s="853" t="s">
        <v>148</v>
      </c>
      <c r="B39" s="27" t="s">
        <v>149</v>
      </c>
      <c r="C39" s="28">
        <v>2800</v>
      </c>
      <c r="D39" s="28">
        <v>3000</v>
      </c>
      <c r="E39" s="28">
        <v>8609</v>
      </c>
      <c r="F39" s="28">
        <v>3000</v>
      </c>
      <c r="G39" s="28">
        <v>3000</v>
      </c>
      <c r="H39" s="28">
        <v>3000</v>
      </c>
      <c r="I39" s="28">
        <v>3000</v>
      </c>
      <c r="J39" s="28">
        <v>3000</v>
      </c>
      <c r="K39" s="28">
        <v>3000</v>
      </c>
      <c r="L39" s="28">
        <v>10405</v>
      </c>
      <c r="M39" s="28">
        <v>10405</v>
      </c>
      <c r="N39" s="28">
        <v>10405</v>
      </c>
      <c r="O39" s="18">
        <f>SUM(C39:N39)</f>
        <v>63624</v>
      </c>
    </row>
    <row r="40" spans="1:17" ht="15" x14ac:dyDescent="0.2">
      <c r="A40" s="854"/>
      <c r="B40" s="27" t="s">
        <v>150</v>
      </c>
      <c r="C40" s="28">
        <v>0</v>
      </c>
      <c r="D40" s="28">
        <v>0</v>
      </c>
      <c r="E40" s="28">
        <v>0</v>
      </c>
      <c r="F40" s="28">
        <v>0</v>
      </c>
      <c r="G40" s="28">
        <v>0</v>
      </c>
      <c r="H40" s="28">
        <v>0</v>
      </c>
      <c r="I40" s="28">
        <v>0</v>
      </c>
      <c r="J40" s="28">
        <v>0</v>
      </c>
      <c r="K40" s="28">
        <v>0</v>
      </c>
      <c r="L40" s="28">
        <v>0</v>
      </c>
      <c r="M40" s="28">
        <v>0</v>
      </c>
      <c r="N40" s="28">
        <v>0</v>
      </c>
      <c r="O40" s="18">
        <f t="shared" ref="O40:O48" si="2">SUM(C40:N40)</f>
        <v>0</v>
      </c>
      <c r="Q40" s="16">
        <f>+Q38+Q39</f>
        <v>0</v>
      </c>
    </row>
    <row r="41" spans="1:17" ht="15" x14ac:dyDescent="0.2">
      <c r="A41" s="854"/>
      <c r="B41" s="27" t="s">
        <v>151</v>
      </c>
      <c r="C41" s="28">
        <v>60</v>
      </c>
      <c r="D41" s="28">
        <v>60</v>
      </c>
      <c r="E41" s="28">
        <v>60</v>
      </c>
      <c r="F41" s="28">
        <v>60</v>
      </c>
      <c r="G41" s="28">
        <v>60</v>
      </c>
      <c r="H41" s="28">
        <v>60</v>
      </c>
      <c r="I41" s="28">
        <v>60</v>
      </c>
      <c r="J41" s="28">
        <v>60</v>
      </c>
      <c r="K41" s="28">
        <v>60</v>
      </c>
      <c r="L41" s="28">
        <v>60</v>
      </c>
      <c r="M41" s="28">
        <v>60</v>
      </c>
      <c r="N41" s="28">
        <v>60</v>
      </c>
      <c r="O41" s="18">
        <f t="shared" si="2"/>
        <v>720</v>
      </c>
    </row>
    <row r="42" spans="1:17" ht="15" hidden="1" x14ac:dyDescent="0.2">
      <c r="A42" s="854"/>
      <c r="B42" s="27" t="s">
        <v>152</v>
      </c>
      <c r="C42" s="28">
        <v>0</v>
      </c>
      <c r="D42" s="28">
        <v>0</v>
      </c>
      <c r="E42" s="28">
        <v>0</v>
      </c>
      <c r="F42" s="28">
        <v>0</v>
      </c>
      <c r="G42" s="28">
        <v>0</v>
      </c>
      <c r="H42" s="28">
        <v>0</v>
      </c>
      <c r="I42" s="28">
        <v>0</v>
      </c>
      <c r="J42" s="28">
        <v>0</v>
      </c>
      <c r="K42" s="28">
        <v>0</v>
      </c>
      <c r="L42" s="28">
        <v>0</v>
      </c>
      <c r="M42" s="28">
        <v>0</v>
      </c>
      <c r="N42" s="28">
        <v>0</v>
      </c>
      <c r="O42" s="18">
        <f t="shared" si="2"/>
        <v>0</v>
      </c>
    </row>
    <row r="43" spans="1:17" ht="15" x14ac:dyDescent="0.2">
      <c r="A43" s="854"/>
      <c r="B43" s="27" t="s">
        <v>153</v>
      </c>
      <c r="C43" s="28">
        <v>650</v>
      </c>
      <c r="D43" s="28">
        <v>650</v>
      </c>
      <c r="E43" s="28">
        <v>650</v>
      </c>
      <c r="F43" s="28">
        <v>650</v>
      </c>
      <c r="G43" s="28">
        <v>650</v>
      </c>
      <c r="H43" s="28">
        <v>650</v>
      </c>
      <c r="I43" s="28">
        <v>650</v>
      </c>
      <c r="J43" s="28">
        <v>650</v>
      </c>
      <c r="K43" s="28">
        <v>650</v>
      </c>
      <c r="L43" s="28">
        <v>650</v>
      </c>
      <c r="M43" s="28">
        <v>650</v>
      </c>
      <c r="N43" s="28">
        <v>650</v>
      </c>
      <c r="O43" s="18">
        <f t="shared" si="2"/>
        <v>7800</v>
      </c>
    </row>
    <row r="44" spans="1:17" ht="15" x14ac:dyDescent="0.2">
      <c r="A44" s="854"/>
      <c r="B44" s="27" t="s">
        <v>154</v>
      </c>
      <c r="C44" s="28">
        <v>10000</v>
      </c>
      <c r="D44" s="28">
        <v>10000</v>
      </c>
      <c r="E44" s="28">
        <v>10000</v>
      </c>
      <c r="F44" s="28">
        <v>15000</v>
      </c>
      <c r="G44" s="28">
        <v>15000</v>
      </c>
      <c r="H44" s="28">
        <v>15000</v>
      </c>
      <c r="I44" s="28">
        <v>20000</v>
      </c>
      <c r="J44" s="28">
        <v>20000</v>
      </c>
      <c r="K44" s="28">
        <v>20000</v>
      </c>
      <c r="L44" s="28">
        <v>20000</v>
      </c>
      <c r="M44" s="28">
        <v>20000</v>
      </c>
      <c r="N44" s="28">
        <v>20000</v>
      </c>
      <c r="O44" s="18">
        <f t="shared" si="2"/>
        <v>195000</v>
      </c>
      <c r="P44" s="170"/>
    </row>
    <row r="45" spans="1:17" ht="15" x14ac:dyDescent="0.2">
      <c r="A45" s="854"/>
      <c r="B45" s="27" t="s">
        <v>155</v>
      </c>
      <c r="C45" s="28">
        <v>200</v>
      </c>
      <c r="D45" s="28">
        <v>200</v>
      </c>
      <c r="E45" s="28">
        <v>200</v>
      </c>
      <c r="F45" s="28">
        <v>200</v>
      </c>
      <c r="G45" s="28">
        <v>200</v>
      </c>
      <c r="H45" s="28">
        <v>200</v>
      </c>
      <c r="I45" s="28">
        <v>200</v>
      </c>
      <c r="J45" s="28">
        <v>200</v>
      </c>
      <c r="K45" s="28">
        <v>200</v>
      </c>
      <c r="L45" s="28">
        <v>200</v>
      </c>
      <c r="M45" s="28">
        <v>200</v>
      </c>
      <c r="N45" s="28">
        <v>300</v>
      </c>
      <c r="O45" s="18">
        <f t="shared" si="2"/>
        <v>2500</v>
      </c>
    </row>
    <row r="46" spans="1:17" ht="15" x14ac:dyDescent="0.2">
      <c r="A46" s="854"/>
      <c r="B46" s="27" t="s">
        <v>156</v>
      </c>
      <c r="C46" s="28">
        <v>0</v>
      </c>
      <c r="D46" s="28">
        <v>0</v>
      </c>
      <c r="E46" s="28">
        <v>0</v>
      </c>
      <c r="F46" s="28">
        <v>0</v>
      </c>
      <c r="G46" s="28">
        <v>0</v>
      </c>
      <c r="H46" s="28">
        <v>0</v>
      </c>
      <c r="I46" s="28">
        <v>0</v>
      </c>
      <c r="J46" s="28">
        <v>0</v>
      </c>
      <c r="K46" s="28">
        <v>0</v>
      </c>
      <c r="L46" s="28">
        <v>0</v>
      </c>
      <c r="M46" s="28">
        <v>0</v>
      </c>
      <c r="N46" s="28">
        <v>0</v>
      </c>
      <c r="O46" s="18">
        <f t="shared" si="2"/>
        <v>0</v>
      </c>
    </row>
    <row r="47" spans="1:17" ht="15" x14ac:dyDescent="0.2">
      <c r="A47" s="854"/>
      <c r="B47" s="27" t="s">
        <v>157</v>
      </c>
      <c r="C47" s="28">
        <v>0</v>
      </c>
      <c r="D47" s="28">
        <v>0</v>
      </c>
      <c r="E47" s="28">
        <v>0</v>
      </c>
      <c r="F47" s="28">
        <v>0</v>
      </c>
      <c r="G47" s="28">
        <v>0</v>
      </c>
      <c r="H47" s="28">
        <v>0</v>
      </c>
      <c r="I47" s="28">
        <v>0</v>
      </c>
      <c r="J47" s="28">
        <v>0</v>
      </c>
      <c r="K47" s="28">
        <v>0</v>
      </c>
      <c r="L47" s="28">
        <v>0</v>
      </c>
      <c r="M47" s="28">
        <v>0</v>
      </c>
      <c r="N47" s="28">
        <v>0</v>
      </c>
      <c r="O47" s="31">
        <f t="shared" si="2"/>
        <v>0</v>
      </c>
    </row>
    <row r="48" spans="1:17" ht="28.5" customHeight="1" x14ac:dyDescent="0.2">
      <c r="A48" s="855"/>
      <c r="B48" s="30" t="s">
        <v>158</v>
      </c>
      <c r="C48" s="28">
        <v>0</v>
      </c>
      <c r="D48" s="28">
        <v>0</v>
      </c>
      <c r="E48" s="28">
        <v>0</v>
      </c>
      <c r="F48" s="28">
        <v>0</v>
      </c>
      <c r="G48" s="28">
        <v>0</v>
      </c>
      <c r="H48" s="28">
        <v>0</v>
      </c>
      <c r="I48" s="28">
        <v>0</v>
      </c>
      <c r="J48" s="28">
        <v>0</v>
      </c>
      <c r="K48" s="28">
        <v>0</v>
      </c>
      <c r="L48" s="28">
        <v>0</v>
      </c>
      <c r="M48" s="28">
        <v>0</v>
      </c>
      <c r="N48" s="28">
        <v>0</v>
      </c>
      <c r="O48" s="31">
        <f t="shared" si="2"/>
        <v>0</v>
      </c>
    </row>
    <row r="49" spans="1:18" ht="30" x14ac:dyDescent="0.2">
      <c r="A49" s="856"/>
      <c r="B49" s="127" t="s">
        <v>1100</v>
      </c>
      <c r="C49" s="28">
        <v>0</v>
      </c>
      <c r="D49" s="28">
        <v>0</v>
      </c>
      <c r="E49" s="28">
        <v>0</v>
      </c>
      <c r="F49" s="28">
        <v>0</v>
      </c>
      <c r="G49" s="28">
        <v>0</v>
      </c>
      <c r="H49" s="28">
        <v>0</v>
      </c>
      <c r="I49" s="28">
        <v>0</v>
      </c>
      <c r="J49" s="28">
        <v>0</v>
      </c>
      <c r="K49" s="28">
        <v>0</v>
      </c>
      <c r="L49" s="28">
        <v>0</v>
      </c>
      <c r="M49" s="28">
        <v>0</v>
      </c>
      <c r="N49" s="28">
        <v>0</v>
      </c>
      <c r="O49" s="31">
        <f>SUM(C49:N49)</f>
        <v>0</v>
      </c>
    </row>
    <row r="50" spans="1:18" ht="15" x14ac:dyDescent="0.2">
      <c r="A50" s="857" t="s">
        <v>160</v>
      </c>
      <c r="B50" s="858"/>
      <c r="C50" s="33">
        <f>SUM(C39:C49)</f>
        <v>13710</v>
      </c>
      <c r="D50" s="33">
        <f t="shared" ref="D50:N50" si="3">SUM(D39:D49)</f>
        <v>13910</v>
      </c>
      <c r="E50" s="33">
        <f t="shared" si="3"/>
        <v>19519</v>
      </c>
      <c r="F50" s="33">
        <f t="shared" si="3"/>
        <v>18910</v>
      </c>
      <c r="G50" s="33">
        <f t="shared" si="3"/>
        <v>18910</v>
      </c>
      <c r="H50" s="33">
        <f t="shared" si="3"/>
        <v>18910</v>
      </c>
      <c r="I50" s="33">
        <f t="shared" si="3"/>
        <v>23910</v>
      </c>
      <c r="J50" s="33">
        <f t="shared" si="3"/>
        <v>23910</v>
      </c>
      <c r="K50" s="33">
        <f t="shared" si="3"/>
        <v>23910</v>
      </c>
      <c r="L50" s="33">
        <f t="shared" si="3"/>
        <v>31315</v>
      </c>
      <c r="M50" s="33">
        <f t="shared" si="3"/>
        <v>31315</v>
      </c>
      <c r="N50" s="33">
        <f t="shared" si="3"/>
        <v>31415</v>
      </c>
      <c r="O50" s="34">
        <f>SUM(C50:N50)</f>
        <v>269644</v>
      </c>
    </row>
    <row r="51" spans="1:18" ht="15.75" thickBot="1" x14ac:dyDescent="0.25">
      <c r="A51" s="859" t="s">
        <v>161</v>
      </c>
      <c r="B51" s="860"/>
      <c r="C51" s="35">
        <f>C38-C50</f>
        <v>77790</v>
      </c>
      <c r="D51" s="35">
        <f t="shared" ref="D51:N51" si="4">D38-D50</f>
        <v>83318</v>
      </c>
      <c r="E51" s="35">
        <f t="shared" si="4"/>
        <v>129504</v>
      </c>
      <c r="F51" s="35">
        <f t="shared" si="4"/>
        <v>74022</v>
      </c>
      <c r="G51" s="35">
        <f t="shared" si="4"/>
        <v>100895</v>
      </c>
      <c r="H51" s="35">
        <f t="shared" si="4"/>
        <v>76642</v>
      </c>
      <c r="I51" s="35">
        <f t="shared" si="4"/>
        <v>71642</v>
      </c>
      <c r="J51" s="35">
        <f t="shared" si="4"/>
        <v>84438</v>
      </c>
      <c r="K51" s="35">
        <f t="shared" si="4"/>
        <v>73114</v>
      </c>
      <c r="L51" s="35">
        <f t="shared" si="4"/>
        <v>65709</v>
      </c>
      <c r="M51" s="35">
        <f t="shared" si="4"/>
        <v>65709</v>
      </c>
      <c r="N51" s="35">
        <f t="shared" si="4"/>
        <v>65609</v>
      </c>
      <c r="O51" s="36">
        <f>SUM(C51:N51)</f>
        <v>968392</v>
      </c>
      <c r="Q51" s="16">
        <f>22230+20030+6720+16230+32042+22750+24412+22992*2+6786+3454+24754*3+24654+24679</f>
        <v>324233</v>
      </c>
    </row>
    <row r="52" spans="1:18" x14ac:dyDescent="0.2">
      <c r="E52" s="38"/>
      <c r="F52" s="38"/>
      <c r="G52" s="38"/>
      <c r="J52" s="300"/>
      <c r="Q52" s="38"/>
    </row>
    <row r="53" spans="1:18" ht="13.5" thickBot="1" x14ac:dyDescent="0.25">
      <c r="J53" s="38"/>
      <c r="Q53" s="38"/>
    </row>
    <row r="54" spans="1:18" ht="13.5" thickBot="1" x14ac:dyDescent="0.25">
      <c r="B54" s="789" t="s">
        <v>162</v>
      </c>
      <c r="C54" s="861"/>
      <c r="D54" s="861"/>
      <c r="E54" s="861"/>
      <c r="F54" s="862"/>
      <c r="G54" s="863">
        <f>O38</f>
        <v>1238036</v>
      </c>
      <c r="H54" s="864"/>
    </row>
    <row r="55" spans="1:18" ht="13.5" thickBot="1" x14ac:dyDescent="0.25"/>
    <row r="56" spans="1:18" x14ac:dyDescent="0.2">
      <c r="B56" s="830" t="s">
        <v>163</v>
      </c>
      <c r="C56" s="833" t="s">
        <v>164</v>
      </c>
      <c r="D56" s="836" t="s">
        <v>229</v>
      </c>
      <c r="E56" s="837"/>
      <c r="F56" s="838"/>
      <c r="G56" s="839">
        <v>40000</v>
      </c>
      <c r="H56" s="840"/>
    </row>
    <row r="57" spans="1:18" x14ac:dyDescent="0.2">
      <c r="B57" s="831"/>
      <c r="C57" s="834"/>
      <c r="D57" s="841" t="s">
        <v>166</v>
      </c>
      <c r="E57" s="842"/>
      <c r="F57" s="843"/>
      <c r="G57" s="844">
        <f>+O45</f>
        <v>2500</v>
      </c>
      <c r="H57" s="845"/>
      <c r="I57" s="39"/>
      <c r="J57" s="846"/>
      <c r="K57" s="846"/>
      <c r="L57" s="846"/>
      <c r="M57" s="847"/>
      <c r="N57" s="847"/>
      <c r="O57" s="847"/>
    </row>
    <row r="58" spans="1:18" ht="13.5" thickBot="1" x14ac:dyDescent="0.25">
      <c r="B58" s="832"/>
      <c r="C58" s="835"/>
      <c r="D58" s="848" t="s">
        <v>243</v>
      </c>
      <c r="E58" s="849"/>
      <c r="F58" s="850"/>
      <c r="G58" s="851">
        <f>IF(O18&gt;15000,15000,+O18)</f>
        <v>0</v>
      </c>
      <c r="H58" s="852"/>
      <c r="J58" s="47"/>
      <c r="K58" s="47"/>
      <c r="L58" s="47"/>
      <c r="M58" s="47"/>
      <c r="N58" s="47"/>
      <c r="O58" s="47"/>
    </row>
    <row r="59" spans="1:18" ht="13.5" thickBot="1" x14ac:dyDescent="0.25">
      <c r="B59" s="48"/>
      <c r="J59" s="47"/>
      <c r="K59" s="47"/>
      <c r="L59" s="47"/>
      <c r="M59" s="47"/>
      <c r="N59" s="47"/>
      <c r="O59" s="47"/>
    </row>
    <row r="60" spans="1:18" ht="13.5" thickBot="1" x14ac:dyDescent="0.25">
      <c r="B60" s="789" t="s">
        <v>168</v>
      </c>
      <c r="C60" s="790"/>
      <c r="D60" s="790"/>
      <c r="E60" s="790"/>
      <c r="F60" s="791"/>
      <c r="G60" s="825">
        <f>+G54-SUM(G56:H58)</f>
        <v>1195536</v>
      </c>
      <c r="H60" s="826"/>
      <c r="J60" s="827" t="s">
        <v>169</v>
      </c>
      <c r="K60" s="828"/>
      <c r="L60" s="828"/>
      <c r="M60" s="828"/>
      <c r="N60" s="828"/>
      <c r="O60" s="829"/>
    </row>
    <row r="61" spans="1:18" ht="13.5" thickBot="1" x14ac:dyDescent="0.25">
      <c r="B61" s="49"/>
      <c r="C61" s="50"/>
      <c r="D61" s="50"/>
      <c r="E61" s="50"/>
      <c r="F61" s="50"/>
      <c r="G61" s="45"/>
      <c r="H61" s="50"/>
      <c r="J61" s="129"/>
      <c r="K61" s="130"/>
      <c r="L61" s="130"/>
      <c r="M61" s="130"/>
      <c r="N61" s="130"/>
      <c r="O61" s="131"/>
    </row>
    <row r="62" spans="1:18" ht="13.5" thickBot="1" x14ac:dyDescent="0.25">
      <c r="B62" s="789" t="s">
        <v>170</v>
      </c>
      <c r="C62" s="790"/>
      <c r="D62" s="790"/>
      <c r="E62" s="790"/>
      <c r="F62" s="791"/>
      <c r="G62" s="805"/>
      <c r="H62" s="791"/>
      <c r="J62" s="129"/>
      <c r="K62" s="130"/>
      <c r="L62" s="130"/>
      <c r="M62" s="130"/>
      <c r="N62" s="130"/>
      <c r="O62" s="131"/>
    </row>
    <row r="63" spans="1:18" ht="12.75" customHeight="1" x14ac:dyDescent="0.2">
      <c r="B63" s="57" t="s">
        <v>171</v>
      </c>
      <c r="C63" s="806" t="s">
        <v>172</v>
      </c>
      <c r="D63" s="807"/>
      <c r="E63" s="807"/>
      <c r="F63" s="808"/>
      <c r="G63" s="809">
        <v>277205</v>
      </c>
      <c r="H63" s="809"/>
      <c r="I63" s="58"/>
      <c r="J63" s="810" t="s">
        <v>173</v>
      </c>
      <c r="K63" s="811"/>
      <c r="L63" s="811"/>
      <c r="M63" s="811"/>
      <c r="N63" s="811"/>
      <c r="O63" s="812"/>
      <c r="Q63" s="59"/>
      <c r="R63" s="59"/>
    </row>
    <row r="64" spans="1:18" ht="13.5" thickBot="1" x14ac:dyDescent="0.25">
      <c r="D64" s="37"/>
      <c r="I64" s="58"/>
      <c r="J64" s="60" t="s">
        <v>1101</v>
      </c>
      <c r="K64" s="132"/>
      <c r="L64" s="132"/>
      <c r="M64" s="133"/>
      <c r="N64" s="133"/>
      <c r="O64" s="134">
        <v>158877</v>
      </c>
      <c r="Q64" s="59"/>
      <c r="R64" s="59"/>
    </row>
    <row r="65" spans="2:18" ht="13.5" thickBot="1" x14ac:dyDescent="0.25">
      <c r="B65" s="789" t="s">
        <v>175</v>
      </c>
      <c r="C65" s="790"/>
      <c r="D65" s="790"/>
      <c r="E65" s="790"/>
      <c r="F65" s="791"/>
      <c r="G65" s="805">
        <f>+G60-G63</f>
        <v>918331</v>
      </c>
      <c r="H65" s="791"/>
      <c r="I65" s="63"/>
      <c r="J65" s="64"/>
      <c r="K65" s="39"/>
      <c r="L65" s="39"/>
      <c r="M65" s="39"/>
      <c r="N65" s="39"/>
      <c r="O65" s="65">
        <v>87884</v>
      </c>
      <c r="Q65" s="59"/>
      <c r="R65" s="59"/>
    </row>
    <row r="66" spans="2:18" ht="12.75" customHeight="1" x14ac:dyDescent="0.2">
      <c r="B66" s="48"/>
      <c r="C66" s="48"/>
      <c r="I66" s="63"/>
      <c r="J66" s="64"/>
      <c r="K66" s="39"/>
      <c r="L66" s="39"/>
      <c r="M66" s="39"/>
      <c r="N66" s="39"/>
      <c r="O66" s="65"/>
      <c r="Q66" s="59"/>
      <c r="R66" s="59"/>
    </row>
    <row r="67" spans="2:18" x14ac:dyDescent="0.2">
      <c r="B67" s="66" t="s">
        <v>176</v>
      </c>
      <c r="C67" s="48"/>
      <c r="I67" s="63"/>
      <c r="J67" s="67"/>
      <c r="K67" s="68"/>
      <c r="L67" s="68"/>
      <c r="M67" s="68"/>
      <c r="N67" s="68"/>
      <c r="O67" s="69"/>
      <c r="Q67" s="59"/>
      <c r="R67" s="59"/>
    </row>
    <row r="68" spans="2:18" ht="26.25" customHeight="1" thickBot="1" x14ac:dyDescent="0.25">
      <c r="B68" s="66"/>
      <c r="C68" s="48"/>
      <c r="G68" s="70" t="s">
        <v>177</v>
      </c>
      <c r="H68" s="70" t="s">
        <v>178</v>
      </c>
      <c r="I68" s="63"/>
      <c r="J68" s="810" t="s">
        <v>179</v>
      </c>
      <c r="K68" s="811"/>
      <c r="L68" s="71"/>
      <c r="M68" s="71"/>
      <c r="N68" s="71"/>
      <c r="O68" s="72"/>
      <c r="Q68" s="59"/>
      <c r="R68" s="59"/>
    </row>
    <row r="69" spans="2:18" ht="12.75" customHeight="1" x14ac:dyDescent="0.2">
      <c r="B69" s="802" t="s">
        <v>180</v>
      </c>
      <c r="C69" s="821" t="s">
        <v>181</v>
      </c>
      <c r="D69" s="823" t="s">
        <v>182</v>
      </c>
      <c r="E69" s="824"/>
      <c r="F69" s="824"/>
      <c r="G69" s="73">
        <f>+O44</f>
        <v>195000</v>
      </c>
      <c r="H69" s="74">
        <f t="shared" ref="H69:H77" si="5">+G69</f>
        <v>195000</v>
      </c>
      <c r="I69" s="63"/>
      <c r="J69" s="75" t="s">
        <v>1102</v>
      </c>
      <c r="K69" s="58"/>
      <c r="L69" s="58"/>
      <c r="M69" s="58" t="s">
        <v>439</v>
      </c>
      <c r="N69" s="382" t="s">
        <v>1103</v>
      </c>
      <c r="O69" s="76"/>
      <c r="Q69" s="59"/>
      <c r="R69" s="59"/>
    </row>
    <row r="70" spans="2:18" ht="12.75" customHeight="1" x14ac:dyDescent="0.2">
      <c r="B70" s="803"/>
      <c r="C70" s="822"/>
      <c r="D70" s="782" t="s">
        <v>184</v>
      </c>
      <c r="E70" s="783"/>
      <c r="F70" s="783"/>
      <c r="G70" s="77">
        <v>0</v>
      </c>
      <c r="H70" s="78">
        <f t="shared" si="5"/>
        <v>0</v>
      </c>
      <c r="I70" s="63"/>
      <c r="J70" s="79"/>
      <c r="K70" s="68"/>
      <c r="L70" s="68"/>
      <c r="M70" s="68"/>
      <c r="N70" s="383" t="s">
        <v>1104</v>
      </c>
      <c r="O70" s="136"/>
      <c r="P70" s="16" t="s">
        <v>1105</v>
      </c>
      <c r="Q70" s="59"/>
      <c r="R70" s="59"/>
    </row>
    <row r="71" spans="2:18" ht="12.75" customHeight="1" x14ac:dyDescent="0.2">
      <c r="B71" s="803"/>
      <c r="C71" s="822"/>
      <c r="D71" s="819" t="s">
        <v>185</v>
      </c>
      <c r="E71" s="820"/>
      <c r="F71" s="820"/>
      <c r="G71" s="80">
        <f>O41</f>
        <v>720</v>
      </c>
      <c r="H71" s="78">
        <f t="shared" si="5"/>
        <v>720</v>
      </c>
      <c r="I71" s="63"/>
      <c r="J71" s="67"/>
      <c r="K71" s="68"/>
      <c r="L71" s="68"/>
      <c r="M71" s="68"/>
      <c r="N71" s="68"/>
      <c r="O71" s="69"/>
    </row>
    <row r="72" spans="2:18" x14ac:dyDescent="0.2">
      <c r="B72" s="803"/>
      <c r="C72" s="822"/>
      <c r="D72" s="782" t="s">
        <v>186</v>
      </c>
      <c r="E72" s="783"/>
      <c r="F72" s="783"/>
      <c r="G72" s="81">
        <v>0</v>
      </c>
      <c r="H72" s="78">
        <f t="shared" si="5"/>
        <v>0</v>
      </c>
      <c r="I72" s="63"/>
      <c r="J72" s="82" t="s">
        <v>187</v>
      </c>
      <c r="K72" s="71"/>
      <c r="L72" s="71"/>
      <c r="M72" s="71"/>
      <c r="N72" s="71"/>
      <c r="O72" s="72"/>
    </row>
    <row r="73" spans="2:18" ht="12.75" customHeight="1" x14ac:dyDescent="0.2">
      <c r="B73" s="803"/>
      <c r="C73" s="822"/>
      <c r="D73" s="784" t="s">
        <v>188</v>
      </c>
      <c r="E73" s="783"/>
      <c r="F73" s="783"/>
      <c r="G73" s="80">
        <v>0</v>
      </c>
      <c r="H73" s="78">
        <f t="shared" si="5"/>
        <v>0</v>
      </c>
      <c r="I73" s="63"/>
      <c r="J73" s="75" t="s">
        <v>189</v>
      </c>
      <c r="K73" s="50"/>
      <c r="L73" s="50"/>
      <c r="M73" s="50"/>
      <c r="N73" s="50"/>
      <c r="O73" s="83">
        <f>O43</f>
        <v>7800</v>
      </c>
    </row>
    <row r="74" spans="2:18" ht="14.25" customHeight="1" x14ac:dyDescent="0.2">
      <c r="B74" s="803"/>
      <c r="C74" s="822"/>
      <c r="D74" s="782" t="s">
        <v>190</v>
      </c>
      <c r="E74" s="783"/>
      <c r="F74" s="783"/>
      <c r="G74" s="84">
        <v>0</v>
      </c>
      <c r="H74" s="78">
        <f t="shared" si="5"/>
        <v>0</v>
      </c>
      <c r="I74" s="63"/>
      <c r="J74" s="64" t="s">
        <v>1106</v>
      </c>
      <c r="K74" s="39"/>
      <c r="L74" s="39"/>
      <c r="M74" s="39"/>
      <c r="N74" s="39"/>
      <c r="O74" s="65">
        <v>25000</v>
      </c>
    </row>
    <row r="75" spans="2:18" x14ac:dyDescent="0.2">
      <c r="B75" s="803"/>
      <c r="C75" s="822"/>
      <c r="D75" s="782" t="s">
        <v>191</v>
      </c>
      <c r="E75" s="783"/>
      <c r="F75" s="783"/>
      <c r="G75" s="81">
        <v>69573</v>
      </c>
      <c r="H75" s="78">
        <f t="shared" si="5"/>
        <v>69573</v>
      </c>
      <c r="I75" s="58"/>
      <c r="J75" s="150" t="s">
        <v>1107</v>
      </c>
      <c r="K75" s="50"/>
      <c r="L75" s="50"/>
      <c r="M75" s="50"/>
      <c r="N75" s="50"/>
      <c r="O75" s="83"/>
    </row>
    <row r="76" spans="2:18" x14ac:dyDescent="0.2">
      <c r="B76" s="803"/>
      <c r="C76" s="88" t="s">
        <v>192</v>
      </c>
      <c r="D76" s="813" t="s">
        <v>193</v>
      </c>
      <c r="E76" s="814"/>
      <c r="F76" s="814"/>
      <c r="G76" s="80">
        <v>0</v>
      </c>
      <c r="H76" s="78">
        <f t="shared" si="5"/>
        <v>0</v>
      </c>
      <c r="I76" s="58"/>
      <c r="J76" s="79"/>
      <c r="K76" s="39"/>
      <c r="L76" s="39"/>
      <c r="M76" s="39"/>
      <c r="N76" s="39"/>
      <c r="O76" s="65"/>
    </row>
    <row r="77" spans="2:18" ht="13.5" customHeight="1" thickBot="1" x14ac:dyDescent="0.25">
      <c r="B77" s="803"/>
      <c r="C77" s="88" t="s">
        <v>194</v>
      </c>
      <c r="D77" s="815" t="s">
        <v>195</v>
      </c>
      <c r="E77" s="815"/>
      <c r="F77" s="815"/>
      <c r="G77" s="89">
        <v>0</v>
      </c>
      <c r="H77" s="90">
        <f t="shared" si="5"/>
        <v>0</v>
      </c>
      <c r="I77" s="63"/>
      <c r="J77" s="67"/>
      <c r="K77" s="68"/>
      <c r="L77" s="68"/>
      <c r="M77" s="91"/>
      <c r="N77" s="91"/>
      <c r="O77" s="92"/>
    </row>
    <row r="78" spans="2:18" ht="13.5" thickBot="1" x14ac:dyDescent="0.25">
      <c r="B78" s="803"/>
      <c r="C78" s="93"/>
      <c r="D78" s="94"/>
      <c r="E78" s="816" t="s">
        <v>117</v>
      </c>
      <c r="F78" s="817"/>
      <c r="G78" s="95">
        <f>SUM(G69:G77)</f>
        <v>265293</v>
      </c>
      <c r="H78" s="96">
        <f>IF(SUM(G69:G75)&lt;150000,SUM(G69:G75),150000)+IF(+G76&lt;20000,+G76,20000)</f>
        <v>150000</v>
      </c>
      <c r="I78" s="63"/>
      <c r="J78" s="140"/>
      <c r="K78" s="141"/>
      <c r="L78" s="141"/>
      <c r="M78" s="142"/>
      <c r="N78" s="142"/>
      <c r="O78" s="143"/>
    </row>
    <row r="79" spans="2:18" ht="12.75" customHeight="1" x14ac:dyDescent="0.2">
      <c r="B79" s="803"/>
      <c r="C79" s="100" t="s">
        <v>196</v>
      </c>
      <c r="D79" s="782" t="s">
        <v>187</v>
      </c>
      <c r="E79" s="783"/>
      <c r="F79" s="818"/>
      <c r="G79" s="73">
        <f>+O43+O74</f>
        <v>32800</v>
      </c>
      <c r="H79" s="101">
        <f>+IF(+G79&lt;25000,+G79,25000)</f>
        <v>25000</v>
      </c>
      <c r="I79" s="87"/>
    </row>
    <row r="80" spans="2:18" x14ac:dyDescent="0.2">
      <c r="B80" s="803"/>
      <c r="C80" s="100" t="s">
        <v>197</v>
      </c>
      <c r="D80" s="784" t="s">
        <v>198</v>
      </c>
      <c r="E80" s="785"/>
      <c r="F80" s="786"/>
      <c r="G80" s="102"/>
      <c r="H80" s="103">
        <f>+IF(+G80&lt;40000,+G80,40000)</f>
        <v>0</v>
      </c>
      <c r="I80" s="63"/>
    </row>
    <row r="81" spans="2:12" x14ac:dyDescent="0.2">
      <c r="B81" s="803"/>
      <c r="C81" s="100" t="s">
        <v>199</v>
      </c>
      <c r="D81" s="784" t="s">
        <v>200</v>
      </c>
      <c r="E81" s="785"/>
      <c r="F81" s="786"/>
      <c r="G81" s="81"/>
      <c r="H81" s="104">
        <v>0</v>
      </c>
      <c r="I81" s="63"/>
      <c r="J81" s="106"/>
    </row>
    <row r="82" spans="2:12" x14ac:dyDescent="0.2">
      <c r="B82" s="803"/>
      <c r="C82" s="100" t="s">
        <v>201</v>
      </c>
      <c r="D82" s="784" t="s">
        <v>202</v>
      </c>
      <c r="E82" s="785"/>
      <c r="F82" s="786"/>
      <c r="G82" s="81"/>
      <c r="H82" s="104">
        <v>0</v>
      </c>
      <c r="I82" s="63"/>
    </row>
    <row r="83" spans="2:12" ht="13.5" thickBot="1" x14ac:dyDescent="0.25">
      <c r="B83" s="804"/>
      <c r="C83" s="100" t="s">
        <v>203</v>
      </c>
      <c r="D83" s="784" t="s">
        <v>204</v>
      </c>
      <c r="E83" s="785"/>
      <c r="F83" s="786"/>
      <c r="G83" s="102"/>
      <c r="H83" s="103">
        <f>+IF(+G83&lt;100000,+G83,10000)</f>
        <v>0</v>
      </c>
      <c r="I83" s="63"/>
    </row>
    <row r="84" spans="2:12" ht="13.5" thickBot="1" x14ac:dyDescent="0.25">
      <c r="B84" s="787" t="s">
        <v>205</v>
      </c>
      <c r="C84" s="788"/>
      <c r="D84" s="788"/>
      <c r="E84" s="788"/>
      <c r="F84" s="788"/>
      <c r="G84" s="107">
        <f>SUM(G79:G83)</f>
        <v>32800</v>
      </c>
      <c r="H84" s="108">
        <f>SUM(H78:H83)</f>
        <v>175000</v>
      </c>
    </row>
    <row r="85" spans="2:12" ht="13.5" thickBot="1" x14ac:dyDescent="0.25"/>
    <row r="86" spans="2:12" ht="13.5" thickBot="1" x14ac:dyDescent="0.25">
      <c r="B86" s="789" t="s">
        <v>206</v>
      </c>
      <c r="C86" s="790"/>
      <c r="D86" s="790"/>
      <c r="E86" s="790"/>
      <c r="F86" s="791"/>
      <c r="G86" s="792">
        <f>+G65-H84</f>
        <v>743331</v>
      </c>
      <c r="H86" s="791"/>
      <c r="J86" s="109"/>
      <c r="K86" s="16" t="s">
        <v>235</v>
      </c>
    </row>
    <row r="87" spans="2:12" x14ac:dyDescent="0.2">
      <c r="B87" s="110"/>
      <c r="F87" s="105"/>
      <c r="J87" s="109"/>
      <c r="K87" s="16" t="s">
        <v>236</v>
      </c>
    </row>
    <row r="88" spans="2:12" x14ac:dyDescent="0.2">
      <c r="C88" s="793" t="s">
        <v>207</v>
      </c>
      <c r="D88" s="794"/>
      <c r="E88" s="111" t="s">
        <v>208</v>
      </c>
      <c r="F88" s="111" t="s">
        <v>209</v>
      </c>
      <c r="G88" s="111" t="s">
        <v>210</v>
      </c>
      <c r="H88" s="111" t="s">
        <v>211</v>
      </c>
      <c r="J88" s="206"/>
      <c r="K88" s="47" t="s">
        <v>237</v>
      </c>
    </row>
    <row r="89" spans="2:12" x14ac:dyDescent="0.2">
      <c r="C89" s="795" t="str">
        <f>IF(I6="M","0          - 250000","0          -  250000")</f>
        <v>0          - 250000</v>
      </c>
      <c r="D89" s="796"/>
      <c r="E89" s="112">
        <v>0</v>
      </c>
      <c r="F89" s="113">
        <f>IF(I6="M",(IF(G86&lt;250000,G86,250000)),(IF(G86&lt;250000,G86,250000)))</f>
        <v>250000</v>
      </c>
      <c r="G89" s="113">
        <f>G86-F89</f>
        <v>493331</v>
      </c>
      <c r="H89" s="113">
        <f>E89*F89</f>
        <v>0</v>
      </c>
      <c r="J89" s="207"/>
      <c r="K89" s="1" t="s">
        <v>238</v>
      </c>
    </row>
    <row r="90" spans="2:12" x14ac:dyDescent="0.2">
      <c r="C90" s="795" t="str">
        <f>IF(I6="M","250001 - 500000","250001-500000")</f>
        <v>250001 - 500000</v>
      </c>
      <c r="D90" s="796"/>
      <c r="E90" s="112">
        <v>0.05</v>
      </c>
      <c r="F90" s="113">
        <f>IF(I6="M",(IF(G89&lt;250000,G89,250000)),(IF(G89&lt;250000,G89,250000)))</f>
        <v>250000</v>
      </c>
      <c r="G90" s="113">
        <f>G89-F90</f>
        <v>243331</v>
      </c>
      <c r="H90" s="114">
        <f>ROUND(E90*F90,0.1)</f>
        <v>12500</v>
      </c>
      <c r="J90" s="115"/>
    </row>
    <row r="91" spans="2:12" x14ac:dyDescent="0.2">
      <c r="C91" s="797" t="s">
        <v>212</v>
      </c>
      <c r="D91" s="798"/>
      <c r="E91" s="112">
        <v>0.2</v>
      </c>
      <c r="F91" s="113">
        <f>IF(G90&lt;500000,G90,500000)</f>
        <v>243331</v>
      </c>
      <c r="G91" s="113">
        <f>G90-F91</f>
        <v>0</v>
      </c>
      <c r="H91" s="114">
        <f>ROUND(E91*F91,0.1)</f>
        <v>48666</v>
      </c>
    </row>
    <row r="92" spans="2:12" x14ac:dyDescent="0.2">
      <c r="C92" s="795" t="s">
        <v>213</v>
      </c>
      <c r="D92" s="796"/>
      <c r="E92" s="112">
        <v>0.3</v>
      </c>
      <c r="F92" s="113">
        <f>G91</f>
        <v>0</v>
      </c>
      <c r="G92" s="113">
        <f>G91-F92</f>
        <v>0</v>
      </c>
      <c r="H92" s="114">
        <f>ROUND(E92*F92,0.1)</f>
        <v>0</v>
      </c>
    </row>
    <row r="93" spans="2:12" ht="12.75" customHeight="1" thickBot="1" x14ac:dyDescent="0.25">
      <c r="B93" s="116"/>
      <c r="C93" s="117"/>
      <c r="D93" s="47"/>
      <c r="E93" s="47"/>
      <c r="F93" s="47"/>
    </row>
    <row r="94" spans="2:12" ht="13.5" thickBot="1" x14ac:dyDescent="0.25">
      <c r="B94" s="799" t="s">
        <v>239</v>
      </c>
      <c r="C94" s="800"/>
      <c r="D94" s="800"/>
      <c r="E94" s="800"/>
      <c r="F94" s="801"/>
      <c r="G94" s="771">
        <f>H89+H90+H91+H92</f>
        <v>61166</v>
      </c>
      <c r="H94" s="772"/>
    </row>
    <row r="95" spans="2:12" ht="13.5" thickBot="1" x14ac:dyDescent="0.25">
      <c r="B95" s="119" t="s">
        <v>215</v>
      </c>
      <c r="C95" s="120"/>
      <c r="D95" s="120"/>
      <c r="E95" s="120"/>
      <c r="F95" s="120"/>
      <c r="G95" s="884">
        <f>IF((G65&lt;500000),5000,0)</f>
        <v>0</v>
      </c>
      <c r="H95" s="885">
        <f>IF(H93&lt;200000,0,IF(H93&lt;220000,((H93-200000)*10%),IF(H93&lt;=500000,2000,IF(H93&gt;=500000,0))))</f>
        <v>0</v>
      </c>
      <c r="J95" s="1"/>
      <c r="K95" s="121"/>
      <c r="L95" s="121"/>
    </row>
    <row r="96" spans="2:12" ht="13.5" thickBot="1" x14ac:dyDescent="0.25">
      <c r="B96" s="122" t="s">
        <v>216</v>
      </c>
      <c r="C96" s="123"/>
      <c r="D96" s="123"/>
      <c r="E96" s="123"/>
      <c r="F96" s="123"/>
      <c r="G96" s="771">
        <f>IF((G94-G95)&lt;0,0,(G94-G95))</f>
        <v>61166</v>
      </c>
      <c r="H96" s="772"/>
      <c r="I96" s="37"/>
    </row>
    <row r="97" spans="2:9" ht="13.5" thickBot="1" x14ac:dyDescent="0.25">
      <c r="B97" s="773" t="s">
        <v>240</v>
      </c>
      <c r="C97" s="774"/>
      <c r="D97" s="774"/>
      <c r="E97" s="774"/>
      <c r="F97" s="775"/>
      <c r="G97" s="776">
        <f>ROUND((IF(G96&gt;0,(G96*4%),0)),0)</f>
        <v>2447</v>
      </c>
      <c r="H97" s="777"/>
      <c r="I97" s="37"/>
    </row>
    <row r="98" spans="2:9" ht="13.5" thickBot="1" x14ac:dyDescent="0.25">
      <c r="B98" s="778" t="s">
        <v>218</v>
      </c>
      <c r="C98" s="779"/>
      <c r="D98" s="779"/>
      <c r="E98" s="779"/>
      <c r="F98" s="779"/>
      <c r="G98" s="780">
        <f>G96+G97</f>
        <v>63613</v>
      </c>
      <c r="H98" s="781"/>
      <c r="I98" s="121"/>
    </row>
    <row r="99" spans="2:9" ht="13.5" thickBot="1" x14ac:dyDescent="0.25">
      <c r="B99" s="765" t="s">
        <v>219</v>
      </c>
      <c r="C99" s="766"/>
      <c r="D99" s="766"/>
      <c r="E99" s="766"/>
      <c r="F99" s="766"/>
      <c r="G99" s="767">
        <f>O39</f>
        <v>63624</v>
      </c>
      <c r="H99" s="768"/>
      <c r="I99" s="121"/>
    </row>
    <row r="100" spans="2:9" ht="13.5" thickBot="1" x14ac:dyDescent="0.25">
      <c r="B100" s="765" t="str">
        <f>IF(G100&gt;0,"TAX PAYABLE","TAX REFUND")</f>
        <v>TAX REFUND</v>
      </c>
      <c r="C100" s="766"/>
      <c r="D100" s="766"/>
      <c r="E100" s="766"/>
      <c r="F100" s="766"/>
      <c r="G100" s="767">
        <f>+G98-G99</f>
        <v>-11</v>
      </c>
      <c r="H100" s="768"/>
      <c r="I100" s="37"/>
    </row>
    <row r="101" spans="2:9" x14ac:dyDescent="0.2">
      <c r="C101" s="124"/>
      <c r="D101" s="45"/>
      <c r="E101" s="118"/>
      <c r="F101" s="118"/>
      <c r="G101" s="118"/>
      <c r="H101" s="118"/>
      <c r="I101" s="125"/>
    </row>
    <row r="102" spans="2:9" x14ac:dyDescent="0.2">
      <c r="C102" s="47"/>
      <c r="D102" s="50"/>
      <c r="E102" s="117"/>
      <c r="F102" s="47"/>
      <c r="G102" s="47"/>
      <c r="H102" s="47"/>
      <c r="I102" s="125"/>
    </row>
    <row r="103" spans="2:9" x14ac:dyDescent="0.2">
      <c r="C103" s="39"/>
      <c r="D103" s="126"/>
      <c r="E103" s="126"/>
      <c r="F103" s="126"/>
      <c r="G103" s="39"/>
      <c r="H103" s="39"/>
      <c r="I103" s="37"/>
    </row>
    <row r="104" spans="2:9" x14ac:dyDescent="0.2">
      <c r="C104" s="39"/>
      <c r="D104" s="126"/>
      <c r="E104" s="126"/>
      <c r="F104" s="39"/>
      <c r="G104" s="39"/>
      <c r="H104" s="39"/>
      <c r="I104" s="37"/>
    </row>
    <row r="105" spans="2:9" x14ac:dyDescent="0.2">
      <c r="C105" s="39"/>
      <c r="D105" s="126"/>
      <c r="E105" s="126"/>
      <c r="F105" s="39"/>
      <c r="G105" s="39"/>
      <c r="H105" s="39"/>
      <c r="I105" s="37"/>
    </row>
    <row r="106" spans="2:9" x14ac:dyDescent="0.2">
      <c r="C106" s="39"/>
      <c r="D106" s="39"/>
      <c r="E106" s="39"/>
      <c r="F106" s="39"/>
      <c r="G106" s="39"/>
      <c r="H106" s="39"/>
      <c r="I106" s="37"/>
    </row>
    <row r="107" spans="2:9" x14ac:dyDescent="0.2">
      <c r="C107" s="39"/>
      <c r="D107" s="39"/>
      <c r="E107" s="39"/>
      <c r="F107" s="39"/>
      <c r="G107" s="39"/>
      <c r="H107" s="39"/>
    </row>
    <row r="108" spans="2:9" x14ac:dyDescent="0.2">
      <c r="C108" s="39"/>
      <c r="D108" s="39"/>
      <c r="E108" s="39"/>
      <c r="F108" s="39"/>
      <c r="G108" s="39"/>
      <c r="H108"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7:B37"/>
    <mergeCell ref="A5:C5"/>
    <mergeCell ref="D5:F5"/>
    <mergeCell ref="G5:H5"/>
    <mergeCell ref="I5:O5"/>
    <mergeCell ref="A6:C6"/>
    <mergeCell ref="D6:F6"/>
    <mergeCell ref="G6:H6"/>
    <mergeCell ref="J6:O6"/>
    <mergeCell ref="L7:O7"/>
    <mergeCell ref="A8:B8"/>
    <mergeCell ref="A21:A33"/>
    <mergeCell ref="A34:B34"/>
    <mergeCell ref="A36:B36"/>
    <mergeCell ref="A39:A49"/>
    <mergeCell ref="A50:B50"/>
    <mergeCell ref="A51:B51"/>
    <mergeCell ref="B54:F54"/>
    <mergeCell ref="G54:H54"/>
    <mergeCell ref="B60:F60"/>
    <mergeCell ref="G60:H60"/>
    <mergeCell ref="J60:O60"/>
    <mergeCell ref="B56:B58"/>
    <mergeCell ref="C56:C58"/>
    <mergeCell ref="D56:F56"/>
    <mergeCell ref="G56:H56"/>
    <mergeCell ref="D57:F57"/>
    <mergeCell ref="G57:H57"/>
    <mergeCell ref="J57:L57"/>
    <mergeCell ref="M57:O57"/>
    <mergeCell ref="D58:F58"/>
    <mergeCell ref="G58:H58"/>
    <mergeCell ref="J63:O63"/>
    <mergeCell ref="D81:F81"/>
    <mergeCell ref="J68:K68"/>
    <mergeCell ref="B65:F65"/>
    <mergeCell ref="G65:H65"/>
    <mergeCell ref="D76:F76"/>
    <mergeCell ref="D77:F77"/>
    <mergeCell ref="E78:F78"/>
    <mergeCell ref="D79:F79"/>
    <mergeCell ref="D80:F80"/>
    <mergeCell ref="D71:F71"/>
    <mergeCell ref="D72:F72"/>
    <mergeCell ref="C69:C75"/>
    <mergeCell ref="D69:F69"/>
    <mergeCell ref="D70:F70"/>
    <mergeCell ref="D74:F74"/>
    <mergeCell ref="G62:H62"/>
    <mergeCell ref="C63:F63"/>
    <mergeCell ref="G63:H63"/>
    <mergeCell ref="B62:F62"/>
    <mergeCell ref="D73:F73"/>
    <mergeCell ref="D75:F75"/>
    <mergeCell ref="G94:H94"/>
    <mergeCell ref="D82:F82"/>
    <mergeCell ref="D83:F83"/>
    <mergeCell ref="B84:F84"/>
    <mergeCell ref="B86:F86"/>
    <mergeCell ref="G86:H86"/>
    <mergeCell ref="C88:D88"/>
    <mergeCell ref="C89:D89"/>
    <mergeCell ref="C90:D90"/>
    <mergeCell ref="C91:D91"/>
    <mergeCell ref="C92:D92"/>
    <mergeCell ref="B94:F94"/>
    <mergeCell ref="B69:B83"/>
    <mergeCell ref="B100:F100"/>
    <mergeCell ref="G100:H100"/>
    <mergeCell ref="G95:H95"/>
    <mergeCell ref="G96:H96"/>
    <mergeCell ref="B97:F97"/>
    <mergeCell ref="G97:H97"/>
    <mergeCell ref="B98:F98"/>
    <mergeCell ref="G98:H98"/>
    <mergeCell ref="B99:F99"/>
    <mergeCell ref="G99:H99"/>
  </mergeCells>
  <conditionalFormatting sqref="B91:F91 B100:F100 B94:F98">
    <cfRule type="cellIs" dxfId="417" priority="3" stopIfTrue="1" operator="equal">
      <formula>"TAX PAYABLE"</formula>
    </cfRule>
    <cfRule type="cellIs" dxfId="416" priority="4" stopIfTrue="1" operator="equal">
      <formula>"TAX REFUND"</formula>
    </cfRule>
  </conditionalFormatting>
  <conditionalFormatting sqref="G91:H91">
    <cfRule type="cellIs" dxfId="415" priority="5" stopIfTrue="1" operator="lessThan">
      <formula>0</formula>
    </cfRule>
    <cfRule type="cellIs" dxfId="414" priority="6" stopIfTrue="1" operator="greaterThan">
      <formula>0</formula>
    </cfRule>
  </conditionalFormatting>
  <conditionalFormatting sqref="G100:H100">
    <cfRule type="cellIs" dxfId="413" priority="1" stopIfTrue="1" operator="greaterThan">
      <formula>0</formula>
    </cfRule>
    <cfRule type="cellIs" dxfId="412"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worksheet>
</file>

<file path=xl/worksheets/sheet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107"/>
  <sheetViews>
    <sheetView topLeftCell="A61" workbookViewId="0">
      <selection activeCell="O37" sqref="O37"/>
    </sheetView>
  </sheetViews>
  <sheetFormatPr defaultRowHeight="12.75" x14ac:dyDescent="0.2"/>
  <cols>
    <col min="1" max="1" width="5" style="16" customWidth="1"/>
    <col min="2" max="2" width="17.85546875" style="37" customWidth="1"/>
    <col min="3" max="3" width="11.140625" style="16" bestFit="1" customWidth="1"/>
    <col min="4" max="4" width="6.7109375" style="16" bestFit="1" customWidth="1"/>
    <col min="5" max="5" width="8.5703125" style="16" bestFit="1" customWidth="1"/>
    <col min="6" max="6" width="8.7109375" style="16" customWidth="1"/>
    <col min="7" max="8" width="8.42578125" style="16" customWidth="1"/>
    <col min="9" max="9" width="7.140625" style="16" bestFit="1" customWidth="1"/>
    <col min="10" max="10" width="9" style="16" customWidth="1"/>
    <col min="11" max="12" width="7" style="16" bestFit="1" customWidth="1"/>
    <col min="13" max="13" width="6.85546875" style="16" bestFit="1" customWidth="1"/>
    <col min="14" max="14" width="7" style="16" bestFit="1" customWidth="1"/>
    <col min="15" max="15" width="8.140625" style="16" bestFit="1" customWidth="1"/>
    <col min="16" max="20" width="9.140625" style="16"/>
    <col min="21" max="21" width="12.42578125" style="16" customWidth="1"/>
    <col min="22" max="22" width="9.140625" style="16"/>
    <col min="23" max="23" width="12" style="16" customWidth="1"/>
    <col min="24" max="256" width="9.140625" style="16"/>
    <col min="257" max="257" width="5" style="16" customWidth="1"/>
    <col min="258" max="258" width="17.85546875" style="16" customWidth="1"/>
    <col min="259" max="259" width="11.140625" style="16" bestFit="1" customWidth="1"/>
    <col min="260" max="260" width="6.7109375" style="16" bestFit="1" customWidth="1"/>
    <col min="261" max="261" width="8.5703125" style="16" bestFit="1" customWidth="1"/>
    <col min="262" max="262" width="8.7109375" style="16" customWidth="1"/>
    <col min="263" max="264" width="8.42578125" style="16" customWidth="1"/>
    <col min="265" max="265" width="7.140625" style="16" bestFit="1" customWidth="1"/>
    <col min="266" max="266" width="9" style="16" customWidth="1"/>
    <col min="267" max="268" width="7" style="16" bestFit="1" customWidth="1"/>
    <col min="269" max="269" width="6.85546875" style="16" bestFit="1" customWidth="1"/>
    <col min="270" max="270" width="7" style="16" bestFit="1" customWidth="1"/>
    <col min="271" max="271" width="8.140625" style="16" bestFit="1" customWidth="1"/>
    <col min="272" max="276" width="9.140625" style="16"/>
    <col min="277" max="277" width="12.42578125" style="16" customWidth="1"/>
    <col min="278" max="278" width="9.140625" style="16"/>
    <col min="279" max="279" width="12" style="16" customWidth="1"/>
    <col min="280" max="512" width="9.140625" style="16"/>
    <col min="513" max="513" width="5" style="16" customWidth="1"/>
    <col min="514" max="514" width="17.85546875" style="16" customWidth="1"/>
    <col min="515" max="515" width="11.140625" style="16" bestFit="1" customWidth="1"/>
    <col min="516" max="516" width="6.7109375" style="16" bestFit="1" customWidth="1"/>
    <col min="517" max="517" width="8.5703125" style="16" bestFit="1" customWidth="1"/>
    <col min="518" max="518" width="8.7109375" style="16" customWidth="1"/>
    <col min="519" max="520" width="8.42578125" style="16" customWidth="1"/>
    <col min="521" max="521" width="7.140625" style="16" bestFit="1" customWidth="1"/>
    <col min="522" max="522" width="9" style="16" customWidth="1"/>
    <col min="523" max="524" width="7" style="16" bestFit="1" customWidth="1"/>
    <col min="525" max="525" width="6.85546875" style="16" bestFit="1" customWidth="1"/>
    <col min="526" max="526" width="7" style="16" bestFit="1" customWidth="1"/>
    <col min="527" max="527" width="8.140625" style="16" bestFit="1" customWidth="1"/>
    <col min="528" max="532" width="9.140625" style="16"/>
    <col min="533" max="533" width="12.42578125" style="16" customWidth="1"/>
    <col min="534" max="534" width="9.140625" style="16"/>
    <col min="535" max="535" width="12" style="16" customWidth="1"/>
    <col min="536" max="768" width="9.140625" style="16"/>
    <col min="769" max="769" width="5" style="16" customWidth="1"/>
    <col min="770" max="770" width="17.85546875" style="16" customWidth="1"/>
    <col min="771" max="771" width="11.140625" style="16" bestFit="1" customWidth="1"/>
    <col min="772" max="772" width="6.7109375" style="16" bestFit="1" customWidth="1"/>
    <col min="773" max="773" width="8.5703125" style="16" bestFit="1" customWidth="1"/>
    <col min="774" max="774" width="8.7109375" style="16" customWidth="1"/>
    <col min="775" max="776" width="8.42578125" style="16" customWidth="1"/>
    <col min="777" max="777" width="7.140625" style="16" bestFit="1" customWidth="1"/>
    <col min="778" max="778" width="9" style="16" customWidth="1"/>
    <col min="779" max="780" width="7" style="16" bestFit="1" customWidth="1"/>
    <col min="781" max="781" width="6.85546875" style="16" bestFit="1" customWidth="1"/>
    <col min="782" max="782" width="7" style="16" bestFit="1" customWidth="1"/>
    <col min="783" max="783" width="8.140625" style="16" bestFit="1" customWidth="1"/>
    <col min="784" max="788" width="9.140625" style="16"/>
    <col min="789" max="789" width="12.42578125" style="16" customWidth="1"/>
    <col min="790" max="790" width="9.140625" style="16"/>
    <col min="791" max="791" width="12" style="16" customWidth="1"/>
    <col min="792" max="1024" width="9.140625" style="16"/>
    <col min="1025" max="1025" width="5" style="16" customWidth="1"/>
    <col min="1026" max="1026" width="17.85546875" style="16" customWidth="1"/>
    <col min="1027" max="1027" width="11.140625" style="16" bestFit="1" customWidth="1"/>
    <col min="1028" max="1028" width="6.7109375" style="16" bestFit="1" customWidth="1"/>
    <col min="1029" max="1029" width="8.5703125" style="16" bestFit="1" customWidth="1"/>
    <col min="1030" max="1030" width="8.7109375" style="16" customWidth="1"/>
    <col min="1031" max="1032" width="8.42578125" style="16" customWidth="1"/>
    <col min="1033" max="1033" width="7.140625" style="16" bestFit="1" customWidth="1"/>
    <col min="1034" max="1034" width="9" style="16" customWidth="1"/>
    <col min="1035" max="1036" width="7" style="16" bestFit="1" customWidth="1"/>
    <col min="1037" max="1037" width="6.85546875" style="16" bestFit="1" customWidth="1"/>
    <col min="1038" max="1038" width="7" style="16" bestFit="1" customWidth="1"/>
    <col min="1039" max="1039" width="8.140625" style="16" bestFit="1" customWidth="1"/>
    <col min="1040" max="1044" width="9.140625" style="16"/>
    <col min="1045" max="1045" width="12.42578125" style="16" customWidth="1"/>
    <col min="1046" max="1046" width="9.140625" style="16"/>
    <col min="1047" max="1047" width="12" style="16" customWidth="1"/>
    <col min="1048" max="1280" width="9.140625" style="16"/>
    <col min="1281" max="1281" width="5" style="16" customWidth="1"/>
    <col min="1282" max="1282" width="17.85546875" style="16" customWidth="1"/>
    <col min="1283" max="1283" width="11.140625" style="16" bestFit="1" customWidth="1"/>
    <col min="1284" max="1284" width="6.7109375" style="16" bestFit="1" customWidth="1"/>
    <col min="1285" max="1285" width="8.5703125" style="16" bestFit="1" customWidth="1"/>
    <col min="1286" max="1286" width="8.7109375" style="16" customWidth="1"/>
    <col min="1287" max="1288" width="8.42578125" style="16" customWidth="1"/>
    <col min="1289" max="1289" width="7.140625" style="16" bestFit="1" customWidth="1"/>
    <col min="1290" max="1290" width="9" style="16" customWidth="1"/>
    <col min="1291" max="1292" width="7" style="16" bestFit="1" customWidth="1"/>
    <col min="1293" max="1293" width="6.85546875" style="16" bestFit="1" customWidth="1"/>
    <col min="1294" max="1294" width="7" style="16" bestFit="1" customWidth="1"/>
    <col min="1295" max="1295" width="8.140625" style="16" bestFit="1" customWidth="1"/>
    <col min="1296" max="1300" width="9.140625" style="16"/>
    <col min="1301" max="1301" width="12.42578125" style="16" customWidth="1"/>
    <col min="1302" max="1302" width="9.140625" style="16"/>
    <col min="1303" max="1303" width="12" style="16" customWidth="1"/>
    <col min="1304" max="1536" width="9.140625" style="16"/>
    <col min="1537" max="1537" width="5" style="16" customWidth="1"/>
    <col min="1538" max="1538" width="17.85546875" style="16" customWidth="1"/>
    <col min="1539" max="1539" width="11.140625" style="16" bestFit="1" customWidth="1"/>
    <col min="1540" max="1540" width="6.7109375" style="16" bestFit="1" customWidth="1"/>
    <col min="1541" max="1541" width="8.5703125" style="16" bestFit="1" customWidth="1"/>
    <col min="1542" max="1542" width="8.7109375" style="16" customWidth="1"/>
    <col min="1543" max="1544" width="8.42578125" style="16" customWidth="1"/>
    <col min="1545" max="1545" width="7.140625" style="16" bestFit="1" customWidth="1"/>
    <col min="1546" max="1546" width="9" style="16" customWidth="1"/>
    <col min="1547" max="1548" width="7" style="16" bestFit="1" customWidth="1"/>
    <col min="1549" max="1549" width="6.85546875" style="16" bestFit="1" customWidth="1"/>
    <col min="1550" max="1550" width="7" style="16" bestFit="1" customWidth="1"/>
    <col min="1551" max="1551" width="8.140625" style="16" bestFit="1" customWidth="1"/>
    <col min="1552" max="1556" width="9.140625" style="16"/>
    <col min="1557" max="1557" width="12.42578125" style="16" customWidth="1"/>
    <col min="1558" max="1558" width="9.140625" style="16"/>
    <col min="1559" max="1559" width="12" style="16" customWidth="1"/>
    <col min="1560" max="1792" width="9.140625" style="16"/>
    <col min="1793" max="1793" width="5" style="16" customWidth="1"/>
    <col min="1794" max="1794" width="17.85546875" style="16" customWidth="1"/>
    <col min="1795" max="1795" width="11.140625" style="16" bestFit="1" customWidth="1"/>
    <col min="1796" max="1796" width="6.7109375" style="16" bestFit="1" customWidth="1"/>
    <col min="1797" max="1797" width="8.5703125" style="16" bestFit="1" customWidth="1"/>
    <col min="1798" max="1798" width="8.7109375" style="16" customWidth="1"/>
    <col min="1799" max="1800" width="8.42578125" style="16" customWidth="1"/>
    <col min="1801" max="1801" width="7.140625" style="16" bestFit="1" customWidth="1"/>
    <col min="1802" max="1802" width="9" style="16" customWidth="1"/>
    <col min="1803" max="1804" width="7" style="16" bestFit="1" customWidth="1"/>
    <col min="1805" max="1805" width="6.85546875" style="16" bestFit="1" customWidth="1"/>
    <col min="1806" max="1806" width="7" style="16" bestFit="1" customWidth="1"/>
    <col min="1807" max="1807" width="8.140625" style="16" bestFit="1" customWidth="1"/>
    <col min="1808" max="1812" width="9.140625" style="16"/>
    <col min="1813" max="1813" width="12.42578125" style="16" customWidth="1"/>
    <col min="1814" max="1814" width="9.140625" style="16"/>
    <col min="1815" max="1815" width="12" style="16" customWidth="1"/>
    <col min="1816" max="2048" width="9.140625" style="16"/>
    <col min="2049" max="2049" width="5" style="16" customWidth="1"/>
    <col min="2050" max="2050" width="17.85546875" style="16" customWidth="1"/>
    <col min="2051" max="2051" width="11.140625" style="16" bestFit="1" customWidth="1"/>
    <col min="2052" max="2052" width="6.7109375" style="16" bestFit="1" customWidth="1"/>
    <col min="2053" max="2053" width="8.5703125" style="16" bestFit="1" customWidth="1"/>
    <col min="2054" max="2054" width="8.7109375" style="16" customWidth="1"/>
    <col min="2055" max="2056" width="8.42578125" style="16" customWidth="1"/>
    <col min="2057" max="2057" width="7.140625" style="16" bestFit="1" customWidth="1"/>
    <col min="2058" max="2058" width="9" style="16" customWidth="1"/>
    <col min="2059" max="2060" width="7" style="16" bestFit="1" customWidth="1"/>
    <col min="2061" max="2061" width="6.85546875" style="16" bestFit="1" customWidth="1"/>
    <col min="2062" max="2062" width="7" style="16" bestFit="1" customWidth="1"/>
    <col min="2063" max="2063" width="8.140625" style="16" bestFit="1" customWidth="1"/>
    <col min="2064" max="2068" width="9.140625" style="16"/>
    <col min="2069" max="2069" width="12.42578125" style="16" customWidth="1"/>
    <col min="2070" max="2070" width="9.140625" style="16"/>
    <col min="2071" max="2071" width="12" style="16" customWidth="1"/>
    <col min="2072" max="2304" width="9.140625" style="16"/>
    <col min="2305" max="2305" width="5" style="16" customWidth="1"/>
    <col min="2306" max="2306" width="17.85546875" style="16" customWidth="1"/>
    <col min="2307" max="2307" width="11.140625" style="16" bestFit="1" customWidth="1"/>
    <col min="2308" max="2308" width="6.7109375" style="16" bestFit="1" customWidth="1"/>
    <col min="2309" max="2309" width="8.5703125" style="16" bestFit="1" customWidth="1"/>
    <col min="2310" max="2310" width="8.7109375" style="16" customWidth="1"/>
    <col min="2311" max="2312" width="8.42578125" style="16" customWidth="1"/>
    <col min="2313" max="2313" width="7.140625" style="16" bestFit="1" customWidth="1"/>
    <col min="2314" max="2314" width="9" style="16" customWidth="1"/>
    <col min="2315" max="2316" width="7" style="16" bestFit="1" customWidth="1"/>
    <col min="2317" max="2317" width="6.85546875" style="16" bestFit="1" customWidth="1"/>
    <col min="2318" max="2318" width="7" style="16" bestFit="1" customWidth="1"/>
    <col min="2319" max="2319" width="8.140625" style="16" bestFit="1" customWidth="1"/>
    <col min="2320" max="2324" width="9.140625" style="16"/>
    <col min="2325" max="2325" width="12.42578125" style="16" customWidth="1"/>
    <col min="2326" max="2326" width="9.140625" style="16"/>
    <col min="2327" max="2327" width="12" style="16" customWidth="1"/>
    <col min="2328" max="2560" width="9.140625" style="16"/>
    <col min="2561" max="2561" width="5" style="16" customWidth="1"/>
    <col min="2562" max="2562" width="17.85546875" style="16" customWidth="1"/>
    <col min="2563" max="2563" width="11.140625" style="16" bestFit="1" customWidth="1"/>
    <col min="2564" max="2564" width="6.7109375" style="16" bestFit="1" customWidth="1"/>
    <col min="2565" max="2565" width="8.5703125" style="16" bestFit="1" customWidth="1"/>
    <col min="2566" max="2566" width="8.7109375" style="16" customWidth="1"/>
    <col min="2567" max="2568" width="8.42578125" style="16" customWidth="1"/>
    <col min="2569" max="2569" width="7.140625" style="16" bestFit="1" customWidth="1"/>
    <col min="2570" max="2570" width="9" style="16" customWidth="1"/>
    <col min="2571" max="2572" width="7" style="16" bestFit="1" customWidth="1"/>
    <col min="2573" max="2573" width="6.85546875" style="16" bestFit="1" customWidth="1"/>
    <col min="2574" max="2574" width="7" style="16" bestFit="1" customWidth="1"/>
    <col min="2575" max="2575" width="8.140625" style="16" bestFit="1" customWidth="1"/>
    <col min="2576" max="2580" width="9.140625" style="16"/>
    <col min="2581" max="2581" width="12.42578125" style="16" customWidth="1"/>
    <col min="2582" max="2582" width="9.140625" style="16"/>
    <col min="2583" max="2583" width="12" style="16" customWidth="1"/>
    <col min="2584" max="2816" width="9.140625" style="16"/>
    <col min="2817" max="2817" width="5" style="16" customWidth="1"/>
    <col min="2818" max="2818" width="17.85546875" style="16" customWidth="1"/>
    <col min="2819" max="2819" width="11.140625" style="16" bestFit="1" customWidth="1"/>
    <col min="2820" max="2820" width="6.7109375" style="16" bestFit="1" customWidth="1"/>
    <col min="2821" max="2821" width="8.5703125" style="16" bestFit="1" customWidth="1"/>
    <col min="2822" max="2822" width="8.7109375" style="16" customWidth="1"/>
    <col min="2823" max="2824" width="8.42578125" style="16" customWidth="1"/>
    <col min="2825" max="2825" width="7.140625" style="16" bestFit="1" customWidth="1"/>
    <col min="2826" max="2826" width="9" style="16" customWidth="1"/>
    <col min="2827" max="2828" width="7" style="16" bestFit="1" customWidth="1"/>
    <col min="2829" max="2829" width="6.85546875" style="16" bestFit="1" customWidth="1"/>
    <col min="2830" max="2830" width="7" style="16" bestFit="1" customWidth="1"/>
    <col min="2831" max="2831" width="8.140625" style="16" bestFit="1" customWidth="1"/>
    <col min="2832" max="2836" width="9.140625" style="16"/>
    <col min="2837" max="2837" width="12.42578125" style="16" customWidth="1"/>
    <col min="2838" max="2838" width="9.140625" style="16"/>
    <col min="2839" max="2839" width="12" style="16" customWidth="1"/>
    <col min="2840" max="3072" width="9.140625" style="16"/>
    <col min="3073" max="3073" width="5" style="16" customWidth="1"/>
    <col min="3074" max="3074" width="17.85546875" style="16" customWidth="1"/>
    <col min="3075" max="3075" width="11.140625" style="16" bestFit="1" customWidth="1"/>
    <col min="3076" max="3076" width="6.7109375" style="16" bestFit="1" customWidth="1"/>
    <col min="3077" max="3077" width="8.5703125" style="16" bestFit="1" customWidth="1"/>
    <col min="3078" max="3078" width="8.7109375" style="16" customWidth="1"/>
    <col min="3079" max="3080" width="8.42578125" style="16" customWidth="1"/>
    <col min="3081" max="3081" width="7.140625" style="16" bestFit="1" customWidth="1"/>
    <col min="3082" max="3082" width="9" style="16" customWidth="1"/>
    <col min="3083" max="3084" width="7" style="16" bestFit="1" customWidth="1"/>
    <col min="3085" max="3085" width="6.85546875" style="16" bestFit="1" customWidth="1"/>
    <col min="3086" max="3086" width="7" style="16" bestFit="1" customWidth="1"/>
    <col min="3087" max="3087" width="8.140625" style="16" bestFit="1" customWidth="1"/>
    <col min="3088" max="3092" width="9.140625" style="16"/>
    <col min="3093" max="3093" width="12.42578125" style="16" customWidth="1"/>
    <col min="3094" max="3094" width="9.140625" style="16"/>
    <col min="3095" max="3095" width="12" style="16" customWidth="1"/>
    <col min="3096" max="3328" width="9.140625" style="16"/>
    <col min="3329" max="3329" width="5" style="16" customWidth="1"/>
    <col min="3330" max="3330" width="17.85546875" style="16" customWidth="1"/>
    <col min="3331" max="3331" width="11.140625" style="16" bestFit="1" customWidth="1"/>
    <col min="3332" max="3332" width="6.7109375" style="16" bestFit="1" customWidth="1"/>
    <col min="3333" max="3333" width="8.5703125" style="16" bestFit="1" customWidth="1"/>
    <col min="3334" max="3334" width="8.7109375" style="16" customWidth="1"/>
    <col min="3335" max="3336" width="8.42578125" style="16" customWidth="1"/>
    <col min="3337" max="3337" width="7.140625" style="16" bestFit="1" customWidth="1"/>
    <col min="3338" max="3338" width="9" style="16" customWidth="1"/>
    <col min="3339" max="3340" width="7" style="16" bestFit="1" customWidth="1"/>
    <col min="3341" max="3341" width="6.85546875" style="16" bestFit="1" customWidth="1"/>
    <col min="3342" max="3342" width="7" style="16" bestFit="1" customWidth="1"/>
    <col min="3343" max="3343" width="8.140625" style="16" bestFit="1" customWidth="1"/>
    <col min="3344" max="3348" width="9.140625" style="16"/>
    <col min="3349" max="3349" width="12.42578125" style="16" customWidth="1"/>
    <col min="3350" max="3350" width="9.140625" style="16"/>
    <col min="3351" max="3351" width="12" style="16" customWidth="1"/>
    <col min="3352" max="3584" width="9.140625" style="16"/>
    <col min="3585" max="3585" width="5" style="16" customWidth="1"/>
    <col min="3586" max="3586" width="17.85546875" style="16" customWidth="1"/>
    <col min="3587" max="3587" width="11.140625" style="16" bestFit="1" customWidth="1"/>
    <col min="3588" max="3588" width="6.7109375" style="16" bestFit="1" customWidth="1"/>
    <col min="3589" max="3589" width="8.5703125" style="16" bestFit="1" customWidth="1"/>
    <col min="3590" max="3590" width="8.7109375" style="16" customWidth="1"/>
    <col min="3591" max="3592" width="8.42578125" style="16" customWidth="1"/>
    <col min="3593" max="3593" width="7.140625" style="16" bestFit="1" customWidth="1"/>
    <col min="3594" max="3594" width="9" style="16" customWidth="1"/>
    <col min="3595" max="3596" width="7" style="16" bestFit="1" customWidth="1"/>
    <col min="3597" max="3597" width="6.85546875" style="16" bestFit="1" customWidth="1"/>
    <col min="3598" max="3598" width="7" style="16" bestFit="1" customWidth="1"/>
    <col min="3599" max="3599" width="8.140625" style="16" bestFit="1" customWidth="1"/>
    <col min="3600" max="3604" width="9.140625" style="16"/>
    <col min="3605" max="3605" width="12.42578125" style="16" customWidth="1"/>
    <col min="3606" max="3606" width="9.140625" style="16"/>
    <col min="3607" max="3607" width="12" style="16" customWidth="1"/>
    <col min="3608" max="3840" width="9.140625" style="16"/>
    <col min="3841" max="3841" width="5" style="16" customWidth="1"/>
    <col min="3842" max="3842" width="17.85546875" style="16" customWidth="1"/>
    <col min="3843" max="3843" width="11.140625" style="16" bestFit="1" customWidth="1"/>
    <col min="3844" max="3844" width="6.7109375" style="16" bestFit="1" customWidth="1"/>
    <col min="3845" max="3845" width="8.5703125" style="16" bestFit="1" customWidth="1"/>
    <col min="3846" max="3846" width="8.7109375" style="16" customWidth="1"/>
    <col min="3847" max="3848" width="8.42578125" style="16" customWidth="1"/>
    <col min="3849" max="3849" width="7.140625" style="16" bestFit="1" customWidth="1"/>
    <col min="3850" max="3850" width="9" style="16" customWidth="1"/>
    <col min="3851" max="3852" width="7" style="16" bestFit="1" customWidth="1"/>
    <col min="3853" max="3853" width="6.85546875" style="16" bestFit="1" customWidth="1"/>
    <col min="3854" max="3854" width="7" style="16" bestFit="1" customWidth="1"/>
    <col min="3855" max="3855" width="8.140625" style="16" bestFit="1" customWidth="1"/>
    <col min="3856" max="3860" width="9.140625" style="16"/>
    <col min="3861" max="3861" width="12.42578125" style="16" customWidth="1"/>
    <col min="3862" max="3862" width="9.140625" style="16"/>
    <col min="3863" max="3863" width="12" style="16" customWidth="1"/>
    <col min="3864" max="4096" width="9.140625" style="16"/>
    <col min="4097" max="4097" width="5" style="16" customWidth="1"/>
    <col min="4098" max="4098" width="17.85546875" style="16" customWidth="1"/>
    <col min="4099" max="4099" width="11.140625" style="16" bestFit="1" customWidth="1"/>
    <col min="4100" max="4100" width="6.7109375" style="16" bestFit="1" customWidth="1"/>
    <col min="4101" max="4101" width="8.5703125" style="16" bestFit="1" customWidth="1"/>
    <col min="4102" max="4102" width="8.7109375" style="16" customWidth="1"/>
    <col min="4103" max="4104" width="8.42578125" style="16" customWidth="1"/>
    <col min="4105" max="4105" width="7.140625" style="16" bestFit="1" customWidth="1"/>
    <col min="4106" max="4106" width="9" style="16" customWidth="1"/>
    <col min="4107" max="4108" width="7" style="16" bestFit="1" customWidth="1"/>
    <col min="4109" max="4109" width="6.85546875" style="16" bestFit="1" customWidth="1"/>
    <col min="4110" max="4110" width="7" style="16" bestFit="1" customWidth="1"/>
    <col min="4111" max="4111" width="8.140625" style="16" bestFit="1" customWidth="1"/>
    <col min="4112" max="4116" width="9.140625" style="16"/>
    <col min="4117" max="4117" width="12.42578125" style="16" customWidth="1"/>
    <col min="4118" max="4118" width="9.140625" style="16"/>
    <col min="4119" max="4119" width="12" style="16" customWidth="1"/>
    <col min="4120" max="4352" width="9.140625" style="16"/>
    <col min="4353" max="4353" width="5" style="16" customWidth="1"/>
    <col min="4354" max="4354" width="17.85546875" style="16" customWidth="1"/>
    <col min="4355" max="4355" width="11.140625" style="16" bestFit="1" customWidth="1"/>
    <col min="4356" max="4356" width="6.7109375" style="16" bestFit="1" customWidth="1"/>
    <col min="4357" max="4357" width="8.5703125" style="16" bestFit="1" customWidth="1"/>
    <col min="4358" max="4358" width="8.7109375" style="16" customWidth="1"/>
    <col min="4359" max="4360" width="8.42578125" style="16" customWidth="1"/>
    <col min="4361" max="4361" width="7.140625" style="16" bestFit="1" customWidth="1"/>
    <col min="4362" max="4362" width="9" style="16" customWidth="1"/>
    <col min="4363" max="4364" width="7" style="16" bestFit="1" customWidth="1"/>
    <col min="4365" max="4365" width="6.85546875" style="16" bestFit="1" customWidth="1"/>
    <col min="4366" max="4366" width="7" style="16" bestFit="1" customWidth="1"/>
    <col min="4367" max="4367" width="8.140625" style="16" bestFit="1" customWidth="1"/>
    <col min="4368" max="4372" width="9.140625" style="16"/>
    <col min="4373" max="4373" width="12.42578125" style="16" customWidth="1"/>
    <col min="4374" max="4374" width="9.140625" style="16"/>
    <col min="4375" max="4375" width="12" style="16" customWidth="1"/>
    <col min="4376" max="4608" width="9.140625" style="16"/>
    <col min="4609" max="4609" width="5" style="16" customWidth="1"/>
    <col min="4610" max="4610" width="17.85546875" style="16" customWidth="1"/>
    <col min="4611" max="4611" width="11.140625" style="16" bestFit="1" customWidth="1"/>
    <col min="4612" max="4612" width="6.7109375" style="16" bestFit="1" customWidth="1"/>
    <col min="4613" max="4613" width="8.5703125" style="16" bestFit="1" customWidth="1"/>
    <col min="4614" max="4614" width="8.7109375" style="16" customWidth="1"/>
    <col min="4615" max="4616" width="8.42578125" style="16" customWidth="1"/>
    <col min="4617" max="4617" width="7.140625" style="16" bestFit="1" customWidth="1"/>
    <col min="4618" max="4618" width="9" style="16" customWidth="1"/>
    <col min="4619" max="4620" width="7" style="16" bestFit="1" customWidth="1"/>
    <col min="4621" max="4621" width="6.85546875" style="16" bestFit="1" customWidth="1"/>
    <col min="4622" max="4622" width="7" style="16" bestFit="1" customWidth="1"/>
    <col min="4623" max="4623" width="8.140625" style="16" bestFit="1" customWidth="1"/>
    <col min="4624" max="4628" width="9.140625" style="16"/>
    <col min="4629" max="4629" width="12.42578125" style="16" customWidth="1"/>
    <col min="4630" max="4630" width="9.140625" style="16"/>
    <col min="4631" max="4631" width="12" style="16" customWidth="1"/>
    <col min="4632" max="4864" width="9.140625" style="16"/>
    <col min="4865" max="4865" width="5" style="16" customWidth="1"/>
    <col min="4866" max="4866" width="17.85546875" style="16" customWidth="1"/>
    <col min="4867" max="4867" width="11.140625" style="16" bestFit="1" customWidth="1"/>
    <col min="4868" max="4868" width="6.7109375" style="16" bestFit="1" customWidth="1"/>
    <col min="4869" max="4869" width="8.5703125" style="16" bestFit="1" customWidth="1"/>
    <col min="4870" max="4870" width="8.7109375" style="16" customWidth="1"/>
    <col min="4871" max="4872" width="8.42578125" style="16" customWidth="1"/>
    <col min="4873" max="4873" width="7.140625" style="16" bestFit="1" customWidth="1"/>
    <col min="4874" max="4874" width="9" style="16" customWidth="1"/>
    <col min="4875" max="4876" width="7" style="16" bestFit="1" customWidth="1"/>
    <col min="4877" max="4877" width="6.85546875" style="16" bestFit="1" customWidth="1"/>
    <col min="4878" max="4878" width="7" style="16" bestFit="1" customWidth="1"/>
    <col min="4879" max="4879" width="8.140625" style="16" bestFit="1" customWidth="1"/>
    <col min="4880" max="4884" width="9.140625" style="16"/>
    <col min="4885" max="4885" width="12.42578125" style="16" customWidth="1"/>
    <col min="4886" max="4886" width="9.140625" style="16"/>
    <col min="4887" max="4887" width="12" style="16" customWidth="1"/>
    <col min="4888" max="5120" width="9.140625" style="16"/>
    <col min="5121" max="5121" width="5" style="16" customWidth="1"/>
    <col min="5122" max="5122" width="17.85546875" style="16" customWidth="1"/>
    <col min="5123" max="5123" width="11.140625" style="16" bestFit="1" customWidth="1"/>
    <col min="5124" max="5124" width="6.7109375" style="16" bestFit="1" customWidth="1"/>
    <col min="5125" max="5125" width="8.5703125" style="16" bestFit="1" customWidth="1"/>
    <col min="5126" max="5126" width="8.7109375" style="16" customWidth="1"/>
    <col min="5127" max="5128" width="8.42578125" style="16" customWidth="1"/>
    <col min="5129" max="5129" width="7.140625" style="16" bestFit="1" customWidth="1"/>
    <col min="5130" max="5130" width="9" style="16" customWidth="1"/>
    <col min="5131" max="5132" width="7" style="16" bestFit="1" customWidth="1"/>
    <col min="5133" max="5133" width="6.85546875" style="16" bestFit="1" customWidth="1"/>
    <col min="5134" max="5134" width="7" style="16" bestFit="1" customWidth="1"/>
    <col min="5135" max="5135" width="8.140625" style="16" bestFit="1" customWidth="1"/>
    <col min="5136" max="5140" width="9.140625" style="16"/>
    <col min="5141" max="5141" width="12.42578125" style="16" customWidth="1"/>
    <col min="5142" max="5142" width="9.140625" style="16"/>
    <col min="5143" max="5143" width="12" style="16" customWidth="1"/>
    <col min="5144" max="5376" width="9.140625" style="16"/>
    <col min="5377" max="5377" width="5" style="16" customWidth="1"/>
    <col min="5378" max="5378" width="17.85546875" style="16" customWidth="1"/>
    <col min="5379" max="5379" width="11.140625" style="16" bestFit="1" customWidth="1"/>
    <col min="5380" max="5380" width="6.7109375" style="16" bestFit="1" customWidth="1"/>
    <col min="5381" max="5381" width="8.5703125" style="16" bestFit="1" customWidth="1"/>
    <col min="5382" max="5382" width="8.7109375" style="16" customWidth="1"/>
    <col min="5383" max="5384" width="8.42578125" style="16" customWidth="1"/>
    <col min="5385" max="5385" width="7.140625" style="16" bestFit="1" customWidth="1"/>
    <col min="5386" max="5386" width="9" style="16" customWidth="1"/>
    <col min="5387" max="5388" width="7" style="16" bestFit="1" customWidth="1"/>
    <col min="5389" max="5389" width="6.85546875" style="16" bestFit="1" customWidth="1"/>
    <col min="5390" max="5390" width="7" style="16" bestFit="1" customWidth="1"/>
    <col min="5391" max="5391" width="8.140625" style="16" bestFit="1" customWidth="1"/>
    <col min="5392" max="5396" width="9.140625" style="16"/>
    <col min="5397" max="5397" width="12.42578125" style="16" customWidth="1"/>
    <col min="5398" max="5398" width="9.140625" style="16"/>
    <col min="5399" max="5399" width="12" style="16" customWidth="1"/>
    <col min="5400" max="5632" width="9.140625" style="16"/>
    <col min="5633" max="5633" width="5" style="16" customWidth="1"/>
    <col min="5634" max="5634" width="17.85546875" style="16" customWidth="1"/>
    <col min="5635" max="5635" width="11.140625" style="16" bestFit="1" customWidth="1"/>
    <col min="5636" max="5636" width="6.7109375" style="16" bestFit="1" customWidth="1"/>
    <col min="5637" max="5637" width="8.5703125" style="16" bestFit="1" customWidth="1"/>
    <col min="5638" max="5638" width="8.7109375" style="16" customWidth="1"/>
    <col min="5639" max="5640" width="8.42578125" style="16" customWidth="1"/>
    <col min="5641" max="5641" width="7.140625" style="16" bestFit="1" customWidth="1"/>
    <col min="5642" max="5642" width="9" style="16" customWidth="1"/>
    <col min="5643" max="5644" width="7" style="16" bestFit="1" customWidth="1"/>
    <col min="5645" max="5645" width="6.85546875" style="16" bestFit="1" customWidth="1"/>
    <col min="5646" max="5646" width="7" style="16" bestFit="1" customWidth="1"/>
    <col min="5647" max="5647" width="8.140625" style="16" bestFit="1" customWidth="1"/>
    <col min="5648" max="5652" width="9.140625" style="16"/>
    <col min="5653" max="5653" width="12.42578125" style="16" customWidth="1"/>
    <col min="5654" max="5654" width="9.140625" style="16"/>
    <col min="5655" max="5655" width="12" style="16" customWidth="1"/>
    <col min="5656" max="5888" width="9.140625" style="16"/>
    <col min="5889" max="5889" width="5" style="16" customWidth="1"/>
    <col min="5890" max="5890" width="17.85546875" style="16" customWidth="1"/>
    <col min="5891" max="5891" width="11.140625" style="16" bestFit="1" customWidth="1"/>
    <col min="5892" max="5892" width="6.7109375" style="16" bestFit="1" customWidth="1"/>
    <col min="5893" max="5893" width="8.5703125" style="16" bestFit="1" customWidth="1"/>
    <col min="5894" max="5894" width="8.7109375" style="16" customWidth="1"/>
    <col min="5895" max="5896" width="8.42578125" style="16" customWidth="1"/>
    <col min="5897" max="5897" width="7.140625" style="16" bestFit="1" customWidth="1"/>
    <col min="5898" max="5898" width="9" style="16" customWidth="1"/>
    <col min="5899" max="5900" width="7" style="16" bestFit="1" customWidth="1"/>
    <col min="5901" max="5901" width="6.85546875" style="16" bestFit="1" customWidth="1"/>
    <col min="5902" max="5902" width="7" style="16" bestFit="1" customWidth="1"/>
    <col min="5903" max="5903" width="8.140625" style="16" bestFit="1" customWidth="1"/>
    <col min="5904" max="5908" width="9.140625" style="16"/>
    <col min="5909" max="5909" width="12.42578125" style="16" customWidth="1"/>
    <col min="5910" max="5910" width="9.140625" style="16"/>
    <col min="5911" max="5911" width="12" style="16" customWidth="1"/>
    <col min="5912" max="6144" width="9.140625" style="16"/>
    <col min="6145" max="6145" width="5" style="16" customWidth="1"/>
    <col min="6146" max="6146" width="17.85546875" style="16" customWidth="1"/>
    <col min="6147" max="6147" width="11.140625" style="16" bestFit="1" customWidth="1"/>
    <col min="6148" max="6148" width="6.7109375" style="16" bestFit="1" customWidth="1"/>
    <col min="6149" max="6149" width="8.5703125" style="16" bestFit="1" customWidth="1"/>
    <col min="6150" max="6150" width="8.7109375" style="16" customWidth="1"/>
    <col min="6151" max="6152" width="8.42578125" style="16" customWidth="1"/>
    <col min="6153" max="6153" width="7.140625" style="16" bestFit="1" customWidth="1"/>
    <col min="6154" max="6154" width="9" style="16" customWidth="1"/>
    <col min="6155" max="6156" width="7" style="16" bestFit="1" customWidth="1"/>
    <col min="6157" max="6157" width="6.85546875" style="16" bestFit="1" customWidth="1"/>
    <col min="6158" max="6158" width="7" style="16" bestFit="1" customWidth="1"/>
    <col min="6159" max="6159" width="8.140625" style="16" bestFit="1" customWidth="1"/>
    <col min="6160" max="6164" width="9.140625" style="16"/>
    <col min="6165" max="6165" width="12.42578125" style="16" customWidth="1"/>
    <col min="6166" max="6166" width="9.140625" style="16"/>
    <col min="6167" max="6167" width="12" style="16" customWidth="1"/>
    <col min="6168" max="6400" width="9.140625" style="16"/>
    <col min="6401" max="6401" width="5" style="16" customWidth="1"/>
    <col min="6402" max="6402" width="17.85546875" style="16" customWidth="1"/>
    <col min="6403" max="6403" width="11.140625" style="16" bestFit="1" customWidth="1"/>
    <col min="6404" max="6404" width="6.7109375" style="16" bestFit="1" customWidth="1"/>
    <col min="6405" max="6405" width="8.5703125" style="16" bestFit="1" customWidth="1"/>
    <col min="6406" max="6406" width="8.7109375" style="16" customWidth="1"/>
    <col min="6407" max="6408" width="8.42578125" style="16" customWidth="1"/>
    <col min="6409" max="6409" width="7.140625" style="16" bestFit="1" customWidth="1"/>
    <col min="6410" max="6410" width="9" style="16" customWidth="1"/>
    <col min="6411" max="6412" width="7" style="16" bestFit="1" customWidth="1"/>
    <col min="6413" max="6413" width="6.85546875" style="16" bestFit="1" customWidth="1"/>
    <col min="6414" max="6414" width="7" style="16" bestFit="1" customWidth="1"/>
    <col min="6415" max="6415" width="8.140625" style="16" bestFit="1" customWidth="1"/>
    <col min="6416" max="6420" width="9.140625" style="16"/>
    <col min="6421" max="6421" width="12.42578125" style="16" customWidth="1"/>
    <col min="6422" max="6422" width="9.140625" style="16"/>
    <col min="6423" max="6423" width="12" style="16" customWidth="1"/>
    <col min="6424" max="6656" width="9.140625" style="16"/>
    <col min="6657" max="6657" width="5" style="16" customWidth="1"/>
    <col min="6658" max="6658" width="17.85546875" style="16" customWidth="1"/>
    <col min="6659" max="6659" width="11.140625" style="16" bestFit="1" customWidth="1"/>
    <col min="6660" max="6660" width="6.7109375" style="16" bestFit="1" customWidth="1"/>
    <col min="6661" max="6661" width="8.5703125" style="16" bestFit="1" customWidth="1"/>
    <col min="6662" max="6662" width="8.7109375" style="16" customWidth="1"/>
    <col min="6663" max="6664" width="8.42578125" style="16" customWidth="1"/>
    <col min="6665" max="6665" width="7.140625" style="16" bestFit="1" customWidth="1"/>
    <col min="6666" max="6666" width="9" style="16" customWidth="1"/>
    <col min="6667" max="6668" width="7" style="16" bestFit="1" customWidth="1"/>
    <col min="6669" max="6669" width="6.85546875" style="16" bestFit="1" customWidth="1"/>
    <col min="6670" max="6670" width="7" style="16" bestFit="1" customWidth="1"/>
    <col min="6671" max="6671" width="8.140625" style="16" bestFit="1" customWidth="1"/>
    <col min="6672" max="6676" width="9.140625" style="16"/>
    <col min="6677" max="6677" width="12.42578125" style="16" customWidth="1"/>
    <col min="6678" max="6678" width="9.140625" style="16"/>
    <col min="6679" max="6679" width="12" style="16" customWidth="1"/>
    <col min="6680" max="6912" width="9.140625" style="16"/>
    <col min="6913" max="6913" width="5" style="16" customWidth="1"/>
    <col min="6914" max="6914" width="17.85546875" style="16" customWidth="1"/>
    <col min="6915" max="6915" width="11.140625" style="16" bestFit="1" customWidth="1"/>
    <col min="6916" max="6916" width="6.7109375" style="16" bestFit="1" customWidth="1"/>
    <col min="6917" max="6917" width="8.5703125" style="16" bestFit="1" customWidth="1"/>
    <col min="6918" max="6918" width="8.7109375" style="16" customWidth="1"/>
    <col min="6919" max="6920" width="8.42578125" style="16" customWidth="1"/>
    <col min="6921" max="6921" width="7.140625" style="16" bestFit="1" customWidth="1"/>
    <col min="6922" max="6922" width="9" style="16" customWidth="1"/>
    <col min="6923" max="6924" width="7" style="16" bestFit="1" customWidth="1"/>
    <col min="6925" max="6925" width="6.85546875" style="16" bestFit="1" customWidth="1"/>
    <col min="6926" max="6926" width="7" style="16" bestFit="1" customWidth="1"/>
    <col min="6927" max="6927" width="8.140625" style="16" bestFit="1" customWidth="1"/>
    <col min="6928" max="6932" width="9.140625" style="16"/>
    <col min="6933" max="6933" width="12.42578125" style="16" customWidth="1"/>
    <col min="6934" max="6934" width="9.140625" style="16"/>
    <col min="6935" max="6935" width="12" style="16" customWidth="1"/>
    <col min="6936" max="7168" width="9.140625" style="16"/>
    <col min="7169" max="7169" width="5" style="16" customWidth="1"/>
    <col min="7170" max="7170" width="17.85546875" style="16" customWidth="1"/>
    <col min="7171" max="7171" width="11.140625" style="16" bestFit="1" customWidth="1"/>
    <col min="7172" max="7172" width="6.7109375" style="16" bestFit="1" customWidth="1"/>
    <col min="7173" max="7173" width="8.5703125" style="16" bestFit="1" customWidth="1"/>
    <col min="7174" max="7174" width="8.7109375" style="16" customWidth="1"/>
    <col min="7175" max="7176" width="8.42578125" style="16" customWidth="1"/>
    <col min="7177" max="7177" width="7.140625" style="16" bestFit="1" customWidth="1"/>
    <col min="7178" max="7178" width="9" style="16" customWidth="1"/>
    <col min="7179" max="7180" width="7" style="16" bestFit="1" customWidth="1"/>
    <col min="7181" max="7181" width="6.85546875" style="16" bestFit="1" customWidth="1"/>
    <col min="7182" max="7182" width="7" style="16" bestFit="1" customWidth="1"/>
    <col min="7183" max="7183" width="8.140625" style="16" bestFit="1" customWidth="1"/>
    <col min="7184" max="7188" width="9.140625" style="16"/>
    <col min="7189" max="7189" width="12.42578125" style="16" customWidth="1"/>
    <col min="7190" max="7190" width="9.140625" style="16"/>
    <col min="7191" max="7191" width="12" style="16" customWidth="1"/>
    <col min="7192" max="7424" width="9.140625" style="16"/>
    <col min="7425" max="7425" width="5" style="16" customWidth="1"/>
    <col min="7426" max="7426" width="17.85546875" style="16" customWidth="1"/>
    <col min="7427" max="7427" width="11.140625" style="16" bestFit="1" customWidth="1"/>
    <col min="7428" max="7428" width="6.7109375" style="16" bestFit="1" customWidth="1"/>
    <col min="7429" max="7429" width="8.5703125" style="16" bestFit="1" customWidth="1"/>
    <col min="7430" max="7430" width="8.7109375" style="16" customWidth="1"/>
    <col min="7431" max="7432" width="8.42578125" style="16" customWidth="1"/>
    <col min="7433" max="7433" width="7.140625" style="16" bestFit="1" customWidth="1"/>
    <col min="7434" max="7434" width="9" style="16" customWidth="1"/>
    <col min="7435" max="7436" width="7" style="16" bestFit="1" customWidth="1"/>
    <col min="7437" max="7437" width="6.85546875" style="16" bestFit="1" customWidth="1"/>
    <col min="7438" max="7438" width="7" style="16" bestFit="1" customWidth="1"/>
    <col min="7439" max="7439" width="8.140625" style="16" bestFit="1" customWidth="1"/>
    <col min="7440" max="7444" width="9.140625" style="16"/>
    <col min="7445" max="7445" width="12.42578125" style="16" customWidth="1"/>
    <col min="7446" max="7446" width="9.140625" style="16"/>
    <col min="7447" max="7447" width="12" style="16" customWidth="1"/>
    <col min="7448" max="7680" width="9.140625" style="16"/>
    <col min="7681" max="7681" width="5" style="16" customWidth="1"/>
    <col min="7682" max="7682" width="17.85546875" style="16" customWidth="1"/>
    <col min="7683" max="7683" width="11.140625" style="16" bestFit="1" customWidth="1"/>
    <col min="7684" max="7684" width="6.7109375" style="16" bestFit="1" customWidth="1"/>
    <col min="7685" max="7685" width="8.5703125" style="16" bestFit="1" customWidth="1"/>
    <col min="7686" max="7686" width="8.7109375" style="16" customWidth="1"/>
    <col min="7687" max="7688" width="8.42578125" style="16" customWidth="1"/>
    <col min="7689" max="7689" width="7.140625" style="16" bestFit="1" customWidth="1"/>
    <col min="7690" max="7690" width="9" style="16" customWidth="1"/>
    <col min="7691" max="7692" width="7" style="16" bestFit="1" customWidth="1"/>
    <col min="7693" max="7693" width="6.85546875" style="16" bestFit="1" customWidth="1"/>
    <col min="7694" max="7694" width="7" style="16" bestFit="1" customWidth="1"/>
    <col min="7695" max="7695" width="8.140625" style="16" bestFit="1" customWidth="1"/>
    <col min="7696" max="7700" width="9.140625" style="16"/>
    <col min="7701" max="7701" width="12.42578125" style="16" customWidth="1"/>
    <col min="7702" max="7702" width="9.140625" style="16"/>
    <col min="7703" max="7703" width="12" style="16" customWidth="1"/>
    <col min="7704" max="7936" width="9.140625" style="16"/>
    <col min="7937" max="7937" width="5" style="16" customWidth="1"/>
    <col min="7938" max="7938" width="17.85546875" style="16" customWidth="1"/>
    <col min="7939" max="7939" width="11.140625" style="16" bestFit="1" customWidth="1"/>
    <col min="7940" max="7940" width="6.7109375" style="16" bestFit="1" customWidth="1"/>
    <col min="7941" max="7941" width="8.5703125" style="16" bestFit="1" customWidth="1"/>
    <col min="7942" max="7942" width="8.7109375" style="16" customWidth="1"/>
    <col min="7943" max="7944" width="8.42578125" style="16" customWidth="1"/>
    <col min="7945" max="7945" width="7.140625" style="16" bestFit="1" customWidth="1"/>
    <col min="7946" max="7946" width="9" style="16" customWidth="1"/>
    <col min="7947" max="7948" width="7" style="16" bestFit="1" customWidth="1"/>
    <col min="7949" max="7949" width="6.85546875" style="16" bestFit="1" customWidth="1"/>
    <col min="7950" max="7950" width="7" style="16" bestFit="1" customWidth="1"/>
    <col min="7951" max="7951" width="8.140625" style="16" bestFit="1" customWidth="1"/>
    <col min="7952" max="7956" width="9.140625" style="16"/>
    <col min="7957" max="7957" width="12.42578125" style="16" customWidth="1"/>
    <col min="7958" max="7958" width="9.140625" style="16"/>
    <col min="7959" max="7959" width="12" style="16" customWidth="1"/>
    <col min="7960" max="8192" width="9.140625" style="16"/>
    <col min="8193" max="8193" width="5" style="16" customWidth="1"/>
    <col min="8194" max="8194" width="17.85546875" style="16" customWidth="1"/>
    <col min="8195" max="8195" width="11.140625" style="16" bestFit="1" customWidth="1"/>
    <col min="8196" max="8196" width="6.7109375" style="16" bestFit="1" customWidth="1"/>
    <col min="8197" max="8197" width="8.5703125" style="16" bestFit="1" customWidth="1"/>
    <col min="8198" max="8198" width="8.7109375" style="16" customWidth="1"/>
    <col min="8199" max="8200" width="8.42578125" style="16" customWidth="1"/>
    <col min="8201" max="8201" width="7.140625" style="16" bestFit="1" customWidth="1"/>
    <col min="8202" max="8202" width="9" style="16" customWidth="1"/>
    <col min="8203" max="8204" width="7" style="16" bestFit="1" customWidth="1"/>
    <col min="8205" max="8205" width="6.85546875" style="16" bestFit="1" customWidth="1"/>
    <col min="8206" max="8206" width="7" style="16" bestFit="1" customWidth="1"/>
    <col min="8207" max="8207" width="8.140625" style="16" bestFit="1" customWidth="1"/>
    <col min="8208" max="8212" width="9.140625" style="16"/>
    <col min="8213" max="8213" width="12.42578125" style="16" customWidth="1"/>
    <col min="8214" max="8214" width="9.140625" style="16"/>
    <col min="8215" max="8215" width="12" style="16" customWidth="1"/>
    <col min="8216" max="8448" width="9.140625" style="16"/>
    <col min="8449" max="8449" width="5" style="16" customWidth="1"/>
    <col min="8450" max="8450" width="17.85546875" style="16" customWidth="1"/>
    <col min="8451" max="8451" width="11.140625" style="16" bestFit="1" customWidth="1"/>
    <col min="8452" max="8452" width="6.7109375" style="16" bestFit="1" customWidth="1"/>
    <col min="8453" max="8453" width="8.5703125" style="16" bestFit="1" customWidth="1"/>
    <col min="8454" max="8454" width="8.7109375" style="16" customWidth="1"/>
    <col min="8455" max="8456" width="8.42578125" style="16" customWidth="1"/>
    <col min="8457" max="8457" width="7.140625" style="16" bestFit="1" customWidth="1"/>
    <col min="8458" max="8458" width="9" style="16" customWidth="1"/>
    <col min="8459" max="8460" width="7" style="16" bestFit="1" customWidth="1"/>
    <col min="8461" max="8461" width="6.85546875" style="16" bestFit="1" customWidth="1"/>
    <col min="8462" max="8462" width="7" style="16" bestFit="1" customWidth="1"/>
    <col min="8463" max="8463" width="8.140625" style="16" bestFit="1" customWidth="1"/>
    <col min="8464" max="8468" width="9.140625" style="16"/>
    <col min="8469" max="8469" width="12.42578125" style="16" customWidth="1"/>
    <col min="8470" max="8470" width="9.140625" style="16"/>
    <col min="8471" max="8471" width="12" style="16" customWidth="1"/>
    <col min="8472" max="8704" width="9.140625" style="16"/>
    <col min="8705" max="8705" width="5" style="16" customWidth="1"/>
    <col min="8706" max="8706" width="17.85546875" style="16" customWidth="1"/>
    <col min="8707" max="8707" width="11.140625" style="16" bestFit="1" customWidth="1"/>
    <col min="8708" max="8708" width="6.7109375" style="16" bestFit="1" customWidth="1"/>
    <col min="8709" max="8709" width="8.5703125" style="16" bestFit="1" customWidth="1"/>
    <col min="8710" max="8710" width="8.7109375" style="16" customWidth="1"/>
    <col min="8711" max="8712" width="8.42578125" style="16" customWidth="1"/>
    <col min="8713" max="8713" width="7.140625" style="16" bestFit="1" customWidth="1"/>
    <col min="8714" max="8714" width="9" style="16" customWidth="1"/>
    <col min="8715" max="8716" width="7" style="16" bestFit="1" customWidth="1"/>
    <col min="8717" max="8717" width="6.85546875" style="16" bestFit="1" customWidth="1"/>
    <col min="8718" max="8718" width="7" style="16" bestFit="1" customWidth="1"/>
    <col min="8719" max="8719" width="8.140625" style="16" bestFit="1" customWidth="1"/>
    <col min="8720" max="8724" width="9.140625" style="16"/>
    <col min="8725" max="8725" width="12.42578125" style="16" customWidth="1"/>
    <col min="8726" max="8726" width="9.140625" style="16"/>
    <col min="8727" max="8727" width="12" style="16" customWidth="1"/>
    <col min="8728" max="8960" width="9.140625" style="16"/>
    <col min="8961" max="8961" width="5" style="16" customWidth="1"/>
    <col min="8962" max="8962" width="17.85546875" style="16" customWidth="1"/>
    <col min="8963" max="8963" width="11.140625" style="16" bestFit="1" customWidth="1"/>
    <col min="8964" max="8964" width="6.7109375" style="16" bestFit="1" customWidth="1"/>
    <col min="8965" max="8965" width="8.5703125" style="16" bestFit="1" customWidth="1"/>
    <col min="8966" max="8966" width="8.7109375" style="16" customWidth="1"/>
    <col min="8967" max="8968" width="8.42578125" style="16" customWidth="1"/>
    <col min="8969" max="8969" width="7.140625" style="16" bestFit="1" customWidth="1"/>
    <col min="8970" max="8970" width="9" style="16" customWidth="1"/>
    <col min="8971" max="8972" width="7" style="16" bestFit="1" customWidth="1"/>
    <col min="8973" max="8973" width="6.85546875" style="16" bestFit="1" customWidth="1"/>
    <col min="8974" max="8974" width="7" style="16" bestFit="1" customWidth="1"/>
    <col min="8975" max="8975" width="8.140625" style="16" bestFit="1" customWidth="1"/>
    <col min="8976" max="8980" width="9.140625" style="16"/>
    <col min="8981" max="8981" width="12.42578125" style="16" customWidth="1"/>
    <col min="8982" max="8982" width="9.140625" style="16"/>
    <col min="8983" max="8983" width="12" style="16" customWidth="1"/>
    <col min="8984" max="9216" width="9.140625" style="16"/>
    <col min="9217" max="9217" width="5" style="16" customWidth="1"/>
    <col min="9218" max="9218" width="17.85546875" style="16" customWidth="1"/>
    <col min="9219" max="9219" width="11.140625" style="16" bestFit="1" customWidth="1"/>
    <col min="9220" max="9220" width="6.7109375" style="16" bestFit="1" customWidth="1"/>
    <col min="9221" max="9221" width="8.5703125" style="16" bestFit="1" customWidth="1"/>
    <col min="9222" max="9222" width="8.7109375" style="16" customWidth="1"/>
    <col min="9223" max="9224" width="8.42578125" style="16" customWidth="1"/>
    <col min="9225" max="9225" width="7.140625" style="16" bestFit="1" customWidth="1"/>
    <col min="9226" max="9226" width="9" style="16" customWidth="1"/>
    <col min="9227" max="9228" width="7" style="16" bestFit="1" customWidth="1"/>
    <col min="9229" max="9229" width="6.85546875" style="16" bestFit="1" customWidth="1"/>
    <col min="9230" max="9230" width="7" style="16" bestFit="1" customWidth="1"/>
    <col min="9231" max="9231" width="8.140625" style="16" bestFit="1" customWidth="1"/>
    <col min="9232" max="9236" width="9.140625" style="16"/>
    <col min="9237" max="9237" width="12.42578125" style="16" customWidth="1"/>
    <col min="9238" max="9238" width="9.140625" style="16"/>
    <col min="9239" max="9239" width="12" style="16" customWidth="1"/>
    <col min="9240" max="9472" width="9.140625" style="16"/>
    <col min="9473" max="9473" width="5" style="16" customWidth="1"/>
    <col min="9474" max="9474" width="17.85546875" style="16" customWidth="1"/>
    <col min="9475" max="9475" width="11.140625" style="16" bestFit="1" customWidth="1"/>
    <col min="9476" max="9476" width="6.7109375" style="16" bestFit="1" customWidth="1"/>
    <col min="9477" max="9477" width="8.5703125" style="16" bestFit="1" customWidth="1"/>
    <col min="9478" max="9478" width="8.7109375" style="16" customWidth="1"/>
    <col min="9479" max="9480" width="8.42578125" style="16" customWidth="1"/>
    <col min="9481" max="9481" width="7.140625" style="16" bestFit="1" customWidth="1"/>
    <col min="9482" max="9482" width="9" style="16" customWidth="1"/>
    <col min="9483" max="9484" width="7" style="16" bestFit="1" customWidth="1"/>
    <col min="9485" max="9485" width="6.85546875" style="16" bestFit="1" customWidth="1"/>
    <col min="9486" max="9486" width="7" style="16" bestFit="1" customWidth="1"/>
    <col min="9487" max="9487" width="8.140625" style="16" bestFit="1" customWidth="1"/>
    <col min="9488" max="9492" width="9.140625" style="16"/>
    <col min="9493" max="9493" width="12.42578125" style="16" customWidth="1"/>
    <col min="9494" max="9494" width="9.140625" style="16"/>
    <col min="9495" max="9495" width="12" style="16" customWidth="1"/>
    <col min="9496" max="9728" width="9.140625" style="16"/>
    <col min="9729" max="9729" width="5" style="16" customWidth="1"/>
    <col min="9730" max="9730" width="17.85546875" style="16" customWidth="1"/>
    <col min="9731" max="9731" width="11.140625" style="16" bestFit="1" customWidth="1"/>
    <col min="9732" max="9732" width="6.7109375" style="16" bestFit="1" customWidth="1"/>
    <col min="9733" max="9733" width="8.5703125" style="16" bestFit="1" customWidth="1"/>
    <col min="9734" max="9734" width="8.7109375" style="16" customWidth="1"/>
    <col min="9735" max="9736" width="8.42578125" style="16" customWidth="1"/>
    <col min="9737" max="9737" width="7.140625" style="16" bestFit="1" customWidth="1"/>
    <col min="9738" max="9738" width="9" style="16" customWidth="1"/>
    <col min="9739" max="9740" width="7" style="16" bestFit="1" customWidth="1"/>
    <col min="9741" max="9741" width="6.85546875" style="16" bestFit="1" customWidth="1"/>
    <col min="9742" max="9742" width="7" style="16" bestFit="1" customWidth="1"/>
    <col min="9743" max="9743" width="8.140625" style="16" bestFit="1" customWidth="1"/>
    <col min="9744" max="9748" width="9.140625" style="16"/>
    <col min="9749" max="9749" width="12.42578125" style="16" customWidth="1"/>
    <col min="9750" max="9750" width="9.140625" style="16"/>
    <col min="9751" max="9751" width="12" style="16" customWidth="1"/>
    <col min="9752" max="9984" width="9.140625" style="16"/>
    <col min="9985" max="9985" width="5" style="16" customWidth="1"/>
    <col min="9986" max="9986" width="17.85546875" style="16" customWidth="1"/>
    <col min="9987" max="9987" width="11.140625" style="16" bestFit="1" customWidth="1"/>
    <col min="9988" max="9988" width="6.7109375" style="16" bestFit="1" customWidth="1"/>
    <col min="9989" max="9989" width="8.5703125" style="16" bestFit="1" customWidth="1"/>
    <col min="9990" max="9990" width="8.7109375" style="16" customWidth="1"/>
    <col min="9991" max="9992" width="8.42578125" style="16" customWidth="1"/>
    <col min="9993" max="9993" width="7.140625" style="16" bestFit="1" customWidth="1"/>
    <col min="9994" max="9994" width="9" style="16" customWidth="1"/>
    <col min="9995" max="9996" width="7" style="16" bestFit="1" customWidth="1"/>
    <col min="9997" max="9997" width="6.85546875" style="16" bestFit="1" customWidth="1"/>
    <col min="9998" max="9998" width="7" style="16" bestFit="1" customWidth="1"/>
    <col min="9999" max="9999" width="8.140625" style="16" bestFit="1" customWidth="1"/>
    <col min="10000" max="10004" width="9.140625" style="16"/>
    <col min="10005" max="10005" width="12.42578125" style="16" customWidth="1"/>
    <col min="10006" max="10006" width="9.140625" style="16"/>
    <col min="10007" max="10007" width="12" style="16" customWidth="1"/>
    <col min="10008" max="10240" width="9.140625" style="16"/>
    <col min="10241" max="10241" width="5" style="16" customWidth="1"/>
    <col min="10242" max="10242" width="17.85546875" style="16" customWidth="1"/>
    <col min="10243" max="10243" width="11.140625" style="16" bestFit="1" customWidth="1"/>
    <col min="10244" max="10244" width="6.7109375" style="16" bestFit="1" customWidth="1"/>
    <col min="10245" max="10245" width="8.5703125" style="16" bestFit="1" customWidth="1"/>
    <col min="10246" max="10246" width="8.7109375" style="16" customWidth="1"/>
    <col min="10247" max="10248" width="8.42578125" style="16" customWidth="1"/>
    <col min="10249" max="10249" width="7.140625" style="16" bestFit="1" customWidth="1"/>
    <col min="10250" max="10250" width="9" style="16" customWidth="1"/>
    <col min="10251" max="10252" width="7" style="16" bestFit="1" customWidth="1"/>
    <col min="10253" max="10253" width="6.85546875" style="16" bestFit="1" customWidth="1"/>
    <col min="10254" max="10254" width="7" style="16" bestFit="1" customWidth="1"/>
    <col min="10255" max="10255" width="8.140625" style="16" bestFit="1" customWidth="1"/>
    <col min="10256" max="10260" width="9.140625" style="16"/>
    <col min="10261" max="10261" width="12.42578125" style="16" customWidth="1"/>
    <col min="10262" max="10262" width="9.140625" style="16"/>
    <col min="10263" max="10263" width="12" style="16" customWidth="1"/>
    <col min="10264" max="10496" width="9.140625" style="16"/>
    <col min="10497" max="10497" width="5" style="16" customWidth="1"/>
    <col min="10498" max="10498" width="17.85546875" style="16" customWidth="1"/>
    <col min="10499" max="10499" width="11.140625" style="16" bestFit="1" customWidth="1"/>
    <col min="10500" max="10500" width="6.7109375" style="16" bestFit="1" customWidth="1"/>
    <col min="10501" max="10501" width="8.5703125" style="16" bestFit="1" customWidth="1"/>
    <col min="10502" max="10502" width="8.7109375" style="16" customWidth="1"/>
    <col min="10503" max="10504" width="8.42578125" style="16" customWidth="1"/>
    <col min="10505" max="10505" width="7.140625" style="16" bestFit="1" customWidth="1"/>
    <col min="10506" max="10506" width="9" style="16" customWidth="1"/>
    <col min="10507" max="10508" width="7" style="16" bestFit="1" customWidth="1"/>
    <col min="10509" max="10509" width="6.85546875" style="16" bestFit="1" customWidth="1"/>
    <col min="10510" max="10510" width="7" style="16" bestFit="1" customWidth="1"/>
    <col min="10511" max="10511" width="8.140625" style="16" bestFit="1" customWidth="1"/>
    <col min="10512" max="10516" width="9.140625" style="16"/>
    <col min="10517" max="10517" width="12.42578125" style="16" customWidth="1"/>
    <col min="10518" max="10518" width="9.140625" style="16"/>
    <col min="10519" max="10519" width="12" style="16" customWidth="1"/>
    <col min="10520" max="10752" width="9.140625" style="16"/>
    <col min="10753" max="10753" width="5" style="16" customWidth="1"/>
    <col min="10754" max="10754" width="17.85546875" style="16" customWidth="1"/>
    <col min="10755" max="10755" width="11.140625" style="16" bestFit="1" customWidth="1"/>
    <col min="10756" max="10756" width="6.7109375" style="16" bestFit="1" customWidth="1"/>
    <col min="10757" max="10757" width="8.5703125" style="16" bestFit="1" customWidth="1"/>
    <col min="10758" max="10758" width="8.7109375" style="16" customWidth="1"/>
    <col min="10759" max="10760" width="8.42578125" style="16" customWidth="1"/>
    <col min="10761" max="10761" width="7.140625" style="16" bestFit="1" customWidth="1"/>
    <col min="10762" max="10762" width="9" style="16" customWidth="1"/>
    <col min="10763" max="10764" width="7" style="16" bestFit="1" customWidth="1"/>
    <col min="10765" max="10765" width="6.85546875" style="16" bestFit="1" customWidth="1"/>
    <col min="10766" max="10766" width="7" style="16" bestFit="1" customWidth="1"/>
    <col min="10767" max="10767" width="8.140625" style="16" bestFit="1" customWidth="1"/>
    <col min="10768" max="10772" width="9.140625" style="16"/>
    <col min="10773" max="10773" width="12.42578125" style="16" customWidth="1"/>
    <col min="10774" max="10774" width="9.140625" style="16"/>
    <col min="10775" max="10775" width="12" style="16" customWidth="1"/>
    <col min="10776" max="11008" width="9.140625" style="16"/>
    <col min="11009" max="11009" width="5" style="16" customWidth="1"/>
    <col min="11010" max="11010" width="17.85546875" style="16" customWidth="1"/>
    <col min="11011" max="11011" width="11.140625" style="16" bestFit="1" customWidth="1"/>
    <col min="11012" max="11012" width="6.7109375" style="16" bestFit="1" customWidth="1"/>
    <col min="11013" max="11013" width="8.5703125" style="16" bestFit="1" customWidth="1"/>
    <col min="11014" max="11014" width="8.7109375" style="16" customWidth="1"/>
    <col min="11015" max="11016" width="8.42578125" style="16" customWidth="1"/>
    <col min="11017" max="11017" width="7.140625" style="16" bestFit="1" customWidth="1"/>
    <col min="11018" max="11018" width="9" style="16" customWidth="1"/>
    <col min="11019" max="11020" width="7" style="16" bestFit="1" customWidth="1"/>
    <col min="11021" max="11021" width="6.85546875" style="16" bestFit="1" customWidth="1"/>
    <col min="11022" max="11022" width="7" style="16" bestFit="1" customWidth="1"/>
    <col min="11023" max="11023" width="8.140625" style="16" bestFit="1" customWidth="1"/>
    <col min="11024" max="11028" width="9.140625" style="16"/>
    <col min="11029" max="11029" width="12.42578125" style="16" customWidth="1"/>
    <col min="11030" max="11030" width="9.140625" style="16"/>
    <col min="11031" max="11031" width="12" style="16" customWidth="1"/>
    <col min="11032" max="11264" width="9.140625" style="16"/>
    <col min="11265" max="11265" width="5" style="16" customWidth="1"/>
    <col min="11266" max="11266" width="17.85546875" style="16" customWidth="1"/>
    <col min="11267" max="11267" width="11.140625" style="16" bestFit="1" customWidth="1"/>
    <col min="11268" max="11268" width="6.7109375" style="16" bestFit="1" customWidth="1"/>
    <col min="11269" max="11269" width="8.5703125" style="16" bestFit="1" customWidth="1"/>
    <col min="11270" max="11270" width="8.7109375" style="16" customWidth="1"/>
    <col min="11271" max="11272" width="8.42578125" style="16" customWidth="1"/>
    <col min="11273" max="11273" width="7.140625" style="16" bestFit="1" customWidth="1"/>
    <col min="11274" max="11274" width="9" style="16" customWidth="1"/>
    <col min="11275" max="11276" width="7" style="16" bestFit="1" customWidth="1"/>
    <col min="11277" max="11277" width="6.85546875" style="16" bestFit="1" customWidth="1"/>
    <col min="11278" max="11278" width="7" style="16" bestFit="1" customWidth="1"/>
    <col min="11279" max="11279" width="8.140625" style="16" bestFit="1" customWidth="1"/>
    <col min="11280" max="11284" width="9.140625" style="16"/>
    <col min="11285" max="11285" width="12.42578125" style="16" customWidth="1"/>
    <col min="11286" max="11286" width="9.140625" style="16"/>
    <col min="11287" max="11287" width="12" style="16" customWidth="1"/>
    <col min="11288" max="11520" width="9.140625" style="16"/>
    <col min="11521" max="11521" width="5" style="16" customWidth="1"/>
    <col min="11522" max="11522" width="17.85546875" style="16" customWidth="1"/>
    <col min="11523" max="11523" width="11.140625" style="16" bestFit="1" customWidth="1"/>
    <col min="11524" max="11524" width="6.7109375" style="16" bestFit="1" customWidth="1"/>
    <col min="11525" max="11525" width="8.5703125" style="16" bestFit="1" customWidth="1"/>
    <col min="11526" max="11526" width="8.7109375" style="16" customWidth="1"/>
    <col min="11527" max="11528" width="8.42578125" style="16" customWidth="1"/>
    <col min="11529" max="11529" width="7.140625" style="16" bestFit="1" customWidth="1"/>
    <col min="11530" max="11530" width="9" style="16" customWidth="1"/>
    <col min="11531" max="11532" width="7" style="16" bestFit="1" customWidth="1"/>
    <col min="11533" max="11533" width="6.85546875" style="16" bestFit="1" customWidth="1"/>
    <col min="11534" max="11534" width="7" style="16" bestFit="1" customWidth="1"/>
    <col min="11535" max="11535" width="8.140625" style="16" bestFit="1" customWidth="1"/>
    <col min="11536" max="11540" width="9.140625" style="16"/>
    <col min="11541" max="11541" width="12.42578125" style="16" customWidth="1"/>
    <col min="11542" max="11542" width="9.140625" style="16"/>
    <col min="11543" max="11543" width="12" style="16" customWidth="1"/>
    <col min="11544" max="11776" width="9.140625" style="16"/>
    <col min="11777" max="11777" width="5" style="16" customWidth="1"/>
    <col min="11778" max="11778" width="17.85546875" style="16" customWidth="1"/>
    <col min="11779" max="11779" width="11.140625" style="16" bestFit="1" customWidth="1"/>
    <col min="11780" max="11780" width="6.7109375" style="16" bestFit="1" customWidth="1"/>
    <col min="11781" max="11781" width="8.5703125" style="16" bestFit="1" customWidth="1"/>
    <col min="11782" max="11782" width="8.7109375" style="16" customWidth="1"/>
    <col min="11783" max="11784" width="8.42578125" style="16" customWidth="1"/>
    <col min="11785" max="11785" width="7.140625" style="16" bestFit="1" customWidth="1"/>
    <col min="11786" max="11786" width="9" style="16" customWidth="1"/>
    <col min="11787" max="11788" width="7" style="16" bestFit="1" customWidth="1"/>
    <col min="11789" max="11789" width="6.85546875" style="16" bestFit="1" customWidth="1"/>
    <col min="11790" max="11790" width="7" style="16" bestFit="1" customWidth="1"/>
    <col min="11791" max="11791" width="8.140625" style="16" bestFit="1" customWidth="1"/>
    <col min="11792" max="11796" width="9.140625" style="16"/>
    <col min="11797" max="11797" width="12.42578125" style="16" customWidth="1"/>
    <col min="11798" max="11798" width="9.140625" style="16"/>
    <col min="11799" max="11799" width="12" style="16" customWidth="1"/>
    <col min="11800" max="12032" width="9.140625" style="16"/>
    <col min="12033" max="12033" width="5" style="16" customWidth="1"/>
    <col min="12034" max="12034" width="17.85546875" style="16" customWidth="1"/>
    <col min="12035" max="12035" width="11.140625" style="16" bestFit="1" customWidth="1"/>
    <col min="12036" max="12036" width="6.7109375" style="16" bestFit="1" customWidth="1"/>
    <col min="12037" max="12037" width="8.5703125" style="16" bestFit="1" customWidth="1"/>
    <col min="12038" max="12038" width="8.7109375" style="16" customWidth="1"/>
    <col min="12039" max="12040" width="8.42578125" style="16" customWidth="1"/>
    <col min="12041" max="12041" width="7.140625" style="16" bestFit="1" customWidth="1"/>
    <col min="12042" max="12042" width="9" style="16" customWidth="1"/>
    <col min="12043" max="12044" width="7" style="16" bestFit="1" customWidth="1"/>
    <col min="12045" max="12045" width="6.85546875" style="16" bestFit="1" customWidth="1"/>
    <col min="12046" max="12046" width="7" style="16" bestFit="1" customWidth="1"/>
    <col min="12047" max="12047" width="8.140625" style="16" bestFit="1" customWidth="1"/>
    <col min="12048" max="12052" width="9.140625" style="16"/>
    <col min="12053" max="12053" width="12.42578125" style="16" customWidth="1"/>
    <col min="12054" max="12054" width="9.140625" style="16"/>
    <col min="12055" max="12055" width="12" style="16" customWidth="1"/>
    <col min="12056" max="12288" width="9.140625" style="16"/>
    <col min="12289" max="12289" width="5" style="16" customWidth="1"/>
    <col min="12290" max="12290" width="17.85546875" style="16" customWidth="1"/>
    <col min="12291" max="12291" width="11.140625" style="16" bestFit="1" customWidth="1"/>
    <col min="12292" max="12292" width="6.7109375" style="16" bestFit="1" customWidth="1"/>
    <col min="12293" max="12293" width="8.5703125" style="16" bestFit="1" customWidth="1"/>
    <col min="12294" max="12294" width="8.7109375" style="16" customWidth="1"/>
    <col min="12295" max="12296" width="8.42578125" style="16" customWidth="1"/>
    <col min="12297" max="12297" width="7.140625" style="16" bestFit="1" customWidth="1"/>
    <col min="12298" max="12298" width="9" style="16" customWidth="1"/>
    <col min="12299" max="12300" width="7" style="16" bestFit="1" customWidth="1"/>
    <col min="12301" max="12301" width="6.85546875" style="16" bestFit="1" customWidth="1"/>
    <col min="12302" max="12302" width="7" style="16" bestFit="1" customWidth="1"/>
    <col min="12303" max="12303" width="8.140625" style="16" bestFit="1" customWidth="1"/>
    <col min="12304" max="12308" width="9.140625" style="16"/>
    <col min="12309" max="12309" width="12.42578125" style="16" customWidth="1"/>
    <col min="12310" max="12310" width="9.140625" style="16"/>
    <col min="12311" max="12311" width="12" style="16" customWidth="1"/>
    <col min="12312" max="12544" width="9.140625" style="16"/>
    <col min="12545" max="12545" width="5" style="16" customWidth="1"/>
    <col min="12546" max="12546" width="17.85546875" style="16" customWidth="1"/>
    <col min="12547" max="12547" width="11.140625" style="16" bestFit="1" customWidth="1"/>
    <col min="12548" max="12548" width="6.7109375" style="16" bestFit="1" customWidth="1"/>
    <col min="12549" max="12549" width="8.5703125" style="16" bestFit="1" customWidth="1"/>
    <col min="12550" max="12550" width="8.7109375" style="16" customWidth="1"/>
    <col min="12551" max="12552" width="8.42578125" style="16" customWidth="1"/>
    <col min="12553" max="12553" width="7.140625" style="16" bestFit="1" customWidth="1"/>
    <col min="12554" max="12554" width="9" style="16" customWidth="1"/>
    <col min="12555" max="12556" width="7" style="16" bestFit="1" customWidth="1"/>
    <col min="12557" max="12557" width="6.85546875" style="16" bestFit="1" customWidth="1"/>
    <col min="12558" max="12558" width="7" style="16" bestFit="1" customWidth="1"/>
    <col min="12559" max="12559" width="8.140625" style="16" bestFit="1" customWidth="1"/>
    <col min="12560" max="12564" width="9.140625" style="16"/>
    <col min="12565" max="12565" width="12.42578125" style="16" customWidth="1"/>
    <col min="12566" max="12566" width="9.140625" style="16"/>
    <col min="12567" max="12567" width="12" style="16" customWidth="1"/>
    <col min="12568" max="12800" width="9.140625" style="16"/>
    <col min="12801" max="12801" width="5" style="16" customWidth="1"/>
    <col min="12802" max="12802" width="17.85546875" style="16" customWidth="1"/>
    <col min="12803" max="12803" width="11.140625" style="16" bestFit="1" customWidth="1"/>
    <col min="12804" max="12804" width="6.7109375" style="16" bestFit="1" customWidth="1"/>
    <col min="12805" max="12805" width="8.5703125" style="16" bestFit="1" customWidth="1"/>
    <col min="12806" max="12806" width="8.7109375" style="16" customWidth="1"/>
    <col min="12807" max="12808" width="8.42578125" style="16" customWidth="1"/>
    <col min="12809" max="12809" width="7.140625" style="16" bestFit="1" customWidth="1"/>
    <col min="12810" max="12810" width="9" style="16" customWidth="1"/>
    <col min="12811" max="12812" width="7" style="16" bestFit="1" customWidth="1"/>
    <col min="12813" max="12813" width="6.85546875" style="16" bestFit="1" customWidth="1"/>
    <col min="12814" max="12814" width="7" style="16" bestFit="1" customWidth="1"/>
    <col min="12815" max="12815" width="8.140625" style="16" bestFit="1" customWidth="1"/>
    <col min="12816" max="12820" width="9.140625" style="16"/>
    <col min="12821" max="12821" width="12.42578125" style="16" customWidth="1"/>
    <col min="12822" max="12822" width="9.140625" style="16"/>
    <col min="12823" max="12823" width="12" style="16" customWidth="1"/>
    <col min="12824" max="13056" width="9.140625" style="16"/>
    <col min="13057" max="13057" width="5" style="16" customWidth="1"/>
    <col min="13058" max="13058" width="17.85546875" style="16" customWidth="1"/>
    <col min="13059" max="13059" width="11.140625" style="16" bestFit="1" customWidth="1"/>
    <col min="13060" max="13060" width="6.7109375" style="16" bestFit="1" customWidth="1"/>
    <col min="13061" max="13061" width="8.5703125" style="16" bestFit="1" customWidth="1"/>
    <col min="13062" max="13062" width="8.7109375" style="16" customWidth="1"/>
    <col min="13063" max="13064" width="8.42578125" style="16" customWidth="1"/>
    <col min="13065" max="13065" width="7.140625" style="16" bestFit="1" customWidth="1"/>
    <col min="13066" max="13066" width="9" style="16" customWidth="1"/>
    <col min="13067" max="13068" width="7" style="16" bestFit="1" customWidth="1"/>
    <col min="13069" max="13069" width="6.85546875" style="16" bestFit="1" customWidth="1"/>
    <col min="13070" max="13070" width="7" style="16" bestFit="1" customWidth="1"/>
    <col min="13071" max="13071" width="8.140625" style="16" bestFit="1" customWidth="1"/>
    <col min="13072" max="13076" width="9.140625" style="16"/>
    <col min="13077" max="13077" width="12.42578125" style="16" customWidth="1"/>
    <col min="13078" max="13078" width="9.140625" style="16"/>
    <col min="13079" max="13079" width="12" style="16" customWidth="1"/>
    <col min="13080" max="13312" width="9.140625" style="16"/>
    <col min="13313" max="13313" width="5" style="16" customWidth="1"/>
    <col min="13314" max="13314" width="17.85546875" style="16" customWidth="1"/>
    <col min="13315" max="13315" width="11.140625" style="16" bestFit="1" customWidth="1"/>
    <col min="13316" max="13316" width="6.7109375" style="16" bestFit="1" customWidth="1"/>
    <col min="13317" max="13317" width="8.5703125" style="16" bestFit="1" customWidth="1"/>
    <col min="13318" max="13318" width="8.7109375" style="16" customWidth="1"/>
    <col min="13319" max="13320" width="8.42578125" style="16" customWidth="1"/>
    <col min="13321" max="13321" width="7.140625" style="16" bestFit="1" customWidth="1"/>
    <col min="13322" max="13322" width="9" style="16" customWidth="1"/>
    <col min="13323" max="13324" width="7" style="16" bestFit="1" customWidth="1"/>
    <col min="13325" max="13325" width="6.85546875" style="16" bestFit="1" customWidth="1"/>
    <col min="13326" max="13326" width="7" style="16" bestFit="1" customWidth="1"/>
    <col min="13327" max="13327" width="8.140625" style="16" bestFit="1" customWidth="1"/>
    <col min="13328" max="13332" width="9.140625" style="16"/>
    <col min="13333" max="13333" width="12.42578125" style="16" customWidth="1"/>
    <col min="13334" max="13334" width="9.140625" style="16"/>
    <col min="13335" max="13335" width="12" style="16" customWidth="1"/>
    <col min="13336" max="13568" width="9.140625" style="16"/>
    <col min="13569" max="13569" width="5" style="16" customWidth="1"/>
    <col min="13570" max="13570" width="17.85546875" style="16" customWidth="1"/>
    <col min="13571" max="13571" width="11.140625" style="16" bestFit="1" customWidth="1"/>
    <col min="13572" max="13572" width="6.7109375" style="16" bestFit="1" customWidth="1"/>
    <col min="13573" max="13573" width="8.5703125" style="16" bestFit="1" customWidth="1"/>
    <col min="13574" max="13574" width="8.7109375" style="16" customWidth="1"/>
    <col min="13575" max="13576" width="8.42578125" style="16" customWidth="1"/>
    <col min="13577" max="13577" width="7.140625" style="16" bestFit="1" customWidth="1"/>
    <col min="13578" max="13578" width="9" style="16" customWidth="1"/>
    <col min="13579" max="13580" width="7" style="16" bestFit="1" customWidth="1"/>
    <col min="13581" max="13581" width="6.85546875" style="16" bestFit="1" customWidth="1"/>
    <col min="13582" max="13582" width="7" style="16" bestFit="1" customWidth="1"/>
    <col min="13583" max="13583" width="8.140625" style="16" bestFit="1" customWidth="1"/>
    <col min="13584" max="13588" width="9.140625" style="16"/>
    <col min="13589" max="13589" width="12.42578125" style="16" customWidth="1"/>
    <col min="13590" max="13590" width="9.140625" style="16"/>
    <col min="13591" max="13591" width="12" style="16" customWidth="1"/>
    <col min="13592" max="13824" width="9.140625" style="16"/>
    <col min="13825" max="13825" width="5" style="16" customWidth="1"/>
    <col min="13826" max="13826" width="17.85546875" style="16" customWidth="1"/>
    <col min="13827" max="13827" width="11.140625" style="16" bestFit="1" customWidth="1"/>
    <col min="13828" max="13828" width="6.7109375" style="16" bestFit="1" customWidth="1"/>
    <col min="13829" max="13829" width="8.5703125" style="16" bestFit="1" customWidth="1"/>
    <col min="13830" max="13830" width="8.7109375" style="16" customWidth="1"/>
    <col min="13831" max="13832" width="8.42578125" style="16" customWidth="1"/>
    <col min="13833" max="13833" width="7.140625" style="16" bestFit="1" customWidth="1"/>
    <col min="13834" max="13834" width="9" style="16" customWidth="1"/>
    <col min="13835" max="13836" width="7" style="16" bestFit="1" customWidth="1"/>
    <col min="13837" max="13837" width="6.85546875" style="16" bestFit="1" customWidth="1"/>
    <col min="13838" max="13838" width="7" style="16" bestFit="1" customWidth="1"/>
    <col min="13839" max="13839" width="8.140625" style="16" bestFit="1" customWidth="1"/>
    <col min="13840" max="13844" width="9.140625" style="16"/>
    <col min="13845" max="13845" width="12.42578125" style="16" customWidth="1"/>
    <col min="13846" max="13846" width="9.140625" style="16"/>
    <col min="13847" max="13847" width="12" style="16" customWidth="1"/>
    <col min="13848" max="14080" width="9.140625" style="16"/>
    <col min="14081" max="14081" width="5" style="16" customWidth="1"/>
    <col min="14082" max="14082" width="17.85546875" style="16" customWidth="1"/>
    <col min="14083" max="14083" width="11.140625" style="16" bestFit="1" customWidth="1"/>
    <col min="14084" max="14084" width="6.7109375" style="16" bestFit="1" customWidth="1"/>
    <col min="14085" max="14085" width="8.5703125" style="16" bestFit="1" customWidth="1"/>
    <col min="14086" max="14086" width="8.7109375" style="16" customWidth="1"/>
    <col min="14087" max="14088" width="8.42578125" style="16" customWidth="1"/>
    <col min="14089" max="14089" width="7.140625" style="16" bestFit="1" customWidth="1"/>
    <col min="14090" max="14090" width="9" style="16" customWidth="1"/>
    <col min="14091" max="14092" width="7" style="16" bestFit="1" customWidth="1"/>
    <col min="14093" max="14093" width="6.85546875" style="16" bestFit="1" customWidth="1"/>
    <col min="14094" max="14094" width="7" style="16" bestFit="1" customWidth="1"/>
    <col min="14095" max="14095" width="8.140625" style="16" bestFit="1" customWidth="1"/>
    <col min="14096" max="14100" width="9.140625" style="16"/>
    <col min="14101" max="14101" width="12.42578125" style="16" customWidth="1"/>
    <col min="14102" max="14102" width="9.140625" style="16"/>
    <col min="14103" max="14103" width="12" style="16" customWidth="1"/>
    <col min="14104" max="14336" width="9.140625" style="16"/>
    <col min="14337" max="14337" width="5" style="16" customWidth="1"/>
    <col min="14338" max="14338" width="17.85546875" style="16" customWidth="1"/>
    <col min="14339" max="14339" width="11.140625" style="16" bestFit="1" customWidth="1"/>
    <col min="14340" max="14340" width="6.7109375" style="16" bestFit="1" customWidth="1"/>
    <col min="14341" max="14341" width="8.5703125" style="16" bestFit="1" customWidth="1"/>
    <col min="14342" max="14342" width="8.7109375" style="16" customWidth="1"/>
    <col min="14343" max="14344" width="8.42578125" style="16" customWidth="1"/>
    <col min="14345" max="14345" width="7.140625" style="16" bestFit="1" customWidth="1"/>
    <col min="14346" max="14346" width="9" style="16" customWidth="1"/>
    <col min="14347" max="14348" width="7" style="16" bestFit="1" customWidth="1"/>
    <col min="14349" max="14349" width="6.85546875" style="16" bestFit="1" customWidth="1"/>
    <col min="14350" max="14350" width="7" style="16" bestFit="1" customWidth="1"/>
    <col min="14351" max="14351" width="8.140625" style="16" bestFit="1" customWidth="1"/>
    <col min="14352" max="14356" width="9.140625" style="16"/>
    <col min="14357" max="14357" width="12.42578125" style="16" customWidth="1"/>
    <col min="14358" max="14358" width="9.140625" style="16"/>
    <col min="14359" max="14359" width="12" style="16" customWidth="1"/>
    <col min="14360" max="14592" width="9.140625" style="16"/>
    <col min="14593" max="14593" width="5" style="16" customWidth="1"/>
    <col min="14594" max="14594" width="17.85546875" style="16" customWidth="1"/>
    <col min="14595" max="14595" width="11.140625" style="16" bestFit="1" customWidth="1"/>
    <col min="14596" max="14596" width="6.7109375" style="16" bestFit="1" customWidth="1"/>
    <col min="14597" max="14597" width="8.5703125" style="16" bestFit="1" customWidth="1"/>
    <col min="14598" max="14598" width="8.7109375" style="16" customWidth="1"/>
    <col min="14599" max="14600" width="8.42578125" style="16" customWidth="1"/>
    <col min="14601" max="14601" width="7.140625" style="16" bestFit="1" customWidth="1"/>
    <col min="14602" max="14602" width="9" style="16" customWidth="1"/>
    <col min="14603" max="14604" width="7" style="16" bestFit="1" customWidth="1"/>
    <col min="14605" max="14605" width="6.85546875" style="16" bestFit="1" customWidth="1"/>
    <col min="14606" max="14606" width="7" style="16" bestFit="1" customWidth="1"/>
    <col min="14607" max="14607" width="8.140625" style="16" bestFit="1" customWidth="1"/>
    <col min="14608" max="14612" width="9.140625" style="16"/>
    <col min="14613" max="14613" width="12.42578125" style="16" customWidth="1"/>
    <col min="14614" max="14614" width="9.140625" style="16"/>
    <col min="14615" max="14615" width="12" style="16" customWidth="1"/>
    <col min="14616" max="14848" width="9.140625" style="16"/>
    <col min="14849" max="14849" width="5" style="16" customWidth="1"/>
    <col min="14850" max="14850" width="17.85546875" style="16" customWidth="1"/>
    <col min="14851" max="14851" width="11.140625" style="16" bestFit="1" customWidth="1"/>
    <col min="14852" max="14852" width="6.7109375" style="16" bestFit="1" customWidth="1"/>
    <col min="14853" max="14853" width="8.5703125" style="16" bestFit="1" customWidth="1"/>
    <col min="14854" max="14854" width="8.7109375" style="16" customWidth="1"/>
    <col min="14855" max="14856" width="8.42578125" style="16" customWidth="1"/>
    <col min="14857" max="14857" width="7.140625" style="16" bestFit="1" customWidth="1"/>
    <col min="14858" max="14858" width="9" style="16" customWidth="1"/>
    <col min="14859" max="14860" width="7" style="16" bestFit="1" customWidth="1"/>
    <col min="14861" max="14861" width="6.85546875" style="16" bestFit="1" customWidth="1"/>
    <col min="14862" max="14862" width="7" style="16" bestFit="1" customWidth="1"/>
    <col min="14863" max="14863" width="8.140625" style="16" bestFit="1" customWidth="1"/>
    <col min="14864" max="14868" width="9.140625" style="16"/>
    <col min="14869" max="14869" width="12.42578125" style="16" customWidth="1"/>
    <col min="14870" max="14870" width="9.140625" style="16"/>
    <col min="14871" max="14871" width="12" style="16" customWidth="1"/>
    <col min="14872" max="15104" width="9.140625" style="16"/>
    <col min="15105" max="15105" width="5" style="16" customWidth="1"/>
    <col min="15106" max="15106" width="17.85546875" style="16" customWidth="1"/>
    <col min="15107" max="15107" width="11.140625" style="16" bestFit="1" customWidth="1"/>
    <col min="15108" max="15108" width="6.7109375" style="16" bestFit="1" customWidth="1"/>
    <col min="15109" max="15109" width="8.5703125" style="16" bestFit="1" customWidth="1"/>
    <col min="15110" max="15110" width="8.7109375" style="16" customWidth="1"/>
    <col min="15111" max="15112" width="8.42578125" style="16" customWidth="1"/>
    <col min="15113" max="15113" width="7.140625" style="16" bestFit="1" customWidth="1"/>
    <col min="15114" max="15114" width="9" style="16" customWidth="1"/>
    <col min="15115" max="15116" width="7" style="16" bestFit="1" customWidth="1"/>
    <col min="15117" max="15117" width="6.85546875" style="16" bestFit="1" customWidth="1"/>
    <col min="15118" max="15118" width="7" style="16" bestFit="1" customWidth="1"/>
    <col min="15119" max="15119" width="8.140625" style="16" bestFit="1" customWidth="1"/>
    <col min="15120" max="15124" width="9.140625" style="16"/>
    <col min="15125" max="15125" width="12.42578125" style="16" customWidth="1"/>
    <col min="15126" max="15126" width="9.140625" style="16"/>
    <col min="15127" max="15127" width="12" style="16" customWidth="1"/>
    <col min="15128" max="15360" width="9.140625" style="16"/>
    <col min="15361" max="15361" width="5" style="16" customWidth="1"/>
    <col min="15362" max="15362" width="17.85546875" style="16" customWidth="1"/>
    <col min="15363" max="15363" width="11.140625" style="16" bestFit="1" customWidth="1"/>
    <col min="15364" max="15364" width="6.7109375" style="16" bestFit="1" customWidth="1"/>
    <col min="15365" max="15365" width="8.5703125" style="16" bestFit="1" customWidth="1"/>
    <col min="15366" max="15366" width="8.7109375" style="16" customWidth="1"/>
    <col min="15367" max="15368" width="8.42578125" style="16" customWidth="1"/>
    <col min="15369" max="15369" width="7.140625" style="16" bestFit="1" customWidth="1"/>
    <col min="15370" max="15370" width="9" style="16" customWidth="1"/>
    <col min="15371" max="15372" width="7" style="16" bestFit="1" customWidth="1"/>
    <col min="15373" max="15373" width="6.85546875" style="16" bestFit="1" customWidth="1"/>
    <col min="15374" max="15374" width="7" style="16" bestFit="1" customWidth="1"/>
    <col min="15375" max="15375" width="8.140625" style="16" bestFit="1" customWidth="1"/>
    <col min="15376" max="15380" width="9.140625" style="16"/>
    <col min="15381" max="15381" width="12.42578125" style="16" customWidth="1"/>
    <col min="15382" max="15382" width="9.140625" style="16"/>
    <col min="15383" max="15383" width="12" style="16" customWidth="1"/>
    <col min="15384" max="15616" width="9.140625" style="16"/>
    <col min="15617" max="15617" width="5" style="16" customWidth="1"/>
    <col min="15618" max="15618" width="17.85546875" style="16" customWidth="1"/>
    <col min="15619" max="15619" width="11.140625" style="16" bestFit="1" customWidth="1"/>
    <col min="15620" max="15620" width="6.7109375" style="16" bestFit="1" customWidth="1"/>
    <col min="15621" max="15621" width="8.5703125" style="16" bestFit="1" customWidth="1"/>
    <col min="15622" max="15622" width="8.7109375" style="16" customWidth="1"/>
    <col min="15623" max="15624" width="8.42578125" style="16" customWidth="1"/>
    <col min="15625" max="15625" width="7.140625" style="16" bestFit="1" customWidth="1"/>
    <col min="15626" max="15626" width="9" style="16" customWidth="1"/>
    <col min="15627" max="15628" width="7" style="16" bestFit="1" customWidth="1"/>
    <col min="15629" max="15629" width="6.85546875" style="16" bestFit="1" customWidth="1"/>
    <col min="15630" max="15630" width="7" style="16" bestFit="1" customWidth="1"/>
    <col min="15631" max="15631" width="8.140625" style="16" bestFit="1" customWidth="1"/>
    <col min="15632" max="15636" width="9.140625" style="16"/>
    <col min="15637" max="15637" width="12.42578125" style="16" customWidth="1"/>
    <col min="15638" max="15638" width="9.140625" style="16"/>
    <col min="15639" max="15639" width="12" style="16" customWidth="1"/>
    <col min="15640" max="15872" width="9.140625" style="16"/>
    <col min="15873" max="15873" width="5" style="16" customWidth="1"/>
    <col min="15874" max="15874" width="17.85546875" style="16" customWidth="1"/>
    <col min="15875" max="15875" width="11.140625" style="16" bestFit="1" customWidth="1"/>
    <col min="15876" max="15876" width="6.7109375" style="16" bestFit="1" customWidth="1"/>
    <col min="15877" max="15877" width="8.5703125" style="16" bestFit="1" customWidth="1"/>
    <col min="15878" max="15878" width="8.7109375" style="16" customWidth="1"/>
    <col min="15879" max="15880" width="8.42578125" style="16" customWidth="1"/>
    <col min="15881" max="15881" width="7.140625" style="16" bestFit="1" customWidth="1"/>
    <col min="15882" max="15882" width="9" style="16" customWidth="1"/>
    <col min="15883" max="15884" width="7" style="16" bestFit="1" customWidth="1"/>
    <col min="15885" max="15885" width="6.85546875" style="16" bestFit="1" customWidth="1"/>
    <col min="15886" max="15886" width="7" style="16" bestFit="1" customWidth="1"/>
    <col min="15887" max="15887" width="8.140625" style="16" bestFit="1" customWidth="1"/>
    <col min="15888" max="15892" width="9.140625" style="16"/>
    <col min="15893" max="15893" width="12.42578125" style="16" customWidth="1"/>
    <col min="15894" max="15894" width="9.140625" style="16"/>
    <col min="15895" max="15895" width="12" style="16" customWidth="1"/>
    <col min="15896" max="16128" width="9.140625" style="16"/>
    <col min="16129" max="16129" width="5" style="16" customWidth="1"/>
    <col min="16130" max="16130" width="17.85546875" style="16" customWidth="1"/>
    <col min="16131" max="16131" width="11.140625" style="16" bestFit="1" customWidth="1"/>
    <col min="16132" max="16132" width="6.7109375" style="16" bestFit="1" customWidth="1"/>
    <col min="16133" max="16133" width="8.5703125" style="16" bestFit="1" customWidth="1"/>
    <col min="16134" max="16134" width="8.7109375" style="16" customWidth="1"/>
    <col min="16135" max="16136" width="8.42578125" style="16" customWidth="1"/>
    <col min="16137" max="16137" width="7.140625" style="16" bestFit="1" customWidth="1"/>
    <col min="16138" max="16138" width="9" style="16" customWidth="1"/>
    <col min="16139" max="16140" width="7" style="16" bestFit="1" customWidth="1"/>
    <col min="16141" max="16141" width="6.85546875" style="16" bestFit="1" customWidth="1"/>
    <col min="16142" max="16142" width="7" style="16" bestFit="1" customWidth="1"/>
    <col min="16143" max="16143" width="8.140625" style="16" bestFit="1" customWidth="1"/>
    <col min="16144" max="16148" width="9.140625" style="16"/>
    <col min="16149" max="16149" width="12.42578125" style="16" customWidth="1"/>
    <col min="16150" max="16150" width="9.140625" style="16"/>
    <col min="16151" max="16151" width="12" style="16" customWidth="1"/>
    <col min="16152" max="16384" width="9.140625" style="16"/>
  </cols>
  <sheetData>
    <row r="1" spans="1:17" s="1" customFormat="1" x14ac:dyDescent="0.2">
      <c r="A1" s="867" t="s">
        <v>449</v>
      </c>
      <c r="B1" s="868"/>
      <c r="C1" s="868"/>
      <c r="D1" s="869"/>
      <c r="E1" s="868"/>
      <c r="F1" s="868"/>
      <c r="G1" s="867" t="s">
        <v>102</v>
      </c>
      <c r="H1" s="869"/>
      <c r="I1" s="869" t="s">
        <v>930</v>
      </c>
      <c r="J1" s="868"/>
      <c r="K1" s="868"/>
      <c r="L1" s="870"/>
      <c r="M1" s="870"/>
      <c r="N1" s="870"/>
      <c r="O1" s="870"/>
    </row>
    <row r="2" spans="1:17" s="1" customFormat="1" x14ac:dyDescent="0.2">
      <c r="A2" s="867" t="s">
        <v>103</v>
      </c>
      <c r="B2" s="868"/>
      <c r="C2" s="868"/>
      <c r="D2" s="869"/>
      <c r="E2" s="868"/>
      <c r="F2" s="868"/>
      <c r="G2" s="867" t="s">
        <v>104</v>
      </c>
      <c r="H2" s="869"/>
      <c r="I2" s="869" t="s">
        <v>105</v>
      </c>
      <c r="J2" s="868"/>
      <c r="K2" s="868"/>
      <c r="L2" s="870"/>
      <c r="M2" s="870"/>
      <c r="N2" s="870"/>
      <c r="O2" s="870"/>
    </row>
    <row r="3" spans="1:17" s="1" customFormat="1" x14ac:dyDescent="0.2">
      <c r="A3" s="867" t="s">
        <v>106</v>
      </c>
      <c r="B3" s="868"/>
      <c r="C3" s="868"/>
      <c r="D3" s="881">
        <v>23540</v>
      </c>
      <c r="E3" s="882"/>
      <c r="F3" s="882"/>
      <c r="G3" s="867" t="s">
        <v>107</v>
      </c>
      <c r="H3" s="869"/>
      <c r="I3" s="869" t="s">
        <v>108</v>
      </c>
      <c r="J3" s="868"/>
      <c r="K3" s="868"/>
      <c r="L3" s="870"/>
      <c r="M3" s="870"/>
      <c r="N3" s="870"/>
      <c r="O3" s="870"/>
    </row>
    <row r="4" spans="1:17" s="1" customFormat="1" x14ac:dyDescent="0.2">
      <c r="A4" s="867" t="s">
        <v>109</v>
      </c>
      <c r="B4" s="868"/>
      <c r="C4" s="868"/>
      <c r="D4" s="883"/>
      <c r="E4" s="868"/>
      <c r="F4" s="868"/>
      <c r="G4" s="867" t="s">
        <v>110</v>
      </c>
      <c r="H4" s="869"/>
      <c r="I4" s="869" t="s">
        <v>635</v>
      </c>
      <c r="J4" s="868"/>
      <c r="K4" s="868"/>
      <c r="L4" s="870"/>
      <c r="M4" s="870"/>
      <c r="N4" s="870"/>
      <c r="O4" s="870"/>
    </row>
    <row r="5" spans="1:17" s="1" customFormat="1" x14ac:dyDescent="0.2">
      <c r="A5" s="867" t="s">
        <v>443</v>
      </c>
      <c r="B5" s="868"/>
      <c r="C5" s="868"/>
      <c r="D5" s="869" t="s">
        <v>1090</v>
      </c>
      <c r="E5" s="868"/>
      <c r="F5" s="868"/>
      <c r="G5" s="867"/>
      <c r="H5" s="868"/>
      <c r="I5" s="869" t="s">
        <v>113</v>
      </c>
      <c r="J5" s="868"/>
      <c r="K5" s="868"/>
      <c r="L5" s="870"/>
      <c r="M5" s="870"/>
      <c r="N5" s="870"/>
      <c r="O5" s="870"/>
    </row>
    <row r="6" spans="1:17" s="1" customFormat="1" x14ac:dyDescent="0.2">
      <c r="A6" s="871" t="s">
        <v>114</v>
      </c>
      <c r="B6" s="872"/>
      <c r="C6" s="872"/>
      <c r="D6" s="868" t="s">
        <v>931</v>
      </c>
      <c r="E6" s="868"/>
      <c r="F6" s="868"/>
      <c r="G6" s="871" t="s">
        <v>115</v>
      </c>
      <c r="H6" s="871"/>
      <c r="I6" s="2" t="s">
        <v>116</v>
      </c>
      <c r="J6" s="888"/>
      <c r="K6" s="888"/>
      <c r="L6" s="888"/>
      <c r="M6" s="888"/>
      <c r="N6" s="888"/>
      <c r="O6" s="889"/>
    </row>
    <row r="7" spans="1:17" s="1" customFormat="1" ht="13.5" thickBot="1" x14ac:dyDescent="0.25">
      <c r="A7" s="3"/>
      <c r="B7" s="4"/>
      <c r="C7" s="5"/>
      <c r="D7" s="6"/>
      <c r="E7" s="6"/>
      <c r="F7" s="6"/>
      <c r="G7" s="6"/>
      <c r="H7" s="6"/>
      <c r="I7" s="6"/>
      <c r="J7" s="7"/>
      <c r="K7" s="8"/>
      <c r="L7" s="875" t="s">
        <v>223</v>
      </c>
      <c r="M7" s="875"/>
      <c r="N7" s="875"/>
      <c r="O7" s="875"/>
    </row>
    <row r="8" spans="1:17" s="11" customFormat="1" x14ac:dyDescent="0.2">
      <c r="A8" s="876" t="str">
        <f>I1</f>
        <v>Mr. N. G. Chikorde</v>
      </c>
      <c r="B8" s="877"/>
      <c r="C8" s="9">
        <v>43160</v>
      </c>
      <c r="D8" s="9">
        <v>43191</v>
      </c>
      <c r="E8" s="9">
        <v>43221</v>
      </c>
      <c r="F8" s="9">
        <v>43252</v>
      </c>
      <c r="G8" s="9">
        <v>43282</v>
      </c>
      <c r="H8" s="9">
        <v>43313</v>
      </c>
      <c r="I8" s="9">
        <v>43344</v>
      </c>
      <c r="J8" s="9">
        <v>43374</v>
      </c>
      <c r="K8" s="9">
        <v>43405</v>
      </c>
      <c r="L8" s="9">
        <v>43435</v>
      </c>
      <c r="M8" s="9">
        <v>43466</v>
      </c>
      <c r="N8" s="9">
        <v>43497</v>
      </c>
      <c r="O8" s="10" t="s">
        <v>117</v>
      </c>
      <c r="Q8" s="11" t="s">
        <v>116</v>
      </c>
    </row>
    <row r="9" spans="1:17" ht="15" x14ac:dyDescent="0.2">
      <c r="A9" s="12"/>
      <c r="B9" s="13" t="s">
        <v>118</v>
      </c>
      <c r="C9" s="14">
        <v>98700</v>
      </c>
      <c r="D9" s="14">
        <v>98700</v>
      </c>
      <c r="E9" s="14">
        <v>98700</v>
      </c>
      <c r="F9" s="14">
        <v>98700</v>
      </c>
      <c r="G9" s="14">
        <v>101700</v>
      </c>
      <c r="H9" s="14">
        <v>101700</v>
      </c>
      <c r="I9" s="14">
        <v>101700</v>
      </c>
      <c r="J9" s="14">
        <v>101700</v>
      </c>
      <c r="K9" s="14">
        <v>101700</v>
      </c>
      <c r="L9" s="14">
        <v>101700</v>
      </c>
      <c r="M9" s="14">
        <v>101700</v>
      </c>
      <c r="N9" s="14">
        <v>101700</v>
      </c>
      <c r="O9" s="15">
        <f>SUM(C9:N9)</f>
        <v>1208400</v>
      </c>
      <c r="Q9" s="16" t="s">
        <v>222</v>
      </c>
    </row>
    <row r="10" spans="1:17"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7" ht="15" x14ac:dyDescent="0.2">
      <c r="A11" s="12"/>
      <c r="B11" s="13" t="s">
        <v>120</v>
      </c>
      <c r="C11" s="17">
        <v>4935</v>
      </c>
      <c r="D11" s="17">
        <v>6909</v>
      </c>
      <c r="E11" s="17">
        <v>6909</v>
      </c>
      <c r="F11" s="17">
        <v>6909</v>
      </c>
      <c r="G11" s="17">
        <v>7119</v>
      </c>
      <c r="H11" s="17">
        <v>7119</v>
      </c>
      <c r="I11" s="17">
        <v>7119</v>
      </c>
      <c r="J11" s="17">
        <v>9153</v>
      </c>
      <c r="K11" s="17">
        <v>0</v>
      </c>
      <c r="L11" s="17">
        <v>0</v>
      </c>
      <c r="M11" s="17">
        <v>0</v>
      </c>
      <c r="N11" s="17">
        <v>0</v>
      </c>
      <c r="O11" s="18">
        <f>SUM(C11:N11)</f>
        <v>56172</v>
      </c>
    </row>
    <row r="12" spans="1:17" ht="17.25" hidden="1" customHeight="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7" ht="15" hidden="1" customHeight="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7" ht="15" x14ac:dyDescent="0.2">
      <c r="A14" s="12"/>
      <c r="B14" s="13" t="s">
        <v>123</v>
      </c>
      <c r="C14" s="17">
        <v>7560</v>
      </c>
      <c r="D14" s="17">
        <v>7704</v>
      </c>
      <c r="E14" s="17">
        <v>7704</v>
      </c>
      <c r="F14" s="17">
        <v>7704</v>
      </c>
      <c r="G14" s="17">
        <v>7704</v>
      </c>
      <c r="H14" s="17">
        <v>7704</v>
      </c>
      <c r="I14" s="17">
        <v>7704</v>
      </c>
      <c r="J14" s="17">
        <v>7848</v>
      </c>
      <c r="K14" s="17">
        <v>0</v>
      </c>
      <c r="L14" s="17">
        <v>0</v>
      </c>
      <c r="M14" s="17">
        <v>0</v>
      </c>
      <c r="N14" s="17">
        <v>0</v>
      </c>
      <c r="O14" s="18">
        <f t="shared" si="0"/>
        <v>61632</v>
      </c>
    </row>
    <row r="15" spans="1:17" ht="13.5" customHeight="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7" ht="14.25" hidden="1" customHeight="1"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row>
    <row r="17" spans="1:15" ht="15" hidden="1" customHeight="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23688</v>
      </c>
      <c r="D19" s="17">
        <v>23688</v>
      </c>
      <c r="E19" s="17">
        <v>23688</v>
      </c>
      <c r="F19" s="17">
        <v>23688</v>
      </c>
      <c r="G19" s="17">
        <v>24408</v>
      </c>
      <c r="H19" s="17">
        <v>24408</v>
      </c>
      <c r="I19" s="17">
        <v>24408</v>
      </c>
      <c r="J19" s="17">
        <v>24408</v>
      </c>
      <c r="K19" s="17">
        <v>24408</v>
      </c>
      <c r="L19" s="17">
        <v>24408</v>
      </c>
      <c r="M19" s="17">
        <v>24408</v>
      </c>
      <c r="N19" s="17">
        <v>24408</v>
      </c>
      <c r="O19" s="18">
        <f t="shared" si="0"/>
        <v>290016</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78"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79"/>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5" ht="15" hidden="1" customHeight="1" x14ac:dyDescent="0.2">
      <c r="A23" s="879"/>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79"/>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79"/>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79"/>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79"/>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79"/>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79"/>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79"/>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customHeight="1" x14ac:dyDescent="0.2">
      <c r="A31" s="879"/>
      <c r="B31" s="19" t="s">
        <v>1091</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79"/>
      <c r="B32" s="21" t="s">
        <v>142</v>
      </c>
      <c r="C32" s="17">
        <v>0</v>
      </c>
      <c r="D32" s="17">
        <v>0</v>
      </c>
      <c r="E32" s="17">
        <v>0</v>
      </c>
      <c r="F32" s="17">
        <v>0</v>
      </c>
      <c r="G32" s="17">
        <v>0</v>
      </c>
      <c r="H32" s="17">
        <v>0</v>
      </c>
      <c r="I32" s="17">
        <v>0</v>
      </c>
      <c r="J32" s="17">
        <v>0</v>
      </c>
      <c r="K32" s="17">
        <v>0</v>
      </c>
      <c r="L32" s="17">
        <v>0</v>
      </c>
      <c r="M32" s="17">
        <v>0</v>
      </c>
      <c r="N32" s="17">
        <v>0</v>
      </c>
      <c r="O32" s="18">
        <f t="shared" si="0"/>
        <v>0</v>
      </c>
    </row>
    <row r="33" spans="1:16" ht="15" hidden="1" customHeight="1" x14ac:dyDescent="0.2">
      <c r="A33" s="880"/>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865" t="s">
        <v>144</v>
      </c>
      <c r="B34" s="866"/>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865" t="s">
        <v>145</v>
      </c>
      <c r="B35" s="866"/>
      <c r="C35" s="17">
        <v>0</v>
      </c>
      <c r="D35" s="17">
        <v>432</v>
      </c>
      <c r="E35" s="17">
        <v>0</v>
      </c>
      <c r="F35" s="17">
        <v>0</v>
      </c>
      <c r="G35" s="17">
        <v>0</v>
      </c>
      <c r="H35" s="17">
        <v>0</v>
      </c>
      <c r="I35" s="17">
        <v>0</v>
      </c>
      <c r="J35" s="17">
        <v>432</v>
      </c>
      <c r="K35" s="17">
        <v>0</v>
      </c>
      <c r="L35" s="17">
        <v>0</v>
      </c>
      <c r="M35" s="17">
        <v>0</v>
      </c>
      <c r="N35" s="17">
        <v>0</v>
      </c>
      <c r="O35" s="18">
        <f t="shared" si="0"/>
        <v>864</v>
      </c>
    </row>
    <row r="36" spans="1:16" ht="15" customHeight="1" x14ac:dyDescent="0.2">
      <c r="A36" s="865" t="s">
        <v>146</v>
      </c>
      <c r="B36" s="866"/>
      <c r="C36" s="17">
        <v>0</v>
      </c>
      <c r="D36" s="17">
        <v>5922</v>
      </c>
      <c r="E36" s="17">
        <v>0</v>
      </c>
      <c r="F36" s="17">
        <v>0</v>
      </c>
      <c r="G36" s="17">
        <v>0</v>
      </c>
      <c r="H36" s="17">
        <v>0</v>
      </c>
      <c r="I36" s="17">
        <v>0</v>
      </c>
      <c r="J36" s="17">
        <v>6102</v>
      </c>
      <c r="K36" s="17">
        <v>0</v>
      </c>
      <c r="L36" s="17">
        <v>0</v>
      </c>
      <c r="M36" s="17">
        <v>0</v>
      </c>
      <c r="N36" s="17">
        <v>0</v>
      </c>
      <c r="O36" s="18">
        <f t="shared" si="0"/>
        <v>12024</v>
      </c>
    </row>
    <row r="37" spans="1:16" ht="15" customHeight="1" x14ac:dyDescent="0.2">
      <c r="A37" s="22"/>
      <c r="B37" s="23" t="s">
        <v>147</v>
      </c>
      <c r="C37" s="24">
        <f t="shared" ref="C37:N37" si="1">SUM(C9:C36)</f>
        <v>134883</v>
      </c>
      <c r="D37" s="24">
        <f t="shared" si="1"/>
        <v>143355</v>
      </c>
      <c r="E37" s="24">
        <f t="shared" si="1"/>
        <v>137001</v>
      </c>
      <c r="F37" s="24">
        <f t="shared" si="1"/>
        <v>137001</v>
      </c>
      <c r="G37" s="24">
        <f t="shared" si="1"/>
        <v>140931</v>
      </c>
      <c r="H37" s="24">
        <f t="shared" si="1"/>
        <v>140931</v>
      </c>
      <c r="I37" s="24">
        <f t="shared" si="1"/>
        <v>140931</v>
      </c>
      <c r="J37" s="24">
        <f t="shared" si="1"/>
        <v>156551</v>
      </c>
      <c r="K37" s="24">
        <f t="shared" si="1"/>
        <v>126108</v>
      </c>
      <c r="L37" s="24">
        <f t="shared" si="1"/>
        <v>126108</v>
      </c>
      <c r="M37" s="24">
        <f t="shared" si="1"/>
        <v>126108</v>
      </c>
      <c r="N37" s="24">
        <f t="shared" si="1"/>
        <v>126108</v>
      </c>
      <c r="O37" s="25">
        <f>SUM(C37:N37)</f>
        <v>1636016</v>
      </c>
    </row>
    <row r="38" spans="1:16" ht="15" customHeight="1" x14ac:dyDescent="0.25">
      <c r="A38" s="853" t="s">
        <v>148</v>
      </c>
      <c r="B38" s="27" t="s">
        <v>149</v>
      </c>
      <c r="C38" s="28">
        <v>18900</v>
      </c>
      <c r="D38" s="28">
        <v>19000</v>
      </c>
      <c r="E38" s="28">
        <v>19000</v>
      </c>
      <c r="F38" s="28">
        <v>19000</v>
      </c>
      <c r="G38" s="28">
        <v>19000</v>
      </c>
      <c r="H38" s="28">
        <v>19000</v>
      </c>
      <c r="I38" s="28">
        <v>19000</v>
      </c>
      <c r="J38" s="28">
        <v>19000</v>
      </c>
      <c r="K38" s="28">
        <v>25000</v>
      </c>
      <c r="L38" s="28">
        <v>25000</v>
      </c>
      <c r="M38" s="28">
        <v>21650</v>
      </c>
      <c r="N38">
        <v>24032</v>
      </c>
      <c r="O38" s="18">
        <f>SUM(C38:N38)</f>
        <v>247582</v>
      </c>
      <c r="P38" s="29"/>
    </row>
    <row r="39" spans="1:16" ht="15" x14ac:dyDescent="0.2">
      <c r="A39" s="854"/>
      <c r="B39" s="27" t="s">
        <v>150</v>
      </c>
      <c r="C39" s="28">
        <v>0</v>
      </c>
      <c r="D39" s="28">
        <v>0</v>
      </c>
      <c r="E39" s="28">
        <v>0</v>
      </c>
      <c r="F39" s="28">
        <v>0</v>
      </c>
      <c r="G39" s="28">
        <v>0</v>
      </c>
      <c r="H39" s="28">
        <v>0</v>
      </c>
      <c r="I39" s="28">
        <v>0</v>
      </c>
      <c r="J39" s="28">
        <v>0</v>
      </c>
      <c r="K39" s="28">
        <v>0</v>
      </c>
      <c r="L39" s="28">
        <v>0</v>
      </c>
      <c r="M39" s="28">
        <v>0</v>
      </c>
      <c r="N39" s="28">
        <v>0</v>
      </c>
      <c r="O39" s="18">
        <f>SUM(C39:N39)</f>
        <v>0</v>
      </c>
    </row>
    <row r="40" spans="1:16" ht="15" x14ac:dyDescent="0.2">
      <c r="A40" s="854"/>
      <c r="B40" s="27" t="s">
        <v>151</v>
      </c>
      <c r="C40" s="28">
        <v>60</v>
      </c>
      <c r="D40" s="28">
        <v>60</v>
      </c>
      <c r="E40" s="28">
        <v>60</v>
      </c>
      <c r="F40" s="28">
        <v>60</v>
      </c>
      <c r="G40" s="28">
        <v>60</v>
      </c>
      <c r="H40" s="28">
        <v>60</v>
      </c>
      <c r="I40" s="28">
        <v>60</v>
      </c>
      <c r="J40" s="28">
        <v>60</v>
      </c>
      <c r="K40" s="28">
        <v>60</v>
      </c>
      <c r="L40" s="28">
        <v>60</v>
      </c>
      <c r="M40" s="28">
        <v>60</v>
      </c>
      <c r="N40" s="28">
        <v>60</v>
      </c>
      <c r="O40" s="18">
        <f t="shared" ref="O40:O50" si="2">SUM(C40:N40)</f>
        <v>720</v>
      </c>
    </row>
    <row r="41" spans="1:16" ht="15" x14ac:dyDescent="0.2">
      <c r="A41" s="854"/>
      <c r="B41" s="27" t="s">
        <v>152</v>
      </c>
      <c r="C41" s="28">
        <v>0</v>
      </c>
      <c r="D41" s="28">
        <v>0</v>
      </c>
      <c r="E41" s="28">
        <v>0</v>
      </c>
      <c r="F41" s="28">
        <v>0</v>
      </c>
      <c r="G41" s="28">
        <v>0</v>
      </c>
      <c r="H41" s="28">
        <v>0</v>
      </c>
      <c r="I41" s="28">
        <v>0</v>
      </c>
      <c r="J41" s="28">
        <v>0</v>
      </c>
      <c r="K41" s="28">
        <v>0</v>
      </c>
      <c r="L41" s="28">
        <v>0</v>
      </c>
      <c r="M41" s="28">
        <v>0</v>
      </c>
      <c r="N41" s="28">
        <v>0</v>
      </c>
      <c r="O41" s="18">
        <f t="shared" si="2"/>
        <v>0</v>
      </c>
    </row>
    <row r="42" spans="1:16" ht="15" x14ac:dyDescent="0.2">
      <c r="A42" s="854"/>
      <c r="B42" s="27" t="s">
        <v>153</v>
      </c>
      <c r="C42" s="28">
        <v>0</v>
      </c>
      <c r="D42" s="28">
        <v>0</v>
      </c>
      <c r="E42" s="28">
        <v>0</v>
      </c>
      <c r="F42" s="28">
        <v>0</v>
      </c>
      <c r="G42" s="28">
        <v>0</v>
      </c>
      <c r="H42" s="28">
        <v>0</v>
      </c>
      <c r="I42" s="28">
        <v>0</v>
      </c>
      <c r="J42" s="28">
        <v>0</v>
      </c>
      <c r="K42" s="28">
        <v>0</v>
      </c>
      <c r="L42" s="28">
        <v>0</v>
      </c>
      <c r="M42" s="28">
        <v>0</v>
      </c>
      <c r="N42" s="28">
        <v>0</v>
      </c>
      <c r="O42" s="18">
        <f t="shared" si="2"/>
        <v>0</v>
      </c>
    </row>
    <row r="43" spans="1:16" ht="15" x14ac:dyDescent="0.2">
      <c r="A43" s="854"/>
      <c r="B43" s="27" t="s">
        <v>154</v>
      </c>
      <c r="C43" s="28">
        <v>40000</v>
      </c>
      <c r="D43" s="28">
        <v>40000</v>
      </c>
      <c r="E43" s="28">
        <v>40000</v>
      </c>
      <c r="F43" s="28">
        <v>40000</v>
      </c>
      <c r="G43" s="28">
        <v>40000</v>
      </c>
      <c r="H43" s="28">
        <v>40000</v>
      </c>
      <c r="I43" s="28">
        <v>40000</v>
      </c>
      <c r="J43" s="28">
        <v>40000</v>
      </c>
      <c r="K43" s="28">
        <v>40000</v>
      </c>
      <c r="L43" s="28">
        <v>40000</v>
      </c>
      <c r="M43" s="28">
        <v>40000</v>
      </c>
      <c r="N43" s="28">
        <v>40000</v>
      </c>
      <c r="O43" s="18">
        <f t="shared" si="2"/>
        <v>480000</v>
      </c>
    </row>
    <row r="44" spans="1:16" ht="15" x14ac:dyDescent="0.2">
      <c r="A44" s="854"/>
      <c r="B44" s="27" t="s">
        <v>155</v>
      </c>
      <c r="C44" s="28">
        <v>200</v>
      </c>
      <c r="D44" s="28">
        <v>200</v>
      </c>
      <c r="E44" s="28">
        <v>200</v>
      </c>
      <c r="F44" s="28">
        <v>200</v>
      </c>
      <c r="G44" s="28">
        <v>200</v>
      </c>
      <c r="H44" s="28">
        <v>200</v>
      </c>
      <c r="I44" s="28">
        <v>200</v>
      </c>
      <c r="J44" s="28">
        <v>200</v>
      </c>
      <c r="K44" s="28">
        <v>200</v>
      </c>
      <c r="L44" s="28">
        <v>200</v>
      </c>
      <c r="M44" s="28">
        <v>200</v>
      </c>
      <c r="N44" s="28">
        <v>300</v>
      </c>
      <c r="O44" s="18">
        <f t="shared" si="2"/>
        <v>2500</v>
      </c>
    </row>
    <row r="45" spans="1:16" ht="15" x14ac:dyDescent="0.2">
      <c r="A45" s="854"/>
      <c r="B45" s="27" t="s">
        <v>156</v>
      </c>
      <c r="C45" s="28">
        <v>0</v>
      </c>
      <c r="D45" s="28">
        <v>0</v>
      </c>
      <c r="E45" s="28">
        <v>0</v>
      </c>
      <c r="F45" s="28">
        <v>0</v>
      </c>
      <c r="G45" s="28">
        <v>0</v>
      </c>
      <c r="H45" s="28">
        <v>0</v>
      </c>
      <c r="I45" s="28">
        <v>0</v>
      </c>
      <c r="J45" s="28">
        <v>0</v>
      </c>
      <c r="K45" s="28">
        <v>0</v>
      </c>
      <c r="L45" s="28">
        <v>0</v>
      </c>
      <c r="M45" s="28">
        <v>0</v>
      </c>
      <c r="N45" s="28">
        <v>0</v>
      </c>
      <c r="O45" s="18">
        <f t="shared" si="2"/>
        <v>0</v>
      </c>
    </row>
    <row r="46" spans="1:16" ht="15" x14ac:dyDescent="0.2">
      <c r="A46" s="854"/>
      <c r="B46" s="27" t="s">
        <v>157</v>
      </c>
      <c r="C46" s="28">
        <v>0</v>
      </c>
      <c r="D46" s="28">
        <v>0</v>
      </c>
      <c r="E46" s="28">
        <v>0</v>
      </c>
      <c r="F46" s="28">
        <v>0</v>
      </c>
      <c r="G46" s="28">
        <v>0</v>
      </c>
      <c r="H46" s="28">
        <v>0</v>
      </c>
      <c r="I46" s="28">
        <v>0</v>
      </c>
      <c r="J46" s="28">
        <v>0</v>
      </c>
      <c r="K46" s="28">
        <v>0</v>
      </c>
      <c r="L46" s="28">
        <v>0</v>
      </c>
      <c r="M46" s="28">
        <v>0</v>
      </c>
      <c r="N46" s="28">
        <v>0</v>
      </c>
      <c r="O46" s="18">
        <f t="shared" si="2"/>
        <v>0</v>
      </c>
    </row>
    <row r="47" spans="1:16" ht="28.5" customHeight="1" x14ac:dyDescent="0.2">
      <c r="A47" s="855"/>
      <c r="B47" s="30" t="s">
        <v>158</v>
      </c>
      <c r="C47" s="28">
        <v>0</v>
      </c>
      <c r="D47" s="28">
        <v>0</v>
      </c>
      <c r="E47" s="28">
        <v>0</v>
      </c>
      <c r="F47" s="28">
        <v>0</v>
      </c>
      <c r="G47" s="28">
        <v>0</v>
      </c>
      <c r="H47" s="28">
        <v>0</v>
      </c>
      <c r="I47" s="28">
        <v>0</v>
      </c>
      <c r="J47" s="28">
        <v>0</v>
      </c>
      <c r="K47" s="28">
        <v>0</v>
      </c>
      <c r="L47" s="28">
        <v>0</v>
      </c>
      <c r="M47" s="28">
        <v>0</v>
      </c>
      <c r="N47" s="28">
        <v>0</v>
      </c>
      <c r="O47" s="31">
        <f t="shared" si="2"/>
        <v>0</v>
      </c>
    </row>
    <row r="48" spans="1:16" x14ac:dyDescent="0.2">
      <c r="A48" s="856"/>
      <c r="B48" s="169" t="s">
        <v>1092</v>
      </c>
      <c r="C48" s="28">
        <v>0</v>
      </c>
      <c r="D48" s="28">
        <v>0</v>
      </c>
      <c r="E48" s="28">
        <v>0</v>
      </c>
      <c r="F48" s="28">
        <v>0</v>
      </c>
      <c r="G48" s="28">
        <v>0</v>
      </c>
      <c r="H48" s="28">
        <v>0</v>
      </c>
      <c r="I48" s="28">
        <v>0</v>
      </c>
      <c r="J48" s="28">
        <v>0</v>
      </c>
      <c r="K48" s="28">
        <v>0</v>
      </c>
      <c r="L48" s="28">
        <v>0</v>
      </c>
      <c r="M48" s="28">
        <v>0</v>
      </c>
      <c r="N48" s="28">
        <v>0</v>
      </c>
      <c r="O48" s="31">
        <f t="shared" si="2"/>
        <v>0</v>
      </c>
    </row>
    <row r="49" spans="1:19" ht="15" x14ac:dyDescent="0.2">
      <c r="A49" s="857" t="s">
        <v>160</v>
      </c>
      <c r="B49" s="858"/>
      <c r="C49" s="33">
        <f>SUM(C38:C48)</f>
        <v>59160</v>
      </c>
      <c r="D49" s="33">
        <f t="shared" ref="D49:N49" si="3">SUM(D38:D48)</f>
        <v>59260</v>
      </c>
      <c r="E49" s="33">
        <f t="shared" si="3"/>
        <v>59260</v>
      </c>
      <c r="F49" s="33">
        <f t="shared" si="3"/>
        <v>59260</v>
      </c>
      <c r="G49" s="33">
        <f t="shared" si="3"/>
        <v>59260</v>
      </c>
      <c r="H49" s="33">
        <f t="shared" si="3"/>
        <v>59260</v>
      </c>
      <c r="I49" s="33">
        <f t="shared" si="3"/>
        <v>59260</v>
      </c>
      <c r="J49" s="33">
        <f t="shared" si="3"/>
        <v>59260</v>
      </c>
      <c r="K49" s="33">
        <f t="shared" si="3"/>
        <v>65260</v>
      </c>
      <c r="L49" s="33">
        <f t="shared" si="3"/>
        <v>65260</v>
      </c>
      <c r="M49" s="33">
        <f t="shared" si="3"/>
        <v>61910</v>
      </c>
      <c r="N49" s="33">
        <f t="shared" si="3"/>
        <v>64392</v>
      </c>
      <c r="O49" s="34">
        <f t="shared" si="2"/>
        <v>730802</v>
      </c>
    </row>
    <row r="50" spans="1:19" ht="15.75" thickBot="1" x14ac:dyDescent="0.25">
      <c r="A50" s="859" t="s">
        <v>161</v>
      </c>
      <c r="B50" s="860"/>
      <c r="C50" s="35">
        <f t="shared" ref="C50:N50" si="4">C37-C49</f>
        <v>75723</v>
      </c>
      <c r="D50" s="35">
        <f t="shared" si="4"/>
        <v>84095</v>
      </c>
      <c r="E50" s="35">
        <f t="shared" si="4"/>
        <v>77741</v>
      </c>
      <c r="F50" s="35">
        <f t="shared" si="4"/>
        <v>77741</v>
      </c>
      <c r="G50" s="35">
        <f t="shared" si="4"/>
        <v>81671</v>
      </c>
      <c r="H50" s="35">
        <f t="shared" si="4"/>
        <v>81671</v>
      </c>
      <c r="I50" s="35">
        <f t="shared" si="4"/>
        <v>81671</v>
      </c>
      <c r="J50" s="35">
        <f t="shared" si="4"/>
        <v>97291</v>
      </c>
      <c r="K50" s="35">
        <f t="shared" si="4"/>
        <v>60848</v>
      </c>
      <c r="L50" s="35">
        <f t="shared" si="4"/>
        <v>60848</v>
      </c>
      <c r="M50" s="35">
        <f t="shared" si="4"/>
        <v>64198</v>
      </c>
      <c r="N50" s="35">
        <f t="shared" si="4"/>
        <v>61716</v>
      </c>
      <c r="O50" s="36">
        <f t="shared" si="2"/>
        <v>905214</v>
      </c>
    </row>
    <row r="51" spans="1:19" x14ac:dyDescent="0.2">
      <c r="J51" s="300">
        <f>+J37-SUM(J22:J36)</f>
        <v>143109</v>
      </c>
      <c r="M51" s="38">
        <f>+M50-M31</f>
        <v>64198</v>
      </c>
      <c r="Q51" s="38"/>
    </row>
    <row r="52" spans="1:19" ht="13.5" thickBot="1" x14ac:dyDescent="0.25">
      <c r="J52" s="38">
        <f>+J51-J49</f>
        <v>83849</v>
      </c>
    </row>
    <row r="53" spans="1:19" ht="13.5" thickBot="1" x14ac:dyDescent="0.25">
      <c r="B53" s="789" t="s">
        <v>162</v>
      </c>
      <c r="C53" s="861"/>
      <c r="D53" s="861"/>
      <c r="E53" s="861"/>
      <c r="F53" s="862"/>
      <c r="G53" s="863">
        <f>O37</f>
        <v>1636016</v>
      </c>
      <c r="H53" s="864"/>
    </row>
    <row r="54" spans="1:19" ht="13.5" thickBot="1" x14ac:dyDescent="0.25"/>
    <row r="55" spans="1:19" x14ac:dyDescent="0.2">
      <c r="B55" s="830" t="s">
        <v>163</v>
      </c>
      <c r="C55" s="833" t="s">
        <v>164</v>
      </c>
      <c r="D55" s="836" t="s">
        <v>229</v>
      </c>
      <c r="E55" s="837"/>
      <c r="F55" s="838"/>
      <c r="G55" s="839">
        <v>40000</v>
      </c>
      <c r="H55" s="840"/>
    </row>
    <row r="56" spans="1:19" x14ac:dyDescent="0.2">
      <c r="B56" s="831"/>
      <c r="C56" s="834"/>
      <c r="D56" s="841" t="s">
        <v>166</v>
      </c>
      <c r="E56" s="842"/>
      <c r="F56" s="843"/>
      <c r="G56" s="844">
        <f>+O44</f>
        <v>2500</v>
      </c>
      <c r="H56" s="845"/>
      <c r="I56" s="39"/>
      <c r="J56" s="846"/>
      <c r="K56" s="846"/>
      <c r="L56" s="846"/>
      <c r="M56" s="847"/>
      <c r="N56" s="847"/>
      <c r="O56" s="847"/>
    </row>
    <row r="57" spans="1:19" ht="13.5" thickBot="1" x14ac:dyDescent="0.25">
      <c r="B57" s="832"/>
      <c r="C57" s="835"/>
      <c r="D57" s="848" t="s">
        <v>243</v>
      </c>
      <c r="E57" s="849"/>
      <c r="F57" s="850"/>
      <c r="G57" s="851">
        <f>IF(O18&gt;15000,15000,+O18)</f>
        <v>0</v>
      </c>
      <c r="H57" s="852"/>
      <c r="J57" s="47"/>
      <c r="K57" s="47"/>
      <c r="L57" s="47"/>
      <c r="M57" s="47"/>
      <c r="N57" s="47"/>
      <c r="O57" s="47"/>
    </row>
    <row r="58" spans="1:19" ht="13.5" thickBot="1" x14ac:dyDescent="0.25">
      <c r="B58" s="48"/>
      <c r="J58" s="47"/>
      <c r="K58" s="47"/>
      <c r="L58" s="47"/>
      <c r="M58" s="47"/>
      <c r="N58" s="47"/>
      <c r="O58" s="47"/>
    </row>
    <row r="59" spans="1:19" ht="13.5" thickBot="1" x14ac:dyDescent="0.25">
      <c r="B59" s="789" t="s">
        <v>168</v>
      </c>
      <c r="C59" s="790"/>
      <c r="D59" s="790"/>
      <c r="E59" s="790"/>
      <c r="F59" s="791"/>
      <c r="G59" s="825">
        <f>+G53-SUM(G55:H57)</f>
        <v>1593516</v>
      </c>
      <c r="H59" s="826"/>
      <c r="J59" s="827" t="s">
        <v>169</v>
      </c>
      <c r="K59" s="828"/>
      <c r="L59" s="828"/>
      <c r="M59" s="828"/>
      <c r="N59" s="828"/>
      <c r="O59" s="829"/>
    </row>
    <row r="60" spans="1:19" ht="13.5" thickBot="1" x14ac:dyDescent="0.25">
      <c r="B60" s="49"/>
      <c r="C60" s="50"/>
      <c r="D60" s="50"/>
      <c r="E60" s="50"/>
      <c r="F60" s="50"/>
      <c r="G60" s="45"/>
      <c r="H60" s="50"/>
      <c r="J60" s="827"/>
      <c r="K60" s="1134"/>
      <c r="L60" s="1134"/>
      <c r="M60" s="1134"/>
      <c r="N60" s="1134"/>
      <c r="O60" s="1135"/>
    </row>
    <row r="61" spans="1:19" ht="13.5" thickBot="1" x14ac:dyDescent="0.25">
      <c r="B61" s="789" t="s">
        <v>170</v>
      </c>
      <c r="C61" s="790"/>
      <c r="D61" s="790"/>
      <c r="E61" s="790"/>
      <c r="F61" s="791"/>
      <c r="G61" s="805"/>
      <c r="H61" s="791"/>
      <c r="J61" s="54"/>
      <c r="K61" s="55"/>
      <c r="L61" s="55"/>
      <c r="M61" s="55"/>
      <c r="N61" s="55"/>
      <c r="O61" s="56"/>
    </row>
    <row r="62" spans="1:19" ht="12.75" customHeight="1" x14ac:dyDescent="0.2">
      <c r="B62" s="57" t="s">
        <v>171</v>
      </c>
      <c r="C62" s="806" t="s">
        <v>172</v>
      </c>
      <c r="D62" s="807"/>
      <c r="E62" s="807"/>
      <c r="F62" s="808"/>
      <c r="G62" s="809">
        <f>O63</f>
        <v>0</v>
      </c>
      <c r="H62" s="809"/>
      <c r="I62" s="58"/>
      <c r="J62" s="810" t="s">
        <v>173</v>
      </c>
      <c r="K62" s="811"/>
      <c r="L62" s="811"/>
      <c r="M62" s="811"/>
      <c r="N62" s="811"/>
      <c r="O62" s="812"/>
      <c r="Q62" s="59"/>
      <c r="R62" s="59"/>
      <c r="S62" s="59"/>
    </row>
    <row r="63" spans="1:19" ht="13.5" thickBot="1" x14ac:dyDescent="0.25">
      <c r="D63" s="37"/>
      <c r="I63" s="58"/>
      <c r="J63" s="60" t="s">
        <v>254</v>
      </c>
      <c r="K63" s="132"/>
      <c r="L63" s="132"/>
      <c r="M63" s="133"/>
      <c r="N63" s="133"/>
      <c r="O63" s="134"/>
      <c r="Q63" s="59"/>
      <c r="R63" s="59"/>
      <c r="S63" s="59"/>
    </row>
    <row r="64" spans="1:19" ht="13.5" thickBot="1" x14ac:dyDescent="0.25">
      <c r="B64" s="789" t="s">
        <v>175</v>
      </c>
      <c r="C64" s="790"/>
      <c r="D64" s="790"/>
      <c r="E64" s="790"/>
      <c r="F64" s="791"/>
      <c r="G64" s="805">
        <f>+G59-G62</f>
        <v>1593516</v>
      </c>
      <c r="H64" s="791"/>
      <c r="I64" s="63"/>
      <c r="J64" s="64"/>
      <c r="K64" s="39"/>
      <c r="L64" s="39"/>
      <c r="M64" s="39"/>
      <c r="N64" s="39"/>
      <c r="O64" s="65"/>
      <c r="Q64" s="59"/>
      <c r="R64" s="59"/>
      <c r="S64" s="59"/>
    </row>
    <row r="65" spans="2:19" ht="12.75" customHeight="1" x14ac:dyDescent="0.2">
      <c r="B65" s="48"/>
      <c r="C65" s="48"/>
      <c r="I65" s="63"/>
      <c r="J65" s="64"/>
      <c r="K65" s="39"/>
      <c r="L65" s="39"/>
      <c r="M65" s="39"/>
      <c r="N65" s="39"/>
      <c r="O65" s="65"/>
      <c r="Q65" s="59"/>
      <c r="R65" s="59"/>
      <c r="S65" s="59"/>
    </row>
    <row r="66" spans="2:19" x14ac:dyDescent="0.2">
      <c r="B66" s="66" t="s">
        <v>176</v>
      </c>
      <c r="C66" s="48"/>
      <c r="I66" s="63"/>
      <c r="J66" s="67"/>
      <c r="K66" s="68"/>
      <c r="L66" s="68"/>
      <c r="M66" s="68"/>
      <c r="N66" s="68"/>
      <c r="O66" s="69"/>
      <c r="Q66" s="59"/>
      <c r="R66" s="59"/>
      <c r="S66" s="59"/>
    </row>
    <row r="67" spans="2:19" ht="26.25" customHeight="1" thickBot="1" x14ac:dyDescent="0.25">
      <c r="B67" s="66"/>
      <c r="C67" s="48"/>
      <c r="G67" s="70" t="s">
        <v>177</v>
      </c>
      <c r="H67" s="70" t="s">
        <v>178</v>
      </c>
      <c r="I67" s="63"/>
      <c r="J67" s="810" t="s">
        <v>179</v>
      </c>
      <c r="K67" s="811"/>
      <c r="L67" s="71"/>
      <c r="M67" s="71"/>
      <c r="N67" s="71"/>
      <c r="O67" s="72"/>
      <c r="Q67" s="59"/>
      <c r="R67" s="59"/>
      <c r="S67" s="59"/>
    </row>
    <row r="68" spans="2:19" ht="12.75" customHeight="1" x14ac:dyDescent="0.2">
      <c r="B68" s="802" t="s">
        <v>180</v>
      </c>
      <c r="C68" s="821" t="s">
        <v>181</v>
      </c>
      <c r="D68" s="823" t="s">
        <v>182</v>
      </c>
      <c r="E68" s="824"/>
      <c r="F68" s="824"/>
      <c r="G68" s="73">
        <f>+O43</f>
        <v>480000</v>
      </c>
      <c r="H68" s="74">
        <f t="shared" ref="H68:H76" si="5">+G68</f>
        <v>480000</v>
      </c>
      <c r="I68" s="63"/>
      <c r="J68" s="181"/>
      <c r="K68" s="58"/>
      <c r="L68" s="58"/>
      <c r="M68" s="135"/>
      <c r="N68" s="135"/>
      <c r="O68" s="76"/>
      <c r="Q68" s="59"/>
      <c r="R68" s="59"/>
      <c r="S68" s="59"/>
    </row>
    <row r="69" spans="2:19" ht="12.75" customHeight="1" x14ac:dyDescent="0.2">
      <c r="B69" s="803"/>
      <c r="C69" s="822"/>
      <c r="D69" s="782" t="s">
        <v>184</v>
      </c>
      <c r="E69" s="783"/>
      <c r="F69" s="783"/>
      <c r="G69" s="77">
        <v>0</v>
      </c>
      <c r="H69" s="78">
        <v>0</v>
      </c>
      <c r="I69" s="63"/>
      <c r="J69" s="181"/>
      <c r="K69" s="68"/>
      <c r="L69" s="135"/>
      <c r="M69" s="135"/>
      <c r="N69" s="135"/>
      <c r="O69" s="136"/>
      <c r="Q69" s="59"/>
      <c r="R69" s="59"/>
      <c r="S69" s="59"/>
    </row>
    <row r="70" spans="2:19" ht="12.75" customHeight="1" x14ac:dyDescent="0.2">
      <c r="B70" s="803"/>
      <c r="C70" s="822"/>
      <c r="D70" s="819" t="s">
        <v>185</v>
      </c>
      <c r="E70" s="820"/>
      <c r="F70" s="820"/>
      <c r="G70" s="80">
        <f>O40</f>
        <v>720</v>
      </c>
      <c r="H70" s="78">
        <f t="shared" si="5"/>
        <v>720</v>
      </c>
      <c r="I70" s="63"/>
      <c r="J70" s="181"/>
      <c r="K70" s="68"/>
      <c r="L70" s="135"/>
      <c r="M70" s="135"/>
      <c r="N70" s="68"/>
      <c r="O70" s="136"/>
    </row>
    <row r="71" spans="2:19" x14ac:dyDescent="0.2">
      <c r="B71" s="803"/>
      <c r="C71" s="822"/>
      <c r="D71" s="782" t="s">
        <v>186</v>
      </c>
      <c r="E71" s="783"/>
      <c r="F71" s="783"/>
      <c r="G71" s="81">
        <v>0</v>
      </c>
      <c r="H71" s="78">
        <f t="shared" si="5"/>
        <v>0</v>
      </c>
      <c r="I71" s="63"/>
      <c r="J71" s="82" t="s">
        <v>187</v>
      </c>
      <c r="K71" s="71"/>
      <c r="L71" s="71"/>
      <c r="M71" s="71"/>
      <c r="N71" s="71"/>
      <c r="O71" s="72"/>
    </row>
    <row r="72" spans="2:19" ht="12.75" customHeight="1" x14ac:dyDescent="0.2">
      <c r="B72" s="803"/>
      <c r="C72" s="822"/>
      <c r="D72" s="784" t="s">
        <v>188</v>
      </c>
      <c r="E72" s="783"/>
      <c r="F72" s="783"/>
      <c r="G72" s="80">
        <v>0</v>
      </c>
      <c r="H72" s="78">
        <f t="shared" si="5"/>
        <v>0</v>
      </c>
      <c r="I72" s="63"/>
      <c r="J72" s="75" t="s">
        <v>189</v>
      </c>
      <c r="K72" s="50"/>
      <c r="L72" s="50"/>
      <c r="M72" s="50"/>
      <c r="N72" s="50"/>
      <c r="O72" s="83">
        <v>0</v>
      </c>
    </row>
    <row r="73" spans="2:19" ht="14.25" customHeight="1" x14ac:dyDescent="0.2">
      <c r="B73" s="803"/>
      <c r="C73" s="822"/>
      <c r="D73" s="782" t="s">
        <v>190</v>
      </c>
      <c r="E73" s="783"/>
      <c r="F73" s="783"/>
      <c r="G73" s="84">
        <v>0</v>
      </c>
      <c r="H73" s="78">
        <f t="shared" si="5"/>
        <v>0</v>
      </c>
      <c r="I73" s="63"/>
      <c r="J73" s="75" t="s">
        <v>372</v>
      </c>
      <c r="K73" s="39"/>
      <c r="L73" s="39"/>
      <c r="M73" s="39"/>
      <c r="N73" s="39"/>
      <c r="O73" s="65"/>
      <c r="P73" s="16" t="s">
        <v>1061</v>
      </c>
    </row>
    <row r="74" spans="2:19" x14ac:dyDescent="0.2">
      <c r="B74" s="803"/>
      <c r="C74" s="822"/>
      <c r="D74" s="782" t="s">
        <v>191</v>
      </c>
      <c r="E74" s="783"/>
      <c r="F74" s="783"/>
      <c r="G74" s="81">
        <v>0</v>
      </c>
      <c r="H74" s="78">
        <f t="shared" si="5"/>
        <v>0</v>
      </c>
      <c r="I74" s="58"/>
      <c r="J74" s="137" t="s">
        <v>1093</v>
      </c>
      <c r="K74" s="50"/>
      <c r="L74" s="50"/>
      <c r="M74" s="50"/>
      <c r="N74" s="50"/>
      <c r="O74" s="83"/>
    </row>
    <row r="75" spans="2:19" x14ac:dyDescent="0.2">
      <c r="B75" s="803"/>
      <c r="C75" s="88" t="s">
        <v>192</v>
      </c>
      <c r="D75" s="813" t="s">
        <v>193</v>
      </c>
      <c r="E75" s="814"/>
      <c r="F75" s="814"/>
      <c r="G75" s="80">
        <v>0</v>
      </c>
      <c r="H75" s="78">
        <f t="shared" si="5"/>
        <v>0</v>
      </c>
      <c r="I75" s="58"/>
      <c r="J75" s="79"/>
      <c r="K75" s="39"/>
      <c r="L75" s="39"/>
      <c r="M75" s="39"/>
      <c r="N75" s="39"/>
      <c r="O75" s="65"/>
    </row>
    <row r="76" spans="2:19" ht="13.5" customHeight="1" thickBot="1" x14ac:dyDescent="0.25">
      <c r="B76" s="803"/>
      <c r="C76" s="88" t="s">
        <v>194</v>
      </c>
      <c r="D76" s="815" t="s">
        <v>195</v>
      </c>
      <c r="E76" s="815"/>
      <c r="F76" s="815"/>
      <c r="G76" s="89">
        <v>0</v>
      </c>
      <c r="H76" s="90">
        <f t="shared" si="5"/>
        <v>0</v>
      </c>
      <c r="I76" s="63"/>
      <c r="J76" s="82" t="s">
        <v>200</v>
      </c>
      <c r="K76" s="71"/>
      <c r="L76" s="71"/>
      <c r="M76" s="71"/>
      <c r="N76" s="71"/>
      <c r="O76" s="72"/>
    </row>
    <row r="77" spans="2:19" ht="13.5" thickBot="1" x14ac:dyDescent="0.25">
      <c r="B77" s="803"/>
      <c r="C77" s="93"/>
      <c r="D77" s="94"/>
      <c r="E77" s="816" t="s">
        <v>117</v>
      </c>
      <c r="F77" s="817"/>
      <c r="G77" s="95">
        <f>SUM(G68:G76)</f>
        <v>480720</v>
      </c>
      <c r="H77" s="96">
        <f>IF(+G75&lt;20000,+G75,20000)+IF(SUM(G68:G74)+G76&lt;150000,SUM(G68:G74)+G76,150000)</f>
        <v>150000</v>
      </c>
      <c r="I77" s="63"/>
      <c r="J77" s="376" t="s">
        <v>1094</v>
      </c>
      <c r="K77" s="68"/>
      <c r="L77" s="68"/>
      <c r="M77" s="91"/>
      <c r="N77" s="91"/>
      <c r="O77" s="92"/>
    </row>
    <row r="78" spans="2:19" ht="12.75" customHeight="1" thickBot="1" x14ac:dyDescent="0.25">
      <c r="B78" s="803"/>
      <c r="C78" s="100" t="s">
        <v>196</v>
      </c>
      <c r="D78" s="782" t="s">
        <v>187</v>
      </c>
      <c r="E78" s="783"/>
      <c r="F78" s="818"/>
      <c r="G78" s="73">
        <v>28262</v>
      </c>
      <c r="H78" s="101">
        <f>+IF(+G78&lt;25000,+G78,25000)</f>
        <v>25000</v>
      </c>
      <c r="I78" s="87"/>
      <c r="J78" s="377" t="s">
        <v>1095</v>
      </c>
      <c r="K78" s="98"/>
      <c r="L78" s="98"/>
      <c r="M78" s="98"/>
      <c r="N78" s="98"/>
      <c r="O78" s="378"/>
    </row>
    <row r="79" spans="2:19" x14ac:dyDescent="0.2">
      <c r="B79" s="803"/>
      <c r="C79" s="100" t="s">
        <v>197</v>
      </c>
      <c r="D79" s="784" t="s">
        <v>198</v>
      </c>
      <c r="E79" s="785"/>
      <c r="F79" s="786"/>
      <c r="G79" s="102"/>
      <c r="H79" s="103">
        <f>+IF(+G79&lt;40000,+G79,40000)</f>
        <v>0</v>
      </c>
      <c r="I79" s="63"/>
    </row>
    <row r="80" spans="2:19" x14ac:dyDescent="0.2">
      <c r="B80" s="803"/>
      <c r="C80" s="100" t="s">
        <v>199</v>
      </c>
      <c r="D80" s="784" t="s">
        <v>200</v>
      </c>
      <c r="E80" s="785"/>
      <c r="F80" s="786"/>
      <c r="G80" s="379"/>
      <c r="H80" s="104">
        <f>+G80</f>
        <v>0</v>
      </c>
      <c r="I80" s="63"/>
    </row>
    <row r="81" spans="2:12" ht="14.25" x14ac:dyDescent="0.2">
      <c r="B81" s="803"/>
      <c r="C81" s="100" t="s">
        <v>201</v>
      </c>
      <c r="D81" s="784" t="s">
        <v>202</v>
      </c>
      <c r="E81" s="785"/>
      <c r="F81" s="786"/>
      <c r="G81" s="81"/>
      <c r="H81" s="104">
        <v>0</v>
      </c>
      <c r="I81" s="63"/>
      <c r="J81" s="172" t="s">
        <v>1096</v>
      </c>
      <c r="K81" s="380"/>
      <c r="L81" s="162"/>
    </row>
    <row r="82" spans="2:12" ht="13.5" thickBot="1" x14ac:dyDescent="0.25">
      <c r="B82" s="804"/>
      <c r="C82" s="100" t="s">
        <v>203</v>
      </c>
      <c r="D82" s="784" t="s">
        <v>204</v>
      </c>
      <c r="E82" s="785"/>
      <c r="F82" s="786"/>
      <c r="G82" s="102"/>
      <c r="H82" s="103">
        <f>+IF(+G82&lt;100000,+G82,10000)</f>
        <v>0</v>
      </c>
      <c r="I82" s="63"/>
    </row>
    <row r="83" spans="2:12" ht="13.5" thickBot="1" x14ac:dyDescent="0.25">
      <c r="B83" s="787" t="s">
        <v>205</v>
      </c>
      <c r="C83" s="788"/>
      <c r="D83" s="788"/>
      <c r="E83" s="788"/>
      <c r="F83" s="788"/>
      <c r="G83" s="107">
        <f>SUM(G78:G82)</f>
        <v>28262</v>
      </c>
      <c r="H83" s="108">
        <f>SUM(H77:H82)</f>
        <v>175000</v>
      </c>
      <c r="J83" s="106"/>
    </row>
    <row r="84" spans="2:12" ht="13.5" thickBot="1" x14ac:dyDescent="0.25"/>
    <row r="85" spans="2:12" ht="13.5" thickBot="1" x14ac:dyDescent="0.25">
      <c r="B85" s="789" t="s">
        <v>206</v>
      </c>
      <c r="C85" s="790"/>
      <c r="D85" s="790"/>
      <c r="E85" s="790"/>
      <c r="F85" s="791"/>
      <c r="G85" s="792">
        <f>+G64-H83</f>
        <v>1418516</v>
      </c>
      <c r="H85" s="791"/>
      <c r="J85" s="109">
        <f>C37+D37+E37+F37</f>
        <v>552240</v>
      </c>
      <c r="K85" s="16" t="s">
        <v>235</v>
      </c>
    </row>
    <row r="86" spans="2:12" x14ac:dyDescent="0.2">
      <c r="B86" s="110"/>
      <c r="F86" s="105"/>
      <c r="J86" s="109">
        <f>G37+H37+I37</f>
        <v>422793</v>
      </c>
      <c r="K86" s="16" t="s">
        <v>236</v>
      </c>
    </row>
    <row r="87" spans="2:12" x14ac:dyDescent="0.2">
      <c r="C87" s="793" t="s">
        <v>207</v>
      </c>
      <c r="D87" s="794"/>
      <c r="E87" s="111" t="s">
        <v>208</v>
      </c>
      <c r="F87" s="111" t="s">
        <v>209</v>
      </c>
      <c r="G87" s="111" t="s">
        <v>210</v>
      </c>
      <c r="H87" s="111" t="s">
        <v>211</v>
      </c>
      <c r="J87" s="206">
        <f>J37+K37+L37</f>
        <v>408767</v>
      </c>
      <c r="K87" s="47" t="s">
        <v>237</v>
      </c>
    </row>
    <row r="88" spans="2:12" x14ac:dyDescent="0.2">
      <c r="C88" s="795" t="str">
        <f>IF(I6="M","0          - 250000","0          -  250000")</f>
        <v>0          - 250000</v>
      </c>
      <c r="D88" s="796"/>
      <c r="E88" s="112">
        <v>0</v>
      </c>
      <c r="F88" s="113">
        <f>IF(I6="M",(IF(G85&lt;250000,G85,250000)),(IF(G85&lt;250000,G85,250000)))</f>
        <v>250000</v>
      </c>
      <c r="G88" s="113">
        <f>G85-F88</f>
        <v>1168516</v>
      </c>
      <c r="H88" s="113">
        <f>E88*F88</f>
        <v>0</v>
      </c>
      <c r="J88" s="207">
        <f>M37+N37</f>
        <v>252216</v>
      </c>
      <c r="K88" s="1" t="s">
        <v>238</v>
      </c>
    </row>
    <row r="89" spans="2:12" x14ac:dyDescent="0.2">
      <c r="C89" s="795" t="str">
        <f>IF(I6="M","250001 - 500000","250001-500000")</f>
        <v>250001 - 500000</v>
      </c>
      <c r="D89" s="796"/>
      <c r="E89" s="112">
        <v>0.05</v>
      </c>
      <c r="F89" s="113">
        <f>IF(I6="M",(IF(G88&lt;250000,G88,250000)),(IF(G88&lt;250000,G88,250000)))</f>
        <v>250000</v>
      </c>
      <c r="G89" s="113">
        <f>G88-F89</f>
        <v>918516</v>
      </c>
      <c r="H89" s="114">
        <f>ROUND(E89*F89,0.1)</f>
        <v>12500</v>
      </c>
      <c r="J89" s="381">
        <f>SUM(J85:J88)</f>
        <v>1636016</v>
      </c>
    </row>
    <row r="90" spans="2:12" x14ac:dyDescent="0.2">
      <c r="C90" s="797" t="s">
        <v>212</v>
      </c>
      <c r="D90" s="798"/>
      <c r="E90" s="112">
        <v>0.2</v>
      </c>
      <c r="F90" s="113">
        <f>IF(G89&lt;500000,G89,500000)</f>
        <v>500000</v>
      </c>
      <c r="G90" s="113">
        <f>G89-F90</f>
        <v>418516</v>
      </c>
      <c r="H90" s="114">
        <f>ROUND(E90*F90,0.1)</f>
        <v>100000</v>
      </c>
      <c r="J90" s="16">
        <f>+G85</f>
        <v>1418516</v>
      </c>
    </row>
    <row r="91" spans="2:12" x14ac:dyDescent="0.2">
      <c r="C91" s="795" t="s">
        <v>213</v>
      </c>
      <c r="D91" s="796"/>
      <c r="E91" s="112">
        <v>0.3</v>
      </c>
      <c r="F91" s="113">
        <f>G90</f>
        <v>418516</v>
      </c>
      <c r="G91" s="113">
        <f>G90-F91</f>
        <v>0</v>
      </c>
      <c r="H91" s="114">
        <f>ROUND(E91*F91,0.1)</f>
        <v>125555</v>
      </c>
      <c r="J91" s="16">
        <f>+J89-J90</f>
        <v>217500</v>
      </c>
    </row>
    <row r="92" spans="2:12" ht="12.75" customHeight="1" thickBot="1" x14ac:dyDescent="0.25">
      <c r="B92" s="116"/>
      <c r="C92" s="117"/>
      <c r="D92" s="47"/>
      <c r="E92" s="47"/>
      <c r="F92" s="47"/>
    </row>
    <row r="93" spans="2:12" ht="13.5" thickBot="1" x14ac:dyDescent="0.25">
      <c r="B93" s="799" t="s">
        <v>239</v>
      </c>
      <c r="C93" s="800"/>
      <c r="D93" s="800"/>
      <c r="E93" s="800"/>
      <c r="F93" s="801"/>
      <c r="G93" s="771">
        <f>H88+H89+H90+H91</f>
        <v>238055</v>
      </c>
      <c r="H93" s="772"/>
    </row>
    <row r="94" spans="2:12" ht="13.5" thickBot="1" x14ac:dyDescent="0.25">
      <c r="B94" s="119" t="s">
        <v>215</v>
      </c>
      <c r="C94" s="120"/>
      <c r="D94" s="120"/>
      <c r="E94" s="120"/>
      <c r="F94" s="120"/>
      <c r="G94" s="884">
        <f>IF((G64&lt;500000),5000,0)</f>
        <v>0</v>
      </c>
      <c r="H94" s="885">
        <f>IF(H92&lt;200000,0,IF(H92&lt;220000,((H92-200000)*10%),IF(H92&lt;=500000,2000,IF(H92&gt;=500000,0))))</f>
        <v>0</v>
      </c>
      <c r="J94" s="1"/>
      <c r="K94" s="121"/>
      <c r="L94" s="121"/>
    </row>
    <row r="95" spans="2:12" ht="13.5" thickBot="1" x14ac:dyDescent="0.25">
      <c r="B95" s="122" t="s">
        <v>216</v>
      </c>
      <c r="C95" s="123"/>
      <c r="D95" s="123"/>
      <c r="E95" s="123"/>
      <c r="F95" s="123"/>
      <c r="G95" s="771">
        <f>IF((G93-G94)&lt;0,0,(G93-G94))</f>
        <v>238055</v>
      </c>
      <c r="H95" s="772"/>
      <c r="I95" s="37"/>
    </row>
    <row r="96" spans="2:12" ht="13.5" thickBot="1" x14ac:dyDescent="0.25">
      <c r="B96" s="773" t="s">
        <v>240</v>
      </c>
      <c r="C96" s="774"/>
      <c r="D96" s="774"/>
      <c r="E96" s="774"/>
      <c r="F96" s="775"/>
      <c r="G96" s="776">
        <f>ROUND((IF(G95&gt;0,(G95*4%),0)),0)</f>
        <v>9522</v>
      </c>
      <c r="H96" s="777"/>
      <c r="I96" s="37"/>
    </row>
    <row r="97" spans="2:9" ht="13.5" thickBot="1" x14ac:dyDescent="0.25">
      <c r="B97" s="778" t="s">
        <v>218</v>
      </c>
      <c r="C97" s="779"/>
      <c r="D97" s="779"/>
      <c r="E97" s="779"/>
      <c r="F97" s="779"/>
      <c r="G97" s="780">
        <f>G95+G96</f>
        <v>247577</v>
      </c>
      <c r="H97" s="781"/>
      <c r="I97" s="121"/>
    </row>
    <row r="98" spans="2:9" ht="13.5" thickBot="1" x14ac:dyDescent="0.25">
      <c r="B98" s="765" t="s">
        <v>219</v>
      </c>
      <c r="C98" s="766"/>
      <c r="D98" s="766"/>
      <c r="E98" s="766"/>
      <c r="F98" s="766"/>
      <c r="G98" s="767">
        <f>O38</f>
        <v>247582</v>
      </c>
      <c r="H98" s="768"/>
      <c r="I98" s="121"/>
    </row>
    <row r="99" spans="2:9" ht="13.5" thickBot="1" x14ac:dyDescent="0.25">
      <c r="B99" s="765" t="str">
        <f>IF(G99&gt;0,"TAX PAYABLE","TAX REFUND")</f>
        <v>TAX REFUND</v>
      </c>
      <c r="C99" s="766"/>
      <c r="D99" s="766"/>
      <c r="E99" s="766"/>
      <c r="F99" s="766"/>
      <c r="G99" s="767">
        <f>+G97-G98</f>
        <v>-5</v>
      </c>
      <c r="H99" s="768"/>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4">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D57:F57"/>
    <mergeCell ref="G57:H57"/>
    <mergeCell ref="J60:O60"/>
    <mergeCell ref="B61:F61"/>
    <mergeCell ref="G61:H61"/>
    <mergeCell ref="B59:F59"/>
    <mergeCell ref="G59:H59"/>
    <mergeCell ref="J59:O59"/>
    <mergeCell ref="B55:B57"/>
    <mergeCell ref="C55:C57"/>
    <mergeCell ref="D55:F55"/>
    <mergeCell ref="G55:H55"/>
    <mergeCell ref="D56:F56"/>
    <mergeCell ref="G56:H56"/>
    <mergeCell ref="J56:L56"/>
    <mergeCell ref="M56:O56"/>
    <mergeCell ref="C62:F62"/>
    <mergeCell ref="G62:H62"/>
    <mergeCell ref="J62:O62"/>
    <mergeCell ref="D78:F78"/>
    <mergeCell ref="B64:F64"/>
    <mergeCell ref="G64:H64"/>
    <mergeCell ref="J67:K67"/>
    <mergeCell ref="B68:B82"/>
    <mergeCell ref="C68:C74"/>
    <mergeCell ref="D68:F68"/>
    <mergeCell ref="D69:F69"/>
    <mergeCell ref="D70:F70"/>
    <mergeCell ref="D71:F71"/>
    <mergeCell ref="D72:F72"/>
    <mergeCell ref="D73:F73"/>
    <mergeCell ref="D74:F74"/>
    <mergeCell ref="D75:F75"/>
    <mergeCell ref="D76:F76"/>
    <mergeCell ref="E77:F77"/>
    <mergeCell ref="C91:D91"/>
    <mergeCell ref="D79:F79"/>
    <mergeCell ref="D80:F80"/>
    <mergeCell ref="D81:F81"/>
    <mergeCell ref="D82:F82"/>
    <mergeCell ref="B83:F83"/>
    <mergeCell ref="B85:F85"/>
    <mergeCell ref="G85:H85"/>
    <mergeCell ref="C87:D87"/>
    <mergeCell ref="C88:D88"/>
    <mergeCell ref="C89:D89"/>
    <mergeCell ref="C90:D90"/>
    <mergeCell ref="B93:F93"/>
    <mergeCell ref="G93:H93"/>
    <mergeCell ref="G94:H94"/>
    <mergeCell ref="G95:H95"/>
    <mergeCell ref="B96:F96"/>
    <mergeCell ref="G96:H96"/>
    <mergeCell ref="B97:F97"/>
    <mergeCell ref="G97:H97"/>
    <mergeCell ref="B98:F98"/>
    <mergeCell ref="G98:H98"/>
    <mergeCell ref="B99:F99"/>
    <mergeCell ref="G99:H99"/>
  </mergeCells>
  <conditionalFormatting sqref="B90:F90 B99:F99 B93:F97">
    <cfRule type="cellIs" dxfId="411" priority="3" stopIfTrue="1" operator="equal">
      <formula>"TAX PAYABLE"</formula>
    </cfRule>
    <cfRule type="cellIs" dxfId="410" priority="4" stopIfTrue="1" operator="equal">
      <formula>"TAX REFUND"</formula>
    </cfRule>
  </conditionalFormatting>
  <conditionalFormatting sqref="G99:H99">
    <cfRule type="cellIs" dxfId="409" priority="1" stopIfTrue="1" operator="greaterThan">
      <formula>0</formula>
    </cfRule>
    <cfRule type="cellIs" dxfId="408"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$Q$8:$Q$9</formula1>
    </dataValidation>
  </dataValidations>
  <pageMargins left="0.7" right="0.7" top="0.75" bottom="0.75" header="0.3" footer="0.3"/>
  <pageSetup paperSize="5" orientation="landscape" horizontalDpi="300" verticalDpi="300" r:id="rId1"/>
  <headerFooter alignWithMargins="0"/>
  <legacyDrawing r:id="rId2"/>
</worksheet>
</file>

<file path=xl/worksheets/sheet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107"/>
  <sheetViews>
    <sheetView topLeftCell="A56" workbookViewId="0">
      <selection activeCell="G57" sqref="G57:H57"/>
    </sheetView>
  </sheetViews>
  <sheetFormatPr defaultRowHeight="12.75" x14ac:dyDescent="0.2"/>
  <cols>
    <col min="1" max="1" width="5" style="16" customWidth="1"/>
    <col min="2" max="2" width="17.85546875" style="37" customWidth="1"/>
    <col min="3" max="3" width="8.7109375" style="16" customWidth="1"/>
    <col min="4" max="4" width="7.5703125" style="16" customWidth="1"/>
    <col min="5" max="5" width="8.5703125" style="16" bestFit="1" customWidth="1"/>
    <col min="6" max="6" width="8.5703125" style="16" customWidth="1"/>
    <col min="7" max="8" width="7.7109375" style="16" customWidth="1"/>
    <col min="9" max="15" width="8.2851562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7.85546875" style="16" customWidth="1"/>
    <col min="259" max="259" width="8.7109375" style="16" customWidth="1"/>
    <col min="260" max="260" width="7.5703125" style="16" customWidth="1"/>
    <col min="261" max="261" width="8.5703125" style="16" bestFit="1" customWidth="1"/>
    <col min="262" max="262" width="8.5703125" style="16" customWidth="1"/>
    <col min="263" max="264" width="7.7109375" style="16" customWidth="1"/>
    <col min="265" max="271" width="8.2851562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7.85546875" style="16" customWidth="1"/>
    <col min="515" max="515" width="8.7109375" style="16" customWidth="1"/>
    <col min="516" max="516" width="7.5703125" style="16" customWidth="1"/>
    <col min="517" max="517" width="8.5703125" style="16" bestFit="1" customWidth="1"/>
    <col min="518" max="518" width="8.5703125" style="16" customWidth="1"/>
    <col min="519" max="520" width="7.7109375" style="16" customWidth="1"/>
    <col min="521" max="527" width="8.2851562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7.85546875" style="16" customWidth="1"/>
    <col min="771" max="771" width="8.7109375" style="16" customWidth="1"/>
    <col min="772" max="772" width="7.5703125" style="16" customWidth="1"/>
    <col min="773" max="773" width="8.5703125" style="16" bestFit="1" customWidth="1"/>
    <col min="774" max="774" width="8.5703125" style="16" customWidth="1"/>
    <col min="775" max="776" width="7.7109375" style="16" customWidth="1"/>
    <col min="777" max="783" width="8.2851562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7.85546875" style="16" customWidth="1"/>
    <col min="1027" max="1027" width="8.7109375" style="16" customWidth="1"/>
    <col min="1028" max="1028" width="7.5703125" style="16" customWidth="1"/>
    <col min="1029" max="1029" width="8.5703125" style="16" bestFit="1" customWidth="1"/>
    <col min="1030" max="1030" width="8.5703125" style="16" customWidth="1"/>
    <col min="1031" max="1032" width="7.7109375" style="16" customWidth="1"/>
    <col min="1033" max="1039" width="8.2851562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7.85546875" style="16" customWidth="1"/>
    <col min="1283" max="1283" width="8.7109375" style="16" customWidth="1"/>
    <col min="1284" max="1284" width="7.5703125" style="16" customWidth="1"/>
    <col min="1285" max="1285" width="8.5703125" style="16" bestFit="1" customWidth="1"/>
    <col min="1286" max="1286" width="8.5703125" style="16" customWidth="1"/>
    <col min="1287" max="1288" width="7.7109375" style="16" customWidth="1"/>
    <col min="1289" max="1295" width="8.2851562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7.85546875" style="16" customWidth="1"/>
    <col min="1539" max="1539" width="8.7109375" style="16" customWidth="1"/>
    <col min="1540" max="1540" width="7.5703125" style="16" customWidth="1"/>
    <col min="1541" max="1541" width="8.5703125" style="16" bestFit="1" customWidth="1"/>
    <col min="1542" max="1542" width="8.5703125" style="16" customWidth="1"/>
    <col min="1543" max="1544" width="7.7109375" style="16" customWidth="1"/>
    <col min="1545" max="1551" width="8.2851562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7.85546875" style="16" customWidth="1"/>
    <col min="1795" max="1795" width="8.7109375" style="16" customWidth="1"/>
    <col min="1796" max="1796" width="7.5703125" style="16" customWidth="1"/>
    <col min="1797" max="1797" width="8.5703125" style="16" bestFit="1" customWidth="1"/>
    <col min="1798" max="1798" width="8.5703125" style="16" customWidth="1"/>
    <col min="1799" max="1800" width="7.7109375" style="16" customWidth="1"/>
    <col min="1801" max="1807" width="8.2851562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7.85546875" style="16" customWidth="1"/>
    <col min="2051" max="2051" width="8.7109375" style="16" customWidth="1"/>
    <col min="2052" max="2052" width="7.5703125" style="16" customWidth="1"/>
    <col min="2053" max="2053" width="8.5703125" style="16" bestFit="1" customWidth="1"/>
    <col min="2054" max="2054" width="8.5703125" style="16" customWidth="1"/>
    <col min="2055" max="2056" width="7.7109375" style="16" customWidth="1"/>
    <col min="2057" max="2063" width="8.2851562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7.85546875" style="16" customWidth="1"/>
    <col min="2307" max="2307" width="8.7109375" style="16" customWidth="1"/>
    <col min="2308" max="2308" width="7.5703125" style="16" customWidth="1"/>
    <col min="2309" max="2309" width="8.5703125" style="16" bestFit="1" customWidth="1"/>
    <col min="2310" max="2310" width="8.5703125" style="16" customWidth="1"/>
    <col min="2311" max="2312" width="7.7109375" style="16" customWidth="1"/>
    <col min="2313" max="2319" width="8.2851562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7.85546875" style="16" customWidth="1"/>
    <col min="2563" max="2563" width="8.7109375" style="16" customWidth="1"/>
    <col min="2564" max="2564" width="7.5703125" style="16" customWidth="1"/>
    <col min="2565" max="2565" width="8.5703125" style="16" bestFit="1" customWidth="1"/>
    <col min="2566" max="2566" width="8.5703125" style="16" customWidth="1"/>
    <col min="2567" max="2568" width="7.7109375" style="16" customWidth="1"/>
    <col min="2569" max="2575" width="8.2851562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7.85546875" style="16" customWidth="1"/>
    <col min="2819" max="2819" width="8.7109375" style="16" customWidth="1"/>
    <col min="2820" max="2820" width="7.5703125" style="16" customWidth="1"/>
    <col min="2821" max="2821" width="8.5703125" style="16" bestFit="1" customWidth="1"/>
    <col min="2822" max="2822" width="8.5703125" style="16" customWidth="1"/>
    <col min="2823" max="2824" width="7.7109375" style="16" customWidth="1"/>
    <col min="2825" max="2831" width="8.2851562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7.85546875" style="16" customWidth="1"/>
    <col min="3075" max="3075" width="8.7109375" style="16" customWidth="1"/>
    <col min="3076" max="3076" width="7.5703125" style="16" customWidth="1"/>
    <col min="3077" max="3077" width="8.5703125" style="16" bestFit="1" customWidth="1"/>
    <col min="3078" max="3078" width="8.5703125" style="16" customWidth="1"/>
    <col min="3079" max="3080" width="7.7109375" style="16" customWidth="1"/>
    <col min="3081" max="3087" width="8.2851562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7.85546875" style="16" customWidth="1"/>
    <col min="3331" max="3331" width="8.7109375" style="16" customWidth="1"/>
    <col min="3332" max="3332" width="7.5703125" style="16" customWidth="1"/>
    <col min="3333" max="3333" width="8.5703125" style="16" bestFit="1" customWidth="1"/>
    <col min="3334" max="3334" width="8.5703125" style="16" customWidth="1"/>
    <col min="3335" max="3336" width="7.7109375" style="16" customWidth="1"/>
    <col min="3337" max="3343" width="8.2851562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7.85546875" style="16" customWidth="1"/>
    <col min="3587" max="3587" width="8.7109375" style="16" customWidth="1"/>
    <col min="3588" max="3588" width="7.5703125" style="16" customWidth="1"/>
    <col min="3589" max="3589" width="8.5703125" style="16" bestFit="1" customWidth="1"/>
    <col min="3590" max="3590" width="8.5703125" style="16" customWidth="1"/>
    <col min="3591" max="3592" width="7.7109375" style="16" customWidth="1"/>
    <col min="3593" max="3599" width="8.2851562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7.85546875" style="16" customWidth="1"/>
    <col min="3843" max="3843" width="8.7109375" style="16" customWidth="1"/>
    <col min="3844" max="3844" width="7.5703125" style="16" customWidth="1"/>
    <col min="3845" max="3845" width="8.5703125" style="16" bestFit="1" customWidth="1"/>
    <col min="3846" max="3846" width="8.5703125" style="16" customWidth="1"/>
    <col min="3847" max="3848" width="7.7109375" style="16" customWidth="1"/>
    <col min="3849" max="3855" width="8.2851562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7.85546875" style="16" customWidth="1"/>
    <col min="4099" max="4099" width="8.7109375" style="16" customWidth="1"/>
    <col min="4100" max="4100" width="7.5703125" style="16" customWidth="1"/>
    <col min="4101" max="4101" width="8.5703125" style="16" bestFit="1" customWidth="1"/>
    <col min="4102" max="4102" width="8.5703125" style="16" customWidth="1"/>
    <col min="4103" max="4104" width="7.7109375" style="16" customWidth="1"/>
    <col min="4105" max="4111" width="8.2851562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7.85546875" style="16" customWidth="1"/>
    <col min="4355" max="4355" width="8.7109375" style="16" customWidth="1"/>
    <col min="4356" max="4356" width="7.5703125" style="16" customWidth="1"/>
    <col min="4357" max="4357" width="8.5703125" style="16" bestFit="1" customWidth="1"/>
    <col min="4358" max="4358" width="8.5703125" style="16" customWidth="1"/>
    <col min="4359" max="4360" width="7.7109375" style="16" customWidth="1"/>
    <col min="4361" max="4367" width="8.2851562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7.85546875" style="16" customWidth="1"/>
    <col min="4611" max="4611" width="8.7109375" style="16" customWidth="1"/>
    <col min="4612" max="4612" width="7.5703125" style="16" customWidth="1"/>
    <col min="4613" max="4613" width="8.5703125" style="16" bestFit="1" customWidth="1"/>
    <col min="4614" max="4614" width="8.5703125" style="16" customWidth="1"/>
    <col min="4615" max="4616" width="7.7109375" style="16" customWidth="1"/>
    <col min="4617" max="4623" width="8.2851562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7.85546875" style="16" customWidth="1"/>
    <col min="4867" max="4867" width="8.7109375" style="16" customWidth="1"/>
    <col min="4868" max="4868" width="7.5703125" style="16" customWidth="1"/>
    <col min="4869" max="4869" width="8.5703125" style="16" bestFit="1" customWidth="1"/>
    <col min="4870" max="4870" width="8.5703125" style="16" customWidth="1"/>
    <col min="4871" max="4872" width="7.7109375" style="16" customWidth="1"/>
    <col min="4873" max="4879" width="8.2851562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7.85546875" style="16" customWidth="1"/>
    <col min="5123" max="5123" width="8.7109375" style="16" customWidth="1"/>
    <col min="5124" max="5124" width="7.5703125" style="16" customWidth="1"/>
    <col min="5125" max="5125" width="8.5703125" style="16" bestFit="1" customWidth="1"/>
    <col min="5126" max="5126" width="8.5703125" style="16" customWidth="1"/>
    <col min="5127" max="5128" width="7.7109375" style="16" customWidth="1"/>
    <col min="5129" max="5135" width="8.2851562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7.85546875" style="16" customWidth="1"/>
    <col min="5379" max="5379" width="8.7109375" style="16" customWidth="1"/>
    <col min="5380" max="5380" width="7.5703125" style="16" customWidth="1"/>
    <col min="5381" max="5381" width="8.5703125" style="16" bestFit="1" customWidth="1"/>
    <col min="5382" max="5382" width="8.5703125" style="16" customWidth="1"/>
    <col min="5383" max="5384" width="7.7109375" style="16" customWidth="1"/>
    <col min="5385" max="5391" width="8.2851562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7.85546875" style="16" customWidth="1"/>
    <col min="5635" max="5635" width="8.7109375" style="16" customWidth="1"/>
    <col min="5636" max="5636" width="7.5703125" style="16" customWidth="1"/>
    <col min="5637" max="5637" width="8.5703125" style="16" bestFit="1" customWidth="1"/>
    <col min="5638" max="5638" width="8.5703125" style="16" customWidth="1"/>
    <col min="5639" max="5640" width="7.7109375" style="16" customWidth="1"/>
    <col min="5641" max="5647" width="8.2851562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7.85546875" style="16" customWidth="1"/>
    <col min="5891" max="5891" width="8.7109375" style="16" customWidth="1"/>
    <col min="5892" max="5892" width="7.5703125" style="16" customWidth="1"/>
    <col min="5893" max="5893" width="8.5703125" style="16" bestFit="1" customWidth="1"/>
    <col min="5894" max="5894" width="8.5703125" style="16" customWidth="1"/>
    <col min="5895" max="5896" width="7.7109375" style="16" customWidth="1"/>
    <col min="5897" max="5903" width="8.2851562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7.85546875" style="16" customWidth="1"/>
    <col min="6147" max="6147" width="8.7109375" style="16" customWidth="1"/>
    <col min="6148" max="6148" width="7.5703125" style="16" customWidth="1"/>
    <col min="6149" max="6149" width="8.5703125" style="16" bestFit="1" customWidth="1"/>
    <col min="6150" max="6150" width="8.5703125" style="16" customWidth="1"/>
    <col min="6151" max="6152" width="7.7109375" style="16" customWidth="1"/>
    <col min="6153" max="6159" width="8.2851562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7.85546875" style="16" customWidth="1"/>
    <col min="6403" max="6403" width="8.7109375" style="16" customWidth="1"/>
    <col min="6404" max="6404" width="7.5703125" style="16" customWidth="1"/>
    <col min="6405" max="6405" width="8.5703125" style="16" bestFit="1" customWidth="1"/>
    <col min="6406" max="6406" width="8.5703125" style="16" customWidth="1"/>
    <col min="6407" max="6408" width="7.7109375" style="16" customWidth="1"/>
    <col min="6409" max="6415" width="8.2851562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7.85546875" style="16" customWidth="1"/>
    <col min="6659" max="6659" width="8.7109375" style="16" customWidth="1"/>
    <col min="6660" max="6660" width="7.5703125" style="16" customWidth="1"/>
    <col min="6661" max="6661" width="8.5703125" style="16" bestFit="1" customWidth="1"/>
    <col min="6662" max="6662" width="8.5703125" style="16" customWidth="1"/>
    <col min="6663" max="6664" width="7.7109375" style="16" customWidth="1"/>
    <col min="6665" max="6671" width="8.2851562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7.85546875" style="16" customWidth="1"/>
    <col min="6915" max="6915" width="8.7109375" style="16" customWidth="1"/>
    <col min="6916" max="6916" width="7.5703125" style="16" customWidth="1"/>
    <col min="6917" max="6917" width="8.5703125" style="16" bestFit="1" customWidth="1"/>
    <col min="6918" max="6918" width="8.5703125" style="16" customWidth="1"/>
    <col min="6919" max="6920" width="7.7109375" style="16" customWidth="1"/>
    <col min="6921" max="6927" width="8.2851562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7.85546875" style="16" customWidth="1"/>
    <col min="7171" max="7171" width="8.7109375" style="16" customWidth="1"/>
    <col min="7172" max="7172" width="7.5703125" style="16" customWidth="1"/>
    <col min="7173" max="7173" width="8.5703125" style="16" bestFit="1" customWidth="1"/>
    <col min="7174" max="7174" width="8.5703125" style="16" customWidth="1"/>
    <col min="7175" max="7176" width="7.7109375" style="16" customWidth="1"/>
    <col min="7177" max="7183" width="8.2851562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7.85546875" style="16" customWidth="1"/>
    <col min="7427" max="7427" width="8.7109375" style="16" customWidth="1"/>
    <col min="7428" max="7428" width="7.5703125" style="16" customWidth="1"/>
    <col min="7429" max="7429" width="8.5703125" style="16" bestFit="1" customWidth="1"/>
    <col min="7430" max="7430" width="8.5703125" style="16" customWidth="1"/>
    <col min="7431" max="7432" width="7.7109375" style="16" customWidth="1"/>
    <col min="7433" max="7439" width="8.2851562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7.85546875" style="16" customWidth="1"/>
    <col min="7683" max="7683" width="8.7109375" style="16" customWidth="1"/>
    <col min="7684" max="7684" width="7.5703125" style="16" customWidth="1"/>
    <col min="7685" max="7685" width="8.5703125" style="16" bestFit="1" customWidth="1"/>
    <col min="7686" max="7686" width="8.5703125" style="16" customWidth="1"/>
    <col min="7687" max="7688" width="7.7109375" style="16" customWidth="1"/>
    <col min="7689" max="7695" width="8.2851562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7.85546875" style="16" customWidth="1"/>
    <col min="7939" max="7939" width="8.7109375" style="16" customWidth="1"/>
    <col min="7940" max="7940" width="7.5703125" style="16" customWidth="1"/>
    <col min="7941" max="7941" width="8.5703125" style="16" bestFit="1" customWidth="1"/>
    <col min="7942" max="7942" width="8.5703125" style="16" customWidth="1"/>
    <col min="7943" max="7944" width="7.7109375" style="16" customWidth="1"/>
    <col min="7945" max="7951" width="8.2851562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7.85546875" style="16" customWidth="1"/>
    <col min="8195" max="8195" width="8.7109375" style="16" customWidth="1"/>
    <col min="8196" max="8196" width="7.5703125" style="16" customWidth="1"/>
    <col min="8197" max="8197" width="8.5703125" style="16" bestFit="1" customWidth="1"/>
    <col min="8198" max="8198" width="8.5703125" style="16" customWidth="1"/>
    <col min="8199" max="8200" width="7.7109375" style="16" customWidth="1"/>
    <col min="8201" max="8207" width="8.2851562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7.85546875" style="16" customWidth="1"/>
    <col min="8451" max="8451" width="8.7109375" style="16" customWidth="1"/>
    <col min="8452" max="8452" width="7.5703125" style="16" customWidth="1"/>
    <col min="8453" max="8453" width="8.5703125" style="16" bestFit="1" customWidth="1"/>
    <col min="8454" max="8454" width="8.5703125" style="16" customWidth="1"/>
    <col min="8455" max="8456" width="7.7109375" style="16" customWidth="1"/>
    <col min="8457" max="8463" width="8.2851562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7.85546875" style="16" customWidth="1"/>
    <col min="8707" max="8707" width="8.7109375" style="16" customWidth="1"/>
    <col min="8708" max="8708" width="7.5703125" style="16" customWidth="1"/>
    <col min="8709" max="8709" width="8.5703125" style="16" bestFit="1" customWidth="1"/>
    <col min="8710" max="8710" width="8.5703125" style="16" customWidth="1"/>
    <col min="8711" max="8712" width="7.7109375" style="16" customWidth="1"/>
    <col min="8713" max="8719" width="8.2851562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7.85546875" style="16" customWidth="1"/>
    <col min="8963" max="8963" width="8.7109375" style="16" customWidth="1"/>
    <col min="8964" max="8964" width="7.5703125" style="16" customWidth="1"/>
    <col min="8965" max="8965" width="8.5703125" style="16" bestFit="1" customWidth="1"/>
    <col min="8966" max="8966" width="8.5703125" style="16" customWidth="1"/>
    <col min="8967" max="8968" width="7.7109375" style="16" customWidth="1"/>
    <col min="8969" max="8975" width="8.2851562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7.85546875" style="16" customWidth="1"/>
    <col min="9219" max="9219" width="8.7109375" style="16" customWidth="1"/>
    <col min="9220" max="9220" width="7.5703125" style="16" customWidth="1"/>
    <col min="9221" max="9221" width="8.5703125" style="16" bestFit="1" customWidth="1"/>
    <col min="9222" max="9222" width="8.5703125" style="16" customWidth="1"/>
    <col min="9223" max="9224" width="7.7109375" style="16" customWidth="1"/>
    <col min="9225" max="9231" width="8.2851562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7.85546875" style="16" customWidth="1"/>
    <col min="9475" max="9475" width="8.7109375" style="16" customWidth="1"/>
    <col min="9476" max="9476" width="7.5703125" style="16" customWidth="1"/>
    <col min="9477" max="9477" width="8.5703125" style="16" bestFit="1" customWidth="1"/>
    <col min="9478" max="9478" width="8.5703125" style="16" customWidth="1"/>
    <col min="9479" max="9480" width="7.7109375" style="16" customWidth="1"/>
    <col min="9481" max="9487" width="8.2851562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7.85546875" style="16" customWidth="1"/>
    <col min="9731" max="9731" width="8.7109375" style="16" customWidth="1"/>
    <col min="9732" max="9732" width="7.5703125" style="16" customWidth="1"/>
    <col min="9733" max="9733" width="8.5703125" style="16" bestFit="1" customWidth="1"/>
    <col min="9734" max="9734" width="8.5703125" style="16" customWidth="1"/>
    <col min="9735" max="9736" width="7.7109375" style="16" customWidth="1"/>
    <col min="9737" max="9743" width="8.2851562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7.85546875" style="16" customWidth="1"/>
    <col min="9987" max="9987" width="8.7109375" style="16" customWidth="1"/>
    <col min="9988" max="9988" width="7.5703125" style="16" customWidth="1"/>
    <col min="9989" max="9989" width="8.5703125" style="16" bestFit="1" customWidth="1"/>
    <col min="9990" max="9990" width="8.5703125" style="16" customWidth="1"/>
    <col min="9991" max="9992" width="7.7109375" style="16" customWidth="1"/>
    <col min="9993" max="9999" width="8.2851562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7.85546875" style="16" customWidth="1"/>
    <col min="10243" max="10243" width="8.7109375" style="16" customWidth="1"/>
    <col min="10244" max="10244" width="7.5703125" style="16" customWidth="1"/>
    <col min="10245" max="10245" width="8.5703125" style="16" bestFit="1" customWidth="1"/>
    <col min="10246" max="10246" width="8.5703125" style="16" customWidth="1"/>
    <col min="10247" max="10248" width="7.7109375" style="16" customWidth="1"/>
    <col min="10249" max="10255" width="8.2851562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7.85546875" style="16" customWidth="1"/>
    <col min="10499" max="10499" width="8.7109375" style="16" customWidth="1"/>
    <col min="10500" max="10500" width="7.5703125" style="16" customWidth="1"/>
    <col min="10501" max="10501" width="8.5703125" style="16" bestFit="1" customWidth="1"/>
    <col min="10502" max="10502" width="8.5703125" style="16" customWidth="1"/>
    <col min="10503" max="10504" width="7.7109375" style="16" customWidth="1"/>
    <col min="10505" max="10511" width="8.2851562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7.85546875" style="16" customWidth="1"/>
    <col min="10755" max="10755" width="8.7109375" style="16" customWidth="1"/>
    <col min="10756" max="10756" width="7.5703125" style="16" customWidth="1"/>
    <col min="10757" max="10757" width="8.5703125" style="16" bestFit="1" customWidth="1"/>
    <col min="10758" max="10758" width="8.5703125" style="16" customWidth="1"/>
    <col min="10759" max="10760" width="7.7109375" style="16" customWidth="1"/>
    <col min="10761" max="10767" width="8.2851562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7.85546875" style="16" customWidth="1"/>
    <col min="11011" max="11011" width="8.7109375" style="16" customWidth="1"/>
    <col min="11012" max="11012" width="7.5703125" style="16" customWidth="1"/>
    <col min="11013" max="11013" width="8.5703125" style="16" bestFit="1" customWidth="1"/>
    <col min="11014" max="11014" width="8.5703125" style="16" customWidth="1"/>
    <col min="11015" max="11016" width="7.7109375" style="16" customWidth="1"/>
    <col min="11017" max="11023" width="8.2851562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7.85546875" style="16" customWidth="1"/>
    <col min="11267" max="11267" width="8.7109375" style="16" customWidth="1"/>
    <col min="11268" max="11268" width="7.5703125" style="16" customWidth="1"/>
    <col min="11269" max="11269" width="8.5703125" style="16" bestFit="1" customWidth="1"/>
    <col min="11270" max="11270" width="8.5703125" style="16" customWidth="1"/>
    <col min="11271" max="11272" width="7.7109375" style="16" customWidth="1"/>
    <col min="11273" max="11279" width="8.2851562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7.85546875" style="16" customWidth="1"/>
    <col min="11523" max="11523" width="8.7109375" style="16" customWidth="1"/>
    <col min="11524" max="11524" width="7.5703125" style="16" customWidth="1"/>
    <col min="11525" max="11525" width="8.5703125" style="16" bestFit="1" customWidth="1"/>
    <col min="11526" max="11526" width="8.5703125" style="16" customWidth="1"/>
    <col min="11527" max="11528" width="7.7109375" style="16" customWidth="1"/>
    <col min="11529" max="11535" width="8.2851562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7.85546875" style="16" customWidth="1"/>
    <col min="11779" max="11779" width="8.7109375" style="16" customWidth="1"/>
    <col min="11780" max="11780" width="7.5703125" style="16" customWidth="1"/>
    <col min="11781" max="11781" width="8.5703125" style="16" bestFit="1" customWidth="1"/>
    <col min="11782" max="11782" width="8.5703125" style="16" customWidth="1"/>
    <col min="11783" max="11784" width="7.7109375" style="16" customWidth="1"/>
    <col min="11785" max="11791" width="8.2851562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7.85546875" style="16" customWidth="1"/>
    <col min="12035" max="12035" width="8.7109375" style="16" customWidth="1"/>
    <col min="12036" max="12036" width="7.5703125" style="16" customWidth="1"/>
    <col min="12037" max="12037" width="8.5703125" style="16" bestFit="1" customWidth="1"/>
    <col min="12038" max="12038" width="8.5703125" style="16" customWidth="1"/>
    <col min="12039" max="12040" width="7.7109375" style="16" customWidth="1"/>
    <col min="12041" max="12047" width="8.2851562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7.85546875" style="16" customWidth="1"/>
    <col min="12291" max="12291" width="8.7109375" style="16" customWidth="1"/>
    <col min="12292" max="12292" width="7.5703125" style="16" customWidth="1"/>
    <col min="12293" max="12293" width="8.5703125" style="16" bestFit="1" customWidth="1"/>
    <col min="12294" max="12294" width="8.5703125" style="16" customWidth="1"/>
    <col min="12295" max="12296" width="7.7109375" style="16" customWidth="1"/>
    <col min="12297" max="12303" width="8.2851562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7.85546875" style="16" customWidth="1"/>
    <col min="12547" max="12547" width="8.7109375" style="16" customWidth="1"/>
    <col min="12548" max="12548" width="7.5703125" style="16" customWidth="1"/>
    <col min="12549" max="12549" width="8.5703125" style="16" bestFit="1" customWidth="1"/>
    <col min="12550" max="12550" width="8.5703125" style="16" customWidth="1"/>
    <col min="12551" max="12552" width="7.7109375" style="16" customWidth="1"/>
    <col min="12553" max="12559" width="8.2851562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7.85546875" style="16" customWidth="1"/>
    <col min="12803" max="12803" width="8.7109375" style="16" customWidth="1"/>
    <col min="12804" max="12804" width="7.5703125" style="16" customWidth="1"/>
    <col min="12805" max="12805" width="8.5703125" style="16" bestFit="1" customWidth="1"/>
    <col min="12806" max="12806" width="8.5703125" style="16" customWidth="1"/>
    <col min="12807" max="12808" width="7.7109375" style="16" customWidth="1"/>
    <col min="12809" max="12815" width="8.2851562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7.85546875" style="16" customWidth="1"/>
    <col min="13059" max="13059" width="8.7109375" style="16" customWidth="1"/>
    <col min="13060" max="13060" width="7.5703125" style="16" customWidth="1"/>
    <col min="13061" max="13061" width="8.5703125" style="16" bestFit="1" customWidth="1"/>
    <col min="13062" max="13062" width="8.5703125" style="16" customWidth="1"/>
    <col min="13063" max="13064" width="7.7109375" style="16" customWidth="1"/>
    <col min="13065" max="13071" width="8.2851562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7.85546875" style="16" customWidth="1"/>
    <col min="13315" max="13315" width="8.7109375" style="16" customWidth="1"/>
    <col min="13316" max="13316" width="7.5703125" style="16" customWidth="1"/>
    <col min="13317" max="13317" width="8.5703125" style="16" bestFit="1" customWidth="1"/>
    <col min="13318" max="13318" width="8.5703125" style="16" customWidth="1"/>
    <col min="13319" max="13320" width="7.7109375" style="16" customWidth="1"/>
    <col min="13321" max="13327" width="8.2851562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7.85546875" style="16" customWidth="1"/>
    <col min="13571" max="13571" width="8.7109375" style="16" customWidth="1"/>
    <col min="13572" max="13572" width="7.5703125" style="16" customWidth="1"/>
    <col min="13573" max="13573" width="8.5703125" style="16" bestFit="1" customWidth="1"/>
    <col min="13574" max="13574" width="8.5703125" style="16" customWidth="1"/>
    <col min="13575" max="13576" width="7.7109375" style="16" customWidth="1"/>
    <col min="13577" max="13583" width="8.2851562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7.85546875" style="16" customWidth="1"/>
    <col min="13827" max="13827" width="8.7109375" style="16" customWidth="1"/>
    <col min="13828" max="13828" width="7.5703125" style="16" customWidth="1"/>
    <col min="13829" max="13829" width="8.5703125" style="16" bestFit="1" customWidth="1"/>
    <col min="13830" max="13830" width="8.5703125" style="16" customWidth="1"/>
    <col min="13831" max="13832" width="7.7109375" style="16" customWidth="1"/>
    <col min="13833" max="13839" width="8.2851562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7.85546875" style="16" customWidth="1"/>
    <col min="14083" max="14083" width="8.7109375" style="16" customWidth="1"/>
    <col min="14084" max="14084" width="7.5703125" style="16" customWidth="1"/>
    <col min="14085" max="14085" width="8.5703125" style="16" bestFit="1" customWidth="1"/>
    <col min="14086" max="14086" width="8.5703125" style="16" customWidth="1"/>
    <col min="14087" max="14088" width="7.7109375" style="16" customWidth="1"/>
    <col min="14089" max="14095" width="8.2851562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7.85546875" style="16" customWidth="1"/>
    <col min="14339" max="14339" width="8.7109375" style="16" customWidth="1"/>
    <col min="14340" max="14340" width="7.5703125" style="16" customWidth="1"/>
    <col min="14341" max="14341" width="8.5703125" style="16" bestFit="1" customWidth="1"/>
    <col min="14342" max="14342" width="8.5703125" style="16" customWidth="1"/>
    <col min="14343" max="14344" width="7.7109375" style="16" customWidth="1"/>
    <col min="14345" max="14351" width="8.2851562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7.85546875" style="16" customWidth="1"/>
    <col min="14595" max="14595" width="8.7109375" style="16" customWidth="1"/>
    <col min="14596" max="14596" width="7.5703125" style="16" customWidth="1"/>
    <col min="14597" max="14597" width="8.5703125" style="16" bestFit="1" customWidth="1"/>
    <col min="14598" max="14598" width="8.5703125" style="16" customWidth="1"/>
    <col min="14599" max="14600" width="7.7109375" style="16" customWidth="1"/>
    <col min="14601" max="14607" width="8.2851562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7.85546875" style="16" customWidth="1"/>
    <col min="14851" max="14851" width="8.7109375" style="16" customWidth="1"/>
    <col min="14852" max="14852" width="7.5703125" style="16" customWidth="1"/>
    <col min="14853" max="14853" width="8.5703125" style="16" bestFit="1" customWidth="1"/>
    <col min="14854" max="14854" width="8.5703125" style="16" customWidth="1"/>
    <col min="14855" max="14856" width="7.7109375" style="16" customWidth="1"/>
    <col min="14857" max="14863" width="8.2851562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7.85546875" style="16" customWidth="1"/>
    <col min="15107" max="15107" width="8.7109375" style="16" customWidth="1"/>
    <col min="15108" max="15108" width="7.5703125" style="16" customWidth="1"/>
    <col min="15109" max="15109" width="8.5703125" style="16" bestFit="1" customWidth="1"/>
    <col min="15110" max="15110" width="8.5703125" style="16" customWidth="1"/>
    <col min="15111" max="15112" width="7.7109375" style="16" customWidth="1"/>
    <col min="15113" max="15119" width="8.2851562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7.85546875" style="16" customWidth="1"/>
    <col min="15363" max="15363" width="8.7109375" style="16" customWidth="1"/>
    <col min="15364" max="15364" width="7.5703125" style="16" customWidth="1"/>
    <col min="15365" max="15365" width="8.5703125" style="16" bestFit="1" customWidth="1"/>
    <col min="15366" max="15366" width="8.5703125" style="16" customWidth="1"/>
    <col min="15367" max="15368" width="7.7109375" style="16" customWidth="1"/>
    <col min="15369" max="15375" width="8.2851562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7.85546875" style="16" customWidth="1"/>
    <col min="15619" max="15619" width="8.7109375" style="16" customWidth="1"/>
    <col min="15620" max="15620" width="7.5703125" style="16" customWidth="1"/>
    <col min="15621" max="15621" width="8.5703125" style="16" bestFit="1" customWidth="1"/>
    <col min="15622" max="15622" width="8.5703125" style="16" customWidth="1"/>
    <col min="15623" max="15624" width="7.7109375" style="16" customWidth="1"/>
    <col min="15625" max="15631" width="8.2851562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7.85546875" style="16" customWidth="1"/>
    <col min="15875" max="15875" width="8.7109375" style="16" customWidth="1"/>
    <col min="15876" max="15876" width="7.5703125" style="16" customWidth="1"/>
    <col min="15877" max="15877" width="8.5703125" style="16" bestFit="1" customWidth="1"/>
    <col min="15878" max="15878" width="8.5703125" style="16" customWidth="1"/>
    <col min="15879" max="15880" width="7.7109375" style="16" customWidth="1"/>
    <col min="15881" max="15887" width="8.2851562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7.85546875" style="16" customWidth="1"/>
    <col min="16131" max="16131" width="8.7109375" style="16" customWidth="1"/>
    <col min="16132" max="16132" width="7.5703125" style="16" customWidth="1"/>
    <col min="16133" max="16133" width="8.5703125" style="16" bestFit="1" customWidth="1"/>
    <col min="16134" max="16134" width="8.5703125" style="16" customWidth="1"/>
    <col min="16135" max="16136" width="7.7109375" style="16" customWidth="1"/>
    <col min="16137" max="16143" width="8.2851562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67" t="s">
        <v>100</v>
      </c>
      <c r="B1" s="868"/>
      <c r="C1" s="868"/>
      <c r="D1" s="869"/>
      <c r="E1" s="868"/>
      <c r="F1" s="868"/>
      <c r="G1" s="867" t="s">
        <v>102</v>
      </c>
      <c r="H1" s="869"/>
      <c r="I1" s="869" t="s">
        <v>65</v>
      </c>
      <c r="J1" s="868"/>
      <c r="K1" s="868"/>
      <c r="L1" s="870"/>
      <c r="M1" s="870"/>
      <c r="N1" s="870"/>
      <c r="O1" s="870"/>
    </row>
    <row r="2" spans="1:15" s="1" customFormat="1" x14ac:dyDescent="0.2">
      <c r="A2" s="867" t="s">
        <v>103</v>
      </c>
      <c r="B2" s="868"/>
      <c r="C2" s="868"/>
      <c r="D2" s="869"/>
      <c r="E2" s="868"/>
      <c r="F2" s="868"/>
      <c r="G2" s="867" t="s">
        <v>104</v>
      </c>
      <c r="H2" s="869"/>
      <c r="I2" s="869" t="s">
        <v>105</v>
      </c>
      <c r="J2" s="868"/>
      <c r="K2" s="868"/>
      <c r="L2" s="870"/>
      <c r="M2" s="870"/>
      <c r="N2" s="870"/>
      <c r="O2" s="870"/>
    </row>
    <row r="3" spans="1:15" s="1" customFormat="1" x14ac:dyDescent="0.2">
      <c r="A3" s="867" t="s">
        <v>106</v>
      </c>
      <c r="B3" s="868"/>
      <c r="C3" s="868"/>
      <c r="D3" s="883" t="s">
        <v>338</v>
      </c>
      <c r="E3" s="868"/>
      <c r="F3" s="868"/>
      <c r="G3" s="867" t="s">
        <v>107</v>
      </c>
      <c r="H3" s="869"/>
      <c r="I3" s="869" t="s">
        <v>108</v>
      </c>
      <c r="J3" s="868"/>
      <c r="K3" s="868"/>
      <c r="L3" s="870"/>
      <c r="M3" s="870"/>
      <c r="N3" s="870"/>
      <c r="O3" s="870"/>
    </row>
    <row r="4" spans="1:15" s="1" customFormat="1" x14ac:dyDescent="0.2">
      <c r="A4" s="867" t="s">
        <v>109</v>
      </c>
      <c r="B4" s="868"/>
      <c r="C4" s="868"/>
      <c r="D4" s="869"/>
      <c r="E4" s="868"/>
      <c r="F4" s="868"/>
      <c r="G4" s="867" t="s">
        <v>110</v>
      </c>
      <c r="H4" s="869"/>
      <c r="I4" s="869" t="s">
        <v>339</v>
      </c>
      <c r="J4" s="868"/>
      <c r="K4" s="868"/>
      <c r="L4" s="870"/>
      <c r="M4" s="870"/>
      <c r="N4" s="870"/>
      <c r="O4" s="870"/>
    </row>
    <row r="5" spans="1:15" s="1" customFormat="1" x14ac:dyDescent="0.2">
      <c r="A5" s="867" t="s">
        <v>278</v>
      </c>
      <c r="B5" s="868"/>
      <c r="C5" s="868"/>
      <c r="D5" s="869" t="s">
        <v>340</v>
      </c>
      <c r="E5" s="868"/>
      <c r="F5" s="868"/>
      <c r="G5" s="867"/>
      <c r="H5" s="868"/>
      <c r="I5" s="869" t="s">
        <v>113</v>
      </c>
      <c r="J5" s="868"/>
      <c r="K5" s="868"/>
      <c r="L5" s="870"/>
      <c r="M5" s="870"/>
      <c r="N5" s="870"/>
      <c r="O5" s="870"/>
    </row>
    <row r="6" spans="1:15" s="1" customFormat="1" x14ac:dyDescent="0.2">
      <c r="A6" s="871" t="s">
        <v>114</v>
      </c>
      <c r="B6" s="872"/>
      <c r="C6" s="872"/>
      <c r="D6" s="868" t="s">
        <v>66</v>
      </c>
      <c r="E6" s="868"/>
      <c r="F6" s="868"/>
      <c r="G6" s="871" t="s">
        <v>115</v>
      </c>
      <c r="H6" s="871"/>
      <c r="I6" s="2" t="s">
        <v>116</v>
      </c>
      <c r="J6" s="873" t="s">
        <v>341</v>
      </c>
      <c r="K6" s="873"/>
      <c r="L6" s="873"/>
      <c r="M6" s="873"/>
      <c r="N6" s="873"/>
      <c r="O6" s="874"/>
    </row>
    <row r="7" spans="1:15" s="1" customFormat="1" ht="13.5" thickBot="1" x14ac:dyDescent="0.25">
      <c r="A7" s="3"/>
      <c r="B7" s="4"/>
      <c r="C7" s="5"/>
      <c r="D7" s="6"/>
      <c r="E7" s="6"/>
      <c r="F7" s="6"/>
      <c r="G7" s="6"/>
      <c r="H7" s="6"/>
      <c r="I7" s="6"/>
      <c r="J7" s="7"/>
      <c r="K7" s="8"/>
      <c r="L7" s="875" t="s">
        <v>223</v>
      </c>
      <c r="M7" s="875"/>
      <c r="N7" s="875"/>
      <c r="O7" s="875"/>
    </row>
    <row r="8" spans="1:15" s="11" customFormat="1" x14ac:dyDescent="0.2">
      <c r="A8" s="876" t="str">
        <f>I1</f>
        <v>Mr. J. M. Salvi</v>
      </c>
      <c r="B8" s="877"/>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38100</v>
      </c>
      <c r="D9" s="14">
        <v>38100</v>
      </c>
      <c r="E9" s="14">
        <v>38100</v>
      </c>
      <c r="F9" s="14">
        <v>38100</v>
      </c>
      <c r="G9" s="14">
        <v>39200</v>
      </c>
      <c r="H9" s="14">
        <v>39200</v>
      </c>
      <c r="I9" s="14">
        <v>39200</v>
      </c>
      <c r="J9" s="14">
        <v>39200</v>
      </c>
      <c r="K9" s="14">
        <v>39200</v>
      </c>
      <c r="L9" s="14">
        <v>39200</v>
      </c>
      <c r="M9" s="14">
        <v>39200</v>
      </c>
      <c r="N9" s="14">
        <v>39200</v>
      </c>
      <c r="O9" s="15">
        <f>SUM(C9:N9)</f>
        <v>466000</v>
      </c>
    </row>
    <row r="10" spans="1:15" ht="15" x14ac:dyDescent="0.2">
      <c r="A10" s="12"/>
      <c r="B10" s="13" t="s">
        <v>119</v>
      </c>
      <c r="C10" s="17">
        <v>0</v>
      </c>
      <c r="D10" s="17">
        <f>+C10</f>
        <v>0</v>
      </c>
      <c r="E10" s="17">
        <f t="shared" ref="D10:N25" si="0">+D10</f>
        <v>0</v>
      </c>
      <c r="F10" s="17">
        <f t="shared" si="0"/>
        <v>0</v>
      </c>
      <c r="G10" s="17">
        <f t="shared" si="0"/>
        <v>0</v>
      </c>
      <c r="H10" s="17">
        <v>0</v>
      </c>
      <c r="I10" s="17">
        <f t="shared" si="0"/>
        <v>0</v>
      </c>
      <c r="J10" s="17">
        <f t="shared" si="0"/>
        <v>0</v>
      </c>
      <c r="K10" s="17">
        <f t="shared" si="0"/>
        <v>0</v>
      </c>
      <c r="L10" s="17">
        <f t="shared" si="0"/>
        <v>0</v>
      </c>
      <c r="M10" s="17">
        <f t="shared" si="0"/>
        <v>0</v>
      </c>
      <c r="N10" s="17">
        <f t="shared" si="0"/>
        <v>0</v>
      </c>
      <c r="O10" s="18">
        <f>SUM(C10:N10)</f>
        <v>0</v>
      </c>
    </row>
    <row r="11" spans="1:15" ht="15" x14ac:dyDescent="0.2">
      <c r="A11" s="12"/>
      <c r="B11" s="13" t="s">
        <v>120</v>
      </c>
      <c r="C11" s="17">
        <v>1905</v>
      </c>
      <c r="D11" s="17">
        <v>2667</v>
      </c>
      <c r="E11" s="17">
        <f t="shared" si="0"/>
        <v>2667</v>
      </c>
      <c r="F11" s="17">
        <f t="shared" si="0"/>
        <v>2667</v>
      </c>
      <c r="G11" s="17">
        <v>2744</v>
      </c>
      <c r="H11" s="17">
        <v>2744</v>
      </c>
      <c r="I11" s="17">
        <v>2744</v>
      </c>
      <c r="J11" s="17">
        <v>3528</v>
      </c>
      <c r="K11" s="17">
        <f t="shared" si="0"/>
        <v>3528</v>
      </c>
      <c r="L11" s="17">
        <f t="shared" si="0"/>
        <v>3528</v>
      </c>
      <c r="M11" s="17">
        <f t="shared" si="0"/>
        <v>3528</v>
      </c>
      <c r="N11" s="17">
        <f t="shared" si="0"/>
        <v>3528</v>
      </c>
      <c r="O11" s="18">
        <f>SUM(C11:N11)</f>
        <v>35778</v>
      </c>
    </row>
    <row r="12" spans="1:15" ht="15" x14ac:dyDescent="0.2">
      <c r="A12" s="12"/>
      <c r="B12" s="13" t="s">
        <v>121</v>
      </c>
      <c r="C12" s="17">
        <v>0</v>
      </c>
      <c r="D12" s="17">
        <f t="shared" si="0"/>
        <v>0</v>
      </c>
      <c r="E12" s="17">
        <f t="shared" si="0"/>
        <v>0</v>
      </c>
      <c r="F12" s="17">
        <f t="shared" si="0"/>
        <v>0</v>
      </c>
      <c r="G12" s="17">
        <f t="shared" si="0"/>
        <v>0</v>
      </c>
      <c r="H12" s="17">
        <v>0</v>
      </c>
      <c r="I12" s="17">
        <f t="shared" si="0"/>
        <v>0</v>
      </c>
      <c r="J12" s="17">
        <f t="shared" si="0"/>
        <v>0</v>
      </c>
      <c r="K12" s="17">
        <f t="shared" si="0"/>
        <v>0</v>
      </c>
      <c r="L12" s="17">
        <f t="shared" si="0"/>
        <v>0</v>
      </c>
      <c r="M12" s="17">
        <f t="shared" si="0"/>
        <v>0</v>
      </c>
      <c r="N12" s="17">
        <f t="shared" si="0"/>
        <v>0</v>
      </c>
      <c r="O12" s="18">
        <f>SUM(C12:N12)</f>
        <v>0</v>
      </c>
    </row>
    <row r="13" spans="1:15" ht="15" hidden="1" x14ac:dyDescent="0.2">
      <c r="A13" s="12"/>
      <c r="B13" s="13" t="s">
        <v>122</v>
      </c>
      <c r="C13" s="17">
        <v>0</v>
      </c>
      <c r="D13" s="17">
        <f t="shared" si="0"/>
        <v>0</v>
      </c>
      <c r="E13" s="17">
        <f t="shared" si="0"/>
        <v>0</v>
      </c>
      <c r="F13" s="17">
        <f t="shared" si="0"/>
        <v>0</v>
      </c>
      <c r="G13" s="17">
        <f t="shared" si="0"/>
        <v>0</v>
      </c>
      <c r="H13" s="17">
        <v>0</v>
      </c>
      <c r="I13" s="17">
        <f t="shared" si="0"/>
        <v>0</v>
      </c>
      <c r="J13" s="17">
        <f t="shared" si="0"/>
        <v>0</v>
      </c>
      <c r="K13" s="17">
        <f t="shared" si="0"/>
        <v>0</v>
      </c>
      <c r="L13" s="17">
        <f t="shared" si="0"/>
        <v>0</v>
      </c>
      <c r="M13" s="17">
        <f t="shared" si="0"/>
        <v>0</v>
      </c>
      <c r="N13" s="17">
        <f t="shared" si="0"/>
        <v>0</v>
      </c>
      <c r="O13" s="18">
        <f t="shared" ref="O13:O36" si="1">SUM(C13:N13)</f>
        <v>0</v>
      </c>
    </row>
    <row r="14" spans="1:15" ht="15" x14ac:dyDescent="0.2">
      <c r="A14" s="12"/>
      <c r="B14" s="13" t="s">
        <v>123</v>
      </c>
      <c r="C14" s="17">
        <v>3780</v>
      </c>
      <c r="D14" s="17">
        <v>3852</v>
      </c>
      <c r="E14" s="17">
        <f t="shared" si="0"/>
        <v>3852</v>
      </c>
      <c r="F14" s="17">
        <f t="shared" si="0"/>
        <v>3852</v>
      </c>
      <c r="G14" s="17">
        <v>2744</v>
      </c>
      <c r="H14" s="17">
        <v>2744</v>
      </c>
      <c r="I14" s="17">
        <v>2744</v>
      </c>
      <c r="J14" s="17">
        <v>3528</v>
      </c>
      <c r="K14" s="17">
        <f t="shared" si="0"/>
        <v>3528</v>
      </c>
      <c r="L14" s="17">
        <f t="shared" si="0"/>
        <v>3528</v>
      </c>
      <c r="M14" s="17">
        <f t="shared" si="0"/>
        <v>3528</v>
      </c>
      <c r="N14" s="17">
        <f t="shared" si="0"/>
        <v>3528</v>
      </c>
      <c r="O14" s="18">
        <f t="shared" si="1"/>
        <v>41208</v>
      </c>
    </row>
    <row r="15" spans="1:15" ht="15" hidden="1" x14ac:dyDescent="0.2">
      <c r="A15" s="12"/>
      <c r="B15" s="13" t="s">
        <v>124</v>
      </c>
      <c r="C15" s="17">
        <v>0</v>
      </c>
      <c r="D15" s="17">
        <f t="shared" si="0"/>
        <v>0</v>
      </c>
      <c r="E15" s="17">
        <f t="shared" si="0"/>
        <v>0</v>
      </c>
      <c r="F15" s="17">
        <f t="shared" si="0"/>
        <v>0</v>
      </c>
      <c r="G15" s="17">
        <f t="shared" si="0"/>
        <v>0</v>
      </c>
      <c r="H15" s="17">
        <v>0</v>
      </c>
      <c r="I15" s="17">
        <f t="shared" si="0"/>
        <v>0</v>
      </c>
      <c r="J15" s="17">
        <f t="shared" si="0"/>
        <v>0</v>
      </c>
      <c r="K15" s="17">
        <f t="shared" si="0"/>
        <v>0</v>
      </c>
      <c r="L15" s="17">
        <f t="shared" si="0"/>
        <v>0</v>
      </c>
      <c r="M15" s="17">
        <f t="shared" si="0"/>
        <v>0</v>
      </c>
      <c r="N15" s="17">
        <f t="shared" si="0"/>
        <v>0</v>
      </c>
      <c r="O15" s="18">
        <f t="shared" si="1"/>
        <v>0</v>
      </c>
    </row>
    <row r="16" spans="1:15" ht="15" hidden="1" x14ac:dyDescent="0.2">
      <c r="A16" s="12"/>
      <c r="B16" s="13" t="s">
        <v>125</v>
      </c>
      <c r="C16" s="17">
        <v>0</v>
      </c>
      <c r="D16" s="17">
        <f t="shared" si="0"/>
        <v>0</v>
      </c>
      <c r="E16" s="17">
        <f t="shared" si="0"/>
        <v>0</v>
      </c>
      <c r="F16" s="17">
        <f t="shared" si="0"/>
        <v>0</v>
      </c>
      <c r="G16" s="17">
        <f t="shared" si="0"/>
        <v>0</v>
      </c>
      <c r="H16" s="17">
        <v>0</v>
      </c>
      <c r="I16" s="17">
        <f t="shared" si="0"/>
        <v>0</v>
      </c>
      <c r="J16" s="17">
        <f t="shared" si="0"/>
        <v>0</v>
      </c>
      <c r="K16" s="17">
        <f t="shared" si="0"/>
        <v>0</v>
      </c>
      <c r="L16" s="17">
        <f t="shared" si="0"/>
        <v>0</v>
      </c>
      <c r="M16" s="17">
        <f t="shared" si="0"/>
        <v>0</v>
      </c>
      <c r="N16" s="17">
        <f t="shared" si="0"/>
        <v>0</v>
      </c>
      <c r="O16" s="18">
        <f t="shared" si="1"/>
        <v>0</v>
      </c>
    </row>
    <row r="17" spans="1:15" ht="15" hidden="1" x14ac:dyDescent="0.2">
      <c r="A17" s="12"/>
      <c r="B17" s="13" t="s">
        <v>126</v>
      </c>
      <c r="C17" s="17">
        <v>0</v>
      </c>
      <c r="D17" s="17">
        <f t="shared" si="0"/>
        <v>0</v>
      </c>
      <c r="E17" s="17">
        <f t="shared" si="0"/>
        <v>0</v>
      </c>
      <c r="F17" s="17">
        <f t="shared" si="0"/>
        <v>0</v>
      </c>
      <c r="G17" s="17">
        <f t="shared" si="0"/>
        <v>0</v>
      </c>
      <c r="H17" s="17">
        <v>0</v>
      </c>
      <c r="I17" s="17">
        <f t="shared" si="0"/>
        <v>0</v>
      </c>
      <c r="J17" s="17">
        <f t="shared" si="0"/>
        <v>0</v>
      </c>
      <c r="K17" s="17">
        <f t="shared" si="0"/>
        <v>0</v>
      </c>
      <c r="L17" s="17">
        <f t="shared" si="0"/>
        <v>0</v>
      </c>
      <c r="M17" s="17">
        <f t="shared" si="0"/>
        <v>0</v>
      </c>
      <c r="N17" s="17">
        <f t="shared" si="0"/>
        <v>0</v>
      </c>
      <c r="O17" s="18">
        <f t="shared" si="1"/>
        <v>0</v>
      </c>
    </row>
    <row r="18" spans="1:15" ht="15" x14ac:dyDescent="0.2">
      <c r="A18" s="12"/>
      <c r="B18" s="13" t="s">
        <v>224</v>
      </c>
      <c r="C18" s="17">
        <v>0</v>
      </c>
      <c r="D18" s="17">
        <f t="shared" si="0"/>
        <v>0</v>
      </c>
      <c r="E18" s="17">
        <f t="shared" si="0"/>
        <v>0</v>
      </c>
      <c r="F18" s="17">
        <f t="shared" si="0"/>
        <v>0</v>
      </c>
      <c r="G18" s="17">
        <f t="shared" si="0"/>
        <v>0</v>
      </c>
      <c r="H18" s="17">
        <v>0</v>
      </c>
      <c r="I18" s="17">
        <f t="shared" si="0"/>
        <v>0</v>
      </c>
      <c r="J18" s="17">
        <f t="shared" si="0"/>
        <v>0</v>
      </c>
      <c r="K18" s="17">
        <f t="shared" si="0"/>
        <v>0</v>
      </c>
      <c r="L18" s="17">
        <f t="shared" si="0"/>
        <v>0</v>
      </c>
      <c r="M18" s="17">
        <f t="shared" si="0"/>
        <v>0</v>
      </c>
      <c r="N18" s="17">
        <f t="shared" si="0"/>
        <v>0</v>
      </c>
      <c r="O18" s="18">
        <f t="shared" si="1"/>
        <v>0</v>
      </c>
    </row>
    <row r="19" spans="1:15" ht="15" x14ac:dyDescent="0.2">
      <c r="A19" s="12"/>
      <c r="B19" s="13" t="s">
        <v>128</v>
      </c>
      <c r="C19" s="17">
        <v>8259</v>
      </c>
      <c r="D19" s="17">
        <v>9144</v>
      </c>
      <c r="E19" s="17">
        <f t="shared" si="0"/>
        <v>9144</v>
      </c>
      <c r="F19" s="17">
        <f t="shared" si="0"/>
        <v>9144</v>
      </c>
      <c r="G19" s="17">
        <v>9408</v>
      </c>
      <c r="H19" s="17">
        <v>9408</v>
      </c>
      <c r="I19" s="17">
        <v>9408</v>
      </c>
      <c r="J19" s="17">
        <v>9408</v>
      </c>
      <c r="K19" s="17">
        <v>9408</v>
      </c>
      <c r="L19" s="17">
        <v>9408</v>
      </c>
      <c r="M19" s="17">
        <v>9408</v>
      </c>
      <c r="N19" s="17">
        <v>9408</v>
      </c>
      <c r="O19" s="18">
        <f t="shared" si="1"/>
        <v>110955</v>
      </c>
    </row>
    <row r="20" spans="1:15" ht="15" customHeight="1" x14ac:dyDescent="0.2">
      <c r="A20" s="12"/>
      <c r="B20" s="340" t="s">
        <v>252</v>
      </c>
      <c r="C20" s="17">
        <v>0</v>
      </c>
      <c r="D20" s="17">
        <f t="shared" si="0"/>
        <v>0</v>
      </c>
      <c r="E20" s="17">
        <f t="shared" si="0"/>
        <v>0</v>
      </c>
      <c r="F20" s="17">
        <f t="shared" si="0"/>
        <v>0</v>
      </c>
      <c r="G20" s="17">
        <f t="shared" si="0"/>
        <v>0</v>
      </c>
      <c r="H20" s="17">
        <v>0</v>
      </c>
      <c r="I20" s="17">
        <f t="shared" si="0"/>
        <v>0</v>
      </c>
      <c r="J20" s="17">
        <f t="shared" si="0"/>
        <v>0</v>
      </c>
      <c r="K20" s="17">
        <f t="shared" si="0"/>
        <v>0</v>
      </c>
      <c r="L20" s="17">
        <v>14243</v>
      </c>
      <c r="M20" s="17">
        <v>0</v>
      </c>
      <c r="N20" s="17">
        <f t="shared" si="0"/>
        <v>0</v>
      </c>
      <c r="O20" s="18">
        <f t="shared" si="1"/>
        <v>14243</v>
      </c>
    </row>
    <row r="21" spans="1:15" ht="15" hidden="1" customHeight="1" x14ac:dyDescent="0.2">
      <c r="A21" s="878" t="s">
        <v>130</v>
      </c>
      <c r="B21" s="19" t="s">
        <v>131</v>
      </c>
      <c r="C21" s="17">
        <v>0</v>
      </c>
      <c r="D21" s="17">
        <f t="shared" si="0"/>
        <v>0</v>
      </c>
      <c r="E21" s="17">
        <f t="shared" si="0"/>
        <v>0</v>
      </c>
      <c r="F21" s="17">
        <f t="shared" si="0"/>
        <v>0</v>
      </c>
      <c r="G21" s="17">
        <f t="shared" si="0"/>
        <v>0</v>
      </c>
      <c r="H21" s="17">
        <v>0</v>
      </c>
      <c r="I21" s="17">
        <f t="shared" si="0"/>
        <v>0</v>
      </c>
      <c r="J21" s="17">
        <f t="shared" si="0"/>
        <v>0</v>
      </c>
      <c r="K21" s="17">
        <f t="shared" si="0"/>
        <v>0</v>
      </c>
      <c r="L21" s="17">
        <f t="shared" si="0"/>
        <v>0</v>
      </c>
      <c r="M21" s="17">
        <f t="shared" si="0"/>
        <v>0</v>
      </c>
      <c r="N21" s="17">
        <f t="shared" si="0"/>
        <v>0</v>
      </c>
      <c r="O21" s="18">
        <f t="shared" si="1"/>
        <v>0</v>
      </c>
    </row>
    <row r="22" spans="1:15" ht="13.5" customHeight="1" x14ac:dyDescent="0.2">
      <c r="A22" s="879"/>
      <c r="B22" s="19" t="s">
        <v>132</v>
      </c>
      <c r="C22" s="17">
        <v>0</v>
      </c>
      <c r="D22" s="17">
        <f t="shared" si="0"/>
        <v>0</v>
      </c>
      <c r="E22" s="17">
        <f t="shared" si="0"/>
        <v>0</v>
      </c>
      <c r="F22" s="17">
        <f t="shared" si="0"/>
        <v>0</v>
      </c>
      <c r="G22" s="17">
        <f t="shared" si="0"/>
        <v>0</v>
      </c>
      <c r="H22" s="17">
        <v>0</v>
      </c>
      <c r="I22" s="17">
        <f t="shared" si="0"/>
        <v>0</v>
      </c>
      <c r="J22" s="17">
        <v>6908</v>
      </c>
      <c r="K22" s="17">
        <v>0</v>
      </c>
      <c r="L22" s="17">
        <f t="shared" si="0"/>
        <v>0</v>
      </c>
      <c r="M22" s="17">
        <f t="shared" si="0"/>
        <v>0</v>
      </c>
      <c r="N22" s="17">
        <f t="shared" si="0"/>
        <v>0</v>
      </c>
      <c r="O22" s="18">
        <f t="shared" si="1"/>
        <v>6908</v>
      </c>
    </row>
    <row r="23" spans="1:15" ht="15" hidden="1" customHeight="1" x14ac:dyDescent="0.2">
      <c r="A23" s="879"/>
      <c r="B23" s="19" t="s">
        <v>133</v>
      </c>
      <c r="C23" s="17">
        <v>0</v>
      </c>
      <c r="D23" s="17">
        <f t="shared" si="0"/>
        <v>0</v>
      </c>
      <c r="E23" s="17">
        <f t="shared" si="0"/>
        <v>0</v>
      </c>
      <c r="F23" s="17">
        <f t="shared" si="0"/>
        <v>0</v>
      </c>
      <c r="G23" s="17">
        <f t="shared" si="0"/>
        <v>0</v>
      </c>
      <c r="H23" s="17">
        <v>0</v>
      </c>
      <c r="I23" s="17">
        <f t="shared" si="0"/>
        <v>0</v>
      </c>
      <c r="J23" s="17">
        <f t="shared" si="0"/>
        <v>0</v>
      </c>
      <c r="K23" s="17">
        <f t="shared" si="0"/>
        <v>0</v>
      </c>
      <c r="L23" s="17">
        <f t="shared" si="0"/>
        <v>0</v>
      </c>
      <c r="M23" s="17">
        <f t="shared" si="0"/>
        <v>0</v>
      </c>
      <c r="N23" s="17">
        <f t="shared" si="0"/>
        <v>0</v>
      </c>
      <c r="O23" s="18">
        <f t="shared" si="1"/>
        <v>0</v>
      </c>
    </row>
    <row r="24" spans="1:15" ht="4.5" hidden="1" customHeight="1" x14ac:dyDescent="0.2">
      <c r="A24" s="879"/>
      <c r="B24" s="19" t="s">
        <v>134</v>
      </c>
      <c r="C24" s="17">
        <v>0</v>
      </c>
      <c r="D24" s="17">
        <f t="shared" si="0"/>
        <v>0</v>
      </c>
      <c r="E24" s="17">
        <f t="shared" si="0"/>
        <v>0</v>
      </c>
      <c r="F24" s="17">
        <f t="shared" si="0"/>
        <v>0</v>
      </c>
      <c r="G24" s="17">
        <f t="shared" si="0"/>
        <v>0</v>
      </c>
      <c r="H24" s="17">
        <v>0</v>
      </c>
      <c r="I24" s="17">
        <f t="shared" si="0"/>
        <v>0</v>
      </c>
      <c r="J24" s="17">
        <f t="shared" si="0"/>
        <v>0</v>
      </c>
      <c r="K24" s="17">
        <f t="shared" si="0"/>
        <v>0</v>
      </c>
      <c r="L24" s="17">
        <f t="shared" si="0"/>
        <v>0</v>
      </c>
      <c r="M24" s="17">
        <f t="shared" si="0"/>
        <v>0</v>
      </c>
      <c r="N24" s="17">
        <f t="shared" si="0"/>
        <v>0</v>
      </c>
      <c r="O24" s="18">
        <f t="shared" si="1"/>
        <v>0</v>
      </c>
    </row>
    <row r="25" spans="1:15" ht="14.25" hidden="1" customHeight="1" x14ac:dyDescent="0.2">
      <c r="A25" s="879"/>
      <c r="B25" s="19" t="s">
        <v>135</v>
      </c>
      <c r="C25" s="17">
        <v>0</v>
      </c>
      <c r="D25" s="17">
        <f t="shared" si="0"/>
        <v>0</v>
      </c>
      <c r="E25" s="17">
        <f t="shared" si="0"/>
        <v>0</v>
      </c>
      <c r="F25" s="17">
        <f t="shared" si="0"/>
        <v>0</v>
      </c>
      <c r="G25" s="17">
        <f t="shared" si="0"/>
        <v>0</v>
      </c>
      <c r="H25" s="17">
        <v>0</v>
      </c>
      <c r="I25" s="17">
        <f t="shared" si="0"/>
        <v>0</v>
      </c>
      <c r="J25" s="17">
        <f t="shared" si="0"/>
        <v>0</v>
      </c>
      <c r="K25" s="17">
        <f t="shared" si="0"/>
        <v>0</v>
      </c>
      <c r="L25" s="17">
        <f t="shared" si="0"/>
        <v>0</v>
      </c>
      <c r="M25" s="17">
        <f t="shared" si="0"/>
        <v>0</v>
      </c>
      <c r="N25" s="17">
        <f t="shared" si="0"/>
        <v>0</v>
      </c>
      <c r="O25" s="18">
        <f t="shared" si="1"/>
        <v>0</v>
      </c>
    </row>
    <row r="26" spans="1:15" ht="1.5" hidden="1" customHeight="1" x14ac:dyDescent="0.2">
      <c r="A26" s="879"/>
      <c r="B26" s="19" t="s">
        <v>136</v>
      </c>
      <c r="C26" s="17">
        <v>0</v>
      </c>
      <c r="D26" s="17">
        <f t="shared" ref="D26:G36" si="2">+C26</f>
        <v>0</v>
      </c>
      <c r="E26" s="17">
        <f t="shared" si="2"/>
        <v>0</v>
      </c>
      <c r="F26" s="17">
        <f t="shared" si="2"/>
        <v>0</v>
      </c>
      <c r="G26" s="17">
        <f t="shared" si="2"/>
        <v>0</v>
      </c>
      <c r="H26" s="17">
        <v>0</v>
      </c>
      <c r="I26" s="17">
        <f t="shared" ref="I26:N36" si="3">+H26</f>
        <v>0</v>
      </c>
      <c r="J26" s="17">
        <f t="shared" si="3"/>
        <v>0</v>
      </c>
      <c r="K26" s="17">
        <f t="shared" si="3"/>
        <v>0</v>
      </c>
      <c r="L26" s="17">
        <f t="shared" si="3"/>
        <v>0</v>
      </c>
      <c r="M26" s="17">
        <f t="shared" si="3"/>
        <v>0</v>
      </c>
      <c r="N26" s="17">
        <f t="shared" si="3"/>
        <v>0</v>
      </c>
      <c r="O26" s="18">
        <f t="shared" si="1"/>
        <v>0</v>
      </c>
    </row>
    <row r="27" spans="1:15" ht="11.25" hidden="1" customHeight="1" x14ac:dyDescent="0.2">
      <c r="A27" s="879"/>
      <c r="B27" s="19" t="s">
        <v>137</v>
      </c>
      <c r="C27" s="17">
        <v>0</v>
      </c>
      <c r="D27" s="17">
        <f t="shared" si="2"/>
        <v>0</v>
      </c>
      <c r="E27" s="17">
        <f t="shared" si="2"/>
        <v>0</v>
      </c>
      <c r="F27" s="17">
        <f t="shared" si="2"/>
        <v>0</v>
      </c>
      <c r="G27" s="17">
        <f t="shared" si="2"/>
        <v>0</v>
      </c>
      <c r="H27" s="17">
        <v>0</v>
      </c>
      <c r="I27" s="17">
        <f t="shared" si="3"/>
        <v>0</v>
      </c>
      <c r="J27" s="17">
        <f t="shared" si="3"/>
        <v>0</v>
      </c>
      <c r="K27" s="17">
        <f t="shared" si="3"/>
        <v>0</v>
      </c>
      <c r="L27" s="17">
        <f t="shared" si="3"/>
        <v>0</v>
      </c>
      <c r="M27" s="17">
        <f t="shared" si="3"/>
        <v>0</v>
      </c>
      <c r="N27" s="17">
        <f t="shared" si="3"/>
        <v>0</v>
      </c>
      <c r="O27" s="18">
        <f t="shared" si="1"/>
        <v>0</v>
      </c>
    </row>
    <row r="28" spans="1:15" ht="11.25" hidden="1" customHeight="1" x14ac:dyDescent="0.2">
      <c r="A28" s="879"/>
      <c r="B28" s="19" t="s">
        <v>138</v>
      </c>
      <c r="C28" s="17">
        <v>0</v>
      </c>
      <c r="D28" s="17">
        <f t="shared" si="2"/>
        <v>0</v>
      </c>
      <c r="E28" s="17">
        <f t="shared" si="2"/>
        <v>0</v>
      </c>
      <c r="F28" s="17">
        <f t="shared" si="2"/>
        <v>0</v>
      </c>
      <c r="G28" s="17">
        <f t="shared" si="2"/>
        <v>0</v>
      </c>
      <c r="H28" s="17">
        <v>0</v>
      </c>
      <c r="I28" s="17">
        <f t="shared" si="3"/>
        <v>0</v>
      </c>
      <c r="J28" s="17">
        <f t="shared" si="3"/>
        <v>0</v>
      </c>
      <c r="K28" s="17">
        <f t="shared" si="3"/>
        <v>0</v>
      </c>
      <c r="L28" s="17">
        <f t="shared" si="3"/>
        <v>0</v>
      </c>
      <c r="M28" s="17">
        <f t="shared" si="3"/>
        <v>0</v>
      </c>
      <c r="N28" s="17">
        <f t="shared" si="3"/>
        <v>0</v>
      </c>
      <c r="O28" s="18">
        <f t="shared" si="1"/>
        <v>0</v>
      </c>
    </row>
    <row r="29" spans="1:15" ht="17.25" hidden="1" customHeight="1" x14ac:dyDescent="0.2">
      <c r="A29" s="879"/>
      <c r="B29" s="19" t="s">
        <v>139</v>
      </c>
      <c r="C29" s="17">
        <v>0</v>
      </c>
      <c r="D29" s="17">
        <f t="shared" si="2"/>
        <v>0</v>
      </c>
      <c r="E29" s="17">
        <f t="shared" si="2"/>
        <v>0</v>
      </c>
      <c r="F29" s="17">
        <f t="shared" si="2"/>
        <v>0</v>
      </c>
      <c r="G29" s="17">
        <f t="shared" si="2"/>
        <v>0</v>
      </c>
      <c r="H29" s="17">
        <v>0</v>
      </c>
      <c r="I29" s="17">
        <f t="shared" si="3"/>
        <v>0</v>
      </c>
      <c r="J29" s="17">
        <f t="shared" si="3"/>
        <v>0</v>
      </c>
      <c r="K29" s="17">
        <f t="shared" si="3"/>
        <v>0</v>
      </c>
      <c r="L29" s="17">
        <f t="shared" si="3"/>
        <v>0</v>
      </c>
      <c r="M29" s="17">
        <f t="shared" si="3"/>
        <v>0</v>
      </c>
      <c r="N29" s="17">
        <f t="shared" si="3"/>
        <v>0</v>
      </c>
      <c r="O29" s="18">
        <f t="shared" si="1"/>
        <v>0</v>
      </c>
    </row>
    <row r="30" spans="1:15" ht="16.5" hidden="1" customHeight="1" x14ac:dyDescent="0.2">
      <c r="A30" s="879"/>
      <c r="B30" s="19" t="s">
        <v>140</v>
      </c>
      <c r="C30" s="17">
        <v>0</v>
      </c>
      <c r="D30" s="17">
        <f t="shared" si="2"/>
        <v>0</v>
      </c>
      <c r="E30" s="17">
        <f t="shared" si="2"/>
        <v>0</v>
      </c>
      <c r="F30" s="17">
        <f t="shared" si="2"/>
        <v>0</v>
      </c>
      <c r="G30" s="17">
        <f t="shared" si="2"/>
        <v>0</v>
      </c>
      <c r="H30" s="17">
        <v>0</v>
      </c>
      <c r="I30" s="17">
        <f t="shared" si="3"/>
        <v>0</v>
      </c>
      <c r="J30" s="17">
        <f t="shared" si="3"/>
        <v>0</v>
      </c>
      <c r="K30" s="17">
        <f t="shared" si="3"/>
        <v>0</v>
      </c>
      <c r="L30" s="17">
        <f t="shared" si="3"/>
        <v>0</v>
      </c>
      <c r="M30" s="17">
        <f t="shared" si="3"/>
        <v>0</v>
      </c>
      <c r="N30" s="17">
        <f t="shared" si="3"/>
        <v>0</v>
      </c>
      <c r="O30" s="18">
        <f t="shared" si="1"/>
        <v>0</v>
      </c>
    </row>
    <row r="31" spans="1:15" ht="13.5" hidden="1" customHeight="1" x14ac:dyDescent="0.2">
      <c r="A31" s="879"/>
      <c r="B31" s="19" t="s">
        <v>225</v>
      </c>
      <c r="C31" s="17">
        <v>0</v>
      </c>
      <c r="D31" s="17">
        <f t="shared" si="2"/>
        <v>0</v>
      </c>
      <c r="E31" s="17">
        <f t="shared" si="2"/>
        <v>0</v>
      </c>
      <c r="F31" s="17">
        <f t="shared" si="2"/>
        <v>0</v>
      </c>
      <c r="G31" s="17">
        <f t="shared" si="2"/>
        <v>0</v>
      </c>
      <c r="H31" s="17">
        <v>0</v>
      </c>
      <c r="I31" s="17">
        <f t="shared" si="3"/>
        <v>0</v>
      </c>
      <c r="J31" s="17">
        <f t="shared" si="3"/>
        <v>0</v>
      </c>
      <c r="K31" s="17">
        <f t="shared" si="3"/>
        <v>0</v>
      </c>
      <c r="L31" s="17">
        <f t="shared" si="3"/>
        <v>0</v>
      </c>
      <c r="M31" s="17">
        <f t="shared" si="3"/>
        <v>0</v>
      </c>
      <c r="N31" s="17">
        <f t="shared" si="3"/>
        <v>0</v>
      </c>
      <c r="O31" s="18">
        <f t="shared" si="1"/>
        <v>0</v>
      </c>
    </row>
    <row r="32" spans="1:15" ht="15" customHeight="1" x14ac:dyDescent="0.2">
      <c r="A32" s="879"/>
      <c r="B32" s="21" t="s">
        <v>142</v>
      </c>
      <c r="C32" s="17">
        <v>0</v>
      </c>
      <c r="D32" s="17">
        <f t="shared" si="2"/>
        <v>0</v>
      </c>
      <c r="E32" s="17">
        <f t="shared" si="2"/>
        <v>0</v>
      </c>
      <c r="F32" s="17">
        <f t="shared" si="2"/>
        <v>0</v>
      </c>
      <c r="G32" s="17">
        <f t="shared" si="2"/>
        <v>0</v>
      </c>
      <c r="H32" s="17">
        <v>0</v>
      </c>
      <c r="I32" s="17">
        <f t="shared" si="3"/>
        <v>0</v>
      </c>
      <c r="J32" s="17">
        <f t="shared" si="3"/>
        <v>0</v>
      </c>
      <c r="K32" s="17">
        <f t="shared" si="3"/>
        <v>0</v>
      </c>
      <c r="L32" s="17">
        <f t="shared" si="3"/>
        <v>0</v>
      </c>
      <c r="M32" s="17">
        <f t="shared" si="3"/>
        <v>0</v>
      </c>
      <c r="N32" s="17">
        <f t="shared" si="3"/>
        <v>0</v>
      </c>
      <c r="O32" s="18">
        <f t="shared" si="1"/>
        <v>0</v>
      </c>
    </row>
    <row r="33" spans="1:15" ht="15" hidden="1" customHeight="1" x14ac:dyDescent="0.2">
      <c r="A33" s="880"/>
      <c r="B33" s="19" t="s">
        <v>226</v>
      </c>
      <c r="C33" s="17">
        <v>0</v>
      </c>
      <c r="D33" s="17">
        <f t="shared" si="2"/>
        <v>0</v>
      </c>
      <c r="E33" s="17">
        <f t="shared" si="2"/>
        <v>0</v>
      </c>
      <c r="F33" s="17">
        <f t="shared" si="2"/>
        <v>0</v>
      </c>
      <c r="G33" s="17">
        <f t="shared" si="2"/>
        <v>0</v>
      </c>
      <c r="H33" s="17">
        <v>0</v>
      </c>
      <c r="I33" s="17">
        <f t="shared" si="3"/>
        <v>0</v>
      </c>
      <c r="J33" s="17">
        <f t="shared" si="3"/>
        <v>0</v>
      </c>
      <c r="K33" s="17">
        <f t="shared" si="3"/>
        <v>0</v>
      </c>
      <c r="L33" s="17">
        <f t="shared" si="3"/>
        <v>0</v>
      </c>
      <c r="M33" s="17">
        <f t="shared" si="3"/>
        <v>0</v>
      </c>
      <c r="N33" s="17">
        <f t="shared" si="3"/>
        <v>0</v>
      </c>
      <c r="O33" s="18">
        <f t="shared" si="1"/>
        <v>0</v>
      </c>
    </row>
    <row r="34" spans="1:15" ht="15" customHeight="1" x14ac:dyDescent="0.2">
      <c r="A34" s="1104" t="s">
        <v>144</v>
      </c>
      <c r="B34" s="1105"/>
      <c r="C34" s="17">
        <v>0</v>
      </c>
      <c r="D34" s="17">
        <f t="shared" si="2"/>
        <v>0</v>
      </c>
      <c r="E34" s="17">
        <f t="shared" si="2"/>
        <v>0</v>
      </c>
      <c r="F34" s="17">
        <f t="shared" si="2"/>
        <v>0</v>
      </c>
      <c r="G34" s="17">
        <f t="shared" si="2"/>
        <v>0</v>
      </c>
      <c r="H34" s="17">
        <v>0</v>
      </c>
      <c r="I34" s="17">
        <f t="shared" si="3"/>
        <v>0</v>
      </c>
      <c r="J34" s="17">
        <f t="shared" si="3"/>
        <v>0</v>
      </c>
      <c r="K34" s="17">
        <f t="shared" si="3"/>
        <v>0</v>
      </c>
      <c r="L34" s="17">
        <f t="shared" si="3"/>
        <v>0</v>
      </c>
      <c r="M34" s="17">
        <f t="shared" si="3"/>
        <v>0</v>
      </c>
      <c r="N34" s="17">
        <f t="shared" si="3"/>
        <v>0</v>
      </c>
      <c r="O34" s="18">
        <f t="shared" si="1"/>
        <v>0</v>
      </c>
    </row>
    <row r="35" spans="1:15" ht="15" customHeight="1" x14ac:dyDescent="0.2">
      <c r="A35" s="865" t="s">
        <v>145</v>
      </c>
      <c r="B35" s="866"/>
      <c r="C35" s="17">
        <v>0</v>
      </c>
      <c r="D35" s="17">
        <v>216</v>
      </c>
      <c r="E35" s="17">
        <v>0</v>
      </c>
      <c r="F35" s="17">
        <f t="shared" si="2"/>
        <v>0</v>
      </c>
      <c r="G35" s="17">
        <f t="shared" si="2"/>
        <v>0</v>
      </c>
      <c r="H35" s="17">
        <v>0</v>
      </c>
      <c r="I35" s="17">
        <f t="shared" si="3"/>
        <v>0</v>
      </c>
      <c r="J35" s="17">
        <v>216</v>
      </c>
      <c r="K35" s="17">
        <v>0</v>
      </c>
      <c r="L35" s="17">
        <f t="shared" si="3"/>
        <v>0</v>
      </c>
      <c r="M35" s="17">
        <f t="shared" si="3"/>
        <v>0</v>
      </c>
      <c r="N35" s="17">
        <f t="shared" si="3"/>
        <v>0</v>
      </c>
      <c r="O35" s="18">
        <f t="shared" si="1"/>
        <v>432</v>
      </c>
    </row>
    <row r="36" spans="1:15" ht="15" customHeight="1" x14ac:dyDescent="0.2">
      <c r="A36" s="865" t="s">
        <v>146</v>
      </c>
      <c r="B36" s="866"/>
      <c r="C36" s="17">
        <v>0</v>
      </c>
      <c r="D36" s="17">
        <v>2286</v>
      </c>
      <c r="E36" s="17">
        <v>0</v>
      </c>
      <c r="F36" s="17">
        <f t="shared" si="2"/>
        <v>0</v>
      </c>
      <c r="G36" s="17">
        <f t="shared" si="2"/>
        <v>0</v>
      </c>
      <c r="H36" s="17">
        <v>0</v>
      </c>
      <c r="I36" s="17">
        <f t="shared" si="3"/>
        <v>0</v>
      </c>
      <c r="J36" s="17">
        <v>2352</v>
      </c>
      <c r="K36" s="17">
        <v>0</v>
      </c>
      <c r="L36" s="17">
        <f t="shared" si="3"/>
        <v>0</v>
      </c>
      <c r="M36" s="17">
        <f t="shared" si="3"/>
        <v>0</v>
      </c>
      <c r="N36" s="17">
        <f t="shared" si="3"/>
        <v>0</v>
      </c>
      <c r="O36" s="18">
        <f t="shared" si="1"/>
        <v>4638</v>
      </c>
    </row>
    <row r="37" spans="1:15" ht="15" customHeight="1" x14ac:dyDescent="0.2">
      <c r="A37" s="22"/>
      <c r="B37" s="23" t="s">
        <v>147</v>
      </c>
      <c r="C37" s="24">
        <f t="shared" ref="C37:N37" si="4">SUM(C9:C36)</f>
        <v>52044</v>
      </c>
      <c r="D37" s="24">
        <f t="shared" si="4"/>
        <v>56265</v>
      </c>
      <c r="E37" s="24">
        <f t="shared" si="4"/>
        <v>53763</v>
      </c>
      <c r="F37" s="24">
        <f t="shared" si="4"/>
        <v>53763</v>
      </c>
      <c r="G37" s="24">
        <f t="shared" si="4"/>
        <v>54096</v>
      </c>
      <c r="H37" s="24">
        <f t="shared" si="4"/>
        <v>54096</v>
      </c>
      <c r="I37" s="24">
        <f t="shared" si="4"/>
        <v>54096</v>
      </c>
      <c r="J37" s="24">
        <f t="shared" si="4"/>
        <v>65140</v>
      </c>
      <c r="K37" s="24">
        <f>SUM(K9:K36)</f>
        <v>55664</v>
      </c>
      <c r="L37" s="24">
        <f t="shared" si="4"/>
        <v>69907</v>
      </c>
      <c r="M37" s="24">
        <f t="shared" si="4"/>
        <v>55664</v>
      </c>
      <c r="N37" s="24">
        <f t="shared" si="4"/>
        <v>55664</v>
      </c>
      <c r="O37" s="25">
        <f>SUM(C37:N37)</f>
        <v>680162</v>
      </c>
    </row>
    <row r="38" spans="1:15" ht="15" customHeight="1" x14ac:dyDescent="0.25">
      <c r="A38" s="853" t="s">
        <v>148</v>
      </c>
      <c r="B38" s="27" t="s">
        <v>149</v>
      </c>
      <c r="C38" s="147">
        <v>0</v>
      </c>
      <c r="D38" s="147">
        <v>0</v>
      </c>
      <c r="E38" s="147">
        <v>0</v>
      </c>
      <c r="F38" s="147">
        <v>0</v>
      </c>
      <c r="G38" s="147">
        <v>0</v>
      </c>
      <c r="H38" s="147">
        <v>0</v>
      </c>
      <c r="I38" s="147">
        <v>0</v>
      </c>
      <c r="J38" s="147">
        <v>2000</v>
      </c>
      <c r="K38" s="147">
        <v>2500</v>
      </c>
      <c r="L38" s="147">
        <v>2180</v>
      </c>
      <c r="M38" s="147">
        <v>2913</v>
      </c>
      <c r="N38">
        <v>3003</v>
      </c>
      <c r="O38" s="18">
        <f>SUM(C38:N38)</f>
        <v>12596</v>
      </c>
    </row>
    <row r="39" spans="1:15" ht="15" x14ac:dyDescent="0.2">
      <c r="A39" s="854"/>
      <c r="B39" s="27" t="s">
        <v>150</v>
      </c>
      <c r="C39" s="147">
        <v>0</v>
      </c>
      <c r="D39" s="147">
        <v>0</v>
      </c>
      <c r="E39" s="147">
        <v>0</v>
      </c>
      <c r="F39" s="147">
        <v>0</v>
      </c>
      <c r="G39" s="147">
        <v>0</v>
      </c>
      <c r="H39" s="147">
        <v>0</v>
      </c>
      <c r="I39" s="147">
        <v>0</v>
      </c>
      <c r="J39" s="147">
        <v>0</v>
      </c>
      <c r="K39" s="147">
        <v>0</v>
      </c>
      <c r="L39" s="147">
        <v>0</v>
      </c>
      <c r="M39" s="147">
        <v>0</v>
      </c>
      <c r="N39" s="147">
        <v>0</v>
      </c>
      <c r="O39" s="18">
        <f>SUM(C39:N39)</f>
        <v>0</v>
      </c>
    </row>
    <row r="40" spans="1:15" ht="15" x14ac:dyDescent="0.2">
      <c r="A40" s="854"/>
      <c r="B40" s="27" t="s">
        <v>151</v>
      </c>
      <c r="C40" s="147">
        <v>30</v>
      </c>
      <c r="D40" s="147">
        <v>30</v>
      </c>
      <c r="E40" s="147">
        <v>30</v>
      </c>
      <c r="F40" s="147">
        <v>30</v>
      </c>
      <c r="G40" s="147">
        <v>30</v>
      </c>
      <c r="H40" s="147">
        <v>30</v>
      </c>
      <c r="I40" s="147">
        <v>30</v>
      </c>
      <c r="J40" s="147">
        <v>30</v>
      </c>
      <c r="K40" s="147">
        <v>30</v>
      </c>
      <c r="L40" s="147">
        <v>30</v>
      </c>
      <c r="M40" s="147">
        <v>30</v>
      </c>
      <c r="N40" s="147">
        <v>30</v>
      </c>
      <c r="O40" s="18">
        <f t="shared" ref="O40:O50" si="5">SUM(C40:N40)</f>
        <v>360</v>
      </c>
    </row>
    <row r="41" spans="1:15" ht="15" x14ac:dyDescent="0.2">
      <c r="A41" s="854"/>
      <c r="B41" s="27" t="s">
        <v>152</v>
      </c>
      <c r="C41" s="147">
        <v>0</v>
      </c>
      <c r="D41" s="147">
        <v>0</v>
      </c>
      <c r="E41" s="147">
        <v>0</v>
      </c>
      <c r="F41" s="147">
        <v>0</v>
      </c>
      <c r="G41" s="147">
        <v>0</v>
      </c>
      <c r="H41" s="147">
        <v>0</v>
      </c>
      <c r="I41" s="147">
        <v>0</v>
      </c>
      <c r="J41" s="147">
        <v>0</v>
      </c>
      <c r="K41" s="147">
        <v>0</v>
      </c>
      <c r="L41" s="147">
        <v>0</v>
      </c>
      <c r="M41" s="147">
        <v>0</v>
      </c>
      <c r="N41" s="147">
        <v>0</v>
      </c>
      <c r="O41" s="18">
        <f t="shared" si="5"/>
        <v>0</v>
      </c>
    </row>
    <row r="42" spans="1:15" ht="15" x14ac:dyDescent="0.2">
      <c r="A42" s="854"/>
      <c r="B42" s="27" t="s">
        <v>153</v>
      </c>
      <c r="C42" s="147">
        <v>250</v>
      </c>
      <c r="D42" s="147">
        <v>250</v>
      </c>
      <c r="E42" s="147">
        <v>250</v>
      </c>
      <c r="F42" s="147">
        <v>250</v>
      </c>
      <c r="G42" s="147">
        <v>250</v>
      </c>
      <c r="H42" s="147">
        <v>250</v>
      </c>
      <c r="I42" s="147">
        <v>250</v>
      </c>
      <c r="J42" s="147">
        <v>250</v>
      </c>
      <c r="K42" s="147">
        <v>250</v>
      </c>
      <c r="L42" s="147">
        <v>250</v>
      </c>
      <c r="M42" s="147">
        <v>250</v>
      </c>
      <c r="N42" s="147">
        <v>250</v>
      </c>
      <c r="O42" s="18">
        <f t="shared" si="5"/>
        <v>3000</v>
      </c>
    </row>
    <row r="43" spans="1:15" ht="15" x14ac:dyDescent="0.2">
      <c r="A43" s="854"/>
      <c r="B43" s="27" t="s">
        <v>154</v>
      </c>
      <c r="C43" s="147">
        <v>5000</v>
      </c>
      <c r="D43" s="147">
        <v>5000</v>
      </c>
      <c r="E43" s="147">
        <v>5000</v>
      </c>
      <c r="F43" s="147">
        <v>5000</v>
      </c>
      <c r="G43" s="147">
        <v>5000</v>
      </c>
      <c r="H43" s="147">
        <v>5000</v>
      </c>
      <c r="I43" s="147">
        <v>5000</v>
      </c>
      <c r="J43" s="147">
        <v>5000</v>
      </c>
      <c r="K43" s="147">
        <v>5000</v>
      </c>
      <c r="L43" s="147">
        <v>5000</v>
      </c>
      <c r="M43" s="147">
        <v>5000</v>
      </c>
      <c r="N43" s="147">
        <v>5000</v>
      </c>
      <c r="O43" s="18">
        <f>SUM(C43:N43)</f>
        <v>60000</v>
      </c>
    </row>
    <row r="44" spans="1:15" ht="15" x14ac:dyDescent="0.2">
      <c r="A44" s="854"/>
      <c r="B44" s="27" t="s">
        <v>155</v>
      </c>
      <c r="C44" s="147">
        <v>200</v>
      </c>
      <c r="D44" s="147">
        <v>200</v>
      </c>
      <c r="E44" s="147">
        <v>200</v>
      </c>
      <c r="F44" s="147">
        <v>200</v>
      </c>
      <c r="G44" s="147">
        <v>200</v>
      </c>
      <c r="H44" s="147">
        <v>200</v>
      </c>
      <c r="I44" s="147">
        <v>200</v>
      </c>
      <c r="J44" s="147">
        <v>200</v>
      </c>
      <c r="K44" s="147">
        <v>200</v>
      </c>
      <c r="L44" s="147">
        <v>200</v>
      </c>
      <c r="M44" s="147">
        <v>200</v>
      </c>
      <c r="N44" s="147">
        <v>300</v>
      </c>
      <c r="O44" s="18">
        <f t="shared" si="5"/>
        <v>2500</v>
      </c>
    </row>
    <row r="45" spans="1:15" x14ac:dyDescent="0.2">
      <c r="A45" s="854"/>
      <c r="B45" s="385" t="s">
        <v>1152</v>
      </c>
      <c r="C45" s="147">
        <v>35</v>
      </c>
      <c r="D45" s="147">
        <v>0</v>
      </c>
      <c r="E45" s="147">
        <v>0</v>
      </c>
      <c r="F45" s="147">
        <v>0</v>
      </c>
      <c r="G45" s="147">
        <v>0</v>
      </c>
      <c r="H45" s="147">
        <v>0</v>
      </c>
      <c r="I45" s="147">
        <v>0</v>
      </c>
      <c r="J45" s="147">
        <v>0</v>
      </c>
      <c r="K45" s="147">
        <v>0</v>
      </c>
      <c r="L45" s="147">
        <v>0</v>
      </c>
      <c r="M45" s="147">
        <v>0</v>
      </c>
      <c r="N45" s="147">
        <v>0</v>
      </c>
      <c r="O45" s="18">
        <f t="shared" si="5"/>
        <v>35</v>
      </c>
    </row>
    <row r="46" spans="1:15" ht="15" x14ac:dyDescent="0.2">
      <c r="A46" s="854"/>
      <c r="B46" s="27" t="s">
        <v>157</v>
      </c>
      <c r="C46" s="147">
        <v>0</v>
      </c>
      <c r="D46" s="147">
        <v>0</v>
      </c>
      <c r="E46" s="147">
        <v>0</v>
      </c>
      <c r="F46" s="147">
        <v>0</v>
      </c>
      <c r="G46" s="147">
        <v>0</v>
      </c>
      <c r="H46" s="147">
        <v>0</v>
      </c>
      <c r="I46" s="147">
        <v>0</v>
      </c>
      <c r="J46" s="147">
        <v>0</v>
      </c>
      <c r="K46" s="147">
        <v>0</v>
      </c>
      <c r="L46" s="147">
        <v>0</v>
      </c>
      <c r="M46" s="147">
        <v>0</v>
      </c>
      <c r="N46" s="147">
        <v>0</v>
      </c>
      <c r="O46" s="18">
        <f t="shared" si="5"/>
        <v>0</v>
      </c>
    </row>
    <row r="47" spans="1:15" ht="28.5" customHeight="1" x14ac:dyDescent="0.2">
      <c r="A47" s="855"/>
      <c r="B47" s="30" t="s">
        <v>158</v>
      </c>
      <c r="C47" s="147">
        <v>0</v>
      </c>
      <c r="D47" s="147">
        <v>0</v>
      </c>
      <c r="E47" s="147">
        <v>0</v>
      </c>
      <c r="F47" s="147">
        <v>0</v>
      </c>
      <c r="G47" s="147">
        <v>0</v>
      </c>
      <c r="H47" s="147">
        <v>0</v>
      </c>
      <c r="I47" s="147">
        <v>0</v>
      </c>
      <c r="J47" s="147">
        <v>0</v>
      </c>
      <c r="K47" s="147">
        <v>0</v>
      </c>
      <c r="L47" s="147">
        <v>0</v>
      </c>
      <c r="M47" s="147">
        <v>0</v>
      </c>
      <c r="N47" s="147">
        <v>0</v>
      </c>
      <c r="O47" s="31">
        <f t="shared" si="5"/>
        <v>0</v>
      </c>
    </row>
    <row r="48" spans="1:15" ht="15.75" customHeight="1" x14ac:dyDescent="0.2">
      <c r="A48" s="856"/>
      <c r="B48" s="127" t="s">
        <v>228</v>
      </c>
      <c r="C48" s="147">
        <v>0</v>
      </c>
      <c r="D48" s="147">
        <v>0</v>
      </c>
      <c r="E48" s="147">
        <v>0</v>
      </c>
      <c r="F48" s="147">
        <v>0</v>
      </c>
      <c r="G48" s="147">
        <v>0</v>
      </c>
      <c r="H48" s="147">
        <v>0</v>
      </c>
      <c r="I48" s="147">
        <v>0</v>
      </c>
      <c r="J48" s="147">
        <v>0</v>
      </c>
      <c r="K48" s="147">
        <v>0</v>
      </c>
      <c r="L48" s="147">
        <v>0</v>
      </c>
      <c r="M48" s="147">
        <v>0</v>
      </c>
      <c r="N48" s="147">
        <v>0</v>
      </c>
      <c r="O48" s="31">
        <f t="shared" si="5"/>
        <v>0</v>
      </c>
    </row>
    <row r="49" spans="1:18" ht="15" x14ac:dyDescent="0.2">
      <c r="A49" s="857" t="s">
        <v>160</v>
      </c>
      <c r="B49" s="858"/>
      <c r="C49" s="33">
        <f t="shared" ref="C49:N49" si="6">SUM(C38:C48)</f>
        <v>5515</v>
      </c>
      <c r="D49" s="33">
        <f t="shared" si="6"/>
        <v>5480</v>
      </c>
      <c r="E49" s="33">
        <f t="shared" si="6"/>
        <v>5480</v>
      </c>
      <c r="F49" s="33">
        <f t="shared" si="6"/>
        <v>5480</v>
      </c>
      <c r="G49" s="33">
        <f t="shared" si="6"/>
        <v>5480</v>
      </c>
      <c r="H49" s="33">
        <f t="shared" si="6"/>
        <v>5480</v>
      </c>
      <c r="I49" s="33">
        <f t="shared" si="6"/>
        <v>5480</v>
      </c>
      <c r="J49" s="33">
        <f t="shared" si="6"/>
        <v>7480</v>
      </c>
      <c r="K49" s="33">
        <f t="shared" si="6"/>
        <v>7980</v>
      </c>
      <c r="L49" s="33">
        <f t="shared" si="6"/>
        <v>7660</v>
      </c>
      <c r="M49" s="33">
        <f t="shared" si="6"/>
        <v>8393</v>
      </c>
      <c r="N49" s="33">
        <f t="shared" si="6"/>
        <v>8583</v>
      </c>
      <c r="O49" s="34">
        <f t="shared" si="5"/>
        <v>78491</v>
      </c>
    </row>
    <row r="50" spans="1:18" ht="15.75" thickBot="1" x14ac:dyDescent="0.25">
      <c r="A50" s="859" t="s">
        <v>161</v>
      </c>
      <c r="B50" s="860"/>
      <c r="C50" s="35">
        <f t="shared" ref="C50:N50" si="7">C37-C49</f>
        <v>46529</v>
      </c>
      <c r="D50" s="35">
        <f t="shared" si="7"/>
        <v>50785</v>
      </c>
      <c r="E50" s="35">
        <f t="shared" si="7"/>
        <v>48283</v>
      </c>
      <c r="F50" s="35">
        <f t="shared" si="7"/>
        <v>48283</v>
      </c>
      <c r="G50" s="35">
        <f t="shared" si="7"/>
        <v>48616</v>
      </c>
      <c r="H50" s="35">
        <f t="shared" si="7"/>
        <v>48616</v>
      </c>
      <c r="I50" s="35">
        <f t="shared" si="7"/>
        <v>48616</v>
      </c>
      <c r="J50" s="35">
        <f t="shared" si="7"/>
        <v>57660</v>
      </c>
      <c r="K50" s="35">
        <f t="shared" si="7"/>
        <v>47684</v>
      </c>
      <c r="L50" s="35">
        <f t="shared" si="7"/>
        <v>62247</v>
      </c>
      <c r="M50" s="35">
        <f t="shared" si="7"/>
        <v>47271</v>
      </c>
      <c r="N50" s="35">
        <f t="shared" si="7"/>
        <v>47081</v>
      </c>
      <c r="O50" s="36">
        <f t="shared" si="5"/>
        <v>601671</v>
      </c>
    </row>
    <row r="51" spans="1:18" x14ac:dyDescent="0.2">
      <c r="E51" s="38"/>
      <c r="G51" s="38"/>
      <c r="J51" s="295">
        <f>+J37-SUM(J22:J36)</f>
        <v>55664</v>
      </c>
    </row>
    <row r="52" spans="1:18" ht="13.5" thickBot="1" x14ac:dyDescent="0.25">
      <c r="J52" s="38">
        <f>+J51-J49</f>
        <v>48184</v>
      </c>
    </row>
    <row r="53" spans="1:18" ht="13.5" thickBot="1" x14ac:dyDescent="0.25">
      <c r="B53" s="789" t="s">
        <v>162</v>
      </c>
      <c r="C53" s="861"/>
      <c r="D53" s="861"/>
      <c r="E53" s="861"/>
      <c r="F53" s="862"/>
      <c r="G53" s="1143">
        <f>O37</f>
        <v>680162</v>
      </c>
      <c r="H53" s="1144"/>
    </row>
    <row r="54" spans="1:18" ht="13.5" thickBot="1" x14ac:dyDescent="0.25"/>
    <row r="55" spans="1:18" x14ac:dyDescent="0.2">
      <c r="B55" s="830" t="s">
        <v>163</v>
      </c>
      <c r="C55" s="833" t="s">
        <v>164</v>
      </c>
      <c r="D55" s="836" t="s">
        <v>229</v>
      </c>
      <c r="E55" s="837"/>
      <c r="F55" s="838"/>
      <c r="G55" s="839">
        <v>40000</v>
      </c>
      <c r="H55" s="840"/>
    </row>
    <row r="56" spans="1:18" x14ac:dyDescent="0.2">
      <c r="B56" s="831"/>
      <c r="C56" s="834"/>
      <c r="D56" s="841" t="s">
        <v>166</v>
      </c>
      <c r="E56" s="842"/>
      <c r="F56" s="843"/>
      <c r="G56" s="844">
        <f>+O44</f>
        <v>2500</v>
      </c>
      <c r="H56" s="845"/>
      <c r="I56" s="39"/>
      <c r="J56" s="846"/>
      <c r="K56" s="846"/>
      <c r="L56" s="846"/>
      <c r="M56" s="847"/>
      <c r="N56" s="847"/>
      <c r="O56" s="847"/>
    </row>
    <row r="57" spans="1:18" ht="13.5" thickBot="1" x14ac:dyDescent="0.25">
      <c r="B57" s="832"/>
      <c r="C57" s="835"/>
      <c r="D57" s="921" t="s">
        <v>342</v>
      </c>
      <c r="E57" s="849"/>
      <c r="F57" s="850"/>
      <c r="G57" s="851">
        <v>110955</v>
      </c>
      <c r="H57" s="852"/>
      <c r="J57" s="47"/>
      <c r="K57" s="47"/>
      <c r="L57" s="47"/>
      <c r="M57" s="47"/>
      <c r="N57" s="47"/>
      <c r="O57" s="47"/>
    </row>
    <row r="58" spans="1:18" ht="13.5" thickBot="1" x14ac:dyDescent="0.25">
      <c r="B58" s="48"/>
      <c r="J58" s="47"/>
      <c r="K58" s="47"/>
      <c r="L58" s="47"/>
      <c r="M58" s="47"/>
      <c r="N58" s="47"/>
      <c r="O58" s="47"/>
    </row>
    <row r="59" spans="1:18" ht="13.5" thickBot="1" x14ac:dyDescent="0.25">
      <c r="B59" s="789" t="s">
        <v>168</v>
      </c>
      <c r="C59" s="790"/>
      <c r="D59" s="790"/>
      <c r="E59" s="790"/>
      <c r="F59" s="791"/>
      <c r="G59" s="1141">
        <f>+G53-SUM(G55:H57)</f>
        <v>526707</v>
      </c>
      <c r="H59" s="1142"/>
      <c r="J59" s="827" t="s">
        <v>169</v>
      </c>
      <c r="K59" s="828"/>
      <c r="L59" s="828"/>
      <c r="M59" s="828"/>
      <c r="N59" s="828"/>
      <c r="O59" s="829"/>
    </row>
    <row r="60" spans="1:18" ht="13.5" thickBot="1" x14ac:dyDescent="0.25">
      <c r="B60" s="49"/>
      <c r="C60" s="50"/>
      <c r="D60" s="50"/>
      <c r="E60" s="50"/>
      <c r="F60" s="50"/>
      <c r="G60" s="45"/>
      <c r="H60" s="50"/>
      <c r="J60" s="129"/>
      <c r="K60" s="130"/>
      <c r="L60" s="130"/>
      <c r="M60" s="130"/>
      <c r="N60" s="130"/>
      <c r="O60" s="131"/>
    </row>
    <row r="61" spans="1:18" ht="13.5" thickBot="1" x14ac:dyDescent="0.25">
      <c r="B61" s="789" t="s">
        <v>170</v>
      </c>
      <c r="C61" s="790"/>
      <c r="D61" s="790"/>
      <c r="E61" s="790"/>
      <c r="F61" s="791"/>
      <c r="G61" s="805"/>
      <c r="H61" s="791"/>
      <c r="J61" s="129"/>
      <c r="K61" s="130"/>
      <c r="L61" s="130"/>
      <c r="M61" s="130"/>
      <c r="N61" s="130"/>
      <c r="O61" s="131"/>
    </row>
    <row r="62" spans="1:18" ht="12.75" customHeight="1" thickBot="1" x14ac:dyDescent="0.25">
      <c r="B62" s="57" t="s">
        <v>171</v>
      </c>
      <c r="C62" s="806" t="s">
        <v>172</v>
      </c>
      <c r="D62" s="807"/>
      <c r="E62" s="807"/>
      <c r="F62" s="808"/>
      <c r="G62" s="851">
        <v>0</v>
      </c>
      <c r="H62" s="852"/>
      <c r="I62" s="58"/>
      <c r="J62" s="810" t="s">
        <v>173</v>
      </c>
      <c r="K62" s="811"/>
      <c r="L62" s="811"/>
      <c r="M62" s="811"/>
      <c r="N62" s="811"/>
      <c r="O62" s="812"/>
      <c r="Q62" s="59"/>
      <c r="R62" s="59"/>
    </row>
    <row r="63" spans="1:18" ht="13.5" thickBot="1" x14ac:dyDescent="0.25">
      <c r="D63" s="37"/>
      <c r="I63" s="58"/>
      <c r="J63" s="60" t="s">
        <v>254</v>
      </c>
      <c r="K63" s="132"/>
      <c r="L63" s="132"/>
      <c r="M63" s="133"/>
      <c r="N63" s="133"/>
      <c r="O63" s="134"/>
      <c r="Q63" s="59"/>
      <c r="R63" s="59"/>
    </row>
    <row r="64" spans="1:18" ht="13.5" thickBot="1" x14ac:dyDescent="0.25">
      <c r="B64" s="789" t="s">
        <v>175</v>
      </c>
      <c r="C64" s="790"/>
      <c r="D64" s="790"/>
      <c r="E64" s="790"/>
      <c r="F64" s="791"/>
      <c r="G64" s="1140">
        <f>+G59-G62</f>
        <v>526707</v>
      </c>
      <c r="H64" s="1139"/>
      <c r="I64" s="63"/>
      <c r="J64" s="64"/>
      <c r="K64" s="39"/>
      <c r="L64" s="39"/>
      <c r="M64" s="39"/>
      <c r="N64" s="39"/>
      <c r="O64" s="65"/>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6.25" customHeight="1" thickBot="1" x14ac:dyDescent="0.25">
      <c r="B67" s="66"/>
      <c r="C67" s="48"/>
      <c r="G67" s="70" t="s">
        <v>177</v>
      </c>
      <c r="H67" s="70" t="s">
        <v>178</v>
      </c>
      <c r="I67" s="63"/>
      <c r="J67" s="810" t="s">
        <v>179</v>
      </c>
      <c r="K67" s="811"/>
      <c r="L67" s="71"/>
      <c r="M67" s="71"/>
      <c r="N67" s="71"/>
      <c r="O67" s="158" t="s">
        <v>267</v>
      </c>
      <c r="Q67" s="59"/>
      <c r="R67" s="59"/>
    </row>
    <row r="68" spans="2:18" ht="12.75" customHeight="1" x14ac:dyDescent="0.2">
      <c r="B68" s="802" t="s">
        <v>180</v>
      </c>
      <c r="C68" s="821" t="s">
        <v>181</v>
      </c>
      <c r="D68" s="823" t="s">
        <v>182</v>
      </c>
      <c r="E68" s="824"/>
      <c r="F68" s="824"/>
      <c r="G68" s="73">
        <f>+O43</f>
        <v>60000</v>
      </c>
      <c r="H68" s="74">
        <f t="shared" ref="H68:H76" si="8">+G68</f>
        <v>60000</v>
      </c>
      <c r="I68" s="63"/>
      <c r="J68" s="189"/>
      <c r="K68" s="190"/>
      <c r="L68" s="191"/>
      <c r="M68" s="191"/>
      <c r="N68" s="190"/>
      <c r="O68" s="192">
        <v>0</v>
      </c>
      <c r="Q68" s="59"/>
      <c r="R68" s="59"/>
    </row>
    <row r="69" spans="2:18" ht="12.75" customHeight="1" x14ac:dyDescent="0.2">
      <c r="B69" s="803"/>
      <c r="C69" s="822"/>
      <c r="D69" s="782" t="s">
        <v>184</v>
      </c>
      <c r="E69" s="783"/>
      <c r="F69" s="783"/>
      <c r="G69" s="77">
        <v>50000</v>
      </c>
      <c r="H69" s="78">
        <f t="shared" si="8"/>
        <v>50000</v>
      </c>
      <c r="I69" s="63"/>
      <c r="J69" s="193"/>
      <c r="K69" s="191"/>
      <c r="L69" s="191"/>
      <c r="M69" s="191"/>
      <c r="N69" s="191"/>
      <c r="O69" s="194">
        <v>0</v>
      </c>
      <c r="Q69" s="59"/>
      <c r="R69" s="59"/>
    </row>
    <row r="70" spans="2:18" ht="12.75" customHeight="1" x14ac:dyDescent="0.2">
      <c r="B70" s="803"/>
      <c r="C70" s="822"/>
      <c r="D70" s="819" t="s">
        <v>185</v>
      </c>
      <c r="E70" s="820"/>
      <c r="F70" s="820"/>
      <c r="G70" s="80">
        <f>O40</f>
        <v>360</v>
      </c>
      <c r="H70" s="78">
        <f t="shared" si="8"/>
        <v>360</v>
      </c>
      <c r="I70" s="63"/>
    </row>
    <row r="71" spans="2:18" x14ac:dyDescent="0.2">
      <c r="B71" s="803"/>
      <c r="C71" s="822"/>
      <c r="D71" s="782" t="s">
        <v>186</v>
      </c>
      <c r="E71" s="783"/>
      <c r="F71" s="783"/>
      <c r="G71" s="81">
        <v>0</v>
      </c>
      <c r="H71" s="78">
        <f t="shared" si="8"/>
        <v>0</v>
      </c>
      <c r="I71" s="63"/>
      <c r="J71" s="82" t="s">
        <v>187</v>
      </c>
      <c r="K71" s="195"/>
      <c r="L71" s="195"/>
      <c r="M71" s="195"/>
      <c r="N71" s="195"/>
      <c r="O71" s="196"/>
    </row>
    <row r="72" spans="2:18" ht="12.75" customHeight="1" x14ac:dyDescent="0.2">
      <c r="B72" s="803"/>
      <c r="C72" s="822"/>
      <c r="D72" s="784" t="s">
        <v>188</v>
      </c>
      <c r="E72" s="783"/>
      <c r="F72" s="783"/>
      <c r="G72" s="80">
        <v>0</v>
      </c>
      <c r="H72" s="78">
        <f t="shared" si="8"/>
        <v>0</v>
      </c>
      <c r="I72" s="63"/>
      <c r="J72" s="60" t="s">
        <v>189</v>
      </c>
      <c r="K72" s="58"/>
      <c r="L72" s="58"/>
      <c r="M72" s="58"/>
      <c r="N72" s="58"/>
      <c r="O72" s="76">
        <v>3000</v>
      </c>
    </row>
    <row r="73" spans="2:18" ht="14.25" customHeight="1" thickBot="1" x14ac:dyDescent="0.25">
      <c r="B73" s="803"/>
      <c r="C73" s="822"/>
      <c r="D73" s="782" t="s">
        <v>190</v>
      </c>
      <c r="E73" s="783"/>
      <c r="F73" s="783"/>
      <c r="G73" s="84">
        <v>0</v>
      </c>
      <c r="H73" s="78">
        <f t="shared" si="8"/>
        <v>0</v>
      </c>
      <c r="I73" s="63"/>
      <c r="J73" s="185" t="s">
        <v>1153</v>
      </c>
      <c r="K73" s="197"/>
      <c r="L73" s="197"/>
      <c r="M73" s="197"/>
      <c r="N73" s="197"/>
      <c r="O73" s="198">
        <v>27000</v>
      </c>
    </row>
    <row r="74" spans="2:18" x14ac:dyDescent="0.2">
      <c r="B74" s="803"/>
      <c r="C74" s="822"/>
      <c r="D74" s="782" t="s">
        <v>191</v>
      </c>
      <c r="E74" s="783"/>
      <c r="F74" s="783"/>
      <c r="G74" s="81">
        <v>0</v>
      </c>
      <c r="H74" s="78">
        <f t="shared" si="8"/>
        <v>0</v>
      </c>
      <c r="I74" s="58"/>
    </row>
    <row r="75" spans="2:18" x14ac:dyDescent="0.2">
      <c r="B75" s="803"/>
      <c r="C75" s="88" t="s">
        <v>192</v>
      </c>
      <c r="D75" s="813" t="s">
        <v>193</v>
      </c>
      <c r="E75" s="814"/>
      <c r="F75" s="814"/>
      <c r="G75" s="80">
        <v>0</v>
      </c>
      <c r="H75" s="78">
        <f t="shared" si="8"/>
        <v>0</v>
      </c>
      <c r="I75" s="58"/>
    </row>
    <row r="76" spans="2:18" ht="13.5" customHeight="1" thickBot="1" x14ac:dyDescent="0.25">
      <c r="B76" s="803"/>
      <c r="C76" s="88" t="s">
        <v>194</v>
      </c>
      <c r="D76" s="815" t="s">
        <v>195</v>
      </c>
      <c r="E76" s="815"/>
      <c r="F76" s="815"/>
      <c r="G76" s="89">
        <v>0</v>
      </c>
      <c r="H76" s="90">
        <f t="shared" si="8"/>
        <v>0</v>
      </c>
      <c r="I76" s="63"/>
    </row>
    <row r="77" spans="2:18" ht="13.5" thickBot="1" x14ac:dyDescent="0.25">
      <c r="B77" s="803"/>
      <c r="C77" s="93"/>
      <c r="D77" s="94"/>
      <c r="E77" s="816" t="s">
        <v>117</v>
      </c>
      <c r="F77" s="817"/>
      <c r="G77" s="95">
        <f>SUM(G68:G76)</f>
        <v>110360</v>
      </c>
      <c r="H77" s="96">
        <f>IF(SUM(G68:G74)&lt;150000,SUM(G68:G74),150000)+IF(+G75&lt;20000,+G75,20000)</f>
        <v>110360</v>
      </c>
      <c r="I77" s="63"/>
    </row>
    <row r="78" spans="2:18" ht="12.75" customHeight="1" x14ac:dyDescent="0.2">
      <c r="B78" s="803"/>
      <c r="C78" s="100" t="s">
        <v>196</v>
      </c>
      <c r="D78" s="782" t="s">
        <v>187</v>
      </c>
      <c r="E78" s="783"/>
      <c r="F78" s="818"/>
      <c r="G78" s="73">
        <v>30000</v>
      </c>
      <c r="H78" s="101">
        <f>+IF(+G78&lt;25000,+G78,25000)</f>
        <v>25000</v>
      </c>
      <c r="I78" s="87"/>
      <c r="M78" s="156" t="s">
        <v>257</v>
      </c>
    </row>
    <row r="79" spans="2:18" x14ac:dyDescent="0.2">
      <c r="B79" s="803"/>
      <c r="C79" s="100" t="s">
        <v>197</v>
      </c>
      <c r="D79" s="784" t="s">
        <v>198</v>
      </c>
      <c r="E79" s="785"/>
      <c r="F79" s="786"/>
      <c r="G79" s="102"/>
      <c r="H79" s="103">
        <f>+IF(+G79&lt;40000,+G79,40000)</f>
        <v>0</v>
      </c>
      <c r="I79" s="63"/>
      <c r="M79" s="1" t="s">
        <v>347</v>
      </c>
      <c r="R79" s="16">
        <v>3329595</v>
      </c>
    </row>
    <row r="80" spans="2:18" x14ac:dyDescent="0.2">
      <c r="B80" s="803"/>
      <c r="C80" s="100" t="s">
        <v>199</v>
      </c>
      <c r="D80" s="784" t="s">
        <v>200</v>
      </c>
      <c r="E80" s="785"/>
      <c r="F80" s="786"/>
      <c r="G80" s="81"/>
      <c r="H80" s="104">
        <v>0</v>
      </c>
      <c r="I80" s="63"/>
      <c r="M80" s="1" t="s">
        <v>348</v>
      </c>
      <c r="R80" s="16">
        <f>+O19</f>
        <v>110955</v>
      </c>
    </row>
    <row r="81" spans="2:19" x14ac:dyDescent="0.2">
      <c r="B81" s="803"/>
      <c r="C81" s="100" t="s">
        <v>201</v>
      </c>
      <c r="D81" s="784" t="s">
        <v>202</v>
      </c>
      <c r="E81" s="785"/>
      <c r="F81" s="786"/>
      <c r="G81" s="81"/>
      <c r="H81" s="104">
        <v>0</v>
      </c>
      <c r="I81" s="63"/>
      <c r="M81" s="16" t="s">
        <v>261</v>
      </c>
      <c r="R81" s="16">
        <v>198000</v>
      </c>
      <c r="S81" s="1" t="s">
        <v>349</v>
      </c>
    </row>
    <row r="82" spans="2:19" ht="13.5" thickBot="1" x14ac:dyDescent="0.25">
      <c r="B82" s="804"/>
      <c r="C82" s="100" t="s">
        <v>203</v>
      </c>
      <c r="D82" s="784" t="s">
        <v>204</v>
      </c>
      <c r="E82" s="785"/>
      <c r="F82" s="786"/>
      <c r="G82" s="102"/>
      <c r="H82" s="103">
        <f>+IF(+G82&lt;100000,+G82,10000)</f>
        <v>0</v>
      </c>
      <c r="I82" s="63"/>
    </row>
    <row r="83" spans="2:19" ht="13.5" thickBot="1" x14ac:dyDescent="0.25">
      <c r="B83" s="787" t="s">
        <v>205</v>
      </c>
      <c r="C83" s="788"/>
      <c r="D83" s="788"/>
      <c r="E83" s="788"/>
      <c r="F83" s="788"/>
      <c r="G83" s="107">
        <f>SUM(G78:G82)</f>
        <v>30000</v>
      </c>
      <c r="H83" s="108">
        <f>SUM(H77:H82)</f>
        <v>135360</v>
      </c>
      <c r="M83" s="157" t="s">
        <v>262</v>
      </c>
      <c r="N83" s="87"/>
      <c r="O83" s="87"/>
      <c r="R83" s="16">
        <f>+R80</f>
        <v>110955</v>
      </c>
    </row>
    <row r="84" spans="2:19" ht="13.5" thickBot="1" x14ac:dyDescent="0.25"/>
    <row r="85" spans="2:19" ht="13.5" thickBot="1" x14ac:dyDescent="0.25">
      <c r="B85" s="789" t="s">
        <v>206</v>
      </c>
      <c r="C85" s="790"/>
      <c r="D85" s="790"/>
      <c r="E85" s="790"/>
      <c r="F85" s="791"/>
      <c r="G85" s="1138">
        <f>+G64-H83</f>
        <v>391347</v>
      </c>
      <c r="H85" s="1139"/>
      <c r="J85" s="109">
        <f>C37+D37+E37+F37</f>
        <v>215835</v>
      </c>
      <c r="K85" s="16" t="s">
        <v>235</v>
      </c>
      <c r="M85" s="199" t="s">
        <v>350</v>
      </c>
    </row>
    <row r="86" spans="2:19" x14ac:dyDescent="0.2">
      <c r="B86" s="110"/>
      <c r="F86" s="105"/>
      <c r="J86" s="109"/>
      <c r="K86" s="16" t="s">
        <v>236</v>
      </c>
      <c r="M86" s="1" t="s">
        <v>351</v>
      </c>
    </row>
    <row r="87" spans="2:19" x14ac:dyDescent="0.2">
      <c r="C87" s="793" t="s">
        <v>207</v>
      </c>
      <c r="D87" s="794"/>
      <c r="E87" s="111" t="s">
        <v>208</v>
      </c>
      <c r="F87" s="111" t="s">
        <v>209</v>
      </c>
      <c r="G87" s="111" t="s">
        <v>210</v>
      </c>
      <c r="H87" s="111" t="s">
        <v>211</v>
      </c>
      <c r="J87" s="109"/>
      <c r="K87" s="47" t="s">
        <v>237</v>
      </c>
      <c r="L87" s="16">
        <f>+J87/2</f>
        <v>0</v>
      </c>
      <c r="M87" s="1" t="s">
        <v>352</v>
      </c>
    </row>
    <row r="88" spans="2:19" x14ac:dyDescent="0.2">
      <c r="C88" s="795" t="str">
        <f>IF(I6="M","0          - 250000","0          -  250000")</f>
        <v>0          - 250000</v>
      </c>
      <c r="D88" s="796"/>
      <c r="E88" s="112">
        <v>0</v>
      </c>
      <c r="F88" s="113">
        <f>IF(I6="M",(IF(G85&lt;250000,G85,250000)),(IF(G85&lt;250000,G85,250000)))</f>
        <v>250000</v>
      </c>
      <c r="G88" s="113">
        <f>G85-F88</f>
        <v>141347</v>
      </c>
      <c r="H88" s="113">
        <f>E88*F88</f>
        <v>0</v>
      </c>
      <c r="K88" s="1" t="s">
        <v>238</v>
      </c>
      <c r="L88" s="16">
        <f>+J88/2</f>
        <v>0</v>
      </c>
      <c r="M88" s="1" t="s">
        <v>353</v>
      </c>
    </row>
    <row r="89" spans="2:19" x14ac:dyDescent="0.2">
      <c r="C89" s="795" t="str">
        <f>IF(I6="M","250001 - 500000","250001-500000")</f>
        <v>250001 - 500000</v>
      </c>
      <c r="D89" s="796"/>
      <c r="E89" s="112">
        <v>0.05</v>
      </c>
      <c r="F89" s="113">
        <f>IF(I6="M",(IF(G88&lt;250000,G88,250000)),(IF(G88&lt;250000,G88,250000)))</f>
        <v>141347</v>
      </c>
      <c r="G89" s="113">
        <f>G88-F89</f>
        <v>0</v>
      </c>
      <c r="H89" s="114">
        <f>ROUND(E89*F89,0.1)</f>
        <v>7067</v>
      </c>
      <c r="J89" s="115"/>
    </row>
    <row r="90" spans="2:19" x14ac:dyDescent="0.2">
      <c r="C90" s="797" t="s">
        <v>212</v>
      </c>
      <c r="D90" s="798"/>
      <c r="E90" s="112">
        <v>0.2</v>
      </c>
      <c r="F90" s="113">
        <f>IF(G89&lt;500000,G89,500000)</f>
        <v>0</v>
      </c>
      <c r="G90" s="113">
        <f>G89-F90</f>
        <v>0</v>
      </c>
      <c r="H90" s="114">
        <f>ROUND(E90*F90,0.1)</f>
        <v>0</v>
      </c>
      <c r="J90" s="38"/>
    </row>
    <row r="91" spans="2:19" x14ac:dyDescent="0.2">
      <c r="C91" s="795" t="s">
        <v>289</v>
      </c>
      <c r="D91" s="796"/>
      <c r="E91" s="112">
        <v>0.3</v>
      </c>
      <c r="F91" s="113">
        <f>G90</f>
        <v>0</v>
      </c>
      <c r="G91" s="113">
        <f>G90-F91</f>
        <v>0</v>
      </c>
      <c r="H91" s="114">
        <f>ROUND(E91*F91,0.1)</f>
        <v>0</v>
      </c>
      <c r="J91" s="38"/>
    </row>
    <row r="92" spans="2:19" ht="12.75" customHeight="1" thickBot="1" x14ac:dyDescent="0.25">
      <c r="B92" s="116"/>
      <c r="C92" s="117"/>
      <c r="D92" s="47"/>
      <c r="E92" s="47"/>
      <c r="F92" s="47"/>
      <c r="J92" s="87"/>
      <c r="K92" s="118"/>
    </row>
    <row r="93" spans="2:19" ht="13.5" thickBot="1" x14ac:dyDescent="0.25">
      <c r="B93" s="799" t="s">
        <v>239</v>
      </c>
      <c r="C93" s="800"/>
      <c r="D93" s="800"/>
      <c r="E93" s="800"/>
      <c r="F93" s="801"/>
      <c r="G93" s="771">
        <f>H88+H89+H90+H91</f>
        <v>7067</v>
      </c>
      <c r="H93" s="772"/>
    </row>
    <row r="94" spans="2:19" ht="13.5" thickBot="1" x14ac:dyDescent="0.25">
      <c r="B94" s="718" t="s">
        <v>215</v>
      </c>
      <c r="C94" s="719"/>
      <c r="D94" s="719"/>
      <c r="E94" s="719"/>
      <c r="F94" s="719"/>
      <c r="G94" s="1136">
        <f>IF(G85&lt;350000,2500,0)</f>
        <v>0</v>
      </c>
      <c r="H94" s="1137">
        <f>IF(H92&lt;200000,0,IF(H92&lt;220000,((H92-200000)*10%),IF(H92&lt;=500000,2000,IF(H92&gt;=500000,0))))</f>
        <v>0</v>
      </c>
      <c r="J94" s="1"/>
      <c r="K94" s="121"/>
      <c r="L94" s="121"/>
    </row>
    <row r="95" spans="2:19" ht="13.5" thickBot="1" x14ac:dyDescent="0.25">
      <c r="B95" s="122" t="s">
        <v>216</v>
      </c>
      <c r="C95" s="123"/>
      <c r="D95" s="123"/>
      <c r="E95" s="123"/>
      <c r="F95" s="123"/>
      <c r="G95" s="897">
        <f>+G93-G94</f>
        <v>7067</v>
      </c>
      <c r="H95" s="898"/>
      <c r="I95" s="37"/>
    </row>
    <row r="96" spans="2:19" ht="13.5" thickBot="1" x14ac:dyDescent="0.25">
      <c r="B96" s="773" t="s">
        <v>240</v>
      </c>
      <c r="C96" s="774"/>
      <c r="D96" s="774"/>
      <c r="E96" s="774"/>
      <c r="F96" s="775"/>
      <c r="G96" s="899">
        <f>ROUND((IF(G95&gt;0,(G95*4%),0)),0)</f>
        <v>283</v>
      </c>
      <c r="H96" s="900"/>
      <c r="I96" s="37"/>
    </row>
    <row r="97" spans="2:9" ht="13.5" thickBot="1" x14ac:dyDescent="0.25">
      <c r="B97" s="778" t="s">
        <v>218</v>
      </c>
      <c r="C97" s="779"/>
      <c r="D97" s="779"/>
      <c r="E97" s="779"/>
      <c r="F97" s="779"/>
      <c r="G97" s="901">
        <f>G95+G96</f>
        <v>7350</v>
      </c>
      <c r="H97" s="902"/>
      <c r="I97" s="121"/>
    </row>
    <row r="98" spans="2:9" ht="13.5" thickBot="1" x14ac:dyDescent="0.25">
      <c r="B98" s="765" t="s">
        <v>219</v>
      </c>
      <c r="C98" s="766"/>
      <c r="D98" s="766"/>
      <c r="E98" s="766"/>
      <c r="F98" s="766"/>
      <c r="G98" s="767">
        <f>O38</f>
        <v>12596</v>
      </c>
      <c r="H98" s="768"/>
      <c r="I98" s="121"/>
    </row>
    <row r="99" spans="2:9" ht="13.5" thickBot="1" x14ac:dyDescent="0.25">
      <c r="B99" s="765" t="str">
        <f>IF(G99&gt;0,"TAX PAYABLE","TAX REFUND")</f>
        <v>TAX REFUND</v>
      </c>
      <c r="C99" s="766"/>
      <c r="D99" s="766"/>
      <c r="E99" s="766"/>
      <c r="F99" s="766"/>
      <c r="G99" s="893">
        <f>+G97-G98</f>
        <v>-5246</v>
      </c>
      <c r="H99" s="894"/>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0:F90 B99:F99 B93:F97">
    <cfRule type="cellIs" dxfId="407" priority="1" stopIfTrue="1" operator="equal">
      <formula>"TAX PAYABLE"</formula>
    </cfRule>
    <cfRule type="cellIs" dxfId="406" priority="2" stopIfTrue="1" operator="equal">
      <formula>"TAX REFUND"</formula>
    </cfRule>
  </conditionalFormatting>
  <conditionalFormatting sqref="G90:H90">
    <cfRule type="cellIs" dxfId="405" priority="3" stopIfTrue="1" operator="lessThan">
      <formula>0</formula>
    </cfRule>
    <cfRule type="cellIs" dxfId="404" priority="4" stopIfTrue="1" operator="greaterThan">
      <formula>0</formula>
    </cfRule>
  </conditionalFormatting>
  <conditionalFormatting sqref="G99:H99">
    <cfRule type="cellIs" dxfId="403" priority="5" stopIfTrue="1" operator="greaterThan">
      <formula>0</formula>
    </cfRule>
    <cfRule type="cellIs" dxfId="402" priority="6"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5" right="0.75" top="1" bottom="1" header="0.5" footer="0.5"/>
  <pageSetup orientation="portrait" r:id="rId1"/>
  <headerFooter alignWithMargins="0"/>
  <legacyDrawing r:id="rId2"/>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7"/>
  <sheetViews>
    <sheetView topLeftCell="A62" workbookViewId="0">
      <selection activeCell="G68" sqref="G68:G70"/>
    </sheetView>
  </sheetViews>
  <sheetFormatPr defaultRowHeight="12.75" x14ac:dyDescent="0.2"/>
  <cols>
    <col min="1" max="1" width="5" style="16" customWidth="1"/>
    <col min="2" max="2" width="17.85546875" style="37" customWidth="1"/>
    <col min="3" max="14" width="7.7109375" style="16" customWidth="1"/>
    <col min="15" max="15" width="8.2851562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7.85546875" style="16" customWidth="1"/>
    <col min="259" max="270" width="7.7109375" style="16" customWidth="1"/>
    <col min="271" max="271" width="8.2851562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7.85546875" style="16" customWidth="1"/>
    <col min="515" max="526" width="7.7109375" style="16" customWidth="1"/>
    <col min="527" max="527" width="8.2851562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7.85546875" style="16" customWidth="1"/>
    <col min="771" max="782" width="7.7109375" style="16" customWidth="1"/>
    <col min="783" max="783" width="8.2851562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7.85546875" style="16" customWidth="1"/>
    <col min="1027" max="1038" width="7.7109375" style="16" customWidth="1"/>
    <col min="1039" max="1039" width="8.2851562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7.85546875" style="16" customWidth="1"/>
    <col min="1283" max="1294" width="7.7109375" style="16" customWidth="1"/>
    <col min="1295" max="1295" width="8.2851562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7.85546875" style="16" customWidth="1"/>
    <col min="1539" max="1550" width="7.7109375" style="16" customWidth="1"/>
    <col min="1551" max="1551" width="8.2851562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7.85546875" style="16" customWidth="1"/>
    <col min="1795" max="1806" width="7.7109375" style="16" customWidth="1"/>
    <col min="1807" max="1807" width="8.2851562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7.85546875" style="16" customWidth="1"/>
    <col min="2051" max="2062" width="7.7109375" style="16" customWidth="1"/>
    <col min="2063" max="2063" width="8.2851562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7.85546875" style="16" customWidth="1"/>
    <col min="2307" max="2318" width="7.7109375" style="16" customWidth="1"/>
    <col min="2319" max="2319" width="8.2851562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7.85546875" style="16" customWidth="1"/>
    <col min="2563" max="2574" width="7.7109375" style="16" customWidth="1"/>
    <col min="2575" max="2575" width="8.2851562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7.85546875" style="16" customWidth="1"/>
    <col min="2819" max="2830" width="7.7109375" style="16" customWidth="1"/>
    <col min="2831" max="2831" width="8.2851562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7.85546875" style="16" customWidth="1"/>
    <col min="3075" max="3086" width="7.7109375" style="16" customWidth="1"/>
    <col min="3087" max="3087" width="8.2851562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7.85546875" style="16" customWidth="1"/>
    <col min="3331" max="3342" width="7.7109375" style="16" customWidth="1"/>
    <col min="3343" max="3343" width="8.2851562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7.85546875" style="16" customWidth="1"/>
    <col min="3587" max="3598" width="7.7109375" style="16" customWidth="1"/>
    <col min="3599" max="3599" width="8.2851562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7.85546875" style="16" customWidth="1"/>
    <col min="3843" max="3854" width="7.7109375" style="16" customWidth="1"/>
    <col min="3855" max="3855" width="8.2851562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7.85546875" style="16" customWidth="1"/>
    <col min="4099" max="4110" width="7.7109375" style="16" customWidth="1"/>
    <col min="4111" max="4111" width="8.2851562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7.85546875" style="16" customWidth="1"/>
    <col min="4355" max="4366" width="7.7109375" style="16" customWidth="1"/>
    <col min="4367" max="4367" width="8.2851562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7.85546875" style="16" customWidth="1"/>
    <col min="4611" max="4622" width="7.7109375" style="16" customWidth="1"/>
    <col min="4623" max="4623" width="8.2851562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7.85546875" style="16" customWidth="1"/>
    <col min="4867" max="4878" width="7.7109375" style="16" customWidth="1"/>
    <col min="4879" max="4879" width="8.2851562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7.85546875" style="16" customWidth="1"/>
    <col min="5123" max="5134" width="7.7109375" style="16" customWidth="1"/>
    <col min="5135" max="5135" width="8.2851562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7.85546875" style="16" customWidth="1"/>
    <col min="5379" max="5390" width="7.7109375" style="16" customWidth="1"/>
    <col min="5391" max="5391" width="8.2851562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7.85546875" style="16" customWidth="1"/>
    <col min="5635" max="5646" width="7.7109375" style="16" customWidth="1"/>
    <col min="5647" max="5647" width="8.2851562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7.85546875" style="16" customWidth="1"/>
    <col min="5891" max="5902" width="7.7109375" style="16" customWidth="1"/>
    <col min="5903" max="5903" width="8.2851562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7.85546875" style="16" customWidth="1"/>
    <col min="6147" max="6158" width="7.7109375" style="16" customWidth="1"/>
    <col min="6159" max="6159" width="8.2851562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7.85546875" style="16" customWidth="1"/>
    <col min="6403" max="6414" width="7.7109375" style="16" customWidth="1"/>
    <col min="6415" max="6415" width="8.2851562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7.85546875" style="16" customWidth="1"/>
    <col min="6659" max="6670" width="7.7109375" style="16" customWidth="1"/>
    <col min="6671" max="6671" width="8.2851562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7.85546875" style="16" customWidth="1"/>
    <col min="6915" max="6926" width="7.7109375" style="16" customWidth="1"/>
    <col min="6927" max="6927" width="8.2851562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7.85546875" style="16" customWidth="1"/>
    <col min="7171" max="7182" width="7.7109375" style="16" customWidth="1"/>
    <col min="7183" max="7183" width="8.2851562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7.85546875" style="16" customWidth="1"/>
    <col min="7427" max="7438" width="7.7109375" style="16" customWidth="1"/>
    <col min="7439" max="7439" width="8.2851562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7.85546875" style="16" customWidth="1"/>
    <col min="7683" max="7694" width="7.7109375" style="16" customWidth="1"/>
    <col min="7695" max="7695" width="8.2851562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7.85546875" style="16" customWidth="1"/>
    <col min="7939" max="7950" width="7.7109375" style="16" customWidth="1"/>
    <col min="7951" max="7951" width="8.2851562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7.85546875" style="16" customWidth="1"/>
    <col min="8195" max="8206" width="7.7109375" style="16" customWidth="1"/>
    <col min="8207" max="8207" width="8.2851562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7.85546875" style="16" customWidth="1"/>
    <col min="8451" max="8462" width="7.7109375" style="16" customWidth="1"/>
    <col min="8463" max="8463" width="8.2851562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7.85546875" style="16" customWidth="1"/>
    <col min="8707" max="8718" width="7.7109375" style="16" customWidth="1"/>
    <col min="8719" max="8719" width="8.2851562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7.85546875" style="16" customWidth="1"/>
    <col min="8963" max="8974" width="7.7109375" style="16" customWidth="1"/>
    <col min="8975" max="8975" width="8.2851562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7.85546875" style="16" customWidth="1"/>
    <col min="9219" max="9230" width="7.7109375" style="16" customWidth="1"/>
    <col min="9231" max="9231" width="8.2851562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7.85546875" style="16" customWidth="1"/>
    <col min="9475" max="9486" width="7.7109375" style="16" customWidth="1"/>
    <col min="9487" max="9487" width="8.2851562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7.85546875" style="16" customWidth="1"/>
    <col min="9731" max="9742" width="7.7109375" style="16" customWidth="1"/>
    <col min="9743" max="9743" width="8.2851562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7.85546875" style="16" customWidth="1"/>
    <col min="9987" max="9998" width="7.7109375" style="16" customWidth="1"/>
    <col min="9999" max="9999" width="8.2851562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7.85546875" style="16" customWidth="1"/>
    <col min="10243" max="10254" width="7.7109375" style="16" customWidth="1"/>
    <col min="10255" max="10255" width="8.2851562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7.85546875" style="16" customWidth="1"/>
    <col min="10499" max="10510" width="7.7109375" style="16" customWidth="1"/>
    <col min="10511" max="10511" width="8.2851562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7.85546875" style="16" customWidth="1"/>
    <col min="10755" max="10766" width="7.7109375" style="16" customWidth="1"/>
    <col min="10767" max="10767" width="8.2851562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7.85546875" style="16" customWidth="1"/>
    <col min="11011" max="11022" width="7.7109375" style="16" customWidth="1"/>
    <col min="11023" max="11023" width="8.2851562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7.85546875" style="16" customWidth="1"/>
    <col min="11267" max="11278" width="7.7109375" style="16" customWidth="1"/>
    <col min="11279" max="11279" width="8.2851562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7.85546875" style="16" customWidth="1"/>
    <col min="11523" max="11534" width="7.7109375" style="16" customWidth="1"/>
    <col min="11535" max="11535" width="8.2851562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7.85546875" style="16" customWidth="1"/>
    <col min="11779" max="11790" width="7.7109375" style="16" customWidth="1"/>
    <col min="11791" max="11791" width="8.2851562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7.85546875" style="16" customWidth="1"/>
    <col min="12035" max="12046" width="7.7109375" style="16" customWidth="1"/>
    <col min="12047" max="12047" width="8.2851562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7.85546875" style="16" customWidth="1"/>
    <col min="12291" max="12302" width="7.7109375" style="16" customWidth="1"/>
    <col min="12303" max="12303" width="8.2851562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7.85546875" style="16" customWidth="1"/>
    <col min="12547" max="12558" width="7.7109375" style="16" customWidth="1"/>
    <col min="12559" max="12559" width="8.2851562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7.85546875" style="16" customWidth="1"/>
    <col min="12803" max="12814" width="7.7109375" style="16" customWidth="1"/>
    <col min="12815" max="12815" width="8.2851562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7.85546875" style="16" customWidth="1"/>
    <col min="13059" max="13070" width="7.7109375" style="16" customWidth="1"/>
    <col min="13071" max="13071" width="8.2851562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7.85546875" style="16" customWidth="1"/>
    <col min="13315" max="13326" width="7.7109375" style="16" customWidth="1"/>
    <col min="13327" max="13327" width="8.2851562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7.85546875" style="16" customWidth="1"/>
    <col min="13571" max="13582" width="7.7109375" style="16" customWidth="1"/>
    <col min="13583" max="13583" width="8.2851562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7.85546875" style="16" customWidth="1"/>
    <col min="13827" max="13838" width="7.7109375" style="16" customWidth="1"/>
    <col min="13839" max="13839" width="8.2851562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7.85546875" style="16" customWidth="1"/>
    <col min="14083" max="14094" width="7.7109375" style="16" customWidth="1"/>
    <col min="14095" max="14095" width="8.2851562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7.85546875" style="16" customWidth="1"/>
    <col min="14339" max="14350" width="7.7109375" style="16" customWidth="1"/>
    <col min="14351" max="14351" width="8.2851562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7.85546875" style="16" customWidth="1"/>
    <col min="14595" max="14606" width="7.7109375" style="16" customWidth="1"/>
    <col min="14607" max="14607" width="8.2851562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7.85546875" style="16" customWidth="1"/>
    <col min="14851" max="14862" width="7.7109375" style="16" customWidth="1"/>
    <col min="14863" max="14863" width="8.2851562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7.85546875" style="16" customWidth="1"/>
    <col min="15107" max="15118" width="7.7109375" style="16" customWidth="1"/>
    <col min="15119" max="15119" width="8.2851562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7.85546875" style="16" customWidth="1"/>
    <col min="15363" max="15374" width="7.7109375" style="16" customWidth="1"/>
    <col min="15375" max="15375" width="8.2851562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7.85546875" style="16" customWidth="1"/>
    <col min="15619" max="15630" width="7.7109375" style="16" customWidth="1"/>
    <col min="15631" max="15631" width="8.2851562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7.85546875" style="16" customWidth="1"/>
    <col min="15875" max="15886" width="7.7109375" style="16" customWidth="1"/>
    <col min="15887" max="15887" width="8.2851562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7.85546875" style="16" customWidth="1"/>
    <col min="16131" max="16142" width="7.7109375" style="16" customWidth="1"/>
    <col min="16143" max="16143" width="8.2851562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67" t="s">
        <v>449</v>
      </c>
      <c r="B1" s="868"/>
      <c r="C1" s="868"/>
      <c r="D1" s="869"/>
      <c r="E1" s="868"/>
      <c r="F1" s="868"/>
      <c r="G1" s="867" t="s">
        <v>102</v>
      </c>
      <c r="H1" s="869"/>
      <c r="I1" s="869" t="s">
        <v>932</v>
      </c>
      <c r="J1" s="868"/>
      <c r="K1" s="868"/>
      <c r="L1" s="870"/>
      <c r="M1" s="870"/>
      <c r="N1" s="870"/>
      <c r="O1" s="870"/>
    </row>
    <row r="2" spans="1:15" s="1" customFormat="1" x14ac:dyDescent="0.2">
      <c r="A2" s="867" t="s">
        <v>103</v>
      </c>
      <c r="B2" s="868"/>
      <c r="C2" s="868"/>
      <c r="D2" s="869"/>
      <c r="E2" s="868"/>
      <c r="F2" s="868"/>
      <c r="G2" s="867" t="s">
        <v>104</v>
      </c>
      <c r="H2" s="869"/>
      <c r="I2" s="869" t="s">
        <v>105</v>
      </c>
      <c r="J2" s="868"/>
      <c r="K2" s="868"/>
      <c r="L2" s="870"/>
      <c r="M2" s="870"/>
      <c r="N2" s="870"/>
      <c r="O2" s="870"/>
    </row>
    <row r="3" spans="1:15" s="1" customFormat="1" x14ac:dyDescent="0.2">
      <c r="A3" s="867" t="s">
        <v>106</v>
      </c>
      <c r="B3" s="868"/>
      <c r="C3" s="868"/>
      <c r="D3" s="881">
        <v>22590</v>
      </c>
      <c r="E3" s="882"/>
      <c r="F3" s="882"/>
      <c r="G3" s="867" t="s">
        <v>107</v>
      </c>
      <c r="H3" s="869"/>
      <c r="I3" s="869" t="s">
        <v>108</v>
      </c>
      <c r="J3" s="868"/>
      <c r="K3" s="868"/>
      <c r="L3" s="870"/>
      <c r="M3" s="870"/>
      <c r="N3" s="870"/>
      <c r="O3" s="870"/>
    </row>
    <row r="4" spans="1:15" s="1" customFormat="1" x14ac:dyDescent="0.2">
      <c r="A4" s="867" t="s">
        <v>109</v>
      </c>
      <c r="B4" s="868"/>
      <c r="C4" s="868"/>
      <c r="D4" s="883"/>
      <c r="E4" s="868"/>
      <c r="F4" s="868"/>
      <c r="G4" s="867" t="s">
        <v>110</v>
      </c>
      <c r="H4" s="869"/>
      <c r="I4" s="869" t="s">
        <v>1081</v>
      </c>
      <c r="J4" s="868"/>
      <c r="K4" s="868"/>
      <c r="L4" s="870"/>
      <c r="M4" s="870"/>
      <c r="N4" s="870"/>
      <c r="O4" s="870"/>
    </row>
    <row r="5" spans="1:15" s="1" customFormat="1" x14ac:dyDescent="0.2">
      <c r="A5" s="867" t="s">
        <v>443</v>
      </c>
      <c r="B5" s="868"/>
      <c r="C5" s="868"/>
      <c r="D5" s="869" t="s">
        <v>1082</v>
      </c>
      <c r="E5" s="868"/>
      <c r="F5" s="868"/>
      <c r="G5" s="867"/>
      <c r="H5" s="868"/>
      <c r="I5" s="869" t="s">
        <v>113</v>
      </c>
      <c r="J5" s="868"/>
      <c r="K5" s="868"/>
      <c r="L5" s="870"/>
      <c r="M5" s="870"/>
      <c r="N5" s="870"/>
      <c r="O5" s="870"/>
    </row>
    <row r="6" spans="1:15" s="1" customFormat="1" x14ac:dyDescent="0.2">
      <c r="A6" s="871" t="s">
        <v>114</v>
      </c>
      <c r="B6" s="872"/>
      <c r="C6" s="872"/>
      <c r="D6" s="868" t="s">
        <v>933</v>
      </c>
      <c r="E6" s="868"/>
      <c r="F6" s="868"/>
      <c r="G6" s="871" t="s">
        <v>115</v>
      </c>
      <c r="H6" s="871"/>
      <c r="I6" s="2" t="s">
        <v>222</v>
      </c>
      <c r="J6" s="888"/>
      <c r="K6" s="888"/>
      <c r="L6" s="888"/>
      <c r="M6" s="888"/>
      <c r="N6" s="888"/>
      <c r="O6" s="889"/>
    </row>
    <row r="7" spans="1:15" s="1" customFormat="1" ht="13.5" thickBot="1" x14ac:dyDescent="0.25">
      <c r="A7" s="3"/>
      <c r="B7" s="4"/>
      <c r="C7" s="5"/>
      <c r="D7" s="6"/>
      <c r="E7" s="6"/>
      <c r="F7" s="6"/>
      <c r="G7" s="6"/>
      <c r="H7" s="6"/>
      <c r="I7" s="6"/>
      <c r="J7" s="7"/>
      <c r="K7" s="8"/>
      <c r="L7" s="875" t="s">
        <v>223</v>
      </c>
      <c r="M7" s="875"/>
      <c r="N7" s="875"/>
      <c r="O7" s="875"/>
    </row>
    <row r="8" spans="1:15" s="11" customFormat="1" x14ac:dyDescent="0.2">
      <c r="A8" s="876" t="str">
        <f>I1</f>
        <v>Ms. Seema S. Lad</v>
      </c>
      <c r="B8" s="877"/>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42800</v>
      </c>
      <c r="D9" s="14">
        <v>42800</v>
      </c>
      <c r="E9" s="14">
        <v>42800</v>
      </c>
      <c r="F9" s="14">
        <v>42800</v>
      </c>
      <c r="G9" s="14">
        <v>44100</v>
      </c>
      <c r="H9" s="14">
        <v>44100</v>
      </c>
      <c r="I9" s="14">
        <v>44100</v>
      </c>
      <c r="J9" s="14">
        <v>44100</v>
      </c>
      <c r="K9" s="14">
        <v>44100</v>
      </c>
      <c r="L9" s="14">
        <v>44100</v>
      </c>
      <c r="M9" s="14">
        <v>44100</v>
      </c>
      <c r="N9" s="14">
        <v>44100</v>
      </c>
      <c r="O9" s="15">
        <f>SUM(C9:N9)</f>
        <v>524000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2140</v>
      </c>
      <c r="D11" s="17">
        <v>2996</v>
      </c>
      <c r="E11" s="17">
        <v>2996</v>
      </c>
      <c r="F11" s="17">
        <v>2996</v>
      </c>
      <c r="G11" s="17">
        <v>3087</v>
      </c>
      <c r="H11" s="17">
        <v>3087</v>
      </c>
      <c r="I11" s="17">
        <v>3087</v>
      </c>
      <c r="J11" s="17">
        <v>3969</v>
      </c>
      <c r="K11" s="17">
        <v>3969</v>
      </c>
      <c r="L11" s="17">
        <v>3969</v>
      </c>
      <c r="M11" s="17">
        <v>3969</v>
      </c>
      <c r="N11" s="17">
        <v>3969</v>
      </c>
      <c r="O11" s="18">
        <f>SUM(C11:N11)</f>
        <v>40234</v>
      </c>
    </row>
    <row r="12" spans="1:15"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x14ac:dyDescent="0.2">
      <c r="A14" s="12"/>
      <c r="B14" s="13" t="s">
        <v>123</v>
      </c>
      <c r="C14" s="17">
        <v>3780</v>
      </c>
      <c r="D14" s="17">
        <v>3852</v>
      </c>
      <c r="E14" s="17">
        <v>3852</v>
      </c>
      <c r="F14" s="17">
        <v>3852</v>
      </c>
      <c r="G14" s="17">
        <v>3852</v>
      </c>
      <c r="H14" s="17">
        <v>3852</v>
      </c>
      <c r="I14" s="17">
        <v>3852</v>
      </c>
      <c r="J14" s="17">
        <v>3924</v>
      </c>
      <c r="K14" s="17">
        <v>3924</v>
      </c>
      <c r="L14" s="17">
        <v>3924</v>
      </c>
      <c r="M14" s="17">
        <v>3924</v>
      </c>
      <c r="N14" s="17">
        <v>3924</v>
      </c>
      <c r="O14" s="18">
        <f t="shared" si="0"/>
        <v>46512</v>
      </c>
    </row>
    <row r="15" spans="1:15"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hidden="1"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10272</v>
      </c>
      <c r="D19" s="17">
        <v>10272</v>
      </c>
      <c r="E19" s="17">
        <v>10272</v>
      </c>
      <c r="F19" s="17">
        <v>10272</v>
      </c>
      <c r="G19" s="17">
        <v>10584</v>
      </c>
      <c r="H19" s="17">
        <v>10584</v>
      </c>
      <c r="I19" s="17">
        <v>10584</v>
      </c>
      <c r="J19" s="17">
        <v>10584</v>
      </c>
      <c r="K19" s="17">
        <v>10584</v>
      </c>
      <c r="L19" s="17">
        <v>10584</v>
      </c>
      <c r="M19" s="17">
        <v>10584</v>
      </c>
      <c r="N19" s="17">
        <v>10584</v>
      </c>
      <c r="O19" s="18">
        <f t="shared" si="0"/>
        <v>125760</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78"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79"/>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5" ht="15" hidden="1" customHeight="1" x14ac:dyDescent="0.2">
      <c r="A23" s="879"/>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79"/>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79"/>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79"/>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79"/>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79"/>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79"/>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79"/>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79"/>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79"/>
      <c r="B32" s="21" t="s">
        <v>142</v>
      </c>
      <c r="C32" s="17">
        <v>0</v>
      </c>
      <c r="D32" s="17">
        <v>0</v>
      </c>
      <c r="E32" s="17">
        <v>0</v>
      </c>
      <c r="F32" s="17">
        <v>0</v>
      </c>
      <c r="G32" s="17">
        <v>0</v>
      </c>
      <c r="H32" s="17">
        <v>0</v>
      </c>
      <c r="I32" s="17">
        <v>0</v>
      </c>
      <c r="J32" s="17">
        <v>0</v>
      </c>
      <c r="K32" s="17">
        <v>0</v>
      </c>
      <c r="L32" s="17">
        <v>0</v>
      </c>
      <c r="M32" s="17">
        <v>0</v>
      </c>
      <c r="N32" s="17">
        <v>0</v>
      </c>
      <c r="O32" s="18">
        <f t="shared" si="0"/>
        <v>0</v>
      </c>
    </row>
    <row r="33" spans="1:16" ht="15" hidden="1" customHeight="1" x14ac:dyDescent="0.2">
      <c r="A33" s="880"/>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865" t="s">
        <v>321</v>
      </c>
      <c r="B34" s="866"/>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865" t="s">
        <v>145</v>
      </c>
      <c r="B35" s="866"/>
      <c r="C35" s="17">
        <v>0</v>
      </c>
      <c r="D35" s="17">
        <v>216</v>
      </c>
      <c r="E35" s="17">
        <v>0</v>
      </c>
      <c r="F35" s="17">
        <v>0</v>
      </c>
      <c r="G35" s="17">
        <v>0</v>
      </c>
      <c r="H35" s="17">
        <v>0</v>
      </c>
      <c r="I35" s="17">
        <v>0</v>
      </c>
      <c r="J35" s="17">
        <v>216</v>
      </c>
      <c r="K35" s="17">
        <v>0</v>
      </c>
      <c r="L35" s="17">
        <v>0</v>
      </c>
      <c r="M35" s="17">
        <v>0</v>
      </c>
      <c r="N35" s="17">
        <v>0</v>
      </c>
      <c r="O35" s="18">
        <f t="shared" si="0"/>
        <v>432</v>
      </c>
    </row>
    <row r="36" spans="1:16" ht="15" customHeight="1" x14ac:dyDescent="0.2">
      <c r="A36" s="865" t="s">
        <v>146</v>
      </c>
      <c r="B36" s="866"/>
      <c r="C36" s="17">
        <v>0</v>
      </c>
      <c r="D36" s="17">
        <v>2568</v>
      </c>
      <c r="E36" s="17">
        <v>0</v>
      </c>
      <c r="F36" s="17">
        <v>0</v>
      </c>
      <c r="G36" s="17">
        <v>0</v>
      </c>
      <c r="H36" s="17">
        <v>0</v>
      </c>
      <c r="I36" s="17">
        <v>0</v>
      </c>
      <c r="J36" s="17">
        <v>2646</v>
      </c>
      <c r="K36" s="17">
        <v>0</v>
      </c>
      <c r="L36" s="17">
        <v>0</v>
      </c>
      <c r="M36" s="17">
        <v>0</v>
      </c>
      <c r="N36" s="17">
        <v>0</v>
      </c>
      <c r="O36" s="18">
        <f t="shared" si="0"/>
        <v>5214</v>
      </c>
    </row>
    <row r="37" spans="1:16" ht="15" customHeight="1" x14ac:dyDescent="0.2">
      <c r="A37" s="22"/>
      <c r="B37" s="23" t="s">
        <v>147</v>
      </c>
      <c r="C37" s="24">
        <f t="shared" ref="C37:N37" si="1">SUM(C9:C36)</f>
        <v>58992</v>
      </c>
      <c r="D37" s="24">
        <f t="shared" si="1"/>
        <v>62704</v>
      </c>
      <c r="E37" s="24">
        <f t="shared" si="1"/>
        <v>59920</v>
      </c>
      <c r="F37" s="24">
        <f t="shared" si="1"/>
        <v>59920</v>
      </c>
      <c r="G37" s="24">
        <f t="shared" si="1"/>
        <v>61623</v>
      </c>
      <c r="H37" s="24">
        <f t="shared" si="1"/>
        <v>61623</v>
      </c>
      <c r="I37" s="24">
        <f t="shared" si="1"/>
        <v>61623</v>
      </c>
      <c r="J37" s="24">
        <f t="shared" si="1"/>
        <v>72347</v>
      </c>
      <c r="K37" s="24">
        <f t="shared" si="1"/>
        <v>62577</v>
      </c>
      <c r="L37" s="24">
        <f t="shared" si="1"/>
        <v>62577</v>
      </c>
      <c r="M37" s="24">
        <f t="shared" si="1"/>
        <v>62577</v>
      </c>
      <c r="N37" s="24">
        <f t="shared" si="1"/>
        <v>62577</v>
      </c>
      <c r="O37" s="25">
        <f>SUM(C37:N37)</f>
        <v>749060</v>
      </c>
    </row>
    <row r="38" spans="1:16" ht="15" customHeight="1" x14ac:dyDescent="0.25">
      <c r="A38" s="853" t="s">
        <v>148</v>
      </c>
      <c r="B38" s="27" t="s">
        <v>149</v>
      </c>
      <c r="C38" s="28">
        <v>1400</v>
      </c>
      <c r="D38" s="28">
        <v>1500</v>
      </c>
      <c r="E38" s="28">
        <v>1500</v>
      </c>
      <c r="F38" s="28">
        <v>1500</v>
      </c>
      <c r="G38" s="28">
        <v>1500</v>
      </c>
      <c r="H38" s="28">
        <v>1500</v>
      </c>
      <c r="I38" s="28">
        <v>1500</v>
      </c>
      <c r="J38" s="28">
        <v>1500</v>
      </c>
      <c r="K38" s="28">
        <v>3000</v>
      </c>
      <c r="L38" s="28">
        <v>3005</v>
      </c>
      <c r="M38" s="28">
        <v>3005</v>
      </c>
      <c r="N38">
        <v>3235</v>
      </c>
      <c r="O38" s="18">
        <f>SUM(C38:N38)</f>
        <v>24145</v>
      </c>
      <c r="P38" s="29"/>
    </row>
    <row r="39" spans="1:16" ht="15" x14ac:dyDescent="0.2">
      <c r="A39" s="854"/>
      <c r="B39" s="27" t="s">
        <v>150</v>
      </c>
      <c r="C39" s="28">
        <v>0</v>
      </c>
      <c r="D39" s="28">
        <v>0</v>
      </c>
      <c r="E39" s="28">
        <v>0</v>
      </c>
      <c r="F39" s="28">
        <v>0</v>
      </c>
      <c r="G39" s="28">
        <v>0</v>
      </c>
      <c r="H39" s="28">
        <v>0</v>
      </c>
      <c r="I39" s="28">
        <v>0</v>
      </c>
      <c r="J39" s="28">
        <v>0</v>
      </c>
      <c r="K39" s="28">
        <v>0</v>
      </c>
      <c r="L39" s="28">
        <v>0</v>
      </c>
      <c r="M39" s="28">
        <v>0</v>
      </c>
      <c r="N39" s="28">
        <v>0</v>
      </c>
      <c r="O39" s="18">
        <f>SUM(C39:N39)</f>
        <v>0</v>
      </c>
    </row>
    <row r="40" spans="1:16" ht="15" x14ac:dyDescent="0.2">
      <c r="A40" s="854"/>
      <c r="B40" s="27" t="s">
        <v>151</v>
      </c>
      <c r="C40" s="28">
        <v>30</v>
      </c>
      <c r="D40" s="28">
        <v>30</v>
      </c>
      <c r="E40" s="28">
        <v>30</v>
      </c>
      <c r="F40" s="28">
        <v>30</v>
      </c>
      <c r="G40" s="28">
        <v>30</v>
      </c>
      <c r="H40" s="28">
        <v>30</v>
      </c>
      <c r="I40" s="28">
        <v>30</v>
      </c>
      <c r="J40" s="28">
        <v>30</v>
      </c>
      <c r="K40" s="28">
        <v>30</v>
      </c>
      <c r="L40" s="28">
        <v>30</v>
      </c>
      <c r="M40" s="28">
        <v>30</v>
      </c>
      <c r="N40" s="28">
        <v>30</v>
      </c>
      <c r="O40" s="18">
        <f t="shared" ref="O40:O50" si="2">SUM(C40:N40)</f>
        <v>360</v>
      </c>
    </row>
    <row r="41" spans="1:16" ht="15" x14ac:dyDescent="0.2">
      <c r="A41" s="854"/>
      <c r="B41" s="27" t="s">
        <v>152</v>
      </c>
      <c r="C41" s="28">
        <v>0</v>
      </c>
      <c r="D41" s="28">
        <v>0</v>
      </c>
      <c r="E41" s="28">
        <v>0</v>
      </c>
      <c r="F41" s="28">
        <v>0</v>
      </c>
      <c r="G41" s="28">
        <v>0</v>
      </c>
      <c r="H41" s="28">
        <v>0</v>
      </c>
      <c r="I41" s="28">
        <v>0</v>
      </c>
      <c r="J41" s="28">
        <v>0</v>
      </c>
      <c r="K41" s="28">
        <v>0</v>
      </c>
      <c r="L41" s="28">
        <v>0</v>
      </c>
      <c r="M41" s="28">
        <v>0</v>
      </c>
      <c r="N41" s="28">
        <v>0</v>
      </c>
      <c r="O41" s="18">
        <f t="shared" si="2"/>
        <v>0</v>
      </c>
    </row>
    <row r="42" spans="1:16" ht="15" x14ac:dyDescent="0.2">
      <c r="A42" s="854"/>
      <c r="B42" s="27" t="s">
        <v>153</v>
      </c>
      <c r="C42" s="28">
        <v>250</v>
      </c>
      <c r="D42" s="28">
        <v>250</v>
      </c>
      <c r="E42" s="28">
        <v>250</v>
      </c>
      <c r="F42" s="28">
        <v>250</v>
      </c>
      <c r="G42" s="28">
        <v>250</v>
      </c>
      <c r="H42" s="28">
        <v>250</v>
      </c>
      <c r="I42" s="28">
        <v>250</v>
      </c>
      <c r="J42" s="28">
        <v>250</v>
      </c>
      <c r="K42" s="28">
        <v>250</v>
      </c>
      <c r="L42" s="28">
        <v>250</v>
      </c>
      <c r="M42" s="28">
        <v>250</v>
      </c>
      <c r="N42" s="28">
        <v>250</v>
      </c>
      <c r="O42" s="18">
        <f t="shared" si="2"/>
        <v>3000</v>
      </c>
    </row>
    <row r="43" spans="1:16" ht="15" x14ac:dyDescent="0.2">
      <c r="A43" s="854"/>
      <c r="B43" s="27" t="s">
        <v>154</v>
      </c>
      <c r="C43" s="28">
        <v>15000</v>
      </c>
      <c r="D43" s="28">
        <v>15000</v>
      </c>
      <c r="E43" s="28">
        <v>15000</v>
      </c>
      <c r="F43" s="28">
        <v>15000</v>
      </c>
      <c r="G43" s="28">
        <v>15000</v>
      </c>
      <c r="H43" s="28">
        <v>15000</v>
      </c>
      <c r="I43" s="28">
        <v>15000</v>
      </c>
      <c r="J43" s="28">
        <v>15000</v>
      </c>
      <c r="K43" s="28">
        <v>15000</v>
      </c>
      <c r="L43" s="28">
        <v>15000</v>
      </c>
      <c r="M43" s="28">
        <v>15000</v>
      </c>
      <c r="N43" s="28">
        <v>15000</v>
      </c>
      <c r="O43" s="18">
        <f t="shared" si="2"/>
        <v>180000</v>
      </c>
    </row>
    <row r="44" spans="1:16" ht="15" x14ac:dyDescent="0.2">
      <c r="A44" s="854"/>
      <c r="B44" s="27" t="s">
        <v>155</v>
      </c>
      <c r="C44" s="28">
        <v>200</v>
      </c>
      <c r="D44" s="28">
        <v>200</v>
      </c>
      <c r="E44" s="28">
        <v>200</v>
      </c>
      <c r="F44" s="28">
        <v>200</v>
      </c>
      <c r="G44" s="28">
        <v>200</v>
      </c>
      <c r="H44" s="28">
        <v>200</v>
      </c>
      <c r="I44" s="28">
        <v>200</v>
      </c>
      <c r="J44" s="28">
        <v>200</v>
      </c>
      <c r="K44" s="28">
        <v>200</v>
      </c>
      <c r="L44" s="28">
        <v>200</v>
      </c>
      <c r="M44" s="28">
        <v>200</v>
      </c>
      <c r="N44" s="28">
        <v>300</v>
      </c>
      <c r="O44" s="18">
        <f t="shared" si="2"/>
        <v>2500</v>
      </c>
    </row>
    <row r="45" spans="1:16" ht="15" x14ac:dyDescent="0.2">
      <c r="A45" s="854"/>
      <c r="B45" s="27" t="s">
        <v>156</v>
      </c>
      <c r="C45" s="28">
        <v>0</v>
      </c>
      <c r="D45" s="28">
        <v>0</v>
      </c>
      <c r="E45" s="28">
        <v>0</v>
      </c>
      <c r="F45" s="28">
        <v>0</v>
      </c>
      <c r="G45" s="28">
        <v>0</v>
      </c>
      <c r="H45" s="28">
        <v>0</v>
      </c>
      <c r="I45" s="28">
        <v>0</v>
      </c>
      <c r="J45" s="28">
        <v>0</v>
      </c>
      <c r="K45" s="28">
        <v>0</v>
      </c>
      <c r="L45" s="28">
        <v>0</v>
      </c>
      <c r="M45" s="28">
        <v>0</v>
      </c>
      <c r="N45" s="28">
        <v>0</v>
      </c>
      <c r="O45" s="18">
        <f t="shared" si="2"/>
        <v>0</v>
      </c>
    </row>
    <row r="46" spans="1:16" ht="15" x14ac:dyDescent="0.2">
      <c r="A46" s="854"/>
      <c r="B46" s="27" t="s">
        <v>157</v>
      </c>
      <c r="C46" s="28">
        <v>0</v>
      </c>
      <c r="D46" s="28">
        <v>0</v>
      </c>
      <c r="E46" s="28">
        <v>0</v>
      </c>
      <c r="F46" s="28">
        <v>0</v>
      </c>
      <c r="G46" s="28">
        <v>0</v>
      </c>
      <c r="H46" s="28">
        <v>0</v>
      </c>
      <c r="I46" s="28">
        <v>0</v>
      </c>
      <c r="J46" s="28">
        <v>0</v>
      </c>
      <c r="K46" s="28">
        <v>0</v>
      </c>
      <c r="L46" s="28">
        <v>0</v>
      </c>
      <c r="M46" s="28">
        <v>0</v>
      </c>
      <c r="N46" s="28">
        <v>0</v>
      </c>
      <c r="O46" s="18">
        <f t="shared" si="2"/>
        <v>0</v>
      </c>
    </row>
    <row r="47" spans="1:16" ht="28.5" customHeight="1" x14ac:dyDescent="0.2">
      <c r="A47" s="855"/>
      <c r="B47" s="30" t="s">
        <v>1083</v>
      </c>
      <c r="C47" s="28">
        <v>219</v>
      </c>
      <c r="D47" s="28">
        <v>219</v>
      </c>
      <c r="E47" s="28">
        <v>219</v>
      </c>
      <c r="F47" s="28">
        <v>219</v>
      </c>
      <c r="G47" s="28">
        <v>219</v>
      </c>
      <c r="H47" s="28">
        <v>219</v>
      </c>
      <c r="I47" s="28">
        <v>219</v>
      </c>
      <c r="J47" s="28">
        <v>0</v>
      </c>
      <c r="K47" s="28">
        <v>0</v>
      </c>
      <c r="L47" s="28">
        <v>0</v>
      </c>
      <c r="M47" s="28">
        <v>0</v>
      </c>
      <c r="N47" s="28">
        <v>0</v>
      </c>
      <c r="O47" s="31">
        <f t="shared" si="2"/>
        <v>1533</v>
      </c>
    </row>
    <row r="48" spans="1:16" ht="15" x14ac:dyDescent="0.2">
      <c r="A48" s="856"/>
      <c r="B48" s="127" t="s">
        <v>1077</v>
      </c>
      <c r="C48" s="28">
        <v>0</v>
      </c>
      <c r="D48" s="28">
        <v>0</v>
      </c>
      <c r="E48" s="28">
        <v>0</v>
      </c>
      <c r="F48" s="28">
        <v>0</v>
      </c>
      <c r="G48" s="28">
        <v>0</v>
      </c>
      <c r="H48" s="28">
        <v>0</v>
      </c>
      <c r="I48" s="28">
        <v>0</v>
      </c>
      <c r="J48" s="28">
        <v>0</v>
      </c>
      <c r="K48" s="28">
        <v>0</v>
      </c>
      <c r="L48" s="28">
        <v>0</v>
      </c>
      <c r="M48" s="28">
        <v>0</v>
      </c>
      <c r="N48" s="28">
        <v>0</v>
      </c>
      <c r="O48" s="31">
        <f t="shared" si="2"/>
        <v>0</v>
      </c>
    </row>
    <row r="49" spans="1:18" ht="15" x14ac:dyDescent="0.2">
      <c r="A49" s="857" t="s">
        <v>160</v>
      </c>
      <c r="B49" s="858"/>
      <c r="C49" s="33">
        <f>SUM(C38:C48)</f>
        <v>17099</v>
      </c>
      <c r="D49" s="33">
        <f t="shared" ref="D49:N49" si="3">SUM(D38:D48)</f>
        <v>17199</v>
      </c>
      <c r="E49" s="33">
        <f t="shared" si="3"/>
        <v>17199</v>
      </c>
      <c r="F49" s="33">
        <f t="shared" si="3"/>
        <v>17199</v>
      </c>
      <c r="G49" s="33">
        <f t="shared" si="3"/>
        <v>17199</v>
      </c>
      <c r="H49" s="33">
        <f t="shared" si="3"/>
        <v>17199</v>
      </c>
      <c r="I49" s="33">
        <f t="shared" si="3"/>
        <v>17199</v>
      </c>
      <c r="J49" s="33">
        <f t="shared" si="3"/>
        <v>16980</v>
      </c>
      <c r="K49" s="33">
        <f t="shared" si="3"/>
        <v>18480</v>
      </c>
      <c r="L49" s="33">
        <f t="shared" si="3"/>
        <v>18485</v>
      </c>
      <c r="M49" s="33">
        <f t="shared" si="3"/>
        <v>18485</v>
      </c>
      <c r="N49" s="33">
        <f t="shared" si="3"/>
        <v>18815</v>
      </c>
      <c r="O49" s="34">
        <f t="shared" si="2"/>
        <v>211538</v>
      </c>
    </row>
    <row r="50" spans="1:18" ht="15.75" thickBot="1" x14ac:dyDescent="0.25">
      <c r="A50" s="859" t="s">
        <v>161</v>
      </c>
      <c r="B50" s="860"/>
      <c r="C50" s="35">
        <f>C37-C49</f>
        <v>41893</v>
      </c>
      <c r="D50" s="35">
        <f t="shared" ref="D50:N50" si="4">D37-D49</f>
        <v>45505</v>
      </c>
      <c r="E50" s="35">
        <f t="shared" si="4"/>
        <v>42721</v>
      </c>
      <c r="F50" s="35">
        <f t="shared" si="4"/>
        <v>42721</v>
      </c>
      <c r="G50" s="35">
        <f t="shared" si="4"/>
        <v>44424</v>
      </c>
      <c r="H50" s="35">
        <f t="shared" si="4"/>
        <v>44424</v>
      </c>
      <c r="I50" s="35">
        <f t="shared" si="4"/>
        <v>44424</v>
      </c>
      <c r="J50" s="35">
        <f t="shared" si="4"/>
        <v>55367</v>
      </c>
      <c r="K50" s="35">
        <f t="shared" si="4"/>
        <v>44097</v>
      </c>
      <c r="L50" s="35">
        <f t="shared" si="4"/>
        <v>44092</v>
      </c>
      <c r="M50" s="35">
        <f t="shared" si="4"/>
        <v>44092</v>
      </c>
      <c r="N50" s="35">
        <f t="shared" si="4"/>
        <v>43762</v>
      </c>
      <c r="O50" s="36">
        <f t="shared" si="2"/>
        <v>537522</v>
      </c>
    </row>
    <row r="51" spans="1:18" x14ac:dyDescent="0.2">
      <c r="J51" s="300">
        <f>+J37-SUM(J22:J36)</f>
        <v>62577</v>
      </c>
      <c r="Q51" s="38"/>
    </row>
    <row r="52" spans="1:18" ht="13.5" thickBot="1" x14ac:dyDescent="0.25">
      <c r="J52" s="38">
        <f>+J51-J49</f>
        <v>45597</v>
      </c>
    </row>
    <row r="53" spans="1:18" ht="13.5" thickBot="1" x14ac:dyDescent="0.25">
      <c r="B53" s="789" t="s">
        <v>162</v>
      </c>
      <c r="C53" s="861"/>
      <c r="D53" s="861"/>
      <c r="E53" s="861"/>
      <c r="F53" s="862"/>
      <c r="G53" s="863">
        <f>O37</f>
        <v>749060</v>
      </c>
      <c r="H53" s="864"/>
    </row>
    <row r="54" spans="1:18" ht="13.5" thickBot="1" x14ac:dyDescent="0.25"/>
    <row r="55" spans="1:18" x14ac:dyDescent="0.2">
      <c r="B55" s="830" t="s">
        <v>163</v>
      </c>
      <c r="C55" s="833" t="s">
        <v>164</v>
      </c>
      <c r="D55" s="836" t="s">
        <v>811</v>
      </c>
      <c r="E55" s="837"/>
      <c r="F55" s="838"/>
      <c r="G55" s="839">
        <v>40000</v>
      </c>
      <c r="H55" s="840"/>
    </row>
    <row r="56" spans="1:18" x14ac:dyDescent="0.2">
      <c r="B56" s="831"/>
      <c r="C56" s="834"/>
      <c r="D56" s="841" t="s">
        <v>166</v>
      </c>
      <c r="E56" s="842"/>
      <c r="F56" s="843"/>
      <c r="G56" s="844">
        <f>+O44</f>
        <v>2500</v>
      </c>
      <c r="H56" s="845"/>
      <c r="I56" s="39"/>
      <c r="J56" s="846"/>
      <c r="K56" s="846"/>
      <c r="L56" s="846"/>
      <c r="M56" s="847"/>
      <c r="N56" s="847"/>
      <c r="O56" s="847"/>
    </row>
    <row r="57" spans="1:18" ht="13.5" thickBot="1" x14ac:dyDescent="0.25">
      <c r="B57" s="832"/>
      <c r="C57" s="835"/>
      <c r="D57" s="848" t="s">
        <v>243</v>
      </c>
      <c r="E57" s="849"/>
      <c r="F57" s="850"/>
      <c r="G57" s="851">
        <f>IF(O18&gt;15000,15000,+O18)</f>
        <v>0</v>
      </c>
      <c r="H57" s="852"/>
      <c r="J57" s="47"/>
      <c r="K57" s="47"/>
      <c r="L57" s="47"/>
      <c r="M57" s="47"/>
      <c r="N57" s="47"/>
      <c r="O57" s="47"/>
    </row>
    <row r="58" spans="1:18" ht="13.5" thickBot="1" x14ac:dyDescent="0.25">
      <c r="B58" s="48"/>
      <c r="J58" s="47"/>
      <c r="K58" s="47"/>
      <c r="L58" s="47"/>
      <c r="M58" s="47"/>
      <c r="N58" s="47"/>
      <c r="O58" s="47"/>
    </row>
    <row r="59" spans="1:18" ht="13.5" thickBot="1" x14ac:dyDescent="0.25">
      <c r="B59" s="789" t="s">
        <v>168</v>
      </c>
      <c r="C59" s="790"/>
      <c r="D59" s="790"/>
      <c r="E59" s="790"/>
      <c r="F59" s="791"/>
      <c r="G59" s="825">
        <f>+G53-SUM(G55:H57)</f>
        <v>706560</v>
      </c>
      <c r="H59" s="826"/>
      <c r="J59" s="827" t="s">
        <v>169</v>
      </c>
      <c r="K59" s="828"/>
      <c r="L59" s="828"/>
      <c r="M59" s="828"/>
      <c r="N59" s="828"/>
      <c r="O59" s="829"/>
    </row>
    <row r="60" spans="1:18" ht="13.5" thickBot="1" x14ac:dyDescent="0.25">
      <c r="B60" s="49"/>
      <c r="C60" s="50"/>
      <c r="D60" s="50"/>
      <c r="E60" s="50"/>
      <c r="F60" s="50"/>
      <c r="G60" s="45"/>
      <c r="H60" s="50"/>
      <c r="J60" s="129"/>
      <c r="K60" s="130"/>
      <c r="L60" s="130"/>
      <c r="M60" s="130"/>
      <c r="N60" s="130"/>
      <c r="O60" s="131"/>
    </row>
    <row r="61" spans="1:18" ht="13.5" thickBot="1" x14ac:dyDescent="0.25">
      <c r="B61" s="789" t="s">
        <v>170</v>
      </c>
      <c r="C61" s="790"/>
      <c r="D61" s="790"/>
      <c r="E61" s="790"/>
      <c r="F61" s="791"/>
      <c r="G61" s="805"/>
      <c r="H61" s="791"/>
      <c r="J61" s="129"/>
      <c r="K61" s="130"/>
      <c r="L61" s="130"/>
      <c r="M61" s="130"/>
      <c r="N61" s="130"/>
      <c r="O61" s="131"/>
    </row>
    <row r="62" spans="1:18" ht="12.75" customHeight="1" x14ac:dyDescent="0.2">
      <c r="B62" s="57" t="s">
        <v>171</v>
      </c>
      <c r="C62" s="806" t="s">
        <v>172</v>
      </c>
      <c r="D62" s="807"/>
      <c r="E62" s="807"/>
      <c r="F62" s="808"/>
      <c r="G62" s="809">
        <v>0</v>
      </c>
      <c r="H62" s="809"/>
      <c r="I62" s="58"/>
      <c r="J62" s="810" t="s">
        <v>173</v>
      </c>
      <c r="K62" s="811"/>
      <c r="L62" s="811"/>
      <c r="M62" s="811"/>
      <c r="N62" s="811"/>
      <c r="O62" s="812"/>
      <c r="Q62" s="59"/>
      <c r="R62" s="59"/>
    </row>
    <row r="63" spans="1:18" ht="13.5" thickBot="1" x14ac:dyDescent="0.25">
      <c r="D63" s="37"/>
      <c r="I63" s="58"/>
      <c r="J63" s="60" t="s">
        <v>1084</v>
      </c>
      <c r="K63" s="132"/>
      <c r="L63" s="132"/>
      <c r="M63" s="133"/>
      <c r="N63" s="133"/>
      <c r="O63" s="134"/>
      <c r="Q63" s="59"/>
      <c r="R63" s="59"/>
    </row>
    <row r="64" spans="1:18" ht="13.5" thickBot="1" x14ac:dyDescent="0.25">
      <c r="B64" s="789" t="s">
        <v>175</v>
      </c>
      <c r="C64" s="790"/>
      <c r="D64" s="790"/>
      <c r="E64" s="790"/>
      <c r="F64" s="791"/>
      <c r="G64" s="805">
        <f>+G59-G62</f>
        <v>706560</v>
      </c>
      <c r="H64" s="791"/>
      <c r="I64" s="63"/>
      <c r="J64" s="64"/>
      <c r="K64" s="39"/>
      <c r="L64" s="39"/>
      <c r="M64" s="39"/>
      <c r="N64" s="39"/>
      <c r="O64" s="65"/>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6.25" customHeight="1" thickBot="1" x14ac:dyDescent="0.25">
      <c r="B67" s="66"/>
      <c r="C67" s="48"/>
      <c r="G67" s="70" t="s">
        <v>177</v>
      </c>
      <c r="H67" s="70" t="s">
        <v>178</v>
      </c>
      <c r="I67" s="63"/>
      <c r="J67" s="810" t="s">
        <v>179</v>
      </c>
      <c r="K67" s="811"/>
      <c r="L67" s="71"/>
      <c r="M67" s="71"/>
      <c r="N67" s="71"/>
      <c r="O67" s="72"/>
      <c r="Q67" s="59"/>
      <c r="R67" s="59"/>
    </row>
    <row r="68" spans="2:18" ht="12.75" customHeight="1" x14ac:dyDescent="0.2">
      <c r="B68" s="802" t="s">
        <v>180</v>
      </c>
      <c r="C68" s="821" t="s">
        <v>181</v>
      </c>
      <c r="D68" s="823" t="s">
        <v>182</v>
      </c>
      <c r="E68" s="824"/>
      <c r="F68" s="824"/>
      <c r="G68" s="73">
        <f>+O43</f>
        <v>180000</v>
      </c>
      <c r="H68" s="74">
        <f t="shared" ref="H68:H76" si="5">+G68</f>
        <v>180000</v>
      </c>
      <c r="I68" s="63"/>
      <c r="J68" s="75" t="s">
        <v>231</v>
      </c>
      <c r="K68" s="58"/>
      <c r="L68" s="58"/>
      <c r="M68" s="58"/>
      <c r="N68" s="58"/>
      <c r="O68" s="76">
        <v>2628</v>
      </c>
      <c r="Q68" s="59"/>
      <c r="R68" s="59"/>
    </row>
    <row r="69" spans="2:18" ht="12.75" customHeight="1" x14ac:dyDescent="0.2">
      <c r="B69" s="803"/>
      <c r="C69" s="822"/>
      <c r="D69" s="782" t="s">
        <v>184</v>
      </c>
      <c r="E69" s="783"/>
      <c r="F69" s="783"/>
      <c r="G69" s="77">
        <f>+O47</f>
        <v>1533</v>
      </c>
      <c r="H69" s="78">
        <f t="shared" si="5"/>
        <v>1533</v>
      </c>
      <c r="I69" s="63"/>
      <c r="J69" s="79"/>
      <c r="K69" s="68"/>
      <c r="L69" s="68"/>
      <c r="M69" s="68"/>
      <c r="N69" s="68"/>
      <c r="O69" s="69"/>
      <c r="Q69" s="59"/>
      <c r="R69" s="59"/>
    </row>
    <row r="70" spans="2:18" ht="12.75" customHeight="1" x14ac:dyDescent="0.2">
      <c r="B70" s="803"/>
      <c r="C70" s="822"/>
      <c r="D70" s="819" t="s">
        <v>185</v>
      </c>
      <c r="E70" s="820"/>
      <c r="F70" s="820"/>
      <c r="G70" s="80">
        <f>O40</f>
        <v>360</v>
      </c>
      <c r="H70" s="78">
        <f t="shared" si="5"/>
        <v>360</v>
      </c>
      <c r="I70" s="63"/>
      <c r="J70" s="67"/>
      <c r="K70" s="68"/>
      <c r="L70" s="68"/>
      <c r="M70" s="68"/>
      <c r="N70" s="68"/>
      <c r="O70" s="69"/>
    </row>
    <row r="71" spans="2:18" x14ac:dyDescent="0.2">
      <c r="B71" s="803"/>
      <c r="C71" s="822"/>
      <c r="D71" s="782" t="s">
        <v>186</v>
      </c>
      <c r="E71" s="783"/>
      <c r="F71" s="783"/>
      <c r="G71" s="81">
        <v>0</v>
      </c>
      <c r="H71" s="78">
        <f t="shared" si="5"/>
        <v>0</v>
      </c>
      <c r="I71" s="63"/>
      <c r="J71" s="82" t="s">
        <v>187</v>
      </c>
      <c r="K71" s="71"/>
      <c r="L71" s="71"/>
      <c r="M71" s="71"/>
      <c r="N71" s="71"/>
      <c r="O71" s="72"/>
    </row>
    <row r="72" spans="2:18" ht="12.75" customHeight="1" x14ac:dyDescent="0.2">
      <c r="B72" s="803"/>
      <c r="C72" s="822"/>
      <c r="D72" s="784" t="s">
        <v>188</v>
      </c>
      <c r="E72" s="783"/>
      <c r="F72" s="783"/>
      <c r="G72" s="80">
        <v>0</v>
      </c>
      <c r="H72" s="78">
        <f t="shared" si="5"/>
        <v>0</v>
      </c>
      <c r="I72" s="63"/>
      <c r="J72" s="75" t="s">
        <v>189</v>
      </c>
      <c r="K72" s="50"/>
      <c r="L72" s="50"/>
      <c r="M72" s="50"/>
      <c r="N72" s="50"/>
      <c r="O72" s="83">
        <f>O42</f>
        <v>3000</v>
      </c>
    </row>
    <row r="73" spans="2:18" ht="14.25" customHeight="1" x14ac:dyDescent="0.2">
      <c r="B73" s="803"/>
      <c r="C73" s="822"/>
      <c r="D73" s="782" t="s">
        <v>190</v>
      </c>
      <c r="E73" s="783"/>
      <c r="F73" s="783"/>
      <c r="G73" s="84">
        <f>O63</f>
        <v>0</v>
      </c>
      <c r="H73" s="78">
        <f t="shared" si="5"/>
        <v>0</v>
      </c>
      <c r="I73" s="63"/>
      <c r="J73" s="64"/>
      <c r="K73" s="39"/>
      <c r="L73" s="39"/>
      <c r="M73" s="39"/>
      <c r="N73" s="39"/>
      <c r="O73" s="65"/>
    </row>
    <row r="74" spans="2:18" x14ac:dyDescent="0.2">
      <c r="B74" s="803"/>
      <c r="C74" s="822"/>
      <c r="D74" s="782" t="s">
        <v>191</v>
      </c>
      <c r="E74" s="783"/>
      <c r="F74" s="783"/>
      <c r="G74" s="81">
        <v>0</v>
      </c>
      <c r="H74" s="78">
        <f t="shared" si="5"/>
        <v>0</v>
      </c>
      <c r="I74" s="58"/>
      <c r="J74" s="150"/>
      <c r="K74" s="50"/>
      <c r="L74" s="50"/>
      <c r="M74" s="50"/>
      <c r="N74" s="50"/>
      <c r="O74" s="83"/>
    </row>
    <row r="75" spans="2:18" x14ac:dyDescent="0.2">
      <c r="B75" s="803"/>
      <c r="C75" s="88" t="s">
        <v>192</v>
      </c>
      <c r="D75" s="813" t="s">
        <v>193</v>
      </c>
      <c r="E75" s="814"/>
      <c r="F75" s="814"/>
      <c r="G75" s="80">
        <v>0</v>
      </c>
      <c r="H75" s="78">
        <f t="shared" si="5"/>
        <v>0</v>
      </c>
      <c r="I75" s="58"/>
      <c r="J75" s="79"/>
      <c r="K75" s="39"/>
      <c r="L75" s="39"/>
      <c r="M75" s="39"/>
      <c r="N75" s="39"/>
      <c r="O75" s="65"/>
    </row>
    <row r="76" spans="2:18" ht="13.5" customHeight="1" thickBot="1" x14ac:dyDescent="0.25">
      <c r="B76" s="803"/>
      <c r="C76" s="88" t="s">
        <v>194</v>
      </c>
      <c r="D76" s="815" t="s">
        <v>195</v>
      </c>
      <c r="E76" s="815"/>
      <c r="F76" s="815"/>
      <c r="G76" s="89">
        <v>0</v>
      </c>
      <c r="H76" s="90">
        <f t="shared" si="5"/>
        <v>0</v>
      </c>
      <c r="I76" s="63"/>
      <c r="J76" s="67"/>
      <c r="K76" s="68"/>
      <c r="L76" s="68"/>
      <c r="M76" s="91"/>
      <c r="N76" s="91"/>
      <c r="O76" s="92"/>
    </row>
    <row r="77" spans="2:18" ht="13.5" thickBot="1" x14ac:dyDescent="0.25">
      <c r="B77" s="803"/>
      <c r="C77" s="93"/>
      <c r="D77" s="94"/>
      <c r="E77" s="816" t="s">
        <v>117</v>
      </c>
      <c r="F77" s="817"/>
      <c r="G77" s="95">
        <f>SUM(G68:G76)</f>
        <v>181893</v>
      </c>
      <c r="H77" s="96">
        <f>IF(SUM(G68:G74)&lt;150000,SUM(G68:G74),150000)+IF(+G75&lt;20000,+G75,20000)</f>
        <v>150000</v>
      </c>
      <c r="I77" s="63"/>
      <c r="J77" s="140"/>
      <c r="K77" s="141"/>
      <c r="L77" s="141"/>
      <c r="M77" s="142"/>
      <c r="N77" s="142"/>
      <c r="O77" s="143"/>
    </row>
    <row r="78" spans="2:18" ht="12.75" customHeight="1" x14ac:dyDescent="0.2">
      <c r="B78" s="803"/>
      <c r="C78" s="100" t="s">
        <v>196</v>
      </c>
      <c r="D78" s="782" t="s">
        <v>187</v>
      </c>
      <c r="E78" s="783"/>
      <c r="F78" s="818"/>
      <c r="G78" s="73">
        <f>+O42</f>
        <v>3000</v>
      </c>
      <c r="H78" s="101">
        <f>+IF(+G78&lt;25000,+G78,25000)</f>
        <v>3000</v>
      </c>
      <c r="I78" s="87"/>
    </row>
    <row r="79" spans="2:18" x14ac:dyDescent="0.2">
      <c r="B79" s="803"/>
      <c r="C79" s="100" t="s">
        <v>197</v>
      </c>
      <c r="D79" s="784" t="s">
        <v>198</v>
      </c>
      <c r="E79" s="785"/>
      <c r="F79" s="786"/>
      <c r="G79" s="102"/>
      <c r="H79" s="103">
        <f>+IF(+G79&lt;40000,+G79,40000)</f>
        <v>0</v>
      </c>
      <c r="I79" s="63"/>
    </row>
    <row r="80" spans="2:18" x14ac:dyDescent="0.2">
      <c r="B80" s="803"/>
      <c r="C80" s="100" t="s">
        <v>199</v>
      </c>
      <c r="D80" s="784" t="s">
        <v>200</v>
      </c>
      <c r="E80" s="785"/>
      <c r="F80" s="786"/>
      <c r="G80" s="81"/>
      <c r="H80" s="104">
        <v>0</v>
      </c>
      <c r="I80" s="63"/>
      <c r="J80" s="106"/>
    </row>
    <row r="81" spans="2:12" x14ac:dyDescent="0.2">
      <c r="B81" s="803"/>
      <c r="C81" s="100" t="s">
        <v>201</v>
      </c>
      <c r="D81" s="784" t="s">
        <v>202</v>
      </c>
      <c r="E81" s="785"/>
      <c r="F81" s="786"/>
      <c r="G81" s="81"/>
      <c r="H81" s="104">
        <v>0</v>
      </c>
      <c r="I81" s="63"/>
    </row>
    <row r="82" spans="2:12" ht="13.5" thickBot="1" x14ac:dyDescent="0.25">
      <c r="B82" s="804"/>
      <c r="C82" s="100" t="s">
        <v>203</v>
      </c>
      <c r="D82" s="784" t="s">
        <v>204</v>
      </c>
      <c r="E82" s="785"/>
      <c r="F82" s="786"/>
      <c r="G82" s="102"/>
      <c r="H82" s="103">
        <f>+IF(+G82&lt;100000,+G82,10000)</f>
        <v>0</v>
      </c>
      <c r="I82" s="63"/>
    </row>
    <row r="83" spans="2:12" ht="13.5" thickBot="1" x14ac:dyDescent="0.25">
      <c r="B83" s="787" t="s">
        <v>205</v>
      </c>
      <c r="C83" s="788"/>
      <c r="D83" s="788"/>
      <c r="E83" s="788"/>
      <c r="F83" s="788"/>
      <c r="G83" s="107">
        <f>SUM(G78:G82)</f>
        <v>3000</v>
      </c>
      <c r="H83" s="108">
        <f>SUM(H77:H82)</f>
        <v>153000</v>
      </c>
    </row>
    <row r="84" spans="2:12" ht="13.5" thickBot="1" x14ac:dyDescent="0.25"/>
    <row r="85" spans="2:12" ht="13.5" thickBot="1" x14ac:dyDescent="0.25">
      <c r="B85" s="789" t="s">
        <v>206</v>
      </c>
      <c r="C85" s="790"/>
      <c r="D85" s="790"/>
      <c r="E85" s="790"/>
      <c r="F85" s="791"/>
      <c r="G85" s="792">
        <f>+G64-H83</f>
        <v>553560</v>
      </c>
      <c r="H85" s="791"/>
      <c r="J85" s="251">
        <f>C37+D37+E37+F37</f>
        <v>241536</v>
      </c>
      <c r="K85" s="16" t="s">
        <v>235</v>
      </c>
    </row>
    <row r="86" spans="2:12" x14ac:dyDescent="0.2">
      <c r="B86" s="110"/>
      <c r="F86" s="105"/>
      <c r="J86" s="251">
        <f>G37+H37+I37</f>
        <v>184869</v>
      </c>
      <c r="K86" s="16" t="s">
        <v>236</v>
      </c>
    </row>
    <row r="87" spans="2:12" x14ac:dyDescent="0.2">
      <c r="C87" s="793" t="s">
        <v>207</v>
      </c>
      <c r="D87" s="794"/>
      <c r="E87" s="111" t="s">
        <v>208</v>
      </c>
      <c r="F87" s="111" t="s">
        <v>209</v>
      </c>
      <c r="G87" s="111" t="s">
        <v>210</v>
      </c>
      <c r="H87" s="111" t="s">
        <v>211</v>
      </c>
      <c r="J87" s="375">
        <f>J37+K37+L37</f>
        <v>197501</v>
      </c>
      <c r="K87" s="47" t="s">
        <v>237</v>
      </c>
    </row>
    <row r="88" spans="2:12" x14ac:dyDescent="0.2">
      <c r="C88" s="795" t="str">
        <f>IF(I6="M","0          - 250000","0          -  250000")</f>
        <v>0          -  250000</v>
      </c>
      <c r="D88" s="796"/>
      <c r="E88" s="112">
        <v>0</v>
      </c>
      <c r="F88" s="113">
        <f>IF(I6="M",(IF(G85&lt;250000,G85,250000)),(IF(G85&lt;250000,G85,250000)))</f>
        <v>250000</v>
      </c>
      <c r="G88" s="113">
        <f>G85-F88</f>
        <v>303560</v>
      </c>
      <c r="H88" s="113">
        <f>E88*F88</f>
        <v>0</v>
      </c>
      <c r="J88" s="207">
        <f>M37+N37</f>
        <v>125154</v>
      </c>
      <c r="K88" s="1" t="s">
        <v>238</v>
      </c>
    </row>
    <row r="89" spans="2:12" x14ac:dyDescent="0.2">
      <c r="C89" s="795" t="str">
        <f>IF(I6="M","250001 - 500000","250001-500000")</f>
        <v>250001-500000</v>
      </c>
      <c r="D89" s="796"/>
      <c r="E89" s="112">
        <v>0.05</v>
      </c>
      <c r="F89" s="113">
        <f>IF(I6="M",(IF(G88&lt;250000,G88,250000)),(IF(G88&lt;250000,G88,250000)))</f>
        <v>250000</v>
      </c>
      <c r="G89" s="113">
        <f>G88-F89</f>
        <v>53560</v>
      </c>
      <c r="H89" s="114">
        <f>ROUND(E89*F89,0.1)</f>
        <v>12500</v>
      </c>
      <c r="J89" s="115">
        <f>SUM(J85:J88)</f>
        <v>749060</v>
      </c>
    </row>
    <row r="90" spans="2:12" x14ac:dyDescent="0.2">
      <c r="C90" s="797" t="s">
        <v>212</v>
      </c>
      <c r="D90" s="798"/>
      <c r="E90" s="112">
        <v>0.2</v>
      </c>
      <c r="F90" s="113">
        <f>IF(G89&lt;500000,G89,500000)</f>
        <v>53560</v>
      </c>
      <c r="G90" s="113">
        <f>G89-F90</f>
        <v>0</v>
      </c>
      <c r="H90" s="114">
        <f>ROUND(E90*F90,0.1)</f>
        <v>10712</v>
      </c>
      <c r="J90" s="16">
        <f>+G85</f>
        <v>553560</v>
      </c>
    </row>
    <row r="91" spans="2:12" x14ac:dyDescent="0.2">
      <c r="C91" s="795" t="s">
        <v>213</v>
      </c>
      <c r="D91" s="796"/>
      <c r="E91" s="112">
        <v>0.3</v>
      </c>
      <c r="F91" s="113">
        <f>G90</f>
        <v>0</v>
      </c>
      <c r="G91" s="113">
        <f>G90-F91</f>
        <v>0</v>
      </c>
      <c r="H91" s="114">
        <f>ROUND(E91*F91,0.1)</f>
        <v>0</v>
      </c>
      <c r="J91" s="16">
        <f>+J89-J90</f>
        <v>195500</v>
      </c>
    </row>
    <row r="92" spans="2:12" ht="12.75" customHeight="1" thickBot="1" x14ac:dyDescent="0.25">
      <c r="B92" s="116"/>
      <c r="C92" s="117"/>
      <c r="D92" s="47"/>
      <c r="E92" s="47"/>
      <c r="F92" s="47"/>
    </row>
    <row r="93" spans="2:12" ht="13.5" thickBot="1" x14ac:dyDescent="0.25">
      <c r="B93" s="799" t="s">
        <v>239</v>
      </c>
      <c r="C93" s="800"/>
      <c r="D93" s="800"/>
      <c r="E93" s="800"/>
      <c r="F93" s="801"/>
      <c r="G93" s="771">
        <f>H88+H89+H90+H91</f>
        <v>23212</v>
      </c>
      <c r="H93" s="772"/>
    </row>
    <row r="94" spans="2:12" ht="13.5" thickBot="1" x14ac:dyDescent="0.25">
      <c r="B94" s="119" t="s">
        <v>215</v>
      </c>
      <c r="C94" s="120"/>
      <c r="D94" s="120"/>
      <c r="E94" s="120"/>
      <c r="F94" s="120"/>
      <c r="G94" s="884">
        <f>IF((G64&lt;500000),5000,0)</f>
        <v>0</v>
      </c>
      <c r="H94" s="885">
        <f>IF(H92&lt;200000,0,IF(H92&lt;220000,((H92-200000)*10%),IF(H92&lt;=500000,2000,IF(H92&gt;=500000,0))))</f>
        <v>0</v>
      </c>
      <c r="J94" s="1"/>
      <c r="K94" s="121"/>
      <c r="L94" s="121"/>
    </row>
    <row r="95" spans="2:12" ht="13.5" thickBot="1" x14ac:dyDescent="0.25">
      <c r="B95" s="122" t="s">
        <v>216</v>
      </c>
      <c r="C95" s="123"/>
      <c r="D95" s="123"/>
      <c r="E95" s="123"/>
      <c r="F95" s="123"/>
      <c r="G95" s="771">
        <f>IF((G93-G94)&lt;0,0,(G93-G94))</f>
        <v>23212</v>
      </c>
      <c r="H95" s="772"/>
      <c r="I95" s="37"/>
    </row>
    <row r="96" spans="2:12" ht="13.5" thickBot="1" x14ac:dyDescent="0.25">
      <c r="B96" s="773" t="s">
        <v>240</v>
      </c>
      <c r="C96" s="774"/>
      <c r="D96" s="774"/>
      <c r="E96" s="774"/>
      <c r="F96" s="775"/>
      <c r="G96" s="776">
        <f>ROUND((IF(G95&gt;0,(G95*4%),0)),0)</f>
        <v>928</v>
      </c>
      <c r="H96" s="777"/>
      <c r="I96" s="37"/>
    </row>
    <row r="97" spans="2:9" ht="13.5" thickBot="1" x14ac:dyDescent="0.25">
      <c r="B97" s="778" t="s">
        <v>218</v>
      </c>
      <c r="C97" s="779"/>
      <c r="D97" s="779"/>
      <c r="E97" s="779"/>
      <c r="F97" s="779"/>
      <c r="G97" s="780">
        <f>G95+G96</f>
        <v>24140</v>
      </c>
      <c r="H97" s="781"/>
      <c r="I97" s="121"/>
    </row>
    <row r="98" spans="2:9" ht="13.5" thickBot="1" x14ac:dyDescent="0.25">
      <c r="B98" s="765" t="s">
        <v>219</v>
      </c>
      <c r="C98" s="766"/>
      <c r="D98" s="766"/>
      <c r="E98" s="766"/>
      <c r="F98" s="766"/>
      <c r="G98" s="767">
        <f>O38</f>
        <v>24145</v>
      </c>
      <c r="H98" s="768"/>
      <c r="I98" s="121"/>
    </row>
    <row r="99" spans="2:9" ht="13.5" thickBot="1" x14ac:dyDescent="0.25">
      <c r="B99" s="765" t="str">
        <f>IF(G99&gt;0,"TAX PAYABLE","TAX REFUND")</f>
        <v>TAX REFUND</v>
      </c>
      <c r="C99" s="766"/>
      <c r="D99" s="766"/>
      <c r="E99" s="766"/>
      <c r="F99" s="766"/>
      <c r="G99" s="767">
        <f>+G97-G98</f>
        <v>-5</v>
      </c>
      <c r="H99" s="768"/>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9:F99 B93:F97">
    <cfRule type="cellIs" dxfId="401" priority="3" stopIfTrue="1" operator="equal">
      <formula>"TAX PAYABLE"</formula>
    </cfRule>
    <cfRule type="cellIs" dxfId="400" priority="4" stopIfTrue="1" operator="equal">
      <formula>"TAX REFUND"</formula>
    </cfRule>
  </conditionalFormatting>
  <conditionalFormatting sqref="G99:H99">
    <cfRule type="cellIs" dxfId="399" priority="1" stopIfTrue="1" operator="greaterThan">
      <formula>0</formula>
    </cfRule>
    <cfRule type="cellIs" dxfId="398"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7"/>
  <sheetViews>
    <sheetView topLeftCell="A65" workbookViewId="0">
      <selection activeCell="H78" sqref="H78"/>
    </sheetView>
  </sheetViews>
  <sheetFormatPr defaultRowHeight="12.75" x14ac:dyDescent="0.2"/>
  <cols>
    <col min="1" max="1" width="5" style="16" customWidth="1"/>
    <col min="2" max="2" width="18.5703125" style="37" customWidth="1"/>
    <col min="3" max="3" width="9.28515625" style="16" customWidth="1"/>
    <col min="4" max="4" width="6.7109375" style="16" bestFit="1" customWidth="1"/>
    <col min="5" max="5" width="8.5703125" style="16" bestFit="1" customWidth="1"/>
    <col min="6" max="6" width="9.5703125" style="16" customWidth="1"/>
    <col min="7" max="8" width="8.42578125" style="16" customWidth="1"/>
    <col min="9" max="9" width="7.140625" style="16" bestFit="1" customWidth="1"/>
    <col min="10" max="10" width="8.42578125" style="16" customWidth="1"/>
    <col min="11" max="14" width="8" style="16" customWidth="1"/>
    <col min="15" max="15" width="8.14062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8.5703125" style="16" customWidth="1"/>
    <col min="259" max="259" width="9.28515625" style="16" customWidth="1"/>
    <col min="260" max="260" width="6.7109375" style="16" bestFit="1" customWidth="1"/>
    <col min="261" max="261" width="8.5703125" style="16" bestFit="1" customWidth="1"/>
    <col min="262" max="262" width="9.5703125" style="16" customWidth="1"/>
    <col min="263" max="264" width="8.42578125" style="16" customWidth="1"/>
    <col min="265" max="265" width="7.140625" style="16" bestFit="1" customWidth="1"/>
    <col min="266" max="266" width="8.42578125" style="16" customWidth="1"/>
    <col min="267" max="270" width="8" style="16" customWidth="1"/>
    <col min="271" max="271" width="8.14062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8.5703125" style="16" customWidth="1"/>
    <col min="515" max="515" width="9.28515625" style="16" customWidth="1"/>
    <col min="516" max="516" width="6.7109375" style="16" bestFit="1" customWidth="1"/>
    <col min="517" max="517" width="8.5703125" style="16" bestFit="1" customWidth="1"/>
    <col min="518" max="518" width="9.5703125" style="16" customWidth="1"/>
    <col min="519" max="520" width="8.42578125" style="16" customWidth="1"/>
    <col min="521" max="521" width="7.140625" style="16" bestFit="1" customWidth="1"/>
    <col min="522" max="522" width="8.42578125" style="16" customWidth="1"/>
    <col min="523" max="526" width="8" style="16" customWidth="1"/>
    <col min="527" max="527" width="8.14062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8.5703125" style="16" customWidth="1"/>
    <col min="771" max="771" width="9.28515625" style="16" customWidth="1"/>
    <col min="772" max="772" width="6.7109375" style="16" bestFit="1" customWidth="1"/>
    <col min="773" max="773" width="8.5703125" style="16" bestFit="1" customWidth="1"/>
    <col min="774" max="774" width="9.5703125" style="16" customWidth="1"/>
    <col min="775" max="776" width="8.42578125" style="16" customWidth="1"/>
    <col min="777" max="777" width="7.140625" style="16" bestFit="1" customWidth="1"/>
    <col min="778" max="778" width="8.42578125" style="16" customWidth="1"/>
    <col min="779" max="782" width="8" style="16" customWidth="1"/>
    <col min="783" max="783" width="8.14062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8.5703125" style="16" customWidth="1"/>
    <col min="1027" max="1027" width="9.28515625" style="16" customWidth="1"/>
    <col min="1028" max="1028" width="6.7109375" style="16" bestFit="1" customWidth="1"/>
    <col min="1029" max="1029" width="8.5703125" style="16" bestFit="1" customWidth="1"/>
    <col min="1030" max="1030" width="9.5703125" style="16" customWidth="1"/>
    <col min="1031" max="1032" width="8.42578125" style="16" customWidth="1"/>
    <col min="1033" max="1033" width="7.140625" style="16" bestFit="1" customWidth="1"/>
    <col min="1034" max="1034" width="8.42578125" style="16" customWidth="1"/>
    <col min="1035" max="1038" width="8" style="16" customWidth="1"/>
    <col min="1039" max="1039" width="8.14062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8.5703125" style="16" customWidth="1"/>
    <col min="1283" max="1283" width="9.28515625" style="16" customWidth="1"/>
    <col min="1284" max="1284" width="6.7109375" style="16" bestFit="1" customWidth="1"/>
    <col min="1285" max="1285" width="8.5703125" style="16" bestFit="1" customWidth="1"/>
    <col min="1286" max="1286" width="9.5703125" style="16" customWidth="1"/>
    <col min="1287" max="1288" width="8.42578125" style="16" customWidth="1"/>
    <col min="1289" max="1289" width="7.140625" style="16" bestFit="1" customWidth="1"/>
    <col min="1290" max="1290" width="8.42578125" style="16" customWidth="1"/>
    <col min="1291" max="1294" width="8" style="16" customWidth="1"/>
    <col min="1295" max="1295" width="8.14062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8.5703125" style="16" customWidth="1"/>
    <col min="1539" max="1539" width="9.28515625" style="16" customWidth="1"/>
    <col min="1540" max="1540" width="6.7109375" style="16" bestFit="1" customWidth="1"/>
    <col min="1541" max="1541" width="8.5703125" style="16" bestFit="1" customWidth="1"/>
    <col min="1542" max="1542" width="9.5703125" style="16" customWidth="1"/>
    <col min="1543" max="1544" width="8.42578125" style="16" customWidth="1"/>
    <col min="1545" max="1545" width="7.140625" style="16" bestFit="1" customWidth="1"/>
    <col min="1546" max="1546" width="8.42578125" style="16" customWidth="1"/>
    <col min="1547" max="1550" width="8" style="16" customWidth="1"/>
    <col min="1551" max="1551" width="8.14062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8.5703125" style="16" customWidth="1"/>
    <col min="1795" max="1795" width="9.28515625" style="16" customWidth="1"/>
    <col min="1796" max="1796" width="6.7109375" style="16" bestFit="1" customWidth="1"/>
    <col min="1797" max="1797" width="8.5703125" style="16" bestFit="1" customWidth="1"/>
    <col min="1798" max="1798" width="9.5703125" style="16" customWidth="1"/>
    <col min="1799" max="1800" width="8.42578125" style="16" customWidth="1"/>
    <col min="1801" max="1801" width="7.140625" style="16" bestFit="1" customWidth="1"/>
    <col min="1802" max="1802" width="8.42578125" style="16" customWidth="1"/>
    <col min="1803" max="1806" width="8" style="16" customWidth="1"/>
    <col min="1807" max="1807" width="8.14062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8.5703125" style="16" customWidth="1"/>
    <col min="2051" max="2051" width="9.28515625" style="16" customWidth="1"/>
    <col min="2052" max="2052" width="6.7109375" style="16" bestFit="1" customWidth="1"/>
    <col min="2053" max="2053" width="8.5703125" style="16" bestFit="1" customWidth="1"/>
    <col min="2054" max="2054" width="9.5703125" style="16" customWidth="1"/>
    <col min="2055" max="2056" width="8.42578125" style="16" customWidth="1"/>
    <col min="2057" max="2057" width="7.140625" style="16" bestFit="1" customWidth="1"/>
    <col min="2058" max="2058" width="8.42578125" style="16" customWidth="1"/>
    <col min="2059" max="2062" width="8" style="16" customWidth="1"/>
    <col min="2063" max="2063" width="8.14062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8.5703125" style="16" customWidth="1"/>
    <col min="2307" max="2307" width="9.28515625" style="16" customWidth="1"/>
    <col min="2308" max="2308" width="6.7109375" style="16" bestFit="1" customWidth="1"/>
    <col min="2309" max="2309" width="8.5703125" style="16" bestFit="1" customWidth="1"/>
    <col min="2310" max="2310" width="9.5703125" style="16" customWidth="1"/>
    <col min="2311" max="2312" width="8.42578125" style="16" customWidth="1"/>
    <col min="2313" max="2313" width="7.140625" style="16" bestFit="1" customWidth="1"/>
    <col min="2314" max="2314" width="8.42578125" style="16" customWidth="1"/>
    <col min="2315" max="2318" width="8" style="16" customWidth="1"/>
    <col min="2319" max="2319" width="8.14062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8.5703125" style="16" customWidth="1"/>
    <col min="2563" max="2563" width="9.28515625" style="16" customWidth="1"/>
    <col min="2564" max="2564" width="6.7109375" style="16" bestFit="1" customWidth="1"/>
    <col min="2565" max="2565" width="8.5703125" style="16" bestFit="1" customWidth="1"/>
    <col min="2566" max="2566" width="9.5703125" style="16" customWidth="1"/>
    <col min="2567" max="2568" width="8.42578125" style="16" customWidth="1"/>
    <col min="2569" max="2569" width="7.140625" style="16" bestFit="1" customWidth="1"/>
    <col min="2570" max="2570" width="8.42578125" style="16" customWidth="1"/>
    <col min="2571" max="2574" width="8" style="16" customWidth="1"/>
    <col min="2575" max="2575" width="8.14062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8.5703125" style="16" customWidth="1"/>
    <col min="2819" max="2819" width="9.28515625" style="16" customWidth="1"/>
    <col min="2820" max="2820" width="6.7109375" style="16" bestFit="1" customWidth="1"/>
    <col min="2821" max="2821" width="8.5703125" style="16" bestFit="1" customWidth="1"/>
    <col min="2822" max="2822" width="9.5703125" style="16" customWidth="1"/>
    <col min="2823" max="2824" width="8.42578125" style="16" customWidth="1"/>
    <col min="2825" max="2825" width="7.140625" style="16" bestFit="1" customWidth="1"/>
    <col min="2826" max="2826" width="8.42578125" style="16" customWidth="1"/>
    <col min="2827" max="2830" width="8" style="16" customWidth="1"/>
    <col min="2831" max="2831" width="8.14062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8.5703125" style="16" customWidth="1"/>
    <col min="3075" max="3075" width="9.28515625" style="16" customWidth="1"/>
    <col min="3076" max="3076" width="6.7109375" style="16" bestFit="1" customWidth="1"/>
    <col min="3077" max="3077" width="8.5703125" style="16" bestFit="1" customWidth="1"/>
    <col min="3078" max="3078" width="9.5703125" style="16" customWidth="1"/>
    <col min="3079" max="3080" width="8.42578125" style="16" customWidth="1"/>
    <col min="3081" max="3081" width="7.140625" style="16" bestFit="1" customWidth="1"/>
    <col min="3082" max="3082" width="8.42578125" style="16" customWidth="1"/>
    <col min="3083" max="3086" width="8" style="16" customWidth="1"/>
    <col min="3087" max="3087" width="8.14062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8.5703125" style="16" customWidth="1"/>
    <col min="3331" max="3331" width="9.28515625" style="16" customWidth="1"/>
    <col min="3332" max="3332" width="6.7109375" style="16" bestFit="1" customWidth="1"/>
    <col min="3333" max="3333" width="8.5703125" style="16" bestFit="1" customWidth="1"/>
    <col min="3334" max="3334" width="9.5703125" style="16" customWidth="1"/>
    <col min="3335" max="3336" width="8.42578125" style="16" customWidth="1"/>
    <col min="3337" max="3337" width="7.140625" style="16" bestFit="1" customWidth="1"/>
    <col min="3338" max="3338" width="8.42578125" style="16" customWidth="1"/>
    <col min="3339" max="3342" width="8" style="16" customWidth="1"/>
    <col min="3343" max="3343" width="8.14062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8.5703125" style="16" customWidth="1"/>
    <col min="3587" max="3587" width="9.28515625" style="16" customWidth="1"/>
    <col min="3588" max="3588" width="6.7109375" style="16" bestFit="1" customWidth="1"/>
    <col min="3589" max="3589" width="8.5703125" style="16" bestFit="1" customWidth="1"/>
    <col min="3590" max="3590" width="9.5703125" style="16" customWidth="1"/>
    <col min="3591" max="3592" width="8.42578125" style="16" customWidth="1"/>
    <col min="3593" max="3593" width="7.140625" style="16" bestFit="1" customWidth="1"/>
    <col min="3594" max="3594" width="8.42578125" style="16" customWidth="1"/>
    <col min="3595" max="3598" width="8" style="16" customWidth="1"/>
    <col min="3599" max="3599" width="8.14062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8.5703125" style="16" customWidth="1"/>
    <col min="3843" max="3843" width="9.28515625" style="16" customWidth="1"/>
    <col min="3844" max="3844" width="6.7109375" style="16" bestFit="1" customWidth="1"/>
    <col min="3845" max="3845" width="8.5703125" style="16" bestFit="1" customWidth="1"/>
    <col min="3846" max="3846" width="9.5703125" style="16" customWidth="1"/>
    <col min="3847" max="3848" width="8.42578125" style="16" customWidth="1"/>
    <col min="3849" max="3849" width="7.140625" style="16" bestFit="1" customWidth="1"/>
    <col min="3850" max="3850" width="8.42578125" style="16" customWidth="1"/>
    <col min="3851" max="3854" width="8" style="16" customWidth="1"/>
    <col min="3855" max="3855" width="8.14062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8.5703125" style="16" customWidth="1"/>
    <col min="4099" max="4099" width="9.28515625" style="16" customWidth="1"/>
    <col min="4100" max="4100" width="6.7109375" style="16" bestFit="1" customWidth="1"/>
    <col min="4101" max="4101" width="8.5703125" style="16" bestFit="1" customWidth="1"/>
    <col min="4102" max="4102" width="9.5703125" style="16" customWidth="1"/>
    <col min="4103" max="4104" width="8.42578125" style="16" customWidth="1"/>
    <col min="4105" max="4105" width="7.140625" style="16" bestFit="1" customWidth="1"/>
    <col min="4106" max="4106" width="8.42578125" style="16" customWidth="1"/>
    <col min="4107" max="4110" width="8" style="16" customWidth="1"/>
    <col min="4111" max="4111" width="8.14062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8.5703125" style="16" customWidth="1"/>
    <col min="4355" max="4355" width="9.28515625" style="16" customWidth="1"/>
    <col min="4356" max="4356" width="6.7109375" style="16" bestFit="1" customWidth="1"/>
    <col min="4357" max="4357" width="8.5703125" style="16" bestFit="1" customWidth="1"/>
    <col min="4358" max="4358" width="9.5703125" style="16" customWidth="1"/>
    <col min="4359" max="4360" width="8.42578125" style="16" customWidth="1"/>
    <col min="4361" max="4361" width="7.140625" style="16" bestFit="1" customWidth="1"/>
    <col min="4362" max="4362" width="8.42578125" style="16" customWidth="1"/>
    <col min="4363" max="4366" width="8" style="16" customWidth="1"/>
    <col min="4367" max="4367" width="8.14062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8.5703125" style="16" customWidth="1"/>
    <col min="4611" max="4611" width="9.28515625" style="16" customWidth="1"/>
    <col min="4612" max="4612" width="6.7109375" style="16" bestFit="1" customWidth="1"/>
    <col min="4613" max="4613" width="8.5703125" style="16" bestFit="1" customWidth="1"/>
    <col min="4614" max="4614" width="9.5703125" style="16" customWidth="1"/>
    <col min="4615" max="4616" width="8.42578125" style="16" customWidth="1"/>
    <col min="4617" max="4617" width="7.140625" style="16" bestFit="1" customWidth="1"/>
    <col min="4618" max="4618" width="8.42578125" style="16" customWidth="1"/>
    <col min="4619" max="4622" width="8" style="16" customWidth="1"/>
    <col min="4623" max="4623" width="8.14062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8.5703125" style="16" customWidth="1"/>
    <col min="4867" max="4867" width="9.28515625" style="16" customWidth="1"/>
    <col min="4868" max="4868" width="6.7109375" style="16" bestFit="1" customWidth="1"/>
    <col min="4869" max="4869" width="8.5703125" style="16" bestFit="1" customWidth="1"/>
    <col min="4870" max="4870" width="9.5703125" style="16" customWidth="1"/>
    <col min="4871" max="4872" width="8.42578125" style="16" customWidth="1"/>
    <col min="4873" max="4873" width="7.140625" style="16" bestFit="1" customWidth="1"/>
    <col min="4874" max="4874" width="8.42578125" style="16" customWidth="1"/>
    <col min="4875" max="4878" width="8" style="16" customWidth="1"/>
    <col min="4879" max="4879" width="8.14062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8.5703125" style="16" customWidth="1"/>
    <col min="5123" max="5123" width="9.28515625" style="16" customWidth="1"/>
    <col min="5124" max="5124" width="6.7109375" style="16" bestFit="1" customWidth="1"/>
    <col min="5125" max="5125" width="8.5703125" style="16" bestFit="1" customWidth="1"/>
    <col min="5126" max="5126" width="9.5703125" style="16" customWidth="1"/>
    <col min="5127" max="5128" width="8.42578125" style="16" customWidth="1"/>
    <col min="5129" max="5129" width="7.140625" style="16" bestFit="1" customWidth="1"/>
    <col min="5130" max="5130" width="8.42578125" style="16" customWidth="1"/>
    <col min="5131" max="5134" width="8" style="16" customWidth="1"/>
    <col min="5135" max="5135" width="8.14062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8.5703125" style="16" customWidth="1"/>
    <col min="5379" max="5379" width="9.28515625" style="16" customWidth="1"/>
    <col min="5380" max="5380" width="6.7109375" style="16" bestFit="1" customWidth="1"/>
    <col min="5381" max="5381" width="8.5703125" style="16" bestFit="1" customWidth="1"/>
    <col min="5382" max="5382" width="9.5703125" style="16" customWidth="1"/>
    <col min="5383" max="5384" width="8.42578125" style="16" customWidth="1"/>
    <col min="5385" max="5385" width="7.140625" style="16" bestFit="1" customWidth="1"/>
    <col min="5386" max="5386" width="8.42578125" style="16" customWidth="1"/>
    <col min="5387" max="5390" width="8" style="16" customWidth="1"/>
    <col min="5391" max="5391" width="8.14062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8.5703125" style="16" customWidth="1"/>
    <col min="5635" max="5635" width="9.28515625" style="16" customWidth="1"/>
    <col min="5636" max="5636" width="6.7109375" style="16" bestFit="1" customWidth="1"/>
    <col min="5637" max="5637" width="8.5703125" style="16" bestFit="1" customWidth="1"/>
    <col min="5638" max="5638" width="9.5703125" style="16" customWidth="1"/>
    <col min="5639" max="5640" width="8.42578125" style="16" customWidth="1"/>
    <col min="5641" max="5641" width="7.140625" style="16" bestFit="1" customWidth="1"/>
    <col min="5642" max="5642" width="8.42578125" style="16" customWidth="1"/>
    <col min="5643" max="5646" width="8" style="16" customWidth="1"/>
    <col min="5647" max="5647" width="8.14062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8.5703125" style="16" customWidth="1"/>
    <col min="5891" max="5891" width="9.28515625" style="16" customWidth="1"/>
    <col min="5892" max="5892" width="6.7109375" style="16" bestFit="1" customWidth="1"/>
    <col min="5893" max="5893" width="8.5703125" style="16" bestFit="1" customWidth="1"/>
    <col min="5894" max="5894" width="9.5703125" style="16" customWidth="1"/>
    <col min="5895" max="5896" width="8.42578125" style="16" customWidth="1"/>
    <col min="5897" max="5897" width="7.140625" style="16" bestFit="1" customWidth="1"/>
    <col min="5898" max="5898" width="8.42578125" style="16" customWidth="1"/>
    <col min="5899" max="5902" width="8" style="16" customWidth="1"/>
    <col min="5903" max="5903" width="8.14062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8.5703125" style="16" customWidth="1"/>
    <col min="6147" max="6147" width="9.28515625" style="16" customWidth="1"/>
    <col min="6148" max="6148" width="6.7109375" style="16" bestFit="1" customWidth="1"/>
    <col min="6149" max="6149" width="8.5703125" style="16" bestFit="1" customWidth="1"/>
    <col min="6150" max="6150" width="9.5703125" style="16" customWidth="1"/>
    <col min="6151" max="6152" width="8.42578125" style="16" customWidth="1"/>
    <col min="6153" max="6153" width="7.140625" style="16" bestFit="1" customWidth="1"/>
    <col min="6154" max="6154" width="8.42578125" style="16" customWidth="1"/>
    <col min="6155" max="6158" width="8" style="16" customWidth="1"/>
    <col min="6159" max="6159" width="8.14062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8.5703125" style="16" customWidth="1"/>
    <col min="6403" max="6403" width="9.28515625" style="16" customWidth="1"/>
    <col min="6404" max="6404" width="6.7109375" style="16" bestFit="1" customWidth="1"/>
    <col min="6405" max="6405" width="8.5703125" style="16" bestFit="1" customWidth="1"/>
    <col min="6406" max="6406" width="9.5703125" style="16" customWidth="1"/>
    <col min="6407" max="6408" width="8.42578125" style="16" customWidth="1"/>
    <col min="6409" max="6409" width="7.140625" style="16" bestFit="1" customWidth="1"/>
    <col min="6410" max="6410" width="8.42578125" style="16" customWidth="1"/>
    <col min="6411" max="6414" width="8" style="16" customWidth="1"/>
    <col min="6415" max="6415" width="8.14062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8.5703125" style="16" customWidth="1"/>
    <col min="6659" max="6659" width="9.28515625" style="16" customWidth="1"/>
    <col min="6660" max="6660" width="6.7109375" style="16" bestFit="1" customWidth="1"/>
    <col min="6661" max="6661" width="8.5703125" style="16" bestFit="1" customWidth="1"/>
    <col min="6662" max="6662" width="9.5703125" style="16" customWidth="1"/>
    <col min="6663" max="6664" width="8.42578125" style="16" customWidth="1"/>
    <col min="6665" max="6665" width="7.140625" style="16" bestFit="1" customWidth="1"/>
    <col min="6666" max="6666" width="8.42578125" style="16" customWidth="1"/>
    <col min="6667" max="6670" width="8" style="16" customWidth="1"/>
    <col min="6671" max="6671" width="8.14062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8.5703125" style="16" customWidth="1"/>
    <col min="6915" max="6915" width="9.28515625" style="16" customWidth="1"/>
    <col min="6916" max="6916" width="6.7109375" style="16" bestFit="1" customWidth="1"/>
    <col min="6917" max="6917" width="8.5703125" style="16" bestFit="1" customWidth="1"/>
    <col min="6918" max="6918" width="9.5703125" style="16" customWidth="1"/>
    <col min="6919" max="6920" width="8.42578125" style="16" customWidth="1"/>
    <col min="6921" max="6921" width="7.140625" style="16" bestFit="1" customWidth="1"/>
    <col min="6922" max="6922" width="8.42578125" style="16" customWidth="1"/>
    <col min="6923" max="6926" width="8" style="16" customWidth="1"/>
    <col min="6927" max="6927" width="8.14062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8.5703125" style="16" customWidth="1"/>
    <col min="7171" max="7171" width="9.28515625" style="16" customWidth="1"/>
    <col min="7172" max="7172" width="6.7109375" style="16" bestFit="1" customWidth="1"/>
    <col min="7173" max="7173" width="8.5703125" style="16" bestFit="1" customWidth="1"/>
    <col min="7174" max="7174" width="9.5703125" style="16" customWidth="1"/>
    <col min="7175" max="7176" width="8.42578125" style="16" customWidth="1"/>
    <col min="7177" max="7177" width="7.140625" style="16" bestFit="1" customWidth="1"/>
    <col min="7178" max="7178" width="8.42578125" style="16" customWidth="1"/>
    <col min="7179" max="7182" width="8" style="16" customWidth="1"/>
    <col min="7183" max="7183" width="8.14062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8.5703125" style="16" customWidth="1"/>
    <col min="7427" max="7427" width="9.28515625" style="16" customWidth="1"/>
    <col min="7428" max="7428" width="6.7109375" style="16" bestFit="1" customWidth="1"/>
    <col min="7429" max="7429" width="8.5703125" style="16" bestFit="1" customWidth="1"/>
    <col min="7430" max="7430" width="9.5703125" style="16" customWidth="1"/>
    <col min="7431" max="7432" width="8.42578125" style="16" customWidth="1"/>
    <col min="7433" max="7433" width="7.140625" style="16" bestFit="1" customWidth="1"/>
    <col min="7434" max="7434" width="8.42578125" style="16" customWidth="1"/>
    <col min="7435" max="7438" width="8" style="16" customWidth="1"/>
    <col min="7439" max="7439" width="8.14062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8.5703125" style="16" customWidth="1"/>
    <col min="7683" max="7683" width="9.28515625" style="16" customWidth="1"/>
    <col min="7684" max="7684" width="6.7109375" style="16" bestFit="1" customWidth="1"/>
    <col min="7685" max="7685" width="8.5703125" style="16" bestFit="1" customWidth="1"/>
    <col min="7686" max="7686" width="9.5703125" style="16" customWidth="1"/>
    <col min="7687" max="7688" width="8.42578125" style="16" customWidth="1"/>
    <col min="7689" max="7689" width="7.140625" style="16" bestFit="1" customWidth="1"/>
    <col min="7690" max="7690" width="8.42578125" style="16" customWidth="1"/>
    <col min="7691" max="7694" width="8" style="16" customWidth="1"/>
    <col min="7695" max="7695" width="8.14062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8.5703125" style="16" customWidth="1"/>
    <col min="7939" max="7939" width="9.28515625" style="16" customWidth="1"/>
    <col min="7940" max="7940" width="6.7109375" style="16" bestFit="1" customWidth="1"/>
    <col min="7941" max="7941" width="8.5703125" style="16" bestFit="1" customWidth="1"/>
    <col min="7942" max="7942" width="9.5703125" style="16" customWidth="1"/>
    <col min="7943" max="7944" width="8.42578125" style="16" customWidth="1"/>
    <col min="7945" max="7945" width="7.140625" style="16" bestFit="1" customWidth="1"/>
    <col min="7946" max="7946" width="8.42578125" style="16" customWidth="1"/>
    <col min="7947" max="7950" width="8" style="16" customWidth="1"/>
    <col min="7951" max="7951" width="8.14062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8.5703125" style="16" customWidth="1"/>
    <col min="8195" max="8195" width="9.28515625" style="16" customWidth="1"/>
    <col min="8196" max="8196" width="6.7109375" style="16" bestFit="1" customWidth="1"/>
    <col min="8197" max="8197" width="8.5703125" style="16" bestFit="1" customWidth="1"/>
    <col min="8198" max="8198" width="9.5703125" style="16" customWidth="1"/>
    <col min="8199" max="8200" width="8.42578125" style="16" customWidth="1"/>
    <col min="8201" max="8201" width="7.140625" style="16" bestFit="1" customWidth="1"/>
    <col min="8202" max="8202" width="8.42578125" style="16" customWidth="1"/>
    <col min="8203" max="8206" width="8" style="16" customWidth="1"/>
    <col min="8207" max="8207" width="8.14062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8.5703125" style="16" customWidth="1"/>
    <col min="8451" max="8451" width="9.28515625" style="16" customWidth="1"/>
    <col min="8452" max="8452" width="6.7109375" style="16" bestFit="1" customWidth="1"/>
    <col min="8453" max="8453" width="8.5703125" style="16" bestFit="1" customWidth="1"/>
    <col min="8454" max="8454" width="9.5703125" style="16" customWidth="1"/>
    <col min="8455" max="8456" width="8.42578125" style="16" customWidth="1"/>
    <col min="8457" max="8457" width="7.140625" style="16" bestFit="1" customWidth="1"/>
    <col min="8458" max="8458" width="8.42578125" style="16" customWidth="1"/>
    <col min="8459" max="8462" width="8" style="16" customWidth="1"/>
    <col min="8463" max="8463" width="8.14062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8.5703125" style="16" customWidth="1"/>
    <col min="8707" max="8707" width="9.28515625" style="16" customWidth="1"/>
    <col min="8708" max="8708" width="6.7109375" style="16" bestFit="1" customWidth="1"/>
    <col min="8709" max="8709" width="8.5703125" style="16" bestFit="1" customWidth="1"/>
    <col min="8710" max="8710" width="9.5703125" style="16" customWidth="1"/>
    <col min="8711" max="8712" width="8.42578125" style="16" customWidth="1"/>
    <col min="8713" max="8713" width="7.140625" style="16" bestFit="1" customWidth="1"/>
    <col min="8714" max="8714" width="8.42578125" style="16" customWidth="1"/>
    <col min="8715" max="8718" width="8" style="16" customWidth="1"/>
    <col min="8719" max="8719" width="8.14062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8.5703125" style="16" customWidth="1"/>
    <col min="8963" max="8963" width="9.28515625" style="16" customWidth="1"/>
    <col min="8964" max="8964" width="6.7109375" style="16" bestFit="1" customWidth="1"/>
    <col min="8965" max="8965" width="8.5703125" style="16" bestFit="1" customWidth="1"/>
    <col min="8966" max="8966" width="9.5703125" style="16" customWidth="1"/>
    <col min="8967" max="8968" width="8.42578125" style="16" customWidth="1"/>
    <col min="8969" max="8969" width="7.140625" style="16" bestFit="1" customWidth="1"/>
    <col min="8970" max="8970" width="8.42578125" style="16" customWidth="1"/>
    <col min="8971" max="8974" width="8" style="16" customWidth="1"/>
    <col min="8975" max="8975" width="8.14062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8.5703125" style="16" customWidth="1"/>
    <col min="9219" max="9219" width="9.28515625" style="16" customWidth="1"/>
    <col min="9220" max="9220" width="6.7109375" style="16" bestFit="1" customWidth="1"/>
    <col min="9221" max="9221" width="8.5703125" style="16" bestFit="1" customWidth="1"/>
    <col min="9222" max="9222" width="9.5703125" style="16" customWidth="1"/>
    <col min="9223" max="9224" width="8.42578125" style="16" customWidth="1"/>
    <col min="9225" max="9225" width="7.140625" style="16" bestFit="1" customWidth="1"/>
    <col min="9226" max="9226" width="8.42578125" style="16" customWidth="1"/>
    <col min="9227" max="9230" width="8" style="16" customWidth="1"/>
    <col min="9231" max="9231" width="8.14062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8.5703125" style="16" customWidth="1"/>
    <col min="9475" max="9475" width="9.28515625" style="16" customWidth="1"/>
    <col min="9476" max="9476" width="6.7109375" style="16" bestFit="1" customWidth="1"/>
    <col min="9477" max="9477" width="8.5703125" style="16" bestFit="1" customWidth="1"/>
    <col min="9478" max="9478" width="9.5703125" style="16" customWidth="1"/>
    <col min="9479" max="9480" width="8.42578125" style="16" customWidth="1"/>
    <col min="9481" max="9481" width="7.140625" style="16" bestFit="1" customWidth="1"/>
    <col min="9482" max="9482" width="8.42578125" style="16" customWidth="1"/>
    <col min="9483" max="9486" width="8" style="16" customWidth="1"/>
    <col min="9487" max="9487" width="8.14062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8.5703125" style="16" customWidth="1"/>
    <col min="9731" max="9731" width="9.28515625" style="16" customWidth="1"/>
    <col min="9732" max="9732" width="6.7109375" style="16" bestFit="1" customWidth="1"/>
    <col min="9733" max="9733" width="8.5703125" style="16" bestFit="1" customWidth="1"/>
    <col min="9734" max="9734" width="9.5703125" style="16" customWidth="1"/>
    <col min="9735" max="9736" width="8.42578125" style="16" customWidth="1"/>
    <col min="9737" max="9737" width="7.140625" style="16" bestFit="1" customWidth="1"/>
    <col min="9738" max="9738" width="8.42578125" style="16" customWidth="1"/>
    <col min="9739" max="9742" width="8" style="16" customWidth="1"/>
    <col min="9743" max="9743" width="8.14062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8.5703125" style="16" customWidth="1"/>
    <col min="9987" max="9987" width="9.28515625" style="16" customWidth="1"/>
    <col min="9988" max="9988" width="6.7109375" style="16" bestFit="1" customWidth="1"/>
    <col min="9989" max="9989" width="8.5703125" style="16" bestFit="1" customWidth="1"/>
    <col min="9990" max="9990" width="9.5703125" style="16" customWidth="1"/>
    <col min="9991" max="9992" width="8.42578125" style="16" customWidth="1"/>
    <col min="9993" max="9993" width="7.140625" style="16" bestFit="1" customWidth="1"/>
    <col min="9994" max="9994" width="8.42578125" style="16" customWidth="1"/>
    <col min="9995" max="9998" width="8" style="16" customWidth="1"/>
    <col min="9999" max="9999" width="8.14062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8.5703125" style="16" customWidth="1"/>
    <col min="10243" max="10243" width="9.28515625" style="16" customWidth="1"/>
    <col min="10244" max="10244" width="6.7109375" style="16" bestFit="1" customWidth="1"/>
    <col min="10245" max="10245" width="8.5703125" style="16" bestFit="1" customWidth="1"/>
    <col min="10246" max="10246" width="9.5703125" style="16" customWidth="1"/>
    <col min="10247" max="10248" width="8.42578125" style="16" customWidth="1"/>
    <col min="10249" max="10249" width="7.140625" style="16" bestFit="1" customWidth="1"/>
    <col min="10250" max="10250" width="8.42578125" style="16" customWidth="1"/>
    <col min="10251" max="10254" width="8" style="16" customWidth="1"/>
    <col min="10255" max="10255" width="8.14062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8.5703125" style="16" customWidth="1"/>
    <col min="10499" max="10499" width="9.28515625" style="16" customWidth="1"/>
    <col min="10500" max="10500" width="6.7109375" style="16" bestFit="1" customWidth="1"/>
    <col min="10501" max="10501" width="8.5703125" style="16" bestFit="1" customWidth="1"/>
    <col min="10502" max="10502" width="9.5703125" style="16" customWidth="1"/>
    <col min="10503" max="10504" width="8.42578125" style="16" customWidth="1"/>
    <col min="10505" max="10505" width="7.140625" style="16" bestFit="1" customWidth="1"/>
    <col min="10506" max="10506" width="8.42578125" style="16" customWidth="1"/>
    <col min="10507" max="10510" width="8" style="16" customWidth="1"/>
    <col min="10511" max="10511" width="8.14062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8.5703125" style="16" customWidth="1"/>
    <col min="10755" max="10755" width="9.28515625" style="16" customWidth="1"/>
    <col min="10756" max="10756" width="6.7109375" style="16" bestFit="1" customWidth="1"/>
    <col min="10757" max="10757" width="8.5703125" style="16" bestFit="1" customWidth="1"/>
    <col min="10758" max="10758" width="9.5703125" style="16" customWidth="1"/>
    <col min="10759" max="10760" width="8.42578125" style="16" customWidth="1"/>
    <col min="10761" max="10761" width="7.140625" style="16" bestFit="1" customWidth="1"/>
    <col min="10762" max="10762" width="8.42578125" style="16" customWidth="1"/>
    <col min="10763" max="10766" width="8" style="16" customWidth="1"/>
    <col min="10767" max="10767" width="8.14062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8.5703125" style="16" customWidth="1"/>
    <col min="11011" max="11011" width="9.28515625" style="16" customWidth="1"/>
    <col min="11012" max="11012" width="6.7109375" style="16" bestFit="1" customWidth="1"/>
    <col min="11013" max="11013" width="8.5703125" style="16" bestFit="1" customWidth="1"/>
    <col min="11014" max="11014" width="9.5703125" style="16" customWidth="1"/>
    <col min="11015" max="11016" width="8.42578125" style="16" customWidth="1"/>
    <col min="11017" max="11017" width="7.140625" style="16" bestFit="1" customWidth="1"/>
    <col min="11018" max="11018" width="8.42578125" style="16" customWidth="1"/>
    <col min="11019" max="11022" width="8" style="16" customWidth="1"/>
    <col min="11023" max="11023" width="8.14062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8.5703125" style="16" customWidth="1"/>
    <col min="11267" max="11267" width="9.28515625" style="16" customWidth="1"/>
    <col min="11268" max="11268" width="6.7109375" style="16" bestFit="1" customWidth="1"/>
    <col min="11269" max="11269" width="8.5703125" style="16" bestFit="1" customWidth="1"/>
    <col min="11270" max="11270" width="9.5703125" style="16" customWidth="1"/>
    <col min="11271" max="11272" width="8.42578125" style="16" customWidth="1"/>
    <col min="11273" max="11273" width="7.140625" style="16" bestFit="1" customWidth="1"/>
    <col min="11274" max="11274" width="8.42578125" style="16" customWidth="1"/>
    <col min="11275" max="11278" width="8" style="16" customWidth="1"/>
    <col min="11279" max="11279" width="8.14062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8.5703125" style="16" customWidth="1"/>
    <col min="11523" max="11523" width="9.28515625" style="16" customWidth="1"/>
    <col min="11524" max="11524" width="6.7109375" style="16" bestFit="1" customWidth="1"/>
    <col min="11525" max="11525" width="8.5703125" style="16" bestFit="1" customWidth="1"/>
    <col min="11526" max="11526" width="9.5703125" style="16" customWidth="1"/>
    <col min="11527" max="11528" width="8.42578125" style="16" customWidth="1"/>
    <col min="11529" max="11529" width="7.140625" style="16" bestFit="1" customWidth="1"/>
    <col min="11530" max="11530" width="8.42578125" style="16" customWidth="1"/>
    <col min="11531" max="11534" width="8" style="16" customWidth="1"/>
    <col min="11535" max="11535" width="8.14062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8.5703125" style="16" customWidth="1"/>
    <col min="11779" max="11779" width="9.28515625" style="16" customWidth="1"/>
    <col min="11780" max="11780" width="6.7109375" style="16" bestFit="1" customWidth="1"/>
    <col min="11781" max="11781" width="8.5703125" style="16" bestFit="1" customWidth="1"/>
    <col min="11782" max="11782" width="9.5703125" style="16" customWidth="1"/>
    <col min="11783" max="11784" width="8.42578125" style="16" customWidth="1"/>
    <col min="11785" max="11785" width="7.140625" style="16" bestFit="1" customWidth="1"/>
    <col min="11786" max="11786" width="8.42578125" style="16" customWidth="1"/>
    <col min="11787" max="11790" width="8" style="16" customWidth="1"/>
    <col min="11791" max="11791" width="8.14062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8.5703125" style="16" customWidth="1"/>
    <col min="12035" max="12035" width="9.28515625" style="16" customWidth="1"/>
    <col min="12036" max="12036" width="6.7109375" style="16" bestFit="1" customWidth="1"/>
    <col min="12037" max="12037" width="8.5703125" style="16" bestFit="1" customWidth="1"/>
    <col min="12038" max="12038" width="9.5703125" style="16" customWidth="1"/>
    <col min="12039" max="12040" width="8.42578125" style="16" customWidth="1"/>
    <col min="12041" max="12041" width="7.140625" style="16" bestFit="1" customWidth="1"/>
    <col min="12042" max="12042" width="8.42578125" style="16" customWidth="1"/>
    <col min="12043" max="12046" width="8" style="16" customWidth="1"/>
    <col min="12047" max="12047" width="8.14062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8.5703125" style="16" customWidth="1"/>
    <col min="12291" max="12291" width="9.28515625" style="16" customWidth="1"/>
    <col min="12292" max="12292" width="6.7109375" style="16" bestFit="1" customWidth="1"/>
    <col min="12293" max="12293" width="8.5703125" style="16" bestFit="1" customWidth="1"/>
    <col min="12294" max="12294" width="9.5703125" style="16" customWidth="1"/>
    <col min="12295" max="12296" width="8.42578125" style="16" customWidth="1"/>
    <col min="12297" max="12297" width="7.140625" style="16" bestFit="1" customWidth="1"/>
    <col min="12298" max="12298" width="8.42578125" style="16" customWidth="1"/>
    <col min="12299" max="12302" width="8" style="16" customWidth="1"/>
    <col min="12303" max="12303" width="8.14062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8.5703125" style="16" customWidth="1"/>
    <col min="12547" max="12547" width="9.28515625" style="16" customWidth="1"/>
    <col min="12548" max="12548" width="6.7109375" style="16" bestFit="1" customWidth="1"/>
    <col min="12549" max="12549" width="8.5703125" style="16" bestFit="1" customWidth="1"/>
    <col min="12550" max="12550" width="9.5703125" style="16" customWidth="1"/>
    <col min="12551" max="12552" width="8.42578125" style="16" customWidth="1"/>
    <col min="12553" max="12553" width="7.140625" style="16" bestFit="1" customWidth="1"/>
    <col min="12554" max="12554" width="8.42578125" style="16" customWidth="1"/>
    <col min="12555" max="12558" width="8" style="16" customWidth="1"/>
    <col min="12559" max="12559" width="8.14062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8.5703125" style="16" customWidth="1"/>
    <col min="12803" max="12803" width="9.28515625" style="16" customWidth="1"/>
    <col min="12804" max="12804" width="6.7109375" style="16" bestFit="1" customWidth="1"/>
    <col min="12805" max="12805" width="8.5703125" style="16" bestFit="1" customWidth="1"/>
    <col min="12806" max="12806" width="9.5703125" style="16" customWidth="1"/>
    <col min="12807" max="12808" width="8.42578125" style="16" customWidth="1"/>
    <col min="12809" max="12809" width="7.140625" style="16" bestFit="1" customWidth="1"/>
    <col min="12810" max="12810" width="8.42578125" style="16" customWidth="1"/>
    <col min="12811" max="12814" width="8" style="16" customWidth="1"/>
    <col min="12815" max="12815" width="8.14062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8.5703125" style="16" customWidth="1"/>
    <col min="13059" max="13059" width="9.28515625" style="16" customWidth="1"/>
    <col min="13060" max="13060" width="6.7109375" style="16" bestFit="1" customWidth="1"/>
    <col min="13061" max="13061" width="8.5703125" style="16" bestFit="1" customWidth="1"/>
    <col min="13062" max="13062" width="9.5703125" style="16" customWidth="1"/>
    <col min="13063" max="13064" width="8.42578125" style="16" customWidth="1"/>
    <col min="13065" max="13065" width="7.140625" style="16" bestFit="1" customWidth="1"/>
    <col min="13066" max="13066" width="8.42578125" style="16" customWidth="1"/>
    <col min="13067" max="13070" width="8" style="16" customWidth="1"/>
    <col min="13071" max="13071" width="8.14062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8.5703125" style="16" customWidth="1"/>
    <col min="13315" max="13315" width="9.28515625" style="16" customWidth="1"/>
    <col min="13316" max="13316" width="6.7109375" style="16" bestFit="1" customWidth="1"/>
    <col min="13317" max="13317" width="8.5703125" style="16" bestFit="1" customWidth="1"/>
    <col min="13318" max="13318" width="9.5703125" style="16" customWidth="1"/>
    <col min="13319" max="13320" width="8.42578125" style="16" customWidth="1"/>
    <col min="13321" max="13321" width="7.140625" style="16" bestFit="1" customWidth="1"/>
    <col min="13322" max="13322" width="8.42578125" style="16" customWidth="1"/>
    <col min="13323" max="13326" width="8" style="16" customWidth="1"/>
    <col min="13327" max="13327" width="8.14062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8.5703125" style="16" customWidth="1"/>
    <col min="13571" max="13571" width="9.28515625" style="16" customWidth="1"/>
    <col min="13572" max="13572" width="6.7109375" style="16" bestFit="1" customWidth="1"/>
    <col min="13573" max="13573" width="8.5703125" style="16" bestFit="1" customWidth="1"/>
    <col min="13574" max="13574" width="9.5703125" style="16" customWidth="1"/>
    <col min="13575" max="13576" width="8.42578125" style="16" customWidth="1"/>
    <col min="13577" max="13577" width="7.140625" style="16" bestFit="1" customWidth="1"/>
    <col min="13578" max="13578" width="8.42578125" style="16" customWidth="1"/>
    <col min="13579" max="13582" width="8" style="16" customWidth="1"/>
    <col min="13583" max="13583" width="8.14062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8.5703125" style="16" customWidth="1"/>
    <col min="13827" max="13827" width="9.28515625" style="16" customWidth="1"/>
    <col min="13828" max="13828" width="6.7109375" style="16" bestFit="1" customWidth="1"/>
    <col min="13829" max="13829" width="8.5703125" style="16" bestFit="1" customWidth="1"/>
    <col min="13830" max="13830" width="9.5703125" style="16" customWidth="1"/>
    <col min="13831" max="13832" width="8.42578125" style="16" customWidth="1"/>
    <col min="13833" max="13833" width="7.140625" style="16" bestFit="1" customWidth="1"/>
    <col min="13834" max="13834" width="8.42578125" style="16" customWidth="1"/>
    <col min="13835" max="13838" width="8" style="16" customWidth="1"/>
    <col min="13839" max="13839" width="8.14062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8.5703125" style="16" customWidth="1"/>
    <col min="14083" max="14083" width="9.28515625" style="16" customWidth="1"/>
    <col min="14084" max="14084" width="6.7109375" style="16" bestFit="1" customWidth="1"/>
    <col min="14085" max="14085" width="8.5703125" style="16" bestFit="1" customWidth="1"/>
    <col min="14086" max="14086" width="9.5703125" style="16" customWidth="1"/>
    <col min="14087" max="14088" width="8.42578125" style="16" customWidth="1"/>
    <col min="14089" max="14089" width="7.140625" style="16" bestFit="1" customWidth="1"/>
    <col min="14090" max="14090" width="8.42578125" style="16" customWidth="1"/>
    <col min="14091" max="14094" width="8" style="16" customWidth="1"/>
    <col min="14095" max="14095" width="8.14062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8.5703125" style="16" customWidth="1"/>
    <col min="14339" max="14339" width="9.28515625" style="16" customWidth="1"/>
    <col min="14340" max="14340" width="6.7109375" style="16" bestFit="1" customWidth="1"/>
    <col min="14341" max="14341" width="8.5703125" style="16" bestFit="1" customWidth="1"/>
    <col min="14342" max="14342" width="9.5703125" style="16" customWidth="1"/>
    <col min="14343" max="14344" width="8.42578125" style="16" customWidth="1"/>
    <col min="14345" max="14345" width="7.140625" style="16" bestFit="1" customWidth="1"/>
    <col min="14346" max="14346" width="8.42578125" style="16" customWidth="1"/>
    <col min="14347" max="14350" width="8" style="16" customWidth="1"/>
    <col min="14351" max="14351" width="8.14062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8.5703125" style="16" customWidth="1"/>
    <col min="14595" max="14595" width="9.28515625" style="16" customWidth="1"/>
    <col min="14596" max="14596" width="6.7109375" style="16" bestFit="1" customWidth="1"/>
    <col min="14597" max="14597" width="8.5703125" style="16" bestFit="1" customWidth="1"/>
    <col min="14598" max="14598" width="9.5703125" style="16" customWidth="1"/>
    <col min="14599" max="14600" width="8.42578125" style="16" customWidth="1"/>
    <col min="14601" max="14601" width="7.140625" style="16" bestFit="1" customWidth="1"/>
    <col min="14602" max="14602" width="8.42578125" style="16" customWidth="1"/>
    <col min="14603" max="14606" width="8" style="16" customWidth="1"/>
    <col min="14607" max="14607" width="8.14062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8.5703125" style="16" customWidth="1"/>
    <col min="14851" max="14851" width="9.28515625" style="16" customWidth="1"/>
    <col min="14852" max="14852" width="6.7109375" style="16" bestFit="1" customWidth="1"/>
    <col min="14853" max="14853" width="8.5703125" style="16" bestFit="1" customWidth="1"/>
    <col min="14854" max="14854" width="9.5703125" style="16" customWidth="1"/>
    <col min="14855" max="14856" width="8.42578125" style="16" customWidth="1"/>
    <col min="14857" max="14857" width="7.140625" style="16" bestFit="1" customWidth="1"/>
    <col min="14858" max="14858" width="8.42578125" style="16" customWidth="1"/>
    <col min="14859" max="14862" width="8" style="16" customWidth="1"/>
    <col min="14863" max="14863" width="8.14062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8.5703125" style="16" customWidth="1"/>
    <col min="15107" max="15107" width="9.28515625" style="16" customWidth="1"/>
    <col min="15108" max="15108" width="6.7109375" style="16" bestFit="1" customWidth="1"/>
    <col min="15109" max="15109" width="8.5703125" style="16" bestFit="1" customWidth="1"/>
    <col min="15110" max="15110" width="9.5703125" style="16" customWidth="1"/>
    <col min="15111" max="15112" width="8.42578125" style="16" customWidth="1"/>
    <col min="15113" max="15113" width="7.140625" style="16" bestFit="1" customWidth="1"/>
    <col min="15114" max="15114" width="8.42578125" style="16" customWidth="1"/>
    <col min="15115" max="15118" width="8" style="16" customWidth="1"/>
    <col min="15119" max="15119" width="8.14062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8.5703125" style="16" customWidth="1"/>
    <col min="15363" max="15363" width="9.28515625" style="16" customWidth="1"/>
    <col min="15364" max="15364" width="6.7109375" style="16" bestFit="1" customWidth="1"/>
    <col min="15365" max="15365" width="8.5703125" style="16" bestFit="1" customWidth="1"/>
    <col min="15366" max="15366" width="9.5703125" style="16" customWidth="1"/>
    <col min="15367" max="15368" width="8.42578125" style="16" customWidth="1"/>
    <col min="15369" max="15369" width="7.140625" style="16" bestFit="1" customWidth="1"/>
    <col min="15370" max="15370" width="8.42578125" style="16" customWidth="1"/>
    <col min="15371" max="15374" width="8" style="16" customWidth="1"/>
    <col min="15375" max="15375" width="8.14062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8.5703125" style="16" customWidth="1"/>
    <col min="15619" max="15619" width="9.28515625" style="16" customWidth="1"/>
    <col min="15620" max="15620" width="6.7109375" style="16" bestFit="1" customWidth="1"/>
    <col min="15621" max="15621" width="8.5703125" style="16" bestFit="1" customWidth="1"/>
    <col min="15622" max="15622" width="9.5703125" style="16" customWidth="1"/>
    <col min="15623" max="15624" width="8.42578125" style="16" customWidth="1"/>
    <col min="15625" max="15625" width="7.140625" style="16" bestFit="1" customWidth="1"/>
    <col min="15626" max="15626" width="8.42578125" style="16" customWidth="1"/>
    <col min="15627" max="15630" width="8" style="16" customWidth="1"/>
    <col min="15631" max="15631" width="8.14062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8.5703125" style="16" customWidth="1"/>
    <col min="15875" max="15875" width="9.28515625" style="16" customWidth="1"/>
    <col min="15876" max="15876" width="6.7109375" style="16" bestFit="1" customWidth="1"/>
    <col min="15877" max="15877" width="8.5703125" style="16" bestFit="1" customWidth="1"/>
    <col min="15878" max="15878" width="9.5703125" style="16" customWidth="1"/>
    <col min="15879" max="15880" width="8.42578125" style="16" customWidth="1"/>
    <col min="15881" max="15881" width="7.140625" style="16" bestFit="1" customWidth="1"/>
    <col min="15882" max="15882" width="8.42578125" style="16" customWidth="1"/>
    <col min="15883" max="15886" width="8" style="16" customWidth="1"/>
    <col min="15887" max="15887" width="8.14062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8.5703125" style="16" customWidth="1"/>
    <col min="16131" max="16131" width="9.28515625" style="16" customWidth="1"/>
    <col min="16132" max="16132" width="6.7109375" style="16" bestFit="1" customWidth="1"/>
    <col min="16133" max="16133" width="8.5703125" style="16" bestFit="1" customWidth="1"/>
    <col min="16134" max="16134" width="9.5703125" style="16" customWidth="1"/>
    <col min="16135" max="16136" width="8.42578125" style="16" customWidth="1"/>
    <col min="16137" max="16137" width="7.140625" style="16" bestFit="1" customWidth="1"/>
    <col min="16138" max="16138" width="8.42578125" style="16" customWidth="1"/>
    <col min="16139" max="16142" width="8" style="16" customWidth="1"/>
    <col min="16143" max="16143" width="8.14062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67" t="s">
        <v>449</v>
      </c>
      <c r="B1" s="868"/>
      <c r="C1" s="868"/>
      <c r="D1" s="869"/>
      <c r="E1" s="868"/>
      <c r="F1" s="868"/>
      <c r="G1" s="867" t="s">
        <v>102</v>
      </c>
      <c r="H1" s="869"/>
      <c r="I1" s="869" t="s">
        <v>934</v>
      </c>
      <c r="J1" s="868"/>
      <c r="K1" s="868"/>
      <c r="L1" s="870"/>
      <c r="M1" s="870"/>
      <c r="N1" s="870"/>
      <c r="O1" s="870"/>
    </row>
    <row r="2" spans="1:15" s="1" customFormat="1" x14ac:dyDescent="0.2">
      <c r="A2" s="867" t="s">
        <v>103</v>
      </c>
      <c r="B2" s="868"/>
      <c r="C2" s="868"/>
      <c r="D2" s="869"/>
      <c r="E2" s="868"/>
      <c r="F2" s="868"/>
      <c r="G2" s="867" t="s">
        <v>104</v>
      </c>
      <c r="H2" s="869"/>
      <c r="I2" s="869" t="s">
        <v>105</v>
      </c>
      <c r="J2" s="868"/>
      <c r="K2" s="868"/>
      <c r="L2" s="870"/>
      <c r="M2" s="870"/>
      <c r="N2" s="870"/>
      <c r="O2" s="870"/>
    </row>
    <row r="3" spans="1:15" s="1" customFormat="1" x14ac:dyDescent="0.2">
      <c r="A3" s="867" t="s">
        <v>106</v>
      </c>
      <c r="B3" s="868"/>
      <c r="C3" s="868"/>
      <c r="D3" s="881">
        <v>24909</v>
      </c>
      <c r="E3" s="882"/>
      <c r="F3" s="882"/>
      <c r="G3" s="867" t="s">
        <v>107</v>
      </c>
      <c r="H3" s="869"/>
      <c r="I3" s="869" t="s">
        <v>108</v>
      </c>
      <c r="J3" s="868"/>
      <c r="K3" s="868"/>
      <c r="L3" s="870"/>
      <c r="M3" s="870"/>
      <c r="N3" s="870"/>
      <c r="O3" s="870"/>
    </row>
    <row r="4" spans="1:15" s="1" customFormat="1" x14ac:dyDescent="0.2">
      <c r="A4" s="867" t="s">
        <v>109</v>
      </c>
      <c r="B4" s="868"/>
      <c r="C4" s="868"/>
      <c r="D4" s="883"/>
      <c r="E4" s="868"/>
      <c r="F4" s="868"/>
      <c r="G4" s="867" t="s">
        <v>110</v>
      </c>
      <c r="H4" s="869"/>
      <c r="I4" s="869" t="s">
        <v>635</v>
      </c>
      <c r="J4" s="868"/>
      <c r="K4" s="868"/>
      <c r="L4" s="870"/>
      <c r="M4" s="870"/>
      <c r="N4" s="870"/>
      <c r="O4" s="870"/>
    </row>
    <row r="5" spans="1:15" s="1" customFormat="1" x14ac:dyDescent="0.2">
      <c r="A5" s="867" t="s">
        <v>443</v>
      </c>
      <c r="B5" s="868"/>
      <c r="C5" s="868"/>
      <c r="D5" s="883" t="s">
        <v>1076</v>
      </c>
      <c r="E5" s="868"/>
      <c r="F5" s="868"/>
      <c r="G5" s="867"/>
      <c r="H5" s="868"/>
      <c r="I5" s="869" t="s">
        <v>113</v>
      </c>
      <c r="J5" s="868"/>
      <c r="K5" s="868"/>
      <c r="L5" s="870"/>
      <c r="M5" s="870"/>
      <c r="N5" s="870"/>
      <c r="O5" s="870"/>
    </row>
    <row r="6" spans="1:15" s="1" customFormat="1" x14ac:dyDescent="0.2">
      <c r="A6" s="871" t="s">
        <v>114</v>
      </c>
      <c r="B6" s="872"/>
      <c r="C6" s="872"/>
      <c r="D6" s="868" t="s">
        <v>935</v>
      </c>
      <c r="E6" s="868"/>
      <c r="F6" s="868"/>
      <c r="G6" s="871" t="s">
        <v>115</v>
      </c>
      <c r="H6" s="871"/>
      <c r="I6" s="2" t="s">
        <v>116</v>
      </c>
      <c r="J6" s="888"/>
      <c r="K6" s="888"/>
      <c r="L6" s="888"/>
      <c r="M6" s="888"/>
      <c r="N6" s="888"/>
      <c r="O6" s="889"/>
    </row>
    <row r="7" spans="1:15" s="1" customFormat="1" ht="13.5" thickBot="1" x14ac:dyDescent="0.25">
      <c r="A7" s="3"/>
      <c r="B7" s="4"/>
      <c r="C7" s="5"/>
      <c r="D7" s="6"/>
      <c r="E7" s="6"/>
      <c r="F7" s="6"/>
      <c r="G7" s="6"/>
      <c r="H7" s="6"/>
      <c r="I7" s="6"/>
      <c r="J7" s="7"/>
      <c r="K7" s="8"/>
      <c r="L7" s="875" t="s">
        <v>223</v>
      </c>
      <c r="M7" s="875"/>
      <c r="N7" s="875"/>
      <c r="O7" s="875"/>
    </row>
    <row r="8" spans="1:15" s="11" customFormat="1" x14ac:dyDescent="0.2">
      <c r="A8" s="876" t="str">
        <f>I1</f>
        <v xml:space="preserve">Mr. S. B. Prasad </v>
      </c>
      <c r="B8" s="877"/>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85100</v>
      </c>
      <c r="D9" s="14">
        <v>85100</v>
      </c>
      <c r="E9" s="14">
        <v>85100</v>
      </c>
      <c r="F9" s="14">
        <v>85100</v>
      </c>
      <c r="G9" s="14">
        <v>87700</v>
      </c>
      <c r="H9" s="14">
        <v>87700</v>
      </c>
      <c r="I9" s="14">
        <v>87700</v>
      </c>
      <c r="J9" s="14">
        <v>87700</v>
      </c>
      <c r="K9" s="14">
        <v>87700</v>
      </c>
      <c r="L9" s="14">
        <v>87700</v>
      </c>
      <c r="M9" s="14">
        <v>87700</v>
      </c>
      <c r="N9" s="14">
        <v>87700</v>
      </c>
      <c r="O9" s="15">
        <f>SUM(C9:N9)</f>
        <v>1042000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4255</v>
      </c>
      <c r="D11" s="17">
        <v>5957</v>
      </c>
      <c r="E11" s="17">
        <v>5957</v>
      </c>
      <c r="F11" s="17">
        <v>5957</v>
      </c>
      <c r="G11" s="17">
        <v>6139</v>
      </c>
      <c r="H11" s="17">
        <v>6139</v>
      </c>
      <c r="I11" s="17">
        <v>6139</v>
      </c>
      <c r="J11" s="17">
        <v>7893</v>
      </c>
      <c r="K11" s="17">
        <v>7893</v>
      </c>
      <c r="L11" s="17">
        <v>7893</v>
      </c>
      <c r="M11" s="17">
        <v>7893</v>
      </c>
      <c r="N11" s="17">
        <v>7893</v>
      </c>
      <c r="O11" s="18">
        <f>SUM(C11:N11)</f>
        <v>80008</v>
      </c>
    </row>
    <row r="12" spans="1:15" ht="13.5" hidden="1" customHeight="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4.25" hidden="1" customHeight="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x14ac:dyDescent="0.2">
      <c r="A14" s="12"/>
      <c r="B14" s="13" t="s">
        <v>123</v>
      </c>
      <c r="C14" s="17">
        <v>7560</v>
      </c>
      <c r="D14" s="17">
        <v>7704</v>
      </c>
      <c r="E14" s="17">
        <v>7704</v>
      </c>
      <c r="F14" s="17">
        <v>7704</v>
      </c>
      <c r="G14" s="17">
        <v>7704</v>
      </c>
      <c r="H14" s="17">
        <v>7704</v>
      </c>
      <c r="I14" s="17">
        <v>7704</v>
      </c>
      <c r="J14" s="17">
        <v>7848</v>
      </c>
      <c r="K14" s="17">
        <v>7848</v>
      </c>
      <c r="L14" s="17">
        <v>7848</v>
      </c>
      <c r="M14" s="17">
        <v>7848</v>
      </c>
      <c r="N14" s="17">
        <v>7848</v>
      </c>
      <c r="O14" s="18">
        <f t="shared" si="0"/>
        <v>93024</v>
      </c>
    </row>
    <row r="15" spans="1:15" ht="15.75" customHeight="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hidden="1" customHeight="1"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row>
    <row r="17" spans="1:15" ht="15.75" hidden="1" customHeight="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20424</v>
      </c>
      <c r="D19" s="17">
        <v>20424</v>
      </c>
      <c r="E19" s="17">
        <v>20424</v>
      </c>
      <c r="F19" s="17">
        <v>20424</v>
      </c>
      <c r="G19" s="17">
        <v>21048</v>
      </c>
      <c r="H19" s="17">
        <v>21048</v>
      </c>
      <c r="I19" s="17">
        <v>21048</v>
      </c>
      <c r="J19" s="17">
        <v>21048</v>
      </c>
      <c r="K19" s="17">
        <v>21048</v>
      </c>
      <c r="L19" s="17">
        <v>21048</v>
      </c>
      <c r="M19" s="17">
        <v>21048</v>
      </c>
      <c r="N19" s="17">
        <v>21048</v>
      </c>
      <c r="O19" s="18">
        <f t="shared" si="0"/>
        <v>250080</v>
      </c>
    </row>
    <row r="20" spans="1:15" ht="15" customHeight="1" x14ac:dyDescent="0.2">
      <c r="A20" s="12"/>
      <c r="B20" s="13" t="s">
        <v>129</v>
      </c>
      <c r="C20" s="17">
        <v>0</v>
      </c>
      <c r="D20" s="17">
        <v>0</v>
      </c>
      <c r="E20" s="17">
        <v>0</v>
      </c>
      <c r="F20" s="17">
        <v>26250</v>
      </c>
      <c r="G20" s="17">
        <v>0</v>
      </c>
      <c r="H20" s="17">
        <v>0</v>
      </c>
      <c r="I20" s="17">
        <v>0</v>
      </c>
      <c r="J20" s="17">
        <v>0</v>
      </c>
      <c r="K20" s="17">
        <v>0</v>
      </c>
      <c r="L20" s="17">
        <v>0</v>
      </c>
      <c r="M20" s="17">
        <v>0</v>
      </c>
      <c r="N20" s="17">
        <v>0</v>
      </c>
      <c r="O20" s="18">
        <f t="shared" si="0"/>
        <v>26250</v>
      </c>
    </row>
    <row r="21" spans="1:15" ht="15" hidden="1" customHeight="1" x14ac:dyDescent="0.2">
      <c r="A21" s="878"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79"/>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5" ht="15" hidden="1" customHeight="1" x14ac:dyDescent="0.2">
      <c r="A23" s="879"/>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79"/>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79"/>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79"/>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79"/>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79"/>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79"/>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79"/>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79"/>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79"/>
      <c r="B32" s="21" t="s">
        <v>142</v>
      </c>
      <c r="C32" s="17">
        <v>0</v>
      </c>
      <c r="D32" s="17">
        <v>0</v>
      </c>
      <c r="E32" s="17">
        <v>0</v>
      </c>
      <c r="F32" s="17">
        <v>0</v>
      </c>
      <c r="G32" s="17">
        <v>0</v>
      </c>
      <c r="H32" s="17">
        <v>0</v>
      </c>
      <c r="I32" s="17">
        <v>0</v>
      </c>
      <c r="J32" s="17">
        <v>0</v>
      </c>
      <c r="K32" s="17">
        <v>0</v>
      </c>
      <c r="L32" s="17">
        <v>0</v>
      </c>
      <c r="M32" s="17">
        <v>0</v>
      </c>
      <c r="N32" s="17">
        <v>0</v>
      </c>
      <c r="O32" s="18">
        <f t="shared" si="0"/>
        <v>0</v>
      </c>
    </row>
    <row r="33" spans="1:17" ht="15" hidden="1" customHeight="1" x14ac:dyDescent="0.2">
      <c r="A33" s="880"/>
      <c r="B33" s="19" t="s">
        <v>226</v>
      </c>
      <c r="C33" s="17">
        <v>0</v>
      </c>
      <c r="D33" s="17">
        <v>0</v>
      </c>
      <c r="E33" s="17">
        <v>0</v>
      </c>
      <c r="F33" s="17">
        <v>0</v>
      </c>
      <c r="G33" s="17">
        <v>0</v>
      </c>
      <c r="H33" s="17">
        <v>0</v>
      </c>
      <c r="I33" s="17">
        <v>0</v>
      </c>
      <c r="J33" s="17">
        <v>0</v>
      </c>
      <c r="K33" s="17">
        <v>0</v>
      </c>
      <c r="L33" s="17">
        <v>0</v>
      </c>
      <c r="M33" s="17">
        <v>0</v>
      </c>
      <c r="N33" s="17">
        <v>0</v>
      </c>
      <c r="O33" s="18">
        <f t="shared" si="0"/>
        <v>0</v>
      </c>
    </row>
    <row r="34" spans="1:17" ht="15" customHeight="1" x14ac:dyDescent="0.2">
      <c r="A34" s="865" t="s">
        <v>144</v>
      </c>
      <c r="B34" s="866"/>
      <c r="C34" s="17">
        <v>0</v>
      </c>
      <c r="D34" s="17">
        <v>0</v>
      </c>
      <c r="E34" s="17">
        <v>0</v>
      </c>
      <c r="F34" s="17">
        <v>0</v>
      </c>
      <c r="G34" s="17">
        <v>0</v>
      </c>
      <c r="H34" s="17">
        <v>0</v>
      </c>
      <c r="I34" s="17">
        <v>0</v>
      </c>
      <c r="J34" s="17">
        <v>0</v>
      </c>
      <c r="K34" s="17">
        <v>0</v>
      </c>
      <c r="L34" s="17">
        <v>0</v>
      </c>
      <c r="M34" s="17">
        <v>0</v>
      </c>
      <c r="N34" s="17">
        <v>0</v>
      </c>
      <c r="O34" s="18">
        <f t="shared" si="0"/>
        <v>0</v>
      </c>
    </row>
    <row r="35" spans="1:17" ht="15" customHeight="1" x14ac:dyDescent="0.2">
      <c r="A35" s="865" t="s">
        <v>145</v>
      </c>
      <c r="B35" s="866"/>
      <c r="C35" s="17">
        <v>0</v>
      </c>
      <c r="D35" s="17">
        <v>432</v>
      </c>
      <c r="E35" s="17">
        <v>0</v>
      </c>
      <c r="F35" s="17">
        <v>0</v>
      </c>
      <c r="G35" s="17">
        <v>0</v>
      </c>
      <c r="H35" s="17">
        <v>0</v>
      </c>
      <c r="I35" s="17">
        <v>0</v>
      </c>
      <c r="J35" s="17">
        <v>432</v>
      </c>
      <c r="K35" s="17">
        <v>0</v>
      </c>
      <c r="L35" s="17">
        <v>0</v>
      </c>
      <c r="M35" s="17">
        <v>0</v>
      </c>
      <c r="N35" s="17">
        <v>0</v>
      </c>
      <c r="O35" s="18">
        <f t="shared" si="0"/>
        <v>864</v>
      </c>
    </row>
    <row r="36" spans="1:17" ht="15" customHeight="1" x14ac:dyDescent="0.2">
      <c r="A36" s="865" t="s">
        <v>146</v>
      </c>
      <c r="B36" s="866"/>
      <c r="C36" s="17">
        <v>0</v>
      </c>
      <c r="D36" s="17">
        <v>5106</v>
      </c>
      <c r="E36" s="17">
        <v>0</v>
      </c>
      <c r="F36" s="17">
        <v>0</v>
      </c>
      <c r="G36" s="17">
        <v>0</v>
      </c>
      <c r="H36" s="17">
        <v>0</v>
      </c>
      <c r="I36" s="17">
        <v>0</v>
      </c>
      <c r="J36" s="17">
        <v>5262</v>
      </c>
      <c r="K36" s="17">
        <v>0</v>
      </c>
      <c r="L36" s="17">
        <v>0</v>
      </c>
      <c r="M36" s="17">
        <v>0</v>
      </c>
      <c r="N36" s="17">
        <v>0</v>
      </c>
      <c r="O36" s="18">
        <f t="shared" si="0"/>
        <v>10368</v>
      </c>
    </row>
    <row r="37" spans="1:17" ht="15" customHeight="1" x14ac:dyDescent="0.2">
      <c r="A37" s="22"/>
      <c r="B37" s="23" t="s">
        <v>147</v>
      </c>
      <c r="C37" s="24">
        <f t="shared" ref="C37:N37" si="1">SUM(C9:C36)</f>
        <v>117339</v>
      </c>
      <c r="D37" s="24">
        <f t="shared" si="1"/>
        <v>124723</v>
      </c>
      <c r="E37" s="24">
        <f t="shared" si="1"/>
        <v>119185</v>
      </c>
      <c r="F37" s="24">
        <f t="shared" si="1"/>
        <v>145435</v>
      </c>
      <c r="G37" s="24">
        <f t="shared" si="1"/>
        <v>122591</v>
      </c>
      <c r="H37" s="24">
        <f t="shared" si="1"/>
        <v>122591</v>
      </c>
      <c r="I37" s="24">
        <f t="shared" si="1"/>
        <v>122591</v>
      </c>
      <c r="J37" s="24">
        <f t="shared" si="1"/>
        <v>137091</v>
      </c>
      <c r="K37" s="24">
        <f t="shared" si="1"/>
        <v>124489</v>
      </c>
      <c r="L37" s="24">
        <f t="shared" si="1"/>
        <v>124489</v>
      </c>
      <c r="M37" s="24">
        <f t="shared" si="1"/>
        <v>124489</v>
      </c>
      <c r="N37" s="24">
        <f t="shared" si="1"/>
        <v>124489</v>
      </c>
      <c r="O37" s="25">
        <f>SUM(C37:N37)</f>
        <v>1509502</v>
      </c>
    </row>
    <row r="38" spans="1:17" ht="15" customHeight="1" x14ac:dyDescent="0.25">
      <c r="A38" s="853" t="s">
        <v>148</v>
      </c>
      <c r="B38" s="27" t="s">
        <v>149</v>
      </c>
      <c r="C38" s="28">
        <v>8900</v>
      </c>
      <c r="D38" s="28">
        <v>9000</v>
      </c>
      <c r="E38" s="28">
        <v>9000</v>
      </c>
      <c r="F38" s="28">
        <v>9000</v>
      </c>
      <c r="G38" s="28">
        <v>9000</v>
      </c>
      <c r="H38" s="28">
        <v>13000</v>
      </c>
      <c r="I38" s="28">
        <v>13000</v>
      </c>
      <c r="J38" s="28">
        <v>13000</v>
      </c>
      <c r="K38" s="28">
        <v>7500</v>
      </c>
      <c r="L38" s="28">
        <v>7335</v>
      </c>
      <c r="M38" s="28">
        <v>7335</v>
      </c>
      <c r="N38">
        <v>8435</v>
      </c>
      <c r="O38" s="18">
        <f>SUM(C38:N38)</f>
        <v>114505</v>
      </c>
      <c r="P38" s="29"/>
      <c r="Q38" s="16">
        <f>+O18</f>
        <v>0</v>
      </c>
    </row>
    <row r="39" spans="1:17" ht="15" x14ac:dyDescent="0.2">
      <c r="A39" s="854"/>
      <c r="B39" s="27" t="s">
        <v>150</v>
      </c>
      <c r="C39" s="28">
        <v>0</v>
      </c>
      <c r="D39" s="28">
        <v>0</v>
      </c>
      <c r="E39" s="28">
        <v>0</v>
      </c>
      <c r="F39" s="28">
        <v>0</v>
      </c>
      <c r="G39" s="28">
        <v>0</v>
      </c>
      <c r="H39" s="28">
        <v>0</v>
      </c>
      <c r="I39" s="28">
        <v>0</v>
      </c>
      <c r="J39" s="28">
        <v>0</v>
      </c>
      <c r="K39" s="28">
        <v>0</v>
      </c>
      <c r="L39" s="28">
        <v>0</v>
      </c>
      <c r="M39" s="28">
        <v>0</v>
      </c>
      <c r="N39" s="28">
        <v>0</v>
      </c>
      <c r="O39" s="18">
        <f>SUM(C39:N39)</f>
        <v>0</v>
      </c>
      <c r="Q39" s="16">
        <f>+Q37+Q38</f>
        <v>0</v>
      </c>
    </row>
    <row r="40" spans="1:17" ht="15" x14ac:dyDescent="0.2">
      <c r="A40" s="854"/>
      <c r="B40" s="27" t="s">
        <v>151</v>
      </c>
      <c r="C40" s="28">
        <v>60</v>
      </c>
      <c r="D40" s="28">
        <v>60</v>
      </c>
      <c r="E40" s="28">
        <v>60</v>
      </c>
      <c r="F40" s="28">
        <v>60</v>
      </c>
      <c r="G40" s="28">
        <v>60</v>
      </c>
      <c r="H40" s="28">
        <v>60</v>
      </c>
      <c r="I40" s="28">
        <v>60</v>
      </c>
      <c r="J40" s="28">
        <v>60</v>
      </c>
      <c r="K40" s="28">
        <v>60</v>
      </c>
      <c r="L40" s="28">
        <v>60</v>
      </c>
      <c r="M40" s="28">
        <v>60</v>
      </c>
      <c r="N40" s="28">
        <v>60</v>
      </c>
      <c r="O40" s="18">
        <f t="shared" ref="O40:O50" si="2">SUM(C40:N40)</f>
        <v>720</v>
      </c>
    </row>
    <row r="41" spans="1:17" ht="15" x14ac:dyDescent="0.2">
      <c r="A41" s="854"/>
      <c r="B41" s="27" t="s">
        <v>152</v>
      </c>
      <c r="C41" s="28">
        <v>0</v>
      </c>
      <c r="D41" s="28">
        <v>0</v>
      </c>
      <c r="E41" s="28">
        <v>0</v>
      </c>
      <c r="F41" s="28">
        <v>0</v>
      </c>
      <c r="G41" s="28">
        <v>0</v>
      </c>
      <c r="H41" s="28">
        <v>0</v>
      </c>
      <c r="I41" s="28">
        <v>0</v>
      </c>
      <c r="J41" s="28">
        <v>0</v>
      </c>
      <c r="K41" s="28">
        <v>0</v>
      </c>
      <c r="L41" s="28">
        <v>0</v>
      </c>
      <c r="M41" s="28">
        <v>0</v>
      </c>
      <c r="N41" s="28">
        <v>0</v>
      </c>
      <c r="O41" s="18">
        <f t="shared" si="2"/>
        <v>0</v>
      </c>
    </row>
    <row r="42" spans="1:17" ht="15" x14ac:dyDescent="0.2">
      <c r="A42" s="854"/>
      <c r="B42" s="27" t="s">
        <v>153</v>
      </c>
      <c r="C42" s="28">
        <v>0</v>
      </c>
      <c r="D42" s="28">
        <v>0</v>
      </c>
      <c r="E42" s="28">
        <v>0</v>
      </c>
      <c r="F42" s="28">
        <v>0</v>
      </c>
      <c r="G42" s="28">
        <v>0</v>
      </c>
      <c r="H42" s="28">
        <v>0</v>
      </c>
      <c r="I42" s="28">
        <v>0</v>
      </c>
      <c r="J42" s="28">
        <v>0</v>
      </c>
      <c r="K42" s="28">
        <v>0</v>
      </c>
      <c r="L42" s="28">
        <v>0</v>
      </c>
      <c r="M42" s="28">
        <v>0</v>
      </c>
      <c r="N42" s="28">
        <v>0</v>
      </c>
      <c r="O42" s="18">
        <f t="shared" si="2"/>
        <v>0</v>
      </c>
    </row>
    <row r="43" spans="1:17" ht="15" x14ac:dyDescent="0.2">
      <c r="A43" s="854"/>
      <c r="B43" s="27" t="s">
        <v>154</v>
      </c>
      <c r="C43" s="28">
        <v>10000</v>
      </c>
      <c r="D43" s="28">
        <v>10000</v>
      </c>
      <c r="E43" s="28">
        <v>10000</v>
      </c>
      <c r="F43" s="28">
        <v>10000</v>
      </c>
      <c r="G43" s="28">
        <v>10000</v>
      </c>
      <c r="H43" s="28">
        <v>10000</v>
      </c>
      <c r="I43" s="28">
        <v>10000</v>
      </c>
      <c r="J43" s="28">
        <v>10000</v>
      </c>
      <c r="K43" s="28">
        <v>10000</v>
      </c>
      <c r="L43" s="28">
        <v>10000</v>
      </c>
      <c r="M43" s="28">
        <v>10000</v>
      </c>
      <c r="N43" s="28">
        <v>10000</v>
      </c>
      <c r="O43" s="18">
        <f t="shared" si="2"/>
        <v>120000</v>
      </c>
    </row>
    <row r="44" spans="1:17" ht="15" x14ac:dyDescent="0.2">
      <c r="A44" s="854"/>
      <c r="B44" s="27" t="s">
        <v>155</v>
      </c>
      <c r="C44" s="28">
        <v>200</v>
      </c>
      <c r="D44" s="28">
        <v>200</v>
      </c>
      <c r="E44" s="28">
        <v>200</v>
      </c>
      <c r="F44" s="28">
        <v>200</v>
      </c>
      <c r="G44" s="28">
        <v>200</v>
      </c>
      <c r="H44" s="28">
        <v>200</v>
      </c>
      <c r="I44" s="28">
        <v>200</v>
      </c>
      <c r="J44" s="28">
        <v>200</v>
      </c>
      <c r="K44" s="28">
        <v>200</v>
      </c>
      <c r="L44" s="28">
        <v>200</v>
      </c>
      <c r="M44" s="28">
        <v>200</v>
      </c>
      <c r="N44" s="28">
        <v>300</v>
      </c>
      <c r="O44" s="18">
        <f t="shared" si="2"/>
        <v>2500</v>
      </c>
    </row>
    <row r="45" spans="1:17" ht="15" x14ac:dyDescent="0.2">
      <c r="A45" s="854"/>
      <c r="B45" s="27" t="s">
        <v>156</v>
      </c>
      <c r="C45" s="28">
        <v>0</v>
      </c>
      <c r="D45" s="28">
        <v>0</v>
      </c>
      <c r="E45" s="28">
        <v>0</v>
      </c>
      <c r="F45" s="28">
        <v>0</v>
      </c>
      <c r="G45" s="28">
        <v>0</v>
      </c>
      <c r="H45" s="28">
        <v>0</v>
      </c>
      <c r="I45" s="28">
        <v>0</v>
      </c>
      <c r="J45" s="28">
        <v>0</v>
      </c>
      <c r="K45" s="28">
        <v>0</v>
      </c>
      <c r="L45" s="28">
        <v>0</v>
      </c>
      <c r="M45" s="28">
        <v>0</v>
      </c>
      <c r="N45" s="28">
        <v>0</v>
      </c>
      <c r="O45" s="18">
        <f t="shared" si="2"/>
        <v>0</v>
      </c>
    </row>
    <row r="46" spans="1:17" ht="15" x14ac:dyDescent="0.2">
      <c r="A46" s="854"/>
      <c r="B46" s="27" t="s">
        <v>157</v>
      </c>
      <c r="C46" s="28">
        <v>0</v>
      </c>
      <c r="D46" s="28">
        <v>0</v>
      </c>
      <c r="E46" s="28">
        <v>0</v>
      </c>
      <c r="F46" s="28">
        <v>0</v>
      </c>
      <c r="G46" s="28">
        <v>0</v>
      </c>
      <c r="H46" s="28">
        <v>0</v>
      </c>
      <c r="I46" s="28">
        <v>0</v>
      </c>
      <c r="J46" s="28">
        <v>0</v>
      </c>
      <c r="K46" s="28">
        <v>0</v>
      </c>
      <c r="L46" s="28">
        <v>0</v>
      </c>
      <c r="M46" s="28">
        <v>0</v>
      </c>
      <c r="N46" s="28">
        <v>0</v>
      </c>
      <c r="O46" s="18">
        <f t="shared" si="2"/>
        <v>0</v>
      </c>
    </row>
    <row r="47" spans="1:17" ht="28.5" customHeight="1" x14ac:dyDescent="0.2">
      <c r="A47" s="855"/>
      <c r="B47" s="30" t="s">
        <v>158</v>
      </c>
      <c r="C47" s="28">
        <v>0</v>
      </c>
      <c r="D47" s="28">
        <v>0</v>
      </c>
      <c r="E47" s="28">
        <v>0</v>
      </c>
      <c r="F47" s="28">
        <v>0</v>
      </c>
      <c r="G47" s="28">
        <v>0</v>
      </c>
      <c r="H47" s="28">
        <v>0</v>
      </c>
      <c r="I47" s="28">
        <v>0</v>
      </c>
      <c r="J47" s="28">
        <v>0</v>
      </c>
      <c r="K47" s="28">
        <v>0</v>
      </c>
      <c r="L47" s="28">
        <v>0</v>
      </c>
      <c r="M47" s="28">
        <v>0</v>
      </c>
      <c r="N47" s="28">
        <v>0</v>
      </c>
      <c r="O47" s="31">
        <f t="shared" si="2"/>
        <v>0</v>
      </c>
    </row>
    <row r="48" spans="1:17" ht="15" x14ac:dyDescent="0.2">
      <c r="A48" s="856"/>
      <c r="B48" s="127" t="s">
        <v>1077</v>
      </c>
      <c r="C48" s="28">
        <v>0</v>
      </c>
      <c r="D48" s="28">
        <v>0</v>
      </c>
      <c r="E48" s="28">
        <v>0</v>
      </c>
      <c r="F48" s="28">
        <v>0</v>
      </c>
      <c r="G48" s="28">
        <v>0</v>
      </c>
      <c r="H48" s="28">
        <v>0</v>
      </c>
      <c r="I48" s="28">
        <v>0</v>
      </c>
      <c r="J48" s="28">
        <v>0</v>
      </c>
      <c r="K48" s="28">
        <v>0</v>
      </c>
      <c r="L48" s="28">
        <v>0</v>
      </c>
      <c r="M48" s="28">
        <v>0</v>
      </c>
      <c r="N48" s="28">
        <v>0</v>
      </c>
      <c r="O48" s="31">
        <f t="shared" si="2"/>
        <v>0</v>
      </c>
    </row>
    <row r="49" spans="1:18" ht="15" x14ac:dyDescent="0.2">
      <c r="A49" s="857" t="s">
        <v>160</v>
      </c>
      <c r="B49" s="858"/>
      <c r="C49" s="33">
        <f t="shared" ref="C49:N49" si="3">SUM(C38:C48)</f>
        <v>19160</v>
      </c>
      <c r="D49" s="33">
        <f t="shared" si="3"/>
        <v>19260</v>
      </c>
      <c r="E49" s="33">
        <f t="shared" si="3"/>
        <v>19260</v>
      </c>
      <c r="F49" s="33">
        <f t="shared" si="3"/>
        <v>19260</v>
      </c>
      <c r="G49" s="33">
        <f t="shared" si="3"/>
        <v>19260</v>
      </c>
      <c r="H49" s="33">
        <f t="shared" si="3"/>
        <v>23260</v>
      </c>
      <c r="I49" s="33">
        <f t="shared" si="3"/>
        <v>23260</v>
      </c>
      <c r="J49" s="33">
        <f t="shared" si="3"/>
        <v>23260</v>
      </c>
      <c r="K49" s="33">
        <f t="shared" si="3"/>
        <v>17760</v>
      </c>
      <c r="L49" s="33">
        <f t="shared" si="3"/>
        <v>17595</v>
      </c>
      <c r="M49" s="33">
        <f t="shared" si="3"/>
        <v>17595</v>
      </c>
      <c r="N49" s="33">
        <f t="shared" si="3"/>
        <v>18795</v>
      </c>
      <c r="O49" s="34">
        <f t="shared" si="2"/>
        <v>237725</v>
      </c>
    </row>
    <row r="50" spans="1:18" ht="15.75" thickBot="1" x14ac:dyDescent="0.25">
      <c r="A50" s="859" t="s">
        <v>161</v>
      </c>
      <c r="B50" s="860"/>
      <c r="C50" s="35">
        <f t="shared" ref="C50:N50" si="4">C37-C49</f>
        <v>98179</v>
      </c>
      <c r="D50" s="35">
        <f t="shared" si="4"/>
        <v>105463</v>
      </c>
      <c r="E50" s="35">
        <f t="shared" si="4"/>
        <v>99925</v>
      </c>
      <c r="F50" s="35">
        <f t="shared" si="4"/>
        <v>126175</v>
      </c>
      <c r="G50" s="35">
        <f t="shared" si="4"/>
        <v>103331</v>
      </c>
      <c r="H50" s="35">
        <f t="shared" si="4"/>
        <v>99331</v>
      </c>
      <c r="I50" s="35">
        <f t="shared" si="4"/>
        <v>99331</v>
      </c>
      <c r="J50" s="35">
        <f t="shared" si="4"/>
        <v>113831</v>
      </c>
      <c r="K50" s="35">
        <f t="shared" si="4"/>
        <v>106729</v>
      </c>
      <c r="L50" s="35">
        <f t="shared" si="4"/>
        <v>106894</v>
      </c>
      <c r="M50" s="35">
        <f t="shared" si="4"/>
        <v>106894</v>
      </c>
      <c r="N50" s="35">
        <f t="shared" si="4"/>
        <v>105694</v>
      </c>
      <c r="O50" s="36">
        <f t="shared" si="2"/>
        <v>1271777</v>
      </c>
      <c r="Q50" s="16">
        <f>26761+24361+7048+23003+23123+24425+24825*2+6795+3454+26690+26590+20590*2+E18+20372</f>
        <v>303452</v>
      </c>
    </row>
    <row r="51" spans="1:18" x14ac:dyDescent="0.2">
      <c r="J51" s="300">
        <f>+J37-SUM(J22:J36)</f>
        <v>124489</v>
      </c>
      <c r="Q51" s="38"/>
    </row>
    <row r="52" spans="1:18" ht="13.5" thickBot="1" x14ac:dyDescent="0.25">
      <c r="J52" s="38">
        <f>+J51-J49</f>
        <v>101229</v>
      </c>
    </row>
    <row r="53" spans="1:18" ht="13.5" thickBot="1" x14ac:dyDescent="0.25">
      <c r="B53" s="789" t="s">
        <v>162</v>
      </c>
      <c r="C53" s="861"/>
      <c r="D53" s="861"/>
      <c r="E53" s="861"/>
      <c r="F53" s="862"/>
      <c r="G53" s="863">
        <f>O37</f>
        <v>1509502</v>
      </c>
      <c r="H53" s="864"/>
    </row>
    <row r="54" spans="1:18" ht="13.5" thickBot="1" x14ac:dyDescent="0.25"/>
    <row r="55" spans="1:18" x14ac:dyDescent="0.2">
      <c r="B55" s="830" t="s">
        <v>163</v>
      </c>
      <c r="C55" s="833" t="s">
        <v>164</v>
      </c>
      <c r="D55" s="836" t="s">
        <v>229</v>
      </c>
      <c r="E55" s="837"/>
      <c r="F55" s="838"/>
      <c r="G55" s="839">
        <v>40000</v>
      </c>
      <c r="H55" s="840"/>
    </row>
    <row r="56" spans="1:18" x14ac:dyDescent="0.2">
      <c r="B56" s="831"/>
      <c r="C56" s="834"/>
      <c r="D56" s="841" t="s">
        <v>166</v>
      </c>
      <c r="E56" s="842"/>
      <c r="F56" s="843"/>
      <c r="G56" s="844">
        <f>+O44</f>
        <v>2500</v>
      </c>
      <c r="H56" s="845"/>
      <c r="I56" s="39"/>
      <c r="J56" s="846"/>
      <c r="K56" s="846"/>
      <c r="L56" s="846"/>
      <c r="M56" s="847"/>
      <c r="N56" s="847"/>
      <c r="O56" s="847"/>
    </row>
    <row r="57" spans="1:18" ht="13.5" thickBot="1" x14ac:dyDescent="0.25">
      <c r="B57" s="832"/>
      <c r="C57" s="835"/>
      <c r="D57" s="848" t="s">
        <v>129</v>
      </c>
      <c r="E57" s="849"/>
      <c r="F57" s="850"/>
      <c r="G57" s="851">
        <v>0</v>
      </c>
      <c r="H57" s="852"/>
      <c r="J57" s="47"/>
      <c r="K57" s="47"/>
      <c r="L57" s="47"/>
      <c r="M57" s="47"/>
      <c r="N57" s="47"/>
      <c r="O57" s="47"/>
    </row>
    <row r="58" spans="1:18" ht="13.5" thickBot="1" x14ac:dyDescent="0.25">
      <c r="B58" s="48"/>
      <c r="J58" s="47"/>
      <c r="K58" s="47"/>
      <c r="L58" s="47"/>
      <c r="M58" s="47"/>
      <c r="N58" s="47"/>
      <c r="O58" s="47"/>
    </row>
    <row r="59" spans="1:18" ht="13.5" thickBot="1" x14ac:dyDescent="0.25">
      <c r="B59" s="789" t="s">
        <v>168</v>
      </c>
      <c r="C59" s="790"/>
      <c r="D59" s="790"/>
      <c r="E59" s="790"/>
      <c r="F59" s="791"/>
      <c r="G59" s="825">
        <f>+G53-SUM(G55:H57)</f>
        <v>1467002</v>
      </c>
      <c r="H59" s="826"/>
      <c r="J59" s="827" t="s">
        <v>169</v>
      </c>
      <c r="K59" s="828"/>
      <c r="L59" s="828"/>
      <c r="M59" s="828"/>
      <c r="N59" s="828"/>
      <c r="O59" s="829"/>
    </row>
    <row r="60" spans="1:18" ht="13.5" thickBot="1" x14ac:dyDescent="0.25">
      <c r="B60" s="49"/>
      <c r="C60" s="50"/>
      <c r="D60" s="50"/>
      <c r="E60" s="50"/>
      <c r="F60" s="50"/>
      <c r="G60" s="45"/>
      <c r="H60" s="50"/>
      <c r="J60" s="129"/>
      <c r="K60" s="130"/>
      <c r="L60" s="130"/>
      <c r="M60" s="130"/>
      <c r="N60" s="130"/>
      <c r="O60" s="131"/>
    </row>
    <row r="61" spans="1:18" ht="13.5" thickBot="1" x14ac:dyDescent="0.25">
      <c r="B61" s="789" t="s">
        <v>170</v>
      </c>
      <c r="C61" s="790"/>
      <c r="D61" s="790"/>
      <c r="E61" s="790"/>
      <c r="F61" s="791"/>
      <c r="G61" s="805"/>
      <c r="H61" s="791"/>
      <c r="J61" s="129"/>
      <c r="K61" s="130"/>
      <c r="L61" s="130"/>
      <c r="M61" s="130"/>
      <c r="N61" s="130"/>
      <c r="O61" s="131"/>
    </row>
    <row r="62" spans="1:18" ht="12.75" customHeight="1" x14ac:dyDescent="0.2">
      <c r="B62" s="57" t="s">
        <v>171</v>
      </c>
      <c r="C62" s="806" t="s">
        <v>172</v>
      </c>
      <c r="D62" s="807"/>
      <c r="E62" s="807"/>
      <c r="F62" s="808"/>
      <c r="G62" s="809">
        <v>305439</v>
      </c>
      <c r="H62" s="809"/>
      <c r="I62" s="58"/>
      <c r="J62" s="810" t="s">
        <v>173</v>
      </c>
      <c r="K62" s="811"/>
      <c r="L62" s="811"/>
      <c r="M62" s="811"/>
      <c r="N62" s="811"/>
      <c r="O62" s="812"/>
      <c r="Q62" s="59"/>
      <c r="R62" s="59"/>
    </row>
    <row r="63" spans="1:18" ht="13.5" thickBot="1" x14ac:dyDescent="0.25">
      <c r="D63" s="37"/>
      <c r="I63" s="58"/>
      <c r="J63" s="60" t="s">
        <v>1078</v>
      </c>
      <c r="K63" s="132"/>
      <c r="L63" s="132"/>
      <c r="M63" s="133" t="s">
        <v>1079</v>
      </c>
      <c r="N63" s="133"/>
      <c r="O63" s="134"/>
      <c r="Q63" s="59"/>
      <c r="R63" s="59"/>
    </row>
    <row r="64" spans="1:18" ht="13.5" thickBot="1" x14ac:dyDescent="0.25">
      <c r="B64" s="789" t="s">
        <v>175</v>
      </c>
      <c r="C64" s="790"/>
      <c r="D64" s="790"/>
      <c r="E64" s="790"/>
      <c r="F64" s="791"/>
      <c r="G64" s="805">
        <f>+G59-G62</f>
        <v>1161563</v>
      </c>
      <c r="H64" s="791"/>
      <c r="I64" s="63"/>
      <c r="J64" s="64"/>
      <c r="K64" s="39"/>
      <c r="L64" s="39"/>
      <c r="M64" s="39" t="s">
        <v>1080</v>
      </c>
      <c r="N64" s="39"/>
      <c r="O64" s="65"/>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6.25" customHeight="1" thickBot="1" x14ac:dyDescent="0.25">
      <c r="B67" s="66"/>
      <c r="C67" s="48"/>
      <c r="G67" s="70" t="s">
        <v>177</v>
      </c>
      <c r="H67" s="70" t="s">
        <v>178</v>
      </c>
      <c r="I67" s="63"/>
      <c r="J67" s="810" t="s">
        <v>179</v>
      </c>
      <c r="K67" s="811"/>
      <c r="L67" s="71"/>
      <c r="M67" s="71"/>
      <c r="N67" s="71"/>
      <c r="O67" s="72"/>
      <c r="Q67" s="59"/>
      <c r="R67" s="59"/>
    </row>
    <row r="68" spans="2:18" ht="12.75" customHeight="1" x14ac:dyDescent="0.2">
      <c r="B68" s="802" t="s">
        <v>180</v>
      </c>
      <c r="C68" s="821" t="s">
        <v>181</v>
      </c>
      <c r="D68" s="823" t="s">
        <v>182</v>
      </c>
      <c r="E68" s="824"/>
      <c r="F68" s="824"/>
      <c r="G68" s="73">
        <f>O43</f>
        <v>120000</v>
      </c>
      <c r="H68" s="74">
        <f t="shared" ref="H68:H76" si="5">+G68</f>
        <v>120000</v>
      </c>
      <c r="I68" s="63"/>
      <c r="J68" s="75">
        <v>901686227</v>
      </c>
      <c r="K68" s="58"/>
      <c r="L68" s="58"/>
      <c r="M68" s="58"/>
      <c r="N68" s="58"/>
      <c r="O68" s="76"/>
      <c r="Q68" s="59"/>
      <c r="R68" s="59"/>
    </row>
    <row r="69" spans="2:18" ht="12.75" customHeight="1" x14ac:dyDescent="0.2">
      <c r="B69" s="803"/>
      <c r="C69" s="822"/>
      <c r="D69" s="782" t="s">
        <v>184</v>
      </c>
      <c r="E69" s="783"/>
      <c r="F69" s="783"/>
      <c r="G69" s="77">
        <v>52274</v>
      </c>
      <c r="H69" s="78">
        <f t="shared" si="5"/>
        <v>52274</v>
      </c>
      <c r="I69" s="63"/>
      <c r="J69" s="79">
        <v>907809206</v>
      </c>
      <c r="K69" s="68"/>
      <c r="L69" s="68"/>
      <c r="M69" s="68"/>
      <c r="N69" s="68"/>
      <c r="O69" s="69"/>
      <c r="Q69" s="59"/>
      <c r="R69" s="59"/>
    </row>
    <row r="70" spans="2:18" ht="12.75" customHeight="1" x14ac:dyDescent="0.2">
      <c r="B70" s="803"/>
      <c r="C70" s="822"/>
      <c r="D70" s="819" t="s">
        <v>185</v>
      </c>
      <c r="E70" s="820"/>
      <c r="F70" s="820"/>
      <c r="G70" s="80">
        <f>O40</f>
        <v>720</v>
      </c>
      <c r="H70" s="78">
        <f t="shared" si="5"/>
        <v>720</v>
      </c>
      <c r="I70" s="63"/>
      <c r="J70" s="67"/>
      <c r="K70" s="68"/>
      <c r="L70" s="68"/>
      <c r="M70" s="68"/>
      <c r="N70" s="68"/>
      <c r="O70" s="69"/>
    </row>
    <row r="71" spans="2:18" x14ac:dyDescent="0.2">
      <c r="B71" s="803"/>
      <c r="C71" s="822"/>
      <c r="D71" s="782" t="s">
        <v>501</v>
      </c>
      <c r="E71" s="783"/>
      <c r="F71" s="783"/>
      <c r="G71" s="81">
        <v>0</v>
      </c>
      <c r="H71" s="78">
        <f t="shared" si="5"/>
        <v>0</v>
      </c>
      <c r="I71" s="63"/>
      <c r="J71" s="82" t="s">
        <v>187</v>
      </c>
      <c r="K71" s="71"/>
      <c r="L71" s="71"/>
      <c r="M71" s="71"/>
      <c r="N71" s="71"/>
      <c r="O71" s="72"/>
    </row>
    <row r="72" spans="2:18" ht="12.75" customHeight="1" x14ac:dyDescent="0.2">
      <c r="B72" s="803"/>
      <c r="C72" s="822"/>
      <c r="D72" s="784" t="s">
        <v>188</v>
      </c>
      <c r="E72" s="783"/>
      <c r="F72" s="783"/>
      <c r="G72" s="80">
        <v>0</v>
      </c>
      <c r="H72" s="78">
        <f t="shared" si="5"/>
        <v>0</v>
      </c>
      <c r="I72" s="63"/>
      <c r="J72" s="75" t="s">
        <v>189</v>
      </c>
      <c r="K72" s="50"/>
      <c r="L72" s="50"/>
      <c r="M72" s="50"/>
      <c r="N72" s="50"/>
      <c r="O72" s="83">
        <v>0</v>
      </c>
    </row>
    <row r="73" spans="2:18" ht="14.25" customHeight="1" x14ac:dyDescent="0.2">
      <c r="B73" s="803"/>
      <c r="C73" s="822"/>
      <c r="D73" s="782" t="s">
        <v>190</v>
      </c>
      <c r="E73" s="783"/>
      <c r="F73" s="783"/>
      <c r="G73" s="84">
        <v>0</v>
      </c>
      <c r="H73" s="78">
        <f t="shared" si="5"/>
        <v>0</v>
      </c>
      <c r="I73" s="63"/>
      <c r="J73" s="64"/>
      <c r="K73" s="39"/>
      <c r="L73" s="39"/>
      <c r="M73" s="39"/>
      <c r="N73" s="39"/>
      <c r="O73" s="65"/>
    </row>
    <row r="74" spans="2:18" x14ac:dyDescent="0.2">
      <c r="B74" s="803"/>
      <c r="C74" s="822"/>
      <c r="D74" s="782" t="s">
        <v>191</v>
      </c>
      <c r="E74" s="783"/>
      <c r="F74" s="783"/>
      <c r="G74" s="81">
        <v>197853</v>
      </c>
      <c r="H74" s="78">
        <f>+G74</f>
        <v>197853</v>
      </c>
      <c r="I74" s="58"/>
      <c r="J74" s="150"/>
      <c r="K74" s="50"/>
      <c r="L74" s="50"/>
      <c r="M74" s="50"/>
      <c r="N74" s="50"/>
      <c r="O74" s="83"/>
    </row>
    <row r="75" spans="2:18" x14ac:dyDescent="0.2">
      <c r="B75" s="803"/>
      <c r="C75" s="88" t="s">
        <v>192</v>
      </c>
      <c r="D75" s="813" t="s">
        <v>193</v>
      </c>
      <c r="E75" s="814"/>
      <c r="F75" s="814"/>
      <c r="G75" s="80">
        <v>0</v>
      </c>
      <c r="H75" s="78">
        <f t="shared" si="5"/>
        <v>0</v>
      </c>
      <c r="I75" s="58"/>
      <c r="J75" s="79"/>
      <c r="K75" s="39"/>
      <c r="L75" s="39"/>
      <c r="M75" s="39"/>
      <c r="N75" s="39"/>
      <c r="O75" s="65"/>
    </row>
    <row r="76" spans="2:18" ht="13.5" customHeight="1" thickBot="1" x14ac:dyDescent="0.25">
      <c r="B76" s="803"/>
      <c r="C76" s="88" t="s">
        <v>194</v>
      </c>
      <c r="D76" s="815" t="s">
        <v>195</v>
      </c>
      <c r="E76" s="815"/>
      <c r="F76" s="815"/>
      <c r="G76" s="89">
        <v>0</v>
      </c>
      <c r="H76" s="90">
        <f t="shared" si="5"/>
        <v>0</v>
      </c>
      <c r="I76" s="63"/>
      <c r="J76" s="67"/>
      <c r="K76" s="68"/>
      <c r="L76" s="68"/>
      <c r="M76" s="91"/>
      <c r="N76" s="91"/>
      <c r="O76" s="92"/>
    </row>
    <row r="77" spans="2:18" ht="13.5" thickBot="1" x14ac:dyDescent="0.25">
      <c r="B77" s="803"/>
      <c r="C77" s="93"/>
      <c r="D77" s="94"/>
      <c r="E77" s="816" t="s">
        <v>117</v>
      </c>
      <c r="F77" s="817"/>
      <c r="G77" s="95">
        <f>SUM(G68:G76)</f>
        <v>370847</v>
      </c>
      <c r="H77" s="96">
        <f>IF(SUM(G68:G74)&lt;150000,SUM(G68:G74),150000)+IF(+G75&lt;20000,+G75,20000)</f>
        <v>150000</v>
      </c>
      <c r="I77" s="63"/>
      <c r="J77" s="140"/>
      <c r="K77" s="141"/>
      <c r="L77" s="141"/>
      <c r="M77" s="142"/>
      <c r="N77" s="142"/>
      <c r="O77" s="143"/>
    </row>
    <row r="78" spans="2:18" ht="12.75" customHeight="1" x14ac:dyDescent="0.2">
      <c r="B78" s="803"/>
      <c r="C78" s="100" t="s">
        <v>196</v>
      </c>
      <c r="D78" s="782" t="s">
        <v>187</v>
      </c>
      <c r="E78" s="783"/>
      <c r="F78" s="818"/>
      <c r="G78" s="73">
        <v>23588</v>
      </c>
      <c r="H78" s="101">
        <f>+IF(+G78&lt;25000,+G78,25000)</f>
        <v>23588</v>
      </c>
      <c r="I78" s="87"/>
    </row>
    <row r="79" spans="2:18" x14ac:dyDescent="0.2">
      <c r="B79" s="803"/>
      <c r="C79" s="100" t="s">
        <v>197</v>
      </c>
      <c r="D79" s="784" t="s">
        <v>198</v>
      </c>
      <c r="E79" s="785"/>
      <c r="F79" s="786"/>
      <c r="G79" s="102"/>
      <c r="H79" s="103">
        <f>+IF(+G79&lt;40000,+G79,40000)</f>
        <v>0</v>
      </c>
      <c r="I79" s="63"/>
    </row>
    <row r="80" spans="2:18" ht="15" x14ac:dyDescent="0.25">
      <c r="B80" s="803"/>
      <c r="C80" s="100" t="s">
        <v>199</v>
      </c>
      <c r="D80" s="784" t="s">
        <v>200</v>
      </c>
      <c r="E80" s="785"/>
      <c r="F80" s="786"/>
      <c r="G80" s="81"/>
      <c r="H80" s="104">
        <v>0</v>
      </c>
      <c r="I80" s="63"/>
      <c r="J80" s="264"/>
      <c r="K80" s="162"/>
      <c r="L80" s="162"/>
    </row>
    <row r="81" spans="2:12" x14ac:dyDescent="0.2">
      <c r="B81" s="803"/>
      <c r="C81" s="100" t="s">
        <v>201</v>
      </c>
      <c r="D81" s="784" t="s">
        <v>202</v>
      </c>
      <c r="E81" s="785"/>
      <c r="F81" s="786"/>
      <c r="G81" s="81"/>
      <c r="H81" s="104">
        <v>0</v>
      </c>
      <c r="I81" s="63"/>
    </row>
    <row r="82" spans="2:12" ht="13.5" thickBot="1" x14ac:dyDescent="0.25">
      <c r="B82" s="804"/>
      <c r="C82" s="100" t="s">
        <v>203</v>
      </c>
      <c r="D82" s="784" t="s">
        <v>204</v>
      </c>
      <c r="E82" s="785"/>
      <c r="F82" s="786"/>
      <c r="G82" s="102"/>
      <c r="H82" s="103">
        <f>+IF(+G82&lt;100000,+G82,10000)</f>
        <v>0</v>
      </c>
      <c r="I82" s="63"/>
      <c r="J82" s="106"/>
    </row>
    <row r="83" spans="2:12" ht="13.5" thickBot="1" x14ac:dyDescent="0.25">
      <c r="B83" s="787" t="s">
        <v>205</v>
      </c>
      <c r="C83" s="788"/>
      <c r="D83" s="788"/>
      <c r="E83" s="788"/>
      <c r="F83" s="788"/>
      <c r="G83" s="107">
        <f>SUM(G78:G82)</f>
        <v>23588</v>
      </c>
      <c r="H83" s="108">
        <f>SUM(H77:H82)</f>
        <v>173588</v>
      </c>
    </row>
    <row r="84" spans="2:12" ht="13.5" thickBot="1" x14ac:dyDescent="0.25"/>
    <row r="85" spans="2:12" ht="13.5" thickBot="1" x14ac:dyDescent="0.25">
      <c r="B85" s="789" t="s">
        <v>206</v>
      </c>
      <c r="C85" s="790"/>
      <c r="D85" s="790"/>
      <c r="E85" s="790"/>
      <c r="F85" s="791"/>
      <c r="G85" s="792">
        <f>+G64-H83</f>
        <v>987975</v>
      </c>
      <c r="H85" s="791"/>
      <c r="J85" s="109">
        <f>C37+D37+E37+F37</f>
        <v>506682</v>
      </c>
      <c r="K85" s="16" t="s">
        <v>235</v>
      </c>
    </row>
    <row r="86" spans="2:12" x14ac:dyDescent="0.2">
      <c r="B86" s="110"/>
      <c r="F86" s="105"/>
      <c r="J86" s="109">
        <f>G37+H37+I37</f>
        <v>367773</v>
      </c>
      <c r="K86" s="16" t="s">
        <v>236</v>
      </c>
    </row>
    <row r="87" spans="2:12" x14ac:dyDescent="0.2">
      <c r="C87" s="793" t="s">
        <v>207</v>
      </c>
      <c r="D87" s="794"/>
      <c r="E87" s="111" t="s">
        <v>208</v>
      </c>
      <c r="F87" s="111" t="s">
        <v>209</v>
      </c>
      <c r="G87" s="111" t="s">
        <v>210</v>
      </c>
      <c r="H87" s="111" t="s">
        <v>211</v>
      </c>
      <c r="J87" s="206">
        <f>J37+K37+L37</f>
        <v>386069</v>
      </c>
      <c r="K87" s="47" t="s">
        <v>237</v>
      </c>
    </row>
    <row r="88" spans="2:12" x14ac:dyDescent="0.2">
      <c r="C88" s="795" t="str">
        <f>IF(I6="M","0          - 250000","0          -  250000")</f>
        <v>0          - 250000</v>
      </c>
      <c r="D88" s="796"/>
      <c r="E88" s="112">
        <v>0</v>
      </c>
      <c r="F88" s="113">
        <f>IF(I6="M",(IF(G85&lt;250000,G85,250000)),(IF(G85&lt;250000,G85,250000)))</f>
        <v>250000</v>
      </c>
      <c r="G88" s="113">
        <f>G85-F88</f>
        <v>737975</v>
      </c>
      <c r="H88" s="113">
        <f>E88*F88</f>
        <v>0</v>
      </c>
      <c r="J88" s="207">
        <f>M37+N37</f>
        <v>248978</v>
      </c>
      <c r="K88" s="1" t="s">
        <v>238</v>
      </c>
    </row>
    <row r="89" spans="2:12" x14ac:dyDescent="0.2">
      <c r="C89" s="795" t="str">
        <f>IF(I6="M","250001 - 500000","250001-500000")</f>
        <v>250001 - 500000</v>
      </c>
      <c r="D89" s="796"/>
      <c r="E89" s="112">
        <v>0.05</v>
      </c>
      <c r="F89" s="113">
        <f>IF(I6="M",(IF(G88&lt;250000,G88,250000)),(IF(G88&lt;250000,G88,250000)))</f>
        <v>250000</v>
      </c>
      <c r="G89" s="113">
        <f>G88-F89</f>
        <v>487975</v>
      </c>
      <c r="H89" s="114">
        <f>ROUND(E89*F89,0.1)</f>
        <v>12500</v>
      </c>
      <c r="J89" s="115">
        <f>SUM(J85:J88)</f>
        <v>1509502</v>
      </c>
    </row>
    <row r="90" spans="2:12" x14ac:dyDescent="0.2">
      <c r="C90" s="797" t="s">
        <v>212</v>
      </c>
      <c r="D90" s="798"/>
      <c r="E90" s="112">
        <v>0.2</v>
      </c>
      <c r="F90" s="113">
        <f>IF(G89&lt;500000,G89,500000)</f>
        <v>487975</v>
      </c>
      <c r="G90" s="113">
        <f>G89-F90</f>
        <v>0</v>
      </c>
      <c r="H90" s="114">
        <f>ROUND(E90*F90,0.1)</f>
        <v>97595</v>
      </c>
      <c r="J90" s="16">
        <f>+G85</f>
        <v>987975</v>
      </c>
    </row>
    <row r="91" spans="2:12" x14ac:dyDescent="0.2">
      <c r="C91" s="795" t="s">
        <v>213</v>
      </c>
      <c r="D91" s="796"/>
      <c r="E91" s="112">
        <v>0.3</v>
      </c>
      <c r="F91" s="113">
        <f>G90</f>
        <v>0</v>
      </c>
      <c r="G91" s="113">
        <f>G90-F91</f>
        <v>0</v>
      </c>
      <c r="H91" s="114">
        <f>ROUND(E91*F91,0.1)</f>
        <v>0</v>
      </c>
      <c r="J91" s="16">
        <f>+J89-J90</f>
        <v>521527</v>
      </c>
    </row>
    <row r="92" spans="2:12" ht="12.75" customHeight="1" thickBot="1" x14ac:dyDescent="0.25">
      <c r="B92" s="116"/>
      <c r="C92" s="117"/>
      <c r="D92" s="47"/>
      <c r="E92" s="47"/>
      <c r="F92" s="47"/>
    </row>
    <row r="93" spans="2:12" ht="13.5" thickBot="1" x14ac:dyDescent="0.25">
      <c r="B93" s="799" t="s">
        <v>239</v>
      </c>
      <c r="C93" s="800"/>
      <c r="D93" s="800"/>
      <c r="E93" s="800"/>
      <c r="F93" s="801"/>
      <c r="G93" s="771">
        <f>H88+H89+H90+H91</f>
        <v>110095</v>
      </c>
      <c r="H93" s="772"/>
    </row>
    <row r="94" spans="2:12" ht="13.5" thickBot="1" x14ac:dyDescent="0.25">
      <c r="B94" s="119" t="s">
        <v>215</v>
      </c>
      <c r="C94" s="120"/>
      <c r="D94" s="120"/>
      <c r="E94" s="120"/>
      <c r="F94" s="120"/>
      <c r="G94" s="884">
        <f>IF((G64&lt;500000),5000,0)</f>
        <v>0</v>
      </c>
      <c r="H94" s="885">
        <f>IF(H92&lt;200000,0,IF(H92&lt;220000,((H92-200000)*10%),IF(H92&lt;=500000,2000,IF(H92&gt;=500000,0))))</f>
        <v>0</v>
      </c>
      <c r="J94" s="1"/>
      <c r="K94" s="121"/>
      <c r="L94" s="121"/>
    </row>
    <row r="95" spans="2:12" ht="13.5" thickBot="1" x14ac:dyDescent="0.25">
      <c r="B95" s="122" t="s">
        <v>216</v>
      </c>
      <c r="C95" s="123"/>
      <c r="D95" s="123"/>
      <c r="E95" s="123"/>
      <c r="F95" s="123"/>
      <c r="G95" s="771">
        <f>IF((G93-G94)&lt;0,0,(G93-G94))</f>
        <v>110095</v>
      </c>
      <c r="H95" s="772"/>
      <c r="I95" s="37"/>
    </row>
    <row r="96" spans="2:12" ht="13.5" thickBot="1" x14ac:dyDescent="0.25">
      <c r="B96" s="773" t="s">
        <v>240</v>
      </c>
      <c r="C96" s="774"/>
      <c r="D96" s="774"/>
      <c r="E96" s="774"/>
      <c r="F96" s="775"/>
      <c r="G96" s="776">
        <f>ROUND((IF(G95&gt;0,(G95*4%),0)),0)</f>
        <v>4404</v>
      </c>
      <c r="H96" s="777"/>
      <c r="I96" s="37"/>
    </row>
    <row r="97" spans="2:9" ht="13.5" thickBot="1" x14ac:dyDescent="0.25">
      <c r="B97" s="778" t="s">
        <v>218</v>
      </c>
      <c r="C97" s="779"/>
      <c r="D97" s="779"/>
      <c r="E97" s="779"/>
      <c r="F97" s="779"/>
      <c r="G97" s="780">
        <f>G95+G96</f>
        <v>114499</v>
      </c>
      <c r="H97" s="781"/>
      <c r="I97" s="121"/>
    </row>
    <row r="98" spans="2:9" ht="13.5" thickBot="1" x14ac:dyDescent="0.25">
      <c r="B98" s="765" t="s">
        <v>219</v>
      </c>
      <c r="C98" s="766"/>
      <c r="D98" s="766"/>
      <c r="E98" s="766"/>
      <c r="F98" s="766"/>
      <c r="G98" s="767">
        <f>O38</f>
        <v>114505</v>
      </c>
      <c r="H98" s="768"/>
      <c r="I98" s="121"/>
    </row>
    <row r="99" spans="2:9" ht="13.5" thickBot="1" x14ac:dyDescent="0.25">
      <c r="B99" s="765" t="str">
        <f>IF(G99&gt;0,"TAX PAYABLE","TAX REFUND")</f>
        <v>TAX REFUND</v>
      </c>
      <c r="C99" s="766"/>
      <c r="D99" s="766"/>
      <c r="E99" s="766"/>
      <c r="F99" s="766"/>
      <c r="G99" s="767">
        <f>+G97-G98</f>
        <v>-6</v>
      </c>
      <c r="H99" s="768"/>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0:F90 B99:F99 B93:F97">
    <cfRule type="cellIs" dxfId="397" priority="3" stopIfTrue="1" operator="equal">
      <formula>"TAX PAYABLE"</formula>
    </cfRule>
    <cfRule type="cellIs" dxfId="396" priority="4" stopIfTrue="1" operator="equal">
      <formula>"TAX REFUND"</formula>
    </cfRule>
  </conditionalFormatting>
  <conditionalFormatting sqref="G90:H90">
    <cfRule type="cellIs" dxfId="395" priority="5" stopIfTrue="1" operator="lessThan">
      <formula>0</formula>
    </cfRule>
    <cfRule type="cellIs" dxfId="394" priority="6" stopIfTrue="1" operator="greaterThan">
      <formula>0</formula>
    </cfRule>
  </conditionalFormatting>
  <conditionalFormatting sqref="G99:H99">
    <cfRule type="cellIs" dxfId="393" priority="1" stopIfTrue="1" operator="greaterThan">
      <formula>0</formula>
    </cfRule>
    <cfRule type="cellIs" dxfId="392" priority="2" stopIfTrue="1" operator="lessThanOrEqual">
      <formula>0</formula>
    </cfRule>
  </conditionalFormatting>
  <pageMargins left="0.7" right="0.7" top="0.75" bottom="0.75" header="0.3" footer="0.3"/>
  <pageSetup paperSize="5" orientation="landscape" horizontalDpi="300" verticalDpi="300" r:id="rId1"/>
  <headerFooter alignWithMargins="0"/>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08"/>
  <sheetViews>
    <sheetView topLeftCell="B62" zoomScaleNormal="115" workbookViewId="0">
      <selection activeCell="G76" sqref="G76"/>
    </sheetView>
  </sheetViews>
  <sheetFormatPr defaultRowHeight="12.75" x14ac:dyDescent="0.2"/>
  <cols>
    <col min="1" max="1" width="5" style="16" customWidth="1"/>
    <col min="2" max="2" width="19" style="37" customWidth="1"/>
    <col min="3" max="3" width="11.140625" style="16" bestFit="1" customWidth="1"/>
    <col min="4" max="4" width="7.85546875" style="16" customWidth="1"/>
    <col min="5" max="5" width="8.42578125" style="16" customWidth="1"/>
    <col min="6" max="6" width="8.140625" style="16" customWidth="1"/>
    <col min="7" max="8" width="7.85546875" style="16" customWidth="1"/>
    <col min="9" max="14" width="8.5703125" style="16" customWidth="1"/>
    <col min="15" max="15" width="7.570312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9" style="16" customWidth="1"/>
    <col min="259" max="260" width="7.85546875" style="16" customWidth="1"/>
    <col min="261" max="261" width="8.42578125" style="16" customWidth="1"/>
    <col min="262" max="262" width="8.140625" style="16" customWidth="1"/>
    <col min="263" max="264" width="7.85546875" style="16" customWidth="1"/>
    <col min="265" max="270" width="8.5703125" style="16" customWidth="1"/>
    <col min="271" max="271" width="7.570312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9" style="16" customWidth="1"/>
    <col min="515" max="516" width="7.85546875" style="16" customWidth="1"/>
    <col min="517" max="517" width="8.42578125" style="16" customWidth="1"/>
    <col min="518" max="518" width="8.140625" style="16" customWidth="1"/>
    <col min="519" max="520" width="7.85546875" style="16" customWidth="1"/>
    <col min="521" max="526" width="8.5703125" style="16" customWidth="1"/>
    <col min="527" max="527" width="7.570312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9" style="16" customWidth="1"/>
    <col min="771" max="772" width="7.85546875" style="16" customWidth="1"/>
    <col min="773" max="773" width="8.42578125" style="16" customWidth="1"/>
    <col min="774" max="774" width="8.140625" style="16" customWidth="1"/>
    <col min="775" max="776" width="7.85546875" style="16" customWidth="1"/>
    <col min="777" max="782" width="8.5703125" style="16" customWidth="1"/>
    <col min="783" max="783" width="7.570312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9" style="16" customWidth="1"/>
    <col min="1027" max="1028" width="7.85546875" style="16" customWidth="1"/>
    <col min="1029" max="1029" width="8.42578125" style="16" customWidth="1"/>
    <col min="1030" max="1030" width="8.140625" style="16" customWidth="1"/>
    <col min="1031" max="1032" width="7.85546875" style="16" customWidth="1"/>
    <col min="1033" max="1038" width="8.5703125" style="16" customWidth="1"/>
    <col min="1039" max="1039" width="7.570312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9" style="16" customWidth="1"/>
    <col min="1283" max="1284" width="7.85546875" style="16" customWidth="1"/>
    <col min="1285" max="1285" width="8.42578125" style="16" customWidth="1"/>
    <col min="1286" max="1286" width="8.140625" style="16" customWidth="1"/>
    <col min="1287" max="1288" width="7.85546875" style="16" customWidth="1"/>
    <col min="1289" max="1294" width="8.5703125" style="16" customWidth="1"/>
    <col min="1295" max="1295" width="7.570312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9" style="16" customWidth="1"/>
    <col min="1539" max="1540" width="7.85546875" style="16" customWidth="1"/>
    <col min="1541" max="1541" width="8.42578125" style="16" customWidth="1"/>
    <col min="1542" max="1542" width="8.140625" style="16" customWidth="1"/>
    <col min="1543" max="1544" width="7.85546875" style="16" customWidth="1"/>
    <col min="1545" max="1550" width="8.5703125" style="16" customWidth="1"/>
    <col min="1551" max="1551" width="7.570312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9" style="16" customWidth="1"/>
    <col min="1795" max="1796" width="7.85546875" style="16" customWidth="1"/>
    <col min="1797" max="1797" width="8.42578125" style="16" customWidth="1"/>
    <col min="1798" max="1798" width="8.140625" style="16" customWidth="1"/>
    <col min="1799" max="1800" width="7.85546875" style="16" customWidth="1"/>
    <col min="1801" max="1806" width="8.5703125" style="16" customWidth="1"/>
    <col min="1807" max="1807" width="7.570312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9" style="16" customWidth="1"/>
    <col min="2051" max="2052" width="7.85546875" style="16" customWidth="1"/>
    <col min="2053" max="2053" width="8.42578125" style="16" customWidth="1"/>
    <col min="2054" max="2054" width="8.140625" style="16" customWidth="1"/>
    <col min="2055" max="2056" width="7.85546875" style="16" customWidth="1"/>
    <col min="2057" max="2062" width="8.5703125" style="16" customWidth="1"/>
    <col min="2063" max="2063" width="7.570312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9" style="16" customWidth="1"/>
    <col min="2307" max="2308" width="7.85546875" style="16" customWidth="1"/>
    <col min="2309" max="2309" width="8.42578125" style="16" customWidth="1"/>
    <col min="2310" max="2310" width="8.140625" style="16" customWidth="1"/>
    <col min="2311" max="2312" width="7.85546875" style="16" customWidth="1"/>
    <col min="2313" max="2318" width="8.5703125" style="16" customWidth="1"/>
    <col min="2319" max="2319" width="7.570312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9" style="16" customWidth="1"/>
    <col min="2563" max="2564" width="7.85546875" style="16" customWidth="1"/>
    <col min="2565" max="2565" width="8.42578125" style="16" customWidth="1"/>
    <col min="2566" max="2566" width="8.140625" style="16" customWidth="1"/>
    <col min="2567" max="2568" width="7.85546875" style="16" customWidth="1"/>
    <col min="2569" max="2574" width="8.5703125" style="16" customWidth="1"/>
    <col min="2575" max="2575" width="7.570312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9" style="16" customWidth="1"/>
    <col min="2819" max="2820" width="7.85546875" style="16" customWidth="1"/>
    <col min="2821" max="2821" width="8.42578125" style="16" customWidth="1"/>
    <col min="2822" max="2822" width="8.140625" style="16" customWidth="1"/>
    <col min="2823" max="2824" width="7.85546875" style="16" customWidth="1"/>
    <col min="2825" max="2830" width="8.5703125" style="16" customWidth="1"/>
    <col min="2831" max="2831" width="7.570312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9" style="16" customWidth="1"/>
    <col min="3075" max="3076" width="7.85546875" style="16" customWidth="1"/>
    <col min="3077" max="3077" width="8.42578125" style="16" customWidth="1"/>
    <col min="3078" max="3078" width="8.140625" style="16" customWidth="1"/>
    <col min="3079" max="3080" width="7.85546875" style="16" customWidth="1"/>
    <col min="3081" max="3086" width="8.5703125" style="16" customWidth="1"/>
    <col min="3087" max="3087" width="7.570312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9" style="16" customWidth="1"/>
    <col min="3331" max="3332" width="7.85546875" style="16" customWidth="1"/>
    <col min="3333" max="3333" width="8.42578125" style="16" customWidth="1"/>
    <col min="3334" max="3334" width="8.140625" style="16" customWidth="1"/>
    <col min="3335" max="3336" width="7.85546875" style="16" customWidth="1"/>
    <col min="3337" max="3342" width="8.5703125" style="16" customWidth="1"/>
    <col min="3343" max="3343" width="7.570312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9" style="16" customWidth="1"/>
    <col min="3587" max="3588" width="7.85546875" style="16" customWidth="1"/>
    <col min="3589" max="3589" width="8.42578125" style="16" customWidth="1"/>
    <col min="3590" max="3590" width="8.140625" style="16" customWidth="1"/>
    <col min="3591" max="3592" width="7.85546875" style="16" customWidth="1"/>
    <col min="3593" max="3598" width="8.5703125" style="16" customWidth="1"/>
    <col min="3599" max="3599" width="7.570312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9" style="16" customWidth="1"/>
    <col min="3843" max="3844" width="7.85546875" style="16" customWidth="1"/>
    <col min="3845" max="3845" width="8.42578125" style="16" customWidth="1"/>
    <col min="3846" max="3846" width="8.140625" style="16" customWidth="1"/>
    <col min="3847" max="3848" width="7.85546875" style="16" customWidth="1"/>
    <col min="3849" max="3854" width="8.5703125" style="16" customWidth="1"/>
    <col min="3855" max="3855" width="7.570312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9" style="16" customWidth="1"/>
    <col min="4099" max="4100" width="7.85546875" style="16" customWidth="1"/>
    <col min="4101" max="4101" width="8.42578125" style="16" customWidth="1"/>
    <col min="4102" max="4102" width="8.140625" style="16" customWidth="1"/>
    <col min="4103" max="4104" width="7.85546875" style="16" customWidth="1"/>
    <col min="4105" max="4110" width="8.5703125" style="16" customWidth="1"/>
    <col min="4111" max="4111" width="7.570312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9" style="16" customWidth="1"/>
    <col min="4355" max="4356" width="7.85546875" style="16" customWidth="1"/>
    <col min="4357" max="4357" width="8.42578125" style="16" customWidth="1"/>
    <col min="4358" max="4358" width="8.140625" style="16" customWidth="1"/>
    <col min="4359" max="4360" width="7.85546875" style="16" customWidth="1"/>
    <col min="4361" max="4366" width="8.5703125" style="16" customWidth="1"/>
    <col min="4367" max="4367" width="7.570312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9" style="16" customWidth="1"/>
    <col min="4611" max="4612" width="7.85546875" style="16" customWidth="1"/>
    <col min="4613" max="4613" width="8.42578125" style="16" customWidth="1"/>
    <col min="4614" max="4614" width="8.140625" style="16" customWidth="1"/>
    <col min="4615" max="4616" width="7.85546875" style="16" customWidth="1"/>
    <col min="4617" max="4622" width="8.5703125" style="16" customWidth="1"/>
    <col min="4623" max="4623" width="7.570312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9" style="16" customWidth="1"/>
    <col min="4867" max="4868" width="7.85546875" style="16" customWidth="1"/>
    <col min="4869" max="4869" width="8.42578125" style="16" customWidth="1"/>
    <col min="4870" max="4870" width="8.140625" style="16" customWidth="1"/>
    <col min="4871" max="4872" width="7.85546875" style="16" customWidth="1"/>
    <col min="4873" max="4878" width="8.5703125" style="16" customWidth="1"/>
    <col min="4879" max="4879" width="7.570312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9" style="16" customWidth="1"/>
    <col min="5123" max="5124" width="7.85546875" style="16" customWidth="1"/>
    <col min="5125" max="5125" width="8.42578125" style="16" customWidth="1"/>
    <col min="5126" max="5126" width="8.140625" style="16" customWidth="1"/>
    <col min="5127" max="5128" width="7.85546875" style="16" customWidth="1"/>
    <col min="5129" max="5134" width="8.5703125" style="16" customWidth="1"/>
    <col min="5135" max="5135" width="7.570312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9" style="16" customWidth="1"/>
    <col min="5379" max="5380" width="7.85546875" style="16" customWidth="1"/>
    <col min="5381" max="5381" width="8.42578125" style="16" customWidth="1"/>
    <col min="5382" max="5382" width="8.140625" style="16" customWidth="1"/>
    <col min="5383" max="5384" width="7.85546875" style="16" customWidth="1"/>
    <col min="5385" max="5390" width="8.5703125" style="16" customWidth="1"/>
    <col min="5391" max="5391" width="7.570312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9" style="16" customWidth="1"/>
    <col min="5635" max="5636" width="7.85546875" style="16" customWidth="1"/>
    <col min="5637" max="5637" width="8.42578125" style="16" customWidth="1"/>
    <col min="5638" max="5638" width="8.140625" style="16" customWidth="1"/>
    <col min="5639" max="5640" width="7.85546875" style="16" customWidth="1"/>
    <col min="5641" max="5646" width="8.5703125" style="16" customWidth="1"/>
    <col min="5647" max="5647" width="7.570312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9" style="16" customWidth="1"/>
    <col min="5891" max="5892" width="7.85546875" style="16" customWidth="1"/>
    <col min="5893" max="5893" width="8.42578125" style="16" customWidth="1"/>
    <col min="5894" max="5894" width="8.140625" style="16" customWidth="1"/>
    <col min="5895" max="5896" width="7.85546875" style="16" customWidth="1"/>
    <col min="5897" max="5902" width="8.5703125" style="16" customWidth="1"/>
    <col min="5903" max="5903" width="7.570312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9" style="16" customWidth="1"/>
    <col min="6147" max="6148" width="7.85546875" style="16" customWidth="1"/>
    <col min="6149" max="6149" width="8.42578125" style="16" customWidth="1"/>
    <col min="6150" max="6150" width="8.140625" style="16" customWidth="1"/>
    <col min="6151" max="6152" width="7.85546875" style="16" customWidth="1"/>
    <col min="6153" max="6158" width="8.5703125" style="16" customWidth="1"/>
    <col min="6159" max="6159" width="7.570312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9" style="16" customWidth="1"/>
    <col min="6403" max="6404" width="7.85546875" style="16" customWidth="1"/>
    <col min="6405" max="6405" width="8.42578125" style="16" customWidth="1"/>
    <col min="6406" max="6406" width="8.140625" style="16" customWidth="1"/>
    <col min="6407" max="6408" width="7.85546875" style="16" customWidth="1"/>
    <col min="6409" max="6414" width="8.5703125" style="16" customWidth="1"/>
    <col min="6415" max="6415" width="7.570312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9" style="16" customWidth="1"/>
    <col min="6659" max="6660" width="7.85546875" style="16" customWidth="1"/>
    <col min="6661" max="6661" width="8.42578125" style="16" customWidth="1"/>
    <col min="6662" max="6662" width="8.140625" style="16" customWidth="1"/>
    <col min="6663" max="6664" width="7.85546875" style="16" customWidth="1"/>
    <col min="6665" max="6670" width="8.5703125" style="16" customWidth="1"/>
    <col min="6671" max="6671" width="7.570312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9" style="16" customWidth="1"/>
    <col min="6915" max="6916" width="7.85546875" style="16" customWidth="1"/>
    <col min="6917" max="6917" width="8.42578125" style="16" customWidth="1"/>
    <col min="6918" max="6918" width="8.140625" style="16" customWidth="1"/>
    <col min="6919" max="6920" width="7.85546875" style="16" customWidth="1"/>
    <col min="6921" max="6926" width="8.5703125" style="16" customWidth="1"/>
    <col min="6927" max="6927" width="7.570312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9" style="16" customWidth="1"/>
    <col min="7171" max="7172" width="7.85546875" style="16" customWidth="1"/>
    <col min="7173" max="7173" width="8.42578125" style="16" customWidth="1"/>
    <col min="7174" max="7174" width="8.140625" style="16" customWidth="1"/>
    <col min="7175" max="7176" width="7.85546875" style="16" customWidth="1"/>
    <col min="7177" max="7182" width="8.5703125" style="16" customWidth="1"/>
    <col min="7183" max="7183" width="7.570312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9" style="16" customWidth="1"/>
    <col min="7427" max="7428" width="7.85546875" style="16" customWidth="1"/>
    <col min="7429" max="7429" width="8.42578125" style="16" customWidth="1"/>
    <col min="7430" max="7430" width="8.140625" style="16" customWidth="1"/>
    <col min="7431" max="7432" width="7.85546875" style="16" customWidth="1"/>
    <col min="7433" max="7438" width="8.5703125" style="16" customWidth="1"/>
    <col min="7439" max="7439" width="7.570312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9" style="16" customWidth="1"/>
    <col min="7683" max="7684" width="7.85546875" style="16" customWidth="1"/>
    <col min="7685" max="7685" width="8.42578125" style="16" customWidth="1"/>
    <col min="7686" max="7686" width="8.140625" style="16" customWidth="1"/>
    <col min="7687" max="7688" width="7.85546875" style="16" customWidth="1"/>
    <col min="7689" max="7694" width="8.5703125" style="16" customWidth="1"/>
    <col min="7695" max="7695" width="7.570312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9" style="16" customWidth="1"/>
    <col min="7939" max="7940" width="7.85546875" style="16" customWidth="1"/>
    <col min="7941" max="7941" width="8.42578125" style="16" customWidth="1"/>
    <col min="7942" max="7942" width="8.140625" style="16" customWidth="1"/>
    <col min="7943" max="7944" width="7.85546875" style="16" customWidth="1"/>
    <col min="7945" max="7950" width="8.5703125" style="16" customWidth="1"/>
    <col min="7951" max="7951" width="7.570312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9" style="16" customWidth="1"/>
    <col min="8195" max="8196" width="7.85546875" style="16" customWidth="1"/>
    <col min="8197" max="8197" width="8.42578125" style="16" customWidth="1"/>
    <col min="8198" max="8198" width="8.140625" style="16" customWidth="1"/>
    <col min="8199" max="8200" width="7.85546875" style="16" customWidth="1"/>
    <col min="8201" max="8206" width="8.5703125" style="16" customWidth="1"/>
    <col min="8207" max="8207" width="7.570312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9" style="16" customWidth="1"/>
    <col min="8451" max="8452" width="7.85546875" style="16" customWidth="1"/>
    <col min="8453" max="8453" width="8.42578125" style="16" customWidth="1"/>
    <col min="8454" max="8454" width="8.140625" style="16" customWidth="1"/>
    <col min="8455" max="8456" width="7.85546875" style="16" customWidth="1"/>
    <col min="8457" max="8462" width="8.5703125" style="16" customWidth="1"/>
    <col min="8463" max="8463" width="7.570312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9" style="16" customWidth="1"/>
    <col min="8707" max="8708" width="7.85546875" style="16" customWidth="1"/>
    <col min="8709" max="8709" width="8.42578125" style="16" customWidth="1"/>
    <col min="8710" max="8710" width="8.140625" style="16" customWidth="1"/>
    <col min="8711" max="8712" width="7.85546875" style="16" customWidth="1"/>
    <col min="8713" max="8718" width="8.5703125" style="16" customWidth="1"/>
    <col min="8719" max="8719" width="7.570312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9" style="16" customWidth="1"/>
    <col min="8963" max="8964" width="7.85546875" style="16" customWidth="1"/>
    <col min="8965" max="8965" width="8.42578125" style="16" customWidth="1"/>
    <col min="8966" max="8966" width="8.140625" style="16" customWidth="1"/>
    <col min="8967" max="8968" width="7.85546875" style="16" customWidth="1"/>
    <col min="8969" max="8974" width="8.5703125" style="16" customWidth="1"/>
    <col min="8975" max="8975" width="7.570312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9" style="16" customWidth="1"/>
    <col min="9219" max="9220" width="7.85546875" style="16" customWidth="1"/>
    <col min="9221" max="9221" width="8.42578125" style="16" customWidth="1"/>
    <col min="9222" max="9222" width="8.140625" style="16" customWidth="1"/>
    <col min="9223" max="9224" width="7.85546875" style="16" customWidth="1"/>
    <col min="9225" max="9230" width="8.5703125" style="16" customWidth="1"/>
    <col min="9231" max="9231" width="7.570312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9" style="16" customWidth="1"/>
    <col min="9475" max="9476" width="7.85546875" style="16" customWidth="1"/>
    <col min="9477" max="9477" width="8.42578125" style="16" customWidth="1"/>
    <col min="9478" max="9478" width="8.140625" style="16" customWidth="1"/>
    <col min="9479" max="9480" width="7.85546875" style="16" customWidth="1"/>
    <col min="9481" max="9486" width="8.5703125" style="16" customWidth="1"/>
    <col min="9487" max="9487" width="7.570312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9" style="16" customWidth="1"/>
    <col min="9731" max="9732" width="7.85546875" style="16" customWidth="1"/>
    <col min="9733" max="9733" width="8.42578125" style="16" customWidth="1"/>
    <col min="9734" max="9734" width="8.140625" style="16" customWidth="1"/>
    <col min="9735" max="9736" width="7.85546875" style="16" customWidth="1"/>
    <col min="9737" max="9742" width="8.5703125" style="16" customWidth="1"/>
    <col min="9743" max="9743" width="7.570312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9" style="16" customWidth="1"/>
    <col min="9987" max="9988" width="7.85546875" style="16" customWidth="1"/>
    <col min="9989" max="9989" width="8.42578125" style="16" customWidth="1"/>
    <col min="9990" max="9990" width="8.140625" style="16" customWidth="1"/>
    <col min="9991" max="9992" width="7.85546875" style="16" customWidth="1"/>
    <col min="9993" max="9998" width="8.5703125" style="16" customWidth="1"/>
    <col min="9999" max="9999" width="7.570312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9" style="16" customWidth="1"/>
    <col min="10243" max="10244" width="7.85546875" style="16" customWidth="1"/>
    <col min="10245" max="10245" width="8.42578125" style="16" customWidth="1"/>
    <col min="10246" max="10246" width="8.140625" style="16" customWidth="1"/>
    <col min="10247" max="10248" width="7.85546875" style="16" customWidth="1"/>
    <col min="10249" max="10254" width="8.5703125" style="16" customWidth="1"/>
    <col min="10255" max="10255" width="7.570312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9" style="16" customWidth="1"/>
    <col min="10499" max="10500" width="7.85546875" style="16" customWidth="1"/>
    <col min="10501" max="10501" width="8.42578125" style="16" customWidth="1"/>
    <col min="10502" max="10502" width="8.140625" style="16" customWidth="1"/>
    <col min="10503" max="10504" width="7.85546875" style="16" customWidth="1"/>
    <col min="10505" max="10510" width="8.5703125" style="16" customWidth="1"/>
    <col min="10511" max="10511" width="7.570312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9" style="16" customWidth="1"/>
    <col min="10755" max="10756" width="7.85546875" style="16" customWidth="1"/>
    <col min="10757" max="10757" width="8.42578125" style="16" customWidth="1"/>
    <col min="10758" max="10758" width="8.140625" style="16" customWidth="1"/>
    <col min="10759" max="10760" width="7.85546875" style="16" customWidth="1"/>
    <col min="10761" max="10766" width="8.5703125" style="16" customWidth="1"/>
    <col min="10767" max="10767" width="7.570312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9" style="16" customWidth="1"/>
    <col min="11011" max="11012" width="7.85546875" style="16" customWidth="1"/>
    <col min="11013" max="11013" width="8.42578125" style="16" customWidth="1"/>
    <col min="11014" max="11014" width="8.140625" style="16" customWidth="1"/>
    <col min="11015" max="11016" width="7.85546875" style="16" customWidth="1"/>
    <col min="11017" max="11022" width="8.5703125" style="16" customWidth="1"/>
    <col min="11023" max="11023" width="7.570312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9" style="16" customWidth="1"/>
    <col min="11267" max="11268" width="7.85546875" style="16" customWidth="1"/>
    <col min="11269" max="11269" width="8.42578125" style="16" customWidth="1"/>
    <col min="11270" max="11270" width="8.140625" style="16" customWidth="1"/>
    <col min="11271" max="11272" width="7.85546875" style="16" customWidth="1"/>
    <col min="11273" max="11278" width="8.5703125" style="16" customWidth="1"/>
    <col min="11279" max="11279" width="7.570312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9" style="16" customWidth="1"/>
    <col min="11523" max="11524" width="7.85546875" style="16" customWidth="1"/>
    <col min="11525" max="11525" width="8.42578125" style="16" customWidth="1"/>
    <col min="11526" max="11526" width="8.140625" style="16" customWidth="1"/>
    <col min="11527" max="11528" width="7.85546875" style="16" customWidth="1"/>
    <col min="11529" max="11534" width="8.5703125" style="16" customWidth="1"/>
    <col min="11535" max="11535" width="7.570312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9" style="16" customWidth="1"/>
    <col min="11779" max="11780" width="7.85546875" style="16" customWidth="1"/>
    <col min="11781" max="11781" width="8.42578125" style="16" customWidth="1"/>
    <col min="11782" max="11782" width="8.140625" style="16" customWidth="1"/>
    <col min="11783" max="11784" width="7.85546875" style="16" customWidth="1"/>
    <col min="11785" max="11790" width="8.5703125" style="16" customWidth="1"/>
    <col min="11791" max="11791" width="7.570312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9" style="16" customWidth="1"/>
    <col min="12035" max="12036" width="7.85546875" style="16" customWidth="1"/>
    <col min="12037" max="12037" width="8.42578125" style="16" customWidth="1"/>
    <col min="12038" max="12038" width="8.140625" style="16" customWidth="1"/>
    <col min="12039" max="12040" width="7.85546875" style="16" customWidth="1"/>
    <col min="12041" max="12046" width="8.5703125" style="16" customWidth="1"/>
    <col min="12047" max="12047" width="7.570312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9" style="16" customWidth="1"/>
    <col min="12291" max="12292" width="7.85546875" style="16" customWidth="1"/>
    <col min="12293" max="12293" width="8.42578125" style="16" customWidth="1"/>
    <col min="12294" max="12294" width="8.140625" style="16" customWidth="1"/>
    <col min="12295" max="12296" width="7.85546875" style="16" customWidth="1"/>
    <col min="12297" max="12302" width="8.5703125" style="16" customWidth="1"/>
    <col min="12303" max="12303" width="7.570312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9" style="16" customWidth="1"/>
    <col min="12547" max="12548" width="7.85546875" style="16" customWidth="1"/>
    <col min="12549" max="12549" width="8.42578125" style="16" customWidth="1"/>
    <col min="12550" max="12550" width="8.140625" style="16" customWidth="1"/>
    <col min="12551" max="12552" width="7.85546875" style="16" customWidth="1"/>
    <col min="12553" max="12558" width="8.5703125" style="16" customWidth="1"/>
    <col min="12559" max="12559" width="7.570312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9" style="16" customWidth="1"/>
    <col min="12803" max="12804" width="7.85546875" style="16" customWidth="1"/>
    <col min="12805" max="12805" width="8.42578125" style="16" customWidth="1"/>
    <col min="12806" max="12806" width="8.140625" style="16" customWidth="1"/>
    <col min="12807" max="12808" width="7.85546875" style="16" customWidth="1"/>
    <col min="12809" max="12814" width="8.5703125" style="16" customWidth="1"/>
    <col min="12815" max="12815" width="7.570312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9" style="16" customWidth="1"/>
    <col min="13059" max="13060" width="7.85546875" style="16" customWidth="1"/>
    <col min="13061" max="13061" width="8.42578125" style="16" customWidth="1"/>
    <col min="13062" max="13062" width="8.140625" style="16" customWidth="1"/>
    <col min="13063" max="13064" width="7.85546875" style="16" customWidth="1"/>
    <col min="13065" max="13070" width="8.5703125" style="16" customWidth="1"/>
    <col min="13071" max="13071" width="7.570312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9" style="16" customWidth="1"/>
    <col min="13315" max="13316" width="7.85546875" style="16" customWidth="1"/>
    <col min="13317" max="13317" width="8.42578125" style="16" customWidth="1"/>
    <col min="13318" max="13318" width="8.140625" style="16" customWidth="1"/>
    <col min="13319" max="13320" width="7.85546875" style="16" customWidth="1"/>
    <col min="13321" max="13326" width="8.5703125" style="16" customWidth="1"/>
    <col min="13327" max="13327" width="7.570312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9" style="16" customWidth="1"/>
    <col min="13571" max="13572" width="7.85546875" style="16" customWidth="1"/>
    <col min="13573" max="13573" width="8.42578125" style="16" customWidth="1"/>
    <col min="13574" max="13574" width="8.140625" style="16" customWidth="1"/>
    <col min="13575" max="13576" width="7.85546875" style="16" customWidth="1"/>
    <col min="13577" max="13582" width="8.5703125" style="16" customWidth="1"/>
    <col min="13583" max="13583" width="7.570312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9" style="16" customWidth="1"/>
    <col min="13827" max="13828" width="7.85546875" style="16" customWidth="1"/>
    <col min="13829" max="13829" width="8.42578125" style="16" customWidth="1"/>
    <col min="13830" max="13830" width="8.140625" style="16" customWidth="1"/>
    <col min="13831" max="13832" width="7.85546875" style="16" customWidth="1"/>
    <col min="13833" max="13838" width="8.5703125" style="16" customWidth="1"/>
    <col min="13839" max="13839" width="7.570312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9" style="16" customWidth="1"/>
    <col min="14083" max="14084" width="7.85546875" style="16" customWidth="1"/>
    <col min="14085" max="14085" width="8.42578125" style="16" customWidth="1"/>
    <col min="14086" max="14086" width="8.140625" style="16" customWidth="1"/>
    <col min="14087" max="14088" width="7.85546875" style="16" customWidth="1"/>
    <col min="14089" max="14094" width="8.5703125" style="16" customWidth="1"/>
    <col min="14095" max="14095" width="7.570312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9" style="16" customWidth="1"/>
    <col min="14339" max="14340" width="7.85546875" style="16" customWidth="1"/>
    <col min="14341" max="14341" width="8.42578125" style="16" customWidth="1"/>
    <col min="14342" max="14342" width="8.140625" style="16" customWidth="1"/>
    <col min="14343" max="14344" width="7.85546875" style="16" customWidth="1"/>
    <col min="14345" max="14350" width="8.5703125" style="16" customWidth="1"/>
    <col min="14351" max="14351" width="7.570312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9" style="16" customWidth="1"/>
    <col min="14595" max="14596" width="7.85546875" style="16" customWidth="1"/>
    <col min="14597" max="14597" width="8.42578125" style="16" customWidth="1"/>
    <col min="14598" max="14598" width="8.140625" style="16" customWidth="1"/>
    <col min="14599" max="14600" width="7.85546875" style="16" customWidth="1"/>
    <col min="14601" max="14606" width="8.5703125" style="16" customWidth="1"/>
    <col min="14607" max="14607" width="7.570312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9" style="16" customWidth="1"/>
    <col min="14851" max="14852" width="7.85546875" style="16" customWidth="1"/>
    <col min="14853" max="14853" width="8.42578125" style="16" customWidth="1"/>
    <col min="14854" max="14854" width="8.140625" style="16" customWidth="1"/>
    <col min="14855" max="14856" width="7.85546875" style="16" customWidth="1"/>
    <col min="14857" max="14862" width="8.5703125" style="16" customWidth="1"/>
    <col min="14863" max="14863" width="7.570312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9" style="16" customWidth="1"/>
    <col min="15107" max="15108" width="7.85546875" style="16" customWidth="1"/>
    <col min="15109" max="15109" width="8.42578125" style="16" customWidth="1"/>
    <col min="15110" max="15110" width="8.140625" style="16" customWidth="1"/>
    <col min="15111" max="15112" width="7.85546875" style="16" customWidth="1"/>
    <col min="15113" max="15118" width="8.5703125" style="16" customWidth="1"/>
    <col min="15119" max="15119" width="7.570312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9" style="16" customWidth="1"/>
    <col min="15363" max="15364" width="7.85546875" style="16" customWidth="1"/>
    <col min="15365" max="15365" width="8.42578125" style="16" customWidth="1"/>
    <col min="15366" max="15366" width="8.140625" style="16" customWidth="1"/>
    <col min="15367" max="15368" width="7.85546875" style="16" customWidth="1"/>
    <col min="15369" max="15374" width="8.5703125" style="16" customWidth="1"/>
    <col min="15375" max="15375" width="7.570312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9" style="16" customWidth="1"/>
    <col min="15619" max="15620" width="7.85546875" style="16" customWidth="1"/>
    <col min="15621" max="15621" width="8.42578125" style="16" customWidth="1"/>
    <col min="15622" max="15622" width="8.140625" style="16" customWidth="1"/>
    <col min="15623" max="15624" width="7.85546875" style="16" customWidth="1"/>
    <col min="15625" max="15630" width="8.5703125" style="16" customWidth="1"/>
    <col min="15631" max="15631" width="7.570312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9" style="16" customWidth="1"/>
    <col min="15875" max="15876" width="7.85546875" style="16" customWidth="1"/>
    <col min="15877" max="15877" width="8.42578125" style="16" customWidth="1"/>
    <col min="15878" max="15878" width="8.140625" style="16" customWidth="1"/>
    <col min="15879" max="15880" width="7.85546875" style="16" customWidth="1"/>
    <col min="15881" max="15886" width="8.5703125" style="16" customWidth="1"/>
    <col min="15887" max="15887" width="7.570312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9" style="16" customWidth="1"/>
    <col min="16131" max="16132" width="7.85546875" style="16" customWidth="1"/>
    <col min="16133" max="16133" width="8.42578125" style="16" customWidth="1"/>
    <col min="16134" max="16134" width="8.140625" style="16" customWidth="1"/>
    <col min="16135" max="16136" width="7.85546875" style="16" customWidth="1"/>
    <col min="16137" max="16142" width="8.5703125" style="16" customWidth="1"/>
    <col min="16143" max="16143" width="7.570312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67" t="s">
        <v>449</v>
      </c>
      <c r="B1" s="868"/>
      <c r="C1" s="868"/>
      <c r="D1" s="869"/>
      <c r="E1" s="868"/>
      <c r="F1" s="868"/>
      <c r="G1" s="867" t="s">
        <v>102</v>
      </c>
      <c r="H1" s="869"/>
      <c r="I1" s="869" t="s">
        <v>1067</v>
      </c>
      <c r="J1" s="868"/>
      <c r="K1" s="868"/>
      <c r="L1" s="870"/>
      <c r="M1" s="870"/>
      <c r="N1" s="870"/>
      <c r="O1" s="870"/>
    </row>
    <row r="2" spans="1:15" s="1" customFormat="1" x14ac:dyDescent="0.2">
      <c r="A2" s="867" t="s">
        <v>103</v>
      </c>
      <c r="B2" s="868"/>
      <c r="C2" s="868"/>
      <c r="D2" s="869"/>
      <c r="E2" s="868"/>
      <c r="F2" s="868"/>
      <c r="G2" s="867" t="s">
        <v>104</v>
      </c>
      <c r="H2" s="869"/>
      <c r="I2" s="869" t="s">
        <v>105</v>
      </c>
      <c r="J2" s="868"/>
      <c r="K2" s="868"/>
      <c r="L2" s="870"/>
      <c r="M2" s="870"/>
      <c r="N2" s="870"/>
      <c r="O2" s="870"/>
    </row>
    <row r="3" spans="1:15" s="1" customFormat="1" x14ac:dyDescent="0.2">
      <c r="A3" s="867" t="s">
        <v>106</v>
      </c>
      <c r="B3" s="868"/>
      <c r="C3" s="868"/>
      <c r="D3" s="881">
        <v>24647</v>
      </c>
      <c r="E3" s="882"/>
      <c r="F3" s="882"/>
      <c r="G3" s="867" t="s">
        <v>107</v>
      </c>
      <c r="H3" s="869"/>
      <c r="I3" s="869" t="s">
        <v>108</v>
      </c>
      <c r="J3" s="868"/>
      <c r="K3" s="868"/>
      <c r="L3" s="870"/>
      <c r="M3" s="870"/>
      <c r="N3" s="870"/>
      <c r="O3" s="870"/>
    </row>
    <row r="4" spans="1:15" s="1" customFormat="1" x14ac:dyDescent="0.2">
      <c r="A4" s="867" t="s">
        <v>109</v>
      </c>
      <c r="B4" s="868"/>
      <c r="C4" s="868"/>
      <c r="D4" s="883"/>
      <c r="E4" s="868"/>
      <c r="F4" s="868"/>
      <c r="G4" s="867" t="s">
        <v>110</v>
      </c>
      <c r="H4" s="869"/>
      <c r="I4" s="869" t="s">
        <v>1068</v>
      </c>
      <c r="J4" s="868"/>
      <c r="K4" s="868"/>
      <c r="L4" s="870"/>
      <c r="M4" s="870"/>
      <c r="N4" s="870"/>
      <c r="O4" s="870"/>
    </row>
    <row r="5" spans="1:15" s="1" customFormat="1" x14ac:dyDescent="0.2">
      <c r="A5" s="867" t="s">
        <v>443</v>
      </c>
      <c r="B5" s="868"/>
      <c r="C5" s="868"/>
      <c r="D5" s="869" t="s">
        <v>1069</v>
      </c>
      <c r="E5" s="868"/>
      <c r="F5" s="868"/>
      <c r="G5" s="867"/>
      <c r="H5" s="868"/>
      <c r="I5" s="869" t="s">
        <v>113</v>
      </c>
      <c r="J5" s="868"/>
      <c r="K5" s="868"/>
      <c r="L5" s="870"/>
      <c r="M5" s="870"/>
      <c r="N5" s="870"/>
      <c r="O5" s="870"/>
    </row>
    <row r="6" spans="1:15" s="1" customFormat="1" x14ac:dyDescent="0.2">
      <c r="A6" s="871" t="s">
        <v>114</v>
      </c>
      <c r="B6" s="872"/>
      <c r="C6" s="872"/>
      <c r="D6" s="868" t="s">
        <v>937</v>
      </c>
      <c r="E6" s="868"/>
      <c r="F6" s="868"/>
      <c r="G6" s="871" t="s">
        <v>115</v>
      </c>
      <c r="H6" s="871"/>
      <c r="I6" s="2" t="s">
        <v>222</v>
      </c>
      <c r="J6" s="888"/>
      <c r="K6" s="888"/>
      <c r="L6" s="888"/>
      <c r="M6" s="888"/>
      <c r="N6" s="888"/>
      <c r="O6" s="889"/>
    </row>
    <row r="7" spans="1:15" s="1" customFormat="1" ht="13.5" thickBot="1" x14ac:dyDescent="0.25">
      <c r="A7" s="3"/>
      <c r="B7" s="4"/>
      <c r="C7" s="5"/>
      <c r="D7" s="6"/>
      <c r="E7" s="6"/>
      <c r="F7" s="6"/>
      <c r="G7" s="6"/>
      <c r="H7" s="6"/>
      <c r="I7" s="6"/>
      <c r="J7" s="7"/>
      <c r="K7" s="8"/>
      <c r="L7" s="875" t="s">
        <v>223</v>
      </c>
      <c r="M7" s="875"/>
      <c r="N7" s="875"/>
      <c r="O7" s="875"/>
    </row>
    <row r="8" spans="1:15" s="11" customFormat="1" x14ac:dyDescent="0.2">
      <c r="A8" s="876" t="str">
        <f>I1</f>
        <v>Ms. J.D.Makhijani</v>
      </c>
      <c r="B8" s="877"/>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58600</v>
      </c>
      <c r="D9" s="14">
        <v>58600</v>
      </c>
      <c r="E9" s="14">
        <v>58600</v>
      </c>
      <c r="F9" s="14">
        <v>58600</v>
      </c>
      <c r="G9" s="14">
        <v>60400</v>
      </c>
      <c r="H9" s="14">
        <v>60400</v>
      </c>
      <c r="I9" s="14">
        <v>60400</v>
      </c>
      <c r="J9" s="14">
        <v>60400</v>
      </c>
      <c r="K9" s="14">
        <v>60400</v>
      </c>
      <c r="L9" s="14">
        <v>60400</v>
      </c>
      <c r="M9" s="14">
        <v>60400</v>
      </c>
      <c r="N9" s="14">
        <v>60400</v>
      </c>
      <c r="O9" s="15">
        <f>SUM(C9:N9)</f>
        <v>717600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2930</v>
      </c>
      <c r="D11" s="17">
        <v>4102</v>
      </c>
      <c r="E11" s="17">
        <v>4102</v>
      </c>
      <c r="F11" s="17">
        <v>4102</v>
      </c>
      <c r="G11" s="17">
        <v>4228</v>
      </c>
      <c r="H11" s="17">
        <v>4228</v>
      </c>
      <c r="I11" s="17">
        <v>4228</v>
      </c>
      <c r="J11" s="17">
        <v>5436</v>
      </c>
      <c r="K11" s="17">
        <v>5436</v>
      </c>
      <c r="L11" s="17">
        <v>5436</v>
      </c>
      <c r="M11" s="17">
        <v>5436</v>
      </c>
      <c r="N11" s="17">
        <v>5436</v>
      </c>
      <c r="O11" s="18">
        <f>SUM(C11:N11)</f>
        <v>55100</v>
      </c>
    </row>
    <row r="12" spans="1:15"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x14ac:dyDescent="0.2">
      <c r="A14" s="12"/>
      <c r="B14" s="13" t="s">
        <v>123</v>
      </c>
      <c r="C14" s="17">
        <v>3780</v>
      </c>
      <c r="D14" s="17">
        <v>3852</v>
      </c>
      <c r="E14" s="17">
        <v>3852</v>
      </c>
      <c r="F14" s="17">
        <v>3852</v>
      </c>
      <c r="G14" s="17">
        <v>3852</v>
      </c>
      <c r="H14" s="17">
        <v>3852</v>
      </c>
      <c r="I14" s="17">
        <v>3852</v>
      </c>
      <c r="J14" s="17">
        <v>3924</v>
      </c>
      <c r="K14" s="17">
        <v>3924</v>
      </c>
      <c r="L14" s="17">
        <v>3924</v>
      </c>
      <c r="M14" s="17">
        <v>3924</v>
      </c>
      <c r="N14" s="17">
        <v>3924</v>
      </c>
      <c r="O14" s="18">
        <f t="shared" si="0"/>
        <v>46512</v>
      </c>
    </row>
    <row r="15" spans="1:15"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hidden="1"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14064</v>
      </c>
      <c r="D19" s="17">
        <v>14064</v>
      </c>
      <c r="E19" s="17">
        <v>14064</v>
      </c>
      <c r="F19" s="17">
        <v>14064</v>
      </c>
      <c r="G19" s="17">
        <v>14496</v>
      </c>
      <c r="H19" s="17">
        <v>14496</v>
      </c>
      <c r="I19" s="17">
        <v>14496</v>
      </c>
      <c r="J19" s="17">
        <v>14496</v>
      </c>
      <c r="K19" s="17">
        <v>14496</v>
      </c>
      <c r="L19" s="17">
        <v>14496</v>
      </c>
      <c r="M19" s="17">
        <v>14496</v>
      </c>
      <c r="N19" s="17">
        <v>14496</v>
      </c>
      <c r="O19" s="18">
        <f t="shared" si="0"/>
        <v>172224</v>
      </c>
    </row>
    <row r="20" spans="1:15" ht="15" customHeight="1" x14ac:dyDescent="0.2">
      <c r="A20" s="12"/>
      <c r="B20" s="13" t="s">
        <v>143</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78"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79"/>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5" ht="15" hidden="1" customHeight="1" x14ac:dyDescent="0.2">
      <c r="A23" s="879"/>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79"/>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79"/>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79"/>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79"/>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79"/>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79"/>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79"/>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79"/>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79"/>
      <c r="B32" s="21" t="s">
        <v>142</v>
      </c>
      <c r="C32" s="17">
        <v>0</v>
      </c>
      <c r="D32" s="17">
        <v>0</v>
      </c>
      <c r="E32" s="17">
        <v>0</v>
      </c>
      <c r="F32" s="17">
        <v>0</v>
      </c>
      <c r="G32" s="17">
        <v>0</v>
      </c>
      <c r="H32" s="17">
        <v>0</v>
      </c>
      <c r="I32" s="17">
        <v>0</v>
      </c>
      <c r="J32" s="17">
        <v>0</v>
      </c>
      <c r="K32" s="17">
        <v>0</v>
      </c>
      <c r="L32" s="17">
        <v>0</v>
      </c>
      <c r="M32" s="17">
        <v>0</v>
      </c>
      <c r="N32" s="17">
        <v>0</v>
      </c>
      <c r="O32" s="18">
        <f t="shared" si="0"/>
        <v>0</v>
      </c>
    </row>
    <row r="33" spans="1:20" ht="15" hidden="1" customHeight="1" x14ac:dyDescent="0.2">
      <c r="A33" s="880"/>
      <c r="B33" s="19" t="s">
        <v>226</v>
      </c>
      <c r="C33" s="17">
        <v>0</v>
      </c>
      <c r="D33" s="17">
        <v>0</v>
      </c>
      <c r="E33" s="17">
        <v>0</v>
      </c>
      <c r="F33" s="17">
        <v>0</v>
      </c>
      <c r="G33" s="17">
        <v>0</v>
      </c>
      <c r="H33" s="17">
        <v>0</v>
      </c>
      <c r="I33" s="17">
        <v>0</v>
      </c>
      <c r="J33" s="17">
        <v>0</v>
      </c>
      <c r="K33" s="17">
        <v>0</v>
      </c>
      <c r="L33" s="17">
        <v>0</v>
      </c>
      <c r="M33" s="17">
        <v>0</v>
      </c>
      <c r="N33" s="17">
        <v>0</v>
      </c>
      <c r="O33" s="18">
        <f t="shared" si="0"/>
        <v>0</v>
      </c>
    </row>
    <row r="34" spans="1:20" ht="15" customHeight="1" x14ac:dyDescent="0.2">
      <c r="A34" s="865" t="s">
        <v>144</v>
      </c>
      <c r="B34" s="866"/>
      <c r="C34" s="17">
        <v>0</v>
      </c>
      <c r="D34" s="17">
        <v>0</v>
      </c>
      <c r="E34" s="17">
        <v>0</v>
      </c>
      <c r="F34" s="17">
        <v>0</v>
      </c>
      <c r="G34" s="17">
        <v>0</v>
      </c>
      <c r="H34" s="17">
        <v>0</v>
      </c>
      <c r="I34" s="17">
        <v>0</v>
      </c>
      <c r="J34" s="17">
        <v>0</v>
      </c>
      <c r="K34" s="17">
        <v>0</v>
      </c>
      <c r="L34" s="17">
        <v>0</v>
      </c>
      <c r="M34" s="17">
        <v>0</v>
      </c>
      <c r="N34" s="17">
        <v>0</v>
      </c>
      <c r="O34" s="18">
        <f t="shared" si="0"/>
        <v>0</v>
      </c>
    </row>
    <row r="35" spans="1:20" ht="15" customHeight="1" x14ac:dyDescent="0.2">
      <c r="A35" s="865" t="s">
        <v>145</v>
      </c>
      <c r="B35" s="866"/>
      <c r="C35" s="17">
        <v>0</v>
      </c>
      <c r="D35" s="17">
        <v>216</v>
      </c>
      <c r="E35" s="17">
        <v>0</v>
      </c>
      <c r="F35" s="17">
        <v>0</v>
      </c>
      <c r="G35" s="17">
        <v>0</v>
      </c>
      <c r="H35" s="17">
        <v>0</v>
      </c>
      <c r="I35" s="17">
        <v>0</v>
      </c>
      <c r="J35" s="17">
        <v>216</v>
      </c>
      <c r="K35" s="17">
        <v>0</v>
      </c>
      <c r="L35" s="17">
        <v>0</v>
      </c>
      <c r="M35" s="17">
        <v>0</v>
      </c>
      <c r="N35" s="17">
        <v>0</v>
      </c>
      <c r="O35" s="18">
        <f t="shared" si="0"/>
        <v>432</v>
      </c>
    </row>
    <row r="36" spans="1:20" ht="15" customHeight="1" x14ac:dyDescent="0.2">
      <c r="A36" s="865" t="s">
        <v>146</v>
      </c>
      <c r="B36" s="866"/>
      <c r="C36" s="17">
        <v>0</v>
      </c>
      <c r="D36" s="17">
        <v>3516</v>
      </c>
      <c r="E36" s="17">
        <v>0</v>
      </c>
      <c r="F36" s="17">
        <v>0</v>
      </c>
      <c r="G36" s="17">
        <v>0</v>
      </c>
      <c r="H36" s="17">
        <v>0</v>
      </c>
      <c r="I36" s="17">
        <v>0</v>
      </c>
      <c r="J36" s="17">
        <v>3624</v>
      </c>
      <c r="K36" s="17">
        <v>0</v>
      </c>
      <c r="L36" s="17">
        <v>0</v>
      </c>
      <c r="M36" s="17">
        <v>0</v>
      </c>
      <c r="N36" s="17">
        <v>0</v>
      </c>
      <c r="O36" s="18">
        <f t="shared" si="0"/>
        <v>7140</v>
      </c>
    </row>
    <row r="37" spans="1:20" ht="15" customHeight="1" x14ac:dyDescent="0.2">
      <c r="A37" s="22"/>
      <c r="B37" s="23" t="s">
        <v>147</v>
      </c>
      <c r="C37" s="24">
        <f t="shared" ref="C37:N37" si="1">SUM(C9:C36)</f>
        <v>79374</v>
      </c>
      <c r="D37" s="24">
        <f t="shared" si="1"/>
        <v>84350</v>
      </c>
      <c r="E37" s="24">
        <f t="shared" si="1"/>
        <v>80618</v>
      </c>
      <c r="F37" s="24">
        <f t="shared" si="1"/>
        <v>80618</v>
      </c>
      <c r="G37" s="24">
        <f t="shared" si="1"/>
        <v>82976</v>
      </c>
      <c r="H37" s="24">
        <f t="shared" si="1"/>
        <v>82976</v>
      </c>
      <c r="I37" s="24">
        <f t="shared" si="1"/>
        <v>82976</v>
      </c>
      <c r="J37" s="24">
        <f t="shared" si="1"/>
        <v>95004</v>
      </c>
      <c r="K37" s="24">
        <f t="shared" si="1"/>
        <v>84256</v>
      </c>
      <c r="L37" s="24">
        <f t="shared" si="1"/>
        <v>84256</v>
      </c>
      <c r="M37" s="24">
        <f t="shared" si="1"/>
        <v>84256</v>
      </c>
      <c r="N37" s="24">
        <f t="shared" si="1"/>
        <v>84256</v>
      </c>
      <c r="O37" s="25">
        <f>SUM(C37:N37)</f>
        <v>1005916</v>
      </c>
      <c r="T37" s="16">
        <f>10772+6085</f>
        <v>16857</v>
      </c>
    </row>
    <row r="38" spans="1:20" ht="15" customHeight="1" x14ac:dyDescent="0.25">
      <c r="A38" s="853" t="s">
        <v>148</v>
      </c>
      <c r="B38" s="27" t="s">
        <v>149</v>
      </c>
      <c r="C38" s="28">
        <v>4800</v>
      </c>
      <c r="D38" s="28">
        <v>5000</v>
      </c>
      <c r="E38" s="28">
        <v>5000</v>
      </c>
      <c r="F38" s="28">
        <v>0</v>
      </c>
      <c r="G38" s="28">
        <v>0</v>
      </c>
      <c r="H38" s="28">
        <v>0</v>
      </c>
      <c r="I38" s="28">
        <v>0</v>
      </c>
      <c r="J38" s="28">
        <v>0</v>
      </c>
      <c r="K38" s="28">
        <v>5000</v>
      </c>
      <c r="L38" s="28">
        <v>5455</v>
      </c>
      <c r="M38" s="28">
        <v>5450</v>
      </c>
      <c r="N38">
        <v>5810</v>
      </c>
      <c r="O38" s="18">
        <f>SUM(C38:N38)</f>
        <v>36515</v>
      </c>
      <c r="P38" s="29"/>
    </row>
    <row r="39" spans="1:20" ht="15" x14ac:dyDescent="0.2">
      <c r="A39" s="854"/>
      <c r="B39" s="27" t="s">
        <v>150</v>
      </c>
      <c r="C39" s="28">
        <v>0</v>
      </c>
      <c r="D39" s="28">
        <v>0</v>
      </c>
      <c r="E39" s="28">
        <v>0</v>
      </c>
      <c r="F39" s="28">
        <v>0</v>
      </c>
      <c r="G39" s="28">
        <v>0</v>
      </c>
      <c r="H39" s="28">
        <v>0</v>
      </c>
      <c r="I39" s="28">
        <v>0</v>
      </c>
      <c r="J39" s="28">
        <v>0</v>
      </c>
      <c r="K39" s="28">
        <v>0</v>
      </c>
      <c r="L39" s="28">
        <v>0</v>
      </c>
      <c r="M39" s="28">
        <v>0</v>
      </c>
      <c r="N39" s="28">
        <v>0</v>
      </c>
      <c r="O39" s="18">
        <f>SUM(C39:N39)</f>
        <v>0</v>
      </c>
    </row>
    <row r="40" spans="1:20" ht="15" x14ac:dyDescent="0.2">
      <c r="A40" s="854"/>
      <c r="B40" s="27" t="s">
        <v>151</v>
      </c>
      <c r="C40" s="28">
        <v>60</v>
      </c>
      <c r="D40" s="28">
        <v>60</v>
      </c>
      <c r="E40" s="28">
        <v>60</v>
      </c>
      <c r="F40" s="28">
        <v>60</v>
      </c>
      <c r="G40" s="28">
        <v>60</v>
      </c>
      <c r="H40" s="28">
        <v>60</v>
      </c>
      <c r="I40" s="28">
        <v>60</v>
      </c>
      <c r="J40" s="28">
        <v>60</v>
      </c>
      <c r="K40" s="28">
        <v>60</v>
      </c>
      <c r="L40" s="28">
        <v>60</v>
      </c>
      <c r="M40" s="28">
        <v>60</v>
      </c>
      <c r="N40" s="28">
        <v>60</v>
      </c>
      <c r="O40" s="18">
        <f t="shared" ref="O40:O50" si="2">SUM(C40:N40)</f>
        <v>720</v>
      </c>
    </row>
    <row r="41" spans="1:20" ht="15" x14ac:dyDescent="0.2">
      <c r="A41" s="854"/>
      <c r="B41" s="27" t="s">
        <v>152</v>
      </c>
      <c r="C41" s="28">
        <v>0</v>
      </c>
      <c r="D41" s="28">
        <v>0</v>
      </c>
      <c r="E41" s="28">
        <v>0</v>
      </c>
      <c r="F41" s="28">
        <v>0</v>
      </c>
      <c r="G41" s="28">
        <v>0</v>
      </c>
      <c r="H41" s="28">
        <v>0</v>
      </c>
      <c r="I41" s="28">
        <v>0</v>
      </c>
      <c r="J41" s="28">
        <v>0</v>
      </c>
      <c r="K41" s="28">
        <v>0</v>
      </c>
      <c r="L41" s="28">
        <v>0</v>
      </c>
      <c r="M41" s="28">
        <v>0</v>
      </c>
      <c r="N41" s="28">
        <v>0</v>
      </c>
      <c r="O41" s="18">
        <f t="shared" si="2"/>
        <v>0</v>
      </c>
    </row>
    <row r="42" spans="1:20" ht="15" x14ac:dyDescent="0.2">
      <c r="A42" s="854"/>
      <c r="B42" s="27" t="s">
        <v>153</v>
      </c>
      <c r="C42" s="28">
        <v>650</v>
      </c>
      <c r="D42" s="28">
        <v>650</v>
      </c>
      <c r="E42" s="28">
        <v>650</v>
      </c>
      <c r="F42" s="28">
        <v>650</v>
      </c>
      <c r="G42" s="28">
        <v>650</v>
      </c>
      <c r="H42" s="28">
        <v>0</v>
      </c>
      <c r="I42" s="28">
        <v>0</v>
      </c>
      <c r="J42" s="28">
        <v>0</v>
      </c>
      <c r="K42" s="28">
        <v>0</v>
      </c>
      <c r="L42" s="28">
        <v>0</v>
      </c>
      <c r="M42" s="28">
        <v>0</v>
      </c>
      <c r="N42" s="28">
        <v>0</v>
      </c>
      <c r="O42" s="18">
        <f t="shared" si="2"/>
        <v>3250</v>
      </c>
    </row>
    <row r="43" spans="1:20" ht="15" x14ac:dyDescent="0.2">
      <c r="A43" s="854"/>
      <c r="B43" s="27" t="s">
        <v>154</v>
      </c>
      <c r="C43" s="28">
        <v>3500</v>
      </c>
      <c r="D43" s="28">
        <v>3500</v>
      </c>
      <c r="E43" s="28">
        <v>3500</v>
      </c>
      <c r="F43" s="28">
        <v>3500</v>
      </c>
      <c r="G43" s="28">
        <v>3500</v>
      </c>
      <c r="H43" s="28">
        <v>3500</v>
      </c>
      <c r="I43" s="28">
        <v>3500</v>
      </c>
      <c r="J43" s="28">
        <v>3500</v>
      </c>
      <c r="K43" s="28">
        <v>3500</v>
      </c>
      <c r="L43" s="28">
        <v>3500</v>
      </c>
      <c r="M43" s="28">
        <v>3500</v>
      </c>
      <c r="N43" s="28">
        <v>3500</v>
      </c>
      <c r="O43" s="18">
        <f t="shared" si="2"/>
        <v>42000</v>
      </c>
    </row>
    <row r="44" spans="1:20" ht="15" x14ac:dyDescent="0.2">
      <c r="A44" s="854"/>
      <c r="B44" s="27" t="s">
        <v>155</v>
      </c>
      <c r="C44" s="28">
        <v>200</v>
      </c>
      <c r="D44" s="28">
        <v>200</v>
      </c>
      <c r="E44" s="28">
        <v>200</v>
      </c>
      <c r="F44" s="28">
        <v>200</v>
      </c>
      <c r="G44" s="28">
        <v>200</v>
      </c>
      <c r="H44" s="28">
        <v>200</v>
      </c>
      <c r="I44" s="28">
        <v>200</v>
      </c>
      <c r="J44" s="28">
        <v>200</v>
      </c>
      <c r="K44" s="28">
        <v>200</v>
      </c>
      <c r="L44" s="28">
        <v>200</v>
      </c>
      <c r="M44" s="28">
        <v>200</v>
      </c>
      <c r="N44" s="28">
        <v>200</v>
      </c>
      <c r="O44" s="18">
        <f t="shared" si="2"/>
        <v>2400</v>
      </c>
    </row>
    <row r="45" spans="1:20" ht="15" x14ac:dyDescent="0.2">
      <c r="A45" s="854"/>
      <c r="B45" s="27" t="s">
        <v>156</v>
      </c>
      <c r="C45" s="28">
        <v>0</v>
      </c>
      <c r="D45" s="28">
        <v>0</v>
      </c>
      <c r="E45" s="28">
        <v>0</v>
      </c>
      <c r="F45" s="28">
        <v>0</v>
      </c>
      <c r="G45" s="28">
        <v>0</v>
      </c>
      <c r="H45" s="28">
        <v>0</v>
      </c>
      <c r="I45" s="28">
        <v>0</v>
      </c>
      <c r="J45" s="28">
        <v>0</v>
      </c>
      <c r="K45" s="28">
        <v>0</v>
      </c>
      <c r="L45" s="28">
        <v>0</v>
      </c>
      <c r="M45" s="28">
        <v>0</v>
      </c>
      <c r="N45" s="28">
        <v>0</v>
      </c>
      <c r="O45" s="18">
        <f t="shared" si="2"/>
        <v>0</v>
      </c>
    </row>
    <row r="46" spans="1:20" ht="15" x14ac:dyDescent="0.2">
      <c r="A46" s="854"/>
      <c r="B46" s="27" t="s">
        <v>157</v>
      </c>
      <c r="C46" s="28">
        <v>0</v>
      </c>
      <c r="D46" s="28">
        <v>0</v>
      </c>
      <c r="E46" s="28">
        <v>0</v>
      </c>
      <c r="F46" s="28">
        <v>0</v>
      </c>
      <c r="G46" s="28">
        <v>0</v>
      </c>
      <c r="H46" s="28">
        <v>0</v>
      </c>
      <c r="I46" s="28">
        <v>0</v>
      </c>
      <c r="J46" s="28">
        <v>0</v>
      </c>
      <c r="K46" s="28">
        <v>0</v>
      </c>
      <c r="L46" s="28">
        <v>0</v>
      </c>
      <c r="M46" s="28">
        <v>0</v>
      </c>
      <c r="N46" s="28">
        <v>0</v>
      </c>
      <c r="O46" s="18">
        <f t="shared" si="2"/>
        <v>0</v>
      </c>
    </row>
    <row r="47" spans="1:20" ht="28.5" customHeight="1" x14ac:dyDescent="0.2">
      <c r="A47" s="855"/>
      <c r="B47" s="30" t="s">
        <v>158</v>
      </c>
      <c r="C47" s="28">
        <v>0</v>
      </c>
      <c r="D47" s="28">
        <v>0</v>
      </c>
      <c r="E47" s="28">
        <v>0</v>
      </c>
      <c r="F47" s="28">
        <v>0</v>
      </c>
      <c r="G47" s="28">
        <v>0</v>
      </c>
      <c r="H47" s="28">
        <v>0</v>
      </c>
      <c r="I47" s="28">
        <v>0</v>
      </c>
      <c r="J47" s="28">
        <v>0</v>
      </c>
      <c r="K47" s="28">
        <v>0</v>
      </c>
      <c r="L47" s="28">
        <v>0</v>
      </c>
      <c r="M47" s="28">
        <v>0</v>
      </c>
      <c r="N47" s="28">
        <v>0</v>
      </c>
      <c r="O47" s="31">
        <f t="shared" si="2"/>
        <v>0</v>
      </c>
    </row>
    <row r="48" spans="1:20" ht="15" x14ac:dyDescent="0.2">
      <c r="A48" s="856"/>
      <c r="B48" s="127" t="s">
        <v>479</v>
      </c>
      <c r="C48" s="28">
        <v>0</v>
      </c>
      <c r="D48" s="28">
        <v>0</v>
      </c>
      <c r="E48" s="28">
        <v>0</v>
      </c>
      <c r="F48" s="28">
        <v>0</v>
      </c>
      <c r="G48" s="28">
        <v>0</v>
      </c>
      <c r="H48" s="28">
        <v>0</v>
      </c>
      <c r="I48" s="28">
        <v>0</v>
      </c>
      <c r="J48" s="28">
        <v>0</v>
      </c>
      <c r="K48" s="28">
        <v>0</v>
      </c>
      <c r="L48" s="28">
        <v>0</v>
      </c>
      <c r="M48" s="28">
        <v>0</v>
      </c>
      <c r="N48" s="28">
        <v>0</v>
      </c>
      <c r="O48" s="31">
        <f t="shared" si="2"/>
        <v>0</v>
      </c>
    </row>
    <row r="49" spans="1:18" ht="15" x14ac:dyDescent="0.2">
      <c r="A49" s="857" t="s">
        <v>160</v>
      </c>
      <c r="B49" s="858"/>
      <c r="C49" s="33">
        <f t="shared" ref="C49:N49" si="3">SUM(C38:C48)</f>
        <v>9210</v>
      </c>
      <c r="D49" s="33">
        <f t="shared" si="3"/>
        <v>9410</v>
      </c>
      <c r="E49" s="33">
        <f t="shared" si="3"/>
        <v>9410</v>
      </c>
      <c r="F49" s="33">
        <f t="shared" si="3"/>
        <v>4410</v>
      </c>
      <c r="G49" s="33">
        <f t="shared" si="3"/>
        <v>4410</v>
      </c>
      <c r="H49" s="33">
        <f t="shared" si="3"/>
        <v>3760</v>
      </c>
      <c r="I49" s="33">
        <f t="shared" si="3"/>
        <v>3760</v>
      </c>
      <c r="J49" s="33">
        <f t="shared" si="3"/>
        <v>3760</v>
      </c>
      <c r="K49" s="33">
        <f t="shared" si="3"/>
        <v>8760</v>
      </c>
      <c r="L49" s="33">
        <f t="shared" si="3"/>
        <v>9215</v>
      </c>
      <c r="M49" s="33">
        <f t="shared" si="3"/>
        <v>9210</v>
      </c>
      <c r="N49" s="33">
        <f t="shared" si="3"/>
        <v>9570</v>
      </c>
      <c r="O49" s="34">
        <f t="shared" si="2"/>
        <v>84885</v>
      </c>
    </row>
    <row r="50" spans="1:18" ht="15.75" thickBot="1" x14ac:dyDescent="0.25">
      <c r="A50" s="859" t="s">
        <v>161</v>
      </c>
      <c r="B50" s="860"/>
      <c r="C50" s="35">
        <f t="shared" ref="C50:N50" si="4">C37-C49</f>
        <v>70164</v>
      </c>
      <c r="D50" s="35">
        <f t="shared" si="4"/>
        <v>74940</v>
      </c>
      <c r="E50" s="35">
        <f t="shared" si="4"/>
        <v>71208</v>
      </c>
      <c r="F50" s="35">
        <f t="shared" si="4"/>
        <v>76208</v>
      </c>
      <c r="G50" s="35">
        <f t="shared" si="4"/>
        <v>78566</v>
      </c>
      <c r="H50" s="35">
        <f t="shared" si="4"/>
        <v>79216</v>
      </c>
      <c r="I50" s="35">
        <f t="shared" si="4"/>
        <v>79216</v>
      </c>
      <c r="J50" s="35">
        <f t="shared" si="4"/>
        <v>91244</v>
      </c>
      <c r="K50" s="35">
        <f t="shared" si="4"/>
        <v>75496</v>
      </c>
      <c r="L50" s="35">
        <f t="shared" si="4"/>
        <v>75041</v>
      </c>
      <c r="M50" s="35">
        <f t="shared" si="4"/>
        <v>75046</v>
      </c>
      <c r="N50" s="35">
        <f t="shared" si="4"/>
        <v>74686</v>
      </c>
      <c r="O50" s="36">
        <f t="shared" si="2"/>
        <v>921031</v>
      </c>
    </row>
    <row r="51" spans="1:18" x14ac:dyDescent="0.2">
      <c r="J51" s="300">
        <f>+J37-SUM(J22:J36)</f>
        <v>84256</v>
      </c>
      <c r="Q51" s="38"/>
    </row>
    <row r="52" spans="1:18" ht="13.5" thickBot="1" x14ac:dyDescent="0.25">
      <c r="J52" s="38">
        <f>+J51-J49</f>
        <v>80496</v>
      </c>
    </row>
    <row r="53" spans="1:18" ht="13.5" thickBot="1" x14ac:dyDescent="0.25">
      <c r="B53" s="789" t="s">
        <v>162</v>
      </c>
      <c r="C53" s="861"/>
      <c r="D53" s="861"/>
      <c r="E53" s="861"/>
      <c r="F53" s="862"/>
      <c r="G53" s="863">
        <f>O37</f>
        <v>1005916</v>
      </c>
      <c r="H53" s="864"/>
    </row>
    <row r="54" spans="1:18" ht="13.5" thickBot="1" x14ac:dyDescent="0.25"/>
    <row r="55" spans="1:18" x14ac:dyDescent="0.2">
      <c r="B55" s="830" t="s">
        <v>163</v>
      </c>
      <c r="C55" s="833" t="s">
        <v>164</v>
      </c>
      <c r="D55" s="836" t="s">
        <v>229</v>
      </c>
      <c r="E55" s="837"/>
      <c r="F55" s="838"/>
      <c r="G55" s="839">
        <v>40000</v>
      </c>
      <c r="H55" s="840"/>
    </row>
    <row r="56" spans="1:18" x14ac:dyDescent="0.2">
      <c r="B56" s="831"/>
      <c r="C56" s="834"/>
      <c r="D56" s="841" t="s">
        <v>166</v>
      </c>
      <c r="E56" s="842"/>
      <c r="F56" s="843"/>
      <c r="G56" s="844">
        <f>+O44</f>
        <v>2400</v>
      </c>
      <c r="H56" s="845"/>
      <c r="I56" s="39"/>
      <c r="J56" s="846"/>
      <c r="K56" s="846"/>
      <c r="L56" s="846"/>
      <c r="M56" s="847"/>
      <c r="N56" s="847"/>
      <c r="O56" s="847"/>
    </row>
    <row r="57" spans="1:18" ht="13.5" thickBot="1" x14ac:dyDescent="0.25">
      <c r="B57" s="832"/>
      <c r="C57" s="835"/>
      <c r="D57" s="848" t="s">
        <v>243</v>
      </c>
      <c r="E57" s="849"/>
      <c r="F57" s="850"/>
      <c r="G57" s="851">
        <f>IF(O18&gt;15000,15000,+O18)</f>
        <v>0</v>
      </c>
      <c r="H57" s="852"/>
      <c r="J57" s="47"/>
      <c r="K57" s="47"/>
      <c r="L57" s="47"/>
      <c r="M57" s="47"/>
      <c r="N57" s="47"/>
      <c r="O57" s="47"/>
    </row>
    <row r="58" spans="1:18" ht="13.5" thickBot="1" x14ac:dyDescent="0.25">
      <c r="B58" s="48"/>
      <c r="J58" s="47"/>
      <c r="K58" s="47"/>
      <c r="L58" s="47"/>
      <c r="M58" s="47"/>
      <c r="N58" s="47"/>
      <c r="O58" s="47"/>
    </row>
    <row r="59" spans="1:18" ht="13.5" thickBot="1" x14ac:dyDescent="0.25">
      <c r="B59" s="789" t="s">
        <v>168</v>
      </c>
      <c r="C59" s="790"/>
      <c r="D59" s="790"/>
      <c r="E59" s="790"/>
      <c r="F59" s="791"/>
      <c r="G59" s="825">
        <f>+G53-SUM(G55:H57)</f>
        <v>963516</v>
      </c>
      <c r="H59" s="826"/>
      <c r="J59" s="827" t="s">
        <v>169</v>
      </c>
      <c r="K59" s="828"/>
      <c r="L59" s="828"/>
      <c r="M59" s="828"/>
      <c r="N59" s="828"/>
      <c r="O59" s="829"/>
    </row>
    <row r="60" spans="1:18" ht="13.5" thickBot="1" x14ac:dyDescent="0.25">
      <c r="B60" s="49"/>
      <c r="C60" s="50"/>
      <c r="D60" s="50"/>
      <c r="E60" s="50"/>
      <c r="F60" s="50"/>
      <c r="G60" s="45"/>
      <c r="H60" s="50"/>
      <c r="J60" s="129"/>
      <c r="K60" s="130"/>
      <c r="L60" s="130"/>
      <c r="M60" s="130"/>
      <c r="N60" s="130"/>
      <c r="O60" s="131"/>
    </row>
    <row r="61" spans="1:18" ht="13.5" thickBot="1" x14ac:dyDescent="0.25">
      <c r="B61" s="789" t="s">
        <v>170</v>
      </c>
      <c r="C61" s="790"/>
      <c r="D61" s="790"/>
      <c r="E61" s="790"/>
      <c r="F61" s="791"/>
      <c r="G61" s="805"/>
      <c r="H61" s="791"/>
      <c r="J61" s="129"/>
      <c r="K61" s="130"/>
      <c r="L61" s="130"/>
      <c r="M61" s="130"/>
      <c r="N61" s="130"/>
      <c r="O61" s="131"/>
    </row>
    <row r="62" spans="1:18" ht="12.75" customHeight="1" x14ac:dyDescent="0.2">
      <c r="B62" s="57" t="s">
        <v>171</v>
      </c>
      <c r="C62" s="806" t="s">
        <v>172</v>
      </c>
      <c r="D62" s="807"/>
      <c r="E62" s="807"/>
      <c r="F62" s="808"/>
      <c r="G62" s="809">
        <v>187257</v>
      </c>
      <c r="H62" s="809"/>
      <c r="I62" s="58"/>
      <c r="J62" s="810" t="s">
        <v>173</v>
      </c>
      <c r="K62" s="811"/>
      <c r="L62" s="811"/>
      <c r="M62" s="811"/>
      <c r="N62" s="811"/>
      <c r="O62" s="812"/>
      <c r="Q62" s="59"/>
      <c r="R62" s="59"/>
    </row>
    <row r="63" spans="1:18" ht="13.5" thickBot="1" x14ac:dyDescent="0.25">
      <c r="D63" s="37"/>
      <c r="I63" s="58"/>
      <c r="J63" s="60" t="s">
        <v>254</v>
      </c>
      <c r="K63" s="132"/>
      <c r="L63" s="132"/>
      <c r="M63" s="133"/>
      <c r="N63" s="133"/>
      <c r="O63" s="134"/>
      <c r="Q63" s="59"/>
      <c r="R63" s="59"/>
    </row>
    <row r="64" spans="1:18" ht="13.5" thickBot="1" x14ac:dyDescent="0.25">
      <c r="B64" s="789" t="s">
        <v>175</v>
      </c>
      <c r="C64" s="790"/>
      <c r="D64" s="790"/>
      <c r="E64" s="790"/>
      <c r="F64" s="791"/>
      <c r="G64" s="805">
        <f>+G59-G62</f>
        <v>776259</v>
      </c>
      <c r="H64" s="791"/>
      <c r="I64" s="63"/>
      <c r="J64" s="64"/>
      <c r="K64" s="39"/>
      <c r="L64" s="39"/>
      <c r="M64" s="39"/>
      <c r="N64" s="39"/>
      <c r="O64" s="65"/>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6.25" customHeight="1" thickBot="1" x14ac:dyDescent="0.25">
      <c r="B67" s="66"/>
      <c r="C67" s="48"/>
      <c r="G67" s="70" t="s">
        <v>177</v>
      </c>
      <c r="H67" s="70" t="s">
        <v>178</v>
      </c>
      <c r="I67" s="63"/>
      <c r="J67" s="810" t="s">
        <v>179</v>
      </c>
      <c r="K67" s="811"/>
      <c r="L67" s="71"/>
      <c r="M67" s="71"/>
      <c r="N67" s="71"/>
      <c r="O67" s="72"/>
      <c r="Q67" s="59"/>
      <c r="R67" s="59"/>
    </row>
    <row r="68" spans="2:18" ht="12.75" customHeight="1" x14ac:dyDescent="0.2">
      <c r="B68" s="802" t="s">
        <v>180</v>
      </c>
      <c r="C68" s="821" t="s">
        <v>181</v>
      </c>
      <c r="D68" s="823" t="s">
        <v>182</v>
      </c>
      <c r="E68" s="824"/>
      <c r="F68" s="824"/>
      <c r="G68" s="73">
        <f>+O43</f>
        <v>42000</v>
      </c>
      <c r="H68" s="74">
        <f t="shared" ref="H68:H76" si="5">+G68</f>
        <v>42000</v>
      </c>
      <c r="I68" s="63"/>
      <c r="J68" s="137" t="s">
        <v>1070</v>
      </c>
      <c r="K68" s="50"/>
      <c r="L68" s="50"/>
      <c r="M68" s="50"/>
      <c r="N68" s="50"/>
      <c r="O68" s="83"/>
      <c r="P68" s="16" t="s">
        <v>1071</v>
      </c>
      <c r="Q68" s="59"/>
      <c r="R68" s="59"/>
    </row>
    <row r="69" spans="2:18" ht="12.75" customHeight="1" x14ac:dyDescent="0.2">
      <c r="B69" s="803"/>
      <c r="C69" s="822"/>
      <c r="D69" s="782" t="s">
        <v>184</v>
      </c>
      <c r="E69" s="783"/>
      <c r="F69" s="783"/>
      <c r="G69" s="77">
        <v>0</v>
      </c>
      <c r="H69" s="78">
        <f t="shared" si="5"/>
        <v>0</v>
      </c>
      <c r="I69" s="63"/>
      <c r="J69" s="79" t="s">
        <v>1072</v>
      </c>
      <c r="K69" s="68"/>
      <c r="L69" s="68"/>
      <c r="M69" s="68"/>
      <c r="N69" s="68"/>
      <c r="O69" s="136"/>
      <c r="Q69" s="59"/>
      <c r="R69" s="59"/>
    </row>
    <row r="70" spans="2:18" ht="12.75" customHeight="1" x14ac:dyDescent="0.2">
      <c r="B70" s="803"/>
      <c r="C70" s="822"/>
      <c r="D70" s="819" t="s">
        <v>185</v>
      </c>
      <c r="E70" s="820"/>
      <c r="F70" s="820"/>
      <c r="G70" s="80">
        <f>O40</f>
        <v>720</v>
      </c>
      <c r="H70" s="78">
        <f t="shared" si="5"/>
        <v>720</v>
      </c>
      <c r="I70" s="63"/>
      <c r="J70" s="67"/>
      <c r="K70" s="68"/>
      <c r="L70" s="68"/>
      <c r="M70" s="68"/>
      <c r="N70" s="68"/>
      <c r="O70" s="69"/>
    </row>
    <row r="71" spans="2:18" x14ac:dyDescent="0.2">
      <c r="B71" s="803"/>
      <c r="C71" s="822"/>
      <c r="D71" s="782" t="s">
        <v>186</v>
      </c>
      <c r="E71" s="783"/>
      <c r="F71" s="783"/>
      <c r="G71" s="81">
        <v>0</v>
      </c>
      <c r="H71" s="78">
        <f t="shared" si="5"/>
        <v>0</v>
      </c>
      <c r="I71" s="63"/>
      <c r="J71" s="82" t="s">
        <v>187</v>
      </c>
      <c r="K71" s="71"/>
      <c r="L71" s="71"/>
      <c r="M71" s="71"/>
      <c r="N71" s="71"/>
      <c r="O71" s="72"/>
    </row>
    <row r="72" spans="2:18" ht="12.75" customHeight="1" x14ac:dyDescent="0.2">
      <c r="B72" s="803"/>
      <c r="C72" s="822"/>
      <c r="D72" s="784" t="s">
        <v>188</v>
      </c>
      <c r="E72" s="783"/>
      <c r="F72" s="783"/>
      <c r="G72" s="80">
        <v>0</v>
      </c>
      <c r="H72" s="78">
        <f t="shared" si="5"/>
        <v>0</v>
      </c>
      <c r="I72" s="63"/>
      <c r="J72" s="75" t="s">
        <v>189</v>
      </c>
      <c r="K72" s="50"/>
      <c r="L72" s="50"/>
      <c r="M72" s="50"/>
      <c r="N72" s="50"/>
      <c r="O72" s="83">
        <f>O42</f>
        <v>3250</v>
      </c>
    </row>
    <row r="73" spans="2:18" ht="14.25" customHeight="1" x14ac:dyDescent="0.2">
      <c r="B73" s="803"/>
      <c r="C73" s="822"/>
      <c r="D73" s="782" t="s">
        <v>190</v>
      </c>
      <c r="E73" s="783"/>
      <c r="F73" s="783"/>
      <c r="G73" s="84">
        <v>150000</v>
      </c>
      <c r="H73" s="78">
        <f t="shared" si="5"/>
        <v>150000</v>
      </c>
      <c r="I73" s="63"/>
      <c r="J73" s="75" t="s">
        <v>1073</v>
      </c>
      <c r="K73" s="39"/>
      <c r="L73" s="39"/>
      <c r="M73" s="39"/>
      <c r="N73" s="39"/>
      <c r="O73" s="65">
        <v>0</v>
      </c>
    </row>
    <row r="74" spans="2:18" x14ac:dyDescent="0.2">
      <c r="B74" s="803"/>
      <c r="C74" s="822"/>
      <c r="D74" s="782" t="s">
        <v>191</v>
      </c>
      <c r="E74" s="783"/>
      <c r="F74" s="783"/>
      <c r="G74" s="81">
        <v>0</v>
      </c>
      <c r="H74" s="78">
        <f t="shared" si="5"/>
        <v>0</v>
      </c>
      <c r="I74" s="58"/>
      <c r="J74" s="363"/>
      <c r="O74" s="364"/>
    </row>
    <row r="75" spans="2:18" x14ac:dyDescent="0.2">
      <c r="B75" s="803"/>
      <c r="C75" s="88" t="s">
        <v>192</v>
      </c>
      <c r="D75" s="813" t="s">
        <v>193</v>
      </c>
      <c r="E75" s="814"/>
      <c r="F75" s="814"/>
      <c r="G75" s="80">
        <v>0</v>
      </c>
      <c r="H75" s="78">
        <f t="shared" si="5"/>
        <v>0</v>
      </c>
      <c r="I75" s="58"/>
      <c r="J75" s="365"/>
      <c r="K75" s="39"/>
      <c r="L75" s="39"/>
      <c r="M75" s="39"/>
      <c r="N75" s="39"/>
      <c r="O75" s="65"/>
    </row>
    <row r="76" spans="2:18" ht="13.5" customHeight="1" thickBot="1" x14ac:dyDescent="0.25">
      <c r="B76" s="803"/>
      <c r="C76" s="88" t="s">
        <v>194</v>
      </c>
      <c r="D76" s="1145" t="s">
        <v>195</v>
      </c>
      <c r="E76" s="815"/>
      <c r="F76" s="815"/>
      <c r="G76" s="89">
        <v>100000</v>
      </c>
      <c r="H76" s="90">
        <f t="shared" si="5"/>
        <v>100000</v>
      </c>
      <c r="I76" s="63"/>
      <c r="J76" s="67"/>
      <c r="K76" s="68"/>
      <c r="L76" s="68"/>
      <c r="M76" s="91"/>
      <c r="N76" s="91"/>
      <c r="O76" s="92"/>
    </row>
    <row r="77" spans="2:18" ht="13.5" thickBot="1" x14ac:dyDescent="0.25">
      <c r="B77" s="803"/>
      <c r="C77" s="93"/>
      <c r="D77" s="94"/>
      <c r="E77" s="1146" t="s">
        <v>117</v>
      </c>
      <c r="F77" s="1147"/>
      <c r="G77" s="366">
        <f>SUM(G68:G76)</f>
        <v>292720</v>
      </c>
      <c r="H77" s="367">
        <f>IF(SUM(G68:G74)&lt;150000,SUM(G68:G74),150000)+IF(+G75&lt;20000,+G75,20000)</f>
        <v>150000</v>
      </c>
      <c r="I77" s="63"/>
      <c r="J77" s="140"/>
      <c r="K77" s="141"/>
      <c r="L77" s="141"/>
      <c r="M77" s="142"/>
      <c r="N77" s="142"/>
      <c r="O77" s="143"/>
    </row>
    <row r="78" spans="2:18" x14ac:dyDescent="0.2">
      <c r="B78" s="1152"/>
      <c r="C78" s="368" t="s">
        <v>1074</v>
      </c>
      <c r="D78" s="1148" t="s">
        <v>1075</v>
      </c>
      <c r="E78" s="1148"/>
      <c r="F78" s="1148"/>
      <c r="G78" s="369">
        <v>10000</v>
      </c>
      <c r="H78" s="370">
        <f>IF((G78&gt;50000),50000,G78)</f>
        <v>10000</v>
      </c>
      <c r="I78" s="63"/>
      <c r="J78" s="68"/>
      <c r="K78" s="68"/>
      <c r="L78" s="68"/>
      <c r="M78" s="91"/>
      <c r="N78" s="91"/>
      <c r="O78" s="91"/>
    </row>
    <row r="79" spans="2:18" ht="12.75" customHeight="1" x14ac:dyDescent="0.2">
      <c r="B79" s="803"/>
      <c r="C79" s="371" t="s">
        <v>196</v>
      </c>
      <c r="D79" s="1149" t="s">
        <v>187</v>
      </c>
      <c r="E79" s="1150"/>
      <c r="F79" s="1151"/>
      <c r="G79" s="77">
        <f>+O42+O73</f>
        <v>3250</v>
      </c>
      <c r="H79" s="372">
        <f>+IF(+G79&lt;25000,+G79,25000)</f>
        <v>3250</v>
      </c>
      <c r="I79" s="87"/>
    </row>
    <row r="80" spans="2:18" x14ac:dyDescent="0.2">
      <c r="B80" s="803"/>
      <c r="C80" s="100" t="s">
        <v>197</v>
      </c>
      <c r="D80" s="784" t="s">
        <v>198</v>
      </c>
      <c r="E80" s="785"/>
      <c r="F80" s="786"/>
      <c r="G80" s="102"/>
      <c r="H80" s="103">
        <f>+IF(+G80&lt;40000,+G80,40000)</f>
        <v>0</v>
      </c>
      <c r="I80" s="63"/>
    </row>
    <row r="81" spans="2:12" ht="15" x14ac:dyDescent="0.25">
      <c r="B81" s="803"/>
      <c r="C81" s="100" t="s">
        <v>199</v>
      </c>
      <c r="D81" s="784" t="s">
        <v>200</v>
      </c>
      <c r="E81" s="785"/>
      <c r="F81" s="786"/>
      <c r="G81" s="81"/>
      <c r="H81" s="104">
        <v>0</v>
      </c>
      <c r="I81" s="63"/>
      <c r="J81" s="373"/>
      <c r="K81" s="374"/>
      <c r="L81" s="374"/>
    </row>
    <row r="82" spans="2:12" x14ac:dyDescent="0.2">
      <c r="B82" s="803"/>
      <c r="C82" s="100" t="s">
        <v>201</v>
      </c>
      <c r="D82" s="784" t="s">
        <v>202</v>
      </c>
      <c r="E82" s="785"/>
      <c r="F82" s="786"/>
      <c r="G82" s="81"/>
      <c r="H82" s="104">
        <v>0</v>
      </c>
      <c r="I82" s="63"/>
    </row>
    <row r="83" spans="2:12" ht="13.5" thickBot="1" x14ac:dyDescent="0.25">
      <c r="B83" s="804"/>
      <c r="C83" s="100" t="s">
        <v>203</v>
      </c>
      <c r="D83" s="784" t="s">
        <v>204</v>
      </c>
      <c r="E83" s="785"/>
      <c r="F83" s="786"/>
      <c r="G83" s="102"/>
      <c r="H83" s="103">
        <f>+IF(+G83&lt;100000,+G83,10000)</f>
        <v>0</v>
      </c>
      <c r="I83" s="63"/>
      <c r="J83" s="106"/>
    </row>
    <row r="84" spans="2:12" ht="13.5" thickBot="1" x14ac:dyDescent="0.25">
      <c r="B84" s="787" t="s">
        <v>205</v>
      </c>
      <c r="C84" s="788"/>
      <c r="D84" s="788"/>
      <c r="E84" s="788"/>
      <c r="F84" s="788"/>
      <c r="G84" s="107">
        <f>SUM(G79:G83)</f>
        <v>3250</v>
      </c>
      <c r="H84" s="108">
        <f>SUM(H77:H83)</f>
        <v>163250</v>
      </c>
    </row>
    <row r="85" spans="2:12" ht="13.5" thickBot="1" x14ac:dyDescent="0.25"/>
    <row r="86" spans="2:12" ht="13.5" thickBot="1" x14ac:dyDescent="0.25">
      <c r="B86" s="789" t="s">
        <v>206</v>
      </c>
      <c r="C86" s="790"/>
      <c r="D86" s="790"/>
      <c r="E86" s="790"/>
      <c r="F86" s="791"/>
      <c r="G86" s="792">
        <f>+G64-H84</f>
        <v>613009</v>
      </c>
      <c r="H86" s="791"/>
      <c r="J86" s="109">
        <f>C37+D37+E37+F37</f>
        <v>324960</v>
      </c>
      <c r="K86" s="16" t="s">
        <v>235</v>
      </c>
    </row>
    <row r="87" spans="2:12" x14ac:dyDescent="0.2">
      <c r="B87" s="110"/>
      <c r="F87" s="105"/>
      <c r="J87" s="109">
        <f>G37+H37+I37</f>
        <v>248928</v>
      </c>
      <c r="K87" s="16" t="s">
        <v>236</v>
      </c>
    </row>
    <row r="88" spans="2:12" x14ac:dyDescent="0.2">
      <c r="C88" s="793" t="s">
        <v>207</v>
      </c>
      <c r="D88" s="794"/>
      <c r="E88" s="111" t="s">
        <v>208</v>
      </c>
      <c r="F88" s="111" t="s">
        <v>209</v>
      </c>
      <c r="G88" s="111" t="s">
        <v>210</v>
      </c>
      <c r="H88" s="111" t="s">
        <v>211</v>
      </c>
      <c r="J88" s="206">
        <f>J37+K37+L37</f>
        <v>263516</v>
      </c>
      <c r="K88" s="47" t="s">
        <v>237</v>
      </c>
    </row>
    <row r="89" spans="2:12" x14ac:dyDescent="0.2">
      <c r="C89" s="795" t="str">
        <f>IF(I6="M","0          - 250000","0          -  250000")</f>
        <v>0          -  250000</v>
      </c>
      <c r="D89" s="796"/>
      <c r="E89" s="112">
        <v>0</v>
      </c>
      <c r="F89" s="113">
        <f>IF(I6="M",(IF(G86&lt;250000,G86,250000)),(IF(G86&lt;250000,G86,250000)))</f>
        <v>250000</v>
      </c>
      <c r="G89" s="113">
        <f>G86-F89</f>
        <v>363009</v>
      </c>
      <c r="H89" s="113">
        <f>E89*F89</f>
        <v>0</v>
      </c>
      <c r="J89" s="207">
        <f>M37+N37</f>
        <v>168512</v>
      </c>
      <c r="K89" s="1" t="s">
        <v>238</v>
      </c>
    </row>
    <row r="90" spans="2:12" x14ac:dyDescent="0.2">
      <c r="C90" s="795" t="str">
        <f>IF(I6="M","250001 - 500000","250001-500000")</f>
        <v>250001-500000</v>
      </c>
      <c r="D90" s="796"/>
      <c r="E90" s="112">
        <v>0.05</v>
      </c>
      <c r="F90" s="113">
        <f>IF(I6="M",(IF(G89&lt;250000,G89,250000)),(IF(G89&lt;250000,G89,250000)))</f>
        <v>250000</v>
      </c>
      <c r="G90" s="113">
        <f>G89-F90</f>
        <v>113009</v>
      </c>
      <c r="H90" s="114">
        <f>ROUND(E90*F90,0.1)</f>
        <v>12500</v>
      </c>
      <c r="J90" s="115">
        <f>SUM(J86:J89)</f>
        <v>1005916</v>
      </c>
    </row>
    <row r="91" spans="2:12" x14ac:dyDescent="0.2">
      <c r="C91" s="797" t="s">
        <v>212</v>
      </c>
      <c r="D91" s="798"/>
      <c r="E91" s="112">
        <v>0.2</v>
      </c>
      <c r="F91" s="113">
        <f>IF(G90&lt;500000,G90,500000)</f>
        <v>113009</v>
      </c>
      <c r="G91" s="113">
        <f>G90-F91</f>
        <v>0</v>
      </c>
      <c r="H91" s="114">
        <f>ROUND(E91*F91,0.1)</f>
        <v>22602</v>
      </c>
      <c r="J91" s="16">
        <f>+G86</f>
        <v>613009</v>
      </c>
    </row>
    <row r="92" spans="2:12" x14ac:dyDescent="0.2">
      <c r="C92" s="795" t="s">
        <v>213</v>
      </c>
      <c r="D92" s="796"/>
      <c r="E92" s="112">
        <v>0.3</v>
      </c>
      <c r="F92" s="113">
        <f>G91</f>
        <v>0</v>
      </c>
      <c r="G92" s="113">
        <f>G91-F92</f>
        <v>0</v>
      </c>
      <c r="H92" s="114">
        <f>ROUND(E92*F92,0.1)</f>
        <v>0</v>
      </c>
      <c r="J92" s="16">
        <f>+J90-J91</f>
        <v>392907</v>
      </c>
    </row>
    <row r="93" spans="2:12" ht="12.75" customHeight="1" thickBot="1" x14ac:dyDescent="0.25">
      <c r="B93" s="116"/>
      <c r="C93" s="117"/>
      <c r="D93" s="47"/>
      <c r="E93" s="47"/>
      <c r="F93" s="47"/>
    </row>
    <row r="94" spans="2:12" ht="13.5" thickBot="1" x14ac:dyDescent="0.25">
      <c r="B94" s="799" t="s">
        <v>239</v>
      </c>
      <c r="C94" s="800"/>
      <c r="D94" s="800"/>
      <c r="E94" s="800"/>
      <c r="F94" s="801"/>
      <c r="G94" s="771">
        <f>H89+H90+H91+H92</f>
        <v>35102</v>
      </c>
      <c r="H94" s="772"/>
    </row>
    <row r="95" spans="2:12" ht="13.5" thickBot="1" x14ac:dyDescent="0.25">
      <c r="B95" s="119" t="s">
        <v>215</v>
      </c>
      <c r="C95" s="120"/>
      <c r="D95" s="120"/>
      <c r="E95" s="120"/>
      <c r="F95" s="120"/>
      <c r="G95" s="884">
        <f>IF((G64&lt;500000),5000,0)</f>
        <v>0</v>
      </c>
      <c r="H95" s="885">
        <f>IF(H93&lt;200000,0,IF(H93&lt;220000,((H93-200000)*10%),IF(H93&lt;=500000,2000,IF(H93&gt;=500000,0))))</f>
        <v>0</v>
      </c>
      <c r="J95" s="1"/>
      <c r="K95" s="121"/>
      <c r="L95" s="121"/>
    </row>
    <row r="96" spans="2:12" ht="13.5" thickBot="1" x14ac:dyDescent="0.25">
      <c r="B96" s="122" t="s">
        <v>216</v>
      </c>
      <c r="C96" s="123"/>
      <c r="D96" s="123"/>
      <c r="E96" s="123"/>
      <c r="F96" s="123"/>
      <c r="G96" s="771">
        <f>IF((G94-G95)&lt;0,0,(G94-G95))</f>
        <v>35102</v>
      </c>
      <c r="H96" s="772"/>
      <c r="I96" s="37"/>
    </row>
    <row r="97" spans="2:9" ht="13.5" thickBot="1" x14ac:dyDescent="0.25">
      <c r="B97" s="773" t="s">
        <v>240</v>
      </c>
      <c r="C97" s="774"/>
      <c r="D97" s="774"/>
      <c r="E97" s="774"/>
      <c r="F97" s="775"/>
      <c r="G97" s="776">
        <f>ROUND((IF(G96&gt;0,(G96*4%),0)),0)</f>
        <v>1404</v>
      </c>
      <c r="H97" s="777"/>
      <c r="I97" s="37"/>
    </row>
    <row r="98" spans="2:9" ht="13.5" thickBot="1" x14ac:dyDescent="0.25">
      <c r="B98" s="778" t="s">
        <v>218</v>
      </c>
      <c r="C98" s="779"/>
      <c r="D98" s="779"/>
      <c r="E98" s="779"/>
      <c r="F98" s="779"/>
      <c r="G98" s="780">
        <f>G96+G97</f>
        <v>36506</v>
      </c>
      <c r="H98" s="781"/>
      <c r="I98" s="121"/>
    </row>
    <row r="99" spans="2:9" ht="13.5" thickBot="1" x14ac:dyDescent="0.25">
      <c r="B99" s="765" t="s">
        <v>219</v>
      </c>
      <c r="C99" s="766"/>
      <c r="D99" s="766"/>
      <c r="E99" s="766"/>
      <c r="F99" s="766"/>
      <c r="G99" s="767">
        <f>O38</f>
        <v>36515</v>
      </c>
      <c r="H99" s="768"/>
      <c r="I99" s="121"/>
    </row>
    <row r="100" spans="2:9" ht="13.5" thickBot="1" x14ac:dyDescent="0.25">
      <c r="B100" s="765" t="str">
        <f>IF(G100&gt;0,"TAX PAYABLE","TAX REFUND")</f>
        <v>TAX REFUND</v>
      </c>
      <c r="C100" s="766"/>
      <c r="D100" s="766"/>
      <c r="E100" s="766"/>
      <c r="F100" s="766"/>
      <c r="G100" s="767">
        <f>+G98-G99</f>
        <v>-9</v>
      </c>
      <c r="H100" s="768"/>
      <c r="I100" s="37"/>
    </row>
    <row r="101" spans="2:9" x14ac:dyDescent="0.2">
      <c r="C101" s="124"/>
      <c r="D101" s="45"/>
      <c r="E101" s="118"/>
      <c r="F101" s="118"/>
      <c r="G101" s="118"/>
      <c r="H101" s="118"/>
      <c r="I101" s="125"/>
    </row>
    <row r="102" spans="2:9" x14ac:dyDescent="0.2">
      <c r="C102" s="47"/>
      <c r="D102" s="50"/>
      <c r="E102" s="117"/>
      <c r="F102" s="47"/>
      <c r="G102" s="47"/>
      <c r="H102" s="47"/>
      <c r="I102" s="125"/>
    </row>
    <row r="103" spans="2:9" x14ac:dyDescent="0.2">
      <c r="C103" s="39"/>
      <c r="D103" s="126"/>
      <c r="E103" s="126"/>
      <c r="F103" s="126"/>
      <c r="G103" s="39"/>
      <c r="H103" s="39"/>
      <c r="I103" s="37"/>
    </row>
    <row r="104" spans="2:9" x14ac:dyDescent="0.2">
      <c r="C104" s="39"/>
      <c r="D104" s="126"/>
      <c r="E104" s="126"/>
      <c r="F104" s="39"/>
      <c r="G104" s="39"/>
      <c r="H104" s="39"/>
      <c r="I104" s="37"/>
    </row>
    <row r="105" spans="2:9" x14ac:dyDescent="0.2">
      <c r="C105" s="39"/>
      <c r="D105" s="126"/>
      <c r="E105" s="126"/>
      <c r="F105" s="39"/>
      <c r="G105" s="39"/>
      <c r="H105" s="39"/>
      <c r="I105" s="37"/>
    </row>
    <row r="106" spans="2:9" x14ac:dyDescent="0.2">
      <c r="C106" s="39"/>
      <c r="D106" s="39"/>
      <c r="E106" s="39"/>
      <c r="F106" s="39"/>
      <c r="G106" s="39"/>
      <c r="H106" s="39"/>
      <c r="I106" s="37"/>
    </row>
    <row r="107" spans="2:9" x14ac:dyDescent="0.2">
      <c r="C107" s="39"/>
      <c r="D107" s="39"/>
      <c r="E107" s="39"/>
      <c r="F107" s="39"/>
      <c r="G107" s="39"/>
      <c r="H107" s="39"/>
    </row>
    <row r="108" spans="2:9" x14ac:dyDescent="0.2">
      <c r="C108" s="39"/>
      <c r="D108" s="39"/>
      <c r="E108" s="39"/>
      <c r="F108" s="39"/>
      <c r="G108" s="39"/>
      <c r="H108" s="39"/>
    </row>
  </sheetData>
  <mergeCells count="94">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G61:H61"/>
    <mergeCell ref="C62:F62"/>
    <mergeCell ref="G62:H62"/>
    <mergeCell ref="J62:O62"/>
    <mergeCell ref="J67:K67"/>
    <mergeCell ref="B64:F64"/>
    <mergeCell ref="G64:H64"/>
    <mergeCell ref="B61:F61"/>
    <mergeCell ref="D70:F70"/>
    <mergeCell ref="D71:F71"/>
    <mergeCell ref="D72:F72"/>
    <mergeCell ref="D73:F73"/>
    <mergeCell ref="D74:F74"/>
    <mergeCell ref="G86:H86"/>
    <mergeCell ref="D75:F75"/>
    <mergeCell ref="D76:F76"/>
    <mergeCell ref="E77:F77"/>
    <mergeCell ref="D78:F78"/>
    <mergeCell ref="D79:F79"/>
    <mergeCell ref="D80:F80"/>
    <mergeCell ref="D81:F81"/>
    <mergeCell ref="D82:F82"/>
    <mergeCell ref="D83:F83"/>
    <mergeCell ref="B84:F84"/>
    <mergeCell ref="B86:F86"/>
    <mergeCell ref="B68:B83"/>
    <mergeCell ref="C68:C74"/>
    <mergeCell ref="D68:F68"/>
    <mergeCell ref="D69:F69"/>
    <mergeCell ref="C88:D88"/>
    <mergeCell ref="C89:D89"/>
    <mergeCell ref="C90:D90"/>
    <mergeCell ref="C91:D91"/>
    <mergeCell ref="C92:D92"/>
    <mergeCell ref="B99:F99"/>
    <mergeCell ref="G99:H99"/>
    <mergeCell ref="B100:F100"/>
    <mergeCell ref="G100:H100"/>
    <mergeCell ref="G94:H94"/>
    <mergeCell ref="G95:H95"/>
    <mergeCell ref="G96:H96"/>
    <mergeCell ref="B97:F97"/>
    <mergeCell ref="G97:H97"/>
    <mergeCell ref="B98:F98"/>
    <mergeCell ref="G98:H98"/>
    <mergeCell ref="B94:F94"/>
  </mergeCells>
  <conditionalFormatting sqref="B91:F91 B100:F100 B94:F98">
    <cfRule type="cellIs" dxfId="391" priority="3" stopIfTrue="1" operator="equal">
      <formula>"TAX PAYABLE"</formula>
    </cfRule>
    <cfRule type="cellIs" dxfId="390" priority="4" stopIfTrue="1" operator="equal">
      <formula>"TAX REFUND"</formula>
    </cfRule>
  </conditionalFormatting>
  <conditionalFormatting sqref="G91:H91">
    <cfRule type="cellIs" dxfId="389" priority="5" stopIfTrue="1" operator="lessThan">
      <formula>0</formula>
    </cfRule>
    <cfRule type="cellIs" dxfId="388" priority="6" stopIfTrue="1" operator="greaterThan">
      <formula>0</formula>
    </cfRule>
  </conditionalFormatting>
  <conditionalFormatting sqref="G100:H100">
    <cfRule type="cellIs" dxfId="387" priority="1" stopIfTrue="1" operator="greaterThan">
      <formula>0</formula>
    </cfRule>
    <cfRule type="cellIs" dxfId="386"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8"/>
  <sheetViews>
    <sheetView topLeftCell="A68" zoomScaleNormal="115" workbookViewId="0">
      <selection activeCell="G99" sqref="G99:H99"/>
    </sheetView>
  </sheetViews>
  <sheetFormatPr defaultRowHeight="12.75" x14ac:dyDescent="0.2"/>
  <cols>
    <col min="1" max="1" width="5" style="16" customWidth="1"/>
    <col min="2" max="2" width="18.28515625" style="37" customWidth="1"/>
    <col min="3" max="3" width="8" style="16" customWidth="1"/>
    <col min="4" max="4" width="7.28515625" style="16" customWidth="1"/>
    <col min="5" max="5" width="8.5703125" style="16" bestFit="1" customWidth="1"/>
    <col min="6" max="6" width="9.7109375" style="16" customWidth="1"/>
    <col min="7" max="8" width="8.5703125" style="16" customWidth="1"/>
    <col min="9" max="9" width="7.140625" style="16" bestFit="1" customWidth="1"/>
    <col min="10" max="10" width="7.7109375" style="16" customWidth="1"/>
    <col min="11" max="12" width="7" style="16" bestFit="1" customWidth="1"/>
    <col min="13" max="13" width="6.85546875" style="16" bestFit="1" customWidth="1"/>
    <col min="14" max="14" width="7" style="16" bestFit="1" customWidth="1"/>
    <col min="15" max="15" width="8.570312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8.28515625" style="16" customWidth="1"/>
    <col min="259" max="259" width="8" style="16" customWidth="1"/>
    <col min="260" max="260" width="7.28515625" style="16" customWidth="1"/>
    <col min="261" max="261" width="8.5703125" style="16" bestFit="1" customWidth="1"/>
    <col min="262" max="262" width="9.7109375" style="16" customWidth="1"/>
    <col min="263" max="264" width="8.5703125" style="16" customWidth="1"/>
    <col min="265" max="265" width="7.140625" style="16" bestFit="1" customWidth="1"/>
    <col min="266" max="266" width="7.7109375" style="16" customWidth="1"/>
    <col min="267" max="268" width="7" style="16" bestFit="1" customWidth="1"/>
    <col min="269" max="269" width="6.85546875" style="16" bestFit="1" customWidth="1"/>
    <col min="270" max="270" width="7" style="16" bestFit="1" customWidth="1"/>
    <col min="271" max="271" width="8.570312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8.28515625" style="16" customWidth="1"/>
    <col min="515" max="515" width="8" style="16" customWidth="1"/>
    <col min="516" max="516" width="7.28515625" style="16" customWidth="1"/>
    <col min="517" max="517" width="8.5703125" style="16" bestFit="1" customWidth="1"/>
    <col min="518" max="518" width="9.7109375" style="16" customWidth="1"/>
    <col min="519" max="520" width="8.5703125" style="16" customWidth="1"/>
    <col min="521" max="521" width="7.140625" style="16" bestFit="1" customWidth="1"/>
    <col min="522" max="522" width="7.7109375" style="16" customWidth="1"/>
    <col min="523" max="524" width="7" style="16" bestFit="1" customWidth="1"/>
    <col min="525" max="525" width="6.85546875" style="16" bestFit="1" customWidth="1"/>
    <col min="526" max="526" width="7" style="16" bestFit="1" customWidth="1"/>
    <col min="527" max="527" width="8.570312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8.28515625" style="16" customWidth="1"/>
    <col min="771" max="771" width="8" style="16" customWidth="1"/>
    <col min="772" max="772" width="7.28515625" style="16" customWidth="1"/>
    <col min="773" max="773" width="8.5703125" style="16" bestFit="1" customWidth="1"/>
    <col min="774" max="774" width="9.7109375" style="16" customWidth="1"/>
    <col min="775" max="776" width="8.5703125" style="16" customWidth="1"/>
    <col min="777" max="777" width="7.140625" style="16" bestFit="1" customWidth="1"/>
    <col min="778" max="778" width="7.7109375" style="16" customWidth="1"/>
    <col min="779" max="780" width="7" style="16" bestFit="1" customWidth="1"/>
    <col min="781" max="781" width="6.85546875" style="16" bestFit="1" customWidth="1"/>
    <col min="782" max="782" width="7" style="16" bestFit="1" customWidth="1"/>
    <col min="783" max="783" width="8.570312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8.28515625" style="16" customWidth="1"/>
    <col min="1027" max="1027" width="8" style="16" customWidth="1"/>
    <col min="1028" max="1028" width="7.28515625" style="16" customWidth="1"/>
    <col min="1029" max="1029" width="8.5703125" style="16" bestFit="1" customWidth="1"/>
    <col min="1030" max="1030" width="9.7109375" style="16" customWidth="1"/>
    <col min="1031" max="1032" width="8.5703125" style="16" customWidth="1"/>
    <col min="1033" max="1033" width="7.140625" style="16" bestFit="1" customWidth="1"/>
    <col min="1034" max="1034" width="7.7109375" style="16" customWidth="1"/>
    <col min="1035" max="1036" width="7" style="16" bestFit="1" customWidth="1"/>
    <col min="1037" max="1037" width="6.85546875" style="16" bestFit="1" customWidth="1"/>
    <col min="1038" max="1038" width="7" style="16" bestFit="1" customWidth="1"/>
    <col min="1039" max="1039" width="8.570312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8.28515625" style="16" customWidth="1"/>
    <col min="1283" max="1283" width="8" style="16" customWidth="1"/>
    <col min="1284" max="1284" width="7.28515625" style="16" customWidth="1"/>
    <col min="1285" max="1285" width="8.5703125" style="16" bestFit="1" customWidth="1"/>
    <col min="1286" max="1286" width="9.7109375" style="16" customWidth="1"/>
    <col min="1287" max="1288" width="8.5703125" style="16" customWidth="1"/>
    <col min="1289" max="1289" width="7.140625" style="16" bestFit="1" customWidth="1"/>
    <col min="1290" max="1290" width="7.7109375" style="16" customWidth="1"/>
    <col min="1291" max="1292" width="7" style="16" bestFit="1" customWidth="1"/>
    <col min="1293" max="1293" width="6.85546875" style="16" bestFit="1" customWidth="1"/>
    <col min="1294" max="1294" width="7" style="16" bestFit="1" customWidth="1"/>
    <col min="1295" max="1295" width="8.570312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8.28515625" style="16" customWidth="1"/>
    <col min="1539" max="1539" width="8" style="16" customWidth="1"/>
    <col min="1540" max="1540" width="7.28515625" style="16" customWidth="1"/>
    <col min="1541" max="1541" width="8.5703125" style="16" bestFit="1" customWidth="1"/>
    <col min="1542" max="1542" width="9.7109375" style="16" customWidth="1"/>
    <col min="1543" max="1544" width="8.5703125" style="16" customWidth="1"/>
    <col min="1545" max="1545" width="7.140625" style="16" bestFit="1" customWidth="1"/>
    <col min="1546" max="1546" width="7.7109375" style="16" customWidth="1"/>
    <col min="1547" max="1548" width="7" style="16" bestFit="1" customWidth="1"/>
    <col min="1549" max="1549" width="6.85546875" style="16" bestFit="1" customWidth="1"/>
    <col min="1550" max="1550" width="7" style="16" bestFit="1" customWidth="1"/>
    <col min="1551" max="1551" width="8.570312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8.28515625" style="16" customWidth="1"/>
    <col min="1795" max="1795" width="8" style="16" customWidth="1"/>
    <col min="1796" max="1796" width="7.28515625" style="16" customWidth="1"/>
    <col min="1797" max="1797" width="8.5703125" style="16" bestFit="1" customWidth="1"/>
    <col min="1798" max="1798" width="9.7109375" style="16" customWidth="1"/>
    <col min="1799" max="1800" width="8.5703125" style="16" customWidth="1"/>
    <col min="1801" max="1801" width="7.140625" style="16" bestFit="1" customWidth="1"/>
    <col min="1802" max="1802" width="7.7109375" style="16" customWidth="1"/>
    <col min="1803" max="1804" width="7" style="16" bestFit="1" customWidth="1"/>
    <col min="1805" max="1805" width="6.85546875" style="16" bestFit="1" customWidth="1"/>
    <col min="1806" max="1806" width="7" style="16" bestFit="1" customWidth="1"/>
    <col min="1807" max="1807" width="8.570312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8.28515625" style="16" customWidth="1"/>
    <col min="2051" max="2051" width="8" style="16" customWidth="1"/>
    <col min="2052" max="2052" width="7.28515625" style="16" customWidth="1"/>
    <col min="2053" max="2053" width="8.5703125" style="16" bestFit="1" customWidth="1"/>
    <col min="2054" max="2054" width="9.7109375" style="16" customWidth="1"/>
    <col min="2055" max="2056" width="8.5703125" style="16" customWidth="1"/>
    <col min="2057" max="2057" width="7.140625" style="16" bestFit="1" customWidth="1"/>
    <col min="2058" max="2058" width="7.7109375" style="16" customWidth="1"/>
    <col min="2059" max="2060" width="7" style="16" bestFit="1" customWidth="1"/>
    <col min="2061" max="2061" width="6.85546875" style="16" bestFit="1" customWidth="1"/>
    <col min="2062" max="2062" width="7" style="16" bestFit="1" customWidth="1"/>
    <col min="2063" max="2063" width="8.570312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8.28515625" style="16" customWidth="1"/>
    <col min="2307" max="2307" width="8" style="16" customWidth="1"/>
    <col min="2308" max="2308" width="7.28515625" style="16" customWidth="1"/>
    <col min="2309" max="2309" width="8.5703125" style="16" bestFit="1" customWidth="1"/>
    <col min="2310" max="2310" width="9.7109375" style="16" customWidth="1"/>
    <col min="2311" max="2312" width="8.5703125" style="16" customWidth="1"/>
    <col min="2313" max="2313" width="7.140625" style="16" bestFit="1" customWidth="1"/>
    <col min="2314" max="2314" width="7.7109375" style="16" customWidth="1"/>
    <col min="2315" max="2316" width="7" style="16" bestFit="1" customWidth="1"/>
    <col min="2317" max="2317" width="6.85546875" style="16" bestFit="1" customWidth="1"/>
    <col min="2318" max="2318" width="7" style="16" bestFit="1" customWidth="1"/>
    <col min="2319" max="2319" width="8.570312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8.28515625" style="16" customWidth="1"/>
    <col min="2563" max="2563" width="8" style="16" customWidth="1"/>
    <col min="2564" max="2564" width="7.28515625" style="16" customWidth="1"/>
    <col min="2565" max="2565" width="8.5703125" style="16" bestFit="1" customWidth="1"/>
    <col min="2566" max="2566" width="9.7109375" style="16" customWidth="1"/>
    <col min="2567" max="2568" width="8.5703125" style="16" customWidth="1"/>
    <col min="2569" max="2569" width="7.140625" style="16" bestFit="1" customWidth="1"/>
    <col min="2570" max="2570" width="7.7109375" style="16" customWidth="1"/>
    <col min="2571" max="2572" width="7" style="16" bestFit="1" customWidth="1"/>
    <col min="2573" max="2573" width="6.85546875" style="16" bestFit="1" customWidth="1"/>
    <col min="2574" max="2574" width="7" style="16" bestFit="1" customWidth="1"/>
    <col min="2575" max="2575" width="8.570312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8.28515625" style="16" customWidth="1"/>
    <col min="2819" max="2819" width="8" style="16" customWidth="1"/>
    <col min="2820" max="2820" width="7.28515625" style="16" customWidth="1"/>
    <col min="2821" max="2821" width="8.5703125" style="16" bestFit="1" customWidth="1"/>
    <col min="2822" max="2822" width="9.7109375" style="16" customWidth="1"/>
    <col min="2823" max="2824" width="8.5703125" style="16" customWidth="1"/>
    <col min="2825" max="2825" width="7.140625" style="16" bestFit="1" customWidth="1"/>
    <col min="2826" max="2826" width="7.7109375" style="16" customWidth="1"/>
    <col min="2827" max="2828" width="7" style="16" bestFit="1" customWidth="1"/>
    <col min="2829" max="2829" width="6.85546875" style="16" bestFit="1" customWidth="1"/>
    <col min="2830" max="2830" width="7" style="16" bestFit="1" customWidth="1"/>
    <col min="2831" max="2831" width="8.570312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8.28515625" style="16" customWidth="1"/>
    <col min="3075" max="3075" width="8" style="16" customWidth="1"/>
    <col min="3076" max="3076" width="7.28515625" style="16" customWidth="1"/>
    <col min="3077" max="3077" width="8.5703125" style="16" bestFit="1" customWidth="1"/>
    <col min="3078" max="3078" width="9.7109375" style="16" customWidth="1"/>
    <col min="3079" max="3080" width="8.5703125" style="16" customWidth="1"/>
    <col min="3081" max="3081" width="7.140625" style="16" bestFit="1" customWidth="1"/>
    <col min="3082" max="3082" width="7.7109375" style="16" customWidth="1"/>
    <col min="3083" max="3084" width="7" style="16" bestFit="1" customWidth="1"/>
    <col min="3085" max="3085" width="6.85546875" style="16" bestFit="1" customWidth="1"/>
    <col min="3086" max="3086" width="7" style="16" bestFit="1" customWidth="1"/>
    <col min="3087" max="3087" width="8.570312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8.28515625" style="16" customWidth="1"/>
    <col min="3331" max="3331" width="8" style="16" customWidth="1"/>
    <col min="3332" max="3332" width="7.28515625" style="16" customWidth="1"/>
    <col min="3333" max="3333" width="8.5703125" style="16" bestFit="1" customWidth="1"/>
    <col min="3334" max="3334" width="9.7109375" style="16" customWidth="1"/>
    <col min="3335" max="3336" width="8.5703125" style="16" customWidth="1"/>
    <col min="3337" max="3337" width="7.140625" style="16" bestFit="1" customWidth="1"/>
    <col min="3338" max="3338" width="7.7109375" style="16" customWidth="1"/>
    <col min="3339" max="3340" width="7" style="16" bestFit="1" customWidth="1"/>
    <col min="3341" max="3341" width="6.85546875" style="16" bestFit="1" customWidth="1"/>
    <col min="3342" max="3342" width="7" style="16" bestFit="1" customWidth="1"/>
    <col min="3343" max="3343" width="8.570312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8.28515625" style="16" customWidth="1"/>
    <col min="3587" max="3587" width="8" style="16" customWidth="1"/>
    <col min="3588" max="3588" width="7.28515625" style="16" customWidth="1"/>
    <col min="3589" max="3589" width="8.5703125" style="16" bestFit="1" customWidth="1"/>
    <col min="3590" max="3590" width="9.7109375" style="16" customWidth="1"/>
    <col min="3591" max="3592" width="8.5703125" style="16" customWidth="1"/>
    <col min="3593" max="3593" width="7.140625" style="16" bestFit="1" customWidth="1"/>
    <col min="3594" max="3594" width="7.7109375" style="16" customWidth="1"/>
    <col min="3595" max="3596" width="7" style="16" bestFit="1" customWidth="1"/>
    <col min="3597" max="3597" width="6.85546875" style="16" bestFit="1" customWidth="1"/>
    <col min="3598" max="3598" width="7" style="16" bestFit="1" customWidth="1"/>
    <col min="3599" max="3599" width="8.570312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8.28515625" style="16" customWidth="1"/>
    <col min="3843" max="3843" width="8" style="16" customWidth="1"/>
    <col min="3844" max="3844" width="7.28515625" style="16" customWidth="1"/>
    <col min="3845" max="3845" width="8.5703125" style="16" bestFit="1" customWidth="1"/>
    <col min="3846" max="3846" width="9.7109375" style="16" customWidth="1"/>
    <col min="3847" max="3848" width="8.5703125" style="16" customWidth="1"/>
    <col min="3849" max="3849" width="7.140625" style="16" bestFit="1" customWidth="1"/>
    <col min="3850" max="3850" width="7.7109375" style="16" customWidth="1"/>
    <col min="3851" max="3852" width="7" style="16" bestFit="1" customWidth="1"/>
    <col min="3853" max="3853" width="6.85546875" style="16" bestFit="1" customWidth="1"/>
    <col min="3854" max="3854" width="7" style="16" bestFit="1" customWidth="1"/>
    <col min="3855" max="3855" width="8.570312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8.28515625" style="16" customWidth="1"/>
    <col min="4099" max="4099" width="8" style="16" customWidth="1"/>
    <col min="4100" max="4100" width="7.28515625" style="16" customWidth="1"/>
    <col min="4101" max="4101" width="8.5703125" style="16" bestFit="1" customWidth="1"/>
    <col min="4102" max="4102" width="9.7109375" style="16" customWidth="1"/>
    <col min="4103" max="4104" width="8.5703125" style="16" customWidth="1"/>
    <col min="4105" max="4105" width="7.140625" style="16" bestFit="1" customWidth="1"/>
    <col min="4106" max="4106" width="7.7109375" style="16" customWidth="1"/>
    <col min="4107" max="4108" width="7" style="16" bestFit="1" customWidth="1"/>
    <col min="4109" max="4109" width="6.85546875" style="16" bestFit="1" customWidth="1"/>
    <col min="4110" max="4110" width="7" style="16" bestFit="1" customWidth="1"/>
    <col min="4111" max="4111" width="8.570312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8.28515625" style="16" customWidth="1"/>
    <col min="4355" max="4355" width="8" style="16" customWidth="1"/>
    <col min="4356" max="4356" width="7.28515625" style="16" customWidth="1"/>
    <col min="4357" max="4357" width="8.5703125" style="16" bestFit="1" customWidth="1"/>
    <col min="4358" max="4358" width="9.7109375" style="16" customWidth="1"/>
    <col min="4359" max="4360" width="8.5703125" style="16" customWidth="1"/>
    <col min="4361" max="4361" width="7.140625" style="16" bestFit="1" customWidth="1"/>
    <col min="4362" max="4362" width="7.7109375" style="16" customWidth="1"/>
    <col min="4363" max="4364" width="7" style="16" bestFit="1" customWidth="1"/>
    <col min="4365" max="4365" width="6.85546875" style="16" bestFit="1" customWidth="1"/>
    <col min="4366" max="4366" width="7" style="16" bestFit="1" customWidth="1"/>
    <col min="4367" max="4367" width="8.570312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8.28515625" style="16" customWidth="1"/>
    <col min="4611" max="4611" width="8" style="16" customWidth="1"/>
    <col min="4612" max="4612" width="7.28515625" style="16" customWidth="1"/>
    <col min="4613" max="4613" width="8.5703125" style="16" bestFit="1" customWidth="1"/>
    <col min="4614" max="4614" width="9.7109375" style="16" customWidth="1"/>
    <col min="4615" max="4616" width="8.5703125" style="16" customWidth="1"/>
    <col min="4617" max="4617" width="7.140625" style="16" bestFit="1" customWidth="1"/>
    <col min="4618" max="4618" width="7.7109375" style="16" customWidth="1"/>
    <col min="4619" max="4620" width="7" style="16" bestFit="1" customWidth="1"/>
    <col min="4621" max="4621" width="6.85546875" style="16" bestFit="1" customWidth="1"/>
    <col min="4622" max="4622" width="7" style="16" bestFit="1" customWidth="1"/>
    <col min="4623" max="4623" width="8.570312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8.28515625" style="16" customWidth="1"/>
    <col min="4867" max="4867" width="8" style="16" customWidth="1"/>
    <col min="4868" max="4868" width="7.28515625" style="16" customWidth="1"/>
    <col min="4869" max="4869" width="8.5703125" style="16" bestFit="1" customWidth="1"/>
    <col min="4870" max="4870" width="9.7109375" style="16" customWidth="1"/>
    <col min="4871" max="4872" width="8.5703125" style="16" customWidth="1"/>
    <col min="4873" max="4873" width="7.140625" style="16" bestFit="1" customWidth="1"/>
    <col min="4874" max="4874" width="7.7109375" style="16" customWidth="1"/>
    <col min="4875" max="4876" width="7" style="16" bestFit="1" customWidth="1"/>
    <col min="4877" max="4877" width="6.85546875" style="16" bestFit="1" customWidth="1"/>
    <col min="4878" max="4878" width="7" style="16" bestFit="1" customWidth="1"/>
    <col min="4879" max="4879" width="8.570312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8.28515625" style="16" customWidth="1"/>
    <col min="5123" max="5123" width="8" style="16" customWidth="1"/>
    <col min="5124" max="5124" width="7.28515625" style="16" customWidth="1"/>
    <col min="5125" max="5125" width="8.5703125" style="16" bestFit="1" customWidth="1"/>
    <col min="5126" max="5126" width="9.7109375" style="16" customWidth="1"/>
    <col min="5127" max="5128" width="8.5703125" style="16" customWidth="1"/>
    <col min="5129" max="5129" width="7.140625" style="16" bestFit="1" customWidth="1"/>
    <col min="5130" max="5130" width="7.7109375" style="16" customWidth="1"/>
    <col min="5131" max="5132" width="7" style="16" bestFit="1" customWidth="1"/>
    <col min="5133" max="5133" width="6.85546875" style="16" bestFit="1" customWidth="1"/>
    <col min="5134" max="5134" width="7" style="16" bestFit="1" customWidth="1"/>
    <col min="5135" max="5135" width="8.570312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8.28515625" style="16" customWidth="1"/>
    <col min="5379" max="5379" width="8" style="16" customWidth="1"/>
    <col min="5380" max="5380" width="7.28515625" style="16" customWidth="1"/>
    <col min="5381" max="5381" width="8.5703125" style="16" bestFit="1" customWidth="1"/>
    <col min="5382" max="5382" width="9.7109375" style="16" customWidth="1"/>
    <col min="5383" max="5384" width="8.5703125" style="16" customWidth="1"/>
    <col min="5385" max="5385" width="7.140625" style="16" bestFit="1" customWidth="1"/>
    <col min="5386" max="5386" width="7.7109375" style="16" customWidth="1"/>
    <col min="5387" max="5388" width="7" style="16" bestFit="1" customWidth="1"/>
    <col min="5389" max="5389" width="6.85546875" style="16" bestFit="1" customWidth="1"/>
    <col min="5390" max="5390" width="7" style="16" bestFit="1" customWidth="1"/>
    <col min="5391" max="5391" width="8.570312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8.28515625" style="16" customWidth="1"/>
    <col min="5635" max="5635" width="8" style="16" customWidth="1"/>
    <col min="5636" max="5636" width="7.28515625" style="16" customWidth="1"/>
    <col min="5637" max="5637" width="8.5703125" style="16" bestFit="1" customWidth="1"/>
    <col min="5638" max="5638" width="9.7109375" style="16" customWidth="1"/>
    <col min="5639" max="5640" width="8.5703125" style="16" customWidth="1"/>
    <col min="5641" max="5641" width="7.140625" style="16" bestFit="1" customWidth="1"/>
    <col min="5642" max="5642" width="7.7109375" style="16" customWidth="1"/>
    <col min="5643" max="5644" width="7" style="16" bestFit="1" customWidth="1"/>
    <col min="5645" max="5645" width="6.85546875" style="16" bestFit="1" customWidth="1"/>
    <col min="5646" max="5646" width="7" style="16" bestFit="1" customWidth="1"/>
    <col min="5647" max="5647" width="8.570312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8.28515625" style="16" customWidth="1"/>
    <col min="5891" max="5891" width="8" style="16" customWidth="1"/>
    <col min="5892" max="5892" width="7.28515625" style="16" customWidth="1"/>
    <col min="5893" max="5893" width="8.5703125" style="16" bestFit="1" customWidth="1"/>
    <col min="5894" max="5894" width="9.7109375" style="16" customWidth="1"/>
    <col min="5895" max="5896" width="8.5703125" style="16" customWidth="1"/>
    <col min="5897" max="5897" width="7.140625" style="16" bestFit="1" customWidth="1"/>
    <col min="5898" max="5898" width="7.7109375" style="16" customWidth="1"/>
    <col min="5899" max="5900" width="7" style="16" bestFit="1" customWidth="1"/>
    <col min="5901" max="5901" width="6.85546875" style="16" bestFit="1" customWidth="1"/>
    <col min="5902" max="5902" width="7" style="16" bestFit="1" customWidth="1"/>
    <col min="5903" max="5903" width="8.570312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8.28515625" style="16" customWidth="1"/>
    <col min="6147" max="6147" width="8" style="16" customWidth="1"/>
    <col min="6148" max="6148" width="7.28515625" style="16" customWidth="1"/>
    <col min="6149" max="6149" width="8.5703125" style="16" bestFit="1" customWidth="1"/>
    <col min="6150" max="6150" width="9.7109375" style="16" customWidth="1"/>
    <col min="6151" max="6152" width="8.5703125" style="16" customWidth="1"/>
    <col min="6153" max="6153" width="7.140625" style="16" bestFit="1" customWidth="1"/>
    <col min="6154" max="6154" width="7.7109375" style="16" customWidth="1"/>
    <col min="6155" max="6156" width="7" style="16" bestFit="1" customWidth="1"/>
    <col min="6157" max="6157" width="6.85546875" style="16" bestFit="1" customWidth="1"/>
    <col min="6158" max="6158" width="7" style="16" bestFit="1" customWidth="1"/>
    <col min="6159" max="6159" width="8.570312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8.28515625" style="16" customWidth="1"/>
    <col min="6403" max="6403" width="8" style="16" customWidth="1"/>
    <col min="6404" max="6404" width="7.28515625" style="16" customWidth="1"/>
    <col min="6405" max="6405" width="8.5703125" style="16" bestFit="1" customWidth="1"/>
    <col min="6406" max="6406" width="9.7109375" style="16" customWidth="1"/>
    <col min="6407" max="6408" width="8.5703125" style="16" customWidth="1"/>
    <col min="6409" max="6409" width="7.140625" style="16" bestFit="1" customWidth="1"/>
    <col min="6410" max="6410" width="7.7109375" style="16" customWidth="1"/>
    <col min="6411" max="6412" width="7" style="16" bestFit="1" customWidth="1"/>
    <col min="6413" max="6413" width="6.85546875" style="16" bestFit="1" customWidth="1"/>
    <col min="6414" max="6414" width="7" style="16" bestFit="1" customWidth="1"/>
    <col min="6415" max="6415" width="8.570312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8.28515625" style="16" customWidth="1"/>
    <col min="6659" max="6659" width="8" style="16" customWidth="1"/>
    <col min="6660" max="6660" width="7.28515625" style="16" customWidth="1"/>
    <col min="6661" max="6661" width="8.5703125" style="16" bestFit="1" customWidth="1"/>
    <col min="6662" max="6662" width="9.7109375" style="16" customWidth="1"/>
    <col min="6663" max="6664" width="8.5703125" style="16" customWidth="1"/>
    <col min="6665" max="6665" width="7.140625" style="16" bestFit="1" customWidth="1"/>
    <col min="6666" max="6666" width="7.7109375" style="16" customWidth="1"/>
    <col min="6667" max="6668" width="7" style="16" bestFit="1" customWidth="1"/>
    <col min="6669" max="6669" width="6.85546875" style="16" bestFit="1" customWidth="1"/>
    <col min="6670" max="6670" width="7" style="16" bestFit="1" customWidth="1"/>
    <col min="6671" max="6671" width="8.570312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8.28515625" style="16" customWidth="1"/>
    <col min="6915" max="6915" width="8" style="16" customWidth="1"/>
    <col min="6916" max="6916" width="7.28515625" style="16" customWidth="1"/>
    <col min="6917" max="6917" width="8.5703125" style="16" bestFit="1" customWidth="1"/>
    <col min="6918" max="6918" width="9.7109375" style="16" customWidth="1"/>
    <col min="6919" max="6920" width="8.5703125" style="16" customWidth="1"/>
    <col min="6921" max="6921" width="7.140625" style="16" bestFit="1" customWidth="1"/>
    <col min="6922" max="6922" width="7.7109375" style="16" customWidth="1"/>
    <col min="6923" max="6924" width="7" style="16" bestFit="1" customWidth="1"/>
    <col min="6925" max="6925" width="6.85546875" style="16" bestFit="1" customWidth="1"/>
    <col min="6926" max="6926" width="7" style="16" bestFit="1" customWidth="1"/>
    <col min="6927" max="6927" width="8.570312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8.28515625" style="16" customWidth="1"/>
    <col min="7171" max="7171" width="8" style="16" customWidth="1"/>
    <col min="7172" max="7172" width="7.28515625" style="16" customWidth="1"/>
    <col min="7173" max="7173" width="8.5703125" style="16" bestFit="1" customWidth="1"/>
    <col min="7174" max="7174" width="9.7109375" style="16" customWidth="1"/>
    <col min="7175" max="7176" width="8.5703125" style="16" customWidth="1"/>
    <col min="7177" max="7177" width="7.140625" style="16" bestFit="1" customWidth="1"/>
    <col min="7178" max="7178" width="7.7109375" style="16" customWidth="1"/>
    <col min="7179" max="7180" width="7" style="16" bestFit="1" customWidth="1"/>
    <col min="7181" max="7181" width="6.85546875" style="16" bestFit="1" customWidth="1"/>
    <col min="7182" max="7182" width="7" style="16" bestFit="1" customWidth="1"/>
    <col min="7183" max="7183" width="8.570312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8.28515625" style="16" customWidth="1"/>
    <col min="7427" max="7427" width="8" style="16" customWidth="1"/>
    <col min="7428" max="7428" width="7.28515625" style="16" customWidth="1"/>
    <col min="7429" max="7429" width="8.5703125" style="16" bestFit="1" customWidth="1"/>
    <col min="7430" max="7430" width="9.7109375" style="16" customWidth="1"/>
    <col min="7431" max="7432" width="8.5703125" style="16" customWidth="1"/>
    <col min="7433" max="7433" width="7.140625" style="16" bestFit="1" customWidth="1"/>
    <col min="7434" max="7434" width="7.7109375" style="16" customWidth="1"/>
    <col min="7435" max="7436" width="7" style="16" bestFit="1" customWidth="1"/>
    <col min="7437" max="7437" width="6.85546875" style="16" bestFit="1" customWidth="1"/>
    <col min="7438" max="7438" width="7" style="16" bestFit="1" customWidth="1"/>
    <col min="7439" max="7439" width="8.570312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8.28515625" style="16" customWidth="1"/>
    <col min="7683" max="7683" width="8" style="16" customWidth="1"/>
    <col min="7684" max="7684" width="7.28515625" style="16" customWidth="1"/>
    <col min="7685" max="7685" width="8.5703125" style="16" bestFit="1" customWidth="1"/>
    <col min="7686" max="7686" width="9.7109375" style="16" customWidth="1"/>
    <col min="7687" max="7688" width="8.5703125" style="16" customWidth="1"/>
    <col min="7689" max="7689" width="7.140625" style="16" bestFit="1" customWidth="1"/>
    <col min="7690" max="7690" width="7.7109375" style="16" customWidth="1"/>
    <col min="7691" max="7692" width="7" style="16" bestFit="1" customWidth="1"/>
    <col min="7693" max="7693" width="6.85546875" style="16" bestFit="1" customWidth="1"/>
    <col min="7694" max="7694" width="7" style="16" bestFit="1" customWidth="1"/>
    <col min="7695" max="7695" width="8.570312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8.28515625" style="16" customWidth="1"/>
    <col min="7939" max="7939" width="8" style="16" customWidth="1"/>
    <col min="7940" max="7940" width="7.28515625" style="16" customWidth="1"/>
    <col min="7941" max="7941" width="8.5703125" style="16" bestFit="1" customWidth="1"/>
    <col min="7942" max="7942" width="9.7109375" style="16" customWidth="1"/>
    <col min="7943" max="7944" width="8.5703125" style="16" customWidth="1"/>
    <col min="7945" max="7945" width="7.140625" style="16" bestFit="1" customWidth="1"/>
    <col min="7946" max="7946" width="7.7109375" style="16" customWidth="1"/>
    <col min="7947" max="7948" width="7" style="16" bestFit="1" customWidth="1"/>
    <col min="7949" max="7949" width="6.85546875" style="16" bestFit="1" customWidth="1"/>
    <col min="7950" max="7950" width="7" style="16" bestFit="1" customWidth="1"/>
    <col min="7951" max="7951" width="8.570312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8.28515625" style="16" customWidth="1"/>
    <col min="8195" max="8195" width="8" style="16" customWidth="1"/>
    <col min="8196" max="8196" width="7.28515625" style="16" customWidth="1"/>
    <col min="8197" max="8197" width="8.5703125" style="16" bestFit="1" customWidth="1"/>
    <col min="8198" max="8198" width="9.7109375" style="16" customWidth="1"/>
    <col min="8199" max="8200" width="8.5703125" style="16" customWidth="1"/>
    <col min="8201" max="8201" width="7.140625" style="16" bestFit="1" customWidth="1"/>
    <col min="8202" max="8202" width="7.7109375" style="16" customWidth="1"/>
    <col min="8203" max="8204" width="7" style="16" bestFit="1" customWidth="1"/>
    <col min="8205" max="8205" width="6.85546875" style="16" bestFit="1" customWidth="1"/>
    <col min="8206" max="8206" width="7" style="16" bestFit="1" customWidth="1"/>
    <col min="8207" max="8207" width="8.570312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8.28515625" style="16" customWidth="1"/>
    <col min="8451" max="8451" width="8" style="16" customWidth="1"/>
    <col min="8452" max="8452" width="7.28515625" style="16" customWidth="1"/>
    <col min="8453" max="8453" width="8.5703125" style="16" bestFit="1" customWidth="1"/>
    <col min="8454" max="8454" width="9.7109375" style="16" customWidth="1"/>
    <col min="8455" max="8456" width="8.5703125" style="16" customWidth="1"/>
    <col min="8457" max="8457" width="7.140625" style="16" bestFit="1" customWidth="1"/>
    <col min="8458" max="8458" width="7.7109375" style="16" customWidth="1"/>
    <col min="8459" max="8460" width="7" style="16" bestFit="1" customWidth="1"/>
    <col min="8461" max="8461" width="6.85546875" style="16" bestFit="1" customWidth="1"/>
    <col min="8462" max="8462" width="7" style="16" bestFit="1" customWidth="1"/>
    <col min="8463" max="8463" width="8.570312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8.28515625" style="16" customWidth="1"/>
    <col min="8707" max="8707" width="8" style="16" customWidth="1"/>
    <col min="8708" max="8708" width="7.28515625" style="16" customWidth="1"/>
    <col min="8709" max="8709" width="8.5703125" style="16" bestFit="1" customWidth="1"/>
    <col min="8710" max="8710" width="9.7109375" style="16" customWidth="1"/>
    <col min="8711" max="8712" width="8.5703125" style="16" customWidth="1"/>
    <col min="8713" max="8713" width="7.140625" style="16" bestFit="1" customWidth="1"/>
    <col min="8714" max="8714" width="7.7109375" style="16" customWidth="1"/>
    <col min="8715" max="8716" width="7" style="16" bestFit="1" customWidth="1"/>
    <col min="8717" max="8717" width="6.85546875" style="16" bestFit="1" customWidth="1"/>
    <col min="8718" max="8718" width="7" style="16" bestFit="1" customWidth="1"/>
    <col min="8719" max="8719" width="8.570312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8.28515625" style="16" customWidth="1"/>
    <col min="8963" max="8963" width="8" style="16" customWidth="1"/>
    <col min="8964" max="8964" width="7.28515625" style="16" customWidth="1"/>
    <col min="8965" max="8965" width="8.5703125" style="16" bestFit="1" customWidth="1"/>
    <col min="8966" max="8966" width="9.7109375" style="16" customWidth="1"/>
    <col min="8967" max="8968" width="8.5703125" style="16" customWidth="1"/>
    <col min="8969" max="8969" width="7.140625" style="16" bestFit="1" customWidth="1"/>
    <col min="8970" max="8970" width="7.7109375" style="16" customWidth="1"/>
    <col min="8971" max="8972" width="7" style="16" bestFit="1" customWidth="1"/>
    <col min="8973" max="8973" width="6.85546875" style="16" bestFit="1" customWidth="1"/>
    <col min="8974" max="8974" width="7" style="16" bestFit="1" customWidth="1"/>
    <col min="8975" max="8975" width="8.570312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8.28515625" style="16" customWidth="1"/>
    <col min="9219" max="9219" width="8" style="16" customWidth="1"/>
    <col min="9220" max="9220" width="7.28515625" style="16" customWidth="1"/>
    <col min="9221" max="9221" width="8.5703125" style="16" bestFit="1" customWidth="1"/>
    <col min="9222" max="9222" width="9.7109375" style="16" customWidth="1"/>
    <col min="9223" max="9224" width="8.5703125" style="16" customWidth="1"/>
    <col min="9225" max="9225" width="7.140625" style="16" bestFit="1" customWidth="1"/>
    <col min="9226" max="9226" width="7.7109375" style="16" customWidth="1"/>
    <col min="9227" max="9228" width="7" style="16" bestFit="1" customWidth="1"/>
    <col min="9229" max="9229" width="6.85546875" style="16" bestFit="1" customWidth="1"/>
    <col min="9230" max="9230" width="7" style="16" bestFit="1" customWidth="1"/>
    <col min="9231" max="9231" width="8.570312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8.28515625" style="16" customWidth="1"/>
    <col min="9475" max="9475" width="8" style="16" customWidth="1"/>
    <col min="9476" max="9476" width="7.28515625" style="16" customWidth="1"/>
    <col min="9477" max="9477" width="8.5703125" style="16" bestFit="1" customWidth="1"/>
    <col min="9478" max="9478" width="9.7109375" style="16" customWidth="1"/>
    <col min="9479" max="9480" width="8.5703125" style="16" customWidth="1"/>
    <col min="9481" max="9481" width="7.140625" style="16" bestFit="1" customWidth="1"/>
    <col min="9482" max="9482" width="7.7109375" style="16" customWidth="1"/>
    <col min="9483" max="9484" width="7" style="16" bestFit="1" customWidth="1"/>
    <col min="9485" max="9485" width="6.85546875" style="16" bestFit="1" customWidth="1"/>
    <col min="9486" max="9486" width="7" style="16" bestFit="1" customWidth="1"/>
    <col min="9487" max="9487" width="8.570312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8.28515625" style="16" customWidth="1"/>
    <col min="9731" max="9731" width="8" style="16" customWidth="1"/>
    <col min="9732" max="9732" width="7.28515625" style="16" customWidth="1"/>
    <col min="9733" max="9733" width="8.5703125" style="16" bestFit="1" customWidth="1"/>
    <col min="9734" max="9734" width="9.7109375" style="16" customWidth="1"/>
    <col min="9735" max="9736" width="8.5703125" style="16" customWidth="1"/>
    <col min="9737" max="9737" width="7.140625" style="16" bestFit="1" customWidth="1"/>
    <col min="9738" max="9738" width="7.7109375" style="16" customWidth="1"/>
    <col min="9739" max="9740" width="7" style="16" bestFit="1" customWidth="1"/>
    <col min="9741" max="9741" width="6.85546875" style="16" bestFit="1" customWidth="1"/>
    <col min="9742" max="9742" width="7" style="16" bestFit="1" customWidth="1"/>
    <col min="9743" max="9743" width="8.570312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8.28515625" style="16" customWidth="1"/>
    <col min="9987" max="9987" width="8" style="16" customWidth="1"/>
    <col min="9988" max="9988" width="7.28515625" style="16" customWidth="1"/>
    <col min="9989" max="9989" width="8.5703125" style="16" bestFit="1" customWidth="1"/>
    <col min="9990" max="9990" width="9.7109375" style="16" customWidth="1"/>
    <col min="9991" max="9992" width="8.5703125" style="16" customWidth="1"/>
    <col min="9993" max="9993" width="7.140625" style="16" bestFit="1" customWidth="1"/>
    <col min="9994" max="9994" width="7.7109375" style="16" customWidth="1"/>
    <col min="9995" max="9996" width="7" style="16" bestFit="1" customWidth="1"/>
    <col min="9997" max="9997" width="6.85546875" style="16" bestFit="1" customWidth="1"/>
    <col min="9998" max="9998" width="7" style="16" bestFit="1" customWidth="1"/>
    <col min="9999" max="9999" width="8.570312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8.28515625" style="16" customWidth="1"/>
    <col min="10243" max="10243" width="8" style="16" customWidth="1"/>
    <col min="10244" max="10244" width="7.28515625" style="16" customWidth="1"/>
    <col min="10245" max="10245" width="8.5703125" style="16" bestFit="1" customWidth="1"/>
    <col min="10246" max="10246" width="9.7109375" style="16" customWidth="1"/>
    <col min="10247" max="10248" width="8.5703125" style="16" customWidth="1"/>
    <col min="10249" max="10249" width="7.140625" style="16" bestFit="1" customWidth="1"/>
    <col min="10250" max="10250" width="7.7109375" style="16" customWidth="1"/>
    <col min="10251" max="10252" width="7" style="16" bestFit="1" customWidth="1"/>
    <col min="10253" max="10253" width="6.85546875" style="16" bestFit="1" customWidth="1"/>
    <col min="10254" max="10254" width="7" style="16" bestFit="1" customWidth="1"/>
    <col min="10255" max="10255" width="8.570312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8.28515625" style="16" customWidth="1"/>
    <col min="10499" max="10499" width="8" style="16" customWidth="1"/>
    <col min="10500" max="10500" width="7.28515625" style="16" customWidth="1"/>
    <col min="10501" max="10501" width="8.5703125" style="16" bestFit="1" customWidth="1"/>
    <col min="10502" max="10502" width="9.7109375" style="16" customWidth="1"/>
    <col min="10503" max="10504" width="8.5703125" style="16" customWidth="1"/>
    <col min="10505" max="10505" width="7.140625" style="16" bestFit="1" customWidth="1"/>
    <col min="10506" max="10506" width="7.7109375" style="16" customWidth="1"/>
    <col min="10507" max="10508" width="7" style="16" bestFit="1" customWidth="1"/>
    <col min="10509" max="10509" width="6.85546875" style="16" bestFit="1" customWidth="1"/>
    <col min="10510" max="10510" width="7" style="16" bestFit="1" customWidth="1"/>
    <col min="10511" max="10511" width="8.570312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8.28515625" style="16" customWidth="1"/>
    <col min="10755" max="10755" width="8" style="16" customWidth="1"/>
    <col min="10756" max="10756" width="7.28515625" style="16" customWidth="1"/>
    <col min="10757" max="10757" width="8.5703125" style="16" bestFit="1" customWidth="1"/>
    <col min="10758" max="10758" width="9.7109375" style="16" customWidth="1"/>
    <col min="10759" max="10760" width="8.5703125" style="16" customWidth="1"/>
    <col min="10761" max="10761" width="7.140625" style="16" bestFit="1" customWidth="1"/>
    <col min="10762" max="10762" width="7.7109375" style="16" customWidth="1"/>
    <col min="10763" max="10764" width="7" style="16" bestFit="1" customWidth="1"/>
    <col min="10765" max="10765" width="6.85546875" style="16" bestFit="1" customWidth="1"/>
    <col min="10766" max="10766" width="7" style="16" bestFit="1" customWidth="1"/>
    <col min="10767" max="10767" width="8.570312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8.28515625" style="16" customWidth="1"/>
    <col min="11011" max="11011" width="8" style="16" customWidth="1"/>
    <col min="11012" max="11012" width="7.28515625" style="16" customWidth="1"/>
    <col min="11013" max="11013" width="8.5703125" style="16" bestFit="1" customWidth="1"/>
    <col min="11014" max="11014" width="9.7109375" style="16" customWidth="1"/>
    <col min="11015" max="11016" width="8.5703125" style="16" customWidth="1"/>
    <col min="11017" max="11017" width="7.140625" style="16" bestFit="1" customWidth="1"/>
    <col min="11018" max="11018" width="7.7109375" style="16" customWidth="1"/>
    <col min="11019" max="11020" width="7" style="16" bestFit="1" customWidth="1"/>
    <col min="11021" max="11021" width="6.85546875" style="16" bestFit="1" customWidth="1"/>
    <col min="11022" max="11022" width="7" style="16" bestFit="1" customWidth="1"/>
    <col min="11023" max="11023" width="8.570312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8.28515625" style="16" customWidth="1"/>
    <col min="11267" max="11267" width="8" style="16" customWidth="1"/>
    <col min="11268" max="11268" width="7.28515625" style="16" customWidth="1"/>
    <col min="11269" max="11269" width="8.5703125" style="16" bestFit="1" customWidth="1"/>
    <col min="11270" max="11270" width="9.7109375" style="16" customWidth="1"/>
    <col min="11271" max="11272" width="8.5703125" style="16" customWidth="1"/>
    <col min="11273" max="11273" width="7.140625" style="16" bestFit="1" customWidth="1"/>
    <col min="11274" max="11274" width="7.7109375" style="16" customWidth="1"/>
    <col min="11275" max="11276" width="7" style="16" bestFit="1" customWidth="1"/>
    <col min="11277" max="11277" width="6.85546875" style="16" bestFit="1" customWidth="1"/>
    <col min="11278" max="11278" width="7" style="16" bestFit="1" customWidth="1"/>
    <col min="11279" max="11279" width="8.570312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8.28515625" style="16" customWidth="1"/>
    <col min="11523" max="11523" width="8" style="16" customWidth="1"/>
    <col min="11524" max="11524" width="7.28515625" style="16" customWidth="1"/>
    <col min="11525" max="11525" width="8.5703125" style="16" bestFit="1" customWidth="1"/>
    <col min="11526" max="11526" width="9.7109375" style="16" customWidth="1"/>
    <col min="11527" max="11528" width="8.5703125" style="16" customWidth="1"/>
    <col min="11529" max="11529" width="7.140625" style="16" bestFit="1" customWidth="1"/>
    <col min="11530" max="11530" width="7.7109375" style="16" customWidth="1"/>
    <col min="11531" max="11532" width="7" style="16" bestFit="1" customWidth="1"/>
    <col min="11533" max="11533" width="6.85546875" style="16" bestFit="1" customWidth="1"/>
    <col min="11534" max="11534" width="7" style="16" bestFit="1" customWidth="1"/>
    <col min="11535" max="11535" width="8.570312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8.28515625" style="16" customWidth="1"/>
    <col min="11779" max="11779" width="8" style="16" customWidth="1"/>
    <col min="11780" max="11780" width="7.28515625" style="16" customWidth="1"/>
    <col min="11781" max="11781" width="8.5703125" style="16" bestFit="1" customWidth="1"/>
    <col min="11782" max="11782" width="9.7109375" style="16" customWidth="1"/>
    <col min="11783" max="11784" width="8.5703125" style="16" customWidth="1"/>
    <col min="11785" max="11785" width="7.140625" style="16" bestFit="1" customWidth="1"/>
    <col min="11786" max="11786" width="7.7109375" style="16" customWidth="1"/>
    <col min="11787" max="11788" width="7" style="16" bestFit="1" customWidth="1"/>
    <col min="11789" max="11789" width="6.85546875" style="16" bestFit="1" customWidth="1"/>
    <col min="11790" max="11790" width="7" style="16" bestFit="1" customWidth="1"/>
    <col min="11791" max="11791" width="8.570312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8.28515625" style="16" customWidth="1"/>
    <col min="12035" max="12035" width="8" style="16" customWidth="1"/>
    <col min="12036" max="12036" width="7.28515625" style="16" customWidth="1"/>
    <col min="12037" max="12037" width="8.5703125" style="16" bestFit="1" customWidth="1"/>
    <col min="12038" max="12038" width="9.7109375" style="16" customWidth="1"/>
    <col min="12039" max="12040" width="8.5703125" style="16" customWidth="1"/>
    <col min="12041" max="12041" width="7.140625" style="16" bestFit="1" customWidth="1"/>
    <col min="12042" max="12042" width="7.7109375" style="16" customWidth="1"/>
    <col min="12043" max="12044" width="7" style="16" bestFit="1" customWidth="1"/>
    <col min="12045" max="12045" width="6.85546875" style="16" bestFit="1" customWidth="1"/>
    <col min="12046" max="12046" width="7" style="16" bestFit="1" customWidth="1"/>
    <col min="12047" max="12047" width="8.570312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8.28515625" style="16" customWidth="1"/>
    <col min="12291" max="12291" width="8" style="16" customWidth="1"/>
    <col min="12292" max="12292" width="7.28515625" style="16" customWidth="1"/>
    <col min="12293" max="12293" width="8.5703125" style="16" bestFit="1" customWidth="1"/>
    <col min="12294" max="12294" width="9.7109375" style="16" customWidth="1"/>
    <col min="12295" max="12296" width="8.5703125" style="16" customWidth="1"/>
    <col min="12297" max="12297" width="7.140625" style="16" bestFit="1" customWidth="1"/>
    <col min="12298" max="12298" width="7.7109375" style="16" customWidth="1"/>
    <col min="12299" max="12300" width="7" style="16" bestFit="1" customWidth="1"/>
    <col min="12301" max="12301" width="6.85546875" style="16" bestFit="1" customWidth="1"/>
    <col min="12302" max="12302" width="7" style="16" bestFit="1" customWidth="1"/>
    <col min="12303" max="12303" width="8.570312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8.28515625" style="16" customWidth="1"/>
    <col min="12547" max="12547" width="8" style="16" customWidth="1"/>
    <col min="12548" max="12548" width="7.28515625" style="16" customWidth="1"/>
    <col min="12549" max="12549" width="8.5703125" style="16" bestFit="1" customWidth="1"/>
    <col min="12550" max="12550" width="9.7109375" style="16" customWidth="1"/>
    <col min="12551" max="12552" width="8.5703125" style="16" customWidth="1"/>
    <col min="12553" max="12553" width="7.140625" style="16" bestFit="1" customWidth="1"/>
    <col min="12554" max="12554" width="7.7109375" style="16" customWidth="1"/>
    <col min="12555" max="12556" width="7" style="16" bestFit="1" customWidth="1"/>
    <col min="12557" max="12557" width="6.85546875" style="16" bestFit="1" customWidth="1"/>
    <col min="12558" max="12558" width="7" style="16" bestFit="1" customWidth="1"/>
    <col min="12559" max="12559" width="8.570312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8.28515625" style="16" customWidth="1"/>
    <col min="12803" max="12803" width="8" style="16" customWidth="1"/>
    <col min="12804" max="12804" width="7.28515625" style="16" customWidth="1"/>
    <col min="12805" max="12805" width="8.5703125" style="16" bestFit="1" customWidth="1"/>
    <col min="12806" max="12806" width="9.7109375" style="16" customWidth="1"/>
    <col min="12807" max="12808" width="8.5703125" style="16" customWidth="1"/>
    <col min="12809" max="12809" width="7.140625" style="16" bestFit="1" customWidth="1"/>
    <col min="12810" max="12810" width="7.7109375" style="16" customWidth="1"/>
    <col min="12811" max="12812" width="7" style="16" bestFit="1" customWidth="1"/>
    <col min="12813" max="12813" width="6.85546875" style="16" bestFit="1" customWidth="1"/>
    <col min="12814" max="12814" width="7" style="16" bestFit="1" customWidth="1"/>
    <col min="12815" max="12815" width="8.570312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8.28515625" style="16" customWidth="1"/>
    <col min="13059" max="13059" width="8" style="16" customWidth="1"/>
    <col min="13060" max="13060" width="7.28515625" style="16" customWidth="1"/>
    <col min="13061" max="13061" width="8.5703125" style="16" bestFit="1" customWidth="1"/>
    <col min="13062" max="13062" width="9.7109375" style="16" customWidth="1"/>
    <col min="13063" max="13064" width="8.5703125" style="16" customWidth="1"/>
    <col min="13065" max="13065" width="7.140625" style="16" bestFit="1" customWidth="1"/>
    <col min="13066" max="13066" width="7.7109375" style="16" customWidth="1"/>
    <col min="13067" max="13068" width="7" style="16" bestFit="1" customWidth="1"/>
    <col min="13069" max="13069" width="6.85546875" style="16" bestFit="1" customWidth="1"/>
    <col min="13070" max="13070" width="7" style="16" bestFit="1" customWidth="1"/>
    <col min="13071" max="13071" width="8.570312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8.28515625" style="16" customWidth="1"/>
    <col min="13315" max="13315" width="8" style="16" customWidth="1"/>
    <col min="13316" max="13316" width="7.28515625" style="16" customWidth="1"/>
    <col min="13317" max="13317" width="8.5703125" style="16" bestFit="1" customWidth="1"/>
    <col min="13318" max="13318" width="9.7109375" style="16" customWidth="1"/>
    <col min="13319" max="13320" width="8.5703125" style="16" customWidth="1"/>
    <col min="13321" max="13321" width="7.140625" style="16" bestFit="1" customWidth="1"/>
    <col min="13322" max="13322" width="7.7109375" style="16" customWidth="1"/>
    <col min="13323" max="13324" width="7" style="16" bestFit="1" customWidth="1"/>
    <col min="13325" max="13325" width="6.85546875" style="16" bestFit="1" customWidth="1"/>
    <col min="13326" max="13326" width="7" style="16" bestFit="1" customWidth="1"/>
    <col min="13327" max="13327" width="8.570312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8.28515625" style="16" customWidth="1"/>
    <col min="13571" max="13571" width="8" style="16" customWidth="1"/>
    <col min="13572" max="13572" width="7.28515625" style="16" customWidth="1"/>
    <col min="13573" max="13573" width="8.5703125" style="16" bestFit="1" customWidth="1"/>
    <col min="13574" max="13574" width="9.7109375" style="16" customWidth="1"/>
    <col min="13575" max="13576" width="8.5703125" style="16" customWidth="1"/>
    <col min="13577" max="13577" width="7.140625" style="16" bestFit="1" customWidth="1"/>
    <col min="13578" max="13578" width="7.7109375" style="16" customWidth="1"/>
    <col min="13579" max="13580" width="7" style="16" bestFit="1" customWidth="1"/>
    <col min="13581" max="13581" width="6.85546875" style="16" bestFit="1" customWidth="1"/>
    <col min="13582" max="13582" width="7" style="16" bestFit="1" customWidth="1"/>
    <col min="13583" max="13583" width="8.570312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8.28515625" style="16" customWidth="1"/>
    <col min="13827" max="13827" width="8" style="16" customWidth="1"/>
    <col min="13828" max="13828" width="7.28515625" style="16" customWidth="1"/>
    <col min="13829" max="13829" width="8.5703125" style="16" bestFit="1" customWidth="1"/>
    <col min="13830" max="13830" width="9.7109375" style="16" customWidth="1"/>
    <col min="13831" max="13832" width="8.5703125" style="16" customWidth="1"/>
    <col min="13833" max="13833" width="7.140625" style="16" bestFit="1" customWidth="1"/>
    <col min="13834" max="13834" width="7.7109375" style="16" customWidth="1"/>
    <col min="13835" max="13836" width="7" style="16" bestFit="1" customWidth="1"/>
    <col min="13837" max="13837" width="6.85546875" style="16" bestFit="1" customWidth="1"/>
    <col min="13838" max="13838" width="7" style="16" bestFit="1" customWidth="1"/>
    <col min="13839" max="13839" width="8.570312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8.28515625" style="16" customWidth="1"/>
    <col min="14083" max="14083" width="8" style="16" customWidth="1"/>
    <col min="14084" max="14084" width="7.28515625" style="16" customWidth="1"/>
    <col min="14085" max="14085" width="8.5703125" style="16" bestFit="1" customWidth="1"/>
    <col min="14086" max="14086" width="9.7109375" style="16" customWidth="1"/>
    <col min="14087" max="14088" width="8.5703125" style="16" customWidth="1"/>
    <col min="14089" max="14089" width="7.140625" style="16" bestFit="1" customWidth="1"/>
    <col min="14090" max="14090" width="7.7109375" style="16" customWidth="1"/>
    <col min="14091" max="14092" width="7" style="16" bestFit="1" customWidth="1"/>
    <col min="14093" max="14093" width="6.85546875" style="16" bestFit="1" customWidth="1"/>
    <col min="14094" max="14094" width="7" style="16" bestFit="1" customWidth="1"/>
    <col min="14095" max="14095" width="8.570312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8.28515625" style="16" customWidth="1"/>
    <col min="14339" max="14339" width="8" style="16" customWidth="1"/>
    <col min="14340" max="14340" width="7.28515625" style="16" customWidth="1"/>
    <col min="14341" max="14341" width="8.5703125" style="16" bestFit="1" customWidth="1"/>
    <col min="14342" max="14342" width="9.7109375" style="16" customWidth="1"/>
    <col min="14343" max="14344" width="8.5703125" style="16" customWidth="1"/>
    <col min="14345" max="14345" width="7.140625" style="16" bestFit="1" customWidth="1"/>
    <col min="14346" max="14346" width="7.7109375" style="16" customWidth="1"/>
    <col min="14347" max="14348" width="7" style="16" bestFit="1" customWidth="1"/>
    <col min="14349" max="14349" width="6.85546875" style="16" bestFit="1" customWidth="1"/>
    <col min="14350" max="14350" width="7" style="16" bestFit="1" customWidth="1"/>
    <col min="14351" max="14351" width="8.570312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8.28515625" style="16" customWidth="1"/>
    <col min="14595" max="14595" width="8" style="16" customWidth="1"/>
    <col min="14596" max="14596" width="7.28515625" style="16" customWidth="1"/>
    <col min="14597" max="14597" width="8.5703125" style="16" bestFit="1" customWidth="1"/>
    <col min="14598" max="14598" width="9.7109375" style="16" customWidth="1"/>
    <col min="14599" max="14600" width="8.5703125" style="16" customWidth="1"/>
    <col min="14601" max="14601" width="7.140625" style="16" bestFit="1" customWidth="1"/>
    <col min="14602" max="14602" width="7.7109375" style="16" customWidth="1"/>
    <col min="14603" max="14604" width="7" style="16" bestFit="1" customWidth="1"/>
    <col min="14605" max="14605" width="6.85546875" style="16" bestFit="1" customWidth="1"/>
    <col min="14606" max="14606" width="7" style="16" bestFit="1" customWidth="1"/>
    <col min="14607" max="14607" width="8.570312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8.28515625" style="16" customWidth="1"/>
    <col min="14851" max="14851" width="8" style="16" customWidth="1"/>
    <col min="14852" max="14852" width="7.28515625" style="16" customWidth="1"/>
    <col min="14853" max="14853" width="8.5703125" style="16" bestFit="1" customWidth="1"/>
    <col min="14854" max="14854" width="9.7109375" style="16" customWidth="1"/>
    <col min="14855" max="14856" width="8.5703125" style="16" customWidth="1"/>
    <col min="14857" max="14857" width="7.140625" style="16" bestFit="1" customWidth="1"/>
    <col min="14858" max="14858" width="7.7109375" style="16" customWidth="1"/>
    <col min="14859" max="14860" width="7" style="16" bestFit="1" customWidth="1"/>
    <col min="14861" max="14861" width="6.85546875" style="16" bestFit="1" customWidth="1"/>
    <col min="14862" max="14862" width="7" style="16" bestFit="1" customWidth="1"/>
    <col min="14863" max="14863" width="8.570312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8.28515625" style="16" customWidth="1"/>
    <col min="15107" max="15107" width="8" style="16" customWidth="1"/>
    <col min="15108" max="15108" width="7.28515625" style="16" customWidth="1"/>
    <col min="15109" max="15109" width="8.5703125" style="16" bestFit="1" customWidth="1"/>
    <col min="15110" max="15110" width="9.7109375" style="16" customWidth="1"/>
    <col min="15111" max="15112" width="8.5703125" style="16" customWidth="1"/>
    <col min="15113" max="15113" width="7.140625" style="16" bestFit="1" customWidth="1"/>
    <col min="15114" max="15114" width="7.7109375" style="16" customWidth="1"/>
    <col min="15115" max="15116" width="7" style="16" bestFit="1" customWidth="1"/>
    <col min="15117" max="15117" width="6.85546875" style="16" bestFit="1" customWidth="1"/>
    <col min="15118" max="15118" width="7" style="16" bestFit="1" customWidth="1"/>
    <col min="15119" max="15119" width="8.570312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8.28515625" style="16" customWidth="1"/>
    <col min="15363" max="15363" width="8" style="16" customWidth="1"/>
    <col min="15364" max="15364" width="7.28515625" style="16" customWidth="1"/>
    <col min="15365" max="15365" width="8.5703125" style="16" bestFit="1" customWidth="1"/>
    <col min="15366" max="15366" width="9.7109375" style="16" customWidth="1"/>
    <col min="15367" max="15368" width="8.5703125" style="16" customWidth="1"/>
    <col min="15369" max="15369" width="7.140625" style="16" bestFit="1" customWidth="1"/>
    <col min="15370" max="15370" width="7.7109375" style="16" customWidth="1"/>
    <col min="15371" max="15372" width="7" style="16" bestFit="1" customWidth="1"/>
    <col min="15373" max="15373" width="6.85546875" style="16" bestFit="1" customWidth="1"/>
    <col min="15374" max="15374" width="7" style="16" bestFit="1" customWidth="1"/>
    <col min="15375" max="15375" width="8.570312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8.28515625" style="16" customWidth="1"/>
    <col min="15619" max="15619" width="8" style="16" customWidth="1"/>
    <col min="15620" max="15620" width="7.28515625" style="16" customWidth="1"/>
    <col min="15621" max="15621" width="8.5703125" style="16" bestFit="1" customWidth="1"/>
    <col min="15622" max="15622" width="9.7109375" style="16" customWidth="1"/>
    <col min="15623" max="15624" width="8.5703125" style="16" customWidth="1"/>
    <col min="15625" max="15625" width="7.140625" style="16" bestFit="1" customWidth="1"/>
    <col min="15626" max="15626" width="7.7109375" style="16" customWidth="1"/>
    <col min="15627" max="15628" width="7" style="16" bestFit="1" customWidth="1"/>
    <col min="15629" max="15629" width="6.85546875" style="16" bestFit="1" customWidth="1"/>
    <col min="15630" max="15630" width="7" style="16" bestFit="1" customWidth="1"/>
    <col min="15631" max="15631" width="8.570312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8.28515625" style="16" customWidth="1"/>
    <col min="15875" max="15875" width="8" style="16" customWidth="1"/>
    <col min="15876" max="15876" width="7.28515625" style="16" customWidth="1"/>
    <col min="15877" max="15877" width="8.5703125" style="16" bestFit="1" customWidth="1"/>
    <col min="15878" max="15878" width="9.7109375" style="16" customWidth="1"/>
    <col min="15879" max="15880" width="8.5703125" style="16" customWidth="1"/>
    <col min="15881" max="15881" width="7.140625" style="16" bestFit="1" customWidth="1"/>
    <col min="15882" max="15882" width="7.7109375" style="16" customWidth="1"/>
    <col min="15883" max="15884" width="7" style="16" bestFit="1" customWidth="1"/>
    <col min="15885" max="15885" width="6.85546875" style="16" bestFit="1" customWidth="1"/>
    <col min="15886" max="15886" width="7" style="16" bestFit="1" customWidth="1"/>
    <col min="15887" max="15887" width="8.570312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8.28515625" style="16" customWidth="1"/>
    <col min="16131" max="16131" width="8" style="16" customWidth="1"/>
    <col min="16132" max="16132" width="7.28515625" style="16" customWidth="1"/>
    <col min="16133" max="16133" width="8.5703125" style="16" bestFit="1" customWidth="1"/>
    <col min="16134" max="16134" width="9.7109375" style="16" customWidth="1"/>
    <col min="16135" max="16136" width="8.5703125" style="16" customWidth="1"/>
    <col min="16137" max="16137" width="7.140625" style="16" bestFit="1" customWidth="1"/>
    <col min="16138" max="16138" width="7.7109375" style="16" customWidth="1"/>
    <col min="16139" max="16140" width="7" style="16" bestFit="1" customWidth="1"/>
    <col min="16141" max="16141" width="6.85546875" style="16" bestFit="1" customWidth="1"/>
    <col min="16142" max="16142" width="7" style="16" bestFit="1" customWidth="1"/>
    <col min="16143" max="16143" width="8.570312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67" t="s">
        <v>449</v>
      </c>
      <c r="B1" s="868"/>
      <c r="C1" s="868"/>
      <c r="D1" s="869"/>
      <c r="E1" s="868"/>
      <c r="F1" s="868"/>
      <c r="G1" s="867" t="s">
        <v>102</v>
      </c>
      <c r="H1" s="869"/>
      <c r="I1" s="869" t="s">
        <v>1062</v>
      </c>
      <c r="J1" s="868"/>
      <c r="K1" s="868"/>
      <c r="L1" s="870"/>
      <c r="M1" s="870"/>
      <c r="N1" s="870"/>
      <c r="O1" s="870"/>
    </row>
    <row r="2" spans="1:15" s="1" customFormat="1" x14ac:dyDescent="0.2">
      <c r="A2" s="867" t="s">
        <v>103</v>
      </c>
      <c r="B2" s="868"/>
      <c r="C2" s="868"/>
      <c r="D2" s="869"/>
      <c r="E2" s="868"/>
      <c r="F2" s="868"/>
      <c r="G2" s="867" t="s">
        <v>104</v>
      </c>
      <c r="H2" s="869"/>
      <c r="I2" s="869" t="s">
        <v>105</v>
      </c>
      <c r="J2" s="868"/>
      <c r="K2" s="868"/>
      <c r="L2" s="870"/>
      <c r="M2" s="870"/>
      <c r="N2" s="870"/>
      <c r="O2" s="870"/>
    </row>
    <row r="3" spans="1:15" s="1" customFormat="1" x14ac:dyDescent="0.2">
      <c r="A3" s="867" t="s">
        <v>106</v>
      </c>
      <c r="B3" s="868"/>
      <c r="C3" s="868"/>
      <c r="D3" s="881" t="s">
        <v>1063</v>
      </c>
      <c r="E3" s="882"/>
      <c r="F3" s="882"/>
      <c r="G3" s="867" t="s">
        <v>107</v>
      </c>
      <c r="H3" s="869"/>
      <c r="I3" s="869" t="s">
        <v>108</v>
      </c>
      <c r="J3" s="868"/>
      <c r="K3" s="868"/>
      <c r="L3" s="870"/>
      <c r="M3" s="870"/>
      <c r="N3" s="870"/>
      <c r="O3" s="870"/>
    </row>
    <row r="4" spans="1:15" s="1" customFormat="1" x14ac:dyDescent="0.2">
      <c r="A4" s="867" t="s">
        <v>109</v>
      </c>
      <c r="B4" s="868"/>
      <c r="C4" s="868"/>
      <c r="D4" s="883"/>
      <c r="E4" s="868"/>
      <c r="F4" s="868"/>
      <c r="G4" s="867" t="s">
        <v>110</v>
      </c>
      <c r="H4" s="869"/>
      <c r="I4" s="869" t="s">
        <v>635</v>
      </c>
      <c r="J4" s="868"/>
      <c r="K4" s="868"/>
      <c r="L4" s="870"/>
      <c r="M4" s="870"/>
      <c r="N4" s="870"/>
      <c r="O4" s="870"/>
    </row>
    <row r="5" spans="1:15" s="1" customFormat="1" x14ac:dyDescent="0.2">
      <c r="A5" s="867" t="s">
        <v>443</v>
      </c>
      <c r="B5" s="868"/>
      <c r="C5" s="868"/>
      <c r="D5" s="869" t="s">
        <v>1064</v>
      </c>
      <c r="E5" s="868"/>
      <c r="F5" s="868"/>
      <c r="G5" s="867"/>
      <c r="H5" s="868"/>
      <c r="I5" s="869" t="s">
        <v>113</v>
      </c>
      <c r="J5" s="868"/>
      <c r="K5" s="868"/>
      <c r="L5" s="870"/>
      <c r="M5" s="870"/>
      <c r="N5" s="870"/>
      <c r="O5" s="870"/>
    </row>
    <row r="6" spans="1:15" s="1" customFormat="1" x14ac:dyDescent="0.2">
      <c r="A6" s="871" t="s">
        <v>114</v>
      </c>
      <c r="B6" s="872"/>
      <c r="C6" s="872"/>
      <c r="D6" s="868" t="s">
        <v>939</v>
      </c>
      <c r="E6" s="868"/>
      <c r="F6" s="868"/>
      <c r="G6" s="871" t="s">
        <v>115</v>
      </c>
      <c r="H6" s="871"/>
      <c r="I6" s="2" t="s">
        <v>116</v>
      </c>
      <c r="J6" s="873"/>
      <c r="K6" s="873"/>
      <c r="L6" s="873"/>
      <c r="M6" s="873"/>
      <c r="N6" s="873"/>
      <c r="O6" s="874"/>
    </row>
    <row r="7" spans="1:15" s="1" customFormat="1" ht="13.5" thickBot="1" x14ac:dyDescent="0.25">
      <c r="A7" s="3"/>
      <c r="B7" s="4"/>
      <c r="C7" s="5"/>
      <c r="D7" s="6"/>
      <c r="E7" s="6"/>
      <c r="F7" s="6"/>
      <c r="G7" s="6"/>
      <c r="H7" s="6"/>
      <c r="I7" s="6"/>
      <c r="J7" s="7"/>
      <c r="K7" s="8"/>
      <c r="L7" s="875" t="s">
        <v>223</v>
      </c>
      <c r="M7" s="875"/>
      <c r="N7" s="875"/>
      <c r="O7" s="875"/>
    </row>
    <row r="8" spans="1:15" s="11" customFormat="1" x14ac:dyDescent="0.2">
      <c r="A8" s="876" t="str">
        <f>I1</f>
        <v>Mr. R. N. Kulkarni</v>
      </c>
      <c r="B8" s="877"/>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101700</v>
      </c>
      <c r="D9" s="14">
        <v>101700</v>
      </c>
      <c r="E9" s="14">
        <v>101700</v>
      </c>
      <c r="F9" s="14">
        <v>101700</v>
      </c>
      <c r="G9" s="14">
        <v>104800</v>
      </c>
      <c r="H9" s="14">
        <v>104800</v>
      </c>
      <c r="I9" s="14">
        <v>104800</v>
      </c>
      <c r="J9" s="14">
        <v>104800</v>
      </c>
      <c r="K9" s="14">
        <v>104800</v>
      </c>
      <c r="L9" s="14">
        <v>0</v>
      </c>
      <c r="M9" s="14">
        <v>0</v>
      </c>
      <c r="N9" s="14">
        <v>0</v>
      </c>
      <c r="O9" s="15">
        <f>SUM(C9:N9)</f>
        <v>930800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5085</v>
      </c>
      <c r="D11" s="17">
        <v>7119</v>
      </c>
      <c r="E11" s="17">
        <v>7119</v>
      </c>
      <c r="F11" s="17">
        <v>7119</v>
      </c>
      <c r="G11" s="17">
        <v>7336</v>
      </c>
      <c r="H11" s="17">
        <v>7336</v>
      </c>
      <c r="I11" s="17">
        <v>7336</v>
      </c>
      <c r="J11" s="17">
        <v>9432</v>
      </c>
      <c r="K11" s="17">
        <v>9432</v>
      </c>
      <c r="L11" s="17">
        <v>0</v>
      </c>
      <c r="M11" s="17">
        <v>0</v>
      </c>
      <c r="N11" s="17">
        <v>0</v>
      </c>
      <c r="O11" s="18">
        <f>SUM(C11:N11)</f>
        <v>67314</v>
      </c>
    </row>
    <row r="12" spans="1:15"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x14ac:dyDescent="0.2">
      <c r="A14" s="12"/>
      <c r="B14" s="13" t="s">
        <v>123</v>
      </c>
      <c r="C14" s="17">
        <v>7560</v>
      </c>
      <c r="D14" s="17">
        <v>7704</v>
      </c>
      <c r="E14" s="17">
        <v>7704</v>
      </c>
      <c r="F14" s="17">
        <v>7704</v>
      </c>
      <c r="G14" s="17">
        <v>7704</v>
      </c>
      <c r="H14" s="17">
        <v>7704</v>
      </c>
      <c r="I14" s="17">
        <v>7704</v>
      </c>
      <c r="J14" s="17">
        <v>7848</v>
      </c>
      <c r="K14" s="17">
        <v>7848</v>
      </c>
      <c r="L14" s="17">
        <v>0</v>
      </c>
      <c r="M14" s="17">
        <v>0</v>
      </c>
      <c r="N14" s="17">
        <v>0</v>
      </c>
      <c r="O14" s="18">
        <f t="shared" si="0"/>
        <v>69480</v>
      </c>
    </row>
    <row r="15" spans="1:15"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hidden="1"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24408</v>
      </c>
      <c r="D19" s="17">
        <v>24408</v>
      </c>
      <c r="E19" s="17">
        <v>24408</v>
      </c>
      <c r="F19" s="17">
        <v>24408</v>
      </c>
      <c r="G19" s="17">
        <v>25152</v>
      </c>
      <c r="H19" s="17">
        <v>25152</v>
      </c>
      <c r="I19" s="17">
        <v>25152</v>
      </c>
      <c r="J19" s="17">
        <v>25152</v>
      </c>
      <c r="K19" s="17">
        <v>25152</v>
      </c>
      <c r="L19" s="17">
        <v>0</v>
      </c>
      <c r="M19" s="17">
        <v>0</v>
      </c>
      <c r="N19" s="17">
        <v>0</v>
      </c>
      <c r="O19" s="18">
        <f t="shared" si="0"/>
        <v>223392</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78"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79"/>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5" ht="15" hidden="1" customHeight="1" x14ac:dyDescent="0.2">
      <c r="A23" s="879"/>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79"/>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79"/>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79"/>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79"/>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79"/>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79"/>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79"/>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79"/>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79"/>
      <c r="B32" s="21" t="s">
        <v>252</v>
      </c>
      <c r="C32" s="17">
        <v>0</v>
      </c>
      <c r="D32" s="17">
        <v>0</v>
      </c>
      <c r="E32" s="17">
        <v>0</v>
      </c>
      <c r="F32" s="17">
        <v>0</v>
      </c>
      <c r="G32" s="17">
        <v>0</v>
      </c>
      <c r="H32" s="17">
        <v>0</v>
      </c>
      <c r="I32" s="17">
        <v>0</v>
      </c>
      <c r="J32" s="17">
        <v>0</v>
      </c>
      <c r="K32" s="17">
        <v>0</v>
      </c>
      <c r="L32" s="17">
        <v>0</v>
      </c>
      <c r="M32" s="17">
        <v>0</v>
      </c>
      <c r="N32" s="17">
        <v>0</v>
      </c>
      <c r="O32" s="18">
        <f t="shared" si="0"/>
        <v>0</v>
      </c>
    </row>
    <row r="33" spans="1:18" ht="15" hidden="1" customHeight="1" x14ac:dyDescent="0.2">
      <c r="A33" s="880"/>
      <c r="B33" s="19" t="s">
        <v>226</v>
      </c>
      <c r="C33" s="17">
        <v>0</v>
      </c>
      <c r="D33" s="17">
        <v>0</v>
      </c>
      <c r="E33" s="17">
        <v>0</v>
      </c>
      <c r="F33" s="17">
        <v>0</v>
      </c>
      <c r="G33" s="17">
        <v>0</v>
      </c>
      <c r="H33" s="17">
        <v>0</v>
      </c>
      <c r="I33" s="17">
        <v>0</v>
      </c>
      <c r="J33" s="17">
        <v>0</v>
      </c>
      <c r="K33" s="17">
        <v>0</v>
      </c>
      <c r="L33" s="17">
        <v>0</v>
      </c>
      <c r="M33" s="17">
        <v>0</v>
      </c>
      <c r="N33" s="17">
        <v>0</v>
      </c>
      <c r="O33" s="18">
        <f t="shared" si="0"/>
        <v>0</v>
      </c>
    </row>
    <row r="34" spans="1:18" ht="15" customHeight="1" x14ac:dyDescent="0.2">
      <c r="A34" s="865" t="s">
        <v>144</v>
      </c>
      <c r="B34" s="866"/>
      <c r="C34" s="17">
        <v>0</v>
      </c>
      <c r="D34" s="17">
        <v>0</v>
      </c>
      <c r="E34" s="17">
        <v>0</v>
      </c>
      <c r="F34" s="17">
        <v>0</v>
      </c>
      <c r="G34" s="17">
        <v>0</v>
      </c>
      <c r="H34" s="17">
        <v>0</v>
      </c>
      <c r="I34" s="17">
        <v>0</v>
      </c>
      <c r="J34" s="17">
        <v>0</v>
      </c>
      <c r="K34" s="17">
        <v>0</v>
      </c>
      <c r="L34" s="17">
        <v>0</v>
      </c>
      <c r="M34" s="17">
        <v>0</v>
      </c>
      <c r="N34" s="17">
        <v>0</v>
      </c>
      <c r="O34" s="18">
        <f t="shared" si="0"/>
        <v>0</v>
      </c>
    </row>
    <row r="35" spans="1:18" ht="15" customHeight="1" x14ac:dyDescent="0.2">
      <c r="A35" s="865" t="s">
        <v>145</v>
      </c>
      <c r="B35" s="866"/>
      <c r="C35" s="17">
        <v>0</v>
      </c>
      <c r="D35" s="17">
        <v>432</v>
      </c>
      <c r="E35" s="17">
        <v>0</v>
      </c>
      <c r="F35" s="17">
        <v>0</v>
      </c>
      <c r="G35" s="17">
        <v>0</v>
      </c>
      <c r="H35" s="17">
        <v>0</v>
      </c>
      <c r="I35" s="17">
        <v>0</v>
      </c>
      <c r="J35" s="17">
        <v>432</v>
      </c>
      <c r="K35" s="17">
        <v>0</v>
      </c>
      <c r="L35" s="17">
        <v>0</v>
      </c>
      <c r="M35" s="17">
        <v>0</v>
      </c>
      <c r="N35" s="17">
        <v>0</v>
      </c>
      <c r="O35" s="18">
        <f t="shared" si="0"/>
        <v>864</v>
      </c>
    </row>
    <row r="36" spans="1:18" ht="15" customHeight="1" x14ac:dyDescent="0.2">
      <c r="A36" s="865" t="s">
        <v>146</v>
      </c>
      <c r="B36" s="866"/>
      <c r="C36" s="17">
        <v>0</v>
      </c>
      <c r="D36" s="17">
        <v>6102</v>
      </c>
      <c r="E36" s="17">
        <v>0</v>
      </c>
      <c r="F36" s="17">
        <v>0</v>
      </c>
      <c r="G36" s="17">
        <v>0</v>
      </c>
      <c r="H36" s="17">
        <v>0</v>
      </c>
      <c r="I36" s="17">
        <v>0</v>
      </c>
      <c r="J36" s="17">
        <v>5288</v>
      </c>
      <c r="K36" s="17">
        <v>0</v>
      </c>
      <c r="L36" s="17">
        <v>0</v>
      </c>
      <c r="M36" s="17">
        <v>0</v>
      </c>
      <c r="N36" s="17">
        <v>0</v>
      </c>
      <c r="O36" s="18">
        <f t="shared" si="0"/>
        <v>11390</v>
      </c>
    </row>
    <row r="37" spans="1:18" ht="15" customHeight="1" x14ac:dyDescent="0.2">
      <c r="A37" s="22"/>
      <c r="B37" s="23" t="s">
        <v>147</v>
      </c>
      <c r="C37" s="24">
        <f t="shared" ref="C37:N37" si="1">SUM(C9:C36)</f>
        <v>138753</v>
      </c>
      <c r="D37" s="24">
        <f t="shared" si="1"/>
        <v>147465</v>
      </c>
      <c r="E37" s="24">
        <f t="shared" si="1"/>
        <v>140931</v>
      </c>
      <c r="F37" s="24">
        <f t="shared" si="1"/>
        <v>140931</v>
      </c>
      <c r="G37" s="24">
        <f t="shared" si="1"/>
        <v>144992</v>
      </c>
      <c r="H37" s="24">
        <f t="shared" si="1"/>
        <v>144992</v>
      </c>
      <c r="I37" s="24">
        <f t="shared" si="1"/>
        <v>144992</v>
      </c>
      <c r="J37" s="24">
        <f t="shared" si="1"/>
        <v>159860</v>
      </c>
      <c r="K37" s="24">
        <f t="shared" si="1"/>
        <v>147232</v>
      </c>
      <c r="L37" s="24">
        <f t="shared" si="1"/>
        <v>0</v>
      </c>
      <c r="M37" s="24">
        <f t="shared" si="1"/>
        <v>0</v>
      </c>
      <c r="N37" s="24">
        <f t="shared" si="1"/>
        <v>0</v>
      </c>
      <c r="O37" s="25">
        <f>SUM(C37:N37)</f>
        <v>1310148</v>
      </c>
    </row>
    <row r="38" spans="1:18" ht="15" customHeight="1" x14ac:dyDescent="0.2">
      <c r="A38" s="853" t="s">
        <v>148</v>
      </c>
      <c r="B38" s="27" t="s">
        <v>149</v>
      </c>
      <c r="C38" s="28">
        <v>19800</v>
      </c>
      <c r="D38" s="28">
        <v>20000</v>
      </c>
      <c r="E38" s="28">
        <v>20000</v>
      </c>
      <c r="F38" s="28">
        <v>20000</v>
      </c>
      <c r="G38" s="28">
        <v>20000</v>
      </c>
      <c r="H38" s="28">
        <v>20000</v>
      </c>
      <c r="I38" s="28">
        <v>20000</v>
      </c>
      <c r="J38" s="28">
        <v>20000</v>
      </c>
      <c r="K38" s="28">
        <v>22000</v>
      </c>
      <c r="L38" s="28">
        <v>0</v>
      </c>
      <c r="M38" s="28">
        <v>0</v>
      </c>
      <c r="N38" s="28">
        <v>0</v>
      </c>
      <c r="O38" s="18">
        <f>SUM(C38:N38)</f>
        <v>181800</v>
      </c>
    </row>
    <row r="39" spans="1:18" ht="15" x14ac:dyDescent="0.2">
      <c r="A39" s="854"/>
      <c r="B39" s="27" t="s">
        <v>150</v>
      </c>
      <c r="C39" s="28">
        <v>0</v>
      </c>
      <c r="D39" s="28">
        <v>0</v>
      </c>
      <c r="E39" s="28">
        <v>0</v>
      </c>
      <c r="F39" s="28">
        <v>0</v>
      </c>
      <c r="G39" s="28">
        <v>0</v>
      </c>
      <c r="H39" s="28">
        <v>0</v>
      </c>
      <c r="I39" s="28">
        <v>0</v>
      </c>
      <c r="J39" s="28">
        <v>0</v>
      </c>
      <c r="K39" s="28">
        <v>0</v>
      </c>
      <c r="L39" s="28">
        <v>0</v>
      </c>
      <c r="M39" s="28">
        <v>0</v>
      </c>
      <c r="N39" s="28">
        <v>0</v>
      </c>
      <c r="O39" s="18">
        <f>SUM(C39:N39)</f>
        <v>0</v>
      </c>
    </row>
    <row r="40" spans="1:18" ht="15" x14ac:dyDescent="0.2">
      <c r="A40" s="854"/>
      <c r="B40" s="27" t="s">
        <v>151</v>
      </c>
      <c r="C40" s="28">
        <v>60</v>
      </c>
      <c r="D40" s="28">
        <v>60</v>
      </c>
      <c r="E40" s="28">
        <v>60</v>
      </c>
      <c r="F40" s="28">
        <v>60</v>
      </c>
      <c r="G40" s="28">
        <v>60</v>
      </c>
      <c r="H40" s="28">
        <v>60</v>
      </c>
      <c r="I40" s="28">
        <v>60</v>
      </c>
      <c r="J40" s="28">
        <v>60</v>
      </c>
      <c r="K40" s="28">
        <v>60</v>
      </c>
      <c r="L40" s="28">
        <v>0</v>
      </c>
      <c r="M40" s="28">
        <v>0</v>
      </c>
      <c r="N40" s="28">
        <v>0</v>
      </c>
      <c r="O40" s="18">
        <f t="shared" ref="O40:O50" si="2">SUM(C40:N40)</f>
        <v>540</v>
      </c>
    </row>
    <row r="41" spans="1:18" ht="15" x14ac:dyDescent="0.2">
      <c r="A41" s="854"/>
      <c r="B41" s="27" t="s">
        <v>152</v>
      </c>
      <c r="C41" s="28">
        <v>0</v>
      </c>
      <c r="D41" s="28">
        <v>0</v>
      </c>
      <c r="E41" s="28">
        <v>0</v>
      </c>
      <c r="F41" s="28">
        <v>0</v>
      </c>
      <c r="G41" s="28">
        <v>0</v>
      </c>
      <c r="H41" s="28">
        <v>0</v>
      </c>
      <c r="I41" s="28">
        <v>0</v>
      </c>
      <c r="J41" s="28">
        <v>0</v>
      </c>
      <c r="K41" s="28">
        <v>0</v>
      </c>
      <c r="L41" s="28">
        <v>0</v>
      </c>
      <c r="M41" s="28">
        <v>0</v>
      </c>
      <c r="N41" s="28">
        <v>0</v>
      </c>
      <c r="O41" s="18">
        <f t="shared" si="2"/>
        <v>0</v>
      </c>
    </row>
    <row r="42" spans="1:18" ht="15" x14ac:dyDescent="0.2">
      <c r="A42" s="854"/>
      <c r="B42" s="27" t="s">
        <v>153</v>
      </c>
      <c r="C42" s="28">
        <v>0</v>
      </c>
      <c r="D42" s="28">
        <v>0</v>
      </c>
      <c r="E42" s="28">
        <v>0</v>
      </c>
      <c r="F42" s="28">
        <v>0</v>
      </c>
      <c r="G42" s="28">
        <v>0</v>
      </c>
      <c r="H42" s="28">
        <v>0</v>
      </c>
      <c r="I42" s="28">
        <v>0</v>
      </c>
      <c r="J42" s="28">
        <v>0</v>
      </c>
      <c r="K42" s="28">
        <v>0</v>
      </c>
      <c r="L42" s="28">
        <v>0</v>
      </c>
      <c r="M42" s="28">
        <v>0</v>
      </c>
      <c r="N42" s="28">
        <v>0</v>
      </c>
      <c r="O42" s="18">
        <f t="shared" si="2"/>
        <v>0</v>
      </c>
      <c r="R42" s="16" t="s">
        <v>1016</v>
      </c>
    </row>
    <row r="43" spans="1:18" ht="15" x14ac:dyDescent="0.2">
      <c r="A43" s="854"/>
      <c r="B43" s="27" t="s">
        <v>154</v>
      </c>
      <c r="C43" s="28">
        <v>6000</v>
      </c>
      <c r="D43" s="28">
        <v>6000</v>
      </c>
      <c r="E43" s="28">
        <v>6000</v>
      </c>
      <c r="F43" s="28">
        <v>6000</v>
      </c>
      <c r="G43" s="28">
        <v>6000</v>
      </c>
      <c r="H43" s="28">
        <v>6000</v>
      </c>
      <c r="I43" s="28">
        <v>6000</v>
      </c>
      <c r="J43" s="28">
        <v>6000</v>
      </c>
      <c r="K43" s="28">
        <v>6000</v>
      </c>
      <c r="L43" s="28">
        <v>0</v>
      </c>
      <c r="M43" s="28">
        <v>0</v>
      </c>
      <c r="N43" s="28">
        <v>0</v>
      </c>
      <c r="O43" s="18">
        <f t="shared" si="2"/>
        <v>54000</v>
      </c>
    </row>
    <row r="44" spans="1:18" ht="15" x14ac:dyDescent="0.2">
      <c r="A44" s="854"/>
      <c r="B44" s="27" t="s">
        <v>155</v>
      </c>
      <c r="C44" s="28">
        <v>200</v>
      </c>
      <c r="D44" s="28">
        <v>200</v>
      </c>
      <c r="E44" s="28">
        <v>200</v>
      </c>
      <c r="F44" s="28">
        <v>200</v>
      </c>
      <c r="G44" s="28">
        <v>200</v>
      </c>
      <c r="H44" s="28">
        <v>200</v>
      </c>
      <c r="I44" s="28">
        <v>200</v>
      </c>
      <c r="J44" s="28">
        <v>200</v>
      </c>
      <c r="K44" s="28">
        <v>200</v>
      </c>
      <c r="L44" s="28">
        <v>0</v>
      </c>
      <c r="M44" s="28">
        <v>0</v>
      </c>
      <c r="N44" s="28">
        <v>0</v>
      </c>
      <c r="O44" s="18">
        <f t="shared" si="2"/>
        <v>1800</v>
      </c>
    </row>
    <row r="45" spans="1:18" ht="15" x14ac:dyDescent="0.2">
      <c r="A45" s="854"/>
      <c r="B45" s="27" t="s">
        <v>156</v>
      </c>
      <c r="C45" s="28">
        <v>0</v>
      </c>
      <c r="D45" s="28">
        <v>0</v>
      </c>
      <c r="E45" s="28">
        <v>0</v>
      </c>
      <c r="F45" s="28">
        <v>0</v>
      </c>
      <c r="G45" s="28">
        <v>0</v>
      </c>
      <c r="H45" s="28">
        <v>0</v>
      </c>
      <c r="I45" s="28">
        <v>0</v>
      </c>
      <c r="J45" s="28">
        <v>0</v>
      </c>
      <c r="K45" s="28">
        <v>0</v>
      </c>
      <c r="L45" s="28">
        <v>0</v>
      </c>
      <c r="M45" s="28">
        <v>0</v>
      </c>
      <c r="N45" s="28">
        <v>0</v>
      </c>
      <c r="O45" s="18">
        <f t="shared" si="2"/>
        <v>0</v>
      </c>
    </row>
    <row r="46" spans="1:18" ht="15" x14ac:dyDescent="0.2">
      <c r="A46" s="854"/>
      <c r="B46" s="27" t="s">
        <v>157</v>
      </c>
      <c r="C46" s="28">
        <v>0</v>
      </c>
      <c r="D46" s="28">
        <v>0</v>
      </c>
      <c r="E46" s="28">
        <v>0</v>
      </c>
      <c r="F46" s="28">
        <v>0</v>
      </c>
      <c r="G46" s="28">
        <v>0</v>
      </c>
      <c r="H46" s="28">
        <v>0</v>
      </c>
      <c r="I46" s="28">
        <v>0</v>
      </c>
      <c r="J46" s="28">
        <v>0</v>
      </c>
      <c r="K46" s="28">
        <v>0</v>
      </c>
      <c r="L46" s="28">
        <v>0</v>
      </c>
      <c r="M46" s="28">
        <v>0</v>
      </c>
      <c r="N46" s="28">
        <v>0</v>
      </c>
      <c r="O46" s="18">
        <f t="shared" si="2"/>
        <v>0</v>
      </c>
    </row>
    <row r="47" spans="1:18" ht="28.5" customHeight="1" x14ac:dyDescent="0.2">
      <c r="A47" s="855"/>
      <c r="B47" s="30" t="s">
        <v>158</v>
      </c>
      <c r="C47" s="28">
        <v>0</v>
      </c>
      <c r="D47" s="28">
        <v>0</v>
      </c>
      <c r="E47" s="28">
        <v>0</v>
      </c>
      <c r="F47" s="28">
        <v>0</v>
      </c>
      <c r="G47" s="28">
        <v>0</v>
      </c>
      <c r="H47" s="28">
        <v>0</v>
      </c>
      <c r="I47" s="28">
        <v>0</v>
      </c>
      <c r="J47" s="28">
        <v>0</v>
      </c>
      <c r="K47" s="28">
        <v>0</v>
      </c>
      <c r="L47" s="28">
        <v>0</v>
      </c>
      <c r="M47" s="28">
        <v>0</v>
      </c>
      <c r="N47" s="28">
        <v>0</v>
      </c>
      <c r="O47" s="31">
        <f t="shared" si="2"/>
        <v>0</v>
      </c>
    </row>
    <row r="48" spans="1:18" ht="27" customHeight="1" x14ac:dyDescent="0.2">
      <c r="A48" s="856"/>
      <c r="B48" s="209" t="s">
        <v>1065</v>
      </c>
      <c r="C48" s="28">
        <v>0</v>
      </c>
      <c r="D48" s="28">
        <v>0</v>
      </c>
      <c r="E48" s="28">
        <v>0</v>
      </c>
      <c r="F48" s="28">
        <v>0</v>
      </c>
      <c r="G48" s="28">
        <v>0</v>
      </c>
      <c r="H48" s="28">
        <v>0</v>
      </c>
      <c r="I48" s="28">
        <v>0</v>
      </c>
      <c r="J48" s="28">
        <v>0</v>
      </c>
      <c r="K48" s="28">
        <v>0</v>
      </c>
      <c r="L48" s="28">
        <v>0</v>
      </c>
      <c r="M48" s="28">
        <v>0</v>
      </c>
      <c r="N48" s="28">
        <v>0</v>
      </c>
      <c r="O48" s="31">
        <f t="shared" si="2"/>
        <v>0</v>
      </c>
    </row>
    <row r="49" spans="1:18" ht="15" x14ac:dyDescent="0.2">
      <c r="A49" s="857" t="s">
        <v>160</v>
      </c>
      <c r="B49" s="858"/>
      <c r="C49" s="33">
        <f t="shared" ref="C49:N49" si="3">SUM(C38:C48)</f>
        <v>26060</v>
      </c>
      <c r="D49" s="33">
        <f t="shared" si="3"/>
        <v>26260</v>
      </c>
      <c r="E49" s="33">
        <f t="shared" si="3"/>
        <v>26260</v>
      </c>
      <c r="F49" s="33">
        <f t="shared" si="3"/>
        <v>26260</v>
      </c>
      <c r="G49" s="33">
        <f t="shared" si="3"/>
        <v>26260</v>
      </c>
      <c r="H49" s="33">
        <f t="shared" si="3"/>
        <v>26260</v>
      </c>
      <c r="I49" s="33">
        <f t="shared" si="3"/>
        <v>26260</v>
      </c>
      <c r="J49" s="33">
        <f t="shared" si="3"/>
        <v>26260</v>
      </c>
      <c r="K49" s="33">
        <f t="shared" si="3"/>
        <v>28260</v>
      </c>
      <c r="L49" s="33">
        <f t="shared" si="3"/>
        <v>0</v>
      </c>
      <c r="M49" s="33">
        <f t="shared" si="3"/>
        <v>0</v>
      </c>
      <c r="N49" s="33">
        <f t="shared" si="3"/>
        <v>0</v>
      </c>
      <c r="O49" s="34">
        <f t="shared" si="2"/>
        <v>238140</v>
      </c>
    </row>
    <row r="50" spans="1:18" ht="15.75" thickBot="1" x14ac:dyDescent="0.25">
      <c r="A50" s="859" t="s">
        <v>161</v>
      </c>
      <c r="B50" s="860"/>
      <c r="C50" s="35">
        <f t="shared" ref="C50:N50" si="4">C37-C49</f>
        <v>112693</v>
      </c>
      <c r="D50" s="35">
        <f t="shared" si="4"/>
        <v>121205</v>
      </c>
      <c r="E50" s="35">
        <f t="shared" si="4"/>
        <v>114671</v>
      </c>
      <c r="F50" s="35">
        <f t="shared" si="4"/>
        <v>114671</v>
      </c>
      <c r="G50" s="35">
        <f t="shared" si="4"/>
        <v>118732</v>
      </c>
      <c r="H50" s="35">
        <f t="shared" si="4"/>
        <v>118732</v>
      </c>
      <c r="I50" s="35">
        <f t="shared" si="4"/>
        <v>118732</v>
      </c>
      <c r="J50" s="35">
        <f t="shared" si="4"/>
        <v>133600</v>
      </c>
      <c r="K50" s="35">
        <f t="shared" si="4"/>
        <v>118972</v>
      </c>
      <c r="L50" s="35">
        <f t="shared" si="4"/>
        <v>0</v>
      </c>
      <c r="M50" s="35">
        <f t="shared" si="4"/>
        <v>0</v>
      </c>
      <c r="N50" s="35">
        <f t="shared" si="4"/>
        <v>0</v>
      </c>
      <c r="O50" s="36">
        <f t="shared" si="2"/>
        <v>1072008</v>
      </c>
    </row>
    <row r="51" spans="1:18" x14ac:dyDescent="0.2">
      <c r="J51" s="300">
        <f>+J37-SUM(J22:J36)</f>
        <v>147232</v>
      </c>
      <c r="Q51" s="38"/>
    </row>
    <row r="52" spans="1:18" ht="13.5" thickBot="1" x14ac:dyDescent="0.25">
      <c r="J52" s="38">
        <f>+J51-J49</f>
        <v>120972</v>
      </c>
    </row>
    <row r="53" spans="1:18" ht="13.5" thickBot="1" x14ac:dyDescent="0.25">
      <c r="B53" s="789" t="s">
        <v>162</v>
      </c>
      <c r="C53" s="861"/>
      <c r="D53" s="861"/>
      <c r="E53" s="861"/>
      <c r="F53" s="862"/>
      <c r="G53" s="863">
        <f>O37</f>
        <v>1310148</v>
      </c>
      <c r="H53" s="864"/>
    </row>
    <row r="54" spans="1:18" ht="13.5" thickBot="1" x14ac:dyDescent="0.25"/>
    <row r="55" spans="1:18" x14ac:dyDescent="0.2">
      <c r="B55" s="830" t="s">
        <v>163</v>
      </c>
      <c r="C55" s="833" t="s">
        <v>164</v>
      </c>
      <c r="D55" s="836" t="s">
        <v>229</v>
      </c>
      <c r="E55" s="837"/>
      <c r="F55" s="838"/>
      <c r="G55" s="839">
        <v>40000</v>
      </c>
      <c r="H55" s="840"/>
    </row>
    <row r="56" spans="1:18" x14ac:dyDescent="0.2">
      <c r="B56" s="831"/>
      <c r="C56" s="834"/>
      <c r="D56" s="841" t="s">
        <v>166</v>
      </c>
      <c r="E56" s="842"/>
      <c r="F56" s="843"/>
      <c r="G56" s="844">
        <f>+O44</f>
        <v>1800</v>
      </c>
      <c r="H56" s="845"/>
      <c r="I56" s="39"/>
      <c r="J56" s="846"/>
      <c r="K56" s="846"/>
      <c r="L56" s="846"/>
      <c r="M56" s="847"/>
      <c r="N56" s="847"/>
      <c r="O56" s="847"/>
    </row>
    <row r="57" spans="1:18" x14ac:dyDescent="0.2">
      <c r="B57" s="886"/>
      <c r="C57" s="887"/>
      <c r="D57" s="40" t="s">
        <v>129</v>
      </c>
      <c r="E57" s="41"/>
      <c r="F57" s="42"/>
      <c r="G57" s="43"/>
      <c r="H57" s="44">
        <v>0</v>
      </c>
      <c r="I57" s="39"/>
      <c r="J57" s="45"/>
      <c r="K57" s="45"/>
      <c r="L57" s="45"/>
      <c r="M57" s="46"/>
      <c r="N57" s="46"/>
      <c r="O57" s="46"/>
    </row>
    <row r="58" spans="1:18" ht="13.5" thickBot="1" x14ac:dyDescent="0.25">
      <c r="B58" s="832"/>
      <c r="C58" s="835"/>
      <c r="D58" s="848" t="s">
        <v>243</v>
      </c>
      <c r="E58" s="849"/>
      <c r="F58" s="850"/>
      <c r="G58" s="851">
        <f>IF(O18&gt;15000,15000,+O18)</f>
        <v>0</v>
      </c>
      <c r="H58" s="852"/>
      <c r="J58" s="47"/>
      <c r="K58" s="47"/>
      <c r="L58" s="47"/>
      <c r="M58" s="47"/>
      <c r="N58" s="47"/>
      <c r="O58" s="47"/>
    </row>
    <row r="59" spans="1:18" ht="13.5" thickBot="1" x14ac:dyDescent="0.25">
      <c r="B59" s="48"/>
      <c r="J59" s="47"/>
      <c r="K59" s="47"/>
      <c r="L59" s="47"/>
      <c r="M59" s="47"/>
      <c r="N59" s="47"/>
      <c r="O59" s="47"/>
    </row>
    <row r="60" spans="1:18" ht="13.5" thickBot="1" x14ac:dyDescent="0.25">
      <c r="B60" s="789" t="s">
        <v>168</v>
      </c>
      <c r="C60" s="790"/>
      <c r="D60" s="790"/>
      <c r="E60" s="790"/>
      <c r="F60" s="791"/>
      <c r="G60" s="825">
        <f>+G53-SUM(G55:H58)</f>
        <v>1268348</v>
      </c>
      <c r="H60" s="826"/>
      <c r="J60" s="827" t="s">
        <v>169</v>
      </c>
      <c r="K60" s="828"/>
      <c r="L60" s="828"/>
      <c r="M60" s="828"/>
      <c r="N60" s="828"/>
      <c r="O60" s="829"/>
    </row>
    <row r="61" spans="1:18" ht="13.5" thickBot="1" x14ac:dyDescent="0.25">
      <c r="B61" s="49"/>
      <c r="C61" s="50"/>
      <c r="D61" s="50"/>
      <c r="E61" s="50"/>
      <c r="F61" s="50"/>
      <c r="G61" s="45"/>
      <c r="H61" s="50"/>
      <c r="J61" s="129"/>
      <c r="K61" s="130"/>
      <c r="L61" s="130"/>
      <c r="M61" s="130"/>
      <c r="N61" s="130"/>
      <c r="O61" s="131"/>
    </row>
    <row r="62" spans="1:18" ht="13.5" thickBot="1" x14ac:dyDescent="0.25">
      <c r="B62" s="789" t="s">
        <v>170</v>
      </c>
      <c r="C62" s="790"/>
      <c r="D62" s="790"/>
      <c r="E62" s="790"/>
      <c r="F62" s="791"/>
      <c r="G62" s="805"/>
      <c r="H62" s="791"/>
      <c r="J62" s="129"/>
      <c r="K62" s="130"/>
      <c r="L62" s="130"/>
      <c r="M62" s="130"/>
      <c r="N62" s="130"/>
      <c r="O62" s="131"/>
    </row>
    <row r="63" spans="1:18" ht="12.75" customHeight="1" x14ac:dyDescent="0.2">
      <c r="B63" s="362" t="s">
        <v>171</v>
      </c>
      <c r="C63" s="1153" t="s">
        <v>172</v>
      </c>
      <c r="D63" s="1154"/>
      <c r="E63" s="1154"/>
      <c r="F63" s="1155"/>
      <c r="G63" s="1156">
        <v>131546</v>
      </c>
      <c r="H63" s="1157"/>
      <c r="I63" s="58"/>
      <c r="J63" s="810" t="s">
        <v>173</v>
      </c>
      <c r="K63" s="811"/>
      <c r="L63" s="811"/>
      <c r="M63" s="811"/>
      <c r="N63" s="811"/>
      <c r="O63" s="812"/>
      <c r="Q63" s="59"/>
      <c r="R63" s="59"/>
    </row>
    <row r="64" spans="1:18" ht="13.5" thickBot="1" x14ac:dyDescent="0.25">
      <c r="D64" s="37"/>
      <c r="I64" s="58"/>
      <c r="J64" s="60"/>
      <c r="K64" s="132"/>
      <c r="L64" s="132"/>
      <c r="M64" s="133"/>
      <c r="N64" s="133"/>
      <c r="O64" s="134"/>
      <c r="Q64" s="59"/>
      <c r="R64" s="59"/>
    </row>
    <row r="65" spans="2:18" ht="13.5" thickBot="1" x14ac:dyDescent="0.25">
      <c r="B65" s="789" t="s">
        <v>175</v>
      </c>
      <c r="C65" s="790"/>
      <c r="D65" s="790"/>
      <c r="E65" s="790"/>
      <c r="F65" s="791"/>
      <c r="G65" s="1140">
        <f>+G60-G63</f>
        <v>1136802</v>
      </c>
      <c r="H65" s="1139"/>
      <c r="I65" s="63"/>
      <c r="J65" s="75"/>
      <c r="K65" s="39"/>
      <c r="L65" s="39"/>
      <c r="M65" s="39"/>
      <c r="N65" s="39"/>
      <c r="O65" s="65"/>
      <c r="Q65" s="59"/>
      <c r="R65" s="59"/>
    </row>
    <row r="66" spans="2:18" ht="12.75" customHeight="1" x14ac:dyDescent="0.2">
      <c r="B66" s="48"/>
      <c r="C66" s="48"/>
      <c r="I66" s="63"/>
      <c r="J66" s="64"/>
      <c r="K66" s="39"/>
      <c r="L66" s="183"/>
      <c r="M66" s="39"/>
      <c r="N66" s="39"/>
      <c r="O66" s="65"/>
      <c r="Q66" s="59"/>
      <c r="R66" s="59"/>
    </row>
    <row r="67" spans="2:18" x14ac:dyDescent="0.2">
      <c r="B67" s="66" t="s">
        <v>176</v>
      </c>
      <c r="C67" s="48"/>
      <c r="I67" s="63"/>
      <c r="J67" s="67"/>
      <c r="K67" s="68"/>
      <c r="L67" s="68"/>
      <c r="M67" s="68"/>
      <c r="N67" s="68"/>
      <c r="O67" s="69"/>
      <c r="Q67" s="59"/>
      <c r="R67" s="59"/>
    </row>
    <row r="68" spans="2:18" ht="26.25" customHeight="1" thickBot="1" x14ac:dyDescent="0.25">
      <c r="B68" s="66"/>
      <c r="C68" s="48"/>
      <c r="G68" s="70" t="s">
        <v>177</v>
      </c>
      <c r="H68" s="70" t="s">
        <v>178</v>
      </c>
      <c r="I68" s="63"/>
      <c r="J68" s="810" t="s">
        <v>179</v>
      </c>
      <c r="K68" s="811"/>
      <c r="L68" s="71"/>
      <c r="M68" s="71"/>
      <c r="N68" s="71"/>
      <c r="O68" s="72"/>
      <c r="Q68" s="59"/>
      <c r="R68" s="59"/>
    </row>
    <row r="69" spans="2:18" ht="12.75" customHeight="1" x14ac:dyDescent="0.2">
      <c r="B69" s="802" t="s">
        <v>180</v>
      </c>
      <c r="C69" s="821" t="s">
        <v>181</v>
      </c>
      <c r="D69" s="823" t="s">
        <v>182</v>
      </c>
      <c r="E69" s="824"/>
      <c r="F69" s="824"/>
      <c r="G69" s="73">
        <f>+O43</f>
        <v>54000</v>
      </c>
      <c r="H69" s="74">
        <f t="shared" ref="H69:H77" si="5">+G69</f>
        <v>54000</v>
      </c>
      <c r="I69" s="63"/>
      <c r="J69" s="181"/>
      <c r="K69" s="58"/>
      <c r="L69" s="135"/>
      <c r="M69" s="135"/>
      <c r="N69" s="58"/>
      <c r="O69" s="76"/>
      <c r="Q69" s="59"/>
      <c r="R69" s="59"/>
    </row>
    <row r="70" spans="2:18" ht="12.75" customHeight="1" x14ac:dyDescent="0.2">
      <c r="B70" s="803"/>
      <c r="C70" s="822"/>
      <c r="D70" s="782" t="s">
        <v>184</v>
      </c>
      <c r="E70" s="783"/>
      <c r="F70" s="783"/>
      <c r="G70" s="77">
        <v>0</v>
      </c>
      <c r="H70" s="78">
        <f t="shared" si="5"/>
        <v>0</v>
      </c>
      <c r="I70" s="63"/>
      <c r="J70" s="79"/>
      <c r="K70" s="68"/>
      <c r="L70" s="68"/>
      <c r="M70" s="68"/>
      <c r="N70" s="68"/>
      <c r="O70" s="69"/>
      <c r="Q70" s="59"/>
      <c r="R70" s="59"/>
    </row>
    <row r="71" spans="2:18" ht="12.75" customHeight="1" x14ac:dyDescent="0.2">
      <c r="B71" s="803"/>
      <c r="C71" s="822"/>
      <c r="D71" s="819" t="s">
        <v>185</v>
      </c>
      <c r="E71" s="820"/>
      <c r="F71" s="820"/>
      <c r="G71" s="80">
        <f>O40</f>
        <v>540</v>
      </c>
      <c r="H71" s="78">
        <f t="shared" si="5"/>
        <v>540</v>
      </c>
      <c r="I71" s="63"/>
      <c r="J71" s="67"/>
      <c r="K71" s="68"/>
      <c r="L71" s="68"/>
      <c r="M71" s="68"/>
      <c r="N71" s="68"/>
      <c r="O71" s="69"/>
    </row>
    <row r="72" spans="2:18" x14ac:dyDescent="0.2">
      <c r="B72" s="803"/>
      <c r="C72" s="822"/>
      <c r="D72" s="782" t="s">
        <v>186</v>
      </c>
      <c r="E72" s="783"/>
      <c r="F72" s="783"/>
      <c r="G72" s="81">
        <v>0</v>
      </c>
      <c r="H72" s="78">
        <f t="shared" si="5"/>
        <v>0</v>
      </c>
      <c r="I72" s="63"/>
      <c r="J72" s="82" t="s">
        <v>187</v>
      </c>
      <c r="K72" s="71"/>
      <c r="L72" s="71"/>
      <c r="M72" s="71"/>
      <c r="N72" s="71"/>
      <c r="O72" s="72"/>
    </row>
    <row r="73" spans="2:18" ht="12.75" customHeight="1" x14ac:dyDescent="0.2">
      <c r="B73" s="803"/>
      <c r="C73" s="822"/>
      <c r="D73" s="784" t="s">
        <v>188</v>
      </c>
      <c r="E73" s="783"/>
      <c r="F73" s="783"/>
      <c r="G73" s="80">
        <v>0</v>
      </c>
      <c r="H73" s="78">
        <f t="shared" si="5"/>
        <v>0</v>
      </c>
      <c r="I73" s="63"/>
      <c r="J73" s="75" t="s">
        <v>189</v>
      </c>
      <c r="K73" s="50"/>
      <c r="L73" s="50"/>
      <c r="M73" s="50"/>
      <c r="N73" s="50">
        <v>0</v>
      </c>
      <c r="O73" s="83"/>
    </row>
    <row r="74" spans="2:18" ht="14.25" customHeight="1" x14ac:dyDescent="0.2">
      <c r="B74" s="803"/>
      <c r="C74" s="822"/>
      <c r="D74" s="784" t="s">
        <v>270</v>
      </c>
      <c r="E74" s="783"/>
      <c r="F74" s="783"/>
      <c r="G74" s="84">
        <v>0</v>
      </c>
      <c r="H74" s="78">
        <f t="shared" si="5"/>
        <v>0</v>
      </c>
      <c r="I74" s="63"/>
      <c r="J74" s="75" t="s">
        <v>1066</v>
      </c>
      <c r="K74" s="39"/>
      <c r="L74" s="39"/>
      <c r="M74" s="39"/>
      <c r="N74" s="39"/>
      <c r="O74" s="65"/>
    </row>
    <row r="75" spans="2:18" x14ac:dyDescent="0.2">
      <c r="B75" s="803"/>
      <c r="C75" s="822"/>
      <c r="D75" s="782" t="s">
        <v>191</v>
      </c>
      <c r="E75" s="783"/>
      <c r="F75" s="783"/>
      <c r="G75" s="81">
        <v>225298</v>
      </c>
      <c r="H75" s="78">
        <f t="shared" si="5"/>
        <v>225298</v>
      </c>
      <c r="I75" s="58"/>
      <c r="J75" s="150"/>
      <c r="K75" s="50"/>
      <c r="L75" s="50"/>
      <c r="M75" s="50"/>
      <c r="N75" s="50"/>
      <c r="O75" s="83"/>
    </row>
    <row r="76" spans="2:18" x14ac:dyDescent="0.2">
      <c r="B76" s="803"/>
      <c r="C76" s="88" t="s">
        <v>192</v>
      </c>
      <c r="D76" s="813" t="s">
        <v>193</v>
      </c>
      <c r="E76" s="814"/>
      <c r="F76" s="814"/>
      <c r="G76" s="80">
        <v>0</v>
      </c>
      <c r="H76" s="78">
        <f t="shared" si="5"/>
        <v>0</v>
      </c>
      <c r="I76" s="58"/>
      <c r="J76" s="79"/>
      <c r="K76" s="39"/>
      <c r="L76" s="39"/>
      <c r="M76" s="39"/>
      <c r="N76" s="39"/>
      <c r="O76" s="65"/>
    </row>
    <row r="77" spans="2:18" ht="13.5" customHeight="1" thickBot="1" x14ac:dyDescent="0.25">
      <c r="B77" s="803"/>
      <c r="C77" s="88" t="s">
        <v>194</v>
      </c>
      <c r="D77" s="815" t="s">
        <v>195</v>
      </c>
      <c r="E77" s="815"/>
      <c r="F77" s="815"/>
      <c r="G77" s="89">
        <v>0</v>
      </c>
      <c r="H77" s="90">
        <f t="shared" si="5"/>
        <v>0</v>
      </c>
      <c r="I77" s="63"/>
      <c r="J77" s="67"/>
      <c r="K77" s="68"/>
      <c r="L77" s="68"/>
      <c r="M77" s="91"/>
      <c r="N77" s="91"/>
      <c r="O77" s="92"/>
    </row>
    <row r="78" spans="2:18" ht="13.5" thickBot="1" x14ac:dyDescent="0.25">
      <c r="B78" s="803"/>
      <c r="C78" s="93"/>
      <c r="D78" s="94"/>
      <c r="E78" s="816" t="s">
        <v>117</v>
      </c>
      <c r="F78" s="817"/>
      <c r="G78" s="95">
        <f>SUM(G69:G77)</f>
        <v>279838</v>
      </c>
      <c r="H78" s="96">
        <f>IF(SUM(G69:G75)&lt;150000,SUM(G69:G75),150000)+IF(+G76&lt;20000,+G76,20000)</f>
        <v>150000</v>
      </c>
      <c r="I78" s="63"/>
      <c r="J78" s="140"/>
      <c r="K78" s="141"/>
      <c r="L78" s="141"/>
      <c r="M78" s="142"/>
      <c r="N78" s="142"/>
      <c r="O78" s="143"/>
    </row>
    <row r="79" spans="2:18" ht="12.75" customHeight="1" x14ac:dyDescent="0.2">
      <c r="B79" s="803"/>
      <c r="C79" s="100" t="s">
        <v>196</v>
      </c>
      <c r="D79" s="782" t="s">
        <v>187</v>
      </c>
      <c r="E79" s="783"/>
      <c r="F79" s="818"/>
      <c r="G79" s="73">
        <v>4971</v>
      </c>
      <c r="H79" s="101">
        <f>+IF(+G79&lt;25000,+G79,25000)</f>
        <v>4971</v>
      </c>
      <c r="I79" s="87"/>
    </row>
    <row r="80" spans="2:18" x14ac:dyDescent="0.2">
      <c r="B80" s="803"/>
      <c r="C80" s="100" t="s">
        <v>197</v>
      </c>
      <c r="D80" s="784" t="s">
        <v>198</v>
      </c>
      <c r="E80" s="785"/>
      <c r="F80" s="786"/>
      <c r="G80" s="102"/>
      <c r="H80" s="103">
        <f>+IF(+G80&lt;40000,+G80,40000)</f>
        <v>0</v>
      </c>
      <c r="I80" s="63"/>
    </row>
    <row r="81" spans="2:12" x14ac:dyDescent="0.2">
      <c r="B81" s="803"/>
      <c r="C81" s="100" t="s">
        <v>199</v>
      </c>
      <c r="D81" s="784" t="s">
        <v>200</v>
      </c>
      <c r="E81" s="785"/>
      <c r="F81" s="786"/>
      <c r="G81" s="81"/>
      <c r="H81" s="104">
        <v>0</v>
      </c>
      <c r="I81" s="63"/>
      <c r="J81" s="106"/>
    </row>
    <row r="82" spans="2:12" x14ac:dyDescent="0.2">
      <c r="B82" s="803"/>
      <c r="C82" s="100" t="s">
        <v>201</v>
      </c>
      <c r="D82" s="784" t="s">
        <v>202</v>
      </c>
      <c r="E82" s="785"/>
      <c r="F82" s="786"/>
      <c r="G82" s="81"/>
      <c r="H82" s="104">
        <v>0</v>
      </c>
      <c r="I82" s="63"/>
    </row>
    <row r="83" spans="2:12" ht="13.5" thickBot="1" x14ac:dyDescent="0.25">
      <c r="B83" s="804"/>
      <c r="C83" s="100" t="s">
        <v>203</v>
      </c>
      <c r="D83" s="784" t="s">
        <v>204</v>
      </c>
      <c r="E83" s="785"/>
      <c r="F83" s="786"/>
      <c r="G83" s="102"/>
      <c r="H83" s="103">
        <f>+IF(+G83&lt;100000,+G83,10000)</f>
        <v>0</v>
      </c>
      <c r="I83" s="63"/>
    </row>
    <row r="84" spans="2:12" ht="13.5" thickBot="1" x14ac:dyDescent="0.25">
      <c r="B84" s="787" t="s">
        <v>205</v>
      </c>
      <c r="C84" s="788"/>
      <c r="D84" s="788"/>
      <c r="E84" s="788"/>
      <c r="F84" s="788"/>
      <c r="G84" s="107">
        <f>SUM(G79:G83)</f>
        <v>4971</v>
      </c>
      <c r="H84" s="108">
        <f>SUM(H78:H83)</f>
        <v>154971</v>
      </c>
    </row>
    <row r="85" spans="2:12" ht="13.5" thickBot="1" x14ac:dyDescent="0.25"/>
    <row r="86" spans="2:12" ht="13.5" thickBot="1" x14ac:dyDescent="0.25">
      <c r="B86" s="789" t="s">
        <v>206</v>
      </c>
      <c r="C86" s="790"/>
      <c r="D86" s="790"/>
      <c r="E86" s="790"/>
      <c r="F86" s="791"/>
      <c r="G86" s="1138">
        <f>+G65-H84</f>
        <v>981831</v>
      </c>
      <c r="H86" s="1139"/>
      <c r="J86" s="109">
        <f>C37+D37+E37+F37</f>
        <v>568080</v>
      </c>
      <c r="K86" s="16" t="s">
        <v>235</v>
      </c>
    </row>
    <row r="87" spans="2:12" x14ac:dyDescent="0.2">
      <c r="B87" s="110"/>
      <c r="F87" s="105"/>
      <c r="J87" s="109">
        <f>G37+H37+I37</f>
        <v>434976</v>
      </c>
      <c r="K87" s="16" t="s">
        <v>236</v>
      </c>
    </row>
    <row r="88" spans="2:12" x14ac:dyDescent="0.2">
      <c r="C88" s="793" t="s">
        <v>207</v>
      </c>
      <c r="D88" s="794"/>
      <c r="E88" s="111" t="s">
        <v>208</v>
      </c>
      <c r="F88" s="111" t="s">
        <v>209</v>
      </c>
      <c r="G88" s="111" t="s">
        <v>210</v>
      </c>
      <c r="H88" s="111" t="s">
        <v>211</v>
      </c>
      <c r="J88" s="206">
        <f>J37+K37+L37</f>
        <v>307092</v>
      </c>
      <c r="K88" s="47" t="s">
        <v>237</v>
      </c>
    </row>
    <row r="89" spans="2:12" x14ac:dyDescent="0.2">
      <c r="C89" s="795" t="str">
        <f>IF(I6="M","0          - 250000","0          -  250000")</f>
        <v>0          - 250000</v>
      </c>
      <c r="D89" s="796"/>
      <c r="E89" s="112">
        <v>0</v>
      </c>
      <c r="F89" s="113">
        <f>IF(I6="M",(IF(G86&lt;250000,G86,250000)),(IF(G86&lt;250000,G86,250000)))</f>
        <v>250000</v>
      </c>
      <c r="G89" s="113">
        <f>G86-F89</f>
        <v>731831</v>
      </c>
      <c r="H89" s="113">
        <f>E89*F89</f>
        <v>0</v>
      </c>
      <c r="J89" s="207">
        <f>M37+N37</f>
        <v>0</v>
      </c>
      <c r="K89" s="1" t="s">
        <v>238</v>
      </c>
      <c r="L89" s="1"/>
    </row>
    <row r="90" spans="2:12" x14ac:dyDescent="0.2">
      <c r="C90" s="795" t="str">
        <f>IF(I6="M","200001 - 500000","200001-500000")</f>
        <v>200001 - 500000</v>
      </c>
      <c r="D90" s="796"/>
      <c r="E90" s="112">
        <v>0.05</v>
      </c>
      <c r="F90" s="113">
        <f>IF(I6="M",(IF(G89&lt;250000,G89,250000)),(IF(G89&lt;250000,G89,250000)))</f>
        <v>250000</v>
      </c>
      <c r="G90" s="113">
        <f>G89-F90</f>
        <v>481831</v>
      </c>
      <c r="H90" s="114">
        <f>ROUND(E90*F90,0.1)</f>
        <v>12500</v>
      </c>
      <c r="J90" s="115">
        <f>SUM(J86:J89)</f>
        <v>1310148</v>
      </c>
    </row>
    <row r="91" spans="2:12" x14ac:dyDescent="0.2">
      <c r="C91" s="797" t="s">
        <v>212</v>
      </c>
      <c r="D91" s="798"/>
      <c r="E91" s="112">
        <v>0.2</v>
      </c>
      <c r="F91" s="113">
        <f>IF(G90&lt;500000,G90,500000)</f>
        <v>481831</v>
      </c>
      <c r="G91" s="113">
        <f>G90-F91</f>
        <v>0</v>
      </c>
      <c r="H91" s="114">
        <f>ROUND(E91*F91,0.1)</f>
        <v>96366</v>
      </c>
      <c r="J91" s="16">
        <f>+G86</f>
        <v>981831</v>
      </c>
    </row>
    <row r="92" spans="2:12" x14ac:dyDescent="0.2">
      <c r="C92" s="795" t="s">
        <v>213</v>
      </c>
      <c r="D92" s="796"/>
      <c r="E92" s="112">
        <v>0.3</v>
      </c>
      <c r="F92" s="113">
        <f>G91</f>
        <v>0</v>
      </c>
      <c r="G92" s="113">
        <f>G91-F92</f>
        <v>0</v>
      </c>
      <c r="H92" s="114">
        <f>ROUND(E92*F92,0.1)</f>
        <v>0</v>
      </c>
      <c r="J92" s="16">
        <f>+J90-J91</f>
        <v>328317</v>
      </c>
    </row>
    <row r="93" spans="2:12" ht="12.75" customHeight="1" thickBot="1" x14ac:dyDescent="0.25">
      <c r="B93" s="116"/>
      <c r="C93" s="117"/>
      <c r="D93" s="47"/>
      <c r="E93" s="47"/>
      <c r="F93" s="47"/>
    </row>
    <row r="94" spans="2:12" ht="13.5" thickBot="1" x14ac:dyDescent="0.25">
      <c r="B94" s="799" t="s">
        <v>239</v>
      </c>
      <c r="C94" s="800"/>
      <c r="D94" s="800"/>
      <c r="E94" s="800"/>
      <c r="F94" s="801"/>
      <c r="G94" s="771">
        <f>H89+H90+H91+H92</f>
        <v>108866</v>
      </c>
      <c r="H94" s="772"/>
    </row>
    <row r="95" spans="2:12" ht="13.5" thickBot="1" x14ac:dyDescent="0.25">
      <c r="B95" s="119" t="s">
        <v>215</v>
      </c>
      <c r="C95" s="120"/>
      <c r="D95" s="120"/>
      <c r="E95" s="120"/>
      <c r="F95" s="120"/>
      <c r="G95" s="884">
        <f>IF((G65&lt;500000),5000,0)</f>
        <v>0</v>
      </c>
      <c r="H95" s="885">
        <f>IF(H93&lt;200000,0,IF(H93&lt;220000,((H93-200000)*10%),IF(H93&lt;=500000,2000,IF(H93&gt;=500000,0))))</f>
        <v>0</v>
      </c>
      <c r="J95" s="1"/>
      <c r="K95" s="121"/>
      <c r="L95" s="121"/>
    </row>
    <row r="96" spans="2:12" ht="13.5" thickBot="1" x14ac:dyDescent="0.25">
      <c r="B96" s="122" t="s">
        <v>216</v>
      </c>
      <c r="C96" s="123"/>
      <c r="D96" s="123"/>
      <c r="E96" s="123"/>
      <c r="F96" s="123"/>
      <c r="G96" s="771">
        <f>IF((G94-G95)&lt;0,0,(G94-G95))</f>
        <v>108866</v>
      </c>
      <c r="H96" s="772"/>
      <c r="I96" s="37"/>
    </row>
    <row r="97" spans="2:9" ht="13.5" thickBot="1" x14ac:dyDescent="0.25">
      <c r="B97" s="773" t="s">
        <v>240</v>
      </c>
      <c r="C97" s="774"/>
      <c r="D97" s="774"/>
      <c r="E97" s="774"/>
      <c r="F97" s="775"/>
      <c r="G97" s="776">
        <f>ROUND((IF(G96&gt;0,(G96*4%),0)),0)</f>
        <v>4355</v>
      </c>
      <c r="H97" s="777"/>
      <c r="I97" s="37"/>
    </row>
    <row r="98" spans="2:9" ht="13.5" thickBot="1" x14ac:dyDescent="0.25">
      <c r="B98" s="778" t="s">
        <v>218</v>
      </c>
      <c r="C98" s="779"/>
      <c r="D98" s="779"/>
      <c r="E98" s="779"/>
      <c r="F98" s="779"/>
      <c r="G98" s="780">
        <f>G96+G97</f>
        <v>113221</v>
      </c>
      <c r="H98" s="781"/>
      <c r="I98" s="121"/>
    </row>
    <row r="99" spans="2:9" ht="13.5" thickBot="1" x14ac:dyDescent="0.25">
      <c r="B99" s="765" t="s">
        <v>219</v>
      </c>
      <c r="C99" s="766"/>
      <c r="D99" s="766"/>
      <c r="E99" s="766"/>
      <c r="F99" s="766"/>
      <c r="G99" s="767">
        <f>O38</f>
        <v>181800</v>
      </c>
      <c r="H99" s="768"/>
      <c r="I99" s="121"/>
    </row>
    <row r="100" spans="2:9" ht="13.5" thickBot="1" x14ac:dyDescent="0.25">
      <c r="B100" s="765" t="str">
        <f>IF(G100&gt;0,"TAX PAYABLE","TAX REFUND")</f>
        <v>TAX REFUND</v>
      </c>
      <c r="C100" s="766"/>
      <c r="D100" s="766"/>
      <c r="E100" s="766"/>
      <c r="F100" s="766"/>
      <c r="G100" s="767">
        <f>+G98-G99</f>
        <v>-68579</v>
      </c>
      <c r="H100" s="768"/>
      <c r="I100" s="37"/>
    </row>
    <row r="101" spans="2:9" x14ac:dyDescent="0.2">
      <c r="C101" s="124"/>
      <c r="D101" s="45"/>
      <c r="E101" s="118"/>
      <c r="F101" s="118"/>
      <c r="G101" s="118"/>
      <c r="H101" s="118"/>
      <c r="I101" s="125"/>
    </row>
    <row r="102" spans="2:9" x14ac:dyDescent="0.2">
      <c r="C102" s="47"/>
      <c r="D102" s="50"/>
      <c r="E102" s="117"/>
      <c r="F102" s="47"/>
      <c r="G102" s="47"/>
      <c r="H102" s="47"/>
      <c r="I102" s="125"/>
    </row>
    <row r="103" spans="2:9" x14ac:dyDescent="0.2">
      <c r="C103" s="39"/>
      <c r="D103" s="126"/>
      <c r="E103" s="126"/>
      <c r="F103" s="126"/>
      <c r="G103" s="39"/>
      <c r="H103" s="39"/>
      <c r="I103" s="37"/>
    </row>
    <row r="104" spans="2:9" x14ac:dyDescent="0.2">
      <c r="C104" s="39"/>
      <c r="D104" s="126"/>
      <c r="E104" s="126"/>
      <c r="F104" s="39"/>
      <c r="G104" s="39"/>
      <c r="H104" s="39"/>
      <c r="I104" s="37"/>
    </row>
    <row r="105" spans="2:9" x14ac:dyDescent="0.2">
      <c r="C105" s="39"/>
      <c r="D105" s="126"/>
      <c r="E105" s="126"/>
      <c r="F105" s="39"/>
      <c r="G105" s="39"/>
      <c r="H105" s="39"/>
      <c r="I105" s="37"/>
    </row>
    <row r="106" spans="2:9" x14ac:dyDescent="0.2">
      <c r="C106" s="39"/>
      <c r="D106" s="39"/>
      <c r="E106" s="39"/>
      <c r="F106" s="39"/>
      <c r="G106" s="39"/>
      <c r="H106" s="39"/>
      <c r="I106" s="37"/>
    </row>
    <row r="107" spans="2:9" x14ac:dyDescent="0.2">
      <c r="C107" s="39"/>
      <c r="D107" s="39"/>
      <c r="E107" s="39"/>
      <c r="F107" s="39"/>
      <c r="G107" s="39"/>
      <c r="H107" s="39"/>
    </row>
    <row r="108" spans="2:9" x14ac:dyDescent="0.2">
      <c r="C108" s="39"/>
      <c r="D108" s="39"/>
      <c r="E108" s="39"/>
      <c r="F108" s="39"/>
      <c r="G108" s="39"/>
      <c r="H108"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60:F60"/>
    <mergeCell ref="G60:H60"/>
    <mergeCell ref="J60:O60"/>
    <mergeCell ref="B55:B58"/>
    <mergeCell ref="C55:C58"/>
    <mergeCell ref="D55:F55"/>
    <mergeCell ref="G55:H55"/>
    <mergeCell ref="D56:F56"/>
    <mergeCell ref="G56:H56"/>
    <mergeCell ref="J56:L56"/>
    <mergeCell ref="M56:O56"/>
    <mergeCell ref="D58:F58"/>
    <mergeCell ref="G58:H58"/>
    <mergeCell ref="J63:O63"/>
    <mergeCell ref="D81:F81"/>
    <mergeCell ref="J68:K68"/>
    <mergeCell ref="B65:F65"/>
    <mergeCell ref="G65:H65"/>
    <mergeCell ref="D76:F76"/>
    <mergeCell ref="D77:F77"/>
    <mergeCell ref="E78:F78"/>
    <mergeCell ref="D79:F79"/>
    <mergeCell ref="D80:F80"/>
    <mergeCell ref="D71:F71"/>
    <mergeCell ref="D72:F72"/>
    <mergeCell ref="C69:C75"/>
    <mergeCell ref="D69:F69"/>
    <mergeCell ref="D70:F70"/>
    <mergeCell ref="D74:F74"/>
    <mergeCell ref="G62:H62"/>
    <mergeCell ref="C63:F63"/>
    <mergeCell ref="G63:H63"/>
    <mergeCell ref="B62:F62"/>
    <mergeCell ref="D73:F73"/>
    <mergeCell ref="D75:F75"/>
    <mergeCell ref="G94:H94"/>
    <mergeCell ref="D82:F82"/>
    <mergeCell ref="D83:F83"/>
    <mergeCell ref="B84:F84"/>
    <mergeCell ref="B86:F86"/>
    <mergeCell ref="G86:H86"/>
    <mergeCell ref="C88:D88"/>
    <mergeCell ref="C89:D89"/>
    <mergeCell ref="C90:D90"/>
    <mergeCell ref="C91:D91"/>
    <mergeCell ref="C92:D92"/>
    <mergeCell ref="B94:F94"/>
    <mergeCell ref="B69:B83"/>
    <mergeCell ref="B100:F100"/>
    <mergeCell ref="G100:H100"/>
    <mergeCell ref="G95:H95"/>
    <mergeCell ref="G96:H96"/>
    <mergeCell ref="B97:F97"/>
    <mergeCell ref="G97:H97"/>
    <mergeCell ref="B98:F98"/>
    <mergeCell ref="G98:H98"/>
    <mergeCell ref="B99:F99"/>
    <mergeCell ref="G99:H99"/>
  </mergeCells>
  <conditionalFormatting sqref="B91:F91 B100:F100 B94:F98">
    <cfRule type="cellIs" dxfId="385" priority="3" stopIfTrue="1" operator="equal">
      <formula>"TAX PAYABLE"</formula>
    </cfRule>
    <cfRule type="cellIs" dxfId="384" priority="4" stopIfTrue="1" operator="equal">
      <formula>"TAX REFUND"</formula>
    </cfRule>
  </conditionalFormatting>
  <conditionalFormatting sqref="G91:H91">
    <cfRule type="cellIs" dxfId="383" priority="5" stopIfTrue="1" operator="lessThan">
      <formula>0</formula>
    </cfRule>
    <cfRule type="cellIs" dxfId="382" priority="6" stopIfTrue="1" operator="greaterThan">
      <formula>0</formula>
    </cfRule>
  </conditionalFormatting>
  <conditionalFormatting sqref="G100:H100">
    <cfRule type="cellIs" dxfId="381" priority="1" stopIfTrue="1" operator="greaterThan">
      <formula>0</formula>
    </cfRule>
    <cfRule type="cellIs" dxfId="380"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9"/>
  <sheetViews>
    <sheetView topLeftCell="A66" workbookViewId="0">
      <selection activeCell="I100" sqref="I100"/>
    </sheetView>
  </sheetViews>
  <sheetFormatPr defaultRowHeight="12.75" x14ac:dyDescent="0.2"/>
  <cols>
    <col min="1" max="1" width="5" style="16" customWidth="1"/>
    <col min="2" max="2" width="16.28515625" style="37" customWidth="1"/>
    <col min="3" max="3" width="9.42578125" style="16" customWidth="1"/>
    <col min="4" max="4" width="7" style="16" bestFit="1" customWidth="1"/>
    <col min="5" max="5" width="8.5703125" style="16" bestFit="1" customWidth="1"/>
    <col min="6" max="6" width="9.28515625" style="16" bestFit="1" customWidth="1"/>
    <col min="7" max="7" width="9.140625" style="16"/>
    <col min="8" max="8" width="8.140625" style="16" customWidth="1"/>
    <col min="9" max="10" width="7.5703125" style="16" customWidth="1"/>
    <col min="11" max="12" width="7" style="16" bestFit="1" customWidth="1"/>
    <col min="13" max="13" width="6.85546875" style="16" bestFit="1" customWidth="1"/>
    <col min="14" max="14" width="7" style="16" bestFit="1" customWidth="1"/>
    <col min="15" max="15" width="8"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6.28515625" style="16" customWidth="1"/>
    <col min="259" max="259" width="9.42578125" style="16" customWidth="1"/>
    <col min="260" max="260" width="7" style="16" bestFit="1" customWidth="1"/>
    <col min="261" max="261" width="8.5703125" style="16" bestFit="1" customWidth="1"/>
    <col min="262" max="262" width="9.28515625" style="16" bestFit="1" customWidth="1"/>
    <col min="263" max="263" width="9.140625" style="16"/>
    <col min="264" max="264" width="8.140625" style="16" customWidth="1"/>
    <col min="265" max="266" width="7.5703125" style="16" customWidth="1"/>
    <col min="267" max="268" width="7" style="16" bestFit="1" customWidth="1"/>
    <col min="269" max="269" width="6.85546875" style="16" bestFit="1" customWidth="1"/>
    <col min="270" max="270" width="7" style="16" bestFit="1" customWidth="1"/>
    <col min="271" max="271" width="8"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6.28515625" style="16" customWidth="1"/>
    <col min="515" max="515" width="9.42578125" style="16" customWidth="1"/>
    <col min="516" max="516" width="7" style="16" bestFit="1" customWidth="1"/>
    <col min="517" max="517" width="8.5703125" style="16" bestFit="1" customWidth="1"/>
    <col min="518" max="518" width="9.28515625" style="16" bestFit="1" customWidth="1"/>
    <col min="519" max="519" width="9.140625" style="16"/>
    <col min="520" max="520" width="8.140625" style="16" customWidth="1"/>
    <col min="521" max="522" width="7.5703125" style="16" customWidth="1"/>
    <col min="523" max="524" width="7" style="16" bestFit="1" customWidth="1"/>
    <col min="525" max="525" width="6.85546875" style="16" bestFit="1" customWidth="1"/>
    <col min="526" max="526" width="7" style="16" bestFit="1" customWidth="1"/>
    <col min="527" max="527" width="8"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6.28515625" style="16" customWidth="1"/>
    <col min="771" max="771" width="9.42578125" style="16" customWidth="1"/>
    <col min="772" max="772" width="7" style="16" bestFit="1" customWidth="1"/>
    <col min="773" max="773" width="8.5703125" style="16" bestFit="1" customWidth="1"/>
    <col min="774" max="774" width="9.28515625" style="16" bestFit="1" customWidth="1"/>
    <col min="775" max="775" width="9.140625" style="16"/>
    <col min="776" max="776" width="8.140625" style="16" customWidth="1"/>
    <col min="777" max="778" width="7.5703125" style="16" customWidth="1"/>
    <col min="779" max="780" width="7" style="16" bestFit="1" customWidth="1"/>
    <col min="781" max="781" width="6.85546875" style="16" bestFit="1" customWidth="1"/>
    <col min="782" max="782" width="7" style="16" bestFit="1" customWidth="1"/>
    <col min="783" max="783" width="8"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6.28515625" style="16" customWidth="1"/>
    <col min="1027" max="1027" width="9.42578125" style="16" customWidth="1"/>
    <col min="1028" max="1028" width="7" style="16" bestFit="1" customWidth="1"/>
    <col min="1029" max="1029" width="8.5703125" style="16" bestFit="1" customWidth="1"/>
    <col min="1030" max="1030" width="9.28515625" style="16" bestFit="1" customWidth="1"/>
    <col min="1031" max="1031" width="9.140625" style="16"/>
    <col min="1032" max="1032" width="8.140625" style="16" customWidth="1"/>
    <col min="1033" max="1034" width="7.5703125" style="16" customWidth="1"/>
    <col min="1035" max="1036" width="7" style="16" bestFit="1" customWidth="1"/>
    <col min="1037" max="1037" width="6.85546875" style="16" bestFit="1" customWidth="1"/>
    <col min="1038" max="1038" width="7" style="16" bestFit="1" customWidth="1"/>
    <col min="1039" max="1039" width="8"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6.28515625" style="16" customWidth="1"/>
    <col min="1283" max="1283" width="9.42578125" style="16" customWidth="1"/>
    <col min="1284" max="1284" width="7" style="16" bestFit="1" customWidth="1"/>
    <col min="1285" max="1285" width="8.5703125" style="16" bestFit="1" customWidth="1"/>
    <col min="1286" max="1286" width="9.28515625" style="16" bestFit="1" customWidth="1"/>
    <col min="1287" max="1287" width="9.140625" style="16"/>
    <col min="1288" max="1288" width="8.140625" style="16" customWidth="1"/>
    <col min="1289" max="1290" width="7.5703125" style="16" customWidth="1"/>
    <col min="1291" max="1292" width="7" style="16" bestFit="1" customWidth="1"/>
    <col min="1293" max="1293" width="6.85546875" style="16" bestFit="1" customWidth="1"/>
    <col min="1294" max="1294" width="7" style="16" bestFit="1" customWidth="1"/>
    <col min="1295" max="1295" width="8"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6.28515625" style="16" customWidth="1"/>
    <col min="1539" max="1539" width="9.42578125" style="16" customWidth="1"/>
    <col min="1540" max="1540" width="7" style="16" bestFit="1" customWidth="1"/>
    <col min="1541" max="1541" width="8.5703125" style="16" bestFit="1" customWidth="1"/>
    <col min="1542" max="1542" width="9.28515625" style="16" bestFit="1" customWidth="1"/>
    <col min="1543" max="1543" width="9.140625" style="16"/>
    <col min="1544" max="1544" width="8.140625" style="16" customWidth="1"/>
    <col min="1545" max="1546" width="7.5703125" style="16" customWidth="1"/>
    <col min="1547" max="1548" width="7" style="16" bestFit="1" customWidth="1"/>
    <col min="1549" max="1549" width="6.85546875" style="16" bestFit="1" customWidth="1"/>
    <col min="1550" max="1550" width="7" style="16" bestFit="1" customWidth="1"/>
    <col min="1551" max="1551" width="8"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6.28515625" style="16" customWidth="1"/>
    <col min="1795" max="1795" width="9.42578125" style="16" customWidth="1"/>
    <col min="1796" max="1796" width="7" style="16" bestFit="1" customWidth="1"/>
    <col min="1797" max="1797" width="8.5703125" style="16" bestFit="1" customWidth="1"/>
    <col min="1798" max="1798" width="9.28515625" style="16" bestFit="1" customWidth="1"/>
    <col min="1799" max="1799" width="9.140625" style="16"/>
    <col min="1800" max="1800" width="8.140625" style="16" customWidth="1"/>
    <col min="1801" max="1802" width="7.5703125" style="16" customWidth="1"/>
    <col min="1803" max="1804" width="7" style="16" bestFit="1" customWidth="1"/>
    <col min="1805" max="1805" width="6.85546875" style="16" bestFit="1" customWidth="1"/>
    <col min="1806" max="1806" width="7" style="16" bestFit="1" customWidth="1"/>
    <col min="1807" max="1807" width="8"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6.28515625" style="16" customWidth="1"/>
    <col min="2051" max="2051" width="9.42578125" style="16" customWidth="1"/>
    <col min="2052" max="2052" width="7" style="16" bestFit="1" customWidth="1"/>
    <col min="2053" max="2053" width="8.5703125" style="16" bestFit="1" customWidth="1"/>
    <col min="2054" max="2054" width="9.28515625" style="16" bestFit="1" customWidth="1"/>
    <col min="2055" max="2055" width="9.140625" style="16"/>
    <col min="2056" max="2056" width="8.140625" style="16" customWidth="1"/>
    <col min="2057" max="2058" width="7.5703125" style="16" customWidth="1"/>
    <col min="2059" max="2060" width="7" style="16" bestFit="1" customWidth="1"/>
    <col min="2061" max="2061" width="6.85546875" style="16" bestFit="1" customWidth="1"/>
    <col min="2062" max="2062" width="7" style="16" bestFit="1" customWidth="1"/>
    <col min="2063" max="2063" width="8"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6.28515625" style="16" customWidth="1"/>
    <col min="2307" max="2307" width="9.42578125" style="16" customWidth="1"/>
    <col min="2308" max="2308" width="7" style="16" bestFit="1" customWidth="1"/>
    <col min="2309" max="2309" width="8.5703125" style="16" bestFit="1" customWidth="1"/>
    <col min="2310" max="2310" width="9.28515625" style="16" bestFit="1" customWidth="1"/>
    <col min="2311" max="2311" width="9.140625" style="16"/>
    <col min="2312" max="2312" width="8.140625" style="16" customWidth="1"/>
    <col min="2313" max="2314" width="7.5703125" style="16" customWidth="1"/>
    <col min="2315" max="2316" width="7" style="16" bestFit="1" customWidth="1"/>
    <col min="2317" max="2317" width="6.85546875" style="16" bestFit="1" customWidth="1"/>
    <col min="2318" max="2318" width="7" style="16" bestFit="1" customWidth="1"/>
    <col min="2319" max="2319" width="8"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6.28515625" style="16" customWidth="1"/>
    <col min="2563" max="2563" width="9.42578125" style="16" customWidth="1"/>
    <col min="2564" max="2564" width="7" style="16" bestFit="1" customWidth="1"/>
    <col min="2565" max="2565" width="8.5703125" style="16" bestFit="1" customWidth="1"/>
    <col min="2566" max="2566" width="9.28515625" style="16" bestFit="1" customWidth="1"/>
    <col min="2567" max="2567" width="9.140625" style="16"/>
    <col min="2568" max="2568" width="8.140625" style="16" customWidth="1"/>
    <col min="2569" max="2570" width="7.5703125" style="16" customWidth="1"/>
    <col min="2571" max="2572" width="7" style="16" bestFit="1" customWidth="1"/>
    <col min="2573" max="2573" width="6.85546875" style="16" bestFit="1" customWidth="1"/>
    <col min="2574" max="2574" width="7" style="16" bestFit="1" customWidth="1"/>
    <col min="2575" max="2575" width="8"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6.28515625" style="16" customWidth="1"/>
    <col min="2819" max="2819" width="9.42578125" style="16" customWidth="1"/>
    <col min="2820" max="2820" width="7" style="16" bestFit="1" customWidth="1"/>
    <col min="2821" max="2821" width="8.5703125" style="16" bestFit="1" customWidth="1"/>
    <col min="2822" max="2822" width="9.28515625" style="16" bestFit="1" customWidth="1"/>
    <col min="2823" max="2823" width="9.140625" style="16"/>
    <col min="2824" max="2824" width="8.140625" style="16" customWidth="1"/>
    <col min="2825" max="2826" width="7.5703125" style="16" customWidth="1"/>
    <col min="2827" max="2828" width="7" style="16" bestFit="1" customWidth="1"/>
    <col min="2829" max="2829" width="6.85546875" style="16" bestFit="1" customWidth="1"/>
    <col min="2830" max="2830" width="7" style="16" bestFit="1" customWidth="1"/>
    <col min="2831" max="2831" width="8"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6.28515625" style="16" customWidth="1"/>
    <col min="3075" max="3075" width="9.42578125" style="16" customWidth="1"/>
    <col min="3076" max="3076" width="7" style="16" bestFit="1" customWidth="1"/>
    <col min="3077" max="3077" width="8.5703125" style="16" bestFit="1" customWidth="1"/>
    <col min="3078" max="3078" width="9.28515625" style="16" bestFit="1" customWidth="1"/>
    <col min="3079" max="3079" width="9.140625" style="16"/>
    <col min="3080" max="3080" width="8.140625" style="16" customWidth="1"/>
    <col min="3081" max="3082" width="7.5703125" style="16" customWidth="1"/>
    <col min="3083" max="3084" width="7" style="16" bestFit="1" customWidth="1"/>
    <col min="3085" max="3085" width="6.85546875" style="16" bestFit="1" customWidth="1"/>
    <col min="3086" max="3086" width="7" style="16" bestFit="1" customWidth="1"/>
    <col min="3087" max="3087" width="8"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6.28515625" style="16" customWidth="1"/>
    <col min="3331" max="3331" width="9.42578125" style="16" customWidth="1"/>
    <col min="3332" max="3332" width="7" style="16" bestFit="1" customWidth="1"/>
    <col min="3333" max="3333" width="8.5703125" style="16" bestFit="1" customWidth="1"/>
    <col min="3334" max="3334" width="9.28515625" style="16" bestFit="1" customWidth="1"/>
    <col min="3335" max="3335" width="9.140625" style="16"/>
    <col min="3336" max="3336" width="8.140625" style="16" customWidth="1"/>
    <col min="3337" max="3338" width="7.5703125" style="16" customWidth="1"/>
    <col min="3339" max="3340" width="7" style="16" bestFit="1" customWidth="1"/>
    <col min="3341" max="3341" width="6.85546875" style="16" bestFit="1" customWidth="1"/>
    <col min="3342" max="3342" width="7" style="16" bestFit="1" customWidth="1"/>
    <col min="3343" max="3343" width="8"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6.28515625" style="16" customWidth="1"/>
    <col min="3587" max="3587" width="9.42578125" style="16" customWidth="1"/>
    <col min="3588" max="3588" width="7" style="16" bestFit="1" customWidth="1"/>
    <col min="3589" max="3589" width="8.5703125" style="16" bestFit="1" customWidth="1"/>
    <col min="3590" max="3590" width="9.28515625" style="16" bestFit="1" customWidth="1"/>
    <col min="3591" max="3591" width="9.140625" style="16"/>
    <col min="3592" max="3592" width="8.140625" style="16" customWidth="1"/>
    <col min="3593" max="3594" width="7.5703125" style="16" customWidth="1"/>
    <col min="3595" max="3596" width="7" style="16" bestFit="1" customWidth="1"/>
    <col min="3597" max="3597" width="6.85546875" style="16" bestFit="1" customWidth="1"/>
    <col min="3598" max="3598" width="7" style="16" bestFit="1" customWidth="1"/>
    <col min="3599" max="3599" width="8"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6.28515625" style="16" customWidth="1"/>
    <col min="3843" max="3843" width="9.42578125" style="16" customWidth="1"/>
    <col min="3844" max="3844" width="7" style="16" bestFit="1" customWidth="1"/>
    <col min="3845" max="3845" width="8.5703125" style="16" bestFit="1" customWidth="1"/>
    <col min="3846" max="3846" width="9.28515625" style="16" bestFit="1" customWidth="1"/>
    <col min="3847" max="3847" width="9.140625" style="16"/>
    <col min="3848" max="3848" width="8.140625" style="16" customWidth="1"/>
    <col min="3849" max="3850" width="7.5703125" style="16" customWidth="1"/>
    <col min="3851" max="3852" width="7" style="16" bestFit="1" customWidth="1"/>
    <col min="3853" max="3853" width="6.85546875" style="16" bestFit="1" customWidth="1"/>
    <col min="3854" max="3854" width="7" style="16" bestFit="1" customWidth="1"/>
    <col min="3855" max="3855" width="8"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6.28515625" style="16" customWidth="1"/>
    <col min="4099" max="4099" width="9.42578125" style="16" customWidth="1"/>
    <col min="4100" max="4100" width="7" style="16" bestFit="1" customWidth="1"/>
    <col min="4101" max="4101" width="8.5703125" style="16" bestFit="1" customWidth="1"/>
    <col min="4102" max="4102" width="9.28515625" style="16" bestFit="1" customWidth="1"/>
    <col min="4103" max="4103" width="9.140625" style="16"/>
    <col min="4104" max="4104" width="8.140625" style="16" customWidth="1"/>
    <col min="4105" max="4106" width="7.5703125" style="16" customWidth="1"/>
    <col min="4107" max="4108" width="7" style="16" bestFit="1" customWidth="1"/>
    <col min="4109" max="4109" width="6.85546875" style="16" bestFit="1" customWidth="1"/>
    <col min="4110" max="4110" width="7" style="16" bestFit="1" customWidth="1"/>
    <col min="4111" max="4111" width="8"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6.28515625" style="16" customWidth="1"/>
    <col min="4355" max="4355" width="9.42578125" style="16" customWidth="1"/>
    <col min="4356" max="4356" width="7" style="16" bestFit="1" customWidth="1"/>
    <col min="4357" max="4357" width="8.5703125" style="16" bestFit="1" customWidth="1"/>
    <col min="4358" max="4358" width="9.28515625" style="16" bestFit="1" customWidth="1"/>
    <col min="4359" max="4359" width="9.140625" style="16"/>
    <col min="4360" max="4360" width="8.140625" style="16" customWidth="1"/>
    <col min="4361" max="4362" width="7.5703125" style="16" customWidth="1"/>
    <col min="4363" max="4364" width="7" style="16" bestFit="1" customWidth="1"/>
    <col min="4365" max="4365" width="6.85546875" style="16" bestFit="1" customWidth="1"/>
    <col min="4366" max="4366" width="7" style="16" bestFit="1" customWidth="1"/>
    <col min="4367" max="4367" width="8"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6.28515625" style="16" customWidth="1"/>
    <col min="4611" max="4611" width="9.42578125" style="16" customWidth="1"/>
    <col min="4612" max="4612" width="7" style="16" bestFit="1" customWidth="1"/>
    <col min="4613" max="4613" width="8.5703125" style="16" bestFit="1" customWidth="1"/>
    <col min="4614" max="4614" width="9.28515625" style="16" bestFit="1" customWidth="1"/>
    <col min="4615" max="4615" width="9.140625" style="16"/>
    <col min="4616" max="4616" width="8.140625" style="16" customWidth="1"/>
    <col min="4617" max="4618" width="7.5703125" style="16" customWidth="1"/>
    <col min="4619" max="4620" width="7" style="16" bestFit="1" customWidth="1"/>
    <col min="4621" max="4621" width="6.85546875" style="16" bestFit="1" customWidth="1"/>
    <col min="4622" max="4622" width="7" style="16" bestFit="1" customWidth="1"/>
    <col min="4623" max="4623" width="8"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6.28515625" style="16" customWidth="1"/>
    <col min="4867" max="4867" width="9.42578125" style="16" customWidth="1"/>
    <col min="4868" max="4868" width="7" style="16" bestFit="1" customWidth="1"/>
    <col min="4869" max="4869" width="8.5703125" style="16" bestFit="1" customWidth="1"/>
    <col min="4870" max="4870" width="9.28515625" style="16" bestFit="1" customWidth="1"/>
    <col min="4871" max="4871" width="9.140625" style="16"/>
    <col min="4872" max="4872" width="8.140625" style="16" customWidth="1"/>
    <col min="4873" max="4874" width="7.5703125" style="16" customWidth="1"/>
    <col min="4875" max="4876" width="7" style="16" bestFit="1" customWidth="1"/>
    <col min="4877" max="4877" width="6.85546875" style="16" bestFit="1" customWidth="1"/>
    <col min="4878" max="4878" width="7" style="16" bestFit="1" customWidth="1"/>
    <col min="4879" max="4879" width="8"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6.28515625" style="16" customWidth="1"/>
    <col min="5123" max="5123" width="9.42578125" style="16" customWidth="1"/>
    <col min="5124" max="5124" width="7" style="16" bestFit="1" customWidth="1"/>
    <col min="5125" max="5125" width="8.5703125" style="16" bestFit="1" customWidth="1"/>
    <col min="5126" max="5126" width="9.28515625" style="16" bestFit="1" customWidth="1"/>
    <col min="5127" max="5127" width="9.140625" style="16"/>
    <col min="5128" max="5128" width="8.140625" style="16" customWidth="1"/>
    <col min="5129" max="5130" width="7.5703125" style="16" customWidth="1"/>
    <col min="5131" max="5132" width="7" style="16" bestFit="1" customWidth="1"/>
    <col min="5133" max="5133" width="6.85546875" style="16" bestFit="1" customWidth="1"/>
    <col min="5134" max="5134" width="7" style="16" bestFit="1" customWidth="1"/>
    <col min="5135" max="5135" width="8"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6.28515625" style="16" customWidth="1"/>
    <col min="5379" max="5379" width="9.42578125" style="16" customWidth="1"/>
    <col min="5380" max="5380" width="7" style="16" bestFit="1" customWidth="1"/>
    <col min="5381" max="5381" width="8.5703125" style="16" bestFit="1" customWidth="1"/>
    <col min="5382" max="5382" width="9.28515625" style="16" bestFit="1" customWidth="1"/>
    <col min="5383" max="5383" width="9.140625" style="16"/>
    <col min="5384" max="5384" width="8.140625" style="16" customWidth="1"/>
    <col min="5385" max="5386" width="7.5703125" style="16" customWidth="1"/>
    <col min="5387" max="5388" width="7" style="16" bestFit="1" customWidth="1"/>
    <col min="5389" max="5389" width="6.85546875" style="16" bestFit="1" customWidth="1"/>
    <col min="5390" max="5390" width="7" style="16" bestFit="1" customWidth="1"/>
    <col min="5391" max="5391" width="8"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6.28515625" style="16" customWidth="1"/>
    <col min="5635" max="5635" width="9.42578125" style="16" customWidth="1"/>
    <col min="5636" max="5636" width="7" style="16" bestFit="1" customWidth="1"/>
    <col min="5637" max="5637" width="8.5703125" style="16" bestFit="1" customWidth="1"/>
    <col min="5638" max="5638" width="9.28515625" style="16" bestFit="1" customWidth="1"/>
    <col min="5639" max="5639" width="9.140625" style="16"/>
    <col min="5640" max="5640" width="8.140625" style="16" customWidth="1"/>
    <col min="5641" max="5642" width="7.5703125" style="16" customWidth="1"/>
    <col min="5643" max="5644" width="7" style="16" bestFit="1" customWidth="1"/>
    <col min="5645" max="5645" width="6.85546875" style="16" bestFit="1" customWidth="1"/>
    <col min="5646" max="5646" width="7" style="16" bestFit="1" customWidth="1"/>
    <col min="5647" max="5647" width="8"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6.28515625" style="16" customWidth="1"/>
    <col min="5891" max="5891" width="9.42578125" style="16" customWidth="1"/>
    <col min="5892" max="5892" width="7" style="16" bestFit="1" customWidth="1"/>
    <col min="5893" max="5893" width="8.5703125" style="16" bestFit="1" customWidth="1"/>
    <col min="5894" max="5894" width="9.28515625" style="16" bestFit="1" customWidth="1"/>
    <col min="5895" max="5895" width="9.140625" style="16"/>
    <col min="5896" max="5896" width="8.140625" style="16" customWidth="1"/>
    <col min="5897" max="5898" width="7.5703125" style="16" customWidth="1"/>
    <col min="5899" max="5900" width="7" style="16" bestFit="1" customWidth="1"/>
    <col min="5901" max="5901" width="6.85546875" style="16" bestFit="1" customWidth="1"/>
    <col min="5902" max="5902" width="7" style="16" bestFit="1" customWidth="1"/>
    <col min="5903" max="5903" width="8"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6.28515625" style="16" customWidth="1"/>
    <col min="6147" max="6147" width="9.42578125" style="16" customWidth="1"/>
    <col min="6148" max="6148" width="7" style="16" bestFit="1" customWidth="1"/>
    <col min="6149" max="6149" width="8.5703125" style="16" bestFit="1" customWidth="1"/>
    <col min="6150" max="6150" width="9.28515625" style="16" bestFit="1" customWidth="1"/>
    <col min="6151" max="6151" width="9.140625" style="16"/>
    <col min="6152" max="6152" width="8.140625" style="16" customWidth="1"/>
    <col min="6153" max="6154" width="7.5703125" style="16" customWidth="1"/>
    <col min="6155" max="6156" width="7" style="16" bestFit="1" customWidth="1"/>
    <col min="6157" max="6157" width="6.85546875" style="16" bestFit="1" customWidth="1"/>
    <col min="6158" max="6158" width="7" style="16" bestFit="1" customWidth="1"/>
    <col min="6159" max="6159" width="8"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6.28515625" style="16" customWidth="1"/>
    <col min="6403" max="6403" width="9.42578125" style="16" customWidth="1"/>
    <col min="6404" max="6404" width="7" style="16" bestFit="1" customWidth="1"/>
    <col min="6405" max="6405" width="8.5703125" style="16" bestFit="1" customWidth="1"/>
    <col min="6406" max="6406" width="9.28515625" style="16" bestFit="1" customWidth="1"/>
    <col min="6407" max="6407" width="9.140625" style="16"/>
    <col min="6408" max="6408" width="8.140625" style="16" customWidth="1"/>
    <col min="6409" max="6410" width="7.5703125" style="16" customWidth="1"/>
    <col min="6411" max="6412" width="7" style="16" bestFit="1" customWidth="1"/>
    <col min="6413" max="6413" width="6.85546875" style="16" bestFit="1" customWidth="1"/>
    <col min="6414" max="6414" width="7" style="16" bestFit="1" customWidth="1"/>
    <col min="6415" max="6415" width="8"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6.28515625" style="16" customWidth="1"/>
    <col min="6659" max="6659" width="9.42578125" style="16" customWidth="1"/>
    <col min="6660" max="6660" width="7" style="16" bestFit="1" customWidth="1"/>
    <col min="6661" max="6661" width="8.5703125" style="16" bestFit="1" customWidth="1"/>
    <col min="6662" max="6662" width="9.28515625" style="16" bestFit="1" customWidth="1"/>
    <col min="6663" max="6663" width="9.140625" style="16"/>
    <col min="6664" max="6664" width="8.140625" style="16" customWidth="1"/>
    <col min="6665" max="6666" width="7.5703125" style="16" customWidth="1"/>
    <col min="6667" max="6668" width="7" style="16" bestFit="1" customWidth="1"/>
    <col min="6669" max="6669" width="6.85546875" style="16" bestFit="1" customWidth="1"/>
    <col min="6670" max="6670" width="7" style="16" bestFit="1" customWidth="1"/>
    <col min="6671" max="6671" width="8"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6.28515625" style="16" customWidth="1"/>
    <col min="6915" max="6915" width="9.42578125" style="16" customWidth="1"/>
    <col min="6916" max="6916" width="7" style="16" bestFit="1" customWidth="1"/>
    <col min="6917" max="6917" width="8.5703125" style="16" bestFit="1" customWidth="1"/>
    <col min="6918" max="6918" width="9.28515625" style="16" bestFit="1" customWidth="1"/>
    <col min="6919" max="6919" width="9.140625" style="16"/>
    <col min="6920" max="6920" width="8.140625" style="16" customWidth="1"/>
    <col min="6921" max="6922" width="7.5703125" style="16" customWidth="1"/>
    <col min="6923" max="6924" width="7" style="16" bestFit="1" customWidth="1"/>
    <col min="6925" max="6925" width="6.85546875" style="16" bestFit="1" customWidth="1"/>
    <col min="6926" max="6926" width="7" style="16" bestFit="1" customWidth="1"/>
    <col min="6927" max="6927" width="8"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6.28515625" style="16" customWidth="1"/>
    <col min="7171" max="7171" width="9.42578125" style="16" customWidth="1"/>
    <col min="7172" max="7172" width="7" style="16" bestFit="1" customWidth="1"/>
    <col min="7173" max="7173" width="8.5703125" style="16" bestFit="1" customWidth="1"/>
    <col min="7174" max="7174" width="9.28515625" style="16" bestFit="1" customWidth="1"/>
    <col min="7175" max="7175" width="9.140625" style="16"/>
    <col min="7176" max="7176" width="8.140625" style="16" customWidth="1"/>
    <col min="7177" max="7178" width="7.5703125" style="16" customWidth="1"/>
    <col min="7179" max="7180" width="7" style="16" bestFit="1" customWidth="1"/>
    <col min="7181" max="7181" width="6.85546875" style="16" bestFit="1" customWidth="1"/>
    <col min="7182" max="7182" width="7" style="16" bestFit="1" customWidth="1"/>
    <col min="7183" max="7183" width="8"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6.28515625" style="16" customWidth="1"/>
    <col min="7427" max="7427" width="9.42578125" style="16" customWidth="1"/>
    <col min="7428" max="7428" width="7" style="16" bestFit="1" customWidth="1"/>
    <col min="7429" max="7429" width="8.5703125" style="16" bestFit="1" customWidth="1"/>
    <col min="7430" max="7430" width="9.28515625" style="16" bestFit="1" customWidth="1"/>
    <col min="7431" max="7431" width="9.140625" style="16"/>
    <col min="7432" max="7432" width="8.140625" style="16" customWidth="1"/>
    <col min="7433" max="7434" width="7.5703125" style="16" customWidth="1"/>
    <col min="7435" max="7436" width="7" style="16" bestFit="1" customWidth="1"/>
    <col min="7437" max="7437" width="6.85546875" style="16" bestFit="1" customWidth="1"/>
    <col min="7438" max="7438" width="7" style="16" bestFit="1" customWidth="1"/>
    <col min="7439" max="7439" width="8"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6.28515625" style="16" customWidth="1"/>
    <col min="7683" max="7683" width="9.42578125" style="16" customWidth="1"/>
    <col min="7684" max="7684" width="7" style="16" bestFit="1" customWidth="1"/>
    <col min="7685" max="7685" width="8.5703125" style="16" bestFit="1" customWidth="1"/>
    <col min="7686" max="7686" width="9.28515625" style="16" bestFit="1" customWidth="1"/>
    <col min="7687" max="7687" width="9.140625" style="16"/>
    <col min="7688" max="7688" width="8.140625" style="16" customWidth="1"/>
    <col min="7689" max="7690" width="7.5703125" style="16" customWidth="1"/>
    <col min="7691" max="7692" width="7" style="16" bestFit="1" customWidth="1"/>
    <col min="7693" max="7693" width="6.85546875" style="16" bestFit="1" customWidth="1"/>
    <col min="7694" max="7694" width="7" style="16" bestFit="1" customWidth="1"/>
    <col min="7695" max="7695" width="8"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6.28515625" style="16" customWidth="1"/>
    <col min="7939" max="7939" width="9.42578125" style="16" customWidth="1"/>
    <col min="7940" max="7940" width="7" style="16" bestFit="1" customWidth="1"/>
    <col min="7941" max="7941" width="8.5703125" style="16" bestFit="1" customWidth="1"/>
    <col min="7942" max="7942" width="9.28515625" style="16" bestFit="1" customWidth="1"/>
    <col min="7943" max="7943" width="9.140625" style="16"/>
    <col min="7944" max="7944" width="8.140625" style="16" customWidth="1"/>
    <col min="7945" max="7946" width="7.5703125" style="16" customWidth="1"/>
    <col min="7947" max="7948" width="7" style="16" bestFit="1" customWidth="1"/>
    <col min="7949" max="7949" width="6.85546875" style="16" bestFit="1" customWidth="1"/>
    <col min="7950" max="7950" width="7" style="16" bestFit="1" customWidth="1"/>
    <col min="7951" max="7951" width="8"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6.28515625" style="16" customWidth="1"/>
    <col min="8195" max="8195" width="9.42578125" style="16" customWidth="1"/>
    <col min="8196" max="8196" width="7" style="16" bestFit="1" customWidth="1"/>
    <col min="8197" max="8197" width="8.5703125" style="16" bestFit="1" customWidth="1"/>
    <col min="8198" max="8198" width="9.28515625" style="16" bestFit="1" customWidth="1"/>
    <col min="8199" max="8199" width="9.140625" style="16"/>
    <col min="8200" max="8200" width="8.140625" style="16" customWidth="1"/>
    <col min="8201" max="8202" width="7.5703125" style="16" customWidth="1"/>
    <col min="8203" max="8204" width="7" style="16" bestFit="1" customWidth="1"/>
    <col min="8205" max="8205" width="6.85546875" style="16" bestFit="1" customWidth="1"/>
    <col min="8206" max="8206" width="7" style="16" bestFit="1" customWidth="1"/>
    <col min="8207" max="8207" width="8"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6.28515625" style="16" customWidth="1"/>
    <col min="8451" max="8451" width="9.42578125" style="16" customWidth="1"/>
    <col min="8452" max="8452" width="7" style="16" bestFit="1" customWidth="1"/>
    <col min="8453" max="8453" width="8.5703125" style="16" bestFit="1" customWidth="1"/>
    <col min="8454" max="8454" width="9.28515625" style="16" bestFit="1" customWidth="1"/>
    <col min="8455" max="8455" width="9.140625" style="16"/>
    <col min="8456" max="8456" width="8.140625" style="16" customWidth="1"/>
    <col min="8457" max="8458" width="7.5703125" style="16" customWidth="1"/>
    <col min="8459" max="8460" width="7" style="16" bestFit="1" customWidth="1"/>
    <col min="8461" max="8461" width="6.85546875" style="16" bestFit="1" customWidth="1"/>
    <col min="8462" max="8462" width="7" style="16" bestFit="1" customWidth="1"/>
    <col min="8463" max="8463" width="8"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6.28515625" style="16" customWidth="1"/>
    <col min="8707" max="8707" width="9.42578125" style="16" customWidth="1"/>
    <col min="8708" max="8708" width="7" style="16" bestFit="1" customWidth="1"/>
    <col min="8709" max="8709" width="8.5703125" style="16" bestFit="1" customWidth="1"/>
    <col min="8710" max="8710" width="9.28515625" style="16" bestFit="1" customWidth="1"/>
    <col min="8711" max="8711" width="9.140625" style="16"/>
    <col min="8712" max="8712" width="8.140625" style="16" customWidth="1"/>
    <col min="8713" max="8714" width="7.5703125" style="16" customWidth="1"/>
    <col min="8715" max="8716" width="7" style="16" bestFit="1" customWidth="1"/>
    <col min="8717" max="8717" width="6.85546875" style="16" bestFit="1" customWidth="1"/>
    <col min="8718" max="8718" width="7" style="16" bestFit="1" customWidth="1"/>
    <col min="8719" max="8719" width="8"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6.28515625" style="16" customWidth="1"/>
    <col min="8963" max="8963" width="9.42578125" style="16" customWidth="1"/>
    <col min="8964" max="8964" width="7" style="16" bestFit="1" customWidth="1"/>
    <col min="8965" max="8965" width="8.5703125" style="16" bestFit="1" customWidth="1"/>
    <col min="8966" max="8966" width="9.28515625" style="16" bestFit="1" customWidth="1"/>
    <col min="8967" max="8967" width="9.140625" style="16"/>
    <col min="8968" max="8968" width="8.140625" style="16" customWidth="1"/>
    <col min="8969" max="8970" width="7.5703125" style="16" customWidth="1"/>
    <col min="8971" max="8972" width="7" style="16" bestFit="1" customWidth="1"/>
    <col min="8973" max="8973" width="6.85546875" style="16" bestFit="1" customWidth="1"/>
    <col min="8974" max="8974" width="7" style="16" bestFit="1" customWidth="1"/>
    <col min="8975" max="8975" width="8"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6.28515625" style="16" customWidth="1"/>
    <col min="9219" max="9219" width="9.42578125" style="16" customWidth="1"/>
    <col min="9220" max="9220" width="7" style="16" bestFit="1" customWidth="1"/>
    <col min="9221" max="9221" width="8.5703125" style="16" bestFit="1" customWidth="1"/>
    <col min="9222" max="9222" width="9.28515625" style="16" bestFit="1" customWidth="1"/>
    <col min="9223" max="9223" width="9.140625" style="16"/>
    <col min="9224" max="9224" width="8.140625" style="16" customWidth="1"/>
    <col min="9225" max="9226" width="7.5703125" style="16" customWidth="1"/>
    <col min="9227" max="9228" width="7" style="16" bestFit="1" customWidth="1"/>
    <col min="9229" max="9229" width="6.85546875" style="16" bestFit="1" customWidth="1"/>
    <col min="9230" max="9230" width="7" style="16" bestFit="1" customWidth="1"/>
    <col min="9231" max="9231" width="8"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6.28515625" style="16" customWidth="1"/>
    <col min="9475" max="9475" width="9.42578125" style="16" customWidth="1"/>
    <col min="9476" max="9476" width="7" style="16" bestFit="1" customWidth="1"/>
    <col min="9477" max="9477" width="8.5703125" style="16" bestFit="1" customWidth="1"/>
    <col min="9478" max="9478" width="9.28515625" style="16" bestFit="1" customWidth="1"/>
    <col min="9479" max="9479" width="9.140625" style="16"/>
    <col min="9480" max="9480" width="8.140625" style="16" customWidth="1"/>
    <col min="9481" max="9482" width="7.5703125" style="16" customWidth="1"/>
    <col min="9483" max="9484" width="7" style="16" bestFit="1" customWidth="1"/>
    <col min="9485" max="9485" width="6.85546875" style="16" bestFit="1" customWidth="1"/>
    <col min="9486" max="9486" width="7" style="16" bestFit="1" customWidth="1"/>
    <col min="9487" max="9487" width="8"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6.28515625" style="16" customWidth="1"/>
    <col min="9731" max="9731" width="9.42578125" style="16" customWidth="1"/>
    <col min="9732" max="9732" width="7" style="16" bestFit="1" customWidth="1"/>
    <col min="9733" max="9733" width="8.5703125" style="16" bestFit="1" customWidth="1"/>
    <col min="9734" max="9734" width="9.28515625" style="16" bestFit="1" customWidth="1"/>
    <col min="9735" max="9735" width="9.140625" style="16"/>
    <col min="9736" max="9736" width="8.140625" style="16" customWidth="1"/>
    <col min="9737" max="9738" width="7.5703125" style="16" customWidth="1"/>
    <col min="9739" max="9740" width="7" style="16" bestFit="1" customWidth="1"/>
    <col min="9741" max="9741" width="6.85546875" style="16" bestFit="1" customWidth="1"/>
    <col min="9742" max="9742" width="7" style="16" bestFit="1" customWidth="1"/>
    <col min="9743" max="9743" width="8"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6.28515625" style="16" customWidth="1"/>
    <col min="9987" max="9987" width="9.42578125" style="16" customWidth="1"/>
    <col min="9988" max="9988" width="7" style="16" bestFit="1" customWidth="1"/>
    <col min="9989" max="9989" width="8.5703125" style="16" bestFit="1" customWidth="1"/>
    <col min="9990" max="9990" width="9.28515625" style="16" bestFit="1" customWidth="1"/>
    <col min="9991" max="9991" width="9.140625" style="16"/>
    <col min="9992" max="9992" width="8.140625" style="16" customWidth="1"/>
    <col min="9993" max="9994" width="7.5703125" style="16" customWidth="1"/>
    <col min="9995" max="9996" width="7" style="16" bestFit="1" customWidth="1"/>
    <col min="9997" max="9997" width="6.85546875" style="16" bestFit="1" customWidth="1"/>
    <col min="9998" max="9998" width="7" style="16" bestFit="1" customWidth="1"/>
    <col min="9999" max="9999" width="8"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6.28515625" style="16" customWidth="1"/>
    <col min="10243" max="10243" width="9.42578125" style="16" customWidth="1"/>
    <col min="10244" max="10244" width="7" style="16" bestFit="1" customWidth="1"/>
    <col min="10245" max="10245" width="8.5703125" style="16" bestFit="1" customWidth="1"/>
    <col min="10246" max="10246" width="9.28515625" style="16" bestFit="1" customWidth="1"/>
    <col min="10247" max="10247" width="9.140625" style="16"/>
    <col min="10248" max="10248" width="8.140625" style="16" customWidth="1"/>
    <col min="10249" max="10250" width="7.5703125" style="16" customWidth="1"/>
    <col min="10251" max="10252" width="7" style="16" bestFit="1" customWidth="1"/>
    <col min="10253" max="10253" width="6.85546875" style="16" bestFit="1" customWidth="1"/>
    <col min="10254" max="10254" width="7" style="16" bestFit="1" customWidth="1"/>
    <col min="10255" max="10255" width="8"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6.28515625" style="16" customWidth="1"/>
    <col min="10499" max="10499" width="9.42578125" style="16" customWidth="1"/>
    <col min="10500" max="10500" width="7" style="16" bestFit="1" customWidth="1"/>
    <col min="10501" max="10501" width="8.5703125" style="16" bestFit="1" customWidth="1"/>
    <col min="10502" max="10502" width="9.28515625" style="16" bestFit="1" customWidth="1"/>
    <col min="10503" max="10503" width="9.140625" style="16"/>
    <col min="10504" max="10504" width="8.140625" style="16" customWidth="1"/>
    <col min="10505" max="10506" width="7.5703125" style="16" customWidth="1"/>
    <col min="10507" max="10508" width="7" style="16" bestFit="1" customWidth="1"/>
    <col min="10509" max="10509" width="6.85546875" style="16" bestFit="1" customWidth="1"/>
    <col min="10510" max="10510" width="7" style="16" bestFit="1" customWidth="1"/>
    <col min="10511" max="10511" width="8"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6.28515625" style="16" customWidth="1"/>
    <col min="10755" max="10755" width="9.42578125" style="16" customWidth="1"/>
    <col min="10756" max="10756" width="7" style="16" bestFit="1" customWidth="1"/>
    <col min="10757" max="10757" width="8.5703125" style="16" bestFit="1" customWidth="1"/>
    <col min="10758" max="10758" width="9.28515625" style="16" bestFit="1" customWidth="1"/>
    <col min="10759" max="10759" width="9.140625" style="16"/>
    <col min="10760" max="10760" width="8.140625" style="16" customWidth="1"/>
    <col min="10761" max="10762" width="7.5703125" style="16" customWidth="1"/>
    <col min="10763" max="10764" width="7" style="16" bestFit="1" customWidth="1"/>
    <col min="10765" max="10765" width="6.85546875" style="16" bestFit="1" customWidth="1"/>
    <col min="10766" max="10766" width="7" style="16" bestFit="1" customWidth="1"/>
    <col min="10767" max="10767" width="8"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6.28515625" style="16" customWidth="1"/>
    <col min="11011" max="11011" width="9.42578125" style="16" customWidth="1"/>
    <col min="11012" max="11012" width="7" style="16" bestFit="1" customWidth="1"/>
    <col min="11013" max="11013" width="8.5703125" style="16" bestFit="1" customWidth="1"/>
    <col min="11014" max="11014" width="9.28515625" style="16" bestFit="1" customWidth="1"/>
    <col min="11015" max="11015" width="9.140625" style="16"/>
    <col min="11016" max="11016" width="8.140625" style="16" customWidth="1"/>
    <col min="11017" max="11018" width="7.5703125" style="16" customWidth="1"/>
    <col min="11019" max="11020" width="7" style="16" bestFit="1" customWidth="1"/>
    <col min="11021" max="11021" width="6.85546875" style="16" bestFit="1" customWidth="1"/>
    <col min="11022" max="11022" width="7" style="16" bestFit="1" customWidth="1"/>
    <col min="11023" max="11023" width="8"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6.28515625" style="16" customWidth="1"/>
    <col min="11267" max="11267" width="9.42578125" style="16" customWidth="1"/>
    <col min="11268" max="11268" width="7" style="16" bestFit="1" customWidth="1"/>
    <col min="11269" max="11269" width="8.5703125" style="16" bestFit="1" customWidth="1"/>
    <col min="11270" max="11270" width="9.28515625" style="16" bestFit="1" customWidth="1"/>
    <col min="11271" max="11271" width="9.140625" style="16"/>
    <col min="11272" max="11272" width="8.140625" style="16" customWidth="1"/>
    <col min="11273" max="11274" width="7.5703125" style="16" customWidth="1"/>
    <col min="11275" max="11276" width="7" style="16" bestFit="1" customWidth="1"/>
    <col min="11277" max="11277" width="6.85546875" style="16" bestFit="1" customWidth="1"/>
    <col min="11278" max="11278" width="7" style="16" bestFit="1" customWidth="1"/>
    <col min="11279" max="11279" width="8"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6.28515625" style="16" customWidth="1"/>
    <col min="11523" max="11523" width="9.42578125" style="16" customWidth="1"/>
    <col min="11524" max="11524" width="7" style="16" bestFit="1" customWidth="1"/>
    <col min="11525" max="11525" width="8.5703125" style="16" bestFit="1" customWidth="1"/>
    <col min="11526" max="11526" width="9.28515625" style="16" bestFit="1" customWidth="1"/>
    <col min="11527" max="11527" width="9.140625" style="16"/>
    <col min="11528" max="11528" width="8.140625" style="16" customWidth="1"/>
    <col min="11529" max="11530" width="7.5703125" style="16" customWidth="1"/>
    <col min="11531" max="11532" width="7" style="16" bestFit="1" customWidth="1"/>
    <col min="11533" max="11533" width="6.85546875" style="16" bestFit="1" customWidth="1"/>
    <col min="11534" max="11534" width="7" style="16" bestFit="1" customWidth="1"/>
    <col min="11535" max="11535" width="8"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6.28515625" style="16" customWidth="1"/>
    <col min="11779" max="11779" width="9.42578125" style="16" customWidth="1"/>
    <col min="11780" max="11780" width="7" style="16" bestFit="1" customWidth="1"/>
    <col min="11781" max="11781" width="8.5703125" style="16" bestFit="1" customWidth="1"/>
    <col min="11782" max="11782" width="9.28515625" style="16" bestFit="1" customWidth="1"/>
    <col min="11783" max="11783" width="9.140625" style="16"/>
    <col min="11784" max="11784" width="8.140625" style="16" customWidth="1"/>
    <col min="11785" max="11786" width="7.5703125" style="16" customWidth="1"/>
    <col min="11787" max="11788" width="7" style="16" bestFit="1" customWidth="1"/>
    <col min="11789" max="11789" width="6.85546875" style="16" bestFit="1" customWidth="1"/>
    <col min="11790" max="11790" width="7" style="16" bestFit="1" customWidth="1"/>
    <col min="11791" max="11791" width="8"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6.28515625" style="16" customWidth="1"/>
    <col min="12035" max="12035" width="9.42578125" style="16" customWidth="1"/>
    <col min="12036" max="12036" width="7" style="16" bestFit="1" customWidth="1"/>
    <col min="12037" max="12037" width="8.5703125" style="16" bestFit="1" customWidth="1"/>
    <col min="12038" max="12038" width="9.28515625" style="16" bestFit="1" customWidth="1"/>
    <col min="12039" max="12039" width="9.140625" style="16"/>
    <col min="12040" max="12040" width="8.140625" style="16" customWidth="1"/>
    <col min="12041" max="12042" width="7.5703125" style="16" customWidth="1"/>
    <col min="12043" max="12044" width="7" style="16" bestFit="1" customWidth="1"/>
    <col min="12045" max="12045" width="6.85546875" style="16" bestFit="1" customWidth="1"/>
    <col min="12046" max="12046" width="7" style="16" bestFit="1" customWidth="1"/>
    <col min="12047" max="12047" width="8"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6.28515625" style="16" customWidth="1"/>
    <col min="12291" max="12291" width="9.42578125" style="16" customWidth="1"/>
    <col min="12292" max="12292" width="7" style="16" bestFit="1" customWidth="1"/>
    <col min="12293" max="12293" width="8.5703125" style="16" bestFit="1" customWidth="1"/>
    <col min="12294" max="12294" width="9.28515625" style="16" bestFit="1" customWidth="1"/>
    <col min="12295" max="12295" width="9.140625" style="16"/>
    <col min="12296" max="12296" width="8.140625" style="16" customWidth="1"/>
    <col min="12297" max="12298" width="7.5703125" style="16" customWidth="1"/>
    <col min="12299" max="12300" width="7" style="16" bestFit="1" customWidth="1"/>
    <col min="12301" max="12301" width="6.85546875" style="16" bestFit="1" customWidth="1"/>
    <col min="12302" max="12302" width="7" style="16" bestFit="1" customWidth="1"/>
    <col min="12303" max="12303" width="8"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6.28515625" style="16" customWidth="1"/>
    <col min="12547" max="12547" width="9.42578125" style="16" customWidth="1"/>
    <col min="12548" max="12548" width="7" style="16" bestFit="1" customWidth="1"/>
    <col min="12549" max="12549" width="8.5703125" style="16" bestFit="1" customWidth="1"/>
    <col min="12550" max="12550" width="9.28515625" style="16" bestFit="1" customWidth="1"/>
    <col min="12551" max="12551" width="9.140625" style="16"/>
    <col min="12552" max="12552" width="8.140625" style="16" customWidth="1"/>
    <col min="12553" max="12554" width="7.5703125" style="16" customWidth="1"/>
    <col min="12555" max="12556" width="7" style="16" bestFit="1" customWidth="1"/>
    <col min="12557" max="12557" width="6.85546875" style="16" bestFit="1" customWidth="1"/>
    <col min="12558" max="12558" width="7" style="16" bestFit="1" customWidth="1"/>
    <col min="12559" max="12559" width="8"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6.28515625" style="16" customWidth="1"/>
    <col min="12803" max="12803" width="9.42578125" style="16" customWidth="1"/>
    <col min="12804" max="12804" width="7" style="16" bestFit="1" customWidth="1"/>
    <col min="12805" max="12805" width="8.5703125" style="16" bestFit="1" customWidth="1"/>
    <col min="12806" max="12806" width="9.28515625" style="16" bestFit="1" customWidth="1"/>
    <col min="12807" max="12807" width="9.140625" style="16"/>
    <col min="12808" max="12808" width="8.140625" style="16" customWidth="1"/>
    <col min="12809" max="12810" width="7.5703125" style="16" customWidth="1"/>
    <col min="12811" max="12812" width="7" style="16" bestFit="1" customWidth="1"/>
    <col min="12813" max="12813" width="6.85546875" style="16" bestFit="1" customWidth="1"/>
    <col min="12814" max="12814" width="7" style="16" bestFit="1" customWidth="1"/>
    <col min="12815" max="12815" width="8"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6.28515625" style="16" customWidth="1"/>
    <col min="13059" max="13059" width="9.42578125" style="16" customWidth="1"/>
    <col min="13060" max="13060" width="7" style="16" bestFit="1" customWidth="1"/>
    <col min="13061" max="13061" width="8.5703125" style="16" bestFit="1" customWidth="1"/>
    <col min="13062" max="13062" width="9.28515625" style="16" bestFit="1" customWidth="1"/>
    <col min="13063" max="13063" width="9.140625" style="16"/>
    <col min="13064" max="13064" width="8.140625" style="16" customWidth="1"/>
    <col min="13065" max="13066" width="7.5703125" style="16" customWidth="1"/>
    <col min="13067" max="13068" width="7" style="16" bestFit="1" customWidth="1"/>
    <col min="13069" max="13069" width="6.85546875" style="16" bestFit="1" customWidth="1"/>
    <col min="13070" max="13070" width="7" style="16" bestFit="1" customWidth="1"/>
    <col min="13071" max="13071" width="8"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6.28515625" style="16" customWidth="1"/>
    <col min="13315" max="13315" width="9.42578125" style="16" customWidth="1"/>
    <col min="13316" max="13316" width="7" style="16" bestFit="1" customWidth="1"/>
    <col min="13317" max="13317" width="8.5703125" style="16" bestFit="1" customWidth="1"/>
    <col min="13318" max="13318" width="9.28515625" style="16" bestFit="1" customWidth="1"/>
    <col min="13319" max="13319" width="9.140625" style="16"/>
    <col min="13320" max="13320" width="8.140625" style="16" customWidth="1"/>
    <col min="13321" max="13322" width="7.5703125" style="16" customWidth="1"/>
    <col min="13323" max="13324" width="7" style="16" bestFit="1" customWidth="1"/>
    <col min="13325" max="13325" width="6.85546875" style="16" bestFit="1" customWidth="1"/>
    <col min="13326" max="13326" width="7" style="16" bestFit="1" customWidth="1"/>
    <col min="13327" max="13327" width="8"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6.28515625" style="16" customWidth="1"/>
    <col min="13571" max="13571" width="9.42578125" style="16" customWidth="1"/>
    <col min="13572" max="13572" width="7" style="16" bestFit="1" customWidth="1"/>
    <col min="13573" max="13573" width="8.5703125" style="16" bestFit="1" customWidth="1"/>
    <col min="13574" max="13574" width="9.28515625" style="16" bestFit="1" customWidth="1"/>
    <col min="13575" max="13575" width="9.140625" style="16"/>
    <col min="13576" max="13576" width="8.140625" style="16" customWidth="1"/>
    <col min="13577" max="13578" width="7.5703125" style="16" customWidth="1"/>
    <col min="13579" max="13580" width="7" style="16" bestFit="1" customWidth="1"/>
    <col min="13581" max="13581" width="6.85546875" style="16" bestFit="1" customWidth="1"/>
    <col min="13582" max="13582" width="7" style="16" bestFit="1" customWidth="1"/>
    <col min="13583" max="13583" width="8"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6.28515625" style="16" customWidth="1"/>
    <col min="13827" max="13827" width="9.42578125" style="16" customWidth="1"/>
    <col min="13828" max="13828" width="7" style="16" bestFit="1" customWidth="1"/>
    <col min="13829" max="13829" width="8.5703125" style="16" bestFit="1" customWidth="1"/>
    <col min="13830" max="13830" width="9.28515625" style="16" bestFit="1" customWidth="1"/>
    <col min="13831" max="13831" width="9.140625" style="16"/>
    <col min="13832" max="13832" width="8.140625" style="16" customWidth="1"/>
    <col min="13833" max="13834" width="7.5703125" style="16" customWidth="1"/>
    <col min="13835" max="13836" width="7" style="16" bestFit="1" customWidth="1"/>
    <col min="13837" max="13837" width="6.85546875" style="16" bestFit="1" customWidth="1"/>
    <col min="13838" max="13838" width="7" style="16" bestFit="1" customWidth="1"/>
    <col min="13839" max="13839" width="8"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6.28515625" style="16" customWidth="1"/>
    <col min="14083" max="14083" width="9.42578125" style="16" customWidth="1"/>
    <col min="14084" max="14084" width="7" style="16" bestFit="1" customWidth="1"/>
    <col min="14085" max="14085" width="8.5703125" style="16" bestFit="1" customWidth="1"/>
    <col min="14086" max="14086" width="9.28515625" style="16" bestFit="1" customWidth="1"/>
    <col min="14087" max="14087" width="9.140625" style="16"/>
    <col min="14088" max="14088" width="8.140625" style="16" customWidth="1"/>
    <col min="14089" max="14090" width="7.5703125" style="16" customWidth="1"/>
    <col min="14091" max="14092" width="7" style="16" bestFit="1" customWidth="1"/>
    <col min="14093" max="14093" width="6.85546875" style="16" bestFit="1" customWidth="1"/>
    <col min="14094" max="14094" width="7" style="16" bestFit="1" customWidth="1"/>
    <col min="14095" max="14095" width="8"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6.28515625" style="16" customWidth="1"/>
    <col min="14339" max="14339" width="9.42578125" style="16" customWidth="1"/>
    <col min="14340" max="14340" width="7" style="16" bestFit="1" customWidth="1"/>
    <col min="14341" max="14341" width="8.5703125" style="16" bestFit="1" customWidth="1"/>
    <col min="14342" max="14342" width="9.28515625" style="16" bestFit="1" customWidth="1"/>
    <col min="14343" max="14343" width="9.140625" style="16"/>
    <col min="14344" max="14344" width="8.140625" style="16" customWidth="1"/>
    <col min="14345" max="14346" width="7.5703125" style="16" customWidth="1"/>
    <col min="14347" max="14348" width="7" style="16" bestFit="1" customWidth="1"/>
    <col min="14349" max="14349" width="6.85546875" style="16" bestFit="1" customWidth="1"/>
    <col min="14350" max="14350" width="7" style="16" bestFit="1" customWidth="1"/>
    <col min="14351" max="14351" width="8"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6.28515625" style="16" customWidth="1"/>
    <col min="14595" max="14595" width="9.42578125" style="16" customWidth="1"/>
    <col min="14596" max="14596" width="7" style="16" bestFit="1" customWidth="1"/>
    <col min="14597" max="14597" width="8.5703125" style="16" bestFit="1" customWidth="1"/>
    <col min="14598" max="14598" width="9.28515625" style="16" bestFit="1" customWidth="1"/>
    <col min="14599" max="14599" width="9.140625" style="16"/>
    <col min="14600" max="14600" width="8.140625" style="16" customWidth="1"/>
    <col min="14601" max="14602" width="7.5703125" style="16" customWidth="1"/>
    <col min="14603" max="14604" width="7" style="16" bestFit="1" customWidth="1"/>
    <col min="14605" max="14605" width="6.85546875" style="16" bestFit="1" customWidth="1"/>
    <col min="14606" max="14606" width="7" style="16" bestFit="1" customWidth="1"/>
    <col min="14607" max="14607" width="8"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6.28515625" style="16" customWidth="1"/>
    <col min="14851" max="14851" width="9.42578125" style="16" customWidth="1"/>
    <col min="14852" max="14852" width="7" style="16" bestFit="1" customWidth="1"/>
    <col min="14853" max="14853" width="8.5703125" style="16" bestFit="1" customWidth="1"/>
    <col min="14854" max="14854" width="9.28515625" style="16" bestFit="1" customWidth="1"/>
    <col min="14855" max="14855" width="9.140625" style="16"/>
    <col min="14856" max="14856" width="8.140625" style="16" customWidth="1"/>
    <col min="14857" max="14858" width="7.5703125" style="16" customWidth="1"/>
    <col min="14859" max="14860" width="7" style="16" bestFit="1" customWidth="1"/>
    <col min="14861" max="14861" width="6.85546875" style="16" bestFit="1" customWidth="1"/>
    <col min="14862" max="14862" width="7" style="16" bestFit="1" customWidth="1"/>
    <col min="14863" max="14863" width="8"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6.28515625" style="16" customWidth="1"/>
    <col min="15107" max="15107" width="9.42578125" style="16" customWidth="1"/>
    <col min="15108" max="15108" width="7" style="16" bestFit="1" customWidth="1"/>
    <col min="15109" max="15109" width="8.5703125" style="16" bestFit="1" customWidth="1"/>
    <col min="15110" max="15110" width="9.28515625" style="16" bestFit="1" customWidth="1"/>
    <col min="15111" max="15111" width="9.140625" style="16"/>
    <col min="15112" max="15112" width="8.140625" style="16" customWidth="1"/>
    <col min="15113" max="15114" width="7.5703125" style="16" customWidth="1"/>
    <col min="15115" max="15116" width="7" style="16" bestFit="1" customWidth="1"/>
    <col min="15117" max="15117" width="6.85546875" style="16" bestFit="1" customWidth="1"/>
    <col min="15118" max="15118" width="7" style="16" bestFit="1" customWidth="1"/>
    <col min="15119" max="15119" width="8"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6.28515625" style="16" customWidth="1"/>
    <col min="15363" max="15363" width="9.42578125" style="16" customWidth="1"/>
    <col min="15364" max="15364" width="7" style="16" bestFit="1" customWidth="1"/>
    <col min="15365" max="15365" width="8.5703125" style="16" bestFit="1" customWidth="1"/>
    <col min="15366" max="15366" width="9.28515625" style="16" bestFit="1" customWidth="1"/>
    <col min="15367" max="15367" width="9.140625" style="16"/>
    <col min="15368" max="15368" width="8.140625" style="16" customWidth="1"/>
    <col min="15369" max="15370" width="7.5703125" style="16" customWidth="1"/>
    <col min="15371" max="15372" width="7" style="16" bestFit="1" customWidth="1"/>
    <col min="15373" max="15373" width="6.85546875" style="16" bestFit="1" customWidth="1"/>
    <col min="15374" max="15374" width="7" style="16" bestFit="1" customWidth="1"/>
    <col min="15375" max="15375" width="8"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6.28515625" style="16" customWidth="1"/>
    <col min="15619" max="15619" width="9.42578125" style="16" customWidth="1"/>
    <col min="15620" max="15620" width="7" style="16" bestFit="1" customWidth="1"/>
    <col min="15621" max="15621" width="8.5703125" style="16" bestFit="1" customWidth="1"/>
    <col min="15622" max="15622" width="9.28515625" style="16" bestFit="1" customWidth="1"/>
    <col min="15623" max="15623" width="9.140625" style="16"/>
    <col min="15624" max="15624" width="8.140625" style="16" customWidth="1"/>
    <col min="15625" max="15626" width="7.5703125" style="16" customWidth="1"/>
    <col min="15627" max="15628" width="7" style="16" bestFit="1" customWidth="1"/>
    <col min="15629" max="15629" width="6.85546875" style="16" bestFit="1" customWidth="1"/>
    <col min="15630" max="15630" width="7" style="16" bestFit="1" customWidth="1"/>
    <col min="15631" max="15631" width="8"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6.28515625" style="16" customWidth="1"/>
    <col min="15875" max="15875" width="9.42578125" style="16" customWidth="1"/>
    <col min="15876" max="15876" width="7" style="16" bestFit="1" customWidth="1"/>
    <col min="15877" max="15877" width="8.5703125" style="16" bestFit="1" customWidth="1"/>
    <col min="15878" max="15878" width="9.28515625" style="16" bestFit="1" customWidth="1"/>
    <col min="15879" max="15879" width="9.140625" style="16"/>
    <col min="15880" max="15880" width="8.140625" style="16" customWidth="1"/>
    <col min="15881" max="15882" width="7.5703125" style="16" customWidth="1"/>
    <col min="15883" max="15884" width="7" style="16" bestFit="1" customWidth="1"/>
    <col min="15885" max="15885" width="6.85546875" style="16" bestFit="1" customWidth="1"/>
    <col min="15886" max="15886" width="7" style="16" bestFit="1" customWidth="1"/>
    <col min="15887" max="15887" width="8"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6.28515625" style="16" customWidth="1"/>
    <col min="16131" max="16131" width="9.42578125" style="16" customWidth="1"/>
    <col min="16132" max="16132" width="7" style="16" bestFit="1" customWidth="1"/>
    <col min="16133" max="16133" width="8.5703125" style="16" bestFit="1" customWidth="1"/>
    <col min="16134" max="16134" width="9.28515625" style="16" bestFit="1" customWidth="1"/>
    <col min="16135" max="16135" width="9.140625" style="16"/>
    <col min="16136" max="16136" width="8.140625" style="16" customWidth="1"/>
    <col min="16137" max="16138" width="7.5703125" style="16" customWidth="1"/>
    <col min="16139" max="16140" width="7" style="16" bestFit="1" customWidth="1"/>
    <col min="16141" max="16141" width="6.85546875" style="16" bestFit="1" customWidth="1"/>
    <col min="16142" max="16142" width="7" style="16" bestFit="1" customWidth="1"/>
    <col min="16143" max="16143" width="8"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67" t="s">
        <v>449</v>
      </c>
      <c r="B1" s="868"/>
      <c r="C1" s="868"/>
      <c r="D1" s="869"/>
      <c r="E1" s="868"/>
      <c r="F1" s="868"/>
      <c r="G1" s="867" t="s">
        <v>102</v>
      </c>
      <c r="H1" s="869"/>
      <c r="I1" s="869" t="s">
        <v>940</v>
      </c>
      <c r="J1" s="868"/>
      <c r="K1" s="868"/>
      <c r="L1" s="870"/>
      <c r="M1" s="870"/>
      <c r="N1" s="870"/>
      <c r="O1" s="870"/>
    </row>
    <row r="2" spans="1:15" s="1" customFormat="1" x14ac:dyDescent="0.2">
      <c r="A2" s="867" t="s">
        <v>103</v>
      </c>
      <c r="B2" s="868"/>
      <c r="C2" s="868"/>
      <c r="D2" s="869"/>
      <c r="E2" s="868"/>
      <c r="F2" s="868"/>
      <c r="G2" s="867" t="s">
        <v>104</v>
      </c>
      <c r="H2" s="869"/>
      <c r="I2" s="869" t="s">
        <v>105</v>
      </c>
      <c r="J2" s="868"/>
      <c r="K2" s="868"/>
      <c r="L2" s="870"/>
      <c r="M2" s="870"/>
      <c r="N2" s="870"/>
      <c r="O2" s="870"/>
    </row>
    <row r="3" spans="1:15" s="1" customFormat="1" x14ac:dyDescent="0.2">
      <c r="A3" s="867" t="s">
        <v>106</v>
      </c>
      <c r="B3" s="868"/>
      <c r="C3" s="868"/>
      <c r="D3" s="881">
        <v>23279</v>
      </c>
      <c r="E3" s="882"/>
      <c r="F3" s="882"/>
      <c r="G3" s="867" t="s">
        <v>107</v>
      </c>
      <c r="H3" s="869"/>
      <c r="I3" s="869" t="s">
        <v>108</v>
      </c>
      <c r="J3" s="868"/>
      <c r="K3" s="868"/>
      <c r="L3" s="870"/>
      <c r="M3" s="870"/>
      <c r="N3" s="870"/>
      <c r="O3" s="870"/>
    </row>
    <row r="4" spans="1:15" s="1" customFormat="1" x14ac:dyDescent="0.2">
      <c r="A4" s="867" t="s">
        <v>109</v>
      </c>
      <c r="B4" s="868"/>
      <c r="C4" s="868"/>
      <c r="D4" s="883"/>
      <c r="E4" s="868"/>
      <c r="F4" s="868"/>
      <c r="G4" s="867" t="s">
        <v>110</v>
      </c>
      <c r="H4" s="869"/>
      <c r="I4" s="869" t="s">
        <v>478</v>
      </c>
      <c r="J4" s="868"/>
      <c r="K4" s="868"/>
      <c r="L4" s="870"/>
      <c r="M4" s="870"/>
      <c r="N4" s="870"/>
      <c r="O4" s="870"/>
    </row>
    <row r="5" spans="1:15" s="1" customFormat="1" x14ac:dyDescent="0.2">
      <c r="A5" s="867" t="s">
        <v>443</v>
      </c>
      <c r="B5" s="868"/>
      <c r="C5" s="868"/>
      <c r="D5" s="869" t="s">
        <v>1058</v>
      </c>
      <c r="E5" s="868"/>
      <c r="F5" s="868"/>
      <c r="G5" s="867"/>
      <c r="H5" s="868"/>
      <c r="I5" s="869" t="s">
        <v>113</v>
      </c>
      <c r="J5" s="868"/>
      <c r="K5" s="868"/>
      <c r="L5" s="870"/>
      <c r="M5" s="870"/>
      <c r="N5" s="870"/>
      <c r="O5" s="870"/>
    </row>
    <row r="6" spans="1:15" s="1" customFormat="1" x14ac:dyDescent="0.2">
      <c r="A6" s="871" t="s">
        <v>114</v>
      </c>
      <c r="B6" s="872"/>
      <c r="C6" s="872"/>
      <c r="D6" s="868" t="s">
        <v>941</v>
      </c>
      <c r="E6" s="868"/>
      <c r="F6" s="868"/>
      <c r="G6" s="871" t="s">
        <v>115</v>
      </c>
      <c r="H6" s="871"/>
      <c r="I6" s="2" t="s">
        <v>116</v>
      </c>
      <c r="J6" s="888"/>
      <c r="K6" s="888"/>
      <c r="L6" s="888"/>
      <c r="M6" s="888"/>
      <c r="N6" s="888"/>
      <c r="O6" s="889"/>
    </row>
    <row r="7" spans="1:15" s="1" customFormat="1" ht="13.5" thickBot="1" x14ac:dyDescent="0.25">
      <c r="A7" s="3"/>
      <c r="B7" s="4"/>
      <c r="C7" s="5"/>
      <c r="D7" s="6"/>
      <c r="E7" s="6"/>
      <c r="F7" s="6"/>
      <c r="G7" s="6"/>
      <c r="H7" s="6"/>
      <c r="I7" s="6"/>
      <c r="J7" s="7"/>
      <c r="K7" s="8"/>
      <c r="L7" s="875" t="s">
        <v>223</v>
      </c>
      <c r="M7" s="875"/>
      <c r="N7" s="875"/>
      <c r="O7" s="875"/>
    </row>
    <row r="8" spans="1:15" s="11" customFormat="1" x14ac:dyDescent="0.2">
      <c r="A8" s="876" t="str">
        <f>I1</f>
        <v>Mr. D. N. Dwivwdi</v>
      </c>
      <c r="B8" s="877"/>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104800</v>
      </c>
      <c r="D9" s="14">
        <f>C9</f>
        <v>104800</v>
      </c>
      <c r="E9" s="14">
        <f t="shared" ref="E9:F11" si="0">D9</f>
        <v>104800</v>
      </c>
      <c r="F9" s="14">
        <f t="shared" si="0"/>
        <v>104800</v>
      </c>
      <c r="G9" s="14">
        <v>107900</v>
      </c>
      <c r="H9" s="14">
        <v>107900</v>
      </c>
      <c r="I9" s="14">
        <v>107900</v>
      </c>
      <c r="J9" s="14">
        <v>107900</v>
      </c>
      <c r="K9" s="14">
        <v>114000</v>
      </c>
      <c r="L9" s="14">
        <v>114000</v>
      </c>
      <c r="M9" s="14">
        <v>114000</v>
      </c>
      <c r="N9" s="14">
        <v>114000</v>
      </c>
      <c r="O9" s="15">
        <f>SUM(C9:N9)</f>
        <v>1306800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47">
        <v>5240</v>
      </c>
      <c r="D11" s="147">
        <v>7336</v>
      </c>
      <c r="E11" s="17">
        <f t="shared" si="0"/>
        <v>7336</v>
      </c>
      <c r="F11" s="17">
        <f t="shared" si="0"/>
        <v>7336</v>
      </c>
      <c r="G11" s="147">
        <v>7553</v>
      </c>
      <c r="H11" s="147">
        <v>7553</v>
      </c>
      <c r="I11" s="147">
        <v>7553</v>
      </c>
      <c r="J11" s="147">
        <v>6474</v>
      </c>
      <c r="K11" s="147">
        <f>K9*9%</f>
        <v>10260</v>
      </c>
      <c r="L11" s="147">
        <f>L9*9%</f>
        <v>10260</v>
      </c>
      <c r="M11" s="147">
        <f>M9*9%</f>
        <v>10260</v>
      </c>
      <c r="N11" s="147">
        <f>N9*9%</f>
        <v>10260</v>
      </c>
      <c r="O11" s="18">
        <f>SUM(C11:N11)</f>
        <v>97421</v>
      </c>
    </row>
    <row r="12" spans="1:15" ht="15" hidden="1" customHeight="1" x14ac:dyDescent="0.2">
      <c r="A12" s="12"/>
      <c r="B12" s="13" t="s">
        <v>121</v>
      </c>
      <c r="C12" s="147">
        <v>0</v>
      </c>
      <c r="D12" s="147">
        <v>0</v>
      </c>
      <c r="E12" s="147">
        <v>0</v>
      </c>
      <c r="F12" s="147">
        <v>0</v>
      </c>
      <c r="G12" s="147">
        <v>0</v>
      </c>
      <c r="H12" s="147">
        <v>0</v>
      </c>
      <c r="I12" s="147">
        <v>0</v>
      </c>
      <c r="J12" s="147">
        <v>0</v>
      </c>
      <c r="K12" s="147">
        <v>0</v>
      </c>
      <c r="L12" s="147">
        <v>0</v>
      </c>
      <c r="M12" s="147">
        <v>0</v>
      </c>
      <c r="N12" s="147">
        <v>0</v>
      </c>
      <c r="O12" s="18">
        <f>SUM(C12:N12)</f>
        <v>0</v>
      </c>
    </row>
    <row r="13" spans="1:15" ht="14.25" hidden="1" customHeight="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7" si="1">SUM(C13:N13)</f>
        <v>0</v>
      </c>
    </row>
    <row r="14" spans="1:15" ht="15" x14ac:dyDescent="0.2">
      <c r="A14" s="12"/>
      <c r="B14" s="13" t="s">
        <v>123</v>
      </c>
      <c r="C14" s="147">
        <v>7560</v>
      </c>
      <c r="D14" s="147">
        <v>7704</v>
      </c>
      <c r="E14" s="147">
        <v>7704</v>
      </c>
      <c r="F14" s="147">
        <v>7704</v>
      </c>
      <c r="G14" s="147">
        <v>7704</v>
      </c>
      <c r="H14" s="147">
        <v>7704</v>
      </c>
      <c r="I14" s="147">
        <v>7704</v>
      </c>
      <c r="J14" s="147">
        <v>7848</v>
      </c>
      <c r="K14" s="147">
        <v>7848</v>
      </c>
      <c r="L14" s="147">
        <v>7848</v>
      </c>
      <c r="M14" s="147">
        <v>7848</v>
      </c>
      <c r="N14" s="147">
        <v>7848</v>
      </c>
      <c r="O14" s="18">
        <f t="shared" si="1"/>
        <v>93024</v>
      </c>
    </row>
    <row r="15" spans="1:15" ht="15" hidden="1" customHeight="1" x14ac:dyDescent="0.2">
      <c r="A15" s="12"/>
      <c r="B15" s="13" t="s">
        <v>124</v>
      </c>
      <c r="C15" s="147">
        <v>0</v>
      </c>
      <c r="D15" s="17">
        <f t="shared" ref="D15:N16" si="2">+C15</f>
        <v>0</v>
      </c>
      <c r="E15" s="17">
        <f t="shared" si="2"/>
        <v>0</v>
      </c>
      <c r="F15" s="17">
        <f t="shared" si="2"/>
        <v>0</v>
      </c>
      <c r="G15" s="17">
        <f t="shared" si="2"/>
        <v>0</v>
      </c>
      <c r="H15" s="17">
        <f t="shared" si="2"/>
        <v>0</v>
      </c>
      <c r="I15" s="17">
        <f t="shared" si="2"/>
        <v>0</v>
      </c>
      <c r="J15" s="17">
        <f t="shared" si="2"/>
        <v>0</v>
      </c>
      <c r="K15" s="17">
        <f t="shared" si="2"/>
        <v>0</v>
      </c>
      <c r="L15" s="17">
        <f t="shared" si="2"/>
        <v>0</v>
      </c>
      <c r="M15" s="17">
        <f t="shared" si="2"/>
        <v>0</v>
      </c>
      <c r="N15" s="17">
        <f t="shared" si="2"/>
        <v>0</v>
      </c>
      <c r="O15" s="18">
        <f t="shared" si="1"/>
        <v>0</v>
      </c>
    </row>
    <row r="16" spans="1:15" ht="15" hidden="1" customHeight="1" x14ac:dyDescent="0.2">
      <c r="A16" s="12"/>
      <c r="B16" s="13" t="s">
        <v>125</v>
      </c>
      <c r="C16" s="17">
        <v>0</v>
      </c>
      <c r="D16" s="17">
        <f t="shared" si="2"/>
        <v>0</v>
      </c>
      <c r="E16" s="17">
        <f t="shared" si="2"/>
        <v>0</v>
      </c>
      <c r="F16" s="17">
        <f t="shared" si="2"/>
        <v>0</v>
      </c>
      <c r="G16" s="17">
        <f t="shared" si="2"/>
        <v>0</v>
      </c>
      <c r="H16" s="17">
        <f t="shared" si="2"/>
        <v>0</v>
      </c>
      <c r="I16" s="17">
        <f t="shared" si="2"/>
        <v>0</v>
      </c>
      <c r="J16" s="17">
        <f t="shared" si="2"/>
        <v>0</v>
      </c>
      <c r="K16" s="17">
        <f t="shared" si="2"/>
        <v>0</v>
      </c>
      <c r="L16" s="17">
        <f t="shared" si="2"/>
        <v>0</v>
      </c>
      <c r="M16" s="17">
        <f t="shared" si="2"/>
        <v>0</v>
      </c>
      <c r="N16" s="17">
        <f t="shared" si="2"/>
        <v>0</v>
      </c>
      <c r="O16" s="18">
        <f t="shared" si="1"/>
        <v>0</v>
      </c>
    </row>
    <row r="17" spans="1:15" ht="15" hidden="1" customHeight="1" x14ac:dyDescent="0.2">
      <c r="A17" s="12"/>
      <c r="B17" s="13" t="s">
        <v>126</v>
      </c>
      <c r="C17" s="17">
        <v>0</v>
      </c>
      <c r="D17" s="17">
        <v>0</v>
      </c>
      <c r="E17" s="17">
        <v>0</v>
      </c>
      <c r="F17" s="17">
        <v>0</v>
      </c>
      <c r="G17" s="17">
        <v>0</v>
      </c>
      <c r="H17" s="17">
        <v>0</v>
      </c>
      <c r="I17" s="17">
        <v>0</v>
      </c>
      <c r="J17" s="147">
        <v>0</v>
      </c>
      <c r="K17" s="147">
        <v>0</v>
      </c>
      <c r="L17" s="147">
        <v>0</v>
      </c>
      <c r="M17" s="147">
        <v>0</v>
      </c>
      <c r="N17" s="147">
        <v>0</v>
      </c>
      <c r="O17" s="18">
        <f t="shared" si="1"/>
        <v>0</v>
      </c>
    </row>
    <row r="18" spans="1:15" ht="15" x14ac:dyDescent="0.2">
      <c r="A18" s="12"/>
      <c r="B18" s="13" t="s">
        <v>224</v>
      </c>
      <c r="C18" s="17">
        <v>0</v>
      </c>
      <c r="D18" s="17">
        <v>0</v>
      </c>
      <c r="E18" s="17">
        <v>0</v>
      </c>
      <c r="F18" s="17">
        <v>0</v>
      </c>
      <c r="G18" s="17">
        <v>0</v>
      </c>
      <c r="H18" s="17">
        <v>0</v>
      </c>
      <c r="I18" s="17">
        <v>0</v>
      </c>
      <c r="J18" s="147">
        <v>0</v>
      </c>
      <c r="K18" s="147">
        <v>0</v>
      </c>
      <c r="L18" s="147">
        <v>0</v>
      </c>
      <c r="M18" s="147">
        <v>0</v>
      </c>
      <c r="N18" s="147">
        <v>0</v>
      </c>
      <c r="O18" s="18">
        <f t="shared" si="1"/>
        <v>0</v>
      </c>
    </row>
    <row r="19" spans="1:15" ht="15" x14ac:dyDescent="0.2">
      <c r="A19" s="12"/>
      <c r="B19" s="13" t="s">
        <v>128</v>
      </c>
      <c r="C19" s="147">
        <v>0</v>
      </c>
      <c r="D19" s="147">
        <v>0</v>
      </c>
      <c r="E19" s="147">
        <v>0</v>
      </c>
      <c r="F19" s="147">
        <v>0</v>
      </c>
      <c r="G19" s="147">
        <v>0</v>
      </c>
      <c r="H19" s="147">
        <v>0</v>
      </c>
      <c r="I19" s="147">
        <v>0</v>
      </c>
      <c r="J19" s="147">
        <v>0</v>
      </c>
      <c r="K19" s="147">
        <v>0</v>
      </c>
      <c r="L19" s="147">
        <v>0</v>
      </c>
      <c r="M19" s="147">
        <v>0</v>
      </c>
      <c r="N19" s="147">
        <v>0</v>
      </c>
      <c r="O19" s="18">
        <f t="shared" si="1"/>
        <v>0</v>
      </c>
    </row>
    <row r="20" spans="1:15" ht="30" x14ac:dyDescent="0.2">
      <c r="A20" s="12"/>
      <c r="B20" s="13" t="s">
        <v>321</v>
      </c>
      <c r="C20" s="147">
        <v>0</v>
      </c>
      <c r="D20" s="147">
        <v>0</v>
      </c>
      <c r="E20" s="147">
        <v>0</v>
      </c>
      <c r="F20" s="147">
        <v>0</v>
      </c>
      <c r="G20" s="147">
        <v>0</v>
      </c>
      <c r="H20" s="147">
        <v>0</v>
      </c>
      <c r="I20" s="147">
        <v>0</v>
      </c>
      <c r="J20" s="147">
        <v>0</v>
      </c>
      <c r="K20" s="147">
        <v>0</v>
      </c>
      <c r="L20" s="147">
        <v>0</v>
      </c>
      <c r="M20" s="147">
        <v>0</v>
      </c>
      <c r="N20" s="147">
        <v>0</v>
      </c>
      <c r="O20" s="18">
        <f t="shared" si="1"/>
        <v>0</v>
      </c>
    </row>
    <row r="21" spans="1:15" ht="15" customHeight="1" x14ac:dyDescent="0.2">
      <c r="A21" s="12"/>
      <c r="B21" s="13" t="s">
        <v>129</v>
      </c>
      <c r="C21" s="28">
        <v>0</v>
      </c>
      <c r="D21" s="28">
        <v>0</v>
      </c>
      <c r="E21" s="28">
        <v>0</v>
      </c>
      <c r="F21" s="28">
        <v>0</v>
      </c>
      <c r="G21" s="28">
        <v>0</v>
      </c>
      <c r="H21" s="28">
        <v>0</v>
      </c>
      <c r="I21" s="28">
        <v>0</v>
      </c>
      <c r="J21" s="28">
        <v>0</v>
      </c>
      <c r="K21" s="28">
        <v>0</v>
      </c>
      <c r="L21" s="28">
        <v>0</v>
      </c>
      <c r="M21" s="28">
        <v>0</v>
      </c>
      <c r="N21" s="28">
        <v>0</v>
      </c>
      <c r="O21" s="18">
        <f t="shared" si="1"/>
        <v>0</v>
      </c>
    </row>
    <row r="22" spans="1:15" ht="15" hidden="1" customHeight="1" x14ac:dyDescent="0.2">
      <c r="A22" s="878" t="s">
        <v>130</v>
      </c>
      <c r="B22" s="19" t="s">
        <v>131</v>
      </c>
      <c r="C22" s="28">
        <v>0</v>
      </c>
      <c r="D22" s="28">
        <v>0</v>
      </c>
      <c r="E22" s="28">
        <v>0</v>
      </c>
      <c r="F22" s="28">
        <v>0</v>
      </c>
      <c r="G22" s="28">
        <v>0</v>
      </c>
      <c r="H22" s="28">
        <v>0</v>
      </c>
      <c r="I22" s="28">
        <v>0</v>
      </c>
      <c r="J22" s="28">
        <v>0</v>
      </c>
      <c r="K22" s="28">
        <v>0</v>
      </c>
      <c r="L22" s="28">
        <v>0</v>
      </c>
      <c r="M22" s="28">
        <v>0</v>
      </c>
      <c r="N22" s="28">
        <v>0</v>
      </c>
      <c r="O22" s="18">
        <f t="shared" si="1"/>
        <v>0</v>
      </c>
    </row>
    <row r="23" spans="1:15" ht="15" customHeight="1" x14ac:dyDescent="0.2">
      <c r="A23" s="879"/>
      <c r="B23" s="19" t="s">
        <v>132</v>
      </c>
      <c r="C23" s="28">
        <v>0</v>
      </c>
      <c r="D23" s="28">
        <v>0</v>
      </c>
      <c r="E23" s="28">
        <v>0</v>
      </c>
      <c r="F23" s="28">
        <v>0</v>
      </c>
      <c r="G23" s="28">
        <v>0</v>
      </c>
      <c r="H23" s="28">
        <v>0</v>
      </c>
      <c r="I23" s="28">
        <v>0</v>
      </c>
      <c r="J23" s="28">
        <v>0</v>
      </c>
      <c r="K23" s="28">
        <v>0</v>
      </c>
      <c r="L23" s="28">
        <v>0</v>
      </c>
      <c r="M23" s="28">
        <v>0</v>
      </c>
      <c r="N23" s="28">
        <v>0</v>
      </c>
      <c r="O23" s="18">
        <f t="shared" si="1"/>
        <v>0</v>
      </c>
    </row>
    <row r="24" spans="1:15" ht="15" hidden="1" customHeight="1" x14ac:dyDescent="0.2">
      <c r="A24" s="879"/>
      <c r="B24" s="19" t="s">
        <v>133</v>
      </c>
      <c r="C24" s="28">
        <v>0</v>
      </c>
      <c r="D24" s="28">
        <v>0</v>
      </c>
      <c r="E24" s="28">
        <v>0</v>
      </c>
      <c r="F24" s="28">
        <v>0</v>
      </c>
      <c r="G24" s="28">
        <v>0</v>
      </c>
      <c r="H24" s="28">
        <v>0</v>
      </c>
      <c r="I24" s="28">
        <v>0</v>
      </c>
      <c r="J24" s="28">
        <v>0</v>
      </c>
      <c r="K24" s="28">
        <v>0</v>
      </c>
      <c r="L24" s="28">
        <v>0</v>
      </c>
      <c r="M24" s="28">
        <v>0</v>
      </c>
      <c r="N24" s="28">
        <v>0</v>
      </c>
      <c r="O24" s="18">
        <f t="shared" si="1"/>
        <v>0</v>
      </c>
    </row>
    <row r="25" spans="1:15" ht="15" hidden="1" customHeight="1" x14ac:dyDescent="0.2">
      <c r="A25" s="879"/>
      <c r="B25" s="19" t="s">
        <v>134</v>
      </c>
      <c r="C25" s="28">
        <v>0</v>
      </c>
      <c r="D25" s="28">
        <v>0</v>
      </c>
      <c r="E25" s="28">
        <v>0</v>
      </c>
      <c r="F25" s="28">
        <v>0</v>
      </c>
      <c r="G25" s="28">
        <v>0</v>
      </c>
      <c r="H25" s="28">
        <v>0</v>
      </c>
      <c r="I25" s="28">
        <v>0</v>
      </c>
      <c r="J25" s="28">
        <v>0</v>
      </c>
      <c r="K25" s="28">
        <v>0</v>
      </c>
      <c r="L25" s="28">
        <v>0</v>
      </c>
      <c r="M25" s="28">
        <v>0</v>
      </c>
      <c r="N25" s="28">
        <v>0</v>
      </c>
      <c r="O25" s="18">
        <f t="shared" si="1"/>
        <v>0</v>
      </c>
    </row>
    <row r="26" spans="1:15" ht="15" hidden="1" customHeight="1" x14ac:dyDescent="0.2">
      <c r="A26" s="879"/>
      <c r="B26" s="19" t="s">
        <v>135</v>
      </c>
      <c r="C26" s="28">
        <v>0</v>
      </c>
      <c r="D26" s="28">
        <v>0</v>
      </c>
      <c r="E26" s="28">
        <v>0</v>
      </c>
      <c r="F26" s="28">
        <v>0</v>
      </c>
      <c r="G26" s="28">
        <v>0</v>
      </c>
      <c r="H26" s="28">
        <v>0</v>
      </c>
      <c r="I26" s="28">
        <v>0</v>
      </c>
      <c r="J26" s="28">
        <v>0</v>
      </c>
      <c r="K26" s="28">
        <v>0</v>
      </c>
      <c r="L26" s="28">
        <v>0</v>
      </c>
      <c r="M26" s="28">
        <v>0</v>
      </c>
      <c r="N26" s="28">
        <v>0</v>
      </c>
      <c r="O26" s="18">
        <f t="shared" si="1"/>
        <v>0</v>
      </c>
    </row>
    <row r="27" spans="1:15" ht="15" hidden="1" customHeight="1" x14ac:dyDescent="0.2">
      <c r="A27" s="879"/>
      <c r="B27" s="19" t="s">
        <v>136</v>
      </c>
      <c r="C27" s="28">
        <v>0</v>
      </c>
      <c r="D27" s="28">
        <v>0</v>
      </c>
      <c r="E27" s="28">
        <v>0</v>
      </c>
      <c r="F27" s="28">
        <v>0</v>
      </c>
      <c r="G27" s="28">
        <v>0</v>
      </c>
      <c r="H27" s="28">
        <v>0</v>
      </c>
      <c r="I27" s="28">
        <v>0</v>
      </c>
      <c r="J27" s="28">
        <v>0</v>
      </c>
      <c r="K27" s="28">
        <v>0</v>
      </c>
      <c r="L27" s="28">
        <v>0</v>
      </c>
      <c r="M27" s="28">
        <v>0</v>
      </c>
      <c r="N27" s="28">
        <v>0</v>
      </c>
      <c r="O27" s="18">
        <f t="shared" si="1"/>
        <v>0</v>
      </c>
    </row>
    <row r="28" spans="1:15" ht="15" hidden="1" customHeight="1" x14ac:dyDescent="0.2">
      <c r="A28" s="879"/>
      <c r="B28" s="19" t="s">
        <v>137</v>
      </c>
      <c r="C28" s="28">
        <v>0</v>
      </c>
      <c r="D28" s="28">
        <v>0</v>
      </c>
      <c r="E28" s="28">
        <v>0</v>
      </c>
      <c r="F28" s="28">
        <v>0</v>
      </c>
      <c r="G28" s="28">
        <v>0</v>
      </c>
      <c r="H28" s="28">
        <v>0</v>
      </c>
      <c r="I28" s="28">
        <v>0</v>
      </c>
      <c r="J28" s="28">
        <v>0</v>
      </c>
      <c r="K28" s="28">
        <v>0</v>
      </c>
      <c r="L28" s="28">
        <v>0</v>
      </c>
      <c r="M28" s="28">
        <v>0</v>
      </c>
      <c r="N28" s="28">
        <v>0</v>
      </c>
      <c r="O28" s="18">
        <f t="shared" si="1"/>
        <v>0</v>
      </c>
    </row>
    <row r="29" spans="1:15" ht="15" hidden="1" customHeight="1" x14ac:dyDescent="0.2">
      <c r="A29" s="879"/>
      <c r="B29" s="19" t="s">
        <v>138</v>
      </c>
      <c r="C29" s="28">
        <v>0</v>
      </c>
      <c r="D29" s="28">
        <v>0</v>
      </c>
      <c r="E29" s="28">
        <v>0</v>
      </c>
      <c r="F29" s="28">
        <v>0</v>
      </c>
      <c r="G29" s="28">
        <v>0</v>
      </c>
      <c r="H29" s="28">
        <v>0</v>
      </c>
      <c r="I29" s="28">
        <v>0</v>
      </c>
      <c r="J29" s="28">
        <v>0</v>
      </c>
      <c r="K29" s="28">
        <v>0</v>
      </c>
      <c r="L29" s="28">
        <v>0</v>
      </c>
      <c r="M29" s="28">
        <v>0</v>
      </c>
      <c r="N29" s="28">
        <v>0</v>
      </c>
      <c r="O29" s="18">
        <f t="shared" si="1"/>
        <v>0</v>
      </c>
    </row>
    <row r="30" spans="1:15" ht="15" hidden="1" customHeight="1" x14ac:dyDescent="0.2">
      <c r="A30" s="879"/>
      <c r="B30" s="19" t="s">
        <v>139</v>
      </c>
      <c r="C30" s="28">
        <v>0</v>
      </c>
      <c r="D30" s="28">
        <v>0</v>
      </c>
      <c r="E30" s="28">
        <v>0</v>
      </c>
      <c r="F30" s="28">
        <v>0</v>
      </c>
      <c r="G30" s="28">
        <v>0</v>
      </c>
      <c r="H30" s="28">
        <v>0</v>
      </c>
      <c r="I30" s="28">
        <v>0</v>
      </c>
      <c r="J30" s="28">
        <v>0</v>
      </c>
      <c r="K30" s="28">
        <v>0</v>
      </c>
      <c r="L30" s="28">
        <v>0</v>
      </c>
      <c r="M30" s="28">
        <v>0</v>
      </c>
      <c r="N30" s="28">
        <v>0</v>
      </c>
      <c r="O30" s="18">
        <f t="shared" si="1"/>
        <v>0</v>
      </c>
    </row>
    <row r="31" spans="1:15" ht="15" hidden="1" customHeight="1" x14ac:dyDescent="0.2">
      <c r="A31" s="879"/>
      <c r="B31" s="19" t="s">
        <v>140</v>
      </c>
      <c r="C31" s="28">
        <v>0</v>
      </c>
      <c r="D31" s="28">
        <v>0</v>
      </c>
      <c r="E31" s="28">
        <v>0</v>
      </c>
      <c r="F31" s="28">
        <v>0</v>
      </c>
      <c r="G31" s="28">
        <v>0</v>
      </c>
      <c r="H31" s="28">
        <v>0</v>
      </c>
      <c r="I31" s="28">
        <v>0</v>
      </c>
      <c r="J31" s="28">
        <v>0</v>
      </c>
      <c r="K31" s="28">
        <v>0</v>
      </c>
      <c r="L31" s="28">
        <v>0</v>
      </c>
      <c r="M31" s="28">
        <v>0</v>
      </c>
      <c r="N31" s="28">
        <v>0</v>
      </c>
      <c r="O31" s="18">
        <f t="shared" si="1"/>
        <v>0</v>
      </c>
    </row>
    <row r="32" spans="1:15" ht="15" hidden="1" customHeight="1" x14ac:dyDescent="0.2">
      <c r="A32" s="879"/>
      <c r="B32" s="19" t="s">
        <v>225</v>
      </c>
      <c r="C32" s="28">
        <v>0</v>
      </c>
      <c r="D32" s="28">
        <v>0</v>
      </c>
      <c r="E32" s="28">
        <v>0</v>
      </c>
      <c r="F32" s="28">
        <v>0</v>
      </c>
      <c r="G32" s="28">
        <v>0</v>
      </c>
      <c r="H32" s="28">
        <v>0</v>
      </c>
      <c r="I32" s="28">
        <v>0</v>
      </c>
      <c r="J32" s="28">
        <v>0</v>
      </c>
      <c r="K32" s="28">
        <v>0</v>
      </c>
      <c r="L32" s="28">
        <v>0</v>
      </c>
      <c r="M32" s="28">
        <v>0</v>
      </c>
      <c r="N32" s="28">
        <v>0</v>
      </c>
      <c r="O32" s="18">
        <f t="shared" si="1"/>
        <v>0</v>
      </c>
    </row>
    <row r="33" spans="1:16" ht="15" customHeight="1" x14ac:dyDescent="0.2">
      <c r="A33" s="879"/>
      <c r="B33" s="21" t="s">
        <v>142</v>
      </c>
      <c r="C33" s="28">
        <v>0</v>
      </c>
      <c r="D33" s="28">
        <v>0</v>
      </c>
      <c r="E33" s="28">
        <v>0</v>
      </c>
      <c r="F33" s="28">
        <v>0</v>
      </c>
      <c r="G33" s="28">
        <v>0</v>
      </c>
      <c r="H33" s="28">
        <v>0</v>
      </c>
      <c r="I33" s="28">
        <v>0</v>
      </c>
      <c r="J33" s="28">
        <v>0</v>
      </c>
      <c r="K33" s="28">
        <v>0</v>
      </c>
      <c r="L33" s="28">
        <v>0</v>
      </c>
      <c r="M33" s="28">
        <v>0</v>
      </c>
      <c r="N33" s="28">
        <v>0</v>
      </c>
      <c r="O33" s="18">
        <f t="shared" si="1"/>
        <v>0</v>
      </c>
    </row>
    <row r="34" spans="1:16" ht="15" hidden="1" customHeight="1" x14ac:dyDescent="0.2">
      <c r="A34" s="880"/>
      <c r="B34" s="19" t="s">
        <v>226</v>
      </c>
      <c r="C34" s="28">
        <v>0</v>
      </c>
      <c r="D34" s="28">
        <v>0</v>
      </c>
      <c r="E34" s="28">
        <v>0</v>
      </c>
      <c r="F34" s="28">
        <v>0</v>
      </c>
      <c r="G34" s="28">
        <v>0</v>
      </c>
      <c r="H34" s="28">
        <v>0</v>
      </c>
      <c r="I34" s="28">
        <v>0</v>
      </c>
      <c r="J34" s="28">
        <v>0</v>
      </c>
      <c r="K34" s="28">
        <v>0</v>
      </c>
      <c r="L34" s="28">
        <v>0</v>
      </c>
      <c r="M34" s="28">
        <v>0</v>
      </c>
      <c r="N34" s="28">
        <v>0</v>
      </c>
      <c r="O34" s="18">
        <f t="shared" si="1"/>
        <v>0</v>
      </c>
    </row>
    <row r="35" spans="1:16" ht="15" customHeight="1" x14ac:dyDescent="0.2">
      <c r="A35" s="865" t="s">
        <v>144</v>
      </c>
      <c r="B35" s="866"/>
      <c r="C35" s="28">
        <v>0</v>
      </c>
      <c r="D35" s="28">
        <v>0</v>
      </c>
      <c r="E35" s="28">
        <v>0</v>
      </c>
      <c r="F35" s="28">
        <v>0</v>
      </c>
      <c r="G35" s="28">
        <v>0</v>
      </c>
      <c r="H35" s="28">
        <v>0</v>
      </c>
      <c r="I35" s="28">
        <v>0</v>
      </c>
      <c r="J35" s="28">
        <v>0</v>
      </c>
      <c r="K35" s="28">
        <v>0</v>
      </c>
      <c r="L35" s="28">
        <v>0</v>
      </c>
      <c r="M35" s="28">
        <v>0</v>
      </c>
      <c r="N35" s="28">
        <v>0</v>
      </c>
      <c r="O35" s="18">
        <f t="shared" si="1"/>
        <v>0</v>
      </c>
    </row>
    <row r="36" spans="1:16" ht="15" customHeight="1" x14ac:dyDescent="0.2">
      <c r="A36" s="865" t="s">
        <v>145</v>
      </c>
      <c r="B36" s="866"/>
      <c r="C36" s="28">
        <v>0</v>
      </c>
      <c r="D36" s="28">
        <v>432</v>
      </c>
      <c r="E36" s="28">
        <v>0</v>
      </c>
      <c r="F36" s="28">
        <v>0</v>
      </c>
      <c r="G36" s="28">
        <v>0</v>
      </c>
      <c r="H36" s="28">
        <v>0</v>
      </c>
      <c r="I36" s="28">
        <v>0</v>
      </c>
      <c r="J36" s="28">
        <v>432</v>
      </c>
      <c r="K36" s="28">
        <v>0</v>
      </c>
      <c r="L36" s="28">
        <v>0</v>
      </c>
      <c r="M36" s="28">
        <v>0</v>
      </c>
      <c r="N36" s="28">
        <v>0</v>
      </c>
      <c r="O36" s="18">
        <f t="shared" si="1"/>
        <v>864</v>
      </c>
    </row>
    <row r="37" spans="1:16" ht="15" customHeight="1" x14ac:dyDescent="0.2">
      <c r="A37" s="865" t="s">
        <v>146</v>
      </c>
      <c r="B37" s="866"/>
      <c r="C37" s="28">
        <v>0</v>
      </c>
      <c r="D37" s="28">
        <v>6288</v>
      </c>
      <c r="E37" s="28">
        <v>0</v>
      </c>
      <c r="F37" s="28">
        <v>0</v>
      </c>
      <c r="G37" s="28">
        <v>0</v>
      </c>
      <c r="H37" s="28">
        <v>0</v>
      </c>
      <c r="I37" s="28">
        <v>0</v>
      </c>
      <c r="J37" s="28">
        <v>6474</v>
      </c>
      <c r="K37" s="28">
        <v>0</v>
      </c>
      <c r="L37" s="28">
        <v>0</v>
      </c>
      <c r="M37" s="28">
        <v>0</v>
      </c>
      <c r="N37" s="28">
        <v>0</v>
      </c>
      <c r="O37" s="18">
        <f t="shared" si="1"/>
        <v>12762</v>
      </c>
    </row>
    <row r="38" spans="1:16" ht="15" customHeight="1" x14ac:dyDescent="0.2">
      <c r="A38" s="22"/>
      <c r="B38" s="23" t="s">
        <v>147</v>
      </c>
      <c r="C38" s="24">
        <f t="shared" ref="C38:N38" si="3">SUM(C9:C37)</f>
        <v>117600</v>
      </c>
      <c r="D38" s="24">
        <f t="shared" si="3"/>
        <v>126560</v>
      </c>
      <c r="E38" s="24">
        <f t="shared" si="3"/>
        <v>119840</v>
      </c>
      <c r="F38" s="24">
        <f t="shared" si="3"/>
        <v>119840</v>
      </c>
      <c r="G38" s="24">
        <f t="shared" si="3"/>
        <v>123157</v>
      </c>
      <c r="H38" s="24">
        <f t="shared" si="3"/>
        <v>123157</v>
      </c>
      <c r="I38" s="24">
        <f t="shared" si="3"/>
        <v>123157</v>
      </c>
      <c r="J38" s="24">
        <f t="shared" si="3"/>
        <v>129128</v>
      </c>
      <c r="K38" s="24">
        <f t="shared" si="3"/>
        <v>132108</v>
      </c>
      <c r="L38" s="24">
        <f t="shared" si="3"/>
        <v>132108</v>
      </c>
      <c r="M38" s="24">
        <f t="shared" si="3"/>
        <v>132108</v>
      </c>
      <c r="N38" s="24">
        <f t="shared" si="3"/>
        <v>132108</v>
      </c>
      <c r="O38" s="25">
        <f>SUM(C38:N38)</f>
        <v>1510871</v>
      </c>
    </row>
    <row r="39" spans="1:16" ht="15" customHeight="1" x14ac:dyDescent="0.25">
      <c r="A39" s="853" t="s">
        <v>148</v>
      </c>
      <c r="B39" s="27" t="s">
        <v>149</v>
      </c>
      <c r="C39" s="147">
        <v>15600</v>
      </c>
      <c r="D39" s="147">
        <v>16000</v>
      </c>
      <c r="E39" s="147">
        <v>16000</v>
      </c>
      <c r="F39" s="147">
        <v>16000</v>
      </c>
      <c r="G39" s="147">
        <v>16000</v>
      </c>
      <c r="H39" s="147">
        <v>16000</v>
      </c>
      <c r="I39" s="147">
        <v>16000</v>
      </c>
      <c r="J39" s="147">
        <v>16000</v>
      </c>
      <c r="K39" s="147">
        <v>21000</v>
      </c>
      <c r="L39" s="147">
        <v>21085</v>
      </c>
      <c r="M39" s="147">
        <v>21080</v>
      </c>
      <c r="N39">
        <v>23140</v>
      </c>
      <c r="O39" s="18">
        <f>SUM(C39:N39)</f>
        <v>213905</v>
      </c>
      <c r="P39" s="29"/>
    </row>
    <row r="40" spans="1:16" ht="15" x14ac:dyDescent="0.2">
      <c r="A40" s="854"/>
      <c r="B40" s="27" t="s">
        <v>150</v>
      </c>
      <c r="C40" s="147">
        <v>0</v>
      </c>
      <c r="D40" s="147">
        <v>0</v>
      </c>
      <c r="E40" s="147">
        <v>0</v>
      </c>
      <c r="F40" s="147">
        <v>0</v>
      </c>
      <c r="G40" s="147">
        <v>0</v>
      </c>
      <c r="H40" s="147">
        <v>0</v>
      </c>
      <c r="I40" s="147">
        <v>0</v>
      </c>
      <c r="J40" s="147">
        <v>0</v>
      </c>
      <c r="K40" s="147">
        <v>0</v>
      </c>
      <c r="L40" s="147">
        <v>0</v>
      </c>
      <c r="M40" s="147">
        <v>0</v>
      </c>
      <c r="N40" s="147">
        <v>0</v>
      </c>
      <c r="O40" s="18">
        <f>SUM(C40:N40)</f>
        <v>0</v>
      </c>
    </row>
    <row r="41" spans="1:16" ht="15" x14ac:dyDescent="0.2">
      <c r="A41" s="854"/>
      <c r="B41" s="27" t="s">
        <v>151</v>
      </c>
      <c r="C41" s="147">
        <v>60</v>
      </c>
      <c r="D41" s="147">
        <v>60</v>
      </c>
      <c r="E41" s="147">
        <v>60</v>
      </c>
      <c r="F41" s="147">
        <v>60</v>
      </c>
      <c r="G41" s="147">
        <v>60</v>
      </c>
      <c r="H41" s="147">
        <v>60</v>
      </c>
      <c r="I41" s="147">
        <v>60</v>
      </c>
      <c r="J41" s="147">
        <v>60</v>
      </c>
      <c r="K41" s="147">
        <v>60</v>
      </c>
      <c r="L41" s="147">
        <v>60</v>
      </c>
      <c r="M41" s="147">
        <v>60</v>
      </c>
      <c r="N41" s="147">
        <v>60</v>
      </c>
      <c r="O41" s="18">
        <f t="shared" ref="O41:O52" si="4">SUM(C41:N41)</f>
        <v>720</v>
      </c>
    </row>
    <row r="42" spans="1:16" ht="15" x14ac:dyDescent="0.2">
      <c r="A42" s="854"/>
      <c r="B42" s="27" t="s">
        <v>152</v>
      </c>
      <c r="C42" s="147">
        <v>0</v>
      </c>
      <c r="D42" s="147">
        <v>0</v>
      </c>
      <c r="E42" s="147">
        <v>0</v>
      </c>
      <c r="F42" s="147">
        <v>0</v>
      </c>
      <c r="G42" s="147">
        <v>0</v>
      </c>
      <c r="H42" s="147">
        <v>0</v>
      </c>
      <c r="I42" s="147">
        <v>0</v>
      </c>
      <c r="J42" s="147">
        <v>0</v>
      </c>
      <c r="K42" s="147">
        <v>0</v>
      </c>
      <c r="L42" s="147">
        <v>0</v>
      </c>
      <c r="M42" s="147">
        <v>0</v>
      </c>
      <c r="N42" s="147">
        <v>0</v>
      </c>
      <c r="O42" s="18">
        <f t="shared" si="4"/>
        <v>0</v>
      </c>
    </row>
    <row r="43" spans="1:16" ht="15" x14ac:dyDescent="0.2">
      <c r="A43" s="854"/>
      <c r="B43" s="27" t="s">
        <v>153</v>
      </c>
      <c r="C43" s="147">
        <v>650</v>
      </c>
      <c r="D43" s="147">
        <v>650</v>
      </c>
      <c r="E43" s="147">
        <v>650</v>
      </c>
      <c r="F43" s="147">
        <v>650</v>
      </c>
      <c r="G43" s="147">
        <v>650</v>
      </c>
      <c r="H43" s="147">
        <v>650</v>
      </c>
      <c r="I43" s="147">
        <v>650</v>
      </c>
      <c r="J43" s="147">
        <v>650</v>
      </c>
      <c r="K43" s="147">
        <v>650</v>
      </c>
      <c r="L43" s="147">
        <v>650</v>
      </c>
      <c r="M43" s="147">
        <v>650</v>
      </c>
      <c r="N43" s="147">
        <v>650</v>
      </c>
      <c r="O43" s="18">
        <f t="shared" si="4"/>
        <v>7800</v>
      </c>
    </row>
    <row r="44" spans="1:16" ht="15" x14ac:dyDescent="0.2">
      <c r="A44" s="854"/>
      <c r="B44" s="27" t="s">
        <v>154</v>
      </c>
      <c r="C44" s="147">
        <v>30000</v>
      </c>
      <c r="D44" s="147">
        <v>30000</v>
      </c>
      <c r="E44" s="147">
        <v>30000</v>
      </c>
      <c r="F44" s="147">
        <v>30000</v>
      </c>
      <c r="G44" s="147">
        <v>30000</v>
      </c>
      <c r="H44" s="147">
        <v>30000</v>
      </c>
      <c r="I44" s="147">
        <v>30000</v>
      </c>
      <c r="J44" s="147">
        <v>30000</v>
      </c>
      <c r="K44" s="147">
        <v>30000</v>
      </c>
      <c r="L44" s="147">
        <v>30000</v>
      </c>
      <c r="M44" s="147">
        <v>30000</v>
      </c>
      <c r="N44" s="147">
        <v>30000</v>
      </c>
      <c r="O44" s="18">
        <f t="shared" si="4"/>
        <v>360000</v>
      </c>
    </row>
    <row r="45" spans="1:16" ht="15" x14ac:dyDescent="0.2">
      <c r="A45" s="854"/>
      <c r="B45" s="27" t="s">
        <v>155</v>
      </c>
      <c r="C45" s="147">
        <v>200</v>
      </c>
      <c r="D45" s="147">
        <v>200</v>
      </c>
      <c r="E45" s="147">
        <v>200</v>
      </c>
      <c r="F45" s="147">
        <v>200</v>
      </c>
      <c r="G45" s="147">
        <v>200</v>
      </c>
      <c r="H45" s="147">
        <v>200</v>
      </c>
      <c r="I45" s="147">
        <v>200</v>
      </c>
      <c r="J45" s="147">
        <v>200</v>
      </c>
      <c r="K45" s="147">
        <v>200</v>
      </c>
      <c r="L45" s="147">
        <v>200</v>
      </c>
      <c r="M45" s="147">
        <v>200</v>
      </c>
      <c r="N45" s="147">
        <v>300</v>
      </c>
      <c r="O45" s="18">
        <f t="shared" si="4"/>
        <v>2500</v>
      </c>
    </row>
    <row r="46" spans="1:16" ht="30" x14ac:dyDescent="0.2">
      <c r="A46" s="854"/>
      <c r="B46" s="27" t="s">
        <v>293</v>
      </c>
      <c r="C46" s="147">
        <v>963</v>
      </c>
      <c r="D46" s="147">
        <v>963</v>
      </c>
      <c r="E46" s="147">
        <v>963</v>
      </c>
      <c r="F46" s="147">
        <v>963</v>
      </c>
      <c r="G46" s="147">
        <v>963</v>
      </c>
      <c r="H46" s="147">
        <v>963</v>
      </c>
      <c r="I46" s="147">
        <v>963</v>
      </c>
      <c r="J46" s="147">
        <v>963</v>
      </c>
      <c r="K46" s="147">
        <v>963</v>
      </c>
      <c r="L46" s="147">
        <v>963</v>
      </c>
      <c r="M46" s="147">
        <v>963</v>
      </c>
      <c r="N46" s="147">
        <v>963</v>
      </c>
      <c r="O46" s="18">
        <f t="shared" si="4"/>
        <v>11556</v>
      </c>
    </row>
    <row r="47" spans="1:16" ht="15" x14ac:dyDescent="0.2">
      <c r="A47" s="854"/>
      <c r="B47" s="27" t="s">
        <v>157</v>
      </c>
      <c r="C47" s="147">
        <v>0</v>
      </c>
      <c r="D47" s="147">
        <v>0</v>
      </c>
      <c r="E47" s="147">
        <v>0</v>
      </c>
      <c r="F47" s="147">
        <v>0</v>
      </c>
      <c r="G47" s="147">
        <v>0</v>
      </c>
      <c r="H47" s="147">
        <v>0</v>
      </c>
      <c r="I47" s="147">
        <v>0</v>
      </c>
      <c r="J47" s="147">
        <v>0</v>
      </c>
      <c r="K47" s="147">
        <v>0</v>
      </c>
      <c r="L47" s="147">
        <v>0</v>
      </c>
      <c r="M47" s="147">
        <v>0</v>
      </c>
      <c r="N47" s="147">
        <v>0</v>
      </c>
      <c r="O47" s="18">
        <f t="shared" si="4"/>
        <v>0</v>
      </c>
    </row>
    <row r="48" spans="1:16" ht="14.25" x14ac:dyDescent="0.2">
      <c r="A48" s="855"/>
      <c r="B48" s="360" t="s">
        <v>1059</v>
      </c>
      <c r="C48" s="147">
        <v>0</v>
      </c>
      <c r="D48" s="147">
        <v>0</v>
      </c>
      <c r="E48" s="147">
        <v>0</v>
      </c>
      <c r="F48" s="147">
        <v>0</v>
      </c>
      <c r="G48" s="147">
        <v>0</v>
      </c>
      <c r="H48" s="147">
        <v>0</v>
      </c>
      <c r="I48" s="147">
        <v>0</v>
      </c>
      <c r="J48" s="147">
        <v>0</v>
      </c>
      <c r="K48" s="147">
        <v>0</v>
      </c>
      <c r="L48" s="147">
        <v>0</v>
      </c>
      <c r="M48" s="147">
        <v>0</v>
      </c>
      <c r="N48" s="147">
        <v>0</v>
      </c>
      <c r="O48" s="31"/>
    </row>
    <row r="49" spans="1:18" ht="28.5" x14ac:dyDescent="0.2">
      <c r="A49" s="855"/>
      <c r="B49" s="360" t="s">
        <v>461</v>
      </c>
      <c r="C49" s="147">
        <v>0</v>
      </c>
      <c r="D49" s="147">
        <v>0</v>
      </c>
      <c r="E49" s="147">
        <v>0</v>
      </c>
      <c r="F49" s="147">
        <v>0</v>
      </c>
      <c r="G49" s="147">
        <v>0</v>
      </c>
      <c r="H49" s="147">
        <v>0</v>
      </c>
      <c r="I49" s="147">
        <v>0</v>
      </c>
      <c r="J49" s="147">
        <v>0</v>
      </c>
      <c r="K49" s="147">
        <v>0</v>
      </c>
      <c r="L49" s="147">
        <v>0</v>
      </c>
      <c r="M49" s="147">
        <v>0</v>
      </c>
      <c r="N49" s="147">
        <v>0</v>
      </c>
      <c r="O49" s="31">
        <f>SUM(C49:N49)</f>
        <v>0</v>
      </c>
    </row>
    <row r="50" spans="1:18" ht="14.25" x14ac:dyDescent="0.2">
      <c r="A50" s="856"/>
      <c r="B50" s="361" t="s">
        <v>479</v>
      </c>
      <c r="C50" s="293">
        <v>0</v>
      </c>
      <c r="D50" s="293">
        <v>0</v>
      </c>
      <c r="E50" s="293">
        <v>0</v>
      </c>
      <c r="F50" s="293">
        <v>0</v>
      </c>
      <c r="G50" s="293">
        <v>0</v>
      </c>
      <c r="H50" s="293">
        <v>0</v>
      </c>
      <c r="I50" s="293">
        <v>0</v>
      </c>
      <c r="J50" s="293">
        <v>0</v>
      </c>
      <c r="K50" s="293">
        <v>0</v>
      </c>
      <c r="L50" s="293">
        <v>0</v>
      </c>
      <c r="M50" s="293">
        <v>0</v>
      </c>
      <c r="N50" s="293">
        <v>0</v>
      </c>
      <c r="O50" s="31">
        <f t="shared" si="4"/>
        <v>0</v>
      </c>
    </row>
    <row r="51" spans="1:18" ht="15" x14ac:dyDescent="0.2">
      <c r="A51" s="857" t="s">
        <v>160</v>
      </c>
      <c r="B51" s="858"/>
      <c r="C51" s="33">
        <f t="shared" ref="C51:N51" si="5">SUM(C39:C50)</f>
        <v>47473</v>
      </c>
      <c r="D51" s="33">
        <f t="shared" si="5"/>
        <v>47873</v>
      </c>
      <c r="E51" s="33">
        <f t="shared" si="5"/>
        <v>47873</v>
      </c>
      <c r="F51" s="33">
        <f t="shared" si="5"/>
        <v>47873</v>
      </c>
      <c r="G51" s="33">
        <f t="shared" si="5"/>
        <v>47873</v>
      </c>
      <c r="H51" s="33">
        <f t="shared" si="5"/>
        <v>47873</v>
      </c>
      <c r="I51" s="33">
        <f t="shared" si="5"/>
        <v>47873</v>
      </c>
      <c r="J51" s="33">
        <f t="shared" si="5"/>
        <v>47873</v>
      </c>
      <c r="K51" s="33">
        <f t="shared" si="5"/>
        <v>52873</v>
      </c>
      <c r="L51" s="33">
        <f t="shared" si="5"/>
        <v>52958</v>
      </c>
      <c r="M51" s="33">
        <f t="shared" si="5"/>
        <v>52953</v>
      </c>
      <c r="N51" s="33">
        <f t="shared" si="5"/>
        <v>55113</v>
      </c>
      <c r="O51" s="34">
        <f t="shared" si="4"/>
        <v>596481</v>
      </c>
    </row>
    <row r="52" spans="1:18" ht="15.75" thickBot="1" x14ac:dyDescent="0.25">
      <c r="A52" s="859" t="s">
        <v>161</v>
      </c>
      <c r="B52" s="860"/>
      <c r="C52" s="35">
        <f t="shared" ref="C52:N52" si="6">C38-C51</f>
        <v>70127</v>
      </c>
      <c r="D52" s="35">
        <f t="shared" si="6"/>
        <v>78687</v>
      </c>
      <c r="E52" s="35">
        <f t="shared" si="6"/>
        <v>71967</v>
      </c>
      <c r="F52" s="35">
        <f t="shared" si="6"/>
        <v>71967</v>
      </c>
      <c r="G52" s="35">
        <f t="shared" si="6"/>
        <v>75284</v>
      </c>
      <c r="H52" s="35">
        <f t="shared" si="6"/>
        <v>75284</v>
      </c>
      <c r="I52" s="35">
        <f t="shared" si="6"/>
        <v>75284</v>
      </c>
      <c r="J52" s="35">
        <f t="shared" si="6"/>
        <v>81255</v>
      </c>
      <c r="K52" s="35">
        <f t="shared" si="6"/>
        <v>79235</v>
      </c>
      <c r="L52" s="35">
        <f t="shared" si="6"/>
        <v>79150</v>
      </c>
      <c r="M52" s="35">
        <f t="shared" si="6"/>
        <v>79155</v>
      </c>
      <c r="N52" s="35">
        <f t="shared" si="6"/>
        <v>76995</v>
      </c>
      <c r="O52" s="36">
        <f t="shared" si="4"/>
        <v>914390</v>
      </c>
    </row>
    <row r="53" spans="1:18" x14ac:dyDescent="0.2">
      <c r="J53" s="300">
        <f>+J38-SUM(J23:J37)</f>
        <v>122222</v>
      </c>
      <c r="Q53" s="38"/>
    </row>
    <row r="54" spans="1:18" ht="13.5" thickBot="1" x14ac:dyDescent="0.25">
      <c r="J54" s="38">
        <f>+J53-J51</f>
        <v>74349</v>
      </c>
    </row>
    <row r="55" spans="1:18" ht="13.5" thickBot="1" x14ac:dyDescent="0.25">
      <c r="B55" s="789" t="s">
        <v>162</v>
      </c>
      <c r="C55" s="861"/>
      <c r="D55" s="861"/>
      <c r="E55" s="861"/>
      <c r="F55" s="862"/>
      <c r="G55" s="863">
        <f>O38</f>
        <v>1510871</v>
      </c>
      <c r="H55" s="864"/>
    </row>
    <row r="56" spans="1:18" ht="13.5" thickBot="1" x14ac:dyDescent="0.25"/>
    <row r="57" spans="1:18" x14ac:dyDescent="0.2">
      <c r="B57" s="830" t="s">
        <v>163</v>
      </c>
      <c r="C57" s="833" t="s">
        <v>164</v>
      </c>
      <c r="D57" s="836" t="s">
        <v>811</v>
      </c>
      <c r="E57" s="837"/>
      <c r="F57" s="838"/>
      <c r="G57" s="839">
        <v>40000</v>
      </c>
      <c r="H57" s="840"/>
    </row>
    <row r="58" spans="1:18" x14ac:dyDescent="0.2">
      <c r="B58" s="831"/>
      <c r="C58" s="834"/>
      <c r="D58" s="841" t="s">
        <v>166</v>
      </c>
      <c r="E58" s="842"/>
      <c r="F58" s="843"/>
      <c r="G58" s="844">
        <f>+O45</f>
        <v>2500</v>
      </c>
      <c r="H58" s="845"/>
      <c r="I58" s="39"/>
      <c r="J58" s="846"/>
      <c r="K58" s="846"/>
      <c r="L58" s="846"/>
      <c r="M58" s="847"/>
      <c r="N58" s="847"/>
      <c r="O58" s="847"/>
    </row>
    <row r="59" spans="1:18" ht="13.5" thickBot="1" x14ac:dyDescent="0.25">
      <c r="B59" s="832"/>
      <c r="C59" s="835"/>
      <c r="D59" s="848" t="s">
        <v>243</v>
      </c>
      <c r="E59" s="849"/>
      <c r="F59" s="850"/>
      <c r="G59" s="851">
        <f>IF(O18&gt;15000,15000,+O18)</f>
        <v>0</v>
      </c>
      <c r="H59" s="852"/>
      <c r="J59" s="47"/>
      <c r="K59" s="47"/>
      <c r="L59" s="47"/>
      <c r="M59" s="47"/>
      <c r="N59" s="47"/>
      <c r="O59" s="47"/>
    </row>
    <row r="60" spans="1:18" ht="13.5" thickBot="1" x14ac:dyDescent="0.25">
      <c r="B60" s="48"/>
      <c r="J60" s="47"/>
      <c r="K60" s="47"/>
      <c r="L60" s="47"/>
      <c r="M60" s="47"/>
      <c r="N60" s="47"/>
      <c r="O60" s="47"/>
    </row>
    <row r="61" spans="1:18" ht="13.5" thickBot="1" x14ac:dyDescent="0.25">
      <c r="B61" s="789" t="s">
        <v>168</v>
      </c>
      <c r="C61" s="790"/>
      <c r="D61" s="790"/>
      <c r="E61" s="790"/>
      <c r="F61" s="791"/>
      <c r="G61" s="825">
        <f>+G55-SUM(G57:H59)</f>
        <v>1468371</v>
      </c>
      <c r="H61" s="826"/>
      <c r="J61" s="827" t="s">
        <v>169</v>
      </c>
      <c r="K61" s="828"/>
      <c r="L61" s="828"/>
      <c r="M61" s="828"/>
      <c r="N61" s="828"/>
      <c r="O61" s="829"/>
    </row>
    <row r="62" spans="1:18" ht="13.5" thickBot="1" x14ac:dyDescent="0.25">
      <c r="B62" s="49"/>
      <c r="C62" s="50"/>
      <c r="D62" s="50"/>
      <c r="E62" s="50"/>
      <c r="F62" s="50"/>
      <c r="G62" s="45"/>
      <c r="H62" s="50"/>
      <c r="J62" s="129"/>
      <c r="K62" s="130"/>
      <c r="L62" s="130"/>
      <c r="M62" s="130"/>
      <c r="N62" s="130"/>
      <c r="O62" s="131"/>
    </row>
    <row r="63" spans="1:18" ht="13.5" thickBot="1" x14ac:dyDescent="0.25">
      <c r="B63" s="789" t="s">
        <v>170</v>
      </c>
      <c r="C63" s="790"/>
      <c r="D63" s="790"/>
      <c r="E63" s="790"/>
      <c r="F63" s="791"/>
      <c r="G63" s="805"/>
      <c r="H63" s="791"/>
      <c r="J63" s="129"/>
      <c r="K63" s="130"/>
      <c r="L63" s="130"/>
      <c r="M63" s="130"/>
      <c r="N63" s="130"/>
      <c r="O63" s="131"/>
    </row>
    <row r="64" spans="1:18" ht="12.75" customHeight="1" x14ac:dyDescent="0.2">
      <c r="B64" s="57" t="s">
        <v>171</v>
      </c>
      <c r="C64" s="806" t="s">
        <v>172</v>
      </c>
      <c r="D64" s="807"/>
      <c r="E64" s="807"/>
      <c r="F64" s="808"/>
      <c r="G64" s="809">
        <v>0</v>
      </c>
      <c r="H64" s="809"/>
      <c r="I64" s="58"/>
      <c r="J64" s="810" t="s">
        <v>173</v>
      </c>
      <c r="K64" s="811"/>
      <c r="L64" s="811"/>
      <c r="M64" s="811"/>
      <c r="N64" s="811"/>
      <c r="O64" s="812"/>
      <c r="Q64" s="59"/>
      <c r="R64" s="59"/>
    </row>
    <row r="65" spans="2:18" ht="13.5" thickBot="1" x14ac:dyDescent="0.25">
      <c r="D65" s="37"/>
      <c r="I65" s="58"/>
      <c r="J65" s="60" t="s">
        <v>1060</v>
      </c>
      <c r="K65" s="132"/>
      <c r="L65" s="132"/>
      <c r="M65" s="133"/>
      <c r="N65" s="133"/>
      <c r="O65" s="134"/>
      <c r="Q65" s="59"/>
      <c r="R65" s="59"/>
    </row>
    <row r="66" spans="2:18" ht="13.5" thickBot="1" x14ac:dyDescent="0.25">
      <c r="B66" s="789" t="s">
        <v>175</v>
      </c>
      <c r="C66" s="790"/>
      <c r="D66" s="790"/>
      <c r="E66" s="790"/>
      <c r="F66" s="791"/>
      <c r="G66" s="805">
        <f>+G61-G64</f>
        <v>1468371</v>
      </c>
      <c r="H66" s="791"/>
      <c r="I66" s="63"/>
      <c r="J66" s="64"/>
      <c r="K66" s="39"/>
      <c r="L66" s="39"/>
      <c r="M66" s="39"/>
      <c r="N66" s="39"/>
      <c r="O66" s="65"/>
      <c r="Q66" s="59"/>
      <c r="R66" s="59"/>
    </row>
    <row r="67" spans="2:18" ht="12.75" customHeight="1" x14ac:dyDescent="0.2">
      <c r="B67" s="48"/>
      <c r="C67" s="48"/>
      <c r="I67" s="63"/>
      <c r="J67" s="64"/>
      <c r="K67" s="39"/>
      <c r="L67" s="39"/>
      <c r="M67" s="39"/>
      <c r="N67" s="39"/>
      <c r="O67" s="65"/>
      <c r="Q67" s="59"/>
      <c r="R67" s="59"/>
    </row>
    <row r="68" spans="2:18" x14ac:dyDescent="0.2">
      <c r="B68" s="66" t="s">
        <v>176</v>
      </c>
      <c r="C68" s="48"/>
      <c r="I68" s="63"/>
      <c r="J68" s="67"/>
      <c r="K68" s="68"/>
      <c r="L68" s="68"/>
      <c r="M68" s="68"/>
      <c r="N68" s="68"/>
      <c r="O68" s="69"/>
      <c r="Q68" s="59"/>
      <c r="R68" s="59"/>
    </row>
    <row r="69" spans="2:18" ht="26.25" customHeight="1" thickBot="1" x14ac:dyDescent="0.25">
      <c r="B69" s="66"/>
      <c r="C69" s="48"/>
      <c r="G69" s="70" t="s">
        <v>177</v>
      </c>
      <c r="H69" s="70" t="s">
        <v>178</v>
      </c>
      <c r="I69" s="63"/>
      <c r="J69" s="810" t="s">
        <v>179</v>
      </c>
      <c r="K69" s="811"/>
      <c r="L69" s="71"/>
      <c r="M69" s="71"/>
      <c r="N69" s="71"/>
      <c r="O69" s="72"/>
      <c r="Q69" s="59"/>
      <c r="R69" s="59"/>
    </row>
    <row r="70" spans="2:18" ht="12.75" customHeight="1" x14ac:dyDescent="0.2">
      <c r="B70" s="802" t="s">
        <v>180</v>
      </c>
      <c r="C70" s="821" t="s">
        <v>181</v>
      </c>
      <c r="D70" s="823" t="s">
        <v>182</v>
      </c>
      <c r="E70" s="824"/>
      <c r="F70" s="824"/>
      <c r="G70" s="73">
        <f>+O44</f>
        <v>360000</v>
      </c>
      <c r="H70" s="74">
        <f t="shared" ref="H70:H78" si="7">+G70</f>
        <v>360000</v>
      </c>
      <c r="I70" s="63"/>
      <c r="J70" s="75"/>
      <c r="K70" s="58"/>
      <c r="L70" s="58"/>
      <c r="M70" s="135"/>
      <c r="N70" s="135"/>
      <c r="O70" s="76"/>
      <c r="Q70" s="59"/>
      <c r="R70" s="59"/>
    </row>
    <row r="71" spans="2:18" ht="12.75" customHeight="1" x14ac:dyDescent="0.2">
      <c r="B71" s="803"/>
      <c r="C71" s="822"/>
      <c r="D71" s="782" t="s">
        <v>184</v>
      </c>
      <c r="E71" s="783"/>
      <c r="F71" s="783"/>
      <c r="G71" s="77">
        <f>+O48</f>
        <v>0</v>
      </c>
      <c r="H71" s="78">
        <f t="shared" si="7"/>
        <v>0</v>
      </c>
      <c r="I71" s="63"/>
      <c r="J71" s="79"/>
      <c r="K71" s="68"/>
      <c r="L71" s="68"/>
      <c r="M71" s="68"/>
      <c r="N71" s="68"/>
      <c r="O71" s="69"/>
      <c r="Q71" s="59"/>
      <c r="R71" s="59"/>
    </row>
    <row r="72" spans="2:18" ht="12.75" customHeight="1" x14ac:dyDescent="0.2">
      <c r="B72" s="803"/>
      <c r="C72" s="822"/>
      <c r="D72" s="819" t="s">
        <v>185</v>
      </c>
      <c r="E72" s="820"/>
      <c r="F72" s="820"/>
      <c r="G72" s="80">
        <f>O41</f>
        <v>720</v>
      </c>
      <c r="H72" s="78">
        <f t="shared" si="7"/>
        <v>720</v>
      </c>
      <c r="I72" s="63"/>
      <c r="J72" s="67"/>
      <c r="K72" s="68"/>
      <c r="L72" s="68"/>
      <c r="M72" s="68"/>
      <c r="N72" s="68"/>
      <c r="O72" s="69"/>
    </row>
    <row r="73" spans="2:18" x14ac:dyDescent="0.2">
      <c r="B73" s="803"/>
      <c r="C73" s="822"/>
      <c r="D73" s="782" t="s">
        <v>186</v>
      </c>
      <c r="E73" s="783"/>
      <c r="F73" s="783"/>
      <c r="G73" s="81">
        <v>0</v>
      </c>
      <c r="H73" s="78">
        <f t="shared" si="7"/>
        <v>0</v>
      </c>
      <c r="I73" s="63"/>
      <c r="J73" s="82" t="s">
        <v>187</v>
      </c>
      <c r="K73" s="71"/>
      <c r="L73" s="71"/>
      <c r="M73" s="71"/>
      <c r="N73" s="71"/>
      <c r="O73" s="72"/>
    </row>
    <row r="74" spans="2:18" ht="12.75" customHeight="1" x14ac:dyDescent="0.2">
      <c r="B74" s="803"/>
      <c r="C74" s="822"/>
      <c r="D74" s="784" t="s">
        <v>188</v>
      </c>
      <c r="E74" s="783"/>
      <c r="F74" s="783"/>
      <c r="G74" s="80">
        <v>0</v>
      </c>
      <c r="H74" s="78">
        <f t="shared" si="7"/>
        <v>0</v>
      </c>
      <c r="I74" s="63"/>
      <c r="J74" s="75" t="s">
        <v>189</v>
      </c>
      <c r="K74" s="50"/>
      <c r="L74" s="50"/>
      <c r="M74" s="50"/>
      <c r="N74" s="50"/>
      <c r="O74" s="83">
        <f>O43</f>
        <v>7800</v>
      </c>
    </row>
    <row r="75" spans="2:18" ht="14.25" customHeight="1" x14ac:dyDescent="0.2">
      <c r="B75" s="803"/>
      <c r="C75" s="822"/>
      <c r="D75" s="782" t="s">
        <v>190</v>
      </c>
      <c r="E75" s="783"/>
      <c r="F75" s="783"/>
      <c r="G75" s="84">
        <v>0</v>
      </c>
      <c r="H75" s="78">
        <f t="shared" si="7"/>
        <v>0</v>
      </c>
      <c r="I75" s="63"/>
      <c r="J75" s="64"/>
      <c r="K75" s="39"/>
      <c r="L75" s="39"/>
      <c r="M75" s="39"/>
      <c r="N75" s="39"/>
      <c r="O75" s="65"/>
    </row>
    <row r="76" spans="2:18" x14ac:dyDescent="0.2">
      <c r="B76" s="803"/>
      <c r="C76" s="822"/>
      <c r="D76" s="782" t="s">
        <v>191</v>
      </c>
      <c r="E76" s="783"/>
      <c r="F76" s="783"/>
      <c r="G76" s="81">
        <v>0</v>
      </c>
      <c r="H76" s="78">
        <f t="shared" si="7"/>
        <v>0</v>
      </c>
      <c r="I76" s="58"/>
      <c r="J76" s="150"/>
      <c r="K76" s="50"/>
      <c r="L76" s="50"/>
      <c r="M76" s="50"/>
      <c r="N76" s="50"/>
      <c r="O76" s="83"/>
    </row>
    <row r="77" spans="2:18" x14ac:dyDescent="0.2">
      <c r="B77" s="803"/>
      <c r="C77" s="88" t="s">
        <v>192</v>
      </c>
      <c r="D77" s="813" t="s">
        <v>193</v>
      </c>
      <c r="E77" s="814"/>
      <c r="F77" s="814"/>
      <c r="G77" s="80">
        <v>0</v>
      </c>
      <c r="H77" s="78">
        <f t="shared" si="7"/>
        <v>0</v>
      </c>
      <c r="I77" s="58"/>
      <c r="J77" s="79"/>
      <c r="K77" s="39"/>
      <c r="L77" s="39"/>
      <c r="M77" s="39"/>
      <c r="N77" s="39"/>
      <c r="O77" s="65"/>
    </row>
    <row r="78" spans="2:18" ht="13.5" customHeight="1" thickBot="1" x14ac:dyDescent="0.25">
      <c r="B78" s="803"/>
      <c r="C78" s="88" t="s">
        <v>194</v>
      </c>
      <c r="D78" s="815" t="s">
        <v>195</v>
      </c>
      <c r="E78" s="815"/>
      <c r="F78" s="815"/>
      <c r="G78" s="89">
        <v>0</v>
      </c>
      <c r="H78" s="90">
        <f t="shared" si="7"/>
        <v>0</v>
      </c>
      <c r="I78" s="63"/>
      <c r="J78" s="67"/>
      <c r="K78" s="68"/>
      <c r="L78" s="68"/>
      <c r="M78" s="91"/>
      <c r="N78" s="91"/>
      <c r="O78" s="92"/>
    </row>
    <row r="79" spans="2:18" ht="13.5" thickBot="1" x14ac:dyDescent="0.25">
      <c r="B79" s="803"/>
      <c r="C79" s="93"/>
      <c r="D79" s="94"/>
      <c r="E79" s="816" t="s">
        <v>117</v>
      </c>
      <c r="F79" s="817"/>
      <c r="G79" s="95">
        <f>SUM(G70:G78)</f>
        <v>360720</v>
      </c>
      <c r="H79" s="96">
        <f>IF(SUM(G70:G76)&lt;150000,SUM(G70:G76),150000)+IF(+G77&lt;20000,+G77,20000)</f>
        <v>150000</v>
      </c>
      <c r="I79" s="63"/>
      <c r="J79" s="140"/>
      <c r="K79" s="141"/>
      <c r="L79" s="141"/>
      <c r="M79" s="142"/>
      <c r="N79" s="142"/>
      <c r="O79" s="143"/>
    </row>
    <row r="80" spans="2:18" ht="12.75" customHeight="1" x14ac:dyDescent="0.2">
      <c r="B80" s="803"/>
      <c r="C80" s="100" t="s">
        <v>196</v>
      </c>
      <c r="D80" s="782" t="s">
        <v>187</v>
      </c>
      <c r="E80" s="783"/>
      <c r="F80" s="818"/>
      <c r="G80" s="73">
        <f>+O43</f>
        <v>7800</v>
      </c>
      <c r="H80" s="101">
        <f>+IF(+G80&lt;25000,+G80,25000)</f>
        <v>7800</v>
      </c>
      <c r="I80" s="87"/>
    </row>
    <row r="81" spans="2:13" x14ac:dyDescent="0.2">
      <c r="B81" s="803"/>
      <c r="C81" s="100" t="s">
        <v>197</v>
      </c>
      <c r="D81" s="784" t="s">
        <v>198</v>
      </c>
      <c r="E81" s="785"/>
      <c r="F81" s="786"/>
      <c r="G81" s="102"/>
      <c r="H81" s="103">
        <f>+IF(+G81&lt;40000,+G81,40000)</f>
        <v>0</v>
      </c>
      <c r="I81" s="63"/>
    </row>
    <row r="82" spans="2:13" ht="15" x14ac:dyDescent="0.25">
      <c r="B82" s="803"/>
      <c r="C82" s="100" t="s">
        <v>199</v>
      </c>
      <c r="D82" s="784" t="s">
        <v>200</v>
      </c>
      <c r="E82" s="785"/>
      <c r="F82" s="786"/>
      <c r="G82" s="81"/>
      <c r="H82" s="104">
        <v>0</v>
      </c>
      <c r="I82" s="63"/>
      <c r="K82" s="264" t="s">
        <v>1061</v>
      </c>
      <c r="L82" s="264"/>
      <c r="M82" s="264"/>
    </row>
    <row r="83" spans="2:13" x14ac:dyDescent="0.2">
      <c r="B83" s="803"/>
      <c r="C83" s="100" t="s">
        <v>201</v>
      </c>
      <c r="D83" s="784" t="s">
        <v>202</v>
      </c>
      <c r="E83" s="785"/>
      <c r="F83" s="786"/>
      <c r="G83" s="81"/>
      <c r="H83" s="104">
        <v>0</v>
      </c>
      <c r="I83" s="63"/>
    </row>
    <row r="84" spans="2:13" ht="13.5" thickBot="1" x14ac:dyDescent="0.25">
      <c r="B84" s="804"/>
      <c r="C84" s="100" t="s">
        <v>203</v>
      </c>
      <c r="D84" s="784" t="s">
        <v>204</v>
      </c>
      <c r="E84" s="785"/>
      <c r="F84" s="786"/>
      <c r="G84" s="102"/>
      <c r="H84" s="103">
        <f>+IF(+G84&lt;100000,+G84,10000)</f>
        <v>0</v>
      </c>
      <c r="I84" s="63"/>
      <c r="J84" s="106"/>
    </row>
    <row r="85" spans="2:13" ht="13.5" thickBot="1" x14ac:dyDescent="0.25">
      <c r="B85" s="787" t="s">
        <v>205</v>
      </c>
      <c r="C85" s="788"/>
      <c r="D85" s="788"/>
      <c r="E85" s="788"/>
      <c r="F85" s="788"/>
      <c r="G85" s="107">
        <f>SUM(G80:G84)</f>
        <v>7800</v>
      </c>
      <c r="H85" s="108">
        <f>SUM(H79:H84)</f>
        <v>157800</v>
      </c>
    </row>
    <row r="86" spans="2:13" ht="13.5" thickBot="1" x14ac:dyDescent="0.25"/>
    <row r="87" spans="2:13" ht="13.5" thickBot="1" x14ac:dyDescent="0.25">
      <c r="B87" s="789" t="s">
        <v>206</v>
      </c>
      <c r="C87" s="790"/>
      <c r="D87" s="790"/>
      <c r="E87" s="790"/>
      <c r="F87" s="791"/>
      <c r="G87" s="792">
        <f>+G66-H85</f>
        <v>1310571</v>
      </c>
      <c r="H87" s="791"/>
      <c r="J87" s="109">
        <f>C38+D38+E38+F38</f>
        <v>483840</v>
      </c>
      <c r="K87" s="16" t="s">
        <v>235</v>
      </c>
    </row>
    <row r="88" spans="2:13" x14ac:dyDescent="0.2">
      <c r="B88" s="110"/>
      <c r="F88" s="105"/>
      <c r="J88" s="109">
        <f>G38+H38+I38</f>
        <v>369471</v>
      </c>
      <c r="K88" s="16" t="s">
        <v>236</v>
      </c>
    </row>
    <row r="89" spans="2:13" x14ac:dyDescent="0.2">
      <c r="C89" s="793" t="s">
        <v>207</v>
      </c>
      <c r="D89" s="794"/>
      <c r="E89" s="111" t="s">
        <v>208</v>
      </c>
      <c r="F89" s="111" t="s">
        <v>209</v>
      </c>
      <c r="G89" s="111" t="s">
        <v>210</v>
      </c>
      <c r="H89" s="111" t="s">
        <v>211</v>
      </c>
      <c r="J89" s="206">
        <f>J38+K38+L38</f>
        <v>393344</v>
      </c>
      <c r="K89" s="47" t="s">
        <v>237</v>
      </c>
    </row>
    <row r="90" spans="2:13" x14ac:dyDescent="0.2">
      <c r="C90" s="795" t="str">
        <f>IF(I6="M","0          - 250000","0          -  250000")</f>
        <v>0          - 250000</v>
      </c>
      <c r="D90" s="796"/>
      <c r="E90" s="112">
        <v>0</v>
      </c>
      <c r="F90" s="113">
        <f>IF(I6="M",(IF(G87&lt;250000,G87,250000)),(IF(G87&lt;250000,G87,250000)))</f>
        <v>250000</v>
      </c>
      <c r="G90" s="113">
        <f>G87-F90</f>
        <v>1060571</v>
      </c>
      <c r="H90" s="113">
        <f>E90*F90</f>
        <v>0</v>
      </c>
      <c r="J90" s="207">
        <f>L38+M38</f>
        <v>264216</v>
      </c>
      <c r="K90" s="1" t="s">
        <v>238</v>
      </c>
    </row>
    <row r="91" spans="2:13" x14ac:dyDescent="0.2">
      <c r="C91" s="795" t="str">
        <f>IF(I6="M","250001 - 500000","250001-500000")</f>
        <v>250001 - 500000</v>
      </c>
      <c r="D91" s="796"/>
      <c r="E91" s="112">
        <v>0.05</v>
      </c>
      <c r="F91" s="113">
        <f>IF(I6="M",(IF(G90&lt;250000,G90,250000)),(IF(G90&lt;250000,G90,250000)))</f>
        <v>250000</v>
      </c>
      <c r="G91" s="113">
        <f>G90-F91</f>
        <v>810571</v>
      </c>
      <c r="H91" s="114">
        <f>ROUND(E91*F91,0.1)</f>
        <v>12500</v>
      </c>
      <c r="J91" s="115">
        <f>SUM(J87:J90)</f>
        <v>1510871</v>
      </c>
    </row>
    <row r="92" spans="2:13" x14ac:dyDescent="0.2">
      <c r="C92" s="797" t="s">
        <v>212</v>
      </c>
      <c r="D92" s="798"/>
      <c r="E92" s="112">
        <v>0.2</v>
      </c>
      <c r="F92" s="113">
        <f>IF(G91&lt;500000,G91,500000)</f>
        <v>500000</v>
      </c>
      <c r="G92" s="113">
        <f>G91-F92</f>
        <v>310571</v>
      </c>
      <c r="H92" s="114">
        <f>ROUND(E92*F92,0.1)</f>
        <v>100000</v>
      </c>
      <c r="J92" s="16">
        <f>+G87</f>
        <v>1310571</v>
      </c>
    </row>
    <row r="93" spans="2:13" x14ac:dyDescent="0.2">
      <c r="C93" s="795" t="s">
        <v>213</v>
      </c>
      <c r="D93" s="796"/>
      <c r="E93" s="112">
        <v>0.3</v>
      </c>
      <c r="F93" s="113">
        <f>G92</f>
        <v>310571</v>
      </c>
      <c r="G93" s="113">
        <f>G92-F93</f>
        <v>0</v>
      </c>
      <c r="H93" s="114">
        <f>ROUND(E93*F93,0.1)</f>
        <v>93171</v>
      </c>
      <c r="J93" s="16">
        <f>+J91-J92</f>
        <v>200300</v>
      </c>
    </row>
    <row r="94" spans="2:13" ht="12.75" customHeight="1" thickBot="1" x14ac:dyDescent="0.25">
      <c r="B94" s="116"/>
      <c r="C94" s="117"/>
      <c r="D94" s="47"/>
      <c r="E94" s="47"/>
      <c r="F94" s="47"/>
    </row>
    <row r="95" spans="2:13" ht="13.5" thickBot="1" x14ac:dyDescent="0.25">
      <c r="B95" s="799" t="s">
        <v>239</v>
      </c>
      <c r="C95" s="800"/>
      <c r="D95" s="800"/>
      <c r="E95" s="800"/>
      <c r="F95" s="801"/>
      <c r="G95" s="771">
        <f>H90+H91+H92+H93</f>
        <v>205671</v>
      </c>
      <c r="H95" s="772"/>
    </row>
    <row r="96" spans="2:13" ht="13.5" thickBot="1" x14ac:dyDescent="0.25">
      <c r="B96" s="154" t="s">
        <v>215</v>
      </c>
      <c r="C96" s="155"/>
      <c r="D96" s="155"/>
      <c r="E96" s="155"/>
      <c r="F96" s="155"/>
      <c r="G96" s="1072">
        <f>IF((G66&lt;500000),5000,0)</f>
        <v>0</v>
      </c>
      <c r="H96" s="1073">
        <f>IF(H94&lt;200000,0,IF(H94&lt;220000,((H94-200000)*10%),IF(H94&lt;=500000,2000,IF(H94&gt;=500000,0))))</f>
        <v>0</v>
      </c>
      <c r="J96" s="1"/>
      <c r="K96" s="121"/>
      <c r="L96" s="121"/>
    </row>
    <row r="97" spans="2:9" ht="13.5" thickBot="1" x14ac:dyDescent="0.25">
      <c r="B97" s="122" t="s">
        <v>216</v>
      </c>
      <c r="C97" s="123"/>
      <c r="D97" s="123"/>
      <c r="E97" s="123"/>
      <c r="F97" s="123"/>
      <c r="G97" s="771">
        <f>IF((G95-G96)&lt;0,0,(G95-G96))</f>
        <v>205671</v>
      </c>
      <c r="H97" s="772"/>
      <c r="I97" s="37"/>
    </row>
    <row r="98" spans="2:9" ht="13.5" thickBot="1" x14ac:dyDescent="0.25">
      <c r="B98" s="773" t="s">
        <v>240</v>
      </c>
      <c r="C98" s="774"/>
      <c r="D98" s="774"/>
      <c r="E98" s="774"/>
      <c r="F98" s="775"/>
      <c r="G98" s="776">
        <f>ROUND((IF(G97&gt;0,(G97*4%),0)),0)</f>
        <v>8227</v>
      </c>
      <c r="H98" s="777"/>
      <c r="I98" s="37"/>
    </row>
    <row r="99" spans="2:9" ht="13.5" thickBot="1" x14ac:dyDescent="0.25">
      <c r="B99" s="778" t="s">
        <v>218</v>
      </c>
      <c r="C99" s="779"/>
      <c r="D99" s="779"/>
      <c r="E99" s="779"/>
      <c r="F99" s="779"/>
      <c r="G99" s="780">
        <f>G97+G98</f>
        <v>213898</v>
      </c>
      <c r="H99" s="781"/>
      <c r="I99" s="121"/>
    </row>
    <row r="100" spans="2:9" ht="13.5" thickBot="1" x14ac:dyDescent="0.25">
      <c r="B100" s="765" t="s">
        <v>219</v>
      </c>
      <c r="C100" s="766"/>
      <c r="D100" s="766"/>
      <c r="E100" s="766"/>
      <c r="F100" s="766"/>
      <c r="G100" s="767">
        <f>O39</f>
        <v>213905</v>
      </c>
      <c r="H100" s="768"/>
      <c r="I100" s="121"/>
    </row>
    <row r="101" spans="2:9" ht="13.5" thickBot="1" x14ac:dyDescent="0.25">
      <c r="B101" s="765" t="str">
        <f>IF(G101&gt;0,"TAX PAYABLE","TAX REFUND")</f>
        <v>TAX REFUND</v>
      </c>
      <c r="C101" s="766"/>
      <c r="D101" s="766"/>
      <c r="E101" s="766"/>
      <c r="F101" s="766"/>
      <c r="G101" s="767">
        <f>+G99-G100</f>
        <v>-7</v>
      </c>
      <c r="H101" s="768"/>
      <c r="I101" s="37"/>
    </row>
    <row r="102" spans="2:9" x14ac:dyDescent="0.2">
      <c r="C102" s="124"/>
      <c r="D102" s="45"/>
      <c r="E102" s="118"/>
      <c r="F102" s="118"/>
      <c r="G102" s="118"/>
      <c r="H102" s="118"/>
      <c r="I102" s="125"/>
    </row>
    <row r="103" spans="2:9" x14ac:dyDescent="0.2">
      <c r="C103" s="47"/>
      <c r="D103" s="50"/>
      <c r="E103" s="117"/>
      <c r="F103" s="47"/>
      <c r="G103" s="47"/>
      <c r="H103" s="47"/>
      <c r="I103" s="125"/>
    </row>
    <row r="104" spans="2:9" x14ac:dyDescent="0.2">
      <c r="C104" s="39"/>
      <c r="D104" s="126"/>
      <c r="E104" s="126"/>
      <c r="F104" s="126"/>
      <c r="G104" s="39"/>
      <c r="H104" s="39"/>
      <c r="I104" s="37"/>
    </row>
    <row r="105" spans="2:9" x14ac:dyDescent="0.2">
      <c r="C105" s="39"/>
      <c r="D105" s="126"/>
      <c r="E105" s="126"/>
      <c r="F105" s="39"/>
      <c r="G105" s="39"/>
      <c r="H105" s="39"/>
      <c r="I105" s="37"/>
    </row>
    <row r="106" spans="2:9" x14ac:dyDescent="0.2">
      <c r="C106" s="39"/>
      <c r="D106" s="126"/>
      <c r="E106" s="126"/>
      <c r="F106" s="39"/>
      <c r="G106" s="39"/>
      <c r="H106" s="39"/>
      <c r="I106" s="37"/>
    </row>
    <row r="107" spans="2:9" x14ac:dyDescent="0.2">
      <c r="C107" s="39"/>
      <c r="D107" s="39"/>
      <c r="E107" s="39"/>
      <c r="F107" s="39"/>
      <c r="G107" s="39"/>
      <c r="H107" s="39"/>
      <c r="I107" s="37"/>
    </row>
    <row r="108" spans="2:9" x14ac:dyDescent="0.2">
      <c r="C108" s="39"/>
      <c r="D108" s="39"/>
      <c r="E108" s="39"/>
      <c r="F108" s="39"/>
      <c r="G108" s="39"/>
      <c r="H108" s="39"/>
    </row>
    <row r="109" spans="2:9" x14ac:dyDescent="0.2">
      <c r="C109" s="39"/>
      <c r="D109" s="39"/>
      <c r="E109" s="39"/>
      <c r="F109" s="39"/>
      <c r="G109" s="39"/>
      <c r="H109"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7:B37"/>
    <mergeCell ref="A5:C5"/>
    <mergeCell ref="D5:F5"/>
    <mergeCell ref="G5:H5"/>
    <mergeCell ref="I5:O5"/>
    <mergeCell ref="A6:C6"/>
    <mergeCell ref="D6:F6"/>
    <mergeCell ref="G6:H6"/>
    <mergeCell ref="J6:O6"/>
    <mergeCell ref="L7:O7"/>
    <mergeCell ref="A8:B8"/>
    <mergeCell ref="A22:A34"/>
    <mergeCell ref="A35:B35"/>
    <mergeCell ref="A36:B36"/>
    <mergeCell ref="A39:A50"/>
    <mergeCell ref="A51:B51"/>
    <mergeCell ref="A52:B52"/>
    <mergeCell ref="B55:F55"/>
    <mergeCell ref="G55:H55"/>
    <mergeCell ref="B61:F61"/>
    <mergeCell ref="G61:H61"/>
    <mergeCell ref="J61:O61"/>
    <mergeCell ref="B57:B59"/>
    <mergeCell ref="C57:C59"/>
    <mergeCell ref="D57:F57"/>
    <mergeCell ref="G57:H57"/>
    <mergeCell ref="D58:F58"/>
    <mergeCell ref="G58:H58"/>
    <mergeCell ref="J58:L58"/>
    <mergeCell ref="M58:O58"/>
    <mergeCell ref="D59:F59"/>
    <mergeCell ref="G59:H59"/>
    <mergeCell ref="J64:O64"/>
    <mergeCell ref="D82:F82"/>
    <mergeCell ref="J69:K69"/>
    <mergeCell ref="B66:F66"/>
    <mergeCell ref="G66:H66"/>
    <mergeCell ref="D77:F77"/>
    <mergeCell ref="D78:F78"/>
    <mergeCell ref="E79:F79"/>
    <mergeCell ref="D80:F80"/>
    <mergeCell ref="D81:F81"/>
    <mergeCell ref="D72:F72"/>
    <mergeCell ref="D73:F73"/>
    <mergeCell ref="C70:C76"/>
    <mergeCell ref="D70:F70"/>
    <mergeCell ref="D71:F71"/>
    <mergeCell ref="D75:F75"/>
    <mergeCell ref="G63:H63"/>
    <mergeCell ref="C64:F64"/>
    <mergeCell ref="G64:H64"/>
    <mergeCell ref="B63:F63"/>
    <mergeCell ref="D74:F74"/>
    <mergeCell ref="D76:F76"/>
    <mergeCell ref="G95:H95"/>
    <mergeCell ref="D83:F83"/>
    <mergeCell ref="D84:F84"/>
    <mergeCell ref="B85:F85"/>
    <mergeCell ref="B87:F87"/>
    <mergeCell ref="G87:H87"/>
    <mergeCell ref="C89:D89"/>
    <mergeCell ref="C90:D90"/>
    <mergeCell ref="C91:D91"/>
    <mergeCell ref="C92:D92"/>
    <mergeCell ref="C93:D93"/>
    <mergeCell ref="B95:F95"/>
    <mergeCell ref="B70:B84"/>
    <mergeCell ref="B101:F101"/>
    <mergeCell ref="G101:H101"/>
    <mergeCell ref="G96:H96"/>
    <mergeCell ref="G97:H97"/>
    <mergeCell ref="B98:F98"/>
    <mergeCell ref="G98:H98"/>
    <mergeCell ref="B99:F99"/>
    <mergeCell ref="G99:H99"/>
    <mergeCell ref="B100:F100"/>
    <mergeCell ref="G100:H100"/>
  </mergeCells>
  <conditionalFormatting sqref="B92:F92 B101:F101 B95:F99">
    <cfRule type="cellIs" dxfId="379" priority="3" stopIfTrue="1" operator="equal">
      <formula>"TAX PAYABLE"</formula>
    </cfRule>
    <cfRule type="cellIs" dxfId="378" priority="4" stopIfTrue="1" operator="equal">
      <formula>"TAX REFUND"</formula>
    </cfRule>
  </conditionalFormatting>
  <conditionalFormatting sqref="G101:H101">
    <cfRule type="cellIs" dxfId="377" priority="1" stopIfTrue="1" operator="greaterThan">
      <formula>0</formula>
    </cfRule>
    <cfRule type="cellIs" dxfId="376"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8"/>
  <sheetViews>
    <sheetView topLeftCell="A2" workbookViewId="0">
      <selection activeCell="H38" sqref="H38"/>
    </sheetView>
  </sheetViews>
  <sheetFormatPr defaultRowHeight="12.75" x14ac:dyDescent="0.2"/>
  <cols>
    <col min="1" max="1" width="5" style="16" customWidth="1"/>
    <col min="2" max="2" width="18.85546875" style="37" customWidth="1"/>
    <col min="3" max="3" width="10.7109375" style="16" bestFit="1" customWidth="1"/>
    <col min="4" max="4" width="6.7109375" style="16" bestFit="1" customWidth="1"/>
    <col min="5" max="5" width="8.5703125" style="16" bestFit="1" customWidth="1"/>
    <col min="6" max="6" width="9.28515625" style="16" bestFit="1" customWidth="1"/>
    <col min="7" max="7" width="10.42578125" style="16" bestFit="1" customWidth="1"/>
    <col min="8" max="8" width="10.28515625" style="16" bestFit="1" customWidth="1"/>
    <col min="9" max="9" width="7.140625" style="16" bestFit="1" customWidth="1"/>
    <col min="10" max="10" width="7.7109375" style="16" customWidth="1"/>
    <col min="11" max="12" width="7" style="16" bestFit="1" customWidth="1"/>
    <col min="13" max="13" width="6.85546875" style="16" bestFit="1" customWidth="1"/>
    <col min="14" max="14" width="7" style="16" bestFit="1" customWidth="1"/>
    <col min="15" max="15" width="8" style="16" bestFit="1"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8.85546875" style="16" customWidth="1"/>
    <col min="259" max="259" width="10.7109375" style="16" bestFit="1" customWidth="1"/>
    <col min="260" max="260" width="6.7109375" style="16" bestFit="1" customWidth="1"/>
    <col min="261" max="261" width="8.5703125" style="16" bestFit="1" customWidth="1"/>
    <col min="262" max="262" width="9.28515625" style="16" bestFit="1" customWidth="1"/>
    <col min="263" max="263" width="10.42578125" style="16" bestFit="1" customWidth="1"/>
    <col min="264" max="264" width="10.28515625" style="16" bestFit="1" customWidth="1"/>
    <col min="265" max="265" width="7.140625" style="16" bestFit="1" customWidth="1"/>
    <col min="266" max="266" width="7.7109375" style="16" customWidth="1"/>
    <col min="267" max="268" width="7" style="16" bestFit="1" customWidth="1"/>
    <col min="269" max="269" width="6.85546875" style="16" bestFit="1" customWidth="1"/>
    <col min="270" max="270" width="7" style="16" bestFit="1" customWidth="1"/>
    <col min="271" max="271" width="8" style="16" bestFit="1"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8.85546875" style="16" customWidth="1"/>
    <col min="515" max="515" width="10.7109375" style="16" bestFit="1" customWidth="1"/>
    <col min="516" max="516" width="6.7109375" style="16" bestFit="1" customWidth="1"/>
    <col min="517" max="517" width="8.5703125" style="16" bestFit="1" customWidth="1"/>
    <col min="518" max="518" width="9.28515625" style="16" bestFit="1" customWidth="1"/>
    <col min="519" max="519" width="10.42578125" style="16" bestFit="1" customWidth="1"/>
    <col min="520" max="520" width="10.28515625" style="16" bestFit="1" customWidth="1"/>
    <col min="521" max="521" width="7.140625" style="16" bestFit="1" customWidth="1"/>
    <col min="522" max="522" width="7.7109375" style="16" customWidth="1"/>
    <col min="523" max="524" width="7" style="16" bestFit="1" customWidth="1"/>
    <col min="525" max="525" width="6.85546875" style="16" bestFit="1" customWidth="1"/>
    <col min="526" max="526" width="7" style="16" bestFit="1" customWidth="1"/>
    <col min="527" max="527" width="8" style="16" bestFit="1"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8.85546875" style="16" customWidth="1"/>
    <col min="771" max="771" width="10.7109375" style="16" bestFit="1" customWidth="1"/>
    <col min="772" max="772" width="6.7109375" style="16" bestFit="1" customWidth="1"/>
    <col min="773" max="773" width="8.5703125" style="16" bestFit="1" customWidth="1"/>
    <col min="774" max="774" width="9.28515625" style="16" bestFit="1" customWidth="1"/>
    <col min="775" max="775" width="10.42578125" style="16" bestFit="1" customWidth="1"/>
    <col min="776" max="776" width="10.28515625" style="16" bestFit="1" customWidth="1"/>
    <col min="777" max="777" width="7.140625" style="16" bestFit="1" customWidth="1"/>
    <col min="778" max="778" width="7.7109375" style="16" customWidth="1"/>
    <col min="779" max="780" width="7" style="16" bestFit="1" customWidth="1"/>
    <col min="781" max="781" width="6.85546875" style="16" bestFit="1" customWidth="1"/>
    <col min="782" max="782" width="7" style="16" bestFit="1" customWidth="1"/>
    <col min="783" max="783" width="8" style="16" bestFit="1"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8.85546875" style="16" customWidth="1"/>
    <col min="1027" max="1027" width="10.7109375" style="16" bestFit="1" customWidth="1"/>
    <col min="1028" max="1028" width="6.7109375" style="16" bestFit="1" customWidth="1"/>
    <col min="1029" max="1029" width="8.5703125" style="16" bestFit="1" customWidth="1"/>
    <col min="1030" max="1030" width="9.28515625" style="16" bestFit="1" customWidth="1"/>
    <col min="1031" max="1031" width="10.42578125" style="16" bestFit="1" customWidth="1"/>
    <col min="1032" max="1032" width="10.28515625" style="16" bestFit="1" customWidth="1"/>
    <col min="1033" max="1033" width="7.140625" style="16" bestFit="1" customWidth="1"/>
    <col min="1034" max="1034" width="7.7109375" style="16" customWidth="1"/>
    <col min="1035" max="1036" width="7" style="16" bestFit="1" customWidth="1"/>
    <col min="1037" max="1037" width="6.85546875" style="16" bestFit="1" customWidth="1"/>
    <col min="1038" max="1038" width="7" style="16" bestFit="1" customWidth="1"/>
    <col min="1039" max="1039" width="8" style="16" bestFit="1"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8.85546875" style="16" customWidth="1"/>
    <col min="1283" max="1283" width="10.7109375" style="16" bestFit="1" customWidth="1"/>
    <col min="1284" max="1284" width="6.7109375" style="16" bestFit="1" customWidth="1"/>
    <col min="1285" max="1285" width="8.5703125" style="16" bestFit="1" customWidth="1"/>
    <col min="1286" max="1286" width="9.28515625" style="16" bestFit="1" customWidth="1"/>
    <col min="1287" max="1287" width="10.42578125" style="16" bestFit="1" customWidth="1"/>
    <col min="1288" max="1288" width="10.28515625" style="16" bestFit="1" customWidth="1"/>
    <col min="1289" max="1289" width="7.140625" style="16" bestFit="1" customWidth="1"/>
    <col min="1290" max="1290" width="7.7109375" style="16" customWidth="1"/>
    <col min="1291" max="1292" width="7" style="16" bestFit="1" customWidth="1"/>
    <col min="1293" max="1293" width="6.85546875" style="16" bestFit="1" customWidth="1"/>
    <col min="1294" max="1294" width="7" style="16" bestFit="1" customWidth="1"/>
    <col min="1295" max="1295" width="8" style="16" bestFit="1"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8.85546875" style="16" customWidth="1"/>
    <col min="1539" max="1539" width="10.7109375" style="16" bestFit="1" customWidth="1"/>
    <col min="1540" max="1540" width="6.7109375" style="16" bestFit="1" customWidth="1"/>
    <col min="1541" max="1541" width="8.5703125" style="16" bestFit="1" customWidth="1"/>
    <col min="1542" max="1542" width="9.28515625" style="16" bestFit="1" customWidth="1"/>
    <col min="1543" max="1543" width="10.42578125" style="16" bestFit="1" customWidth="1"/>
    <col min="1544" max="1544" width="10.28515625" style="16" bestFit="1" customWidth="1"/>
    <col min="1545" max="1545" width="7.140625" style="16" bestFit="1" customWidth="1"/>
    <col min="1546" max="1546" width="7.7109375" style="16" customWidth="1"/>
    <col min="1547" max="1548" width="7" style="16" bestFit="1" customWidth="1"/>
    <col min="1549" max="1549" width="6.85546875" style="16" bestFit="1" customWidth="1"/>
    <col min="1550" max="1550" width="7" style="16" bestFit="1" customWidth="1"/>
    <col min="1551" max="1551" width="8" style="16" bestFit="1"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8.85546875" style="16" customWidth="1"/>
    <col min="1795" max="1795" width="10.7109375" style="16" bestFit="1" customWidth="1"/>
    <col min="1796" max="1796" width="6.7109375" style="16" bestFit="1" customWidth="1"/>
    <col min="1797" max="1797" width="8.5703125" style="16" bestFit="1" customWidth="1"/>
    <col min="1798" max="1798" width="9.28515625" style="16" bestFit="1" customWidth="1"/>
    <col min="1799" max="1799" width="10.42578125" style="16" bestFit="1" customWidth="1"/>
    <col min="1800" max="1800" width="10.28515625" style="16" bestFit="1" customWidth="1"/>
    <col min="1801" max="1801" width="7.140625" style="16" bestFit="1" customWidth="1"/>
    <col min="1802" max="1802" width="7.7109375" style="16" customWidth="1"/>
    <col min="1803" max="1804" width="7" style="16" bestFit="1" customWidth="1"/>
    <col min="1805" max="1805" width="6.85546875" style="16" bestFit="1" customWidth="1"/>
    <col min="1806" max="1806" width="7" style="16" bestFit="1" customWidth="1"/>
    <col min="1807" max="1807" width="8" style="16" bestFit="1"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8.85546875" style="16" customWidth="1"/>
    <col min="2051" max="2051" width="10.7109375" style="16" bestFit="1" customWidth="1"/>
    <col min="2052" max="2052" width="6.7109375" style="16" bestFit="1" customWidth="1"/>
    <col min="2053" max="2053" width="8.5703125" style="16" bestFit="1" customWidth="1"/>
    <col min="2054" max="2054" width="9.28515625" style="16" bestFit="1" customWidth="1"/>
    <col min="2055" max="2055" width="10.42578125" style="16" bestFit="1" customWidth="1"/>
    <col min="2056" max="2056" width="10.28515625" style="16" bestFit="1" customWidth="1"/>
    <col min="2057" max="2057" width="7.140625" style="16" bestFit="1" customWidth="1"/>
    <col min="2058" max="2058" width="7.7109375" style="16" customWidth="1"/>
    <col min="2059" max="2060" width="7" style="16" bestFit="1" customWidth="1"/>
    <col min="2061" max="2061" width="6.85546875" style="16" bestFit="1" customWidth="1"/>
    <col min="2062" max="2062" width="7" style="16" bestFit="1" customWidth="1"/>
    <col min="2063" max="2063" width="8" style="16" bestFit="1"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8.85546875" style="16" customWidth="1"/>
    <col min="2307" max="2307" width="10.7109375" style="16" bestFit="1" customWidth="1"/>
    <col min="2308" max="2308" width="6.7109375" style="16" bestFit="1" customWidth="1"/>
    <col min="2309" max="2309" width="8.5703125" style="16" bestFit="1" customWidth="1"/>
    <col min="2310" max="2310" width="9.28515625" style="16" bestFit="1" customWidth="1"/>
    <col min="2311" max="2311" width="10.42578125" style="16" bestFit="1" customWidth="1"/>
    <col min="2312" max="2312" width="10.28515625" style="16" bestFit="1" customWidth="1"/>
    <col min="2313" max="2313" width="7.140625" style="16" bestFit="1" customWidth="1"/>
    <col min="2314" max="2314" width="7.7109375" style="16" customWidth="1"/>
    <col min="2315" max="2316" width="7" style="16" bestFit="1" customWidth="1"/>
    <col min="2317" max="2317" width="6.85546875" style="16" bestFit="1" customWidth="1"/>
    <col min="2318" max="2318" width="7" style="16" bestFit="1" customWidth="1"/>
    <col min="2319" max="2319" width="8" style="16" bestFit="1"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8.85546875" style="16" customWidth="1"/>
    <col min="2563" max="2563" width="10.7109375" style="16" bestFit="1" customWidth="1"/>
    <col min="2564" max="2564" width="6.7109375" style="16" bestFit="1" customWidth="1"/>
    <col min="2565" max="2565" width="8.5703125" style="16" bestFit="1" customWidth="1"/>
    <col min="2566" max="2566" width="9.28515625" style="16" bestFit="1" customWidth="1"/>
    <col min="2567" max="2567" width="10.42578125" style="16" bestFit="1" customWidth="1"/>
    <col min="2568" max="2568" width="10.28515625" style="16" bestFit="1" customWidth="1"/>
    <col min="2569" max="2569" width="7.140625" style="16" bestFit="1" customWidth="1"/>
    <col min="2570" max="2570" width="7.7109375" style="16" customWidth="1"/>
    <col min="2571" max="2572" width="7" style="16" bestFit="1" customWidth="1"/>
    <col min="2573" max="2573" width="6.85546875" style="16" bestFit="1" customWidth="1"/>
    <col min="2574" max="2574" width="7" style="16" bestFit="1" customWidth="1"/>
    <col min="2575" max="2575" width="8" style="16" bestFit="1"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8.85546875" style="16" customWidth="1"/>
    <col min="2819" max="2819" width="10.7109375" style="16" bestFit="1" customWidth="1"/>
    <col min="2820" max="2820" width="6.7109375" style="16" bestFit="1" customWidth="1"/>
    <col min="2821" max="2821" width="8.5703125" style="16" bestFit="1" customWidth="1"/>
    <col min="2822" max="2822" width="9.28515625" style="16" bestFit="1" customWidth="1"/>
    <col min="2823" max="2823" width="10.42578125" style="16" bestFit="1" customWidth="1"/>
    <col min="2824" max="2824" width="10.28515625" style="16" bestFit="1" customWidth="1"/>
    <col min="2825" max="2825" width="7.140625" style="16" bestFit="1" customWidth="1"/>
    <col min="2826" max="2826" width="7.7109375" style="16" customWidth="1"/>
    <col min="2827" max="2828" width="7" style="16" bestFit="1" customWidth="1"/>
    <col min="2829" max="2829" width="6.85546875" style="16" bestFit="1" customWidth="1"/>
    <col min="2830" max="2830" width="7" style="16" bestFit="1" customWidth="1"/>
    <col min="2831" max="2831" width="8" style="16" bestFit="1"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8.85546875" style="16" customWidth="1"/>
    <col min="3075" max="3075" width="10.7109375" style="16" bestFit="1" customWidth="1"/>
    <col min="3076" max="3076" width="6.7109375" style="16" bestFit="1" customWidth="1"/>
    <col min="3077" max="3077" width="8.5703125" style="16" bestFit="1" customWidth="1"/>
    <col min="3078" max="3078" width="9.28515625" style="16" bestFit="1" customWidth="1"/>
    <col min="3079" max="3079" width="10.42578125" style="16" bestFit="1" customWidth="1"/>
    <col min="3080" max="3080" width="10.28515625" style="16" bestFit="1" customWidth="1"/>
    <col min="3081" max="3081" width="7.140625" style="16" bestFit="1" customWidth="1"/>
    <col min="3082" max="3082" width="7.7109375" style="16" customWidth="1"/>
    <col min="3083" max="3084" width="7" style="16" bestFit="1" customWidth="1"/>
    <col min="3085" max="3085" width="6.85546875" style="16" bestFit="1" customWidth="1"/>
    <col min="3086" max="3086" width="7" style="16" bestFit="1" customWidth="1"/>
    <col min="3087" max="3087" width="8" style="16" bestFit="1"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8.85546875" style="16" customWidth="1"/>
    <col min="3331" max="3331" width="10.7109375" style="16" bestFit="1" customWidth="1"/>
    <col min="3332" max="3332" width="6.7109375" style="16" bestFit="1" customWidth="1"/>
    <col min="3333" max="3333" width="8.5703125" style="16" bestFit="1" customWidth="1"/>
    <col min="3334" max="3334" width="9.28515625" style="16" bestFit="1" customWidth="1"/>
    <col min="3335" max="3335" width="10.42578125" style="16" bestFit="1" customWidth="1"/>
    <col min="3336" max="3336" width="10.28515625" style="16" bestFit="1" customWidth="1"/>
    <col min="3337" max="3337" width="7.140625" style="16" bestFit="1" customWidth="1"/>
    <col min="3338" max="3338" width="7.7109375" style="16" customWidth="1"/>
    <col min="3339" max="3340" width="7" style="16" bestFit="1" customWidth="1"/>
    <col min="3341" max="3341" width="6.85546875" style="16" bestFit="1" customWidth="1"/>
    <col min="3342" max="3342" width="7" style="16" bestFit="1" customWidth="1"/>
    <col min="3343" max="3343" width="8" style="16" bestFit="1"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8.85546875" style="16" customWidth="1"/>
    <col min="3587" max="3587" width="10.7109375" style="16" bestFit="1" customWidth="1"/>
    <col min="3588" max="3588" width="6.7109375" style="16" bestFit="1" customWidth="1"/>
    <col min="3589" max="3589" width="8.5703125" style="16" bestFit="1" customWidth="1"/>
    <col min="3590" max="3590" width="9.28515625" style="16" bestFit="1" customWidth="1"/>
    <col min="3591" max="3591" width="10.42578125" style="16" bestFit="1" customWidth="1"/>
    <col min="3592" max="3592" width="10.28515625" style="16" bestFit="1" customWidth="1"/>
    <col min="3593" max="3593" width="7.140625" style="16" bestFit="1" customWidth="1"/>
    <col min="3594" max="3594" width="7.7109375" style="16" customWidth="1"/>
    <col min="3595" max="3596" width="7" style="16" bestFit="1" customWidth="1"/>
    <col min="3597" max="3597" width="6.85546875" style="16" bestFit="1" customWidth="1"/>
    <col min="3598" max="3598" width="7" style="16" bestFit="1" customWidth="1"/>
    <col min="3599" max="3599" width="8" style="16" bestFit="1"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8.85546875" style="16" customWidth="1"/>
    <col min="3843" max="3843" width="10.7109375" style="16" bestFit="1" customWidth="1"/>
    <col min="3844" max="3844" width="6.7109375" style="16" bestFit="1" customWidth="1"/>
    <col min="3845" max="3845" width="8.5703125" style="16" bestFit="1" customWidth="1"/>
    <col min="3846" max="3846" width="9.28515625" style="16" bestFit="1" customWidth="1"/>
    <col min="3847" max="3847" width="10.42578125" style="16" bestFit="1" customWidth="1"/>
    <col min="3848" max="3848" width="10.28515625" style="16" bestFit="1" customWidth="1"/>
    <col min="3849" max="3849" width="7.140625" style="16" bestFit="1" customWidth="1"/>
    <col min="3850" max="3850" width="7.7109375" style="16" customWidth="1"/>
    <col min="3851" max="3852" width="7" style="16" bestFit="1" customWidth="1"/>
    <col min="3853" max="3853" width="6.85546875" style="16" bestFit="1" customWidth="1"/>
    <col min="3854" max="3854" width="7" style="16" bestFit="1" customWidth="1"/>
    <col min="3855" max="3855" width="8" style="16" bestFit="1"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8.85546875" style="16" customWidth="1"/>
    <col min="4099" max="4099" width="10.7109375" style="16" bestFit="1" customWidth="1"/>
    <col min="4100" max="4100" width="6.7109375" style="16" bestFit="1" customWidth="1"/>
    <col min="4101" max="4101" width="8.5703125" style="16" bestFit="1" customWidth="1"/>
    <col min="4102" max="4102" width="9.28515625" style="16" bestFit="1" customWidth="1"/>
    <col min="4103" max="4103" width="10.42578125" style="16" bestFit="1" customWidth="1"/>
    <col min="4104" max="4104" width="10.28515625" style="16" bestFit="1" customWidth="1"/>
    <col min="4105" max="4105" width="7.140625" style="16" bestFit="1" customWidth="1"/>
    <col min="4106" max="4106" width="7.7109375" style="16" customWidth="1"/>
    <col min="4107" max="4108" width="7" style="16" bestFit="1" customWidth="1"/>
    <col min="4109" max="4109" width="6.85546875" style="16" bestFit="1" customWidth="1"/>
    <col min="4110" max="4110" width="7" style="16" bestFit="1" customWidth="1"/>
    <col min="4111" max="4111" width="8" style="16" bestFit="1"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8.85546875" style="16" customWidth="1"/>
    <col min="4355" max="4355" width="10.7109375" style="16" bestFit="1" customWidth="1"/>
    <col min="4356" max="4356" width="6.7109375" style="16" bestFit="1" customWidth="1"/>
    <col min="4357" max="4357" width="8.5703125" style="16" bestFit="1" customWidth="1"/>
    <col min="4358" max="4358" width="9.28515625" style="16" bestFit="1" customWidth="1"/>
    <col min="4359" max="4359" width="10.42578125" style="16" bestFit="1" customWidth="1"/>
    <col min="4360" max="4360" width="10.28515625" style="16" bestFit="1" customWidth="1"/>
    <col min="4361" max="4361" width="7.140625" style="16" bestFit="1" customWidth="1"/>
    <col min="4362" max="4362" width="7.7109375" style="16" customWidth="1"/>
    <col min="4363" max="4364" width="7" style="16" bestFit="1" customWidth="1"/>
    <col min="4365" max="4365" width="6.85546875" style="16" bestFit="1" customWidth="1"/>
    <col min="4366" max="4366" width="7" style="16" bestFit="1" customWidth="1"/>
    <col min="4367" max="4367" width="8" style="16" bestFit="1"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8.85546875" style="16" customWidth="1"/>
    <col min="4611" max="4611" width="10.7109375" style="16" bestFit="1" customWidth="1"/>
    <col min="4612" max="4612" width="6.7109375" style="16" bestFit="1" customWidth="1"/>
    <col min="4613" max="4613" width="8.5703125" style="16" bestFit="1" customWidth="1"/>
    <col min="4614" max="4614" width="9.28515625" style="16" bestFit="1" customWidth="1"/>
    <col min="4615" max="4615" width="10.42578125" style="16" bestFit="1" customWidth="1"/>
    <col min="4616" max="4616" width="10.28515625" style="16" bestFit="1" customWidth="1"/>
    <col min="4617" max="4617" width="7.140625" style="16" bestFit="1" customWidth="1"/>
    <col min="4618" max="4618" width="7.7109375" style="16" customWidth="1"/>
    <col min="4619" max="4620" width="7" style="16" bestFit="1" customWidth="1"/>
    <col min="4621" max="4621" width="6.85546875" style="16" bestFit="1" customWidth="1"/>
    <col min="4622" max="4622" width="7" style="16" bestFit="1" customWidth="1"/>
    <col min="4623" max="4623" width="8" style="16" bestFit="1"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8.85546875" style="16" customWidth="1"/>
    <col min="4867" max="4867" width="10.7109375" style="16" bestFit="1" customWidth="1"/>
    <col min="4868" max="4868" width="6.7109375" style="16" bestFit="1" customWidth="1"/>
    <col min="4869" max="4869" width="8.5703125" style="16" bestFit="1" customWidth="1"/>
    <col min="4870" max="4870" width="9.28515625" style="16" bestFit="1" customWidth="1"/>
    <col min="4871" max="4871" width="10.42578125" style="16" bestFit="1" customWidth="1"/>
    <col min="4872" max="4872" width="10.28515625" style="16" bestFit="1" customWidth="1"/>
    <col min="4873" max="4873" width="7.140625" style="16" bestFit="1" customWidth="1"/>
    <col min="4874" max="4874" width="7.7109375" style="16" customWidth="1"/>
    <col min="4875" max="4876" width="7" style="16" bestFit="1" customWidth="1"/>
    <col min="4877" max="4877" width="6.85546875" style="16" bestFit="1" customWidth="1"/>
    <col min="4878" max="4878" width="7" style="16" bestFit="1" customWidth="1"/>
    <col min="4879" max="4879" width="8" style="16" bestFit="1"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8.85546875" style="16" customWidth="1"/>
    <col min="5123" max="5123" width="10.7109375" style="16" bestFit="1" customWidth="1"/>
    <col min="5124" max="5124" width="6.7109375" style="16" bestFit="1" customWidth="1"/>
    <col min="5125" max="5125" width="8.5703125" style="16" bestFit="1" customWidth="1"/>
    <col min="5126" max="5126" width="9.28515625" style="16" bestFit="1" customWidth="1"/>
    <col min="5127" max="5127" width="10.42578125" style="16" bestFit="1" customWidth="1"/>
    <col min="5128" max="5128" width="10.28515625" style="16" bestFit="1" customWidth="1"/>
    <col min="5129" max="5129" width="7.140625" style="16" bestFit="1" customWidth="1"/>
    <col min="5130" max="5130" width="7.7109375" style="16" customWidth="1"/>
    <col min="5131" max="5132" width="7" style="16" bestFit="1" customWidth="1"/>
    <col min="5133" max="5133" width="6.85546875" style="16" bestFit="1" customWidth="1"/>
    <col min="5134" max="5134" width="7" style="16" bestFit="1" customWidth="1"/>
    <col min="5135" max="5135" width="8" style="16" bestFit="1"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8.85546875" style="16" customWidth="1"/>
    <col min="5379" max="5379" width="10.7109375" style="16" bestFit="1" customWidth="1"/>
    <col min="5380" max="5380" width="6.7109375" style="16" bestFit="1" customWidth="1"/>
    <col min="5381" max="5381" width="8.5703125" style="16" bestFit="1" customWidth="1"/>
    <col min="5382" max="5382" width="9.28515625" style="16" bestFit="1" customWidth="1"/>
    <col min="5383" max="5383" width="10.42578125" style="16" bestFit="1" customWidth="1"/>
    <col min="5384" max="5384" width="10.28515625" style="16" bestFit="1" customWidth="1"/>
    <col min="5385" max="5385" width="7.140625" style="16" bestFit="1" customWidth="1"/>
    <col min="5386" max="5386" width="7.7109375" style="16" customWidth="1"/>
    <col min="5387" max="5388" width="7" style="16" bestFit="1" customWidth="1"/>
    <col min="5389" max="5389" width="6.85546875" style="16" bestFit="1" customWidth="1"/>
    <col min="5390" max="5390" width="7" style="16" bestFit="1" customWidth="1"/>
    <col min="5391" max="5391" width="8" style="16" bestFit="1"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8.85546875" style="16" customWidth="1"/>
    <col min="5635" max="5635" width="10.7109375" style="16" bestFit="1" customWidth="1"/>
    <col min="5636" max="5636" width="6.7109375" style="16" bestFit="1" customWidth="1"/>
    <col min="5637" max="5637" width="8.5703125" style="16" bestFit="1" customWidth="1"/>
    <col min="5638" max="5638" width="9.28515625" style="16" bestFit="1" customWidth="1"/>
    <col min="5639" max="5639" width="10.42578125" style="16" bestFit="1" customWidth="1"/>
    <col min="5640" max="5640" width="10.28515625" style="16" bestFit="1" customWidth="1"/>
    <col min="5641" max="5641" width="7.140625" style="16" bestFit="1" customWidth="1"/>
    <col min="5642" max="5642" width="7.7109375" style="16" customWidth="1"/>
    <col min="5643" max="5644" width="7" style="16" bestFit="1" customWidth="1"/>
    <col min="5645" max="5645" width="6.85546875" style="16" bestFit="1" customWidth="1"/>
    <col min="5646" max="5646" width="7" style="16" bestFit="1" customWidth="1"/>
    <col min="5647" max="5647" width="8" style="16" bestFit="1"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8.85546875" style="16" customWidth="1"/>
    <col min="5891" max="5891" width="10.7109375" style="16" bestFit="1" customWidth="1"/>
    <col min="5892" max="5892" width="6.7109375" style="16" bestFit="1" customWidth="1"/>
    <col min="5893" max="5893" width="8.5703125" style="16" bestFit="1" customWidth="1"/>
    <col min="5894" max="5894" width="9.28515625" style="16" bestFit="1" customWidth="1"/>
    <col min="5895" max="5895" width="10.42578125" style="16" bestFit="1" customWidth="1"/>
    <col min="5896" max="5896" width="10.28515625" style="16" bestFit="1" customWidth="1"/>
    <col min="5897" max="5897" width="7.140625" style="16" bestFit="1" customWidth="1"/>
    <col min="5898" max="5898" width="7.7109375" style="16" customWidth="1"/>
    <col min="5899" max="5900" width="7" style="16" bestFit="1" customWidth="1"/>
    <col min="5901" max="5901" width="6.85546875" style="16" bestFit="1" customWidth="1"/>
    <col min="5902" max="5902" width="7" style="16" bestFit="1" customWidth="1"/>
    <col min="5903" max="5903" width="8" style="16" bestFit="1"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8.85546875" style="16" customWidth="1"/>
    <col min="6147" max="6147" width="10.7109375" style="16" bestFit="1" customWidth="1"/>
    <col min="6148" max="6148" width="6.7109375" style="16" bestFit="1" customWidth="1"/>
    <col min="6149" max="6149" width="8.5703125" style="16" bestFit="1" customWidth="1"/>
    <col min="6150" max="6150" width="9.28515625" style="16" bestFit="1" customWidth="1"/>
    <col min="6151" max="6151" width="10.42578125" style="16" bestFit="1" customWidth="1"/>
    <col min="6152" max="6152" width="10.28515625" style="16" bestFit="1" customWidth="1"/>
    <col min="6153" max="6153" width="7.140625" style="16" bestFit="1" customWidth="1"/>
    <col min="6154" max="6154" width="7.7109375" style="16" customWidth="1"/>
    <col min="6155" max="6156" width="7" style="16" bestFit="1" customWidth="1"/>
    <col min="6157" max="6157" width="6.85546875" style="16" bestFit="1" customWidth="1"/>
    <col min="6158" max="6158" width="7" style="16" bestFit="1" customWidth="1"/>
    <col min="6159" max="6159" width="8" style="16" bestFit="1"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8.85546875" style="16" customWidth="1"/>
    <col min="6403" max="6403" width="10.7109375" style="16" bestFit="1" customWidth="1"/>
    <col min="6404" max="6404" width="6.7109375" style="16" bestFit="1" customWidth="1"/>
    <col min="6405" max="6405" width="8.5703125" style="16" bestFit="1" customWidth="1"/>
    <col min="6406" max="6406" width="9.28515625" style="16" bestFit="1" customWidth="1"/>
    <col min="6407" max="6407" width="10.42578125" style="16" bestFit="1" customWidth="1"/>
    <col min="6408" max="6408" width="10.28515625" style="16" bestFit="1" customWidth="1"/>
    <col min="6409" max="6409" width="7.140625" style="16" bestFit="1" customWidth="1"/>
    <col min="6410" max="6410" width="7.7109375" style="16" customWidth="1"/>
    <col min="6411" max="6412" width="7" style="16" bestFit="1" customWidth="1"/>
    <col min="6413" max="6413" width="6.85546875" style="16" bestFit="1" customWidth="1"/>
    <col min="6414" max="6414" width="7" style="16" bestFit="1" customWidth="1"/>
    <col min="6415" max="6415" width="8" style="16" bestFit="1"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8.85546875" style="16" customWidth="1"/>
    <col min="6659" max="6659" width="10.7109375" style="16" bestFit="1" customWidth="1"/>
    <col min="6660" max="6660" width="6.7109375" style="16" bestFit="1" customWidth="1"/>
    <col min="6661" max="6661" width="8.5703125" style="16" bestFit="1" customWidth="1"/>
    <col min="6662" max="6662" width="9.28515625" style="16" bestFit="1" customWidth="1"/>
    <col min="6663" max="6663" width="10.42578125" style="16" bestFit="1" customWidth="1"/>
    <col min="6664" max="6664" width="10.28515625" style="16" bestFit="1" customWidth="1"/>
    <col min="6665" max="6665" width="7.140625" style="16" bestFit="1" customWidth="1"/>
    <col min="6666" max="6666" width="7.7109375" style="16" customWidth="1"/>
    <col min="6667" max="6668" width="7" style="16" bestFit="1" customWidth="1"/>
    <col min="6669" max="6669" width="6.85546875" style="16" bestFit="1" customWidth="1"/>
    <col min="6670" max="6670" width="7" style="16" bestFit="1" customWidth="1"/>
    <col min="6671" max="6671" width="8" style="16" bestFit="1"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8.85546875" style="16" customWidth="1"/>
    <col min="6915" max="6915" width="10.7109375" style="16" bestFit="1" customWidth="1"/>
    <col min="6916" max="6916" width="6.7109375" style="16" bestFit="1" customWidth="1"/>
    <col min="6917" max="6917" width="8.5703125" style="16" bestFit="1" customWidth="1"/>
    <col min="6918" max="6918" width="9.28515625" style="16" bestFit="1" customWidth="1"/>
    <col min="6919" max="6919" width="10.42578125" style="16" bestFit="1" customWidth="1"/>
    <col min="6920" max="6920" width="10.28515625" style="16" bestFit="1" customWidth="1"/>
    <col min="6921" max="6921" width="7.140625" style="16" bestFit="1" customWidth="1"/>
    <col min="6922" max="6922" width="7.7109375" style="16" customWidth="1"/>
    <col min="6923" max="6924" width="7" style="16" bestFit="1" customWidth="1"/>
    <col min="6925" max="6925" width="6.85546875" style="16" bestFit="1" customWidth="1"/>
    <col min="6926" max="6926" width="7" style="16" bestFit="1" customWidth="1"/>
    <col min="6927" max="6927" width="8" style="16" bestFit="1"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8.85546875" style="16" customWidth="1"/>
    <col min="7171" max="7171" width="10.7109375" style="16" bestFit="1" customWidth="1"/>
    <col min="7172" max="7172" width="6.7109375" style="16" bestFit="1" customWidth="1"/>
    <col min="7173" max="7173" width="8.5703125" style="16" bestFit="1" customWidth="1"/>
    <col min="7174" max="7174" width="9.28515625" style="16" bestFit="1" customWidth="1"/>
    <col min="7175" max="7175" width="10.42578125" style="16" bestFit="1" customWidth="1"/>
    <col min="7176" max="7176" width="10.28515625" style="16" bestFit="1" customWidth="1"/>
    <col min="7177" max="7177" width="7.140625" style="16" bestFit="1" customWidth="1"/>
    <col min="7178" max="7178" width="7.7109375" style="16" customWidth="1"/>
    <col min="7179" max="7180" width="7" style="16" bestFit="1" customWidth="1"/>
    <col min="7181" max="7181" width="6.85546875" style="16" bestFit="1" customWidth="1"/>
    <col min="7182" max="7182" width="7" style="16" bestFit="1" customWidth="1"/>
    <col min="7183" max="7183" width="8" style="16" bestFit="1"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8.85546875" style="16" customWidth="1"/>
    <col min="7427" max="7427" width="10.7109375" style="16" bestFit="1" customWidth="1"/>
    <col min="7428" max="7428" width="6.7109375" style="16" bestFit="1" customWidth="1"/>
    <col min="7429" max="7429" width="8.5703125" style="16" bestFit="1" customWidth="1"/>
    <col min="7430" max="7430" width="9.28515625" style="16" bestFit="1" customWidth="1"/>
    <col min="7431" max="7431" width="10.42578125" style="16" bestFit="1" customWidth="1"/>
    <col min="7432" max="7432" width="10.28515625" style="16" bestFit="1" customWidth="1"/>
    <col min="7433" max="7433" width="7.140625" style="16" bestFit="1" customWidth="1"/>
    <col min="7434" max="7434" width="7.7109375" style="16" customWidth="1"/>
    <col min="7435" max="7436" width="7" style="16" bestFit="1" customWidth="1"/>
    <col min="7437" max="7437" width="6.85546875" style="16" bestFit="1" customWidth="1"/>
    <col min="7438" max="7438" width="7" style="16" bestFit="1" customWidth="1"/>
    <col min="7439" max="7439" width="8" style="16" bestFit="1"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8.85546875" style="16" customWidth="1"/>
    <col min="7683" max="7683" width="10.7109375" style="16" bestFit="1" customWidth="1"/>
    <col min="7684" max="7684" width="6.7109375" style="16" bestFit="1" customWidth="1"/>
    <col min="7685" max="7685" width="8.5703125" style="16" bestFit="1" customWidth="1"/>
    <col min="7686" max="7686" width="9.28515625" style="16" bestFit="1" customWidth="1"/>
    <col min="7687" max="7687" width="10.42578125" style="16" bestFit="1" customWidth="1"/>
    <col min="7688" max="7688" width="10.28515625" style="16" bestFit="1" customWidth="1"/>
    <col min="7689" max="7689" width="7.140625" style="16" bestFit="1" customWidth="1"/>
    <col min="7690" max="7690" width="7.7109375" style="16" customWidth="1"/>
    <col min="7691" max="7692" width="7" style="16" bestFit="1" customWidth="1"/>
    <col min="7693" max="7693" width="6.85546875" style="16" bestFit="1" customWidth="1"/>
    <col min="7694" max="7694" width="7" style="16" bestFit="1" customWidth="1"/>
    <col min="7695" max="7695" width="8" style="16" bestFit="1"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8.85546875" style="16" customWidth="1"/>
    <col min="7939" max="7939" width="10.7109375" style="16" bestFit="1" customWidth="1"/>
    <col min="7940" max="7940" width="6.7109375" style="16" bestFit="1" customWidth="1"/>
    <col min="7941" max="7941" width="8.5703125" style="16" bestFit="1" customWidth="1"/>
    <col min="7942" max="7942" width="9.28515625" style="16" bestFit="1" customWidth="1"/>
    <col min="7943" max="7943" width="10.42578125" style="16" bestFit="1" customWidth="1"/>
    <col min="7944" max="7944" width="10.28515625" style="16" bestFit="1" customWidth="1"/>
    <col min="7945" max="7945" width="7.140625" style="16" bestFit="1" customWidth="1"/>
    <col min="7946" max="7946" width="7.7109375" style="16" customWidth="1"/>
    <col min="7947" max="7948" width="7" style="16" bestFit="1" customWidth="1"/>
    <col min="7949" max="7949" width="6.85546875" style="16" bestFit="1" customWidth="1"/>
    <col min="7950" max="7950" width="7" style="16" bestFit="1" customWidth="1"/>
    <col min="7951" max="7951" width="8" style="16" bestFit="1"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8.85546875" style="16" customWidth="1"/>
    <col min="8195" max="8195" width="10.7109375" style="16" bestFit="1" customWidth="1"/>
    <col min="8196" max="8196" width="6.7109375" style="16" bestFit="1" customWidth="1"/>
    <col min="8197" max="8197" width="8.5703125" style="16" bestFit="1" customWidth="1"/>
    <col min="8198" max="8198" width="9.28515625" style="16" bestFit="1" customWidth="1"/>
    <col min="8199" max="8199" width="10.42578125" style="16" bestFit="1" customWidth="1"/>
    <col min="8200" max="8200" width="10.28515625" style="16" bestFit="1" customWidth="1"/>
    <col min="8201" max="8201" width="7.140625" style="16" bestFit="1" customWidth="1"/>
    <col min="8202" max="8202" width="7.7109375" style="16" customWidth="1"/>
    <col min="8203" max="8204" width="7" style="16" bestFit="1" customWidth="1"/>
    <col min="8205" max="8205" width="6.85546875" style="16" bestFit="1" customWidth="1"/>
    <col min="8206" max="8206" width="7" style="16" bestFit="1" customWidth="1"/>
    <col min="8207" max="8207" width="8" style="16" bestFit="1"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8.85546875" style="16" customWidth="1"/>
    <col min="8451" max="8451" width="10.7109375" style="16" bestFit="1" customWidth="1"/>
    <col min="8452" max="8452" width="6.7109375" style="16" bestFit="1" customWidth="1"/>
    <col min="8453" max="8453" width="8.5703125" style="16" bestFit="1" customWidth="1"/>
    <col min="8454" max="8454" width="9.28515625" style="16" bestFit="1" customWidth="1"/>
    <col min="8455" max="8455" width="10.42578125" style="16" bestFit="1" customWidth="1"/>
    <col min="8456" max="8456" width="10.28515625" style="16" bestFit="1" customWidth="1"/>
    <col min="8457" max="8457" width="7.140625" style="16" bestFit="1" customWidth="1"/>
    <col min="8458" max="8458" width="7.7109375" style="16" customWidth="1"/>
    <col min="8459" max="8460" width="7" style="16" bestFit="1" customWidth="1"/>
    <col min="8461" max="8461" width="6.85546875" style="16" bestFit="1" customWidth="1"/>
    <col min="8462" max="8462" width="7" style="16" bestFit="1" customWidth="1"/>
    <col min="8463" max="8463" width="8" style="16" bestFit="1"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8.85546875" style="16" customWidth="1"/>
    <col min="8707" max="8707" width="10.7109375" style="16" bestFit="1" customWidth="1"/>
    <col min="8708" max="8708" width="6.7109375" style="16" bestFit="1" customWidth="1"/>
    <col min="8709" max="8709" width="8.5703125" style="16" bestFit="1" customWidth="1"/>
    <col min="8710" max="8710" width="9.28515625" style="16" bestFit="1" customWidth="1"/>
    <col min="8711" max="8711" width="10.42578125" style="16" bestFit="1" customWidth="1"/>
    <col min="8712" max="8712" width="10.28515625" style="16" bestFit="1" customWidth="1"/>
    <col min="8713" max="8713" width="7.140625" style="16" bestFit="1" customWidth="1"/>
    <col min="8714" max="8714" width="7.7109375" style="16" customWidth="1"/>
    <col min="8715" max="8716" width="7" style="16" bestFit="1" customWidth="1"/>
    <col min="8717" max="8717" width="6.85546875" style="16" bestFit="1" customWidth="1"/>
    <col min="8718" max="8718" width="7" style="16" bestFit="1" customWidth="1"/>
    <col min="8719" max="8719" width="8" style="16" bestFit="1"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8.85546875" style="16" customWidth="1"/>
    <col min="8963" max="8963" width="10.7109375" style="16" bestFit="1" customWidth="1"/>
    <col min="8964" max="8964" width="6.7109375" style="16" bestFit="1" customWidth="1"/>
    <col min="8965" max="8965" width="8.5703125" style="16" bestFit="1" customWidth="1"/>
    <col min="8966" max="8966" width="9.28515625" style="16" bestFit="1" customWidth="1"/>
    <col min="8967" max="8967" width="10.42578125" style="16" bestFit="1" customWidth="1"/>
    <col min="8968" max="8968" width="10.28515625" style="16" bestFit="1" customWidth="1"/>
    <col min="8969" max="8969" width="7.140625" style="16" bestFit="1" customWidth="1"/>
    <col min="8970" max="8970" width="7.7109375" style="16" customWidth="1"/>
    <col min="8971" max="8972" width="7" style="16" bestFit="1" customWidth="1"/>
    <col min="8973" max="8973" width="6.85546875" style="16" bestFit="1" customWidth="1"/>
    <col min="8974" max="8974" width="7" style="16" bestFit="1" customWidth="1"/>
    <col min="8975" max="8975" width="8" style="16" bestFit="1"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8.85546875" style="16" customWidth="1"/>
    <col min="9219" max="9219" width="10.7109375" style="16" bestFit="1" customWidth="1"/>
    <col min="9220" max="9220" width="6.7109375" style="16" bestFit="1" customWidth="1"/>
    <col min="9221" max="9221" width="8.5703125" style="16" bestFit="1" customWidth="1"/>
    <col min="9222" max="9222" width="9.28515625" style="16" bestFit="1" customWidth="1"/>
    <col min="9223" max="9223" width="10.42578125" style="16" bestFit="1" customWidth="1"/>
    <col min="9224" max="9224" width="10.28515625" style="16" bestFit="1" customWidth="1"/>
    <col min="9225" max="9225" width="7.140625" style="16" bestFit="1" customWidth="1"/>
    <col min="9226" max="9226" width="7.7109375" style="16" customWidth="1"/>
    <col min="9227" max="9228" width="7" style="16" bestFit="1" customWidth="1"/>
    <col min="9229" max="9229" width="6.85546875" style="16" bestFit="1" customWidth="1"/>
    <col min="9230" max="9230" width="7" style="16" bestFit="1" customWidth="1"/>
    <col min="9231" max="9231" width="8" style="16" bestFit="1"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8.85546875" style="16" customWidth="1"/>
    <col min="9475" max="9475" width="10.7109375" style="16" bestFit="1" customWidth="1"/>
    <col min="9476" max="9476" width="6.7109375" style="16" bestFit="1" customWidth="1"/>
    <col min="9477" max="9477" width="8.5703125" style="16" bestFit="1" customWidth="1"/>
    <col min="9478" max="9478" width="9.28515625" style="16" bestFit="1" customWidth="1"/>
    <col min="9479" max="9479" width="10.42578125" style="16" bestFit="1" customWidth="1"/>
    <col min="9480" max="9480" width="10.28515625" style="16" bestFit="1" customWidth="1"/>
    <col min="9481" max="9481" width="7.140625" style="16" bestFit="1" customWidth="1"/>
    <col min="9482" max="9482" width="7.7109375" style="16" customWidth="1"/>
    <col min="9483" max="9484" width="7" style="16" bestFit="1" customWidth="1"/>
    <col min="9485" max="9485" width="6.85546875" style="16" bestFit="1" customWidth="1"/>
    <col min="9486" max="9486" width="7" style="16" bestFit="1" customWidth="1"/>
    <col min="9487" max="9487" width="8" style="16" bestFit="1"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8.85546875" style="16" customWidth="1"/>
    <col min="9731" max="9731" width="10.7109375" style="16" bestFit="1" customWidth="1"/>
    <col min="9732" max="9732" width="6.7109375" style="16" bestFit="1" customWidth="1"/>
    <col min="9733" max="9733" width="8.5703125" style="16" bestFit="1" customWidth="1"/>
    <col min="9734" max="9734" width="9.28515625" style="16" bestFit="1" customWidth="1"/>
    <col min="9735" max="9735" width="10.42578125" style="16" bestFit="1" customWidth="1"/>
    <col min="9736" max="9736" width="10.28515625" style="16" bestFit="1" customWidth="1"/>
    <col min="9737" max="9737" width="7.140625" style="16" bestFit="1" customWidth="1"/>
    <col min="9738" max="9738" width="7.7109375" style="16" customWidth="1"/>
    <col min="9739" max="9740" width="7" style="16" bestFit="1" customWidth="1"/>
    <col min="9741" max="9741" width="6.85546875" style="16" bestFit="1" customWidth="1"/>
    <col min="9742" max="9742" width="7" style="16" bestFit="1" customWidth="1"/>
    <col min="9743" max="9743" width="8" style="16" bestFit="1"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8.85546875" style="16" customWidth="1"/>
    <col min="9987" max="9987" width="10.7109375" style="16" bestFit="1" customWidth="1"/>
    <col min="9988" max="9988" width="6.7109375" style="16" bestFit="1" customWidth="1"/>
    <col min="9989" max="9989" width="8.5703125" style="16" bestFit="1" customWidth="1"/>
    <col min="9990" max="9990" width="9.28515625" style="16" bestFit="1" customWidth="1"/>
    <col min="9991" max="9991" width="10.42578125" style="16" bestFit="1" customWidth="1"/>
    <col min="9992" max="9992" width="10.28515625" style="16" bestFit="1" customWidth="1"/>
    <col min="9993" max="9993" width="7.140625" style="16" bestFit="1" customWidth="1"/>
    <col min="9994" max="9994" width="7.7109375" style="16" customWidth="1"/>
    <col min="9995" max="9996" width="7" style="16" bestFit="1" customWidth="1"/>
    <col min="9997" max="9997" width="6.85546875" style="16" bestFit="1" customWidth="1"/>
    <col min="9998" max="9998" width="7" style="16" bestFit="1" customWidth="1"/>
    <col min="9999" max="9999" width="8" style="16" bestFit="1"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8.85546875" style="16" customWidth="1"/>
    <col min="10243" max="10243" width="10.7109375" style="16" bestFit="1" customWidth="1"/>
    <col min="10244" max="10244" width="6.7109375" style="16" bestFit="1" customWidth="1"/>
    <col min="10245" max="10245" width="8.5703125" style="16" bestFit="1" customWidth="1"/>
    <col min="10246" max="10246" width="9.28515625" style="16" bestFit="1" customWidth="1"/>
    <col min="10247" max="10247" width="10.42578125" style="16" bestFit="1" customWidth="1"/>
    <col min="10248" max="10248" width="10.28515625" style="16" bestFit="1" customWidth="1"/>
    <col min="10249" max="10249" width="7.140625" style="16" bestFit="1" customWidth="1"/>
    <col min="10250" max="10250" width="7.7109375" style="16" customWidth="1"/>
    <col min="10251" max="10252" width="7" style="16" bestFit="1" customWidth="1"/>
    <col min="10253" max="10253" width="6.85546875" style="16" bestFit="1" customWidth="1"/>
    <col min="10254" max="10254" width="7" style="16" bestFit="1" customWidth="1"/>
    <col min="10255" max="10255" width="8" style="16" bestFit="1"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8.85546875" style="16" customWidth="1"/>
    <col min="10499" max="10499" width="10.7109375" style="16" bestFit="1" customWidth="1"/>
    <col min="10500" max="10500" width="6.7109375" style="16" bestFit="1" customWidth="1"/>
    <col min="10501" max="10501" width="8.5703125" style="16" bestFit="1" customWidth="1"/>
    <col min="10502" max="10502" width="9.28515625" style="16" bestFit="1" customWidth="1"/>
    <col min="10503" max="10503" width="10.42578125" style="16" bestFit="1" customWidth="1"/>
    <col min="10504" max="10504" width="10.28515625" style="16" bestFit="1" customWidth="1"/>
    <col min="10505" max="10505" width="7.140625" style="16" bestFit="1" customWidth="1"/>
    <col min="10506" max="10506" width="7.7109375" style="16" customWidth="1"/>
    <col min="10507" max="10508" width="7" style="16" bestFit="1" customWidth="1"/>
    <col min="10509" max="10509" width="6.85546875" style="16" bestFit="1" customWidth="1"/>
    <col min="10510" max="10510" width="7" style="16" bestFit="1" customWidth="1"/>
    <col min="10511" max="10511" width="8" style="16" bestFit="1"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8.85546875" style="16" customWidth="1"/>
    <col min="10755" max="10755" width="10.7109375" style="16" bestFit="1" customWidth="1"/>
    <col min="10756" max="10756" width="6.7109375" style="16" bestFit="1" customWidth="1"/>
    <col min="10757" max="10757" width="8.5703125" style="16" bestFit="1" customWidth="1"/>
    <col min="10758" max="10758" width="9.28515625" style="16" bestFit="1" customWidth="1"/>
    <col min="10759" max="10759" width="10.42578125" style="16" bestFit="1" customWidth="1"/>
    <col min="10760" max="10760" width="10.28515625" style="16" bestFit="1" customWidth="1"/>
    <col min="10761" max="10761" width="7.140625" style="16" bestFit="1" customWidth="1"/>
    <col min="10762" max="10762" width="7.7109375" style="16" customWidth="1"/>
    <col min="10763" max="10764" width="7" style="16" bestFit="1" customWidth="1"/>
    <col min="10765" max="10765" width="6.85546875" style="16" bestFit="1" customWidth="1"/>
    <col min="10766" max="10766" width="7" style="16" bestFit="1" customWidth="1"/>
    <col min="10767" max="10767" width="8" style="16" bestFit="1"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8.85546875" style="16" customWidth="1"/>
    <col min="11011" max="11011" width="10.7109375" style="16" bestFit="1" customWidth="1"/>
    <col min="11012" max="11012" width="6.7109375" style="16" bestFit="1" customWidth="1"/>
    <col min="11013" max="11013" width="8.5703125" style="16" bestFit="1" customWidth="1"/>
    <col min="11014" max="11014" width="9.28515625" style="16" bestFit="1" customWidth="1"/>
    <col min="11015" max="11015" width="10.42578125" style="16" bestFit="1" customWidth="1"/>
    <col min="11016" max="11016" width="10.28515625" style="16" bestFit="1" customWidth="1"/>
    <col min="11017" max="11017" width="7.140625" style="16" bestFit="1" customWidth="1"/>
    <col min="11018" max="11018" width="7.7109375" style="16" customWidth="1"/>
    <col min="11019" max="11020" width="7" style="16" bestFit="1" customWidth="1"/>
    <col min="11021" max="11021" width="6.85546875" style="16" bestFit="1" customWidth="1"/>
    <col min="11022" max="11022" width="7" style="16" bestFit="1" customWidth="1"/>
    <col min="11023" max="11023" width="8" style="16" bestFit="1"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8.85546875" style="16" customWidth="1"/>
    <col min="11267" max="11267" width="10.7109375" style="16" bestFit="1" customWidth="1"/>
    <col min="11268" max="11268" width="6.7109375" style="16" bestFit="1" customWidth="1"/>
    <col min="11269" max="11269" width="8.5703125" style="16" bestFit="1" customWidth="1"/>
    <col min="11270" max="11270" width="9.28515625" style="16" bestFit="1" customWidth="1"/>
    <col min="11271" max="11271" width="10.42578125" style="16" bestFit="1" customWidth="1"/>
    <col min="11272" max="11272" width="10.28515625" style="16" bestFit="1" customWidth="1"/>
    <col min="11273" max="11273" width="7.140625" style="16" bestFit="1" customWidth="1"/>
    <col min="11274" max="11274" width="7.7109375" style="16" customWidth="1"/>
    <col min="11275" max="11276" width="7" style="16" bestFit="1" customWidth="1"/>
    <col min="11277" max="11277" width="6.85546875" style="16" bestFit="1" customWidth="1"/>
    <col min="11278" max="11278" width="7" style="16" bestFit="1" customWidth="1"/>
    <col min="11279" max="11279" width="8" style="16" bestFit="1"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8.85546875" style="16" customWidth="1"/>
    <col min="11523" max="11523" width="10.7109375" style="16" bestFit="1" customWidth="1"/>
    <col min="11524" max="11524" width="6.7109375" style="16" bestFit="1" customWidth="1"/>
    <col min="11525" max="11525" width="8.5703125" style="16" bestFit="1" customWidth="1"/>
    <col min="11526" max="11526" width="9.28515625" style="16" bestFit="1" customWidth="1"/>
    <col min="11527" max="11527" width="10.42578125" style="16" bestFit="1" customWidth="1"/>
    <col min="11528" max="11528" width="10.28515625" style="16" bestFit="1" customWidth="1"/>
    <col min="11529" max="11529" width="7.140625" style="16" bestFit="1" customWidth="1"/>
    <col min="11530" max="11530" width="7.7109375" style="16" customWidth="1"/>
    <col min="11531" max="11532" width="7" style="16" bestFit="1" customWidth="1"/>
    <col min="11533" max="11533" width="6.85546875" style="16" bestFit="1" customWidth="1"/>
    <col min="11534" max="11534" width="7" style="16" bestFit="1" customWidth="1"/>
    <col min="11535" max="11535" width="8" style="16" bestFit="1"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8.85546875" style="16" customWidth="1"/>
    <col min="11779" max="11779" width="10.7109375" style="16" bestFit="1" customWidth="1"/>
    <col min="11780" max="11780" width="6.7109375" style="16" bestFit="1" customWidth="1"/>
    <col min="11781" max="11781" width="8.5703125" style="16" bestFit="1" customWidth="1"/>
    <col min="11782" max="11782" width="9.28515625" style="16" bestFit="1" customWidth="1"/>
    <col min="11783" max="11783" width="10.42578125" style="16" bestFit="1" customWidth="1"/>
    <col min="11784" max="11784" width="10.28515625" style="16" bestFit="1" customWidth="1"/>
    <col min="11785" max="11785" width="7.140625" style="16" bestFit="1" customWidth="1"/>
    <col min="11786" max="11786" width="7.7109375" style="16" customWidth="1"/>
    <col min="11787" max="11788" width="7" style="16" bestFit="1" customWidth="1"/>
    <col min="11789" max="11789" width="6.85546875" style="16" bestFit="1" customWidth="1"/>
    <col min="11790" max="11790" width="7" style="16" bestFit="1" customWidth="1"/>
    <col min="11791" max="11791" width="8" style="16" bestFit="1"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8.85546875" style="16" customWidth="1"/>
    <col min="12035" max="12035" width="10.7109375" style="16" bestFit="1" customWidth="1"/>
    <col min="12036" max="12036" width="6.7109375" style="16" bestFit="1" customWidth="1"/>
    <col min="12037" max="12037" width="8.5703125" style="16" bestFit="1" customWidth="1"/>
    <col min="12038" max="12038" width="9.28515625" style="16" bestFit="1" customWidth="1"/>
    <col min="12039" max="12039" width="10.42578125" style="16" bestFit="1" customWidth="1"/>
    <col min="12040" max="12040" width="10.28515625" style="16" bestFit="1" customWidth="1"/>
    <col min="12041" max="12041" width="7.140625" style="16" bestFit="1" customWidth="1"/>
    <col min="12042" max="12042" width="7.7109375" style="16" customWidth="1"/>
    <col min="12043" max="12044" width="7" style="16" bestFit="1" customWidth="1"/>
    <col min="12045" max="12045" width="6.85546875" style="16" bestFit="1" customWidth="1"/>
    <col min="12046" max="12046" width="7" style="16" bestFit="1" customWidth="1"/>
    <col min="12047" max="12047" width="8" style="16" bestFit="1"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8.85546875" style="16" customWidth="1"/>
    <col min="12291" max="12291" width="10.7109375" style="16" bestFit="1" customWidth="1"/>
    <col min="12292" max="12292" width="6.7109375" style="16" bestFit="1" customWidth="1"/>
    <col min="12293" max="12293" width="8.5703125" style="16" bestFit="1" customWidth="1"/>
    <col min="12294" max="12294" width="9.28515625" style="16" bestFit="1" customWidth="1"/>
    <col min="12295" max="12295" width="10.42578125" style="16" bestFit="1" customWidth="1"/>
    <col min="12296" max="12296" width="10.28515625" style="16" bestFit="1" customWidth="1"/>
    <col min="12297" max="12297" width="7.140625" style="16" bestFit="1" customWidth="1"/>
    <col min="12298" max="12298" width="7.7109375" style="16" customWidth="1"/>
    <col min="12299" max="12300" width="7" style="16" bestFit="1" customWidth="1"/>
    <col min="12301" max="12301" width="6.85546875" style="16" bestFit="1" customWidth="1"/>
    <col min="12302" max="12302" width="7" style="16" bestFit="1" customWidth="1"/>
    <col min="12303" max="12303" width="8" style="16" bestFit="1"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8.85546875" style="16" customWidth="1"/>
    <col min="12547" max="12547" width="10.7109375" style="16" bestFit="1" customWidth="1"/>
    <col min="12548" max="12548" width="6.7109375" style="16" bestFit="1" customWidth="1"/>
    <col min="12549" max="12549" width="8.5703125" style="16" bestFit="1" customWidth="1"/>
    <col min="12550" max="12550" width="9.28515625" style="16" bestFit="1" customWidth="1"/>
    <col min="12551" max="12551" width="10.42578125" style="16" bestFit="1" customWidth="1"/>
    <col min="12552" max="12552" width="10.28515625" style="16" bestFit="1" customWidth="1"/>
    <col min="12553" max="12553" width="7.140625" style="16" bestFit="1" customWidth="1"/>
    <col min="12554" max="12554" width="7.7109375" style="16" customWidth="1"/>
    <col min="12555" max="12556" width="7" style="16" bestFit="1" customWidth="1"/>
    <col min="12557" max="12557" width="6.85546875" style="16" bestFit="1" customWidth="1"/>
    <col min="12558" max="12558" width="7" style="16" bestFit="1" customWidth="1"/>
    <col min="12559" max="12559" width="8" style="16" bestFit="1"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8.85546875" style="16" customWidth="1"/>
    <col min="12803" max="12803" width="10.7109375" style="16" bestFit="1" customWidth="1"/>
    <col min="12804" max="12804" width="6.7109375" style="16" bestFit="1" customWidth="1"/>
    <col min="12805" max="12805" width="8.5703125" style="16" bestFit="1" customWidth="1"/>
    <col min="12806" max="12806" width="9.28515625" style="16" bestFit="1" customWidth="1"/>
    <col min="12807" max="12807" width="10.42578125" style="16" bestFit="1" customWidth="1"/>
    <col min="12808" max="12808" width="10.28515625" style="16" bestFit="1" customWidth="1"/>
    <col min="12809" max="12809" width="7.140625" style="16" bestFit="1" customWidth="1"/>
    <col min="12810" max="12810" width="7.7109375" style="16" customWidth="1"/>
    <col min="12811" max="12812" width="7" style="16" bestFit="1" customWidth="1"/>
    <col min="12813" max="12813" width="6.85546875" style="16" bestFit="1" customWidth="1"/>
    <col min="12814" max="12814" width="7" style="16" bestFit="1" customWidth="1"/>
    <col min="12815" max="12815" width="8" style="16" bestFit="1"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8.85546875" style="16" customWidth="1"/>
    <col min="13059" max="13059" width="10.7109375" style="16" bestFit="1" customWidth="1"/>
    <col min="13060" max="13060" width="6.7109375" style="16" bestFit="1" customWidth="1"/>
    <col min="13061" max="13061" width="8.5703125" style="16" bestFit="1" customWidth="1"/>
    <col min="13062" max="13062" width="9.28515625" style="16" bestFit="1" customWidth="1"/>
    <col min="13063" max="13063" width="10.42578125" style="16" bestFit="1" customWidth="1"/>
    <col min="13064" max="13064" width="10.28515625" style="16" bestFit="1" customWidth="1"/>
    <col min="13065" max="13065" width="7.140625" style="16" bestFit="1" customWidth="1"/>
    <col min="13066" max="13066" width="7.7109375" style="16" customWidth="1"/>
    <col min="13067" max="13068" width="7" style="16" bestFit="1" customWidth="1"/>
    <col min="13069" max="13069" width="6.85546875" style="16" bestFit="1" customWidth="1"/>
    <col min="13070" max="13070" width="7" style="16" bestFit="1" customWidth="1"/>
    <col min="13071" max="13071" width="8" style="16" bestFit="1"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8.85546875" style="16" customWidth="1"/>
    <col min="13315" max="13315" width="10.7109375" style="16" bestFit="1" customWidth="1"/>
    <col min="13316" max="13316" width="6.7109375" style="16" bestFit="1" customWidth="1"/>
    <col min="13317" max="13317" width="8.5703125" style="16" bestFit="1" customWidth="1"/>
    <col min="13318" max="13318" width="9.28515625" style="16" bestFit="1" customWidth="1"/>
    <col min="13319" max="13319" width="10.42578125" style="16" bestFit="1" customWidth="1"/>
    <col min="13320" max="13320" width="10.28515625" style="16" bestFit="1" customWidth="1"/>
    <col min="13321" max="13321" width="7.140625" style="16" bestFit="1" customWidth="1"/>
    <col min="13322" max="13322" width="7.7109375" style="16" customWidth="1"/>
    <col min="13323" max="13324" width="7" style="16" bestFit="1" customWidth="1"/>
    <col min="13325" max="13325" width="6.85546875" style="16" bestFit="1" customWidth="1"/>
    <col min="13326" max="13326" width="7" style="16" bestFit="1" customWidth="1"/>
    <col min="13327" max="13327" width="8" style="16" bestFit="1"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8.85546875" style="16" customWidth="1"/>
    <col min="13571" max="13571" width="10.7109375" style="16" bestFit="1" customWidth="1"/>
    <col min="13572" max="13572" width="6.7109375" style="16" bestFit="1" customWidth="1"/>
    <col min="13573" max="13573" width="8.5703125" style="16" bestFit="1" customWidth="1"/>
    <col min="13574" max="13574" width="9.28515625" style="16" bestFit="1" customWidth="1"/>
    <col min="13575" max="13575" width="10.42578125" style="16" bestFit="1" customWidth="1"/>
    <col min="13576" max="13576" width="10.28515625" style="16" bestFit="1" customWidth="1"/>
    <col min="13577" max="13577" width="7.140625" style="16" bestFit="1" customWidth="1"/>
    <col min="13578" max="13578" width="7.7109375" style="16" customWidth="1"/>
    <col min="13579" max="13580" width="7" style="16" bestFit="1" customWidth="1"/>
    <col min="13581" max="13581" width="6.85546875" style="16" bestFit="1" customWidth="1"/>
    <col min="13582" max="13582" width="7" style="16" bestFit="1" customWidth="1"/>
    <col min="13583" max="13583" width="8" style="16" bestFit="1"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8.85546875" style="16" customWidth="1"/>
    <col min="13827" max="13827" width="10.7109375" style="16" bestFit="1" customWidth="1"/>
    <col min="13828" max="13828" width="6.7109375" style="16" bestFit="1" customWidth="1"/>
    <col min="13829" max="13829" width="8.5703125" style="16" bestFit="1" customWidth="1"/>
    <col min="13830" max="13830" width="9.28515625" style="16" bestFit="1" customWidth="1"/>
    <col min="13831" max="13831" width="10.42578125" style="16" bestFit="1" customWidth="1"/>
    <col min="13832" max="13832" width="10.28515625" style="16" bestFit="1" customWidth="1"/>
    <col min="13833" max="13833" width="7.140625" style="16" bestFit="1" customWidth="1"/>
    <col min="13834" max="13834" width="7.7109375" style="16" customWidth="1"/>
    <col min="13835" max="13836" width="7" style="16" bestFit="1" customWidth="1"/>
    <col min="13837" max="13837" width="6.85546875" style="16" bestFit="1" customWidth="1"/>
    <col min="13838" max="13838" width="7" style="16" bestFit="1" customWidth="1"/>
    <col min="13839" max="13839" width="8" style="16" bestFit="1"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8.85546875" style="16" customWidth="1"/>
    <col min="14083" max="14083" width="10.7109375" style="16" bestFit="1" customWidth="1"/>
    <col min="14084" max="14084" width="6.7109375" style="16" bestFit="1" customWidth="1"/>
    <col min="14085" max="14085" width="8.5703125" style="16" bestFit="1" customWidth="1"/>
    <col min="14086" max="14086" width="9.28515625" style="16" bestFit="1" customWidth="1"/>
    <col min="14087" max="14087" width="10.42578125" style="16" bestFit="1" customWidth="1"/>
    <col min="14088" max="14088" width="10.28515625" style="16" bestFit="1" customWidth="1"/>
    <col min="14089" max="14089" width="7.140625" style="16" bestFit="1" customWidth="1"/>
    <col min="14090" max="14090" width="7.7109375" style="16" customWidth="1"/>
    <col min="14091" max="14092" width="7" style="16" bestFit="1" customWidth="1"/>
    <col min="14093" max="14093" width="6.85546875" style="16" bestFit="1" customWidth="1"/>
    <col min="14094" max="14094" width="7" style="16" bestFit="1" customWidth="1"/>
    <col min="14095" max="14095" width="8" style="16" bestFit="1"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8.85546875" style="16" customWidth="1"/>
    <col min="14339" max="14339" width="10.7109375" style="16" bestFit="1" customWidth="1"/>
    <col min="14340" max="14340" width="6.7109375" style="16" bestFit="1" customWidth="1"/>
    <col min="14341" max="14341" width="8.5703125" style="16" bestFit="1" customWidth="1"/>
    <col min="14342" max="14342" width="9.28515625" style="16" bestFit="1" customWidth="1"/>
    <col min="14343" max="14343" width="10.42578125" style="16" bestFit="1" customWidth="1"/>
    <col min="14344" max="14344" width="10.28515625" style="16" bestFit="1" customWidth="1"/>
    <col min="14345" max="14345" width="7.140625" style="16" bestFit="1" customWidth="1"/>
    <col min="14346" max="14346" width="7.7109375" style="16" customWidth="1"/>
    <col min="14347" max="14348" width="7" style="16" bestFit="1" customWidth="1"/>
    <col min="14349" max="14349" width="6.85546875" style="16" bestFit="1" customWidth="1"/>
    <col min="14350" max="14350" width="7" style="16" bestFit="1" customWidth="1"/>
    <col min="14351" max="14351" width="8" style="16" bestFit="1"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8.85546875" style="16" customWidth="1"/>
    <col min="14595" max="14595" width="10.7109375" style="16" bestFit="1" customWidth="1"/>
    <col min="14596" max="14596" width="6.7109375" style="16" bestFit="1" customWidth="1"/>
    <col min="14597" max="14597" width="8.5703125" style="16" bestFit="1" customWidth="1"/>
    <col min="14598" max="14598" width="9.28515625" style="16" bestFit="1" customWidth="1"/>
    <col min="14599" max="14599" width="10.42578125" style="16" bestFit="1" customWidth="1"/>
    <col min="14600" max="14600" width="10.28515625" style="16" bestFit="1" customWidth="1"/>
    <col min="14601" max="14601" width="7.140625" style="16" bestFit="1" customWidth="1"/>
    <col min="14602" max="14602" width="7.7109375" style="16" customWidth="1"/>
    <col min="14603" max="14604" width="7" style="16" bestFit="1" customWidth="1"/>
    <col min="14605" max="14605" width="6.85546875" style="16" bestFit="1" customWidth="1"/>
    <col min="14606" max="14606" width="7" style="16" bestFit="1" customWidth="1"/>
    <col min="14607" max="14607" width="8" style="16" bestFit="1"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8.85546875" style="16" customWidth="1"/>
    <col min="14851" max="14851" width="10.7109375" style="16" bestFit="1" customWidth="1"/>
    <col min="14852" max="14852" width="6.7109375" style="16" bestFit="1" customWidth="1"/>
    <col min="14853" max="14853" width="8.5703125" style="16" bestFit="1" customWidth="1"/>
    <col min="14854" max="14854" width="9.28515625" style="16" bestFit="1" customWidth="1"/>
    <col min="14855" max="14855" width="10.42578125" style="16" bestFit="1" customWidth="1"/>
    <col min="14856" max="14856" width="10.28515625" style="16" bestFit="1" customWidth="1"/>
    <col min="14857" max="14857" width="7.140625" style="16" bestFit="1" customWidth="1"/>
    <col min="14858" max="14858" width="7.7109375" style="16" customWidth="1"/>
    <col min="14859" max="14860" width="7" style="16" bestFit="1" customWidth="1"/>
    <col min="14861" max="14861" width="6.85546875" style="16" bestFit="1" customWidth="1"/>
    <col min="14862" max="14862" width="7" style="16" bestFit="1" customWidth="1"/>
    <col min="14863" max="14863" width="8" style="16" bestFit="1"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8.85546875" style="16" customWidth="1"/>
    <col min="15107" max="15107" width="10.7109375" style="16" bestFit="1" customWidth="1"/>
    <col min="15108" max="15108" width="6.7109375" style="16" bestFit="1" customWidth="1"/>
    <col min="15109" max="15109" width="8.5703125" style="16" bestFit="1" customWidth="1"/>
    <col min="15110" max="15110" width="9.28515625" style="16" bestFit="1" customWidth="1"/>
    <col min="15111" max="15111" width="10.42578125" style="16" bestFit="1" customWidth="1"/>
    <col min="15112" max="15112" width="10.28515625" style="16" bestFit="1" customWidth="1"/>
    <col min="15113" max="15113" width="7.140625" style="16" bestFit="1" customWidth="1"/>
    <col min="15114" max="15114" width="7.7109375" style="16" customWidth="1"/>
    <col min="15115" max="15116" width="7" style="16" bestFit="1" customWidth="1"/>
    <col min="15117" max="15117" width="6.85546875" style="16" bestFit="1" customWidth="1"/>
    <col min="15118" max="15118" width="7" style="16" bestFit="1" customWidth="1"/>
    <col min="15119" max="15119" width="8" style="16" bestFit="1"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8.85546875" style="16" customWidth="1"/>
    <col min="15363" max="15363" width="10.7109375" style="16" bestFit="1" customWidth="1"/>
    <col min="15364" max="15364" width="6.7109375" style="16" bestFit="1" customWidth="1"/>
    <col min="15365" max="15365" width="8.5703125" style="16" bestFit="1" customWidth="1"/>
    <col min="15366" max="15366" width="9.28515625" style="16" bestFit="1" customWidth="1"/>
    <col min="15367" max="15367" width="10.42578125" style="16" bestFit="1" customWidth="1"/>
    <col min="15368" max="15368" width="10.28515625" style="16" bestFit="1" customWidth="1"/>
    <col min="15369" max="15369" width="7.140625" style="16" bestFit="1" customWidth="1"/>
    <col min="15370" max="15370" width="7.7109375" style="16" customWidth="1"/>
    <col min="15371" max="15372" width="7" style="16" bestFit="1" customWidth="1"/>
    <col min="15373" max="15373" width="6.85546875" style="16" bestFit="1" customWidth="1"/>
    <col min="15374" max="15374" width="7" style="16" bestFit="1" customWidth="1"/>
    <col min="15375" max="15375" width="8" style="16" bestFit="1"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8.85546875" style="16" customWidth="1"/>
    <col min="15619" max="15619" width="10.7109375" style="16" bestFit="1" customWidth="1"/>
    <col min="15620" max="15620" width="6.7109375" style="16" bestFit="1" customWidth="1"/>
    <col min="15621" max="15621" width="8.5703125" style="16" bestFit="1" customWidth="1"/>
    <col min="15622" max="15622" width="9.28515625" style="16" bestFit="1" customWidth="1"/>
    <col min="15623" max="15623" width="10.42578125" style="16" bestFit="1" customWidth="1"/>
    <col min="15624" max="15624" width="10.28515625" style="16" bestFit="1" customWidth="1"/>
    <col min="15625" max="15625" width="7.140625" style="16" bestFit="1" customWidth="1"/>
    <col min="15626" max="15626" width="7.7109375" style="16" customWidth="1"/>
    <col min="15627" max="15628" width="7" style="16" bestFit="1" customWidth="1"/>
    <col min="15629" max="15629" width="6.85546875" style="16" bestFit="1" customWidth="1"/>
    <col min="15630" max="15630" width="7" style="16" bestFit="1" customWidth="1"/>
    <col min="15631" max="15631" width="8" style="16" bestFit="1"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8.85546875" style="16" customWidth="1"/>
    <col min="15875" max="15875" width="10.7109375" style="16" bestFit="1" customWidth="1"/>
    <col min="15876" max="15876" width="6.7109375" style="16" bestFit="1" customWidth="1"/>
    <col min="15877" max="15877" width="8.5703125" style="16" bestFit="1" customWidth="1"/>
    <col min="15878" max="15878" width="9.28515625" style="16" bestFit="1" customWidth="1"/>
    <col min="15879" max="15879" width="10.42578125" style="16" bestFit="1" customWidth="1"/>
    <col min="15880" max="15880" width="10.28515625" style="16" bestFit="1" customWidth="1"/>
    <col min="15881" max="15881" width="7.140625" style="16" bestFit="1" customWidth="1"/>
    <col min="15882" max="15882" width="7.7109375" style="16" customWidth="1"/>
    <col min="15883" max="15884" width="7" style="16" bestFit="1" customWidth="1"/>
    <col min="15885" max="15885" width="6.85546875" style="16" bestFit="1" customWidth="1"/>
    <col min="15886" max="15886" width="7" style="16" bestFit="1" customWidth="1"/>
    <col min="15887" max="15887" width="8" style="16" bestFit="1"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8.85546875" style="16" customWidth="1"/>
    <col min="16131" max="16131" width="10.7109375" style="16" bestFit="1" customWidth="1"/>
    <col min="16132" max="16132" width="6.7109375" style="16" bestFit="1" customWidth="1"/>
    <col min="16133" max="16133" width="8.5703125" style="16" bestFit="1" customWidth="1"/>
    <col min="16134" max="16134" width="9.28515625" style="16" bestFit="1" customWidth="1"/>
    <col min="16135" max="16135" width="10.42578125" style="16" bestFit="1" customWidth="1"/>
    <col min="16136" max="16136" width="10.28515625" style="16" bestFit="1" customWidth="1"/>
    <col min="16137" max="16137" width="7.140625" style="16" bestFit="1" customWidth="1"/>
    <col min="16138" max="16138" width="7.7109375" style="16" customWidth="1"/>
    <col min="16139" max="16140" width="7" style="16" bestFit="1" customWidth="1"/>
    <col min="16141" max="16141" width="6.85546875" style="16" bestFit="1" customWidth="1"/>
    <col min="16142" max="16142" width="7" style="16" bestFit="1" customWidth="1"/>
    <col min="16143" max="16143" width="8" style="16" bestFit="1"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67" t="s">
        <v>100</v>
      </c>
      <c r="B1" s="868"/>
      <c r="C1" s="868"/>
      <c r="D1" s="892"/>
      <c r="E1" s="868"/>
      <c r="F1" s="868"/>
      <c r="G1" s="867" t="s">
        <v>102</v>
      </c>
      <c r="H1" s="869"/>
      <c r="I1" s="869" t="s">
        <v>550</v>
      </c>
      <c r="J1" s="868"/>
      <c r="K1" s="868"/>
      <c r="L1" s="870"/>
      <c r="M1" s="870"/>
      <c r="N1" s="870"/>
      <c r="O1" s="870"/>
    </row>
    <row r="2" spans="1:15" s="1" customFormat="1" x14ac:dyDescent="0.2">
      <c r="A2" s="867" t="s">
        <v>103</v>
      </c>
      <c r="B2" s="868"/>
      <c r="C2" s="868"/>
      <c r="D2" s="869"/>
      <c r="E2" s="868"/>
      <c r="F2" s="868"/>
      <c r="G2" s="867" t="s">
        <v>104</v>
      </c>
      <c r="H2" s="869"/>
      <c r="I2" s="869" t="s">
        <v>105</v>
      </c>
      <c r="J2" s="868"/>
      <c r="K2" s="868"/>
      <c r="L2" s="870"/>
      <c r="M2" s="870"/>
      <c r="N2" s="870"/>
      <c r="O2" s="870"/>
    </row>
    <row r="3" spans="1:15" s="1" customFormat="1" x14ac:dyDescent="0.2">
      <c r="A3" s="867" t="s">
        <v>106</v>
      </c>
      <c r="B3" s="868"/>
      <c r="C3" s="868"/>
      <c r="D3" s="890"/>
      <c r="E3" s="891"/>
      <c r="F3" s="891"/>
      <c r="G3" s="867" t="s">
        <v>107</v>
      </c>
      <c r="H3" s="869"/>
      <c r="I3" s="869" t="s">
        <v>108</v>
      </c>
      <c r="J3" s="868"/>
      <c r="K3" s="868"/>
      <c r="L3" s="870"/>
      <c r="M3" s="870"/>
      <c r="N3" s="870"/>
      <c r="O3" s="870"/>
    </row>
    <row r="4" spans="1:15" s="1" customFormat="1" x14ac:dyDescent="0.2">
      <c r="A4" s="867" t="s">
        <v>109</v>
      </c>
      <c r="B4" s="868"/>
      <c r="C4" s="868"/>
      <c r="D4" s="869"/>
      <c r="E4" s="868"/>
      <c r="F4" s="868"/>
      <c r="G4" s="867" t="s">
        <v>110</v>
      </c>
      <c r="H4" s="869"/>
      <c r="I4" s="869" t="s">
        <v>551</v>
      </c>
      <c r="J4" s="868"/>
      <c r="K4" s="868"/>
      <c r="L4" s="870"/>
      <c r="M4" s="870"/>
      <c r="N4" s="870"/>
      <c r="O4" s="870"/>
    </row>
    <row r="5" spans="1:15" s="1" customFormat="1" x14ac:dyDescent="0.2">
      <c r="A5" s="867" t="s">
        <v>112</v>
      </c>
      <c r="B5" s="868"/>
      <c r="C5" s="868"/>
      <c r="D5" s="869"/>
      <c r="E5" s="868"/>
      <c r="F5" s="868"/>
      <c r="G5" s="867"/>
      <c r="H5" s="868"/>
      <c r="I5" s="869" t="s">
        <v>113</v>
      </c>
      <c r="J5" s="868"/>
      <c r="K5" s="868"/>
      <c r="L5" s="870"/>
      <c r="M5" s="870"/>
      <c r="N5" s="870"/>
      <c r="O5" s="870"/>
    </row>
    <row r="6" spans="1:15" s="1" customFormat="1" x14ac:dyDescent="0.2">
      <c r="A6" s="871" t="s">
        <v>114</v>
      </c>
      <c r="B6" s="872"/>
      <c r="C6" s="872"/>
      <c r="D6" s="868" t="s">
        <v>943</v>
      </c>
      <c r="E6" s="868"/>
      <c r="F6" s="868"/>
      <c r="G6" s="871" t="s">
        <v>115</v>
      </c>
      <c r="H6" s="871"/>
      <c r="I6" s="2" t="s">
        <v>116</v>
      </c>
      <c r="J6" s="888"/>
      <c r="K6" s="888"/>
      <c r="L6" s="888"/>
      <c r="M6" s="888"/>
      <c r="N6" s="888"/>
      <c r="O6" s="889"/>
    </row>
    <row r="7" spans="1:15" s="1" customFormat="1" ht="13.5" thickBot="1" x14ac:dyDescent="0.25">
      <c r="A7" s="3"/>
      <c r="B7" s="4"/>
      <c r="C7" s="5"/>
      <c r="D7" s="6"/>
      <c r="E7" s="6"/>
      <c r="F7" s="6"/>
      <c r="G7" s="6"/>
      <c r="H7" s="6"/>
      <c r="I7" s="6"/>
      <c r="J7" s="7"/>
      <c r="K7" s="8"/>
      <c r="L7" s="875"/>
      <c r="M7" s="875"/>
      <c r="N7" s="875"/>
      <c r="O7" s="875"/>
    </row>
    <row r="8" spans="1:15" s="11" customFormat="1" x14ac:dyDescent="0.2">
      <c r="A8" s="876" t="str">
        <f>I1</f>
        <v>Mr. RONNY PEREIRA</v>
      </c>
      <c r="B8" s="877"/>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70000</v>
      </c>
      <c r="D9" s="14">
        <v>70000</v>
      </c>
      <c r="E9" s="14">
        <v>70000</v>
      </c>
      <c r="F9" s="14">
        <v>70000</v>
      </c>
      <c r="G9" s="14">
        <v>72100</v>
      </c>
      <c r="H9" s="14">
        <v>72100</v>
      </c>
      <c r="I9" s="14">
        <v>72100</v>
      </c>
      <c r="J9" s="14">
        <v>72100</v>
      </c>
      <c r="K9" s="14">
        <v>72100</v>
      </c>
      <c r="L9" s="14">
        <v>72100</v>
      </c>
      <c r="M9" s="14">
        <v>72100</v>
      </c>
      <c r="N9" s="14">
        <v>72100</v>
      </c>
      <c r="O9" s="15">
        <f t="shared" ref="O9:O50" si="0">SUM(C9:N9)</f>
        <v>856800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 t="shared" si="0"/>
        <v>0</v>
      </c>
    </row>
    <row r="11" spans="1:15" ht="15" x14ac:dyDescent="0.2">
      <c r="A11" s="12"/>
      <c r="B11" s="13" t="s">
        <v>120</v>
      </c>
      <c r="C11" s="17">
        <v>3500</v>
      </c>
      <c r="D11" s="17">
        <v>3500</v>
      </c>
      <c r="E11" s="17">
        <v>4900</v>
      </c>
      <c r="F11" s="17">
        <v>4900</v>
      </c>
      <c r="G11" s="17">
        <v>4900</v>
      </c>
      <c r="H11" s="17">
        <v>5047</v>
      </c>
      <c r="I11" s="17">
        <v>5047</v>
      </c>
      <c r="J11" s="17">
        <v>6489</v>
      </c>
      <c r="K11" s="17">
        <v>6489</v>
      </c>
      <c r="L11" s="17">
        <v>6489</v>
      </c>
      <c r="M11" s="17">
        <v>6489</v>
      </c>
      <c r="N11" s="17">
        <v>6489</v>
      </c>
      <c r="O11" s="18">
        <f t="shared" si="0"/>
        <v>64239</v>
      </c>
    </row>
    <row r="12" spans="1:15"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 t="shared" si="0"/>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si="0"/>
        <v>0</v>
      </c>
    </row>
    <row r="14" spans="1:15" ht="16.5" customHeight="1" x14ac:dyDescent="0.2">
      <c r="A14" s="12"/>
      <c r="B14" s="13" t="s">
        <v>123</v>
      </c>
      <c r="C14" s="17">
        <v>3780</v>
      </c>
      <c r="D14" s="17">
        <v>3780</v>
      </c>
      <c r="E14" s="17">
        <v>3780</v>
      </c>
      <c r="F14" s="17">
        <v>3780</v>
      </c>
      <c r="G14" s="17">
        <v>3780</v>
      </c>
      <c r="H14" s="17">
        <v>3852</v>
      </c>
      <c r="I14" s="17">
        <v>3852</v>
      </c>
      <c r="J14" s="17">
        <v>3924</v>
      </c>
      <c r="K14" s="17">
        <v>3924</v>
      </c>
      <c r="L14" s="17">
        <v>3924</v>
      </c>
      <c r="M14" s="17">
        <v>3924</v>
      </c>
      <c r="N14" s="17">
        <v>3924</v>
      </c>
      <c r="O14" s="18">
        <f t="shared" si="0"/>
        <v>46224</v>
      </c>
    </row>
    <row r="15" spans="1:15" ht="15" customHeight="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6.5" hidden="1" customHeight="1"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row>
    <row r="17" spans="1:15" ht="15.75" hidden="1" customHeight="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127</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5600</v>
      </c>
      <c r="D19" s="17">
        <v>5600</v>
      </c>
      <c r="E19" s="17">
        <v>5600</v>
      </c>
      <c r="F19" s="17">
        <v>5600</v>
      </c>
      <c r="G19" s="17">
        <v>5768</v>
      </c>
      <c r="H19" s="17">
        <v>17304</v>
      </c>
      <c r="I19" s="17">
        <v>17304</v>
      </c>
      <c r="J19" s="17">
        <v>17304</v>
      </c>
      <c r="K19" s="17">
        <v>17304</v>
      </c>
      <c r="L19" s="17">
        <v>17304</v>
      </c>
      <c r="M19" s="17">
        <v>17304</v>
      </c>
      <c r="N19" s="17">
        <v>17304</v>
      </c>
      <c r="O19" s="18">
        <f t="shared" si="0"/>
        <v>149296</v>
      </c>
    </row>
    <row r="20" spans="1:15" ht="15" customHeight="1" x14ac:dyDescent="0.2">
      <c r="A20" s="12"/>
      <c r="B20" s="13" t="s">
        <v>129</v>
      </c>
      <c r="C20" s="17">
        <v>0</v>
      </c>
      <c r="D20" s="17">
        <v>0</v>
      </c>
      <c r="E20" s="17">
        <v>0</v>
      </c>
      <c r="F20" s="17">
        <v>0</v>
      </c>
      <c r="G20" s="17">
        <v>25750</v>
      </c>
      <c r="H20" s="17">
        <v>0</v>
      </c>
      <c r="I20" s="17">
        <v>0</v>
      </c>
      <c r="J20" s="17">
        <v>0</v>
      </c>
      <c r="K20" s="17">
        <v>0</v>
      </c>
      <c r="L20" s="17">
        <v>0</v>
      </c>
      <c r="M20" s="17">
        <v>0</v>
      </c>
      <c r="N20" s="17">
        <v>0</v>
      </c>
      <c r="O20" s="18">
        <f t="shared" si="0"/>
        <v>25750</v>
      </c>
    </row>
    <row r="21" spans="1:15" ht="15" customHeight="1" x14ac:dyDescent="0.2">
      <c r="A21" s="878"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79"/>
      <c r="B22" s="19" t="s">
        <v>132</v>
      </c>
      <c r="C22" s="17">
        <v>0</v>
      </c>
      <c r="D22" s="17">
        <v>0</v>
      </c>
      <c r="E22" s="17">
        <v>0</v>
      </c>
      <c r="F22" s="17">
        <v>0</v>
      </c>
      <c r="G22" s="17">
        <v>0</v>
      </c>
      <c r="H22" s="17">
        <v>0</v>
      </c>
      <c r="I22" s="17">
        <v>0</v>
      </c>
      <c r="J22" s="17">
        <v>0</v>
      </c>
      <c r="K22" s="17">
        <v>0</v>
      </c>
      <c r="L22" s="17">
        <v>0</v>
      </c>
      <c r="M22" s="17">
        <v>0</v>
      </c>
      <c r="N22" s="17">
        <v>0</v>
      </c>
      <c r="O22" s="18">
        <f t="shared" si="0"/>
        <v>0</v>
      </c>
    </row>
    <row r="23" spans="1:15" ht="15" hidden="1" customHeight="1" x14ac:dyDescent="0.2">
      <c r="A23" s="879"/>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79"/>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79"/>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79"/>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79"/>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79"/>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79"/>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79"/>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customHeight="1" x14ac:dyDescent="0.2">
      <c r="A31" s="879"/>
      <c r="B31" s="20" t="s">
        <v>141</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79"/>
      <c r="B32" s="21" t="s">
        <v>142</v>
      </c>
      <c r="C32" s="17">
        <v>0</v>
      </c>
      <c r="D32" s="17">
        <v>0</v>
      </c>
      <c r="E32" s="17">
        <v>0</v>
      </c>
      <c r="F32" s="17">
        <v>0</v>
      </c>
      <c r="G32" s="17">
        <v>0</v>
      </c>
      <c r="H32" s="17">
        <v>0</v>
      </c>
      <c r="I32" s="17">
        <v>0</v>
      </c>
      <c r="J32" s="17">
        <v>0</v>
      </c>
      <c r="K32" s="17">
        <v>0</v>
      </c>
      <c r="L32" s="17">
        <v>0</v>
      </c>
      <c r="M32" s="17">
        <v>0</v>
      </c>
      <c r="N32" s="17">
        <v>0</v>
      </c>
      <c r="O32" s="18">
        <f t="shared" si="0"/>
        <v>0</v>
      </c>
    </row>
    <row r="33" spans="1:17" ht="15" customHeight="1" x14ac:dyDescent="0.2">
      <c r="A33" s="880"/>
      <c r="B33" s="19" t="s">
        <v>143</v>
      </c>
      <c r="C33" s="17">
        <v>0</v>
      </c>
      <c r="D33" s="17">
        <v>0</v>
      </c>
      <c r="E33" s="17">
        <v>0</v>
      </c>
      <c r="F33" s="17">
        <v>0</v>
      </c>
      <c r="G33" s="17">
        <v>0</v>
      </c>
      <c r="H33" s="17">
        <v>0</v>
      </c>
      <c r="I33" s="17">
        <v>0</v>
      </c>
      <c r="J33" s="17">
        <v>0</v>
      </c>
      <c r="K33" s="17">
        <v>0</v>
      </c>
      <c r="L33" s="17">
        <v>0</v>
      </c>
      <c r="M33" s="17">
        <v>0</v>
      </c>
      <c r="N33" s="17">
        <v>0</v>
      </c>
      <c r="O33" s="18">
        <f t="shared" si="0"/>
        <v>0</v>
      </c>
    </row>
    <row r="34" spans="1:17" ht="15" customHeight="1" x14ac:dyDescent="0.2">
      <c r="A34" s="865" t="s">
        <v>144</v>
      </c>
      <c r="B34" s="866"/>
      <c r="C34" s="17">
        <v>0</v>
      </c>
      <c r="D34" s="17">
        <v>0</v>
      </c>
      <c r="E34" s="17">
        <v>0</v>
      </c>
      <c r="F34" s="17">
        <v>0</v>
      </c>
      <c r="G34" s="17">
        <v>0</v>
      </c>
      <c r="H34" s="17">
        <v>0</v>
      </c>
      <c r="I34" s="17">
        <v>0</v>
      </c>
      <c r="J34" s="17">
        <v>0</v>
      </c>
      <c r="K34" s="17">
        <v>0</v>
      </c>
      <c r="L34" s="17">
        <v>0</v>
      </c>
      <c r="M34" s="17">
        <v>0</v>
      </c>
      <c r="N34" s="17">
        <v>0</v>
      </c>
      <c r="O34" s="18">
        <f t="shared" si="0"/>
        <v>0</v>
      </c>
    </row>
    <row r="35" spans="1:17" ht="15" customHeight="1" x14ac:dyDescent="0.2">
      <c r="A35" s="865" t="s">
        <v>145</v>
      </c>
      <c r="B35" s="866"/>
      <c r="C35" s="17">
        <v>216</v>
      </c>
      <c r="D35" s="17">
        <v>0</v>
      </c>
      <c r="E35" s="17">
        <v>0</v>
      </c>
      <c r="F35" s="17">
        <v>0</v>
      </c>
      <c r="G35" s="17">
        <v>0</v>
      </c>
      <c r="H35" s="17">
        <v>0</v>
      </c>
      <c r="I35" s="17">
        <v>0</v>
      </c>
      <c r="J35" s="17">
        <v>216</v>
      </c>
      <c r="K35" s="17">
        <v>0</v>
      </c>
      <c r="L35" s="17">
        <v>0</v>
      </c>
      <c r="M35" s="17">
        <v>0</v>
      </c>
      <c r="N35" s="17">
        <v>0</v>
      </c>
      <c r="O35" s="18">
        <f t="shared" si="0"/>
        <v>432</v>
      </c>
    </row>
    <row r="36" spans="1:17" ht="15" customHeight="1" x14ac:dyDescent="0.2">
      <c r="A36" s="865" t="s">
        <v>146</v>
      </c>
      <c r="B36" s="866"/>
      <c r="C36" s="17">
        <v>4092</v>
      </c>
      <c r="D36" s="17">
        <v>0</v>
      </c>
      <c r="E36" s="17">
        <v>0</v>
      </c>
      <c r="F36" s="17">
        <v>0</v>
      </c>
      <c r="G36" s="17">
        <v>0</v>
      </c>
      <c r="H36" s="17">
        <v>0</v>
      </c>
      <c r="I36" s="17">
        <v>0</v>
      </c>
      <c r="J36" s="17">
        <v>4326</v>
      </c>
      <c r="K36" s="17">
        <v>0</v>
      </c>
      <c r="L36" s="17">
        <v>0</v>
      </c>
      <c r="M36" s="17">
        <v>0</v>
      </c>
      <c r="N36" s="17">
        <v>0</v>
      </c>
      <c r="O36" s="18">
        <f t="shared" si="0"/>
        <v>8418</v>
      </c>
    </row>
    <row r="37" spans="1:17" ht="15" customHeight="1" x14ac:dyDescent="0.2">
      <c r="A37" s="22"/>
      <c r="B37" s="23" t="s">
        <v>147</v>
      </c>
      <c r="C37" s="24">
        <f t="shared" ref="C37:N37" si="1">SUM(C9:C36)</f>
        <v>87188</v>
      </c>
      <c r="D37" s="24">
        <f t="shared" si="1"/>
        <v>82880</v>
      </c>
      <c r="E37" s="24">
        <f t="shared" si="1"/>
        <v>84280</v>
      </c>
      <c r="F37" s="24">
        <f t="shared" si="1"/>
        <v>84280</v>
      </c>
      <c r="G37" s="24">
        <f t="shared" si="1"/>
        <v>112298</v>
      </c>
      <c r="H37" s="24">
        <f t="shared" si="1"/>
        <v>98303</v>
      </c>
      <c r="I37" s="24">
        <f t="shared" si="1"/>
        <v>98303</v>
      </c>
      <c r="J37" s="24">
        <f t="shared" si="1"/>
        <v>104359</v>
      </c>
      <c r="K37" s="24">
        <f t="shared" si="1"/>
        <v>99817</v>
      </c>
      <c r="L37" s="24">
        <f t="shared" si="1"/>
        <v>99817</v>
      </c>
      <c r="M37" s="24">
        <f t="shared" si="1"/>
        <v>99817</v>
      </c>
      <c r="N37" s="24">
        <f t="shared" si="1"/>
        <v>99817</v>
      </c>
      <c r="O37" s="25">
        <f t="shared" si="0"/>
        <v>1151159</v>
      </c>
      <c r="Q37" s="26"/>
    </row>
    <row r="38" spans="1:17" ht="15" customHeight="1" x14ac:dyDescent="0.2">
      <c r="A38" s="853" t="s">
        <v>148</v>
      </c>
      <c r="B38" s="27" t="s">
        <v>149</v>
      </c>
      <c r="C38" s="28">
        <v>0</v>
      </c>
      <c r="D38" s="28">
        <v>6000</v>
      </c>
      <c r="E38" s="28">
        <v>6000</v>
      </c>
      <c r="F38" s="28">
        <v>6000</v>
      </c>
      <c r="G38" s="28">
        <v>6000</v>
      </c>
      <c r="H38" s="28">
        <v>9000</v>
      </c>
      <c r="I38" s="28">
        <v>9000</v>
      </c>
      <c r="J38" s="28">
        <v>9000</v>
      </c>
      <c r="K38" s="28">
        <v>2530</v>
      </c>
      <c r="L38" s="28">
        <v>24390</v>
      </c>
      <c r="M38" s="28">
        <v>18585</v>
      </c>
      <c r="N38" s="28">
        <v>18585</v>
      </c>
      <c r="O38" s="18">
        <f t="shared" si="0"/>
        <v>115090</v>
      </c>
      <c r="P38" s="29"/>
    </row>
    <row r="39" spans="1:17" ht="15" x14ac:dyDescent="0.2">
      <c r="A39" s="854"/>
      <c r="B39" s="27" t="s">
        <v>150</v>
      </c>
      <c r="C39" s="28">
        <v>0</v>
      </c>
      <c r="D39" s="28">
        <v>0</v>
      </c>
      <c r="E39" s="28">
        <v>0</v>
      </c>
      <c r="F39" s="28">
        <v>0</v>
      </c>
      <c r="G39" s="28">
        <v>0</v>
      </c>
      <c r="H39" s="28">
        <v>0</v>
      </c>
      <c r="I39" s="28">
        <v>0</v>
      </c>
      <c r="J39" s="28">
        <v>0</v>
      </c>
      <c r="K39" s="28">
        <v>0</v>
      </c>
      <c r="L39" s="28">
        <v>0</v>
      </c>
      <c r="M39" s="28">
        <v>0</v>
      </c>
      <c r="N39" s="28">
        <v>0</v>
      </c>
      <c r="O39" s="18">
        <f t="shared" si="0"/>
        <v>0</v>
      </c>
    </row>
    <row r="40" spans="1:17" ht="15" x14ac:dyDescent="0.2">
      <c r="A40" s="854"/>
      <c r="B40" s="27" t="s">
        <v>151</v>
      </c>
      <c r="C40" s="28">
        <v>60</v>
      </c>
      <c r="D40" s="28">
        <v>60</v>
      </c>
      <c r="E40" s="28">
        <v>60</v>
      </c>
      <c r="F40" s="28">
        <v>60</v>
      </c>
      <c r="G40" s="28">
        <v>60</v>
      </c>
      <c r="H40" s="28">
        <v>60</v>
      </c>
      <c r="I40" s="28">
        <v>60</v>
      </c>
      <c r="J40" s="28">
        <v>60</v>
      </c>
      <c r="K40" s="28">
        <v>60</v>
      </c>
      <c r="L40" s="28">
        <v>60</v>
      </c>
      <c r="M40" s="28">
        <v>60</v>
      </c>
      <c r="N40" s="28">
        <v>60</v>
      </c>
      <c r="O40" s="18">
        <f t="shared" si="0"/>
        <v>720</v>
      </c>
    </row>
    <row r="41" spans="1:17" ht="15" x14ac:dyDescent="0.2">
      <c r="A41" s="854"/>
      <c r="B41" s="27" t="s">
        <v>152</v>
      </c>
      <c r="C41" s="28">
        <v>0</v>
      </c>
      <c r="D41" s="28">
        <v>0</v>
      </c>
      <c r="E41" s="28">
        <v>0</v>
      </c>
      <c r="F41" s="28">
        <v>0</v>
      </c>
      <c r="G41" s="28">
        <v>0</v>
      </c>
      <c r="H41" s="28">
        <v>0</v>
      </c>
      <c r="I41" s="28">
        <v>0</v>
      </c>
      <c r="J41" s="28">
        <v>0</v>
      </c>
      <c r="K41" s="28">
        <v>0</v>
      </c>
      <c r="L41" s="28">
        <v>0</v>
      </c>
      <c r="M41" s="28">
        <v>0</v>
      </c>
      <c r="N41" s="28">
        <v>0</v>
      </c>
      <c r="O41" s="18">
        <f t="shared" si="0"/>
        <v>0</v>
      </c>
    </row>
    <row r="42" spans="1:17" ht="15" x14ac:dyDescent="0.2">
      <c r="A42" s="854"/>
      <c r="B42" s="27" t="s">
        <v>153</v>
      </c>
      <c r="C42" s="28">
        <v>0</v>
      </c>
      <c r="D42" s="28">
        <v>0</v>
      </c>
      <c r="E42" s="28">
        <v>0</v>
      </c>
      <c r="F42" s="28">
        <v>0</v>
      </c>
      <c r="G42" s="28">
        <v>0</v>
      </c>
      <c r="H42" s="28">
        <v>0</v>
      </c>
      <c r="I42" s="28">
        <v>0</v>
      </c>
      <c r="J42" s="28">
        <v>0</v>
      </c>
      <c r="K42" s="28">
        <v>0</v>
      </c>
      <c r="L42" s="28">
        <v>0</v>
      </c>
      <c r="M42" s="28">
        <v>0</v>
      </c>
      <c r="N42" s="28">
        <v>0</v>
      </c>
      <c r="O42" s="18">
        <f t="shared" si="0"/>
        <v>0</v>
      </c>
    </row>
    <row r="43" spans="1:17" ht="15" x14ac:dyDescent="0.2">
      <c r="A43" s="854"/>
      <c r="B43" s="27" t="s">
        <v>154</v>
      </c>
      <c r="C43" s="28">
        <v>15000</v>
      </c>
      <c r="D43" s="28">
        <v>15000</v>
      </c>
      <c r="E43" s="28">
        <v>15000</v>
      </c>
      <c r="F43" s="28">
        <v>15000</v>
      </c>
      <c r="G43" s="28">
        <v>15000</v>
      </c>
      <c r="H43" s="28">
        <v>20000</v>
      </c>
      <c r="I43" s="28">
        <v>20000</v>
      </c>
      <c r="J43" s="28">
        <v>20000</v>
      </c>
      <c r="K43" s="28">
        <v>20000</v>
      </c>
      <c r="L43" s="28">
        <v>20000</v>
      </c>
      <c r="M43" s="28">
        <v>20000</v>
      </c>
      <c r="N43" s="28">
        <v>20000</v>
      </c>
      <c r="O43" s="18">
        <f t="shared" si="0"/>
        <v>215000</v>
      </c>
    </row>
    <row r="44" spans="1:17" ht="15" x14ac:dyDescent="0.2">
      <c r="A44" s="854"/>
      <c r="B44" s="27" t="s">
        <v>155</v>
      </c>
      <c r="C44" s="28">
        <v>200</v>
      </c>
      <c r="D44" s="28">
        <v>200</v>
      </c>
      <c r="E44" s="28">
        <v>200</v>
      </c>
      <c r="F44" s="28">
        <v>200</v>
      </c>
      <c r="G44" s="28">
        <v>200</v>
      </c>
      <c r="H44" s="28">
        <v>200</v>
      </c>
      <c r="I44" s="28">
        <v>200</v>
      </c>
      <c r="J44" s="28">
        <v>200</v>
      </c>
      <c r="K44" s="28">
        <v>200</v>
      </c>
      <c r="L44" s="28">
        <v>200</v>
      </c>
      <c r="M44" s="28">
        <v>200</v>
      </c>
      <c r="N44" s="28">
        <v>300</v>
      </c>
      <c r="O44" s="18">
        <f t="shared" si="0"/>
        <v>2500</v>
      </c>
    </row>
    <row r="45" spans="1:17" ht="15" x14ac:dyDescent="0.2">
      <c r="A45" s="854"/>
      <c r="B45" s="27" t="s">
        <v>156</v>
      </c>
      <c r="C45" s="28">
        <v>0</v>
      </c>
      <c r="D45" s="28">
        <v>0</v>
      </c>
      <c r="E45" s="28">
        <v>0</v>
      </c>
      <c r="F45" s="28">
        <v>0</v>
      </c>
      <c r="G45" s="28">
        <v>0</v>
      </c>
      <c r="H45" s="28">
        <v>0</v>
      </c>
      <c r="I45" s="28">
        <v>0</v>
      </c>
      <c r="J45" s="28">
        <v>0</v>
      </c>
      <c r="K45" s="28">
        <v>0</v>
      </c>
      <c r="L45" s="28">
        <v>0</v>
      </c>
      <c r="M45" s="28">
        <v>0</v>
      </c>
      <c r="N45" s="28">
        <v>0</v>
      </c>
      <c r="O45" s="18">
        <f t="shared" si="0"/>
        <v>0</v>
      </c>
    </row>
    <row r="46" spans="1:17" ht="15" x14ac:dyDescent="0.2">
      <c r="A46" s="854"/>
      <c r="B46" s="27" t="s">
        <v>157</v>
      </c>
      <c r="C46" s="28">
        <v>0</v>
      </c>
      <c r="D46" s="28">
        <v>0</v>
      </c>
      <c r="E46" s="28">
        <v>0</v>
      </c>
      <c r="F46" s="28">
        <v>0</v>
      </c>
      <c r="G46" s="28">
        <v>0</v>
      </c>
      <c r="H46" s="28">
        <v>0</v>
      </c>
      <c r="I46" s="28">
        <v>0</v>
      </c>
      <c r="J46" s="28">
        <v>0</v>
      </c>
      <c r="K46" s="28">
        <v>0</v>
      </c>
      <c r="L46" s="28">
        <v>0</v>
      </c>
      <c r="M46" s="28">
        <v>0</v>
      </c>
      <c r="N46" s="28">
        <v>0</v>
      </c>
      <c r="O46" s="18">
        <f t="shared" si="0"/>
        <v>0</v>
      </c>
    </row>
    <row r="47" spans="1:17" ht="28.5" customHeight="1" x14ac:dyDescent="0.2">
      <c r="A47" s="855"/>
      <c r="B47" s="30" t="s">
        <v>158</v>
      </c>
      <c r="C47" s="28">
        <v>0</v>
      </c>
      <c r="D47" s="28">
        <v>0</v>
      </c>
      <c r="E47" s="28">
        <v>0</v>
      </c>
      <c r="F47" s="28">
        <v>0</v>
      </c>
      <c r="G47" s="28">
        <v>0</v>
      </c>
      <c r="H47" s="28">
        <v>0</v>
      </c>
      <c r="I47" s="28">
        <v>0</v>
      </c>
      <c r="J47" s="28">
        <v>0</v>
      </c>
      <c r="K47" s="28">
        <v>0</v>
      </c>
      <c r="L47" s="28">
        <v>0</v>
      </c>
      <c r="M47" s="28">
        <v>0</v>
      </c>
      <c r="N47" s="28">
        <v>0</v>
      </c>
      <c r="O47" s="31">
        <f t="shared" si="0"/>
        <v>0</v>
      </c>
    </row>
    <row r="48" spans="1:17" ht="27.75" customHeight="1" x14ac:dyDescent="0.2">
      <c r="A48" s="856"/>
      <c r="B48" s="32" t="s">
        <v>159</v>
      </c>
      <c r="C48" s="28">
        <v>0</v>
      </c>
      <c r="D48" s="28">
        <v>0</v>
      </c>
      <c r="E48" s="28">
        <v>0</v>
      </c>
      <c r="F48" s="28">
        <v>0</v>
      </c>
      <c r="G48" s="28">
        <v>0</v>
      </c>
      <c r="H48" s="28">
        <v>0</v>
      </c>
      <c r="I48" s="28">
        <v>0</v>
      </c>
      <c r="J48" s="28">
        <v>0</v>
      </c>
      <c r="K48" s="28">
        <v>0</v>
      </c>
      <c r="L48" s="28">
        <v>0</v>
      </c>
      <c r="M48" s="28">
        <v>0</v>
      </c>
      <c r="N48" s="28">
        <v>0</v>
      </c>
      <c r="O48" s="31">
        <f t="shared" si="0"/>
        <v>0</v>
      </c>
    </row>
    <row r="49" spans="1:18" ht="15" x14ac:dyDescent="0.2">
      <c r="A49" s="857" t="s">
        <v>160</v>
      </c>
      <c r="B49" s="858"/>
      <c r="C49" s="33">
        <f t="shared" ref="C49:N49" si="2">SUM(C38:C48)</f>
        <v>15260</v>
      </c>
      <c r="D49" s="33">
        <f t="shared" si="2"/>
        <v>21260</v>
      </c>
      <c r="E49" s="33">
        <f t="shared" si="2"/>
        <v>21260</v>
      </c>
      <c r="F49" s="33">
        <f t="shared" si="2"/>
        <v>21260</v>
      </c>
      <c r="G49" s="33">
        <f t="shared" si="2"/>
        <v>21260</v>
      </c>
      <c r="H49" s="33">
        <f t="shared" si="2"/>
        <v>29260</v>
      </c>
      <c r="I49" s="33">
        <f t="shared" si="2"/>
        <v>29260</v>
      </c>
      <c r="J49" s="33">
        <f t="shared" si="2"/>
        <v>29260</v>
      </c>
      <c r="K49" s="33">
        <f t="shared" si="2"/>
        <v>22790</v>
      </c>
      <c r="L49" s="33">
        <f t="shared" si="2"/>
        <v>44650</v>
      </c>
      <c r="M49" s="33">
        <f t="shared" si="2"/>
        <v>38845</v>
      </c>
      <c r="N49" s="33">
        <f t="shared" si="2"/>
        <v>38945</v>
      </c>
      <c r="O49" s="34">
        <f t="shared" si="0"/>
        <v>333310</v>
      </c>
    </row>
    <row r="50" spans="1:18" ht="15.75" thickBot="1" x14ac:dyDescent="0.25">
      <c r="A50" s="859" t="s">
        <v>161</v>
      </c>
      <c r="B50" s="860"/>
      <c r="C50" s="35">
        <f t="shared" ref="C50:N50" si="3">C37-C49</f>
        <v>71928</v>
      </c>
      <c r="D50" s="35">
        <f t="shared" si="3"/>
        <v>61620</v>
      </c>
      <c r="E50" s="35">
        <f t="shared" si="3"/>
        <v>63020</v>
      </c>
      <c r="F50" s="35">
        <f t="shared" si="3"/>
        <v>63020</v>
      </c>
      <c r="G50" s="35">
        <f t="shared" si="3"/>
        <v>91038</v>
      </c>
      <c r="H50" s="35">
        <f t="shared" si="3"/>
        <v>69043</v>
      </c>
      <c r="I50" s="35">
        <f t="shared" si="3"/>
        <v>69043</v>
      </c>
      <c r="J50" s="35">
        <f t="shared" si="3"/>
        <v>75099</v>
      </c>
      <c r="K50" s="35">
        <f t="shared" si="3"/>
        <v>77027</v>
      </c>
      <c r="L50" s="35">
        <f t="shared" si="3"/>
        <v>55167</v>
      </c>
      <c r="M50" s="35">
        <f t="shared" si="3"/>
        <v>60972</v>
      </c>
      <c r="N50" s="35">
        <f t="shared" si="3"/>
        <v>60872</v>
      </c>
      <c r="O50" s="36">
        <f t="shared" si="0"/>
        <v>817849</v>
      </c>
    </row>
    <row r="51" spans="1:18" x14ac:dyDescent="0.2">
      <c r="J51" s="16">
        <f>+J37-J32-J35-J36</f>
        <v>99817</v>
      </c>
      <c r="Q51" s="38"/>
    </row>
    <row r="52" spans="1:18" ht="13.5" thickBot="1" x14ac:dyDescent="0.25">
      <c r="J52" s="38">
        <f>+J51-J49</f>
        <v>70557</v>
      </c>
    </row>
    <row r="53" spans="1:18" ht="13.5" thickBot="1" x14ac:dyDescent="0.25">
      <c r="B53" s="789" t="s">
        <v>162</v>
      </c>
      <c r="C53" s="861"/>
      <c r="D53" s="861"/>
      <c r="E53" s="861"/>
      <c r="F53" s="862"/>
      <c r="G53" s="863">
        <f>O37</f>
        <v>1151159</v>
      </c>
      <c r="H53" s="864"/>
      <c r="J53" s="38">
        <f>+J52+21206</f>
        <v>91763</v>
      </c>
    </row>
    <row r="54" spans="1:18" ht="13.5" thickBot="1" x14ac:dyDescent="0.25"/>
    <row r="55" spans="1:18" x14ac:dyDescent="0.2">
      <c r="B55" s="830" t="s">
        <v>163</v>
      </c>
      <c r="C55" s="833" t="s">
        <v>164</v>
      </c>
      <c r="D55" s="836" t="s">
        <v>425</v>
      </c>
      <c r="E55" s="837"/>
      <c r="F55" s="838"/>
      <c r="G55" s="839">
        <v>40000</v>
      </c>
      <c r="H55" s="840"/>
    </row>
    <row r="56" spans="1:18" x14ac:dyDescent="0.2">
      <c r="B56" s="831"/>
      <c r="C56" s="834"/>
      <c r="D56" s="841" t="s">
        <v>166</v>
      </c>
      <c r="E56" s="842"/>
      <c r="F56" s="843"/>
      <c r="G56" s="844">
        <f>+O44</f>
        <v>2500</v>
      </c>
      <c r="H56" s="845"/>
      <c r="I56" s="39"/>
      <c r="J56" s="846"/>
      <c r="K56" s="846"/>
      <c r="L56" s="846"/>
      <c r="M56" s="847"/>
      <c r="N56" s="847"/>
      <c r="O56" s="847"/>
    </row>
    <row r="57" spans="1:18" x14ac:dyDescent="0.2">
      <c r="B57" s="886"/>
      <c r="C57" s="887"/>
      <c r="D57" s="40" t="s">
        <v>129</v>
      </c>
      <c r="E57" s="41"/>
      <c r="F57" s="42"/>
      <c r="G57" s="43"/>
      <c r="H57" s="44">
        <v>0</v>
      </c>
      <c r="I57" s="39"/>
      <c r="J57" s="45"/>
      <c r="K57" s="45"/>
      <c r="L57" s="45"/>
      <c r="M57" s="46"/>
      <c r="N57" s="46"/>
      <c r="O57" s="46"/>
    </row>
    <row r="58" spans="1:18" ht="13.5" thickBot="1" x14ac:dyDescent="0.25">
      <c r="B58" s="832"/>
      <c r="C58" s="835"/>
      <c r="D58" s="848" t="s">
        <v>167</v>
      </c>
      <c r="E58" s="849"/>
      <c r="F58" s="850"/>
      <c r="G58" s="851">
        <f>O18</f>
        <v>0</v>
      </c>
      <c r="H58" s="852"/>
      <c r="J58" s="47"/>
      <c r="K58" s="47"/>
      <c r="L58" s="47"/>
      <c r="M58" s="47"/>
      <c r="N58" s="47"/>
      <c r="O58" s="47"/>
    </row>
    <row r="59" spans="1:18" ht="13.5" thickBot="1" x14ac:dyDescent="0.25">
      <c r="B59" s="48"/>
      <c r="J59" s="47"/>
      <c r="K59" s="47"/>
      <c r="L59" s="47"/>
      <c r="M59" s="47"/>
      <c r="N59" s="47"/>
      <c r="O59" s="47"/>
    </row>
    <row r="60" spans="1:18" ht="13.5" thickBot="1" x14ac:dyDescent="0.25">
      <c r="B60" s="789" t="s">
        <v>168</v>
      </c>
      <c r="C60" s="790"/>
      <c r="D60" s="790"/>
      <c r="E60" s="790"/>
      <c r="F60" s="791"/>
      <c r="G60" s="825">
        <f>+G53-SUM(G55:H58)</f>
        <v>1108659</v>
      </c>
      <c r="H60" s="826"/>
      <c r="J60" s="827" t="s">
        <v>169</v>
      </c>
      <c r="K60" s="828"/>
      <c r="L60" s="828"/>
      <c r="M60" s="828"/>
      <c r="N60" s="828"/>
      <c r="O60" s="829"/>
    </row>
    <row r="61" spans="1:18" ht="13.5" thickBot="1" x14ac:dyDescent="0.25">
      <c r="B61" s="49"/>
      <c r="C61" s="50"/>
      <c r="D61" s="50"/>
      <c r="E61" s="50"/>
      <c r="F61" s="50"/>
      <c r="G61" s="45"/>
      <c r="H61" s="50"/>
      <c r="J61" s="51"/>
      <c r="K61" s="52"/>
      <c r="L61" s="52"/>
      <c r="M61" s="52"/>
      <c r="N61" s="52"/>
      <c r="O61" s="53"/>
    </row>
    <row r="62" spans="1:18" ht="13.5" thickBot="1" x14ac:dyDescent="0.25">
      <c r="B62" s="789" t="s">
        <v>170</v>
      </c>
      <c r="C62" s="790"/>
      <c r="D62" s="790"/>
      <c r="E62" s="790"/>
      <c r="F62" s="791"/>
      <c r="G62" s="805"/>
      <c r="H62" s="791"/>
      <c r="J62" s="54"/>
      <c r="K62" s="55"/>
      <c r="L62" s="55"/>
      <c r="M62" s="55"/>
      <c r="N62" s="55"/>
      <c r="O62" s="56"/>
    </row>
    <row r="63" spans="1:18" ht="12.75" customHeight="1" x14ac:dyDescent="0.2">
      <c r="B63" s="57" t="s">
        <v>171</v>
      </c>
      <c r="C63" s="806" t="s">
        <v>172</v>
      </c>
      <c r="D63" s="807"/>
      <c r="E63" s="807"/>
      <c r="F63" s="808"/>
      <c r="G63" s="809">
        <v>0</v>
      </c>
      <c r="H63" s="809"/>
      <c r="I63" s="58"/>
      <c r="J63" s="810" t="s">
        <v>173</v>
      </c>
      <c r="K63" s="811"/>
      <c r="L63" s="811"/>
      <c r="M63" s="811"/>
      <c r="N63" s="811"/>
      <c r="O63" s="812"/>
      <c r="Q63" s="59"/>
      <c r="R63" s="59"/>
    </row>
    <row r="64" spans="1:18" ht="13.5" thickBot="1" x14ac:dyDescent="0.25">
      <c r="D64" s="37"/>
      <c r="I64" s="58"/>
      <c r="J64" s="60" t="s">
        <v>174</v>
      </c>
      <c r="K64" s="61"/>
      <c r="L64" s="61"/>
      <c r="M64" s="61"/>
      <c r="N64" s="61"/>
      <c r="O64" s="62"/>
      <c r="Q64" s="59"/>
      <c r="R64" s="59"/>
    </row>
    <row r="65" spans="2:18" ht="13.5" thickBot="1" x14ac:dyDescent="0.25">
      <c r="B65" s="789" t="s">
        <v>175</v>
      </c>
      <c r="C65" s="790"/>
      <c r="D65" s="790"/>
      <c r="E65" s="790"/>
      <c r="F65" s="791"/>
      <c r="G65" s="805">
        <f>+G60-G63</f>
        <v>1108659</v>
      </c>
      <c r="H65" s="791"/>
      <c r="I65" s="63"/>
      <c r="J65" s="64"/>
      <c r="K65" s="39"/>
      <c r="L65" s="39"/>
      <c r="M65" s="39"/>
      <c r="N65" s="39"/>
      <c r="O65" s="65"/>
      <c r="Q65" s="59"/>
      <c r="R65" s="59"/>
    </row>
    <row r="66" spans="2:18" ht="12.75" customHeight="1" x14ac:dyDescent="0.2">
      <c r="B66" s="48"/>
      <c r="C66" s="48"/>
      <c r="I66" s="63"/>
      <c r="J66" s="64"/>
      <c r="K66" s="39"/>
      <c r="L66" s="39"/>
      <c r="M66" s="39"/>
      <c r="N66" s="39"/>
      <c r="O66" s="65"/>
      <c r="Q66" s="59"/>
      <c r="R66" s="59"/>
    </row>
    <row r="67" spans="2:18" x14ac:dyDescent="0.2">
      <c r="B67" s="66" t="s">
        <v>176</v>
      </c>
      <c r="C67" s="48"/>
      <c r="I67" s="63"/>
      <c r="J67" s="67"/>
      <c r="K67" s="68"/>
      <c r="L67" s="68"/>
      <c r="M67" s="68"/>
      <c r="N67" s="68"/>
      <c r="O67" s="69"/>
      <c r="Q67" s="59"/>
      <c r="R67" s="59"/>
    </row>
    <row r="68" spans="2:18" ht="26.25" customHeight="1" thickBot="1" x14ac:dyDescent="0.25">
      <c r="B68" s="66"/>
      <c r="C68" s="48"/>
      <c r="G68" s="70" t="s">
        <v>177</v>
      </c>
      <c r="H68" s="70" t="s">
        <v>178</v>
      </c>
      <c r="I68" s="63"/>
      <c r="J68" s="810" t="s">
        <v>179</v>
      </c>
      <c r="K68" s="811"/>
      <c r="L68" s="71"/>
      <c r="M68" s="71"/>
      <c r="N68" s="71"/>
      <c r="O68" s="72"/>
      <c r="Q68" s="59"/>
      <c r="R68" s="59"/>
    </row>
    <row r="69" spans="2:18" ht="12.75" customHeight="1" x14ac:dyDescent="0.2">
      <c r="B69" s="802" t="s">
        <v>180</v>
      </c>
      <c r="C69" s="821" t="s">
        <v>181</v>
      </c>
      <c r="D69" s="823" t="s">
        <v>182</v>
      </c>
      <c r="E69" s="824"/>
      <c r="F69" s="824"/>
      <c r="G69" s="73">
        <f>+O43</f>
        <v>215000</v>
      </c>
      <c r="H69" s="74">
        <f t="shared" ref="H69:H77" si="4">+G69</f>
        <v>215000</v>
      </c>
      <c r="I69" s="63"/>
      <c r="J69" s="75" t="s">
        <v>183</v>
      </c>
      <c r="K69" s="58"/>
      <c r="L69" s="58"/>
      <c r="M69" s="58"/>
      <c r="N69" s="58"/>
      <c r="O69" s="76"/>
      <c r="Q69" s="59"/>
      <c r="R69" s="59"/>
    </row>
    <row r="70" spans="2:18" ht="12.75" customHeight="1" x14ac:dyDescent="0.2">
      <c r="B70" s="803"/>
      <c r="C70" s="822"/>
      <c r="D70" s="782" t="s">
        <v>184</v>
      </c>
      <c r="E70" s="783"/>
      <c r="F70" s="783"/>
      <c r="G70" s="77">
        <v>0</v>
      </c>
      <c r="H70" s="78">
        <f t="shared" si="4"/>
        <v>0</v>
      </c>
      <c r="I70" s="63"/>
      <c r="J70" s="79" t="s">
        <v>552</v>
      </c>
      <c r="K70" s="68"/>
      <c r="L70" s="68"/>
      <c r="M70" s="68"/>
      <c r="N70" s="68"/>
      <c r="O70" s="69">
        <v>1123</v>
      </c>
      <c r="Q70" s="59"/>
      <c r="R70" s="59"/>
    </row>
    <row r="71" spans="2:18" ht="12.75" customHeight="1" x14ac:dyDescent="0.2">
      <c r="B71" s="803"/>
      <c r="C71" s="822"/>
      <c r="D71" s="819" t="s">
        <v>185</v>
      </c>
      <c r="E71" s="820"/>
      <c r="F71" s="820"/>
      <c r="G71" s="80">
        <f>O40</f>
        <v>720</v>
      </c>
      <c r="H71" s="78">
        <f t="shared" si="4"/>
        <v>720</v>
      </c>
      <c r="I71" s="63"/>
      <c r="J71" s="67"/>
      <c r="K71" s="68"/>
      <c r="L71" s="68"/>
      <c r="M71" s="68"/>
      <c r="N71" s="68"/>
      <c r="O71" s="69"/>
    </row>
    <row r="72" spans="2:18" x14ac:dyDescent="0.2">
      <c r="B72" s="803"/>
      <c r="C72" s="822"/>
      <c r="D72" s="782" t="s">
        <v>186</v>
      </c>
      <c r="E72" s="783"/>
      <c r="F72" s="783"/>
      <c r="G72" s="81">
        <v>0</v>
      </c>
      <c r="H72" s="78">
        <f t="shared" si="4"/>
        <v>0</v>
      </c>
      <c r="I72" s="63"/>
      <c r="J72" s="82" t="s">
        <v>187</v>
      </c>
      <c r="K72" s="71"/>
      <c r="L72" s="71"/>
      <c r="M72" s="71"/>
      <c r="N72" s="71"/>
      <c r="O72" s="72"/>
    </row>
    <row r="73" spans="2:18" ht="12.75" customHeight="1" x14ac:dyDescent="0.2">
      <c r="B73" s="803"/>
      <c r="C73" s="822"/>
      <c r="D73" s="784" t="s">
        <v>188</v>
      </c>
      <c r="E73" s="783"/>
      <c r="F73" s="783"/>
      <c r="G73" s="80">
        <v>0</v>
      </c>
      <c r="H73" s="78">
        <f t="shared" si="4"/>
        <v>0</v>
      </c>
      <c r="I73" s="63"/>
      <c r="J73" s="75" t="s">
        <v>189</v>
      </c>
      <c r="K73" s="50"/>
      <c r="L73" s="50"/>
      <c r="M73" s="50"/>
      <c r="N73" s="50"/>
      <c r="O73" s="83">
        <f>O42</f>
        <v>0</v>
      </c>
    </row>
    <row r="74" spans="2:18" ht="14.25" customHeight="1" x14ac:dyDescent="0.2">
      <c r="B74" s="803"/>
      <c r="C74" s="822"/>
      <c r="D74" s="782" t="s">
        <v>190</v>
      </c>
      <c r="E74" s="783"/>
      <c r="F74" s="783"/>
      <c r="G74" s="84">
        <v>0</v>
      </c>
      <c r="H74" s="78">
        <f t="shared" si="4"/>
        <v>0</v>
      </c>
      <c r="I74" s="63"/>
      <c r="J74" s="64"/>
      <c r="K74" s="39"/>
      <c r="L74" s="39"/>
      <c r="M74" s="39"/>
      <c r="N74" s="39"/>
      <c r="O74" s="65"/>
    </row>
    <row r="75" spans="2:18" x14ac:dyDescent="0.2">
      <c r="B75" s="803"/>
      <c r="C75" s="822"/>
      <c r="D75" s="782" t="s">
        <v>191</v>
      </c>
      <c r="E75" s="783"/>
      <c r="F75" s="783"/>
      <c r="G75" s="81">
        <v>0</v>
      </c>
      <c r="H75" s="78">
        <f t="shared" si="4"/>
        <v>0</v>
      </c>
      <c r="I75" s="58"/>
      <c r="J75" s="85"/>
      <c r="K75" s="63"/>
      <c r="L75" s="63"/>
      <c r="M75" s="63"/>
      <c r="N75" s="63"/>
      <c r="O75" s="86"/>
      <c r="P75" s="87"/>
    </row>
    <row r="76" spans="2:18" x14ac:dyDescent="0.2">
      <c r="B76" s="803"/>
      <c r="C76" s="88" t="s">
        <v>192</v>
      </c>
      <c r="D76" s="813" t="s">
        <v>193</v>
      </c>
      <c r="E76" s="814"/>
      <c r="F76" s="814"/>
      <c r="G76" s="80">
        <v>0</v>
      </c>
      <c r="H76" s="78">
        <f t="shared" si="4"/>
        <v>0</v>
      </c>
      <c r="I76" s="58"/>
      <c r="J76" s="60"/>
      <c r="K76" s="68"/>
      <c r="L76" s="68"/>
      <c r="M76" s="50"/>
      <c r="N76" s="50"/>
      <c r="O76" s="83"/>
      <c r="P76" s="87"/>
    </row>
    <row r="77" spans="2:18" ht="13.5" customHeight="1" thickBot="1" x14ac:dyDescent="0.25">
      <c r="B77" s="803"/>
      <c r="C77" s="88" t="s">
        <v>194</v>
      </c>
      <c r="D77" s="815" t="s">
        <v>195</v>
      </c>
      <c r="E77" s="815"/>
      <c r="F77" s="815"/>
      <c r="G77" s="89">
        <v>0</v>
      </c>
      <c r="H77" s="90">
        <f t="shared" si="4"/>
        <v>0</v>
      </c>
      <c r="I77" s="63"/>
      <c r="J77" s="75"/>
      <c r="K77" s="68"/>
      <c r="L77" s="68"/>
      <c r="M77" s="91"/>
      <c r="N77" s="91"/>
      <c r="O77" s="92"/>
    </row>
    <row r="78" spans="2:18" ht="13.5" thickBot="1" x14ac:dyDescent="0.25">
      <c r="B78" s="803"/>
      <c r="C78" s="93"/>
      <c r="D78" s="94"/>
      <c r="E78" s="816" t="s">
        <v>117</v>
      </c>
      <c r="F78" s="817"/>
      <c r="G78" s="95">
        <f>SUM(G69:G77)</f>
        <v>215720</v>
      </c>
      <c r="H78" s="96">
        <f>IF(SUM(G69:G75)&lt;150000,SUM(G69:G75),150000)+IF(+G76&lt;20000,+G76,20000)</f>
        <v>150000</v>
      </c>
      <c r="I78" s="63"/>
      <c r="J78" s="97"/>
      <c r="K78" s="98"/>
      <c r="L78" s="98"/>
      <c r="M78" s="98"/>
      <c r="N78" s="98"/>
      <c r="O78" s="99"/>
    </row>
    <row r="79" spans="2:18" ht="12.75" customHeight="1" x14ac:dyDescent="0.2">
      <c r="B79" s="803"/>
      <c r="C79" s="100" t="s">
        <v>196</v>
      </c>
      <c r="D79" s="782" t="s">
        <v>187</v>
      </c>
      <c r="E79" s="783"/>
      <c r="F79" s="818"/>
      <c r="G79" s="73">
        <v>25700</v>
      </c>
      <c r="H79" s="101">
        <f>+IF(+G79&lt;25000,+G79,25000)</f>
        <v>25000</v>
      </c>
      <c r="I79" s="87"/>
    </row>
    <row r="80" spans="2:18" x14ac:dyDescent="0.2">
      <c r="B80" s="803"/>
      <c r="C80" s="100" t="s">
        <v>197</v>
      </c>
      <c r="D80" s="784" t="s">
        <v>198</v>
      </c>
      <c r="E80" s="785"/>
      <c r="F80" s="786"/>
      <c r="G80" s="102"/>
      <c r="H80" s="103">
        <f>+IF(+G80&lt;40000,+G80,40000)</f>
        <v>0</v>
      </c>
      <c r="I80" s="63"/>
    </row>
    <row r="81" spans="2:12" x14ac:dyDescent="0.2">
      <c r="B81" s="803"/>
      <c r="C81" s="100" t="s">
        <v>199</v>
      </c>
      <c r="D81" s="784" t="s">
        <v>200</v>
      </c>
      <c r="E81" s="785"/>
      <c r="F81" s="786"/>
      <c r="G81" s="81">
        <v>0</v>
      </c>
      <c r="H81" s="104">
        <f>+G81</f>
        <v>0</v>
      </c>
      <c r="I81" s="63"/>
      <c r="J81" s="105"/>
      <c r="K81" s="106"/>
    </row>
    <row r="82" spans="2:12" x14ac:dyDescent="0.2">
      <c r="B82" s="803"/>
      <c r="C82" s="100" t="s">
        <v>201</v>
      </c>
      <c r="D82" s="784" t="s">
        <v>202</v>
      </c>
      <c r="E82" s="785"/>
      <c r="F82" s="786"/>
      <c r="G82" s="81"/>
      <c r="H82" s="104">
        <v>0</v>
      </c>
      <c r="I82" s="63"/>
    </row>
    <row r="83" spans="2:12" ht="13.5" thickBot="1" x14ac:dyDescent="0.25">
      <c r="B83" s="804"/>
      <c r="C83" s="100" t="s">
        <v>203</v>
      </c>
      <c r="D83" s="784" t="s">
        <v>204</v>
      </c>
      <c r="E83" s="785"/>
      <c r="F83" s="786"/>
      <c r="G83" s="102"/>
      <c r="H83" s="103">
        <f>+IF(+G83&lt;100000,+G83,10000)</f>
        <v>0</v>
      </c>
      <c r="I83" s="63"/>
    </row>
    <row r="84" spans="2:12" ht="13.5" thickBot="1" x14ac:dyDescent="0.25">
      <c r="B84" s="787" t="s">
        <v>205</v>
      </c>
      <c r="C84" s="788"/>
      <c r="D84" s="788"/>
      <c r="E84" s="788"/>
      <c r="F84" s="788"/>
      <c r="G84" s="107">
        <f>SUM(G79:G83)</f>
        <v>25700</v>
      </c>
      <c r="H84" s="108">
        <f>SUM(H78:H83)</f>
        <v>175000</v>
      </c>
    </row>
    <row r="85" spans="2:12" ht="13.5" thickBot="1" x14ac:dyDescent="0.25"/>
    <row r="86" spans="2:12" ht="13.5" thickBot="1" x14ac:dyDescent="0.25">
      <c r="B86" s="789" t="s">
        <v>206</v>
      </c>
      <c r="C86" s="790"/>
      <c r="D86" s="790"/>
      <c r="E86" s="790"/>
      <c r="F86" s="791"/>
      <c r="G86" s="792">
        <f>ROUND(+G65-H84,-1)</f>
        <v>933660</v>
      </c>
      <c r="H86" s="791"/>
      <c r="J86" s="109">
        <f>C37+D37+E37+F37</f>
        <v>338628</v>
      </c>
      <c r="K86" s="16" t="s">
        <v>235</v>
      </c>
    </row>
    <row r="87" spans="2:12" x14ac:dyDescent="0.2">
      <c r="B87" s="110"/>
      <c r="F87" s="105"/>
      <c r="J87" s="109">
        <f>G37+H37+I37</f>
        <v>308904</v>
      </c>
      <c r="K87" s="16" t="s">
        <v>236</v>
      </c>
    </row>
    <row r="88" spans="2:12" x14ac:dyDescent="0.2">
      <c r="C88" s="793" t="s">
        <v>207</v>
      </c>
      <c r="D88" s="794"/>
      <c r="E88" s="111" t="s">
        <v>208</v>
      </c>
      <c r="F88" s="111" t="s">
        <v>209</v>
      </c>
      <c r="G88" s="111" t="s">
        <v>210</v>
      </c>
      <c r="H88" s="111" t="s">
        <v>211</v>
      </c>
      <c r="J88" s="109">
        <f>J37+K37+L37</f>
        <v>303993</v>
      </c>
      <c r="K88" s="47" t="s">
        <v>237</v>
      </c>
    </row>
    <row r="89" spans="2:12" x14ac:dyDescent="0.2">
      <c r="C89" s="795" t="str">
        <f>IF(I6="M","0          - 250000","0          -  250000")</f>
        <v>0          - 250000</v>
      </c>
      <c r="D89" s="796"/>
      <c r="E89" s="112">
        <v>0</v>
      </c>
      <c r="F89" s="113">
        <f>IF(I6="M",(IF(G86&lt;250000,G86,250000)),(IF(G86&lt;250000,G86,250000)))</f>
        <v>250000</v>
      </c>
      <c r="G89" s="113">
        <f>G86-F89</f>
        <v>683660</v>
      </c>
      <c r="H89" s="113">
        <f>E89*F89</f>
        <v>0</v>
      </c>
      <c r="J89" s="16">
        <f>M37+N37</f>
        <v>199634</v>
      </c>
      <c r="K89" s="1" t="s">
        <v>238</v>
      </c>
    </row>
    <row r="90" spans="2:12" x14ac:dyDescent="0.2">
      <c r="C90" s="795" t="str">
        <f>IF(I6="M","250001 - 500000","250001-500000")</f>
        <v>250001 - 500000</v>
      </c>
      <c r="D90" s="796"/>
      <c r="E90" s="112">
        <v>0.05</v>
      </c>
      <c r="F90" s="113">
        <f>IF(I6="M",(IF(G89&lt;250000,G89,250000)),(IF(G89&lt;250000,G89,250000)))</f>
        <v>250000</v>
      </c>
      <c r="G90" s="113">
        <f>G89-F90</f>
        <v>433660</v>
      </c>
      <c r="H90" s="114">
        <f>ROUND(E90*F90,0.1)</f>
        <v>12500</v>
      </c>
      <c r="J90" s="115">
        <f>SUM(J86:J89)</f>
        <v>1151159</v>
      </c>
    </row>
    <row r="91" spans="2:12" x14ac:dyDescent="0.2">
      <c r="C91" s="797" t="s">
        <v>212</v>
      </c>
      <c r="D91" s="798"/>
      <c r="E91" s="112">
        <v>0.2</v>
      </c>
      <c r="F91" s="113">
        <f>IF(G90&lt;500000,G90,500000)</f>
        <v>433660</v>
      </c>
      <c r="G91" s="113">
        <f>G90-F91</f>
        <v>0</v>
      </c>
      <c r="H91" s="114">
        <f>ROUND(E91*F91,0.1)</f>
        <v>86732</v>
      </c>
      <c r="J91" s="16">
        <f>+G86</f>
        <v>933660</v>
      </c>
    </row>
    <row r="92" spans="2:12" x14ac:dyDescent="0.2">
      <c r="C92" s="795" t="s">
        <v>213</v>
      </c>
      <c r="D92" s="796"/>
      <c r="E92" s="112">
        <v>0.3</v>
      </c>
      <c r="F92" s="113">
        <f>G91</f>
        <v>0</v>
      </c>
      <c r="G92" s="113">
        <f>G91-F92</f>
        <v>0</v>
      </c>
      <c r="H92" s="114">
        <f>ROUND(E92*F92,0.1)</f>
        <v>0</v>
      </c>
      <c r="J92" s="16">
        <f>+J90-J91</f>
        <v>217499</v>
      </c>
    </row>
    <row r="93" spans="2:12" ht="12.75" customHeight="1" thickBot="1" x14ac:dyDescent="0.25">
      <c r="B93" s="116"/>
      <c r="C93" s="117"/>
      <c r="D93" s="47"/>
      <c r="E93" s="47"/>
      <c r="F93" s="47"/>
      <c r="J93" s="87"/>
      <c r="K93" s="118"/>
    </row>
    <row r="94" spans="2:12" ht="13.5" thickBot="1" x14ac:dyDescent="0.25">
      <c r="B94" s="799" t="s">
        <v>214</v>
      </c>
      <c r="C94" s="800"/>
      <c r="D94" s="800"/>
      <c r="E94" s="800"/>
      <c r="F94" s="801"/>
      <c r="G94" s="771">
        <f>H89+H90+H91+H92</f>
        <v>99232</v>
      </c>
      <c r="H94" s="772"/>
    </row>
    <row r="95" spans="2:12" ht="13.5" thickBot="1" x14ac:dyDescent="0.25">
      <c r="B95" s="119" t="s">
        <v>215</v>
      </c>
      <c r="C95" s="120"/>
      <c r="D95" s="120"/>
      <c r="E95" s="120"/>
      <c r="F95" s="120"/>
      <c r="G95" s="884">
        <f>IF((G65&lt;500000),5000,0)</f>
        <v>0</v>
      </c>
      <c r="H95" s="885">
        <f>IF(H93&lt;200000,0,IF(H93&lt;220000,((H93-200000)*10%),IF(H93&lt;=500000,2000,IF(H93&gt;=500000,0))))</f>
        <v>0</v>
      </c>
      <c r="J95" s="1"/>
      <c r="K95" s="121"/>
      <c r="L95" s="121"/>
    </row>
    <row r="96" spans="2:12" ht="13.5" thickBot="1" x14ac:dyDescent="0.25">
      <c r="B96" s="122" t="s">
        <v>216</v>
      </c>
      <c r="C96" s="123"/>
      <c r="D96" s="123"/>
      <c r="E96" s="123"/>
      <c r="F96" s="123"/>
      <c r="G96" s="771">
        <f>IF((G94-G95)&lt;0,0,(G94-G95))</f>
        <v>99232</v>
      </c>
      <c r="H96" s="772"/>
      <c r="I96" s="37"/>
    </row>
    <row r="97" spans="2:9" ht="13.5" thickBot="1" x14ac:dyDescent="0.25">
      <c r="B97" s="773" t="s">
        <v>240</v>
      </c>
      <c r="C97" s="774"/>
      <c r="D97" s="774"/>
      <c r="E97" s="774"/>
      <c r="F97" s="775"/>
      <c r="G97" s="776">
        <f>ROUND((IF(G96&gt;0,(G96*4%),0)),0)</f>
        <v>3969</v>
      </c>
      <c r="H97" s="777"/>
      <c r="I97" s="37"/>
    </row>
    <row r="98" spans="2:9" ht="13.5" thickBot="1" x14ac:dyDescent="0.25">
      <c r="B98" s="778" t="s">
        <v>218</v>
      </c>
      <c r="C98" s="779"/>
      <c r="D98" s="779"/>
      <c r="E98" s="779"/>
      <c r="F98" s="779"/>
      <c r="G98" s="780">
        <f>G96+G97</f>
        <v>103201</v>
      </c>
      <c r="H98" s="781"/>
      <c r="I98" s="121"/>
    </row>
    <row r="99" spans="2:9" ht="13.5" thickBot="1" x14ac:dyDescent="0.25">
      <c r="B99" s="765" t="s">
        <v>219</v>
      </c>
      <c r="C99" s="766"/>
      <c r="D99" s="766"/>
      <c r="E99" s="766"/>
      <c r="F99" s="766"/>
      <c r="G99" s="767">
        <f>O38</f>
        <v>115090</v>
      </c>
      <c r="H99" s="768"/>
      <c r="I99" s="121"/>
    </row>
    <row r="100" spans="2:9" ht="13.5" thickBot="1" x14ac:dyDescent="0.25">
      <c r="B100" s="765" t="str">
        <f>IF(G100&gt;0,"TAX PAYABLE","TAX REFUND")</f>
        <v>TAX REFUND</v>
      </c>
      <c r="C100" s="766"/>
      <c r="D100" s="766"/>
      <c r="E100" s="766"/>
      <c r="F100" s="766"/>
      <c r="G100" s="767">
        <f>+G98-G99</f>
        <v>-11889</v>
      </c>
      <c r="H100" s="768"/>
      <c r="I100" s="37"/>
    </row>
    <row r="101" spans="2:9" x14ac:dyDescent="0.2">
      <c r="C101" s="124"/>
      <c r="D101" s="45"/>
      <c r="E101" s="118"/>
      <c r="F101" s="118"/>
      <c r="G101" s="118"/>
      <c r="H101" s="118"/>
      <c r="I101" s="125"/>
    </row>
    <row r="102" spans="2:9" x14ac:dyDescent="0.2">
      <c r="C102" s="47"/>
      <c r="D102" s="50"/>
      <c r="E102" s="117"/>
      <c r="F102" s="47"/>
      <c r="G102" s="47"/>
      <c r="H102" s="47"/>
      <c r="I102" s="125"/>
    </row>
    <row r="103" spans="2:9" x14ac:dyDescent="0.2">
      <c r="C103" s="39"/>
      <c r="D103" s="126"/>
      <c r="E103" s="126"/>
      <c r="F103" s="126"/>
      <c r="G103" s="39"/>
      <c r="H103" s="39"/>
      <c r="I103" s="37"/>
    </row>
    <row r="104" spans="2:9" x14ac:dyDescent="0.2">
      <c r="C104" s="39"/>
      <c r="D104" s="126"/>
      <c r="E104" s="126"/>
      <c r="F104" s="39"/>
      <c r="G104" s="39"/>
      <c r="H104" s="39"/>
      <c r="I104" s="37"/>
    </row>
    <row r="105" spans="2:9" x14ac:dyDescent="0.2">
      <c r="C105" s="39"/>
      <c r="D105" s="126"/>
      <c r="E105" s="126"/>
      <c r="F105" s="39"/>
      <c r="G105" s="39"/>
      <c r="H105" s="39"/>
      <c r="I105" s="37"/>
    </row>
    <row r="106" spans="2:9" x14ac:dyDescent="0.2">
      <c r="C106" s="39"/>
      <c r="D106" s="39"/>
      <c r="E106" s="39"/>
      <c r="F106" s="39"/>
      <c r="G106" s="39"/>
      <c r="H106" s="39"/>
      <c r="I106" s="37"/>
    </row>
    <row r="107" spans="2:9" x14ac:dyDescent="0.2">
      <c r="C107" s="39"/>
      <c r="D107" s="39"/>
      <c r="E107" s="39"/>
      <c r="F107" s="39"/>
      <c r="G107" s="39"/>
      <c r="H107" s="39"/>
    </row>
    <row r="108" spans="2:9" x14ac:dyDescent="0.2">
      <c r="C108" s="39"/>
      <c r="D108" s="39"/>
      <c r="E108" s="39"/>
      <c r="F108" s="39"/>
      <c r="G108" s="39"/>
      <c r="H108"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60:F60"/>
    <mergeCell ref="G60:H60"/>
    <mergeCell ref="J60:O60"/>
    <mergeCell ref="B55:B58"/>
    <mergeCell ref="C55:C58"/>
    <mergeCell ref="D55:F55"/>
    <mergeCell ref="G55:H55"/>
    <mergeCell ref="D56:F56"/>
    <mergeCell ref="G56:H56"/>
    <mergeCell ref="J56:L56"/>
    <mergeCell ref="M56:O56"/>
    <mergeCell ref="D58:F58"/>
    <mergeCell ref="G58:H58"/>
    <mergeCell ref="J63:O63"/>
    <mergeCell ref="D81:F81"/>
    <mergeCell ref="J68:K68"/>
    <mergeCell ref="B65:F65"/>
    <mergeCell ref="G65:H65"/>
    <mergeCell ref="D76:F76"/>
    <mergeCell ref="D77:F77"/>
    <mergeCell ref="E78:F78"/>
    <mergeCell ref="D79:F79"/>
    <mergeCell ref="D80:F80"/>
    <mergeCell ref="D71:F71"/>
    <mergeCell ref="D72:F72"/>
    <mergeCell ref="C69:C75"/>
    <mergeCell ref="D69:F69"/>
    <mergeCell ref="D70:F70"/>
    <mergeCell ref="D74:F74"/>
    <mergeCell ref="G62:H62"/>
    <mergeCell ref="C63:F63"/>
    <mergeCell ref="G63:H63"/>
    <mergeCell ref="B62:F62"/>
    <mergeCell ref="D73:F73"/>
    <mergeCell ref="D75:F75"/>
    <mergeCell ref="G94:H94"/>
    <mergeCell ref="D82:F82"/>
    <mergeCell ref="D83:F83"/>
    <mergeCell ref="B84:F84"/>
    <mergeCell ref="B86:F86"/>
    <mergeCell ref="G86:H86"/>
    <mergeCell ref="C88:D88"/>
    <mergeCell ref="C89:D89"/>
    <mergeCell ref="C90:D90"/>
    <mergeCell ref="C91:D91"/>
    <mergeCell ref="C92:D92"/>
    <mergeCell ref="B94:F94"/>
    <mergeCell ref="B69:B83"/>
    <mergeCell ref="B100:F100"/>
    <mergeCell ref="G100:H100"/>
    <mergeCell ref="G95:H95"/>
    <mergeCell ref="G96:H96"/>
    <mergeCell ref="B97:F97"/>
    <mergeCell ref="G97:H97"/>
    <mergeCell ref="B98:F98"/>
    <mergeCell ref="G98:H98"/>
    <mergeCell ref="B99:F99"/>
    <mergeCell ref="G99:H99"/>
  </mergeCells>
  <conditionalFormatting sqref="B100:F100 B94:F98">
    <cfRule type="cellIs" dxfId="375" priority="1" stopIfTrue="1" operator="equal">
      <formula>"TAX PAYABLE"</formula>
    </cfRule>
    <cfRule type="cellIs" dxfId="374" priority="2" stopIfTrue="1" operator="equal">
      <formula>"TAX REFUND"</formula>
    </cfRule>
  </conditionalFormatting>
  <conditionalFormatting sqref="G100:H100">
    <cfRule type="cellIs" dxfId="373" priority="3" stopIfTrue="1" operator="greaterThan">
      <formula>0</formula>
    </cfRule>
    <cfRule type="cellIs" dxfId="372" priority="4"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5" right="0.75" top="1" bottom="1" header="0.5" footer="0.5"/>
  <headerFooter alignWithMargins="0"/>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8"/>
  <sheetViews>
    <sheetView topLeftCell="A65" workbookViewId="0">
      <selection activeCell="G79" sqref="G79"/>
    </sheetView>
  </sheetViews>
  <sheetFormatPr defaultRowHeight="12.75" x14ac:dyDescent="0.2"/>
  <cols>
    <col min="1" max="1" width="5" style="16" customWidth="1"/>
    <col min="2" max="2" width="18" style="37" customWidth="1"/>
    <col min="3" max="3" width="9.7109375" style="16" customWidth="1"/>
    <col min="4" max="4" width="6.7109375" style="16" bestFit="1" customWidth="1"/>
    <col min="5" max="5" width="8.5703125" style="16" bestFit="1" customWidth="1"/>
    <col min="6" max="6" width="9.28515625" style="16" bestFit="1" customWidth="1"/>
    <col min="7" max="7" width="8.28515625" style="16" customWidth="1"/>
    <col min="8" max="8" width="7.7109375" style="16" customWidth="1"/>
    <col min="9" max="9" width="7.140625" style="16" bestFit="1" customWidth="1"/>
    <col min="10" max="10" width="7.85546875" style="16" customWidth="1"/>
    <col min="11" max="12" width="7" style="16" bestFit="1" customWidth="1"/>
    <col min="13" max="13" width="6.85546875" style="16" bestFit="1" customWidth="1"/>
    <col min="14" max="14" width="7" style="16" bestFit="1" customWidth="1"/>
    <col min="15" max="15" width="7.8554687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8" style="16" customWidth="1"/>
    <col min="259" max="259" width="9.7109375" style="16" customWidth="1"/>
    <col min="260" max="260" width="6.7109375" style="16" bestFit="1" customWidth="1"/>
    <col min="261" max="261" width="8.5703125" style="16" bestFit="1" customWidth="1"/>
    <col min="262" max="262" width="9.28515625" style="16" bestFit="1" customWidth="1"/>
    <col min="263" max="263" width="8.28515625" style="16" customWidth="1"/>
    <col min="264" max="264" width="7.7109375" style="16" customWidth="1"/>
    <col min="265" max="265" width="7.140625" style="16" bestFit="1" customWidth="1"/>
    <col min="266" max="266" width="7.85546875" style="16" customWidth="1"/>
    <col min="267" max="268" width="7" style="16" bestFit="1" customWidth="1"/>
    <col min="269" max="269" width="6.85546875" style="16" bestFit="1" customWidth="1"/>
    <col min="270" max="270" width="7" style="16" bestFit="1" customWidth="1"/>
    <col min="271" max="271" width="7.8554687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8" style="16" customWidth="1"/>
    <col min="515" max="515" width="9.7109375" style="16" customWidth="1"/>
    <col min="516" max="516" width="6.7109375" style="16" bestFit="1" customWidth="1"/>
    <col min="517" max="517" width="8.5703125" style="16" bestFit="1" customWidth="1"/>
    <col min="518" max="518" width="9.28515625" style="16" bestFit="1" customWidth="1"/>
    <col min="519" max="519" width="8.28515625" style="16" customWidth="1"/>
    <col min="520" max="520" width="7.7109375" style="16" customWidth="1"/>
    <col min="521" max="521" width="7.140625" style="16" bestFit="1" customWidth="1"/>
    <col min="522" max="522" width="7.85546875" style="16" customWidth="1"/>
    <col min="523" max="524" width="7" style="16" bestFit="1" customWidth="1"/>
    <col min="525" max="525" width="6.85546875" style="16" bestFit="1" customWidth="1"/>
    <col min="526" max="526" width="7" style="16" bestFit="1" customWidth="1"/>
    <col min="527" max="527" width="7.8554687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8" style="16" customWidth="1"/>
    <col min="771" max="771" width="9.7109375" style="16" customWidth="1"/>
    <col min="772" max="772" width="6.7109375" style="16" bestFit="1" customWidth="1"/>
    <col min="773" max="773" width="8.5703125" style="16" bestFit="1" customWidth="1"/>
    <col min="774" max="774" width="9.28515625" style="16" bestFit="1" customWidth="1"/>
    <col min="775" max="775" width="8.28515625" style="16" customWidth="1"/>
    <col min="776" max="776" width="7.7109375" style="16" customWidth="1"/>
    <col min="777" max="777" width="7.140625" style="16" bestFit="1" customWidth="1"/>
    <col min="778" max="778" width="7.85546875" style="16" customWidth="1"/>
    <col min="779" max="780" width="7" style="16" bestFit="1" customWidth="1"/>
    <col min="781" max="781" width="6.85546875" style="16" bestFit="1" customWidth="1"/>
    <col min="782" max="782" width="7" style="16" bestFit="1" customWidth="1"/>
    <col min="783" max="783" width="7.8554687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8" style="16" customWidth="1"/>
    <col min="1027" max="1027" width="9.7109375" style="16" customWidth="1"/>
    <col min="1028" max="1028" width="6.7109375" style="16" bestFit="1" customWidth="1"/>
    <col min="1029" max="1029" width="8.5703125" style="16" bestFit="1" customWidth="1"/>
    <col min="1030" max="1030" width="9.28515625" style="16" bestFit="1" customWidth="1"/>
    <col min="1031" max="1031" width="8.28515625" style="16" customWidth="1"/>
    <col min="1032" max="1032" width="7.7109375" style="16" customWidth="1"/>
    <col min="1033" max="1033" width="7.140625" style="16" bestFit="1" customWidth="1"/>
    <col min="1034" max="1034" width="7.85546875" style="16" customWidth="1"/>
    <col min="1035" max="1036" width="7" style="16" bestFit="1" customWidth="1"/>
    <col min="1037" max="1037" width="6.85546875" style="16" bestFit="1" customWidth="1"/>
    <col min="1038" max="1038" width="7" style="16" bestFit="1" customWidth="1"/>
    <col min="1039" max="1039" width="7.8554687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8" style="16" customWidth="1"/>
    <col min="1283" max="1283" width="9.7109375" style="16" customWidth="1"/>
    <col min="1284" max="1284" width="6.7109375" style="16" bestFit="1" customWidth="1"/>
    <col min="1285" max="1285" width="8.5703125" style="16" bestFit="1" customWidth="1"/>
    <col min="1286" max="1286" width="9.28515625" style="16" bestFit="1" customWidth="1"/>
    <col min="1287" max="1287" width="8.28515625" style="16" customWidth="1"/>
    <col min="1288" max="1288" width="7.7109375" style="16" customWidth="1"/>
    <col min="1289" max="1289" width="7.140625" style="16" bestFit="1" customWidth="1"/>
    <col min="1290" max="1290" width="7.85546875" style="16" customWidth="1"/>
    <col min="1291" max="1292" width="7" style="16" bestFit="1" customWidth="1"/>
    <col min="1293" max="1293" width="6.85546875" style="16" bestFit="1" customWidth="1"/>
    <col min="1294" max="1294" width="7" style="16" bestFit="1" customWidth="1"/>
    <col min="1295" max="1295" width="7.8554687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8" style="16" customWidth="1"/>
    <col min="1539" max="1539" width="9.7109375" style="16" customWidth="1"/>
    <col min="1540" max="1540" width="6.7109375" style="16" bestFit="1" customWidth="1"/>
    <col min="1541" max="1541" width="8.5703125" style="16" bestFit="1" customWidth="1"/>
    <col min="1542" max="1542" width="9.28515625" style="16" bestFit="1" customWidth="1"/>
    <col min="1543" max="1543" width="8.28515625" style="16" customWidth="1"/>
    <col min="1544" max="1544" width="7.7109375" style="16" customWidth="1"/>
    <col min="1545" max="1545" width="7.140625" style="16" bestFit="1" customWidth="1"/>
    <col min="1546" max="1546" width="7.85546875" style="16" customWidth="1"/>
    <col min="1547" max="1548" width="7" style="16" bestFit="1" customWidth="1"/>
    <col min="1549" max="1549" width="6.85546875" style="16" bestFit="1" customWidth="1"/>
    <col min="1550" max="1550" width="7" style="16" bestFit="1" customWidth="1"/>
    <col min="1551" max="1551" width="7.8554687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8" style="16" customWidth="1"/>
    <col min="1795" max="1795" width="9.7109375" style="16" customWidth="1"/>
    <col min="1796" max="1796" width="6.7109375" style="16" bestFit="1" customWidth="1"/>
    <col min="1797" max="1797" width="8.5703125" style="16" bestFit="1" customWidth="1"/>
    <col min="1798" max="1798" width="9.28515625" style="16" bestFit="1" customWidth="1"/>
    <col min="1799" max="1799" width="8.28515625" style="16" customWidth="1"/>
    <col min="1800" max="1800" width="7.7109375" style="16" customWidth="1"/>
    <col min="1801" max="1801" width="7.140625" style="16" bestFit="1" customWidth="1"/>
    <col min="1802" max="1802" width="7.85546875" style="16" customWidth="1"/>
    <col min="1803" max="1804" width="7" style="16" bestFit="1" customWidth="1"/>
    <col min="1805" max="1805" width="6.85546875" style="16" bestFit="1" customWidth="1"/>
    <col min="1806" max="1806" width="7" style="16" bestFit="1" customWidth="1"/>
    <col min="1807" max="1807" width="7.8554687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8" style="16" customWidth="1"/>
    <col min="2051" max="2051" width="9.7109375" style="16" customWidth="1"/>
    <col min="2052" max="2052" width="6.7109375" style="16" bestFit="1" customWidth="1"/>
    <col min="2053" max="2053" width="8.5703125" style="16" bestFit="1" customWidth="1"/>
    <col min="2054" max="2054" width="9.28515625" style="16" bestFit="1" customWidth="1"/>
    <col min="2055" max="2055" width="8.28515625" style="16" customWidth="1"/>
    <col min="2056" max="2056" width="7.7109375" style="16" customWidth="1"/>
    <col min="2057" max="2057" width="7.140625" style="16" bestFit="1" customWidth="1"/>
    <col min="2058" max="2058" width="7.85546875" style="16" customWidth="1"/>
    <col min="2059" max="2060" width="7" style="16" bestFit="1" customWidth="1"/>
    <col min="2061" max="2061" width="6.85546875" style="16" bestFit="1" customWidth="1"/>
    <col min="2062" max="2062" width="7" style="16" bestFit="1" customWidth="1"/>
    <col min="2063" max="2063" width="7.8554687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8" style="16" customWidth="1"/>
    <col min="2307" max="2307" width="9.7109375" style="16" customWidth="1"/>
    <col min="2308" max="2308" width="6.7109375" style="16" bestFit="1" customWidth="1"/>
    <col min="2309" max="2309" width="8.5703125" style="16" bestFit="1" customWidth="1"/>
    <col min="2310" max="2310" width="9.28515625" style="16" bestFit="1" customWidth="1"/>
    <col min="2311" max="2311" width="8.28515625" style="16" customWidth="1"/>
    <col min="2312" max="2312" width="7.7109375" style="16" customWidth="1"/>
    <col min="2313" max="2313" width="7.140625" style="16" bestFit="1" customWidth="1"/>
    <col min="2314" max="2314" width="7.85546875" style="16" customWidth="1"/>
    <col min="2315" max="2316" width="7" style="16" bestFit="1" customWidth="1"/>
    <col min="2317" max="2317" width="6.85546875" style="16" bestFit="1" customWidth="1"/>
    <col min="2318" max="2318" width="7" style="16" bestFit="1" customWidth="1"/>
    <col min="2319" max="2319" width="7.8554687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8" style="16" customWidth="1"/>
    <col min="2563" max="2563" width="9.7109375" style="16" customWidth="1"/>
    <col min="2564" max="2564" width="6.7109375" style="16" bestFit="1" customWidth="1"/>
    <col min="2565" max="2565" width="8.5703125" style="16" bestFit="1" customWidth="1"/>
    <col min="2566" max="2566" width="9.28515625" style="16" bestFit="1" customWidth="1"/>
    <col min="2567" max="2567" width="8.28515625" style="16" customWidth="1"/>
    <col min="2568" max="2568" width="7.7109375" style="16" customWidth="1"/>
    <col min="2569" max="2569" width="7.140625" style="16" bestFit="1" customWidth="1"/>
    <col min="2570" max="2570" width="7.85546875" style="16" customWidth="1"/>
    <col min="2571" max="2572" width="7" style="16" bestFit="1" customWidth="1"/>
    <col min="2573" max="2573" width="6.85546875" style="16" bestFit="1" customWidth="1"/>
    <col min="2574" max="2574" width="7" style="16" bestFit="1" customWidth="1"/>
    <col min="2575" max="2575" width="7.8554687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8" style="16" customWidth="1"/>
    <col min="2819" max="2819" width="9.7109375" style="16" customWidth="1"/>
    <col min="2820" max="2820" width="6.7109375" style="16" bestFit="1" customWidth="1"/>
    <col min="2821" max="2821" width="8.5703125" style="16" bestFit="1" customWidth="1"/>
    <col min="2822" max="2822" width="9.28515625" style="16" bestFit="1" customWidth="1"/>
    <col min="2823" max="2823" width="8.28515625" style="16" customWidth="1"/>
    <col min="2824" max="2824" width="7.7109375" style="16" customWidth="1"/>
    <col min="2825" max="2825" width="7.140625" style="16" bestFit="1" customWidth="1"/>
    <col min="2826" max="2826" width="7.85546875" style="16" customWidth="1"/>
    <col min="2827" max="2828" width="7" style="16" bestFit="1" customWidth="1"/>
    <col min="2829" max="2829" width="6.85546875" style="16" bestFit="1" customWidth="1"/>
    <col min="2830" max="2830" width="7" style="16" bestFit="1" customWidth="1"/>
    <col min="2831" max="2831" width="7.8554687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8" style="16" customWidth="1"/>
    <col min="3075" max="3075" width="9.7109375" style="16" customWidth="1"/>
    <col min="3076" max="3076" width="6.7109375" style="16" bestFit="1" customWidth="1"/>
    <col min="3077" max="3077" width="8.5703125" style="16" bestFit="1" customWidth="1"/>
    <col min="3078" max="3078" width="9.28515625" style="16" bestFit="1" customWidth="1"/>
    <col min="3079" max="3079" width="8.28515625" style="16" customWidth="1"/>
    <col min="3080" max="3080" width="7.7109375" style="16" customWidth="1"/>
    <col min="3081" max="3081" width="7.140625" style="16" bestFit="1" customWidth="1"/>
    <col min="3082" max="3082" width="7.85546875" style="16" customWidth="1"/>
    <col min="3083" max="3084" width="7" style="16" bestFit="1" customWidth="1"/>
    <col min="3085" max="3085" width="6.85546875" style="16" bestFit="1" customWidth="1"/>
    <col min="3086" max="3086" width="7" style="16" bestFit="1" customWidth="1"/>
    <col min="3087" max="3087" width="7.8554687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8" style="16" customWidth="1"/>
    <col min="3331" max="3331" width="9.7109375" style="16" customWidth="1"/>
    <col min="3332" max="3332" width="6.7109375" style="16" bestFit="1" customWidth="1"/>
    <col min="3333" max="3333" width="8.5703125" style="16" bestFit="1" customWidth="1"/>
    <col min="3334" max="3334" width="9.28515625" style="16" bestFit="1" customWidth="1"/>
    <col min="3335" max="3335" width="8.28515625" style="16" customWidth="1"/>
    <col min="3336" max="3336" width="7.7109375" style="16" customWidth="1"/>
    <col min="3337" max="3337" width="7.140625" style="16" bestFit="1" customWidth="1"/>
    <col min="3338" max="3338" width="7.85546875" style="16" customWidth="1"/>
    <col min="3339" max="3340" width="7" style="16" bestFit="1" customWidth="1"/>
    <col min="3341" max="3341" width="6.85546875" style="16" bestFit="1" customWidth="1"/>
    <col min="3342" max="3342" width="7" style="16" bestFit="1" customWidth="1"/>
    <col min="3343" max="3343" width="7.8554687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8" style="16" customWidth="1"/>
    <col min="3587" max="3587" width="9.7109375" style="16" customWidth="1"/>
    <col min="3588" max="3588" width="6.7109375" style="16" bestFit="1" customWidth="1"/>
    <col min="3589" max="3589" width="8.5703125" style="16" bestFit="1" customWidth="1"/>
    <col min="3590" max="3590" width="9.28515625" style="16" bestFit="1" customWidth="1"/>
    <col min="3591" max="3591" width="8.28515625" style="16" customWidth="1"/>
    <col min="3592" max="3592" width="7.7109375" style="16" customWidth="1"/>
    <col min="3593" max="3593" width="7.140625" style="16" bestFit="1" customWidth="1"/>
    <col min="3594" max="3594" width="7.85546875" style="16" customWidth="1"/>
    <col min="3595" max="3596" width="7" style="16" bestFit="1" customWidth="1"/>
    <col min="3597" max="3597" width="6.85546875" style="16" bestFit="1" customWidth="1"/>
    <col min="3598" max="3598" width="7" style="16" bestFit="1" customWidth="1"/>
    <col min="3599" max="3599" width="7.8554687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8" style="16" customWidth="1"/>
    <col min="3843" max="3843" width="9.7109375" style="16" customWidth="1"/>
    <col min="3844" max="3844" width="6.7109375" style="16" bestFit="1" customWidth="1"/>
    <col min="3845" max="3845" width="8.5703125" style="16" bestFit="1" customWidth="1"/>
    <col min="3846" max="3846" width="9.28515625" style="16" bestFit="1" customWidth="1"/>
    <col min="3847" max="3847" width="8.28515625" style="16" customWidth="1"/>
    <col min="3848" max="3848" width="7.7109375" style="16" customWidth="1"/>
    <col min="3849" max="3849" width="7.140625" style="16" bestFit="1" customWidth="1"/>
    <col min="3850" max="3850" width="7.85546875" style="16" customWidth="1"/>
    <col min="3851" max="3852" width="7" style="16" bestFit="1" customWidth="1"/>
    <col min="3853" max="3853" width="6.85546875" style="16" bestFit="1" customWidth="1"/>
    <col min="3854" max="3854" width="7" style="16" bestFit="1" customWidth="1"/>
    <col min="3855" max="3855" width="7.8554687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8" style="16" customWidth="1"/>
    <col min="4099" max="4099" width="9.7109375" style="16" customWidth="1"/>
    <col min="4100" max="4100" width="6.7109375" style="16" bestFit="1" customWidth="1"/>
    <col min="4101" max="4101" width="8.5703125" style="16" bestFit="1" customWidth="1"/>
    <col min="4102" max="4102" width="9.28515625" style="16" bestFit="1" customWidth="1"/>
    <col min="4103" max="4103" width="8.28515625" style="16" customWidth="1"/>
    <col min="4104" max="4104" width="7.7109375" style="16" customWidth="1"/>
    <col min="4105" max="4105" width="7.140625" style="16" bestFit="1" customWidth="1"/>
    <col min="4106" max="4106" width="7.85546875" style="16" customWidth="1"/>
    <col min="4107" max="4108" width="7" style="16" bestFit="1" customWidth="1"/>
    <col min="4109" max="4109" width="6.85546875" style="16" bestFit="1" customWidth="1"/>
    <col min="4110" max="4110" width="7" style="16" bestFit="1" customWidth="1"/>
    <col min="4111" max="4111" width="7.8554687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8" style="16" customWidth="1"/>
    <col min="4355" max="4355" width="9.7109375" style="16" customWidth="1"/>
    <col min="4356" max="4356" width="6.7109375" style="16" bestFit="1" customWidth="1"/>
    <col min="4357" max="4357" width="8.5703125" style="16" bestFit="1" customWidth="1"/>
    <col min="4358" max="4358" width="9.28515625" style="16" bestFit="1" customWidth="1"/>
    <col min="4359" max="4359" width="8.28515625" style="16" customWidth="1"/>
    <col min="4360" max="4360" width="7.7109375" style="16" customWidth="1"/>
    <col min="4361" max="4361" width="7.140625" style="16" bestFit="1" customWidth="1"/>
    <col min="4362" max="4362" width="7.85546875" style="16" customWidth="1"/>
    <col min="4363" max="4364" width="7" style="16" bestFit="1" customWidth="1"/>
    <col min="4365" max="4365" width="6.85546875" style="16" bestFit="1" customWidth="1"/>
    <col min="4366" max="4366" width="7" style="16" bestFit="1" customWidth="1"/>
    <col min="4367" max="4367" width="7.8554687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8" style="16" customWidth="1"/>
    <col min="4611" max="4611" width="9.7109375" style="16" customWidth="1"/>
    <col min="4612" max="4612" width="6.7109375" style="16" bestFit="1" customWidth="1"/>
    <col min="4613" max="4613" width="8.5703125" style="16" bestFit="1" customWidth="1"/>
    <col min="4614" max="4614" width="9.28515625" style="16" bestFit="1" customWidth="1"/>
    <col min="4615" max="4615" width="8.28515625" style="16" customWidth="1"/>
    <col min="4616" max="4616" width="7.7109375" style="16" customWidth="1"/>
    <col min="4617" max="4617" width="7.140625" style="16" bestFit="1" customWidth="1"/>
    <col min="4618" max="4618" width="7.85546875" style="16" customWidth="1"/>
    <col min="4619" max="4620" width="7" style="16" bestFit="1" customWidth="1"/>
    <col min="4621" max="4621" width="6.85546875" style="16" bestFit="1" customWidth="1"/>
    <col min="4622" max="4622" width="7" style="16" bestFit="1" customWidth="1"/>
    <col min="4623" max="4623" width="7.8554687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8" style="16" customWidth="1"/>
    <col min="4867" max="4867" width="9.7109375" style="16" customWidth="1"/>
    <col min="4868" max="4868" width="6.7109375" style="16" bestFit="1" customWidth="1"/>
    <col min="4869" max="4869" width="8.5703125" style="16" bestFit="1" customWidth="1"/>
    <col min="4870" max="4870" width="9.28515625" style="16" bestFit="1" customWidth="1"/>
    <col min="4871" max="4871" width="8.28515625" style="16" customWidth="1"/>
    <col min="4872" max="4872" width="7.7109375" style="16" customWidth="1"/>
    <col min="4873" max="4873" width="7.140625" style="16" bestFit="1" customWidth="1"/>
    <col min="4874" max="4874" width="7.85546875" style="16" customWidth="1"/>
    <col min="4875" max="4876" width="7" style="16" bestFit="1" customWidth="1"/>
    <col min="4877" max="4877" width="6.85546875" style="16" bestFit="1" customWidth="1"/>
    <col min="4878" max="4878" width="7" style="16" bestFit="1" customWidth="1"/>
    <col min="4879" max="4879" width="7.8554687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8" style="16" customWidth="1"/>
    <col min="5123" max="5123" width="9.7109375" style="16" customWidth="1"/>
    <col min="5124" max="5124" width="6.7109375" style="16" bestFit="1" customWidth="1"/>
    <col min="5125" max="5125" width="8.5703125" style="16" bestFit="1" customWidth="1"/>
    <col min="5126" max="5126" width="9.28515625" style="16" bestFit="1" customWidth="1"/>
    <col min="5127" max="5127" width="8.28515625" style="16" customWidth="1"/>
    <col min="5128" max="5128" width="7.7109375" style="16" customWidth="1"/>
    <col min="5129" max="5129" width="7.140625" style="16" bestFit="1" customWidth="1"/>
    <col min="5130" max="5130" width="7.85546875" style="16" customWidth="1"/>
    <col min="5131" max="5132" width="7" style="16" bestFit="1" customWidth="1"/>
    <col min="5133" max="5133" width="6.85546875" style="16" bestFit="1" customWidth="1"/>
    <col min="5134" max="5134" width="7" style="16" bestFit="1" customWidth="1"/>
    <col min="5135" max="5135" width="7.8554687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8" style="16" customWidth="1"/>
    <col min="5379" max="5379" width="9.7109375" style="16" customWidth="1"/>
    <col min="5380" max="5380" width="6.7109375" style="16" bestFit="1" customWidth="1"/>
    <col min="5381" max="5381" width="8.5703125" style="16" bestFit="1" customWidth="1"/>
    <col min="5382" max="5382" width="9.28515625" style="16" bestFit="1" customWidth="1"/>
    <col min="5383" max="5383" width="8.28515625" style="16" customWidth="1"/>
    <col min="5384" max="5384" width="7.7109375" style="16" customWidth="1"/>
    <col min="5385" max="5385" width="7.140625" style="16" bestFit="1" customWidth="1"/>
    <col min="5386" max="5386" width="7.85546875" style="16" customWidth="1"/>
    <col min="5387" max="5388" width="7" style="16" bestFit="1" customWidth="1"/>
    <col min="5389" max="5389" width="6.85546875" style="16" bestFit="1" customWidth="1"/>
    <col min="5390" max="5390" width="7" style="16" bestFit="1" customWidth="1"/>
    <col min="5391" max="5391" width="7.8554687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8" style="16" customWidth="1"/>
    <col min="5635" max="5635" width="9.7109375" style="16" customWidth="1"/>
    <col min="5636" max="5636" width="6.7109375" style="16" bestFit="1" customWidth="1"/>
    <col min="5637" max="5637" width="8.5703125" style="16" bestFit="1" customWidth="1"/>
    <col min="5638" max="5638" width="9.28515625" style="16" bestFit="1" customWidth="1"/>
    <col min="5639" max="5639" width="8.28515625" style="16" customWidth="1"/>
    <col min="5640" max="5640" width="7.7109375" style="16" customWidth="1"/>
    <col min="5641" max="5641" width="7.140625" style="16" bestFit="1" customWidth="1"/>
    <col min="5642" max="5642" width="7.85546875" style="16" customWidth="1"/>
    <col min="5643" max="5644" width="7" style="16" bestFit="1" customWidth="1"/>
    <col min="5645" max="5645" width="6.85546875" style="16" bestFit="1" customWidth="1"/>
    <col min="5646" max="5646" width="7" style="16" bestFit="1" customWidth="1"/>
    <col min="5647" max="5647" width="7.8554687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8" style="16" customWidth="1"/>
    <col min="5891" max="5891" width="9.7109375" style="16" customWidth="1"/>
    <col min="5892" max="5892" width="6.7109375" style="16" bestFit="1" customWidth="1"/>
    <col min="5893" max="5893" width="8.5703125" style="16" bestFit="1" customWidth="1"/>
    <col min="5894" max="5894" width="9.28515625" style="16" bestFit="1" customWidth="1"/>
    <col min="5895" max="5895" width="8.28515625" style="16" customWidth="1"/>
    <col min="5896" max="5896" width="7.7109375" style="16" customWidth="1"/>
    <col min="5897" max="5897" width="7.140625" style="16" bestFit="1" customWidth="1"/>
    <col min="5898" max="5898" width="7.85546875" style="16" customWidth="1"/>
    <col min="5899" max="5900" width="7" style="16" bestFit="1" customWidth="1"/>
    <col min="5901" max="5901" width="6.85546875" style="16" bestFit="1" customWidth="1"/>
    <col min="5902" max="5902" width="7" style="16" bestFit="1" customWidth="1"/>
    <col min="5903" max="5903" width="7.8554687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8" style="16" customWidth="1"/>
    <col min="6147" max="6147" width="9.7109375" style="16" customWidth="1"/>
    <col min="6148" max="6148" width="6.7109375" style="16" bestFit="1" customWidth="1"/>
    <col min="6149" max="6149" width="8.5703125" style="16" bestFit="1" customWidth="1"/>
    <col min="6150" max="6150" width="9.28515625" style="16" bestFit="1" customWidth="1"/>
    <col min="6151" max="6151" width="8.28515625" style="16" customWidth="1"/>
    <col min="6152" max="6152" width="7.7109375" style="16" customWidth="1"/>
    <col min="6153" max="6153" width="7.140625" style="16" bestFit="1" customWidth="1"/>
    <col min="6154" max="6154" width="7.85546875" style="16" customWidth="1"/>
    <col min="6155" max="6156" width="7" style="16" bestFit="1" customWidth="1"/>
    <col min="6157" max="6157" width="6.85546875" style="16" bestFit="1" customWidth="1"/>
    <col min="6158" max="6158" width="7" style="16" bestFit="1" customWidth="1"/>
    <col min="6159" max="6159" width="7.8554687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8" style="16" customWidth="1"/>
    <col min="6403" max="6403" width="9.7109375" style="16" customWidth="1"/>
    <col min="6404" max="6404" width="6.7109375" style="16" bestFit="1" customWidth="1"/>
    <col min="6405" max="6405" width="8.5703125" style="16" bestFit="1" customWidth="1"/>
    <col min="6406" max="6406" width="9.28515625" style="16" bestFit="1" customWidth="1"/>
    <col min="6407" max="6407" width="8.28515625" style="16" customWidth="1"/>
    <col min="6408" max="6408" width="7.7109375" style="16" customWidth="1"/>
    <col min="6409" max="6409" width="7.140625" style="16" bestFit="1" customWidth="1"/>
    <col min="6410" max="6410" width="7.85546875" style="16" customWidth="1"/>
    <col min="6411" max="6412" width="7" style="16" bestFit="1" customWidth="1"/>
    <col min="6413" max="6413" width="6.85546875" style="16" bestFit="1" customWidth="1"/>
    <col min="6414" max="6414" width="7" style="16" bestFit="1" customWidth="1"/>
    <col min="6415" max="6415" width="7.8554687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8" style="16" customWidth="1"/>
    <col min="6659" max="6659" width="9.7109375" style="16" customWidth="1"/>
    <col min="6660" max="6660" width="6.7109375" style="16" bestFit="1" customWidth="1"/>
    <col min="6661" max="6661" width="8.5703125" style="16" bestFit="1" customWidth="1"/>
    <col min="6662" max="6662" width="9.28515625" style="16" bestFit="1" customWidth="1"/>
    <col min="6663" max="6663" width="8.28515625" style="16" customWidth="1"/>
    <col min="6664" max="6664" width="7.7109375" style="16" customWidth="1"/>
    <col min="6665" max="6665" width="7.140625" style="16" bestFit="1" customWidth="1"/>
    <col min="6666" max="6666" width="7.85546875" style="16" customWidth="1"/>
    <col min="6667" max="6668" width="7" style="16" bestFit="1" customWidth="1"/>
    <col min="6669" max="6669" width="6.85546875" style="16" bestFit="1" customWidth="1"/>
    <col min="6670" max="6670" width="7" style="16" bestFit="1" customWidth="1"/>
    <col min="6671" max="6671" width="7.8554687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8" style="16" customWidth="1"/>
    <col min="6915" max="6915" width="9.7109375" style="16" customWidth="1"/>
    <col min="6916" max="6916" width="6.7109375" style="16" bestFit="1" customWidth="1"/>
    <col min="6917" max="6917" width="8.5703125" style="16" bestFit="1" customWidth="1"/>
    <col min="6918" max="6918" width="9.28515625" style="16" bestFit="1" customWidth="1"/>
    <col min="6919" max="6919" width="8.28515625" style="16" customWidth="1"/>
    <col min="6920" max="6920" width="7.7109375" style="16" customWidth="1"/>
    <col min="6921" max="6921" width="7.140625" style="16" bestFit="1" customWidth="1"/>
    <col min="6922" max="6922" width="7.85546875" style="16" customWidth="1"/>
    <col min="6923" max="6924" width="7" style="16" bestFit="1" customWidth="1"/>
    <col min="6925" max="6925" width="6.85546875" style="16" bestFit="1" customWidth="1"/>
    <col min="6926" max="6926" width="7" style="16" bestFit="1" customWidth="1"/>
    <col min="6927" max="6927" width="7.8554687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8" style="16" customWidth="1"/>
    <col min="7171" max="7171" width="9.7109375" style="16" customWidth="1"/>
    <col min="7172" max="7172" width="6.7109375" style="16" bestFit="1" customWidth="1"/>
    <col min="7173" max="7173" width="8.5703125" style="16" bestFit="1" customWidth="1"/>
    <col min="7174" max="7174" width="9.28515625" style="16" bestFit="1" customWidth="1"/>
    <col min="7175" max="7175" width="8.28515625" style="16" customWidth="1"/>
    <col min="7176" max="7176" width="7.7109375" style="16" customWidth="1"/>
    <col min="7177" max="7177" width="7.140625" style="16" bestFit="1" customWidth="1"/>
    <col min="7178" max="7178" width="7.85546875" style="16" customWidth="1"/>
    <col min="7179" max="7180" width="7" style="16" bestFit="1" customWidth="1"/>
    <col min="7181" max="7181" width="6.85546875" style="16" bestFit="1" customWidth="1"/>
    <col min="7182" max="7182" width="7" style="16" bestFit="1" customWidth="1"/>
    <col min="7183" max="7183" width="7.8554687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8" style="16" customWidth="1"/>
    <col min="7427" max="7427" width="9.7109375" style="16" customWidth="1"/>
    <col min="7428" max="7428" width="6.7109375" style="16" bestFit="1" customWidth="1"/>
    <col min="7429" max="7429" width="8.5703125" style="16" bestFit="1" customWidth="1"/>
    <col min="7430" max="7430" width="9.28515625" style="16" bestFit="1" customWidth="1"/>
    <col min="7431" max="7431" width="8.28515625" style="16" customWidth="1"/>
    <col min="7432" max="7432" width="7.7109375" style="16" customWidth="1"/>
    <col min="7433" max="7433" width="7.140625" style="16" bestFit="1" customWidth="1"/>
    <col min="7434" max="7434" width="7.85546875" style="16" customWidth="1"/>
    <col min="7435" max="7436" width="7" style="16" bestFit="1" customWidth="1"/>
    <col min="7437" max="7437" width="6.85546875" style="16" bestFit="1" customWidth="1"/>
    <col min="7438" max="7438" width="7" style="16" bestFit="1" customWidth="1"/>
    <col min="7439" max="7439" width="7.8554687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8" style="16" customWidth="1"/>
    <col min="7683" max="7683" width="9.7109375" style="16" customWidth="1"/>
    <col min="7684" max="7684" width="6.7109375" style="16" bestFit="1" customWidth="1"/>
    <col min="7685" max="7685" width="8.5703125" style="16" bestFit="1" customWidth="1"/>
    <col min="7686" max="7686" width="9.28515625" style="16" bestFit="1" customWidth="1"/>
    <col min="7687" max="7687" width="8.28515625" style="16" customWidth="1"/>
    <col min="7688" max="7688" width="7.7109375" style="16" customWidth="1"/>
    <col min="7689" max="7689" width="7.140625" style="16" bestFit="1" customWidth="1"/>
    <col min="7690" max="7690" width="7.85546875" style="16" customWidth="1"/>
    <col min="7691" max="7692" width="7" style="16" bestFit="1" customWidth="1"/>
    <col min="7693" max="7693" width="6.85546875" style="16" bestFit="1" customWidth="1"/>
    <col min="7694" max="7694" width="7" style="16" bestFit="1" customWidth="1"/>
    <col min="7695" max="7695" width="7.8554687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8" style="16" customWidth="1"/>
    <col min="7939" max="7939" width="9.7109375" style="16" customWidth="1"/>
    <col min="7940" max="7940" width="6.7109375" style="16" bestFit="1" customWidth="1"/>
    <col min="7941" max="7941" width="8.5703125" style="16" bestFit="1" customWidth="1"/>
    <col min="7942" max="7942" width="9.28515625" style="16" bestFit="1" customWidth="1"/>
    <col min="7943" max="7943" width="8.28515625" style="16" customWidth="1"/>
    <col min="7944" max="7944" width="7.7109375" style="16" customWidth="1"/>
    <col min="7945" max="7945" width="7.140625" style="16" bestFit="1" customWidth="1"/>
    <col min="7946" max="7946" width="7.85546875" style="16" customWidth="1"/>
    <col min="7947" max="7948" width="7" style="16" bestFit="1" customWidth="1"/>
    <col min="7949" max="7949" width="6.85546875" style="16" bestFit="1" customWidth="1"/>
    <col min="7950" max="7950" width="7" style="16" bestFit="1" customWidth="1"/>
    <col min="7951" max="7951" width="7.8554687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8" style="16" customWidth="1"/>
    <col min="8195" max="8195" width="9.7109375" style="16" customWidth="1"/>
    <col min="8196" max="8196" width="6.7109375" style="16" bestFit="1" customWidth="1"/>
    <col min="8197" max="8197" width="8.5703125" style="16" bestFit="1" customWidth="1"/>
    <col min="8198" max="8198" width="9.28515625" style="16" bestFit="1" customWidth="1"/>
    <col min="8199" max="8199" width="8.28515625" style="16" customWidth="1"/>
    <col min="8200" max="8200" width="7.7109375" style="16" customWidth="1"/>
    <col min="8201" max="8201" width="7.140625" style="16" bestFit="1" customWidth="1"/>
    <col min="8202" max="8202" width="7.85546875" style="16" customWidth="1"/>
    <col min="8203" max="8204" width="7" style="16" bestFit="1" customWidth="1"/>
    <col min="8205" max="8205" width="6.85546875" style="16" bestFit="1" customWidth="1"/>
    <col min="8206" max="8206" width="7" style="16" bestFit="1" customWidth="1"/>
    <col min="8207" max="8207" width="7.8554687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8" style="16" customWidth="1"/>
    <col min="8451" max="8451" width="9.7109375" style="16" customWidth="1"/>
    <col min="8452" max="8452" width="6.7109375" style="16" bestFit="1" customWidth="1"/>
    <col min="8453" max="8453" width="8.5703125" style="16" bestFit="1" customWidth="1"/>
    <col min="8454" max="8454" width="9.28515625" style="16" bestFit="1" customWidth="1"/>
    <col min="8455" max="8455" width="8.28515625" style="16" customWidth="1"/>
    <col min="8456" max="8456" width="7.7109375" style="16" customWidth="1"/>
    <col min="8457" max="8457" width="7.140625" style="16" bestFit="1" customWidth="1"/>
    <col min="8458" max="8458" width="7.85546875" style="16" customWidth="1"/>
    <col min="8459" max="8460" width="7" style="16" bestFit="1" customWidth="1"/>
    <col min="8461" max="8461" width="6.85546875" style="16" bestFit="1" customWidth="1"/>
    <col min="8462" max="8462" width="7" style="16" bestFit="1" customWidth="1"/>
    <col min="8463" max="8463" width="7.8554687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8" style="16" customWidth="1"/>
    <col min="8707" max="8707" width="9.7109375" style="16" customWidth="1"/>
    <col min="8708" max="8708" width="6.7109375" style="16" bestFit="1" customWidth="1"/>
    <col min="8709" max="8709" width="8.5703125" style="16" bestFit="1" customWidth="1"/>
    <col min="8710" max="8710" width="9.28515625" style="16" bestFit="1" customWidth="1"/>
    <col min="8711" max="8711" width="8.28515625" style="16" customWidth="1"/>
    <col min="8712" max="8712" width="7.7109375" style="16" customWidth="1"/>
    <col min="8713" max="8713" width="7.140625" style="16" bestFit="1" customWidth="1"/>
    <col min="8714" max="8714" width="7.85546875" style="16" customWidth="1"/>
    <col min="8715" max="8716" width="7" style="16" bestFit="1" customWidth="1"/>
    <col min="8717" max="8717" width="6.85546875" style="16" bestFit="1" customWidth="1"/>
    <col min="8718" max="8718" width="7" style="16" bestFit="1" customWidth="1"/>
    <col min="8719" max="8719" width="7.8554687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8" style="16" customWidth="1"/>
    <col min="8963" max="8963" width="9.7109375" style="16" customWidth="1"/>
    <col min="8964" max="8964" width="6.7109375" style="16" bestFit="1" customWidth="1"/>
    <col min="8965" max="8965" width="8.5703125" style="16" bestFit="1" customWidth="1"/>
    <col min="8966" max="8966" width="9.28515625" style="16" bestFit="1" customWidth="1"/>
    <col min="8967" max="8967" width="8.28515625" style="16" customWidth="1"/>
    <col min="8968" max="8968" width="7.7109375" style="16" customWidth="1"/>
    <col min="8969" max="8969" width="7.140625" style="16" bestFit="1" customWidth="1"/>
    <col min="8970" max="8970" width="7.85546875" style="16" customWidth="1"/>
    <col min="8971" max="8972" width="7" style="16" bestFit="1" customWidth="1"/>
    <col min="8973" max="8973" width="6.85546875" style="16" bestFit="1" customWidth="1"/>
    <col min="8974" max="8974" width="7" style="16" bestFit="1" customWidth="1"/>
    <col min="8975" max="8975" width="7.8554687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8" style="16" customWidth="1"/>
    <col min="9219" max="9219" width="9.7109375" style="16" customWidth="1"/>
    <col min="9220" max="9220" width="6.7109375" style="16" bestFit="1" customWidth="1"/>
    <col min="9221" max="9221" width="8.5703125" style="16" bestFit="1" customWidth="1"/>
    <col min="9222" max="9222" width="9.28515625" style="16" bestFit="1" customWidth="1"/>
    <col min="9223" max="9223" width="8.28515625" style="16" customWidth="1"/>
    <col min="9224" max="9224" width="7.7109375" style="16" customWidth="1"/>
    <col min="9225" max="9225" width="7.140625" style="16" bestFit="1" customWidth="1"/>
    <col min="9226" max="9226" width="7.85546875" style="16" customWidth="1"/>
    <col min="9227" max="9228" width="7" style="16" bestFit="1" customWidth="1"/>
    <col min="9229" max="9229" width="6.85546875" style="16" bestFit="1" customWidth="1"/>
    <col min="9230" max="9230" width="7" style="16" bestFit="1" customWidth="1"/>
    <col min="9231" max="9231" width="7.8554687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8" style="16" customWidth="1"/>
    <col min="9475" max="9475" width="9.7109375" style="16" customWidth="1"/>
    <col min="9476" max="9476" width="6.7109375" style="16" bestFit="1" customWidth="1"/>
    <col min="9477" max="9477" width="8.5703125" style="16" bestFit="1" customWidth="1"/>
    <col min="9478" max="9478" width="9.28515625" style="16" bestFit="1" customWidth="1"/>
    <col min="9479" max="9479" width="8.28515625" style="16" customWidth="1"/>
    <col min="9480" max="9480" width="7.7109375" style="16" customWidth="1"/>
    <col min="9481" max="9481" width="7.140625" style="16" bestFit="1" customWidth="1"/>
    <col min="9482" max="9482" width="7.85546875" style="16" customWidth="1"/>
    <col min="9483" max="9484" width="7" style="16" bestFit="1" customWidth="1"/>
    <col min="9485" max="9485" width="6.85546875" style="16" bestFit="1" customWidth="1"/>
    <col min="9486" max="9486" width="7" style="16" bestFit="1" customWidth="1"/>
    <col min="9487" max="9487" width="7.8554687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8" style="16" customWidth="1"/>
    <col min="9731" max="9731" width="9.7109375" style="16" customWidth="1"/>
    <col min="9732" max="9732" width="6.7109375" style="16" bestFit="1" customWidth="1"/>
    <col min="9733" max="9733" width="8.5703125" style="16" bestFit="1" customWidth="1"/>
    <col min="9734" max="9734" width="9.28515625" style="16" bestFit="1" customWidth="1"/>
    <col min="9735" max="9735" width="8.28515625" style="16" customWidth="1"/>
    <col min="9736" max="9736" width="7.7109375" style="16" customWidth="1"/>
    <col min="9737" max="9737" width="7.140625" style="16" bestFit="1" customWidth="1"/>
    <col min="9738" max="9738" width="7.85546875" style="16" customWidth="1"/>
    <col min="9739" max="9740" width="7" style="16" bestFit="1" customWidth="1"/>
    <col min="9741" max="9741" width="6.85546875" style="16" bestFit="1" customWidth="1"/>
    <col min="9742" max="9742" width="7" style="16" bestFit="1" customWidth="1"/>
    <col min="9743" max="9743" width="7.8554687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8" style="16" customWidth="1"/>
    <col min="9987" max="9987" width="9.7109375" style="16" customWidth="1"/>
    <col min="9988" max="9988" width="6.7109375" style="16" bestFit="1" customWidth="1"/>
    <col min="9989" max="9989" width="8.5703125" style="16" bestFit="1" customWidth="1"/>
    <col min="9990" max="9990" width="9.28515625" style="16" bestFit="1" customWidth="1"/>
    <col min="9991" max="9991" width="8.28515625" style="16" customWidth="1"/>
    <col min="9992" max="9992" width="7.7109375" style="16" customWidth="1"/>
    <col min="9993" max="9993" width="7.140625" style="16" bestFit="1" customWidth="1"/>
    <col min="9994" max="9994" width="7.85546875" style="16" customWidth="1"/>
    <col min="9995" max="9996" width="7" style="16" bestFit="1" customWidth="1"/>
    <col min="9997" max="9997" width="6.85546875" style="16" bestFit="1" customWidth="1"/>
    <col min="9998" max="9998" width="7" style="16" bestFit="1" customWidth="1"/>
    <col min="9999" max="9999" width="7.8554687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8" style="16" customWidth="1"/>
    <col min="10243" max="10243" width="9.7109375" style="16" customWidth="1"/>
    <col min="10244" max="10244" width="6.7109375" style="16" bestFit="1" customWidth="1"/>
    <col min="10245" max="10245" width="8.5703125" style="16" bestFit="1" customWidth="1"/>
    <col min="10246" max="10246" width="9.28515625" style="16" bestFit="1" customWidth="1"/>
    <col min="10247" max="10247" width="8.28515625" style="16" customWidth="1"/>
    <col min="10248" max="10248" width="7.7109375" style="16" customWidth="1"/>
    <col min="10249" max="10249" width="7.140625" style="16" bestFit="1" customWidth="1"/>
    <col min="10250" max="10250" width="7.85546875" style="16" customWidth="1"/>
    <col min="10251" max="10252" width="7" style="16" bestFit="1" customWidth="1"/>
    <col min="10253" max="10253" width="6.85546875" style="16" bestFit="1" customWidth="1"/>
    <col min="10254" max="10254" width="7" style="16" bestFit="1" customWidth="1"/>
    <col min="10255" max="10255" width="7.8554687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8" style="16" customWidth="1"/>
    <col min="10499" max="10499" width="9.7109375" style="16" customWidth="1"/>
    <col min="10500" max="10500" width="6.7109375" style="16" bestFit="1" customWidth="1"/>
    <col min="10501" max="10501" width="8.5703125" style="16" bestFit="1" customWidth="1"/>
    <col min="10502" max="10502" width="9.28515625" style="16" bestFit="1" customWidth="1"/>
    <col min="10503" max="10503" width="8.28515625" style="16" customWidth="1"/>
    <col min="10504" max="10504" width="7.7109375" style="16" customWidth="1"/>
    <col min="10505" max="10505" width="7.140625" style="16" bestFit="1" customWidth="1"/>
    <col min="10506" max="10506" width="7.85546875" style="16" customWidth="1"/>
    <col min="10507" max="10508" width="7" style="16" bestFit="1" customWidth="1"/>
    <col min="10509" max="10509" width="6.85546875" style="16" bestFit="1" customWidth="1"/>
    <col min="10510" max="10510" width="7" style="16" bestFit="1" customWidth="1"/>
    <col min="10511" max="10511" width="7.8554687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8" style="16" customWidth="1"/>
    <col min="10755" max="10755" width="9.7109375" style="16" customWidth="1"/>
    <col min="10756" max="10756" width="6.7109375" style="16" bestFit="1" customWidth="1"/>
    <col min="10757" max="10757" width="8.5703125" style="16" bestFit="1" customWidth="1"/>
    <col min="10758" max="10758" width="9.28515625" style="16" bestFit="1" customWidth="1"/>
    <col min="10759" max="10759" width="8.28515625" style="16" customWidth="1"/>
    <col min="10760" max="10760" width="7.7109375" style="16" customWidth="1"/>
    <col min="10761" max="10761" width="7.140625" style="16" bestFit="1" customWidth="1"/>
    <col min="10762" max="10762" width="7.85546875" style="16" customWidth="1"/>
    <col min="10763" max="10764" width="7" style="16" bestFit="1" customWidth="1"/>
    <col min="10765" max="10765" width="6.85546875" style="16" bestFit="1" customWidth="1"/>
    <col min="10766" max="10766" width="7" style="16" bestFit="1" customWidth="1"/>
    <col min="10767" max="10767" width="7.8554687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8" style="16" customWidth="1"/>
    <col min="11011" max="11011" width="9.7109375" style="16" customWidth="1"/>
    <col min="11012" max="11012" width="6.7109375" style="16" bestFit="1" customWidth="1"/>
    <col min="11013" max="11013" width="8.5703125" style="16" bestFit="1" customWidth="1"/>
    <col min="11014" max="11014" width="9.28515625" style="16" bestFit="1" customWidth="1"/>
    <col min="11015" max="11015" width="8.28515625" style="16" customWidth="1"/>
    <col min="11016" max="11016" width="7.7109375" style="16" customWidth="1"/>
    <col min="11017" max="11017" width="7.140625" style="16" bestFit="1" customWidth="1"/>
    <col min="11018" max="11018" width="7.85546875" style="16" customWidth="1"/>
    <col min="11019" max="11020" width="7" style="16" bestFit="1" customWidth="1"/>
    <col min="11021" max="11021" width="6.85546875" style="16" bestFit="1" customWidth="1"/>
    <col min="11022" max="11022" width="7" style="16" bestFit="1" customWidth="1"/>
    <col min="11023" max="11023" width="7.8554687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8" style="16" customWidth="1"/>
    <col min="11267" max="11267" width="9.7109375" style="16" customWidth="1"/>
    <col min="11268" max="11268" width="6.7109375" style="16" bestFit="1" customWidth="1"/>
    <col min="11269" max="11269" width="8.5703125" style="16" bestFit="1" customWidth="1"/>
    <col min="11270" max="11270" width="9.28515625" style="16" bestFit="1" customWidth="1"/>
    <col min="11271" max="11271" width="8.28515625" style="16" customWidth="1"/>
    <col min="11272" max="11272" width="7.7109375" style="16" customWidth="1"/>
    <col min="11273" max="11273" width="7.140625" style="16" bestFit="1" customWidth="1"/>
    <col min="11274" max="11274" width="7.85546875" style="16" customWidth="1"/>
    <col min="11275" max="11276" width="7" style="16" bestFit="1" customWidth="1"/>
    <col min="11277" max="11277" width="6.85546875" style="16" bestFit="1" customWidth="1"/>
    <col min="11278" max="11278" width="7" style="16" bestFit="1" customWidth="1"/>
    <col min="11279" max="11279" width="7.8554687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8" style="16" customWidth="1"/>
    <col min="11523" max="11523" width="9.7109375" style="16" customWidth="1"/>
    <col min="11524" max="11524" width="6.7109375" style="16" bestFit="1" customWidth="1"/>
    <col min="11525" max="11525" width="8.5703125" style="16" bestFit="1" customWidth="1"/>
    <col min="11526" max="11526" width="9.28515625" style="16" bestFit="1" customWidth="1"/>
    <col min="11527" max="11527" width="8.28515625" style="16" customWidth="1"/>
    <col min="11528" max="11528" width="7.7109375" style="16" customWidth="1"/>
    <col min="11529" max="11529" width="7.140625" style="16" bestFit="1" customWidth="1"/>
    <col min="11530" max="11530" width="7.85546875" style="16" customWidth="1"/>
    <col min="11531" max="11532" width="7" style="16" bestFit="1" customWidth="1"/>
    <col min="11533" max="11533" width="6.85546875" style="16" bestFit="1" customWidth="1"/>
    <col min="11534" max="11534" width="7" style="16" bestFit="1" customWidth="1"/>
    <col min="11535" max="11535" width="7.8554687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8" style="16" customWidth="1"/>
    <col min="11779" max="11779" width="9.7109375" style="16" customWidth="1"/>
    <col min="11780" max="11780" width="6.7109375" style="16" bestFit="1" customWidth="1"/>
    <col min="11781" max="11781" width="8.5703125" style="16" bestFit="1" customWidth="1"/>
    <col min="11782" max="11782" width="9.28515625" style="16" bestFit="1" customWidth="1"/>
    <col min="11783" max="11783" width="8.28515625" style="16" customWidth="1"/>
    <col min="11784" max="11784" width="7.7109375" style="16" customWidth="1"/>
    <col min="11785" max="11785" width="7.140625" style="16" bestFit="1" customWidth="1"/>
    <col min="11786" max="11786" width="7.85546875" style="16" customWidth="1"/>
    <col min="11787" max="11788" width="7" style="16" bestFit="1" customWidth="1"/>
    <col min="11789" max="11789" width="6.85546875" style="16" bestFit="1" customWidth="1"/>
    <col min="11790" max="11790" width="7" style="16" bestFit="1" customWidth="1"/>
    <col min="11791" max="11791" width="7.8554687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8" style="16" customWidth="1"/>
    <col min="12035" max="12035" width="9.7109375" style="16" customWidth="1"/>
    <col min="12036" max="12036" width="6.7109375" style="16" bestFit="1" customWidth="1"/>
    <col min="12037" max="12037" width="8.5703125" style="16" bestFit="1" customWidth="1"/>
    <col min="12038" max="12038" width="9.28515625" style="16" bestFit="1" customWidth="1"/>
    <col min="12039" max="12039" width="8.28515625" style="16" customWidth="1"/>
    <col min="12040" max="12040" width="7.7109375" style="16" customWidth="1"/>
    <col min="12041" max="12041" width="7.140625" style="16" bestFit="1" customWidth="1"/>
    <col min="12042" max="12042" width="7.85546875" style="16" customWidth="1"/>
    <col min="12043" max="12044" width="7" style="16" bestFit="1" customWidth="1"/>
    <col min="12045" max="12045" width="6.85546875" style="16" bestFit="1" customWidth="1"/>
    <col min="12046" max="12046" width="7" style="16" bestFit="1" customWidth="1"/>
    <col min="12047" max="12047" width="7.8554687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8" style="16" customWidth="1"/>
    <col min="12291" max="12291" width="9.7109375" style="16" customWidth="1"/>
    <col min="12292" max="12292" width="6.7109375" style="16" bestFit="1" customWidth="1"/>
    <col min="12293" max="12293" width="8.5703125" style="16" bestFit="1" customWidth="1"/>
    <col min="12294" max="12294" width="9.28515625" style="16" bestFit="1" customWidth="1"/>
    <col min="12295" max="12295" width="8.28515625" style="16" customWidth="1"/>
    <col min="12296" max="12296" width="7.7109375" style="16" customWidth="1"/>
    <col min="12297" max="12297" width="7.140625" style="16" bestFit="1" customWidth="1"/>
    <col min="12298" max="12298" width="7.85546875" style="16" customWidth="1"/>
    <col min="12299" max="12300" width="7" style="16" bestFit="1" customWidth="1"/>
    <col min="12301" max="12301" width="6.85546875" style="16" bestFit="1" customWidth="1"/>
    <col min="12302" max="12302" width="7" style="16" bestFit="1" customWidth="1"/>
    <col min="12303" max="12303" width="7.8554687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8" style="16" customWidth="1"/>
    <col min="12547" max="12547" width="9.7109375" style="16" customWidth="1"/>
    <col min="12548" max="12548" width="6.7109375" style="16" bestFit="1" customWidth="1"/>
    <col min="12549" max="12549" width="8.5703125" style="16" bestFit="1" customWidth="1"/>
    <col min="12550" max="12550" width="9.28515625" style="16" bestFit="1" customWidth="1"/>
    <col min="12551" max="12551" width="8.28515625" style="16" customWidth="1"/>
    <col min="12552" max="12552" width="7.7109375" style="16" customWidth="1"/>
    <col min="12553" max="12553" width="7.140625" style="16" bestFit="1" customWidth="1"/>
    <col min="12554" max="12554" width="7.85546875" style="16" customWidth="1"/>
    <col min="12555" max="12556" width="7" style="16" bestFit="1" customWidth="1"/>
    <col min="12557" max="12557" width="6.85546875" style="16" bestFit="1" customWidth="1"/>
    <col min="12558" max="12558" width="7" style="16" bestFit="1" customWidth="1"/>
    <col min="12559" max="12559" width="7.8554687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8" style="16" customWidth="1"/>
    <col min="12803" max="12803" width="9.7109375" style="16" customWidth="1"/>
    <col min="12804" max="12804" width="6.7109375" style="16" bestFit="1" customWidth="1"/>
    <col min="12805" max="12805" width="8.5703125" style="16" bestFit="1" customWidth="1"/>
    <col min="12806" max="12806" width="9.28515625" style="16" bestFit="1" customWidth="1"/>
    <col min="12807" max="12807" width="8.28515625" style="16" customWidth="1"/>
    <col min="12808" max="12808" width="7.7109375" style="16" customWidth="1"/>
    <col min="12809" max="12809" width="7.140625" style="16" bestFit="1" customWidth="1"/>
    <col min="12810" max="12810" width="7.85546875" style="16" customWidth="1"/>
    <col min="12811" max="12812" width="7" style="16" bestFit="1" customWidth="1"/>
    <col min="12813" max="12813" width="6.85546875" style="16" bestFit="1" customWidth="1"/>
    <col min="12814" max="12814" width="7" style="16" bestFit="1" customWidth="1"/>
    <col min="12815" max="12815" width="7.8554687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8" style="16" customWidth="1"/>
    <col min="13059" max="13059" width="9.7109375" style="16" customWidth="1"/>
    <col min="13060" max="13060" width="6.7109375" style="16" bestFit="1" customWidth="1"/>
    <col min="13061" max="13061" width="8.5703125" style="16" bestFit="1" customWidth="1"/>
    <col min="13062" max="13062" width="9.28515625" style="16" bestFit="1" customWidth="1"/>
    <col min="13063" max="13063" width="8.28515625" style="16" customWidth="1"/>
    <col min="13064" max="13064" width="7.7109375" style="16" customWidth="1"/>
    <col min="13065" max="13065" width="7.140625" style="16" bestFit="1" customWidth="1"/>
    <col min="13066" max="13066" width="7.85546875" style="16" customWidth="1"/>
    <col min="13067" max="13068" width="7" style="16" bestFit="1" customWidth="1"/>
    <col min="13069" max="13069" width="6.85546875" style="16" bestFit="1" customWidth="1"/>
    <col min="13070" max="13070" width="7" style="16" bestFit="1" customWidth="1"/>
    <col min="13071" max="13071" width="7.8554687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8" style="16" customWidth="1"/>
    <col min="13315" max="13315" width="9.7109375" style="16" customWidth="1"/>
    <col min="13316" max="13316" width="6.7109375" style="16" bestFit="1" customWidth="1"/>
    <col min="13317" max="13317" width="8.5703125" style="16" bestFit="1" customWidth="1"/>
    <col min="13318" max="13318" width="9.28515625" style="16" bestFit="1" customWidth="1"/>
    <col min="13319" max="13319" width="8.28515625" style="16" customWidth="1"/>
    <col min="13320" max="13320" width="7.7109375" style="16" customWidth="1"/>
    <col min="13321" max="13321" width="7.140625" style="16" bestFit="1" customWidth="1"/>
    <col min="13322" max="13322" width="7.85546875" style="16" customWidth="1"/>
    <col min="13323" max="13324" width="7" style="16" bestFit="1" customWidth="1"/>
    <col min="13325" max="13325" width="6.85546875" style="16" bestFit="1" customWidth="1"/>
    <col min="13326" max="13326" width="7" style="16" bestFit="1" customWidth="1"/>
    <col min="13327" max="13327" width="7.8554687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8" style="16" customWidth="1"/>
    <col min="13571" max="13571" width="9.7109375" style="16" customWidth="1"/>
    <col min="13572" max="13572" width="6.7109375" style="16" bestFit="1" customWidth="1"/>
    <col min="13573" max="13573" width="8.5703125" style="16" bestFit="1" customWidth="1"/>
    <col min="13574" max="13574" width="9.28515625" style="16" bestFit="1" customWidth="1"/>
    <col min="13575" max="13575" width="8.28515625" style="16" customWidth="1"/>
    <col min="13576" max="13576" width="7.7109375" style="16" customWidth="1"/>
    <col min="13577" max="13577" width="7.140625" style="16" bestFit="1" customWidth="1"/>
    <col min="13578" max="13578" width="7.85546875" style="16" customWidth="1"/>
    <col min="13579" max="13580" width="7" style="16" bestFit="1" customWidth="1"/>
    <col min="13581" max="13581" width="6.85546875" style="16" bestFit="1" customWidth="1"/>
    <col min="13582" max="13582" width="7" style="16" bestFit="1" customWidth="1"/>
    <col min="13583" max="13583" width="7.8554687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8" style="16" customWidth="1"/>
    <col min="13827" max="13827" width="9.7109375" style="16" customWidth="1"/>
    <col min="13828" max="13828" width="6.7109375" style="16" bestFit="1" customWidth="1"/>
    <col min="13829" max="13829" width="8.5703125" style="16" bestFit="1" customWidth="1"/>
    <col min="13830" max="13830" width="9.28515625" style="16" bestFit="1" customWidth="1"/>
    <col min="13831" max="13831" width="8.28515625" style="16" customWidth="1"/>
    <col min="13832" max="13832" width="7.7109375" style="16" customWidth="1"/>
    <col min="13833" max="13833" width="7.140625" style="16" bestFit="1" customWidth="1"/>
    <col min="13834" max="13834" width="7.85546875" style="16" customWidth="1"/>
    <col min="13835" max="13836" width="7" style="16" bestFit="1" customWidth="1"/>
    <col min="13837" max="13837" width="6.85546875" style="16" bestFit="1" customWidth="1"/>
    <col min="13838" max="13838" width="7" style="16" bestFit="1" customWidth="1"/>
    <col min="13839" max="13839" width="7.8554687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8" style="16" customWidth="1"/>
    <col min="14083" max="14083" width="9.7109375" style="16" customWidth="1"/>
    <col min="14084" max="14084" width="6.7109375" style="16" bestFit="1" customWidth="1"/>
    <col min="14085" max="14085" width="8.5703125" style="16" bestFit="1" customWidth="1"/>
    <col min="14086" max="14086" width="9.28515625" style="16" bestFit="1" customWidth="1"/>
    <col min="14087" max="14087" width="8.28515625" style="16" customWidth="1"/>
    <col min="14088" max="14088" width="7.7109375" style="16" customWidth="1"/>
    <col min="14089" max="14089" width="7.140625" style="16" bestFit="1" customWidth="1"/>
    <col min="14090" max="14090" width="7.85546875" style="16" customWidth="1"/>
    <col min="14091" max="14092" width="7" style="16" bestFit="1" customWidth="1"/>
    <col min="14093" max="14093" width="6.85546875" style="16" bestFit="1" customWidth="1"/>
    <col min="14094" max="14094" width="7" style="16" bestFit="1" customWidth="1"/>
    <col min="14095" max="14095" width="7.8554687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8" style="16" customWidth="1"/>
    <col min="14339" max="14339" width="9.7109375" style="16" customWidth="1"/>
    <col min="14340" max="14340" width="6.7109375" style="16" bestFit="1" customWidth="1"/>
    <col min="14341" max="14341" width="8.5703125" style="16" bestFit="1" customWidth="1"/>
    <col min="14342" max="14342" width="9.28515625" style="16" bestFit="1" customWidth="1"/>
    <col min="14343" max="14343" width="8.28515625" style="16" customWidth="1"/>
    <col min="14344" max="14344" width="7.7109375" style="16" customWidth="1"/>
    <col min="14345" max="14345" width="7.140625" style="16" bestFit="1" customWidth="1"/>
    <col min="14346" max="14346" width="7.85546875" style="16" customWidth="1"/>
    <col min="14347" max="14348" width="7" style="16" bestFit="1" customWidth="1"/>
    <col min="14349" max="14349" width="6.85546875" style="16" bestFit="1" customWidth="1"/>
    <col min="14350" max="14350" width="7" style="16" bestFit="1" customWidth="1"/>
    <col min="14351" max="14351" width="7.8554687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8" style="16" customWidth="1"/>
    <col min="14595" max="14595" width="9.7109375" style="16" customWidth="1"/>
    <col min="14596" max="14596" width="6.7109375" style="16" bestFit="1" customWidth="1"/>
    <col min="14597" max="14597" width="8.5703125" style="16" bestFit="1" customWidth="1"/>
    <col min="14598" max="14598" width="9.28515625" style="16" bestFit="1" customWidth="1"/>
    <col min="14599" max="14599" width="8.28515625" style="16" customWidth="1"/>
    <col min="14600" max="14600" width="7.7109375" style="16" customWidth="1"/>
    <col min="14601" max="14601" width="7.140625" style="16" bestFit="1" customWidth="1"/>
    <col min="14602" max="14602" width="7.85546875" style="16" customWidth="1"/>
    <col min="14603" max="14604" width="7" style="16" bestFit="1" customWidth="1"/>
    <col min="14605" max="14605" width="6.85546875" style="16" bestFit="1" customWidth="1"/>
    <col min="14606" max="14606" width="7" style="16" bestFit="1" customWidth="1"/>
    <col min="14607" max="14607" width="7.8554687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8" style="16" customWidth="1"/>
    <col min="14851" max="14851" width="9.7109375" style="16" customWidth="1"/>
    <col min="14852" max="14852" width="6.7109375" style="16" bestFit="1" customWidth="1"/>
    <col min="14853" max="14853" width="8.5703125" style="16" bestFit="1" customWidth="1"/>
    <col min="14854" max="14854" width="9.28515625" style="16" bestFit="1" customWidth="1"/>
    <col min="14855" max="14855" width="8.28515625" style="16" customWidth="1"/>
    <col min="14856" max="14856" width="7.7109375" style="16" customWidth="1"/>
    <col min="14857" max="14857" width="7.140625" style="16" bestFit="1" customWidth="1"/>
    <col min="14858" max="14858" width="7.85546875" style="16" customWidth="1"/>
    <col min="14859" max="14860" width="7" style="16" bestFit="1" customWidth="1"/>
    <col min="14861" max="14861" width="6.85546875" style="16" bestFit="1" customWidth="1"/>
    <col min="14862" max="14862" width="7" style="16" bestFit="1" customWidth="1"/>
    <col min="14863" max="14863" width="7.8554687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8" style="16" customWidth="1"/>
    <col min="15107" max="15107" width="9.7109375" style="16" customWidth="1"/>
    <col min="15108" max="15108" width="6.7109375" style="16" bestFit="1" customWidth="1"/>
    <col min="15109" max="15109" width="8.5703125" style="16" bestFit="1" customWidth="1"/>
    <col min="15110" max="15110" width="9.28515625" style="16" bestFit="1" customWidth="1"/>
    <col min="15111" max="15111" width="8.28515625" style="16" customWidth="1"/>
    <col min="15112" max="15112" width="7.7109375" style="16" customWidth="1"/>
    <col min="15113" max="15113" width="7.140625" style="16" bestFit="1" customWidth="1"/>
    <col min="15114" max="15114" width="7.85546875" style="16" customWidth="1"/>
    <col min="15115" max="15116" width="7" style="16" bestFit="1" customWidth="1"/>
    <col min="15117" max="15117" width="6.85546875" style="16" bestFit="1" customWidth="1"/>
    <col min="15118" max="15118" width="7" style="16" bestFit="1" customWidth="1"/>
    <col min="15119" max="15119" width="7.8554687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8" style="16" customWidth="1"/>
    <col min="15363" max="15363" width="9.7109375" style="16" customWidth="1"/>
    <col min="15364" max="15364" width="6.7109375" style="16" bestFit="1" customWidth="1"/>
    <col min="15365" max="15365" width="8.5703125" style="16" bestFit="1" customWidth="1"/>
    <col min="15366" max="15366" width="9.28515625" style="16" bestFit="1" customWidth="1"/>
    <col min="15367" max="15367" width="8.28515625" style="16" customWidth="1"/>
    <col min="15368" max="15368" width="7.7109375" style="16" customWidth="1"/>
    <col min="15369" max="15369" width="7.140625" style="16" bestFit="1" customWidth="1"/>
    <col min="15370" max="15370" width="7.85546875" style="16" customWidth="1"/>
    <col min="15371" max="15372" width="7" style="16" bestFit="1" customWidth="1"/>
    <col min="15373" max="15373" width="6.85546875" style="16" bestFit="1" customWidth="1"/>
    <col min="15374" max="15374" width="7" style="16" bestFit="1" customWidth="1"/>
    <col min="15375" max="15375" width="7.8554687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8" style="16" customWidth="1"/>
    <col min="15619" max="15619" width="9.7109375" style="16" customWidth="1"/>
    <col min="15620" max="15620" width="6.7109375" style="16" bestFit="1" customWidth="1"/>
    <col min="15621" max="15621" width="8.5703125" style="16" bestFit="1" customWidth="1"/>
    <col min="15622" max="15622" width="9.28515625" style="16" bestFit="1" customWidth="1"/>
    <col min="15623" max="15623" width="8.28515625" style="16" customWidth="1"/>
    <col min="15624" max="15624" width="7.7109375" style="16" customWidth="1"/>
    <col min="15625" max="15625" width="7.140625" style="16" bestFit="1" customWidth="1"/>
    <col min="15626" max="15626" width="7.85546875" style="16" customWidth="1"/>
    <col min="15627" max="15628" width="7" style="16" bestFit="1" customWidth="1"/>
    <col min="15629" max="15629" width="6.85546875" style="16" bestFit="1" customWidth="1"/>
    <col min="15630" max="15630" width="7" style="16" bestFit="1" customWidth="1"/>
    <col min="15631" max="15631" width="7.8554687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8" style="16" customWidth="1"/>
    <col min="15875" max="15875" width="9.7109375" style="16" customWidth="1"/>
    <col min="15876" max="15876" width="6.7109375" style="16" bestFit="1" customWidth="1"/>
    <col min="15877" max="15877" width="8.5703125" style="16" bestFit="1" customWidth="1"/>
    <col min="15878" max="15878" width="9.28515625" style="16" bestFit="1" customWidth="1"/>
    <col min="15879" max="15879" width="8.28515625" style="16" customWidth="1"/>
    <col min="15880" max="15880" width="7.7109375" style="16" customWidth="1"/>
    <col min="15881" max="15881" width="7.140625" style="16" bestFit="1" customWidth="1"/>
    <col min="15882" max="15882" width="7.85546875" style="16" customWidth="1"/>
    <col min="15883" max="15884" width="7" style="16" bestFit="1" customWidth="1"/>
    <col min="15885" max="15885" width="6.85546875" style="16" bestFit="1" customWidth="1"/>
    <col min="15886" max="15886" width="7" style="16" bestFit="1" customWidth="1"/>
    <col min="15887" max="15887" width="7.8554687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8" style="16" customWidth="1"/>
    <col min="16131" max="16131" width="9.7109375" style="16" customWidth="1"/>
    <col min="16132" max="16132" width="6.7109375" style="16" bestFit="1" customWidth="1"/>
    <col min="16133" max="16133" width="8.5703125" style="16" bestFit="1" customWidth="1"/>
    <col min="16134" max="16134" width="9.28515625" style="16" bestFit="1" customWidth="1"/>
    <col min="16135" max="16135" width="8.28515625" style="16" customWidth="1"/>
    <col min="16136" max="16136" width="7.7109375" style="16" customWidth="1"/>
    <col min="16137" max="16137" width="7.140625" style="16" bestFit="1" customWidth="1"/>
    <col min="16138" max="16138" width="7.85546875" style="16" customWidth="1"/>
    <col min="16139" max="16140" width="7" style="16" bestFit="1" customWidth="1"/>
    <col min="16141" max="16141" width="6.85546875" style="16" bestFit="1" customWidth="1"/>
    <col min="16142" max="16142" width="7" style="16" bestFit="1" customWidth="1"/>
    <col min="16143" max="16143" width="7.8554687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67" t="s">
        <v>449</v>
      </c>
      <c r="B1" s="868"/>
      <c r="C1" s="868"/>
      <c r="D1" s="869"/>
      <c r="E1" s="868"/>
      <c r="F1" s="868"/>
      <c r="G1" s="867" t="s">
        <v>102</v>
      </c>
      <c r="H1" s="869"/>
      <c r="I1" s="869" t="s">
        <v>944</v>
      </c>
      <c r="J1" s="868"/>
      <c r="K1" s="868"/>
      <c r="L1" s="870"/>
      <c r="M1" s="870"/>
      <c r="N1" s="870"/>
      <c r="O1" s="870"/>
    </row>
    <row r="2" spans="1:15" s="1" customFormat="1" x14ac:dyDescent="0.2">
      <c r="A2" s="867" t="s">
        <v>103</v>
      </c>
      <c r="B2" s="868"/>
      <c r="C2" s="868"/>
      <c r="D2" s="869"/>
      <c r="E2" s="868"/>
      <c r="F2" s="868"/>
      <c r="G2" s="867" t="s">
        <v>104</v>
      </c>
      <c r="H2" s="869"/>
      <c r="I2" s="869" t="s">
        <v>105</v>
      </c>
      <c r="J2" s="868"/>
      <c r="K2" s="868"/>
      <c r="L2" s="870"/>
      <c r="M2" s="870"/>
      <c r="N2" s="870"/>
      <c r="O2" s="870"/>
    </row>
    <row r="3" spans="1:15" s="1" customFormat="1" x14ac:dyDescent="0.2">
      <c r="A3" s="867" t="s">
        <v>106</v>
      </c>
      <c r="B3" s="868"/>
      <c r="C3" s="868"/>
      <c r="D3" s="881">
        <v>23821</v>
      </c>
      <c r="E3" s="882"/>
      <c r="F3" s="882"/>
      <c r="G3" s="867" t="s">
        <v>107</v>
      </c>
      <c r="H3" s="869"/>
      <c r="I3" s="869" t="s">
        <v>108</v>
      </c>
      <c r="J3" s="868"/>
      <c r="K3" s="868"/>
      <c r="L3" s="870"/>
      <c r="M3" s="870"/>
      <c r="N3" s="870"/>
      <c r="O3" s="870"/>
    </row>
    <row r="4" spans="1:15" s="1" customFormat="1" x14ac:dyDescent="0.2">
      <c r="A4" s="867" t="s">
        <v>109</v>
      </c>
      <c r="B4" s="868"/>
      <c r="C4" s="868"/>
      <c r="D4" s="883"/>
      <c r="E4" s="868"/>
      <c r="F4" s="868"/>
      <c r="G4" s="867" t="s">
        <v>110</v>
      </c>
      <c r="H4" s="869"/>
      <c r="I4" s="869" t="s">
        <v>478</v>
      </c>
      <c r="J4" s="868"/>
      <c r="K4" s="868"/>
      <c r="L4" s="870"/>
      <c r="M4" s="870"/>
      <c r="N4" s="870"/>
      <c r="O4" s="870"/>
    </row>
    <row r="5" spans="1:15" s="1" customFormat="1" x14ac:dyDescent="0.2">
      <c r="A5" s="867" t="s">
        <v>443</v>
      </c>
      <c r="B5" s="868"/>
      <c r="C5" s="868"/>
      <c r="D5" s="883">
        <v>32015</v>
      </c>
      <c r="E5" s="868"/>
      <c r="F5" s="868"/>
      <c r="G5" s="867"/>
      <c r="H5" s="868"/>
      <c r="I5" s="869" t="s">
        <v>113</v>
      </c>
      <c r="J5" s="868"/>
      <c r="K5" s="868"/>
      <c r="L5" s="870"/>
      <c r="M5" s="870"/>
      <c r="N5" s="870"/>
      <c r="O5" s="870"/>
    </row>
    <row r="6" spans="1:15" s="1" customFormat="1" x14ac:dyDescent="0.2">
      <c r="A6" s="871" t="s">
        <v>114</v>
      </c>
      <c r="B6" s="872"/>
      <c r="C6" s="872"/>
      <c r="D6" s="868" t="s">
        <v>945</v>
      </c>
      <c r="E6" s="868"/>
      <c r="F6" s="868"/>
      <c r="G6" s="871" t="s">
        <v>115</v>
      </c>
      <c r="H6" s="871"/>
      <c r="I6" s="2" t="s">
        <v>116</v>
      </c>
      <c r="J6" s="888"/>
      <c r="K6" s="888"/>
      <c r="L6" s="888"/>
      <c r="M6" s="888"/>
      <c r="N6" s="888"/>
      <c r="O6" s="889"/>
    </row>
    <row r="7" spans="1:15" s="1" customFormat="1" ht="13.5" thickBot="1" x14ac:dyDescent="0.25">
      <c r="A7" s="3"/>
      <c r="B7" s="4"/>
      <c r="C7" s="5"/>
      <c r="D7" s="6"/>
      <c r="E7" s="6"/>
      <c r="F7" s="6"/>
      <c r="G7" s="6"/>
      <c r="H7" s="6"/>
      <c r="I7" s="6"/>
      <c r="J7" s="7"/>
      <c r="K7" s="8"/>
      <c r="L7" s="875" t="s">
        <v>223</v>
      </c>
      <c r="M7" s="875"/>
      <c r="N7" s="875"/>
      <c r="O7" s="875"/>
    </row>
    <row r="8" spans="1:15" s="11" customFormat="1" x14ac:dyDescent="0.2">
      <c r="A8" s="876" t="str">
        <f>I1</f>
        <v>Mr. M. M. Mose</v>
      </c>
      <c r="B8" s="877"/>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95800</v>
      </c>
      <c r="D9" s="14">
        <v>95800</v>
      </c>
      <c r="E9" s="14">
        <v>95800</v>
      </c>
      <c r="F9" s="14">
        <v>95800</v>
      </c>
      <c r="G9" s="14">
        <v>98700</v>
      </c>
      <c r="H9" s="14">
        <v>98700</v>
      </c>
      <c r="I9" s="14">
        <v>98700</v>
      </c>
      <c r="J9" s="14">
        <v>98700</v>
      </c>
      <c r="K9" s="14">
        <v>104400</v>
      </c>
      <c r="L9" s="14">
        <v>104400</v>
      </c>
      <c r="M9" s="14">
        <v>104400</v>
      </c>
      <c r="N9" s="14">
        <v>104400</v>
      </c>
      <c r="O9" s="15">
        <f>SUM(C9:N9)</f>
        <v>1195600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4790</v>
      </c>
      <c r="D11" s="17">
        <v>6706</v>
      </c>
      <c r="E11" s="17">
        <v>6706</v>
      </c>
      <c r="F11" s="17">
        <v>6706</v>
      </c>
      <c r="G11" s="17">
        <v>6909</v>
      </c>
      <c r="H11" s="17">
        <v>6909</v>
      </c>
      <c r="I11" s="17">
        <v>6909</v>
      </c>
      <c r="J11" s="17">
        <v>8883</v>
      </c>
      <c r="K11" s="17">
        <f>K9*9%</f>
        <v>9396</v>
      </c>
      <c r="L11" s="17">
        <f>L9*9%</f>
        <v>9396</v>
      </c>
      <c r="M11" s="17">
        <f>M9*9%</f>
        <v>9396</v>
      </c>
      <c r="N11" s="17">
        <f>N9*9%</f>
        <v>9396</v>
      </c>
      <c r="O11" s="18">
        <f>SUM(C11:N11)</f>
        <v>92102</v>
      </c>
    </row>
    <row r="12" spans="1:15"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x14ac:dyDescent="0.2">
      <c r="A14" s="12"/>
      <c r="B14" s="13" t="s">
        <v>123</v>
      </c>
      <c r="C14" s="17">
        <v>7560</v>
      </c>
      <c r="D14" s="17">
        <v>7704</v>
      </c>
      <c r="E14" s="17">
        <v>7704</v>
      </c>
      <c r="F14" s="17">
        <v>7704</v>
      </c>
      <c r="G14" s="17">
        <v>7704</v>
      </c>
      <c r="H14" s="17">
        <v>7704</v>
      </c>
      <c r="I14" s="17">
        <v>7704</v>
      </c>
      <c r="J14" s="17">
        <v>7848</v>
      </c>
      <c r="K14" s="17">
        <v>7848</v>
      </c>
      <c r="L14" s="17">
        <v>7848</v>
      </c>
      <c r="M14" s="17">
        <v>7848</v>
      </c>
      <c r="N14" s="17">
        <v>7848</v>
      </c>
      <c r="O14" s="18">
        <f t="shared" si="0"/>
        <v>93024</v>
      </c>
    </row>
    <row r="15" spans="1:15"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hidden="1"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row>
    <row r="17" spans="1:15" ht="15" hidden="1" x14ac:dyDescent="0.2">
      <c r="A17" s="12"/>
      <c r="B17" s="13" t="s">
        <v>321</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22992</v>
      </c>
      <c r="D19" s="17">
        <v>22992</v>
      </c>
      <c r="E19" s="17">
        <v>22992</v>
      </c>
      <c r="F19" s="17">
        <v>22992</v>
      </c>
      <c r="G19" s="17">
        <v>23688</v>
      </c>
      <c r="H19" s="17">
        <v>23688</v>
      </c>
      <c r="I19" s="17">
        <v>23688</v>
      </c>
      <c r="J19" s="17">
        <v>23688</v>
      </c>
      <c r="K19" s="17">
        <v>23688</v>
      </c>
      <c r="L19" s="17">
        <v>23688</v>
      </c>
      <c r="M19" s="17">
        <v>23688</v>
      </c>
      <c r="N19" s="17">
        <v>23688</v>
      </c>
      <c r="O19" s="18">
        <f t="shared" si="0"/>
        <v>281472</v>
      </c>
    </row>
    <row r="20" spans="1:15" ht="15" customHeight="1" x14ac:dyDescent="0.2">
      <c r="A20" s="12"/>
      <c r="B20" s="13" t="s">
        <v>129</v>
      </c>
      <c r="C20" s="17">
        <v>0</v>
      </c>
      <c r="D20" s="17">
        <v>0</v>
      </c>
      <c r="E20" s="17">
        <v>0</v>
      </c>
      <c r="F20" s="17">
        <v>26250</v>
      </c>
      <c r="G20" s="17">
        <v>0</v>
      </c>
      <c r="H20" s="17">
        <v>0</v>
      </c>
      <c r="I20" s="17">
        <v>0</v>
      </c>
      <c r="J20" s="17">
        <v>0</v>
      </c>
      <c r="K20" s="17">
        <v>0</v>
      </c>
      <c r="L20" s="17">
        <v>0</v>
      </c>
      <c r="M20" s="17">
        <v>0</v>
      </c>
      <c r="N20" s="17">
        <v>0</v>
      </c>
      <c r="O20" s="18">
        <f t="shared" si="0"/>
        <v>26250</v>
      </c>
    </row>
    <row r="21" spans="1:15" ht="15" hidden="1" customHeight="1" x14ac:dyDescent="0.2">
      <c r="A21" s="878"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79"/>
      <c r="B22" s="19" t="s">
        <v>132</v>
      </c>
      <c r="C22" s="17">
        <v>0</v>
      </c>
      <c r="D22" s="17">
        <v>0</v>
      </c>
      <c r="E22" s="17">
        <v>0</v>
      </c>
      <c r="F22" s="17">
        <v>0</v>
      </c>
      <c r="G22" s="17">
        <v>0</v>
      </c>
      <c r="H22" s="17">
        <v>0</v>
      </c>
      <c r="I22" s="17">
        <v>0</v>
      </c>
      <c r="J22" s="17">
        <v>0</v>
      </c>
      <c r="K22" s="17">
        <v>0</v>
      </c>
      <c r="L22" s="17">
        <v>0</v>
      </c>
      <c r="M22" s="17">
        <v>0</v>
      </c>
      <c r="N22" s="17">
        <v>0</v>
      </c>
      <c r="O22" s="18">
        <f t="shared" si="0"/>
        <v>0</v>
      </c>
    </row>
    <row r="23" spans="1:15" ht="15" hidden="1" customHeight="1" x14ac:dyDescent="0.2">
      <c r="A23" s="879"/>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79"/>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79"/>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79"/>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79"/>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79"/>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79"/>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79"/>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79"/>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79"/>
      <c r="B32" s="21" t="s">
        <v>142</v>
      </c>
      <c r="C32" s="17">
        <v>0</v>
      </c>
      <c r="D32" s="17">
        <v>0</v>
      </c>
      <c r="E32" s="17">
        <v>0</v>
      </c>
      <c r="F32" s="17">
        <v>0</v>
      </c>
      <c r="G32" s="17">
        <v>0</v>
      </c>
      <c r="H32" s="17">
        <v>0</v>
      </c>
      <c r="I32" s="17">
        <v>0</v>
      </c>
      <c r="J32" s="17">
        <v>0</v>
      </c>
      <c r="K32" s="17">
        <v>0</v>
      </c>
      <c r="L32" s="17">
        <v>0</v>
      </c>
      <c r="M32" s="17">
        <v>0</v>
      </c>
      <c r="N32" s="17">
        <v>0</v>
      </c>
      <c r="O32" s="18">
        <f t="shared" si="0"/>
        <v>0</v>
      </c>
    </row>
    <row r="33" spans="1:16" ht="15" hidden="1" customHeight="1" x14ac:dyDescent="0.2">
      <c r="A33" s="880"/>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865" t="s">
        <v>144</v>
      </c>
      <c r="B34" s="866"/>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865" t="s">
        <v>145</v>
      </c>
      <c r="B35" s="866"/>
      <c r="C35" s="17">
        <v>0</v>
      </c>
      <c r="D35" s="17">
        <v>432</v>
      </c>
      <c r="E35" s="17">
        <v>0</v>
      </c>
      <c r="F35" s="17">
        <v>0</v>
      </c>
      <c r="G35" s="17">
        <v>0</v>
      </c>
      <c r="H35" s="17">
        <v>0</v>
      </c>
      <c r="I35" s="17">
        <v>0</v>
      </c>
      <c r="J35" s="17">
        <v>432</v>
      </c>
      <c r="K35" s="17">
        <v>0</v>
      </c>
      <c r="L35" s="17">
        <v>0</v>
      </c>
      <c r="M35" s="17">
        <v>0</v>
      </c>
      <c r="N35" s="17">
        <v>0</v>
      </c>
      <c r="O35" s="18">
        <f t="shared" si="0"/>
        <v>864</v>
      </c>
    </row>
    <row r="36" spans="1:16" ht="15" customHeight="1" x14ac:dyDescent="0.2">
      <c r="A36" s="865" t="s">
        <v>146</v>
      </c>
      <c r="B36" s="866"/>
      <c r="C36" s="17">
        <v>0</v>
      </c>
      <c r="D36" s="17">
        <v>5748</v>
      </c>
      <c r="E36" s="17">
        <v>0</v>
      </c>
      <c r="F36" s="17">
        <v>0</v>
      </c>
      <c r="G36" s="17">
        <v>0</v>
      </c>
      <c r="H36" s="17">
        <v>0</v>
      </c>
      <c r="I36" s="17">
        <v>0</v>
      </c>
      <c r="J36" s="17">
        <v>5922</v>
      </c>
      <c r="K36" s="17">
        <v>0</v>
      </c>
      <c r="L36" s="17">
        <v>0</v>
      </c>
      <c r="M36" s="17">
        <v>0</v>
      </c>
      <c r="N36" s="17">
        <v>0</v>
      </c>
      <c r="O36" s="18">
        <f t="shared" si="0"/>
        <v>11670</v>
      </c>
    </row>
    <row r="37" spans="1:16" ht="15" customHeight="1" x14ac:dyDescent="0.2">
      <c r="A37" s="22"/>
      <c r="B37" s="23" t="s">
        <v>147</v>
      </c>
      <c r="C37" s="24">
        <f t="shared" ref="C37:N37" si="1">SUM(C9:C36)</f>
        <v>131142</v>
      </c>
      <c r="D37" s="24">
        <f t="shared" si="1"/>
        <v>139382</v>
      </c>
      <c r="E37" s="24">
        <f t="shared" si="1"/>
        <v>133202</v>
      </c>
      <c r="F37" s="24">
        <f t="shared" si="1"/>
        <v>159452</v>
      </c>
      <c r="G37" s="24">
        <f t="shared" si="1"/>
        <v>137001</v>
      </c>
      <c r="H37" s="24">
        <f t="shared" si="1"/>
        <v>137001</v>
      </c>
      <c r="I37" s="24">
        <f t="shared" si="1"/>
        <v>137001</v>
      </c>
      <c r="J37" s="24">
        <f t="shared" si="1"/>
        <v>145473</v>
      </c>
      <c r="K37" s="24">
        <f t="shared" si="1"/>
        <v>145332</v>
      </c>
      <c r="L37" s="24">
        <f t="shared" si="1"/>
        <v>145332</v>
      </c>
      <c r="M37" s="24">
        <f t="shared" si="1"/>
        <v>145332</v>
      </c>
      <c r="N37" s="24">
        <f t="shared" si="1"/>
        <v>145332</v>
      </c>
      <c r="O37" s="25">
        <f>SUM(C37:N37)</f>
        <v>1700982</v>
      </c>
    </row>
    <row r="38" spans="1:16" ht="15" customHeight="1" x14ac:dyDescent="0.25">
      <c r="A38" s="853" t="s">
        <v>148</v>
      </c>
      <c r="B38" s="27" t="s">
        <v>149</v>
      </c>
      <c r="C38" s="147">
        <v>17460</v>
      </c>
      <c r="D38" s="147">
        <v>17500</v>
      </c>
      <c r="E38" s="147">
        <v>17500</v>
      </c>
      <c r="F38" s="147">
        <v>17500</v>
      </c>
      <c r="G38" s="147">
        <v>17500</v>
      </c>
      <c r="H38" s="147">
        <v>17500</v>
      </c>
      <c r="I38" s="147">
        <v>17500</v>
      </c>
      <c r="J38" s="147">
        <v>17500</v>
      </c>
      <c r="K38" s="147">
        <v>25000</v>
      </c>
      <c r="L38" s="147">
        <v>24300</v>
      </c>
      <c r="M38" s="147">
        <v>21190</v>
      </c>
      <c r="N38">
        <v>23440</v>
      </c>
      <c r="O38" s="18">
        <f>SUM(C38:N38)</f>
        <v>233890</v>
      </c>
      <c r="P38" s="29"/>
    </row>
    <row r="39" spans="1:16" ht="15" x14ac:dyDescent="0.2">
      <c r="A39" s="854"/>
      <c r="B39" s="27" t="s">
        <v>150</v>
      </c>
      <c r="C39" s="147">
        <v>0</v>
      </c>
      <c r="D39" s="147">
        <v>0</v>
      </c>
      <c r="E39" s="147">
        <v>0</v>
      </c>
      <c r="F39" s="147">
        <v>0</v>
      </c>
      <c r="G39" s="147">
        <v>0</v>
      </c>
      <c r="H39" s="147">
        <v>0</v>
      </c>
      <c r="I39" s="147">
        <v>0</v>
      </c>
      <c r="J39" s="147">
        <v>0</v>
      </c>
      <c r="K39" s="147">
        <v>0</v>
      </c>
      <c r="L39" s="147">
        <v>0</v>
      </c>
      <c r="M39" s="147">
        <v>0</v>
      </c>
      <c r="N39" s="147">
        <v>0</v>
      </c>
      <c r="O39" s="18">
        <f>SUM(C39:N39)</f>
        <v>0</v>
      </c>
    </row>
    <row r="40" spans="1:16" ht="15" x14ac:dyDescent="0.2">
      <c r="A40" s="854"/>
      <c r="B40" s="27" t="s">
        <v>151</v>
      </c>
      <c r="C40" s="147">
        <v>60</v>
      </c>
      <c r="D40" s="147">
        <v>60</v>
      </c>
      <c r="E40" s="147">
        <v>60</v>
      </c>
      <c r="F40" s="147">
        <v>60</v>
      </c>
      <c r="G40" s="147">
        <v>60</v>
      </c>
      <c r="H40" s="147">
        <v>60</v>
      </c>
      <c r="I40" s="147">
        <v>60</v>
      </c>
      <c r="J40" s="147">
        <v>60</v>
      </c>
      <c r="K40" s="147">
        <v>60</v>
      </c>
      <c r="L40" s="147">
        <v>60</v>
      </c>
      <c r="M40" s="147">
        <v>60</v>
      </c>
      <c r="N40" s="147">
        <v>60</v>
      </c>
      <c r="O40" s="18">
        <f t="shared" ref="O40:O50" si="2">SUM(C40:N40)</f>
        <v>720</v>
      </c>
    </row>
    <row r="41" spans="1:16" ht="15" x14ac:dyDescent="0.2">
      <c r="A41" s="854"/>
      <c r="B41" s="27" t="s">
        <v>152</v>
      </c>
      <c r="C41" s="147">
        <v>0</v>
      </c>
      <c r="D41" s="147">
        <v>0</v>
      </c>
      <c r="E41" s="147">
        <v>0</v>
      </c>
      <c r="F41" s="147">
        <v>0</v>
      </c>
      <c r="G41" s="147">
        <v>0</v>
      </c>
      <c r="H41" s="147">
        <v>0</v>
      </c>
      <c r="I41" s="147">
        <v>0</v>
      </c>
      <c r="J41" s="147">
        <v>0</v>
      </c>
      <c r="K41" s="147">
        <v>0</v>
      </c>
      <c r="L41" s="147">
        <v>0</v>
      </c>
      <c r="M41" s="147">
        <v>0</v>
      </c>
      <c r="N41" s="147">
        <v>0</v>
      </c>
      <c r="O41" s="18">
        <f t="shared" si="2"/>
        <v>0</v>
      </c>
    </row>
    <row r="42" spans="1:16" ht="15" x14ac:dyDescent="0.2">
      <c r="A42" s="854"/>
      <c r="B42" s="27" t="s">
        <v>153</v>
      </c>
      <c r="C42" s="147">
        <v>0</v>
      </c>
      <c r="D42" s="147">
        <v>0</v>
      </c>
      <c r="E42" s="147">
        <v>0</v>
      </c>
      <c r="F42" s="147">
        <v>0</v>
      </c>
      <c r="G42" s="147">
        <v>0</v>
      </c>
      <c r="H42" s="147">
        <v>0</v>
      </c>
      <c r="I42" s="147">
        <v>0</v>
      </c>
      <c r="J42" s="147">
        <v>0</v>
      </c>
      <c r="K42" s="147">
        <v>0</v>
      </c>
      <c r="L42" s="147">
        <v>0</v>
      </c>
      <c r="M42" s="147">
        <v>0</v>
      </c>
      <c r="N42" s="147">
        <v>0</v>
      </c>
      <c r="O42" s="18">
        <f t="shared" si="2"/>
        <v>0</v>
      </c>
    </row>
    <row r="43" spans="1:16" ht="15" x14ac:dyDescent="0.2">
      <c r="A43" s="854"/>
      <c r="B43" s="27" t="s">
        <v>154</v>
      </c>
      <c r="C43" s="147">
        <v>6000</v>
      </c>
      <c r="D43" s="147">
        <v>6000</v>
      </c>
      <c r="E43" s="147">
        <v>10000</v>
      </c>
      <c r="F43" s="147">
        <v>10000</v>
      </c>
      <c r="G43" s="147">
        <v>10000</v>
      </c>
      <c r="H43" s="147">
        <v>10000</v>
      </c>
      <c r="I43" s="147">
        <v>10000</v>
      </c>
      <c r="J43" s="147">
        <v>10000</v>
      </c>
      <c r="K43" s="147">
        <v>10000</v>
      </c>
      <c r="L43" s="147">
        <v>10000</v>
      </c>
      <c r="M43" s="147">
        <v>10000</v>
      </c>
      <c r="N43" s="147">
        <v>10000</v>
      </c>
      <c r="O43" s="18">
        <f t="shared" si="2"/>
        <v>112000</v>
      </c>
    </row>
    <row r="44" spans="1:16" ht="15" x14ac:dyDescent="0.2">
      <c r="A44" s="854"/>
      <c r="B44" s="27" t="s">
        <v>155</v>
      </c>
      <c r="C44" s="147">
        <v>200</v>
      </c>
      <c r="D44" s="147">
        <v>200</v>
      </c>
      <c r="E44" s="147">
        <v>200</v>
      </c>
      <c r="F44" s="147">
        <v>200</v>
      </c>
      <c r="G44" s="147">
        <v>200</v>
      </c>
      <c r="H44" s="147">
        <v>200</v>
      </c>
      <c r="I44" s="147">
        <v>200</v>
      </c>
      <c r="J44" s="147">
        <v>200</v>
      </c>
      <c r="K44" s="147">
        <v>200</v>
      </c>
      <c r="L44" s="147">
        <v>200</v>
      </c>
      <c r="M44" s="147">
        <v>200</v>
      </c>
      <c r="N44" s="147">
        <v>300</v>
      </c>
      <c r="O44" s="18">
        <f t="shared" si="2"/>
        <v>2500</v>
      </c>
    </row>
    <row r="45" spans="1:16" ht="30" x14ac:dyDescent="0.2">
      <c r="A45" s="854"/>
      <c r="B45" s="27" t="s">
        <v>1041</v>
      </c>
      <c r="C45" s="147">
        <v>0</v>
      </c>
      <c r="D45" s="147">
        <v>0</v>
      </c>
      <c r="E45" s="147">
        <v>0</v>
      </c>
      <c r="F45" s="147">
        <v>0</v>
      </c>
      <c r="G45" s="147">
        <v>0</v>
      </c>
      <c r="H45" s="147">
        <v>0</v>
      </c>
      <c r="I45" s="147">
        <v>0</v>
      </c>
      <c r="J45" s="147">
        <v>0</v>
      </c>
      <c r="K45" s="147">
        <v>0</v>
      </c>
      <c r="L45" s="147">
        <v>0</v>
      </c>
      <c r="M45" s="147">
        <v>0</v>
      </c>
      <c r="N45" s="147">
        <v>0</v>
      </c>
      <c r="O45" s="18">
        <f t="shared" si="2"/>
        <v>0</v>
      </c>
    </row>
    <row r="46" spans="1:16" ht="15" x14ac:dyDescent="0.2">
      <c r="A46" s="854"/>
      <c r="B46" s="27" t="s">
        <v>157</v>
      </c>
      <c r="C46" s="147">
        <v>0</v>
      </c>
      <c r="D46" s="147">
        <v>0</v>
      </c>
      <c r="E46" s="147">
        <v>0</v>
      </c>
      <c r="F46" s="147">
        <v>0</v>
      </c>
      <c r="G46" s="147">
        <v>0</v>
      </c>
      <c r="H46" s="147">
        <v>0</v>
      </c>
      <c r="I46" s="147">
        <v>0</v>
      </c>
      <c r="J46" s="147">
        <v>0</v>
      </c>
      <c r="K46" s="147">
        <v>0</v>
      </c>
      <c r="L46" s="147">
        <v>0</v>
      </c>
      <c r="M46" s="147">
        <v>0</v>
      </c>
      <c r="N46" s="147">
        <v>0</v>
      </c>
      <c r="O46" s="18">
        <f t="shared" si="2"/>
        <v>0</v>
      </c>
    </row>
    <row r="47" spans="1:16" ht="28.5" customHeight="1" x14ac:dyDescent="0.2">
      <c r="A47" s="855"/>
      <c r="B47" s="30" t="s">
        <v>158</v>
      </c>
      <c r="C47" s="147">
        <v>0</v>
      </c>
      <c r="D47" s="147">
        <v>0</v>
      </c>
      <c r="E47" s="147">
        <v>0</v>
      </c>
      <c r="F47" s="147">
        <v>0</v>
      </c>
      <c r="G47" s="147">
        <v>0</v>
      </c>
      <c r="H47" s="147">
        <v>0</v>
      </c>
      <c r="I47" s="147">
        <v>0</v>
      </c>
      <c r="J47" s="147">
        <v>0</v>
      </c>
      <c r="K47" s="147">
        <v>0</v>
      </c>
      <c r="L47" s="147">
        <v>0</v>
      </c>
      <c r="M47" s="147">
        <v>0</v>
      </c>
      <c r="N47" s="147">
        <v>0</v>
      </c>
      <c r="O47" s="31">
        <f t="shared" si="2"/>
        <v>0</v>
      </c>
    </row>
    <row r="48" spans="1:16" ht="25.5" x14ac:dyDescent="0.2">
      <c r="A48" s="856"/>
      <c r="B48" s="169" t="s">
        <v>1042</v>
      </c>
      <c r="C48" s="147">
        <v>500</v>
      </c>
      <c r="D48" s="147">
        <v>500</v>
      </c>
      <c r="E48" s="147">
        <v>500</v>
      </c>
      <c r="F48" s="147">
        <v>500</v>
      </c>
      <c r="G48" s="147">
        <v>500</v>
      </c>
      <c r="H48" s="147">
        <v>500</v>
      </c>
      <c r="I48" s="147">
        <v>500</v>
      </c>
      <c r="J48" s="147">
        <v>500</v>
      </c>
      <c r="K48" s="147">
        <v>500</v>
      </c>
      <c r="L48" s="147">
        <v>500</v>
      </c>
      <c r="M48" s="147">
        <v>500</v>
      </c>
      <c r="N48" s="147">
        <v>500</v>
      </c>
      <c r="O48" s="31">
        <f t="shared" si="2"/>
        <v>6000</v>
      </c>
    </row>
    <row r="49" spans="1:18" ht="15" x14ac:dyDescent="0.2">
      <c r="A49" s="857" t="s">
        <v>160</v>
      </c>
      <c r="B49" s="858"/>
      <c r="C49" s="33">
        <f t="shared" ref="C49:N49" si="3">SUM(C38:C48)</f>
        <v>24220</v>
      </c>
      <c r="D49" s="33">
        <f t="shared" si="3"/>
        <v>24260</v>
      </c>
      <c r="E49" s="33">
        <f t="shared" si="3"/>
        <v>28260</v>
      </c>
      <c r="F49" s="33">
        <f t="shared" si="3"/>
        <v>28260</v>
      </c>
      <c r="G49" s="33">
        <f t="shared" si="3"/>
        <v>28260</v>
      </c>
      <c r="H49" s="33">
        <f t="shared" si="3"/>
        <v>28260</v>
      </c>
      <c r="I49" s="33">
        <f t="shared" si="3"/>
        <v>28260</v>
      </c>
      <c r="J49" s="33">
        <f t="shared" si="3"/>
        <v>28260</v>
      </c>
      <c r="K49" s="33">
        <f t="shared" si="3"/>
        <v>35760</v>
      </c>
      <c r="L49" s="33">
        <f t="shared" si="3"/>
        <v>35060</v>
      </c>
      <c r="M49" s="33">
        <f t="shared" si="3"/>
        <v>31950</v>
      </c>
      <c r="N49" s="33">
        <f t="shared" si="3"/>
        <v>34300</v>
      </c>
      <c r="O49" s="34">
        <f t="shared" si="2"/>
        <v>355110</v>
      </c>
    </row>
    <row r="50" spans="1:18" ht="15.75" thickBot="1" x14ac:dyDescent="0.25">
      <c r="A50" s="859" t="s">
        <v>161</v>
      </c>
      <c r="B50" s="860"/>
      <c r="C50" s="35">
        <f t="shared" ref="C50:N50" si="4">C37-C49</f>
        <v>106922</v>
      </c>
      <c r="D50" s="35">
        <f t="shared" si="4"/>
        <v>115122</v>
      </c>
      <c r="E50" s="35">
        <f t="shared" si="4"/>
        <v>104942</v>
      </c>
      <c r="F50" s="35">
        <f t="shared" si="4"/>
        <v>131192</v>
      </c>
      <c r="G50" s="35">
        <f t="shared" si="4"/>
        <v>108741</v>
      </c>
      <c r="H50" s="35">
        <f t="shared" si="4"/>
        <v>108741</v>
      </c>
      <c r="I50" s="35">
        <f t="shared" si="4"/>
        <v>108741</v>
      </c>
      <c r="J50" s="35">
        <f t="shared" si="4"/>
        <v>117213</v>
      </c>
      <c r="K50" s="35">
        <f t="shared" si="4"/>
        <v>109572</v>
      </c>
      <c r="L50" s="35">
        <f t="shared" si="4"/>
        <v>110272</v>
      </c>
      <c r="M50" s="35">
        <f t="shared" si="4"/>
        <v>113382</v>
      </c>
      <c r="N50" s="35">
        <f t="shared" si="4"/>
        <v>111032</v>
      </c>
      <c r="O50" s="36">
        <f t="shared" si="2"/>
        <v>1345872</v>
      </c>
      <c r="Q50" s="16">
        <f>36592+33592+7156+35271+35391+36714+37914+2000+37914+6897+3454+39713+39238+3480+39138+39538+39328</f>
        <v>473330</v>
      </c>
    </row>
    <row r="51" spans="1:18" x14ac:dyDescent="0.2">
      <c r="J51" s="300">
        <f>+J37-SUM(J22:J36)</f>
        <v>139119</v>
      </c>
      <c r="Q51" s="38"/>
    </row>
    <row r="52" spans="1:18" ht="13.5" thickBot="1" x14ac:dyDescent="0.25">
      <c r="J52" s="38">
        <f>+J51-J49</f>
        <v>110859</v>
      </c>
    </row>
    <row r="53" spans="1:18" ht="13.5" thickBot="1" x14ac:dyDescent="0.25">
      <c r="B53" s="789" t="s">
        <v>162</v>
      </c>
      <c r="C53" s="861"/>
      <c r="D53" s="861"/>
      <c r="E53" s="861"/>
      <c r="F53" s="862"/>
      <c r="G53" s="863">
        <f>O37</f>
        <v>1700982</v>
      </c>
      <c r="H53" s="864"/>
    </row>
    <row r="54" spans="1:18" ht="13.5" thickBot="1" x14ac:dyDescent="0.25"/>
    <row r="55" spans="1:18" x14ac:dyDescent="0.2">
      <c r="B55" s="830" t="s">
        <v>163</v>
      </c>
      <c r="C55" s="833" t="s">
        <v>164</v>
      </c>
      <c r="D55" s="836" t="s">
        <v>425</v>
      </c>
      <c r="E55" s="837"/>
      <c r="F55" s="838"/>
      <c r="G55" s="839">
        <v>40000</v>
      </c>
      <c r="H55" s="840"/>
    </row>
    <row r="56" spans="1:18" x14ac:dyDescent="0.2">
      <c r="B56" s="831"/>
      <c r="C56" s="834"/>
      <c r="D56" s="841" t="s">
        <v>166</v>
      </c>
      <c r="E56" s="842"/>
      <c r="F56" s="843"/>
      <c r="G56" s="844">
        <f>+O44</f>
        <v>2500</v>
      </c>
      <c r="H56" s="845"/>
      <c r="I56" s="39"/>
      <c r="J56" s="846"/>
      <c r="K56" s="846"/>
      <c r="L56" s="846"/>
      <c r="M56" s="847"/>
      <c r="N56" s="847"/>
      <c r="O56" s="847"/>
    </row>
    <row r="57" spans="1:18" x14ac:dyDescent="0.2">
      <c r="B57" s="886"/>
      <c r="C57" s="887"/>
      <c r="D57" s="40" t="s">
        <v>129</v>
      </c>
      <c r="E57" s="41"/>
      <c r="F57" s="42"/>
      <c r="G57" s="43"/>
      <c r="H57" s="44">
        <v>0</v>
      </c>
      <c r="I57" s="39"/>
      <c r="J57" s="45"/>
      <c r="K57" s="45"/>
      <c r="L57" s="45"/>
      <c r="M57" s="46"/>
      <c r="N57" s="46"/>
      <c r="O57" s="46"/>
    </row>
    <row r="58" spans="1:18" ht="13.5" thickBot="1" x14ac:dyDescent="0.25">
      <c r="B58" s="832"/>
      <c r="C58" s="835"/>
      <c r="D58" s="848" t="s">
        <v>243</v>
      </c>
      <c r="E58" s="849"/>
      <c r="F58" s="850"/>
      <c r="G58" s="851">
        <f>IF(O18&gt;15000,15000,+O18)</f>
        <v>0</v>
      </c>
      <c r="H58" s="852"/>
      <c r="J58" s="47"/>
      <c r="K58" s="47"/>
      <c r="L58" s="47"/>
      <c r="M58" s="47"/>
      <c r="N58" s="47"/>
      <c r="O58" s="47"/>
    </row>
    <row r="59" spans="1:18" ht="13.5" thickBot="1" x14ac:dyDescent="0.25">
      <c r="B59" s="48"/>
      <c r="J59" s="47"/>
      <c r="K59" s="47"/>
      <c r="L59" s="47"/>
      <c r="M59" s="47"/>
      <c r="N59" s="47"/>
      <c r="O59" s="47"/>
    </row>
    <row r="60" spans="1:18" ht="13.5" thickBot="1" x14ac:dyDescent="0.25">
      <c r="B60" s="789" t="s">
        <v>168</v>
      </c>
      <c r="C60" s="790"/>
      <c r="D60" s="790"/>
      <c r="E60" s="790"/>
      <c r="F60" s="791"/>
      <c r="G60" s="825">
        <f>+G53-SUM(G55:H58)</f>
        <v>1658482</v>
      </c>
      <c r="H60" s="826"/>
      <c r="J60" s="827" t="s">
        <v>169</v>
      </c>
      <c r="K60" s="828"/>
      <c r="L60" s="828"/>
      <c r="M60" s="828"/>
      <c r="N60" s="828"/>
      <c r="O60" s="829"/>
    </row>
    <row r="61" spans="1:18" ht="13.5" thickBot="1" x14ac:dyDescent="0.25">
      <c r="B61" s="49"/>
      <c r="C61" s="50"/>
      <c r="D61" s="50"/>
      <c r="E61" s="50"/>
      <c r="F61" s="50"/>
      <c r="G61" s="45"/>
      <c r="H61" s="50"/>
      <c r="J61" s="129"/>
      <c r="K61" s="130"/>
      <c r="L61" s="130"/>
      <c r="M61" s="130"/>
      <c r="N61" s="130"/>
      <c r="O61" s="131"/>
    </row>
    <row r="62" spans="1:18" ht="13.5" thickBot="1" x14ac:dyDescent="0.25">
      <c r="B62" s="789" t="s">
        <v>170</v>
      </c>
      <c r="C62" s="790"/>
      <c r="D62" s="790"/>
      <c r="E62" s="790"/>
      <c r="F62" s="791"/>
      <c r="G62" s="805"/>
      <c r="H62" s="791"/>
      <c r="J62" s="129"/>
      <c r="K62" s="130"/>
      <c r="L62" s="130"/>
      <c r="M62" s="130"/>
      <c r="N62" s="130"/>
      <c r="O62" s="131"/>
    </row>
    <row r="63" spans="1:18" ht="12.75" customHeight="1" x14ac:dyDescent="0.2">
      <c r="B63" s="57" t="s">
        <v>171</v>
      </c>
      <c r="C63" s="806" t="s">
        <v>172</v>
      </c>
      <c r="D63" s="807"/>
      <c r="E63" s="807"/>
      <c r="F63" s="808"/>
      <c r="G63" s="809">
        <v>109481</v>
      </c>
      <c r="H63" s="809"/>
      <c r="I63" s="58"/>
      <c r="J63" s="810" t="s">
        <v>173</v>
      </c>
      <c r="K63" s="811"/>
      <c r="L63" s="811"/>
      <c r="M63" s="811"/>
      <c r="N63" s="811"/>
      <c r="O63" s="812"/>
      <c r="Q63" s="59"/>
      <c r="R63" s="59"/>
    </row>
    <row r="64" spans="1:18" ht="13.5" thickBot="1" x14ac:dyDescent="0.25">
      <c r="D64" s="37"/>
      <c r="I64" s="58"/>
      <c r="J64" s="60" t="s">
        <v>1043</v>
      </c>
      <c r="K64" s="132"/>
      <c r="L64" s="132"/>
      <c r="M64" s="133"/>
      <c r="N64" s="133"/>
      <c r="O64" s="134"/>
      <c r="Q64" s="59"/>
      <c r="R64" s="59"/>
    </row>
    <row r="65" spans="2:18" ht="13.5" thickBot="1" x14ac:dyDescent="0.25">
      <c r="B65" s="789" t="s">
        <v>175</v>
      </c>
      <c r="C65" s="790"/>
      <c r="D65" s="790"/>
      <c r="E65" s="790"/>
      <c r="F65" s="791"/>
      <c r="G65" s="805">
        <f>+G60-G63</f>
        <v>1549001</v>
      </c>
      <c r="H65" s="791"/>
      <c r="I65" s="63"/>
      <c r="J65" s="64"/>
      <c r="K65" s="39"/>
      <c r="L65" s="39"/>
      <c r="M65" s="39"/>
      <c r="N65" s="39"/>
      <c r="O65" s="65"/>
      <c r="Q65" s="59"/>
      <c r="R65" s="59"/>
    </row>
    <row r="66" spans="2:18" ht="12.75" customHeight="1" x14ac:dyDescent="0.2">
      <c r="B66" s="48"/>
      <c r="C66" s="48"/>
      <c r="I66" s="63"/>
      <c r="J66" s="64"/>
      <c r="K66" s="39"/>
      <c r="L66" s="39"/>
      <c r="M66" s="39"/>
      <c r="N66" s="39"/>
      <c r="O66" s="65"/>
      <c r="Q66" s="59"/>
      <c r="R66" s="59"/>
    </row>
    <row r="67" spans="2:18" x14ac:dyDescent="0.2">
      <c r="B67" s="66" t="s">
        <v>176</v>
      </c>
      <c r="C67" s="48"/>
      <c r="I67" s="63"/>
      <c r="J67" s="67"/>
      <c r="K67" s="68"/>
      <c r="L67" s="68"/>
      <c r="M67" s="68"/>
      <c r="N67" s="68"/>
      <c r="O67" s="69"/>
      <c r="Q67" s="59"/>
      <c r="R67" s="59"/>
    </row>
    <row r="68" spans="2:18" ht="26.25" customHeight="1" thickBot="1" x14ac:dyDescent="0.25">
      <c r="B68" s="66"/>
      <c r="C68" s="48"/>
      <c r="G68" s="70" t="s">
        <v>177</v>
      </c>
      <c r="H68" s="70" t="s">
        <v>178</v>
      </c>
      <c r="I68" s="63"/>
      <c r="J68" s="810" t="s">
        <v>179</v>
      </c>
      <c r="K68" s="811"/>
      <c r="L68" s="71"/>
      <c r="M68" s="71"/>
      <c r="N68" s="71"/>
      <c r="O68" s="72"/>
      <c r="Q68" s="59"/>
      <c r="R68" s="59"/>
    </row>
    <row r="69" spans="2:18" ht="12.75" customHeight="1" x14ac:dyDescent="0.2">
      <c r="B69" s="802" t="s">
        <v>180</v>
      </c>
      <c r="C69" s="821" t="s">
        <v>181</v>
      </c>
      <c r="D69" s="823" t="s">
        <v>182</v>
      </c>
      <c r="E69" s="824"/>
      <c r="F69" s="824"/>
      <c r="G69" s="73">
        <f>+O43</f>
        <v>112000</v>
      </c>
      <c r="H69" s="74">
        <f t="shared" ref="H69:H77" si="5">+G69</f>
        <v>112000</v>
      </c>
      <c r="I69" s="63"/>
      <c r="J69" s="359" t="s">
        <v>1044</v>
      </c>
      <c r="K69" s="58"/>
      <c r="L69" s="58" t="s">
        <v>232</v>
      </c>
      <c r="M69" s="58" t="s">
        <v>439</v>
      </c>
      <c r="N69" s="58"/>
      <c r="O69" s="76">
        <f>41788+2605+567+1810</f>
        <v>46770</v>
      </c>
      <c r="Q69" s="59"/>
      <c r="R69" s="59"/>
    </row>
    <row r="70" spans="2:18" ht="12.75" customHeight="1" x14ac:dyDescent="0.2">
      <c r="B70" s="803"/>
      <c r="C70" s="822"/>
      <c r="D70" s="782" t="s">
        <v>184</v>
      </c>
      <c r="E70" s="783"/>
      <c r="F70" s="783"/>
      <c r="G70" s="77">
        <v>193498</v>
      </c>
      <c r="H70" s="78">
        <f t="shared" si="5"/>
        <v>193498</v>
      </c>
      <c r="I70" s="63"/>
      <c r="J70" s="359" t="s">
        <v>1045</v>
      </c>
      <c r="K70" s="68"/>
      <c r="L70" s="68"/>
      <c r="M70" s="68" t="s">
        <v>670</v>
      </c>
      <c r="N70" s="68"/>
      <c r="O70" s="69">
        <f>25990+4391</f>
        <v>30381</v>
      </c>
      <c r="Q70" s="59"/>
      <c r="R70" s="59"/>
    </row>
    <row r="71" spans="2:18" ht="12.75" customHeight="1" x14ac:dyDescent="0.2">
      <c r="B71" s="803"/>
      <c r="C71" s="822"/>
      <c r="D71" s="819" t="s">
        <v>185</v>
      </c>
      <c r="E71" s="820"/>
      <c r="F71" s="820"/>
      <c r="G71" s="80">
        <f>O40</f>
        <v>720</v>
      </c>
      <c r="H71" s="78">
        <f t="shared" si="5"/>
        <v>720</v>
      </c>
      <c r="I71" s="63"/>
      <c r="J71" s="67"/>
      <c r="K71" s="68"/>
      <c r="L71" s="68"/>
      <c r="M71" s="68"/>
      <c r="N71" s="68"/>
      <c r="O71" s="69"/>
    </row>
    <row r="72" spans="2:18" x14ac:dyDescent="0.2">
      <c r="B72" s="803"/>
      <c r="C72" s="822"/>
      <c r="D72" s="784" t="s">
        <v>501</v>
      </c>
      <c r="E72" s="783"/>
      <c r="F72" s="783"/>
      <c r="G72" s="81">
        <v>0</v>
      </c>
      <c r="H72" s="78">
        <f t="shared" si="5"/>
        <v>0</v>
      </c>
      <c r="I72" s="63"/>
      <c r="J72" s="82" t="s">
        <v>187</v>
      </c>
      <c r="K72" s="71"/>
      <c r="L72" s="71"/>
      <c r="M72" s="71"/>
      <c r="N72" s="71"/>
      <c r="O72" s="72"/>
    </row>
    <row r="73" spans="2:18" ht="12.75" customHeight="1" x14ac:dyDescent="0.2">
      <c r="B73" s="803"/>
      <c r="C73" s="822"/>
      <c r="D73" s="784" t="s">
        <v>188</v>
      </c>
      <c r="E73" s="783"/>
      <c r="F73" s="783"/>
      <c r="G73" s="80">
        <v>0</v>
      </c>
      <c r="H73" s="78">
        <f t="shared" si="5"/>
        <v>0</v>
      </c>
      <c r="I73" s="63"/>
      <c r="J73" s="75" t="s">
        <v>1046</v>
      </c>
      <c r="K73" s="50"/>
      <c r="L73" s="50"/>
      <c r="M73" s="50"/>
      <c r="N73" s="50"/>
      <c r="O73" s="83">
        <v>33114</v>
      </c>
    </row>
    <row r="74" spans="2:18" ht="14.25" customHeight="1" x14ac:dyDescent="0.2">
      <c r="B74" s="803"/>
      <c r="C74" s="822"/>
      <c r="D74" s="782" t="s">
        <v>190</v>
      </c>
      <c r="E74" s="783"/>
      <c r="F74" s="783"/>
      <c r="G74" s="84">
        <v>0</v>
      </c>
      <c r="H74" s="78">
        <f t="shared" si="5"/>
        <v>0</v>
      </c>
      <c r="I74" s="63"/>
      <c r="J74" s="64"/>
      <c r="K74" s="39"/>
      <c r="L74" s="39"/>
      <c r="M74" s="39"/>
      <c r="N74" s="39"/>
      <c r="O74" s="65"/>
    </row>
    <row r="75" spans="2:18" x14ac:dyDescent="0.2">
      <c r="B75" s="803"/>
      <c r="C75" s="822"/>
      <c r="D75" s="782" t="s">
        <v>191</v>
      </c>
      <c r="E75" s="783"/>
      <c r="F75" s="783"/>
      <c r="G75" s="81">
        <v>72879</v>
      </c>
      <c r="H75" s="78">
        <f t="shared" si="5"/>
        <v>72879</v>
      </c>
      <c r="I75" s="58"/>
      <c r="J75" s="150"/>
      <c r="K75" s="50"/>
      <c r="L75" s="50"/>
      <c r="M75" s="50"/>
      <c r="N75" s="50"/>
      <c r="O75" s="83"/>
    </row>
    <row r="76" spans="2:18" x14ac:dyDescent="0.2">
      <c r="B76" s="803"/>
      <c r="C76" s="88" t="s">
        <v>192</v>
      </c>
      <c r="D76" s="813" t="s">
        <v>193</v>
      </c>
      <c r="E76" s="814"/>
      <c r="F76" s="814"/>
      <c r="G76" s="80">
        <v>0</v>
      </c>
      <c r="H76" s="78">
        <f t="shared" si="5"/>
        <v>0</v>
      </c>
      <c r="I76" s="58"/>
      <c r="J76" s="79"/>
      <c r="K76" s="39"/>
      <c r="L76" s="39"/>
      <c r="M76" s="39"/>
      <c r="N76" s="39"/>
      <c r="O76" s="65"/>
    </row>
    <row r="77" spans="2:18" ht="13.5" customHeight="1" thickBot="1" x14ac:dyDescent="0.25">
      <c r="B77" s="803"/>
      <c r="C77" s="88" t="s">
        <v>194</v>
      </c>
      <c r="D77" s="815" t="s">
        <v>195</v>
      </c>
      <c r="E77" s="815"/>
      <c r="F77" s="815"/>
      <c r="G77" s="89">
        <v>0</v>
      </c>
      <c r="H77" s="90">
        <f t="shared" si="5"/>
        <v>0</v>
      </c>
      <c r="I77" s="63"/>
      <c r="J77" s="67"/>
      <c r="K77" s="68"/>
      <c r="L77" s="68"/>
      <c r="M77" s="91"/>
      <c r="N77" s="91"/>
      <c r="O77" s="92"/>
    </row>
    <row r="78" spans="2:18" ht="13.5" thickBot="1" x14ac:dyDescent="0.25">
      <c r="B78" s="803"/>
      <c r="C78" s="93"/>
      <c r="D78" s="94"/>
      <c r="E78" s="816" t="s">
        <v>117</v>
      </c>
      <c r="F78" s="817"/>
      <c r="G78" s="95">
        <f>SUM(G69:G77)</f>
        <v>379097</v>
      </c>
      <c r="H78" s="96">
        <f>IF(SUM(G69:G75)&lt;150000,SUM(G69:G75),150000)+IF(+G76&lt;20000,+G76,20000)</f>
        <v>150000</v>
      </c>
      <c r="I78" s="63"/>
      <c r="J78" s="140"/>
      <c r="K78" s="141"/>
      <c r="L78" s="141"/>
      <c r="M78" s="142"/>
      <c r="N78" s="142"/>
      <c r="O78" s="143"/>
    </row>
    <row r="79" spans="2:18" ht="12.75" customHeight="1" x14ac:dyDescent="0.2">
      <c r="B79" s="803"/>
      <c r="C79" s="100" t="s">
        <v>196</v>
      </c>
      <c r="D79" s="782" t="s">
        <v>187</v>
      </c>
      <c r="E79" s="783"/>
      <c r="F79" s="818"/>
      <c r="G79" s="73">
        <v>24378</v>
      </c>
      <c r="H79" s="101">
        <f>+IF(+G79&lt;25000,+G79,25000)</f>
        <v>24378</v>
      </c>
      <c r="I79" s="87"/>
    </row>
    <row r="80" spans="2:18" x14ac:dyDescent="0.2">
      <c r="B80" s="803"/>
      <c r="C80" s="100" t="s">
        <v>197</v>
      </c>
      <c r="D80" s="784" t="s">
        <v>198</v>
      </c>
      <c r="E80" s="785"/>
      <c r="F80" s="786"/>
      <c r="G80" s="102"/>
      <c r="H80" s="103">
        <f>+IF(+G80&lt;40000,+G80,40000)</f>
        <v>0</v>
      </c>
      <c r="I80" s="63"/>
      <c r="J80" s="106"/>
      <c r="K80" s="226"/>
    </row>
    <row r="81" spans="2:19" x14ac:dyDescent="0.2">
      <c r="B81" s="803"/>
      <c r="C81" s="100" t="s">
        <v>199</v>
      </c>
      <c r="D81" s="784" t="s">
        <v>200</v>
      </c>
      <c r="E81" s="785"/>
      <c r="F81" s="786"/>
      <c r="G81" s="81"/>
      <c r="H81" s="104">
        <v>0</v>
      </c>
      <c r="I81" s="63"/>
    </row>
    <row r="82" spans="2:19" x14ac:dyDescent="0.2">
      <c r="B82" s="803"/>
      <c r="C82" s="100" t="s">
        <v>201</v>
      </c>
      <c r="D82" s="784" t="s">
        <v>1047</v>
      </c>
      <c r="E82" s="785"/>
      <c r="F82" s="786"/>
      <c r="G82" s="81">
        <v>0</v>
      </c>
      <c r="H82" s="104">
        <v>0</v>
      </c>
      <c r="I82" s="63"/>
    </row>
    <row r="83" spans="2:19" ht="13.5" thickBot="1" x14ac:dyDescent="0.25">
      <c r="B83" s="804"/>
      <c r="C83" s="100" t="s">
        <v>203</v>
      </c>
      <c r="D83" s="784" t="s">
        <v>204</v>
      </c>
      <c r="E83" s="785"/>
      <c r="F83" s="786"/>
      <c r="G83" s="102"/>
      <c r="H83" s="103">
        <f>+IF(+G83&lt;100000,+G83,10000)</f>
        <v>0</v>
      </c>
      <c r="I83" s="63"/>
      <c r="M83" s="156" t="s">
        <v>257</v>
      </c>
    </row>
    <row r="84" spans="2:19" ht="13.5" thickBot="1" x14ac:dyDescent="0.25">
      <c r="B84" s="787" t="s">
        <v>205</v>
      </c>
      <c r="C84" s="788"/>
      <c r="D84" s="788"/>
      <c r="E84" s="788"/>
      <c r="F84" s="788"/>
      <c r="G84" s="107">
        <f>SUM(G79:G83)</f>
        <v>24378</v>
      </c>
      <c r="H84" s="108">
        <f>SUM(H78:H83)</f>
        <v>174378</v>
      </c>
      <c r="M84" s="1" t="s">
        <v>347</v>
      </c>
      <c r="R84" s="16">
        <f>ROUND((O9+O10+O11)*50%,0)</f>
        <v>643851</v>
      </c>
    </row>
    <row r="85" spans="2:19" ht="13.5" thickBot="1" x14ac:dyDescent="0.25">
      <c r="M85" s="1" t="s">
        <v>348</v>
      </c>
      <c r="R85" s="16">
        <f>O19</f>
        <v>281472</v>
      </c>
    </row>
    <row r="86" spans="2:19" ht="13.5" thickBot="1" x14ac:dyDescent="0.25">
      <c r="B86" s="789" t="s">
        <v>206</v>
      </c>
      <c r="C86" s="790"/>
      <c r="D86" s="790"/>
      <c r="E86" s="790"/>
      <c r="F86" s="791"/>
      <c r="G86" s="792">
        <f>+G65-H84</f>
        <v>1374623</v>
      </c>
      <c r="H86" s="791"/>
      <c r="J86" s="105">
        <f>C37+D37+E37+F37</f>
        <v>563178</v>
      </c>
      <c r="K86" s="16" t="s">
        <v>235</v>
      </c>
      <c r="M86" s="16" t="s">
        <v>261</v>
      </c>
      <c r="R86" s="16">
        <f>ROUND((15000*6+16500*6)-(+O14+O15+O16)*10%,0.1)</f>
        <v>179698</v>
      </c>
      <c r="S86" s="1" t="s">
        <v>349</v>
      </c>
    </row>
    <row r="87" spans="2:19" x14ac:dyDescent="0.2">
      <c r="B87" s="110"/>
      <c r="F87" s="105"/>
      <c r="J87" s="105">
        <f>G37+H37+I37</f>
        <v>411003</v>
      </c>
      <c r="K87" s="16" t="s">
        <v>236</v>
      </c>
    </row>
    <row r="88" spans="2:19" x14ac:dyDescent="0.2">
      <c r="C88" s="793" t="s">
        <v>207</v>
      </c>
      <c r="D88" s="794"/>
      <c r="E88" s="111" t="s">
        <v>208</v>
      </c>
      <c r="F88" s="111" t="s">
        <v>209</v>
      </c>
      <c r="G88" s="111" t="s">
        <v>210</v>
      </c>
      <c r="H88" s="111" t="s">
        <v>211</v>
      </c>
      <c r="J88" s="213">
        <f>J37+K37+L37</f>
        <v>436137</v>
      </c>
      <c r="K88" s="47" t="s">
        <v>237</v>
      </c>
      <c r="M88" s="157" t="s">
        <v>262</v>
      </c>
      <c r="N88" s="87"/>
      <c r="O88" s="87"/>
      <c r="R88" s="16">
        <f>+R85</f>
        <v>281472</v>
      </c>
    </row>
    <row r="89" spans="2:19" x14ac:dyDescent="0.2">
      <c r="C89" s="795" t="str">
        <f>IF(I6="M","0          - 250000","0          -  250000")</f>
        <v>0          - 250000</v>
      </c>
      <c r="D89" s="796"/>
      <c r="E89" s="112">
        <v>0</v>
      </c>
      <c r="F89" s="113">
        <f>IF(I6="M",(IF(G86&lt;250000,G86,250000)),(IF(G86&lt;250000,G86,250000)))</f>
        <v>250000</v>
      </c>
      <c r="G89" s="113">
        <f>G86-F89</f>
        <v>1124623</v>
      </c>
      <c r="H89" s="113">
        <f>E89*F89</f>
        <v>0</v>
      </c>
      <c r="J89" s="207">
        <f>M37+N37</f>
        <v>290664</v>
      </c>
      <c r="K89" s="1" t="s">
        <v>238</v>
      </c>
    </row>
    <row r="90" spans="2:19" x14ac:dyDescent="0.2">
      <c r="C90" s="795" t="str">
        <f>IF(I6="M","250001 - 500000","250001-500000")</f>
        <v>250001 - 500000</v>
      </c>
      <c r="D90" s="796"/>
      <c r="E90" s="112">
        <v>0.05</v>
      </c>
      <c r="F90" s="113">
        <f>IF(I6="M",(IF(G89&lt;250000,G89,250000)),(IF(G89&lt;250000,G89,250000)))</f>
        <v>250000</v>
      </c>
      <c r="G90" s="113">
        <f>G89-F90</f>
        <v>874623</v>
      </c>
      <c r="H90" s="114">
        <f>ROUND(E90*F90,0.1)</f>
        <v>12500</v>
      </c>
      <c r="J90" s="115">
        <f>SUM(J86:J89)</f>
        <v>1700982</v>
      </c>
      <c r="M90" s="199" t="s">
        <v>350</v>
      </c>
    </row>
    <row r="91" spans="2:19" x14ac:dyDescent="0.2">
      <c r="C91" s="797" t="s">
        <v>212</v>
      </c>
      <c r="D91" s="798"/>
      <c r="E91" s="112">
        <v>0.2</v>
      </c>
      <c r="F91" s="113">
        <f>IF(G90&lt;500000,G90,500000)</f>
        <v>500000</v>
      </c>
      <c r="G91" s="113">
        <f>G90-F91</f>
        <v>374623</v>
      </c>
      <c r="H91" s="114">
        <f>ROUND(E91*F91,0.1)</f>
        <v>100000</v>
      </c>
      <c r="J91" s="16">
        <f>+G86</f>
        <v>1374623</v>
      </c>
      <c r="M91" s="1" t="s">
        <v>1048</v>
      </c>
      <c r="Q91" s="16" t="s">
        <v>1049</v>
      </c>
      <c r="S91" s="16" t="s">
        <v>1050</v>
      </c>
    </row>
    <row r="92" spans="2:19" x14ac:dyDescent="0.2">
      <c r="C92" s="795" t="s">
        <v>213</v>
      </c>
      <c r="D92" s="796"/>
      <c r="E92" s="112">
        <v>0.3</v>
      </c>
      <c r="F92" s="113">
        <f>G91</f>
        <v>374623</v>
      </c>
      <c r="G92" s="113">
        <f>G91-F92</f>
        <v>0</v>
      </c>
      <c r="H92" s="114">
        <f>ROUND(E92*F92,0.1)</f>
        <v>112387</v>
      </c>
      <c r="J92" s="16">
        <f>+J90-J91</f>
        <v>326359</v>
      </c>
      <c r="M92" s="1" t="s">
        <v>1051</v>
      </c>
      <c r="Q92" s="16" t="s">
        <v>1052</v>
      </c>
      <c r="S92" s="16" t="s">
        <v>1053</v>
      </c>
    </row>
    <row r="93" spans="2:19" ht="12.75" customHeight="1" thickBot="1" x14ac:dyDescent="0.25">
      <c r="B93" s="116"/>
      <c r="C93" s="117"/>
      <c r="D93" s="47"/>
      <c r="E93" s="47"/>
      <c r="F93" s="47"/>
    </row>
    <row r="94" spans="2:19" ht="13.5" thickBot="1" x14ac:dyDescent="0.25">
      <c r="B94" s="799" t="s">
        <v>239</v>
      </c>
      <c r="C94" s="800"/>
      <c r="D94" s="800"/>
      <c r="E94" s="800"/>
      <c r="F94" s="801"/>
      <c r="G94" s="771">
        <f>H89+H90+H91+H92</f>
        <v>224887</v>
      </c>
      <c r="H94" s="772"/>
    </row>
    <row r="95" spans="2:19" ht="13.5" thickBot="1" x14ac:dyDescent="0.25">
      <c r="B95" s="119" t="s">
        <v>215</v>
      </c>
      <c r="C95" s="120"/>
      <c r="D95" s="120"/>
      <c r="E95" s="120"/>
      <c r="F95" s="120"/>
      <c r="G95" s="884">
        <f>IF((G65&lt;500000),5000,0)</f>
        <v>0</v>
      </c>
      <c r="H95" s="885">
        <f>IF(H93&lt;200000,0,IF(H93&lt;220000,((H93-200000)*10%),IF(H93&lt;=500000,2000,IF(H93&gt;=500000,0))))</f>
        <v>0</v>
      </c>
      <c r="J95" s="1"/>
      <c r="K95" s="121"/>
      <c r="L95" s="121"/>
    </row>
    <row r="96" spans="2:19" ht="13.5" thickBot="1" x14ac:dyDescent="0.25">
      <c r="B96" s="122" t="s">
        <v>216</v>
      </c>
      <c r="C96" s="123"/>
      <c r="D96" s="123"/>
      <c r="E96" s="123"/>
      <c r="F96" s="123"/>
      <c r="G96" s="771">
        <f>IF((G94-G95)&lt;0,0,(G94-G95))</f>
        <v>224887</v>
      </c>
      <c r="H96" s="772"/>
      <c r="I96" s="37"/>
    </row>
    <row r="97" spans="2:9" ht="13.5" thickBot="1" x14ac:dyDescent="0.25">
      <c r="B97" s="773" t="s">
        <v>240</v>
      </c>
      <c r="C97" s="774"/>
      <c r="D97" s="774"/>
      <c r="E97" s="774"/>
      <c r="F97" s="775"/>
      <c r="G97" s="776">
        <f>ROUND((IF(G96&gt;0,(G96*4%),0)),0)</f>
        <v>8995</v>
      </c>
      <c r="H97" s="777"/>
      <c r="I97" s="37"/>
    </row>
    <row r="98" spans="2:9" ht="13.5" thickBot="1" x14ac:dyDescent="0.25">
      <c r="B98" s="778" t="s">
        <v>218</v>
      </c>
      <c r="C98" s="779"/>
      <c r="D98" s="779"/>
      <c r="E98" s="779"/>
      <c r="F98" s="779"/>
      <c r="G98" s="780">
        <f>G96+G97</f>
        <v>233882</v>
      </c>
      <c r="H98" s="781"/>
      <c r="I98" s="121"/>
    </row>
    <row r="99" spans="2:9" ht="13.5" thickBot="1" x14ac:dyDescent="0.25">
      <c r="B99" s="765" t="s">
        <v>219</v>
      </c>
      <c r="C99" s="766"/>
      <c r="D99" s="766"/>
      <c r="E99" s="766"/>
      <c r="F99" s="766"/>
      <c r="G99" s="767">
        <f>O38</f>
        <v>233890</v>
      </c>
      <c r="H99" s="768"/>
      <c r="I99" s="121"/>
    </row>
    <row r="100" spans="2:9" ht="13.5" thickBot="1" x14ac:dyDescent="0.25">
      <c r="B100" s="765" t="str">
        <f>IF(G100&gt;0,"TAX PAYABLE","TAX REFUND")</f>
        <v>TAX REFUND</v>
      </c>
      <c r="C100" s="766"/>
      <c r="D100" s="766"/>
      <c r="E100" s="766"/>
      <c r="F100" s="766"/>
      <c r="G100" s="767">
        <f>+G98-G99</f>
        <v>-8</v>
      </c>
      <c r="H100" s="768"/>
      <c r="I100" s="37"/>
    </row>
    <row r="101" spans="2:9" x14ac:dyDescent="0.2">
      <c r="C101" s="124"/>
      <c r="D101" s="45"/>
      <c r="E101" s="118"/>
      <c r="F101" s="118"/>
      <c r="G101" s="118"/>
      <c r="H101" s="118"/>
      <c r="I101" s="125"/>
    </row>
    <row r="102" spans="2:9" x14ac:dyDescent="0.2">
      <c r="C102" s="47"/>
      <c r="D102" s="50"/>
      <c r="E102" s="117"/>
      <c r="F102" s="47"/>
      <c r="G102" s="47"/>
      <c r="H102" s="47"/>
      <c r="I102" s="125"/>
    </row>
    <row r="103" spans="2:9" x14ac:dyDescent="0.2">
      <c r="C103" s="39"/>
      <c r="D103" s="126"/>
      <c r="E103" s="126"/>
      <c r="F103" s="126"/>
      <c r="G103" s="39"/>
      <c r="H103" s="39"/>
      <c r="I103" s="37"/>
    </row>
    <row r="104" spans="2:9" x14ac:dyDescent="0.2">
      <c r="C104" s="39"/>
      <c r="D104" s="126"/>
      <c r="E104" s="126"/>
      <c r="F104" s="39"/>
      <c r="G104" s="39"/>
      <c r="H104" s="39"/>
      <c r="I104" s="37"/>
    </row>
    <row r="105" spans="2:9" x14ac:dyDescent="0.2">
      <c r="C105" s="39"/>
      <c r="D105" s="126"/>
      <c r="E105" s="126"/>
      <c r="F105" s="39"/>
      <c r="G105" s="39"/>
      <c r="H105" s="39"/>
      <c r="I105" s="37"/>
    </row>
    <row r="106" spans="2:9" x14ac:dyDescent="0.2">
      <c r="C106" s="39"/>
      <c r="D106" s="39"/>
      <c r="E106" s="39"/>
      <c r="F106" s="39"/>
      <c r="G106" s="39"/>
      <c r="H106" s="39"/>
      <c r="I106" s="37"/>
    </row>
    <row r="107" spans="2:9" x14ac:dyDescent="0.2">
      <c r="C107" s="39"/>
      <c r="D107" s="39"/>
      <c r="E107" s="39"/>
      <c r="F107" s="39"/>
      <c r="G107" s="39"/>
      <c r="H107" s="39"/>
    </row>
    <row r="108" spans="2:9" x14ac:dyDescent="0.2">
      <c r="C108" s="39"/>
      <c r="D108" s="39"/>
      <c r="E108" s="39"/>
      <c r="F108" s="39"/>
      <c r="G108" s="39"/>
      <c r="H108"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60:F60"/>
    <mergeCell ref="G60:H60"/>
    <mergeCell ref="J60:O60"/>
    <mergeCell ref="B55:B58"/>
    <mergeCell ref="C55:C58"/>
    <mergeCell ref="D55:F55"/>
    <mergeCell ref="G55:H55"/>
    <mergeCell ref="D56:F56"/>
    <mergeCell ref="G56:H56"/>
    <mergeCell ref="J56:L56"/>
    <mergeCell ref="M56:O56"/>
    <mergeCell ref="D58:F58"/>
    <mergeCell ref="G58:H58"/>
    <mergeCell ref="J63:O63"/>
    <mergeCell ref="D81:F81"/>
    <mergeCell ref="J68:K68"/>
    <mergeCell ref="B65:F65"/>
    <mergeCell ref="G65:H65"/>
    <mergeCell ref="D76:F76"/>
    <mergeCell ref="D77:F77"/>
    <mergeCell ref="E78:F78"/>
    <mergeCell ref="D79:F79"/>
    <mergeCell ref="D80:F80"/>
    <mergeCell ref="D71:F71"/>
    <mergeCell ref="D72:F72"/>
    <mergeCell ref="C69:C75"/>
    <mergeCell ref="D69:F69"/>
    <mergeCell ref="D70:F70"/>
    <mergeCell ref="D74:F74"/>
    <mergeCell ref="G62:H62"/>
    <mergeCell ref="C63:F63"/>
    <mergeCell ref="G63:H63"/>
    <mergeCell ref="B62:F62"/>
    <mergeCell ref="D73:F73"/>
    <mergeCell ref="D75:F75"/>
    <mergeCell ref="G94:H94"/>
    <mergeCell ref="D82:F82"/>
    <mergeCell ref="D83:F83"/>
    <mergeCell ref="B84:F84"/>
    <mergeCell ref="B86:F86"/>
    <mergeCell ref="G86:H86"/>
    <mergeCell ref="C88:D88"/>
    <mergeCell ref="C89:D89"/>
    <mergeCell ref="C90:D90"/>
    <mergeCell ref="C91:D91"/>
    <mergeCell ref="C92:D92"/>
    <mergeCell ref="B94:F94"/>
    <mergeCell ref="B69:B83"/>
    <mergeCell ref="B100:F100"/>
    <mergeCell ref="G100:H100"/>
    <mergeCell ref="G95:H95"/>
    <mergeCell ref="G96:H96"/>
    <mergeCell ref="B97:F97"/>
    <mergeCell ref="G97:H97"/>
    <mergeCell ref="B98:F98"/>
    <mergeCell ref="G98:H98"/>
    <mergeCell ref="B99:F99"/>
    <mergeCell ref="G99:H99"/>
  </mergeCells>
  <conditionalFormatting sqref="B91:F91 B100:F100 B94:F98">
    <cfRule type="cellIs" dxfId="371" priority="3" stopIfTrue="1" operator="equal">
      <formula>"TAX PAYABLE"</formula>
    </cfRule>
    <cfRule type="cellIs" dxfId="370" priority="4" stopIfTrue="1" operator="equal">
      <formula>"TAX REFUND"</formula>
    </cfRule>
  </conditionalFormatting>
  <conditionalFormatting sqref="G100:H100">
    <cfRule type="cellIs" dxfId="369" priority="1" stopIfTrue="1" operator="greaterThan">
      <formula>0</formula>
    </cfRule>
    <cfRule type="cellIs" dxfId="368"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7"/>
  <sheetViews>
    <sheetView topLeftCell="A62" workbookViewId="0">
      <selection activeCell="G68" sqref="G68:G71"/>
    </sheetView>
  </sheetViews>
  <sheetFormatPr defaultRowHeight="12.75" x14ac:dyDescent="0.2"/>
  <cols>
    <col min="1" max="1" width="5" style="16" customWidth="1"/>
    <col min="2" max="2" width="18.5703125" style="37" customWidth="1"/>
    <col min="3" max="3" width="9.28515625" style="16" customWidth="1"/>
    <col min="4" max="4" width="7.42578125" style="16" customWidth="1"/>
    <col min="5" max="6" width="8" style="16" customWidth="1"/>
    <col min="7" max="15" width="8.570312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8.5703125" style="16" customWidth="1"/>
    <col min="259" max="259" width="9.28515625" style="16" customWidth="1"/>
    <col min="260" max="260" width="7.42578125" style="16" customWidth="1"/>
    <col min="261" max="262" width="8" style="16" customWidth="1"/>
    <col min="263" max="271" width="8.570312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8.5703125" style="16" customWidth="1"/>
    <col min="515" max="515" width="9.28515625" style="16" customWidth="1"/>
    <col min="516" max="516" width="7.42578125" style="16" customWidth="1"/>
    <col min="517" max="518" width="8" style="16" customWidth="1"/>
    <col min="519" max="527" width="8.570312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8.5703125" style="16" customWidth="1"/>
    <col min="771" max="771" width="9.28515625" style="16" customWidth="1"/>
    <col min="772" max="772" width="7.42578125" style="16" customWidth="1"/>
    <col min="773" max="774" width="8" style="16" customWidth="1"/>
    <col min="775" max="783" width="8.570312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8.5703125" style="16" customWidth="1"/>
    <col min="1027" max="1027" width="9.28515625" style="16" customWidth="1"/>
    <col min="1028" max="1028" width="7.42578125" style="16" customWidth="1"/>
    <col min="1029" max="1030" width="8" style="16" customWidth="1"/>
    <col min="1031" max="1039" width="8.570312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8.5703125" style="16" customWidth="1"/>
    <col min="1283" max="1283" width="9.28515625" style="16" customWidth="1"/>
    <col min="1284" max="1284" width="7.42578125" style="16" customWidth="1"/>
    <col min="1285" max="1286" width="8" style="16" customWidth="1"/>
    <col min="1287" max="1295" width="8.570312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8.5703125" style="16" customWidth="1"/>
    <col min="1539" max="1539" width="9.28515625" style="16" customWidth="1"/>
    <col min="1540" max="1540" width="7.42578125" style="16" customWidth="1"/>
    <col min="1541" max="1542" width="8" style="16" customWidth="1"/>
    <col min="1543" max="1551" width="8.570312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8.5703125" style="16" customWidth="1"/>
    <col min="1795" max="1795" width="9.28515625" style="16" customWidth="1"/>
    <col min="1796" max="1796" width="7.42578125" style="16" customWidth="1"/>
    <col min="1797" max="1798" width="8" style="16" customWidth="1"/>
    <col min="1799" max="1807" width="8.570312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8.5703125" style="16" customWidth="1"/>
    <col min="2051" max="2051" width="9.28515625" style="16" customWidth="1"/>
    <col min="2052" max="2052" width="7.42578125" style="16" customWidth="1"/>
    <col min="2053" max="2054" width="8" style="16" customWidth="1"/>
    <col min="2055" max="2063" width="8.570312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8.5703125" style="16" customWidth="1"/>
    <col min="2307" max="2307" width="9.28515625" style="16" customWidth="1"/>
    <col min="2308" max="2308" width="7.42578125" style="16" customWidth="1"/>
    <col min="2309" max="2310" width="8" style="16" customWidth="1"/>
    <col min="2311" max="2319" width="8.570312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8.5703125" style="16" customWidth="1"/>
    <col min="2563" max="2563" width="9.28515625" style="16" customWidth="1"/>
    <col min="2564" max="2564" width="7.42578125" style="16" customWidth="1"/>
    <col min="2565" max="2566" width="8" style="16" customWidth="1"/>
    <col min="2567" max="2575" width="8.570312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8.5703125" style="16" customWidth="1"/>
    <col min="2819" max="2819" width="9.28515625" style="16" customWidth="1"/>
    <col min="2820" max="2820" width="7.42578125" style="16" customWidth="1"/>
    <col min="2821" max="2822" width="8" style="16" customWidth="1"/>
    <col min="2823" max="2831" width="8.570312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8.5703125" style="16" customWidth="1"/>
    <col min="3075" max="3075" width="9.28515625" style="16" customWidth="1"/>
    <col min="3076" max="3076" width="7.42578125" style="16" customWidth="1"/>
    <col min="3077" max="3078" width="8" style="16" customWidth="1"/>
    <col min="3079" max="3087" width="8.570312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8.5703125" style="16" customWidth="1"/>
    <col min="3331" max="3331" width="9.28515625" style="16" customWidth="1"/>
    <col min="3332" max="3332" width="7.42578125" style="16" customWidth="1"/>
    <col min="3333" max="3334" width="8" style="16" customWidth="1"/>
    <col min="3335" max="3343" width="8.570312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8.5703125" style="16" customWidth="1"/>
    <col min="3587" max="3587" width="9.28515625" style="16" customWidth="1"/>
    <col min="3588" max="3588" width="7.42578125" style="16" customWidth="1"/>
    <col min="3589" max="3590" width="8" style="16" customWidth="1"/>
    <col min="3591" max="3599" width="8.570312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8.5703125" style="16" customWidth="1"/>
    <col min="3843" max="3843" width="9.28515625" style="16" customWidth="1"/>
    <col min="3844" max="3844" width="7.42578125" style="16" customWidth="1"/>
    <col min="3845" max="3846" width="8" style="16" customWidth="1"/>
    <col min="3847" max="3855" width="8.570312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8.5703125" style="16" customWidth="1"/>
    <col min="4099" max="4099" width="9.28515625" style="16" customWidth="1"/>
    <col min="4100" max="4100" width="7.42578125" style="16" customWidth="1"/>
    <col min="4101" max="4102" width="8" style="16" customWidth="1"/>
    <col min="4103" max="4111" width="8.570312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8.5703125" style="16" customWidth="1"/>
    <col min="4355" max="4355" width="9.28515625" style="16" customWidth="1"/>
    <col min="4356" max="4356" width="7.42578125" style="16" customWidth="1"/>
    <col min="4357" max="4358" width="8" style="16" customWidth="1"/>
    <col min="4359" max="4367" width="8.570312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8.5703125" style="16" customWidth="1"/>
    <col min="4611" max="4611" width="9.28515625" style="16" customWidth="1"/>
    <col min="4612" max="4612" width="7.42578125" style="16" customWidth="1"/>
    <col min="4613" max="4614" width="8" style="16" customWidth="1"/>
    <col min="4615" max="4623" width="8.570312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8.5703125" style="16" customWidth="1"/>
    <col min="4867" max="4867" width="9.28515625" style="16" customWidth="1"/>
    <col min="4868" max="4868" width="7.42578125" style="16" customWidth="1"/>
    <col min="4869" max="4870" width="8" style="16" customWidth="1"/>
    <col min="4871" max="4879" width="8.570312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8.5703125" style="16" customWidth="1"/>
    <col min="5123" max="5123" width="9.28515625" style="16" customWidth="1"/>
    <col min="5124" max="5124" width="7.42578125" style="16" customWidth="1"/>
    <col min="5125" max="5126" width="8" style="16" customWidth="1"/>
    <col min="5127" max="5135" width="8.570312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8.5703125" style="16" customWidth="1"/>
    <col min="5379" max="5379" width="9.28515625" style="16" customWidth="1"/>
    <col min="5380" max="5380" width="7.42578125" style="16" customWidth="1"/>
    <col min="5381" max="5382" width="8" style="16" customWidth="1"/>
    <col min="5383" max="5391" width="8.570312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8.5703125" style="16" customWidth="1"/>
    <col min="5635" max="5635" width="9.28515625" style="16" customWidth="1"/>
    <col min="5636" max="5636" width="7.42578125" style="16" customWidth="1"/>
    <col min="5637" max="5638" width="8" style="16" customWidth="1"/>
    <col min="5639" max="5647" width="8.570312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8.5703125" style="16" customWidth="1"/>
    <col min="5891" max="5891" width="9.28515625" style="16" customWidth="1"/>
    <col min="5892" max="5892" width="7.42578125" style="16" customWidth="1"/>
    <col min="5893" max="5894" width="8" style="16" customWidth="1"/>
    <col min="5895" max="5903" width="8.570312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8.5703125" style="16" customWidth="1"/>
    <col min="6147" max="6147" width="9.28515625" style="16" customWidth="1"/>
    <col min="6148" max="6148" width="7.42578125" style="16" customWidth="1"/>
    <col min="6149" max="6150" width="8" style="16" customWidth="1"/>
    <col min="6151" max="6159" width="8.570312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8.5703125" style="16" customWidth="1"/>
    <col min="6403" max="6403" width="9.28515625" style="16" customWidth="1"/>
    <col min="6404" max="6404" width="7.42578125" style="16" customWidth="1"/>
    <col min="6405" max="6406" width="8" style="16" customWidth="1"/>
    <col min="6407" max="6415" width="8.570312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8.5703125" style="16" customWidth="1"/>
    <col min="6659" max="6659" width="9.28515625" style="16" customWidth="1"/>
    <col min="6660" max="6660" width="7.42578125" style="16" customWidth="1"/>
    <col min="6661" max="6662" width="8" style="16" customWidth="1"/>
    <col min="6663" max="6671" width="8.570312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8.5703125" style="16" customWidth="1"/>
    <col min="6915" max="6915" width="9.28515625" style="16" customWidth="1"/>
    <col min="6916" max="6916" width="7.42578125" style="16" customWidth="1"/>
    <col min="6917" max="6918" width="8" style="16" customWidth="1"/>
    <col min="6919" max="6927" width="8.570312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8.5703125" style="16" customWidth="1"/>
    <col min="7171" max="7171" width="9.28515625" style="16" customWidth="1"/>
    <col min="7172" max="7172" width="7.42578125" style="16" customWidth="1"/>
    <col min="7173" max="7174" width="8" style="16" customWidth="1"/>
    <col min="7175" max="7183" width="8.570312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8.5703125" style="16" customWidth="1"/>
    <col min="7427" max="7427" width="9.28515625" style="16" customWidth="1"/>
    <col min="7428" max="7428" width="7.42578125" style="16" customWidth="1"/>
    <col min="7429" max="7430" width="8" style="16" customWidth="1"/>
    <col min="7431" max="7439" width="8.570312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8.5703125" style="16" customWidth="1"/>
    <col min="7683" max="7683" width="9.28515625" style="16" customWidth="1"/>
    <col min="7684" max="7684" width="7.42578125" style="16" customWidth="1"/>
    <col min="7685" max="7686" width="8" style="16" customWidth="1"/>
    <col min="7687" max="7695" width="8.570312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8.5703125" style="16" customWidth="1"/>
    <col min="7939" max="7939" width="9.28515625" style="16" customWidth="1"/>
    <col min="7940" max="7940" width="7.42578125" style="16" customWidth="1"/>
    <col min="7941" max="7942" width="8" style="16" customWidth="1"/>
    <col min="7943" max="7951" width="8.570312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8.5703125" style="16" customWidth="1"/>
    <col min="8195" max="8195" width="9.28515625" style="16" customWidth="1"/>
    <col min="8196" max="8196" width="7.42578125" style="16" customWidth="1"/>
    <col min="8197" max="8198" width="8" style="16" customWidth="1"/>
    <col min="8199" max="8207" width="8.570312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8.5703125" style="16" customWidth="1"/>
    <col min="8451" max="8451" width="9.28515625" style="16" customWidth="1"/>
    <col min="8452" max="8452" width="7.42578125" style="16" customWidth="1"/>
    <col min="8453" max="8454" width="8" style="16" customWidth="1"/>
    <col min="8455" max="8463" width="8.570312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8.5703125" style="16" customWidth="1"/>
    <col min="8707" max="8707" width="9.28515625" style="16" customWidth="1"/>
    <col min="8708" max="8708" width="7.42578125" style="16" customWidth="1"/>
    <col min="8709" max="8710" width="8" style="16" customWidth="1"/>
    <col min="8711" max="8719" width="8.570312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8.5703125" style="16" customWidth="1"/>
    <col min="8963" max="8963" width="9.28515625" style="16" customWidth="1"/>
    <col min="8964" max="8964" width="7.42578125" style="16" customWidth="1"/>
    <col min="8965" max="8966" width="8" style="16" customWidth="1"/>
    <col min="8967" max="8975" width="8.570312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8.5703125" style="16" customWidth="1"/>
    <col min="9219" max="9219" width="9.28515625" style="16" customWidth="1"/>
    <col min="9220" max="9220" width="7.42578125" style="16" customWidth="1"/>
    <col min="9221" max="9222" width="8" style="16" customWidth="1"/>
    <col min="9223" max="9231" width="8.570312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8.5703125" style="16" customWidth="1"/>
    <col min="9475" max="9475" width="9.28515625" style="16" customWidth="1"/>
    <col min="9476" max="9476" width="7.42578125" style="16" customWidth="1"/>
    <col min="9477" max="9478" width="8" style="16" customWidth="1"/>
    <col min="9479" max="9487" width="8.570312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8.5703125" style="16" customWidth="1"/>
    <col min="9731" max="9731" width="9.28515625" style="16" customWidth="1"/>
    <col min="9732" max="9732" width="7.42578125" style="16" customWidth="1"/>
    <col min="9733" max="9734" width="8" style="16" customWidth="1"/>
    <col min="9735" max="9743" width="8.570312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8.5703125" style="16" customWidth="1"/>
    <col min="9987" max="9987" width="9.28515625" style="16" customWidth="1"/>
    <col min="9988" max="9988" width="7.42578125" style="16" customWidth="1"/>
    <col min="9989" max="9990" width="8" style="16" customWidth="1"/>
    <col min="9991" max="9999" width="8.570312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8.5703125" style="16" customWidth="1"/>
    <col min="10243" max="10243" width="9.28515625" style="16" customWidth="1"/>
    <col min="10244" max="10244" width="7.42578125" style="16" customWidth="1"/>
    <col min="10245" max="10246" width="8" style="16" customWidth="1"/>
    <col min="10247" max="10255" width="8.570312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8.5703125" style="16" customWidth="1"/>
    <col min="10499" max="10499" width="9.28515625" style="16" customWidth="1"/>
    <col min="10500" max="10500" width="7.42578125" style="16" customWidth="1"/>
    <col min="10501" max="10502" width="8" style="16" customWidth="1"/>
    <col min="10503" max="10511" width="8.570312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8.5703125" style="16" customWidth="1"/>
    <col min="10755" max="10755" width="9.28515625" style="16" customWidth="1"/>
    <col min="10756" max="10756" width="7.42578125" style="16" customWidth="1"/>
    <col min="10757" max="10758" width="8" style="16" customWidth="1"/>
    <col min="10759" max="10767" width="8.570312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8.5703125" style="16" customWidth="1"/>
    <col min="11011" max="11011" width="9.28515625" style="16" customWidth="1"/>
    <col min="11012" max="11012" width="7.42578125" style="16" customWidth="1"/>
    <col min="11013" max="11014" width="8" style="16" customWidth="1"/>
    <col min="11015" max="11023" width="8.570312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8.5703125" style="16" customWidth="1"/>
    <col min="11267" max="11267" width="9.28515625" style="16" customWidth="1"/>
    <col min="11268" max="11268" width="7.42578125" style="16" customWidth="1"/>
    <col min="11269" max="11270" width="8" style="16" customWidth="1"/>
    <col min="11271" max="11279" width="8.570312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8.5703125" style="16" customWidth="1"/>
    <col min="11523" max="11523" width="9.28515625" style="16" customWidth="1"/>
    <col min="11524" max="11524" width="7.42578125" style="16" customWidth="1"/>
    <col min="11525" max="11526" width="8" style="16" customWidth="1"/>
    <col min="11527" max="11535" width="8.570312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8.5703125" style="16" customWidth="1"/>
    <col min="11779" max="11779" width="9.28515625" style="16" customWidth="1"/>
    <col min="11780" max="11780" width="7.42578125" style="16" customWidth="1"/>
    <col min="11781" max="11782" width="8" style="16" customWidth="1"/>
    <col min="11783" max="11791" width="8.570312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8.5703125" style="16" customWidth="1"/>
    <col min="12035" max="12035" width="9.28515625" style="16" customWidth="1"/>
    <col min="12036" max="12036" width="7.42578125" style="16" customWidth="1"/>
    <col min="12037" max="12038" width="8" style="16" customWidth="1"/>
    <col min="12039" max="12047" width="8.570312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8.5703125" style="16" customWidth="1"/>
    <col min="12291" max="12291" width="9.28515625" style="16" customWidth="1"/>
    <col min="12292" max="12292" width="7.42578125" style="16" customWidth="1"/>
    <col min="12293" max="12294" width="8" style="16" customWidth="1"/>
    <col min="12295" max="12303" width="8.570312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8.5703125" style="16" customWidth="1"/>
    <col min="12547" max="12547" width="9.28515625" style="16" customWidth="1"/>
    <col min="12548" max="12548" width="7.42578125" style="16" customWidth="1"/>
    <col min="12549" max="12550" width="8" style="16" customWidth="1"/>
    <col min="12551" max="12559" width="8.570312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8.5703125" style="16" customWidth="1"/>
    <col min="12803" max="12803" width="9.28515625" style="16" customWidth="1"/>
    <col min="12804" max="12804" width="7.42578125" style="16" customWidth="1"/>
    <col min="12805" max="12806" width="8" style="16" customWidth="1"/>
    <col min="12807" max="12815" width="8.570312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8.5703125" style="16" customWidth="1"/>
    <col min="13059" max="13059" width="9.28515625" style="16" customWidth="1"/>
    <col min="13060" max="13060" width="7.42578125" style="16" customWidth="1"/>
    <col min="13061" max="13062" width="8" style="16" customWidth="1"/>
    <col min="13063" max="13071" width="8.570312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8.5703125" style="16" customWidth="1"/>
    <col min="13315" max="13315" width="9.28515625" style="16" customWidth="1"/>
    <col min="13316" max="13316" width="7.42578125" style="16" customWidth="1"/>
    <col min="13317" max="13318" width="8" style="16" customWidth="1"/>
    <col min="13319" max="13327" width="8.570312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8.5703125" style="16" customWidth="1"/>
    <col min="13571" max="13571" width="9.28515625" style="16" customWidth="1"/>
    <col min="13572" max="13572" width="7.42578125" style="16" customWidth="1"/>
    <col min="13573" max="13574" width="8" style="16" customWidth="1"/>
    <col min="13575" max="13583" width="8.570312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8.5703125" style="16" customWidth="1"/>
    <col min="13827" max="13827" width="9.28515625" style="16" customWidth="1"/>
    <col min="13828" max="13828" width="7.42578125" style="16" customWidth="1"/>
    <col min="13829" max="13830" width="8" style="16" customWidth="1"/>
    <col min="13831" max="13839" width="8.570312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8.5703125" style="16" customWidth="1"/>
    <col min="14083" max="14083" width="9.28515625" style="16" customWidth="1"/>
    <col min="14084" max="14084" width="7.42578125" style="16" customWidth="1"/>
    <col min="14085" max="14086" width="8" style="16" customWidth="1"/>
    <col min="14087" max="14095" width="8.570312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8.5703125" style="16" customWidth="1"/>
    <col min="14339" max="14339" width="9.28515625" style="16" customWidth="1"/>
    <col min="14340" max="14340" width="7.42578125" style="16" customWidth="1"/>
    <col min="14341" max="14342" width="8" style="16" customWidth="1"/>
    <col min="14343" max="14351" width="8.570312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8.5703125" style="16" customWidth="1"/>
    <col min="14595" max="14595" width="9.28515625" style="16" customWidth="1"/>
    <col min="14596" max="14596" width="7.42578125" style="16" customWidth="1"/>
    <col min="14597" max="14598" width="8" style="16" customWidth="1"/>
    <col min="14599" max="14607" width="8.570312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8.5703125" style="16" customWidth="1"/>
    <col min="14851" max="14851" width="9.28515625" style="16" customWidth="1"/>
    <col min="14852" max="14852" width="7.42578125" style="16" customWidth="1"/>
    <col min="14853" max="14854" width="8" style="16" customWidth="1"/>
    <col min="14855" max="14863" width="8.570312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8.5703125" style="16" customWidth="1"/>
    <col min="15107" max="15107" width="9.28515625" style="16" customWidth="1"/>
    <col min="15108" max="15108" width="7.42578125" style="16" customWidth="1"/>
    <col min="15109" max="15110" width="8" style="16" customWidth="1"/>
    <col min="15111" max="15119" width="8.570312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8.5703125" style="16" customWidth="1"/>
    <col min="15363" max="15363" width="9.28515625" style="16" customWidth="1"/>
    <col min="15364" max="15364" width="7.42578125" style="16" customWidth="1"/>
    <col min="15365" max="15366" width="8" style="16" customWidth="1"/>
    <col min="15367" max="15375" width="8.570312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8.5703125" style="16" customWidth="1"/>
    <col min="15619" max="15619" width="9.28515625" style="16" customWidth="1"/>
    <col min="15620" max="15620" width="7.42578125" style="16" customWidth="1"/>
    <col min="15621" max="15622" width="8" style="16" customWidth="1"/>
    <col min="15623" max="15631" width="8.570312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8.5703125" style="16" customWidth="1"/>
    <col min="15875" max="15875" width="9.28515625" style="16" customWidth="1"/>
    <col min="15876" max="15876" width="7.42578125" style="16" customWidth="1"/>
    <col min="15877" max="15878" width="8" style="16" customWidth="1"/>
    <col min="15879" max="15887" width="8.570312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8.5703125" style="16" customWidth="1"/>
    <col min="16131" max="16131" width="9.28515625" style="16" customWidth="1"/>
    <col min="16132" max="16132" width="7.42578125" style="16" customWidth="1"/>
    <col min="16133" max="16134" width="8" style="16" customWidth="1"/>
    <col min="16135" max="16143" width="8.570312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67" t="s">
        <v>449</v>
      </c>
      <c r="B1" s="868"/>
      <c r="C1" s="868"/>
      <c r="D1" s="869"/>
      <c r="E1" s="868"/>
      <c r="F1" s="868"/>
      <c r="G1" s="867" t="s">
        <v>102</v>
      </c>
      <c r="H1" s="869"/>
      <c r="I1" s="869" t="s">
        <v>946</v>
      </c>
      <c r="J1" s="868"/>
      <c r="K1" s="868"/>
      <c r="L1" s="870"/>
      <c r="M1" s="870"/>
      <c r="N1" s="870"/>
      <c r="O1" s="870"/>
    </row>
    <row r="2" spans="1:15" s="1" customFormat="1" x14ac:dyDescent="0.2">
      <c r="A2" s="867" t="s">
        <v>103</v>
      </c>
      <c r="B2" s="868"/>
      <c r="C2" s="868"/>
      <c r="D2" s="869"/>
      <c r="E2" s="868"/>
      <c r="F2" s="868"/>
      <c r="G2" s="867" t="s">
        <v>104</v>
      </c>
      <c r="H2" s="869"/>
      <c r="I2" s="869" t="s">
        <v>105</v>
      </c>
      <c r="J2" s="868"/>
      <c r="K2" s="868"/>
      <c r="L2" s="870"/>
      <c r="M2" s="870"/>
      <c r="N2" s="870"/>
      <c r="O2" s="870"/>
    </row>
    <row r="3" spans="1:15" s="1" customFormat="1" x14ac:dyDescent="0.2">
      <c r="A3" s="867" t="s">
        <v>106</v>
      </c>
      <c r="B3" s="868"/>
      <c r="C3" s="868"/>
      <c r="D3" s="881">
        <v>25389</v>
      </c>
      <c r="E3" s="882"/>
      <c r="F3" s="882"/>
      <c r="G3" s="867" t="s">
        <v>107</v>
      </c>
      <c r="H3" s="869"/>
      <c r="I3" s="869" t="s">
        <v>108</v>
      </c>
      <c r="J3" s="868"/>
      <c r="K3" s="868"/>
      <c r="L3" s="870"/>
      <c r="M3" s="870"/>
      <c r="N3" s="870"/>
      <c r="O3" s="870"/>
    </row>
    <row r="4" spans="1:15" s="1" customFormat="1" x14ac:dyDescent="0.2">
      <c r="A4" s="867" t="s">
        <v>109</v>
      </c>
      <c r="B4" s="868"/>
      <c r="C4" s="868"/>
      <c r="D4" s="883"/>
      <c r="E4" s="868"/>
      <c r="F4" s="868"/>
      <c r="G4" s="867" t="s">
        <v>110</v>
      </c>
      <c r="H4" s="869"/>
      <c r="I4" s="869" t="s">
        <v>392</v>
      </c>
      <c r="J4" s="868"/>
      <c r="K4" s="868"/>
      <c r="L4" s="870"/>
      <c r="M4" s="870"/>
      <c r="N4" s="870"/>
      <c r="O4" s="870"/>
    </row>
    <row r="5" spans="1:15" s="1" customFormat="1" x14ac:dyDescent="0.2">
      <c r="A5" s="867" t="s">
        <v>443</v>
      </c>
      <c r="B5" s="868"/>
      <c r="C5" s="868"/>
      <c r="D5" s="869" t="s">
        <v>1026</v>
      </c>
      <c r="E5" s="868"/>
      <c r="F5" s="868"/>
      <c r="G5" s="867"/>
      <c r="H5" s="868"/>
      <c r="I5" s="869" t="s">
        <v>113</v>
      </c>
      <c r="J5" s="868"/>
      <c r="K5" s="868"/>
      <c r="L5" s="870"/>
      <c r="M5" s="870"/>
      <c r="N5" s="870"/>
      <c r="O5" s="870"/>
    </row>
    <row r="6" spans="1:15" s="1" customFormat="1" x14ac:dyDescent="0.2">
      <c r="A6" s="871" t="s">
        <v>114</v>
      </c>
      <c r="B6" s="872"/>
      <c r="C6" s="872"/>
      <c r="D6" s="868" t="s">
        <v>947</v>
      </c>
      <c r="E6" s="868"/>
      <c r="F6" s="868"/>
      <c r="G6" s="871" t="s">
        <v>115</v>
      </c>
      <c r="H6" s="871"/>
      <c r="I6" s="2" t="s">
        <v>222</v>
      </c>
      <c r="J6" s="888"/>
      <c r="K6" s="888"/>
      <c r="L6" s="888"/>
      <c r="M6" s="888"/>
      <c r="N6" s="888"/>
      <c r="O6" s="889"/>
    </row>
    <row r="7" spans="1:15" s="1" customFormat="1" ht="13.5" thickBot="1" x14ac:dyDescent="0.25">
      <c r="A7" s="3"/>
      <c r="B7" s="4"/>
      <c r="C7" s="5"/>
      <c r="D7" s="6"/>
      <c r="E7" s="6"/>
      <c r="F7" s="6"/>
      <c r="G7" s="6"/>
      <c r="H7" s="6"/>
      <c r="I7" s="6"/>
      <c r="J7" s="7"/>
      <c r="K7" s="8"/>
      <c r="L7" s="875" t="s">
        <v>223</v>
      </c>
      <c r="M7" s="875"/>
      <c r="N7" s="875"/>
      <c r="O7" s="875"/>
    </row>
    <row r="8" spans="1:15" s="11" customFormat="1" x14ac:dyDescent="0.2">
      <c r="A8" s="876" t="str">
        <f>I1</f>
        <v>Ms. Vandana P. Gawali</v>
      </c>
      <c r="B8" s="877"/>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68000</v>
      </c>
      <c r="D9" s="14">
        <v>68000</v>
      </c>
      <c r="E9" s="14">
        <v>68000</v>
      </c>
      <c r="F9" s="14">
        <v>68000</v>
      </c>
      <c r="G9" s="14">
        <v>70000</v>
      </c>
      <c r="H9" s="14">
        <v>70000</v>
      </c>
      <c r="I9" s="14">
        <v>70000</v>
      </c>
      <c r="J9" s="14">
        <v>70000</v>
      </c>
      <c r="K9" s="14">
        <v>70000</v>
      </c>
      <c r="L9" s="14">
        <v>70000</v>
      </c>
      <c r="M9" s="14">
        <v>70000</v>
      </c>
      <c r="N9" s="14">
        <v>70000</v>
      </c>
      <c r="O9" s="15">
        <f>SUM(C9:N9)</f>
        <v>832000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3400</v>
      </c>
      <c r="D11" s="17">
        <v>4760</v>
      </c>
      <c r="E11" s="17">
        <v>4760</v>
      </c>
      <c r="F11" s="17">
        <v>4760</v>
      </c>
      <c r="G11" s="17">
        <v>4900</v>
      </c>
      <c r="H11" s="17">
        <v>4900</v>
      </c>
      <c r="I11" s="17">
        <v>4900</v>
      </c>
      <c r="J11" s="17">
        <v>6300</v>
      </c>
      <c r="K11" s="17">
        <v>6300</v>
      </c>
      <c r="L11" s="17">
        <v>6300</v>
      </c>
      <c r="M11" s="17">
        <v>6300</v>
      </c>
      <c r="N11" s="17">
        <v>6300</v>
      </c>
      <c r="O11" s="18">
        <f>SUM(C11:N11)</f>
        <v>63880</v>
      </c>
    </row>
    <row r="12" spans="1:15"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x14ac:dyDescent="0.2">
      <c r="A14" s="12"/>
      <c r="B14" s="13" t="s">
        <v>123</v>
      </c>
      <c r="C14" s="17">
        <v>3780</v>
      </c>
      <c r="D14" s="17">
        <v>3752</v>
      </c>
      <c r="E14" s="17">
        <v>3752</v>
      </c>
      <c r="F14" s="17">
        <v>3752</v>
      </c>
      <c r="G14" s="17">
        <v>3752</v>
      </c>
      <c r="H14" s="17">
        <v>3752</v>
      </c>
      <c r="I14" s="17">
        <v>3752</v>
      </c>
      <c r="J14" s="17">
        <v>3924</v>
      </c>
      <c r="K14" s="17">
        <v>3924</v>
      </c>
      <c r="L14" s="17">
        <v>3924</v>
      </c>
      <c r="M14" s="17">
        <v>3924</v>
      </c>
      <c r="N14" s="17">
        <v>3924</v>
      </c>
      <c r="O14" s="18">
        <f t="shared" si="0"/>
        <v>45912</v>
      </c>
    </row>
    <row r="15" spans="1:15" ht="15"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hidden="1"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row>
    <row r="17" spans="1:15" hidden="1" x14ac:dyDescent="0.2">
      <c r="A17" s="12"/>
      <c r="B17" s="166" t="s">
        <v>280</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16320</v>
      </c>
      <c r="D19" s="17">
        <v>16320</v>
      </c>
      <c r="E19" s="17">
        <v>16320</v>
      </c>
      <c r="F19" s="17">
        <v>16320</v>
      </c>
      <c r="G19" s="17">
        <v>16800</v>
      </c>
      <c r="H19" s="17">
        <v>16800</v>
      </c>
      <c r="I19" s="17">
        <v>16800</v>
      </c>
      <c r="J19" s="17">
        <v>16800</v>
      </c>
      <c r="K19" s="17">
        <v>16800</v>
      </c>
      <c r="L19" s="17">
        <v>16800</v>
      </c>
      <c r="M19" s="17">
        <v>16800</v>
      </c>
      <c r="N19" s="17">
        <v>16800</v>
      </c>
      <c r="O19" s="18">
        <f t="shared" si="0"/>
        <v>199680</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78"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79"/>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5" ht="15" hidden="1" customHeight="1" x14ac:dyDescent="0.2">
      <c r="A23" s="879"/>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79"/>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79"/>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79"/>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79"/>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79"/>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79"/>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79"/>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79"/>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79"/>
      <c r="B32" s="21" t="s">
        <v>142</v>
      </c>
      <c r="C32" s="17">
        <v>0</v>
      </c>
      <c r="D32" s="17">
        <v>0</v>
      </c>
      <c r="E32" s="17">
        <v>56085</v>
      </c>
      <c r="F32" s="17">
        <v>0</v>
      </c>
      <c r="G32" s="17">
        <v>0</v>
      </c>
      <c r="H32" s="17">
        <v>0</v>
      </c>
      <c r="I32" s="17">
        <v>0</v>
      </c>
      <c r="J32" s="17">
        <v>0</v>
      </c>
      <c r="K32" s="17">
        <v>0</v>
      </c>
      <c r="L32" s="17">
        <v>0</v>
      </c>
      <c r="M32" s="17">
        <v>0</v>
      </c>
      <c r="N32" s="17">
        <v>0</v>
      </c>
      <c r="O32" s="18">
        <f t="shared" si="0"/>
        <v>56085</v>
      </c>
    </row>
    <row r="33" spans="1:16" ht="15" hidden="1" customHeight="1" x14ac:dyDescent="0.2">
      <c r="A33" s="880"/>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865" t="s">
        <v>280</v>
      </c>
      <c r="B34" s="866"/>
      <c r="C34" s="17">
        <v>0</v>
      </c>
      <c r="D34" s="17">
        <v>0</v>
      </c>
      <c r="E34" s="17">
        <v>0</v>
      </c>
      <c r="F34" s="17">
        <v>0</v>
      </c>
      <c r="G34" s="17">
        <v>0</v>
      </c>
      <c r="H34" s="17">
        <v>0</v>
      </c>
      <c r="I34" s="17">
        <v>0</v>
      </c>
      <c r="J34" s="17">
        <v>3685</v>
      </c>
      <c r="K34" s="17">
        <v>3685</v>
      </c>
      <c r="L34" s="17">
        <v>0</v>
      </c>
      <c r="M34" s="17">
        <v>0</v>
      </c>
      <c r="N34" s="17">
        <v>0</v>
      </c>
      <c r="O34" s="18">
        <f t="shared" si="0"/>
        <v>7370</v>
      </c>
    </row>
    <row r="35" spans="1:16" ht="15" customHeight="1" x14ac:dyDescent="0.2">
      <c r="A35" s="865" t="s">
        <v>145</v>
      </c>
      <c r="B35" s="866"/>
      <c r="C35" s="17">
        <v>0</v>
      </c>
      <c r="D35" s="17">
        <v>216</v>
      </c>
      <c r="E35" s="17">
        <v>0</v>
      </c>
      <c r="F35" s="17">
        <v>0</v>
      </c>
      <c r="G35" s="17">
        <v>0</v>
      </c>
      <c r="H35" s="17">
        <v>0</v>
      </c>
      <c r="I35" s="17">
        <v>0</v>
      </c>
      <c r="J35" s="17">
        <v>216</v>
      </c>
      <c r="K35" s="17">
        <v>0</v>
      </c>
      <c r="L35" s="17">
        <v>0</v>
      </c>
      <c r="M35" s="17">
        <v>0</v>
      </c>
      <c r="N35" s="17">
        <v>0</v>
      </c>
      <c r="O35" s="18">
        <f t="shared" si="0"/>
        <v>432</v>
      </c>
    </row>
    <row r="36" spans="1:16" ht="15" customHeight="1" x14ac:dyDescent="0.2">
      <c r="A36" s="865" t="s">
        <v>146</v>
      </c>
      <c r="B36" s="866"/>
      <c r="C36" s="17">
        <v>0</v>
      </c>
      <c r="D36" s="17">
        <v>4080</v>
      </c>
      <c r="E36" s="17">
        <v>0</v>
      </c>
      <c r="F36" s="17">
        <v>0</v>
      </c>
      <c r="G36" s="17">
        <v>0</v>
      </c>
      <c r="H36" s="17">
        <v>0</v>
      </c>
      <c r="I36" s="17">
        <v>0</v>
      </c>
      <c r="J36" s="17">
        <v>4200</v>
      </c>
      <c r="K36" s="17">
        <v>0</v>
      </c>
      <c r="L36" s="17">
        <v>0</v>
      </c>
      <c r="M36" s="17">
        <v>0</v>
      </c>
      <c r="N36" s="17">
        <v>0</v>
      </c>
      <c r="O36" s="18">
        <f t="shared" si="0"/>
        <v>8280</v>
      </c>
    </row>
    <row r="37" spans="1:16" ht="15" customHeight="1" x14ac:dyDescent="0.2">
      <c r="A37" s="22"/>
      <c r="B37" s="23" t="s">
        <v>147</v>
      </c>
      <c r="C37" s="24">
        <f t="shared" ref="C37:N37" si="1">SUM(C9:C36)</f>
        <v>91500</v>
      </c>
      <c r="D37" s="24">
        <f t="shared" si="1"/>
        <v>97128</v>
      </c>
      <c r="E37" s="24">
        <f t="shared" si="1"/>
        <v>148917</v>
      </c>
      <c r="F37" s="24">
        <f t="shared" si="1"/>
        <v>92832</v>
      </c>
      <c r="G37" s="24">
        <f t="shared" si="1"/>
        <v>95452</v>
      </c>
      <c r="H37" s="24">
        <f t="shared" si="1"/>
        <v>95452</v>
      </c>
      <c r="I37" s="24">
        <f t="shared" si="1"/>
        <v>95452</v>
      </c>
      <c r="J37" s="24">
        <f t="shared" si="1"/>
        <v>112033</v>
      </c>
      <c r="K37" s="24">
        <f t="shared" si="1"/>
        <v>100709</v>
      </c>
      <c r="L37" s="24">
        <f t="shared" si="1"/>
        <v>97024</v>
      </c>
      <c r="M37" s="24">
        <f t="shared" si="1"/>
        <v>97024</v>
      </c>
      <c r="N37" s="24">
        <f t="shared" si="1"/>
        <v>97024</v>
      </c>
      <c r="O37" s="25">
        <f>SUM(C37:N37)</f>
        <v>1220547</v>
      </c>
    </row>
    <row r="38" spans="1:16" ht="15" customHeight="1" x14ac:dyDescent="0.25">
      <c r="A38" s="853" t="s">
        <v>148</v>
      </c>
      <c r="B38" s="27" t="s">
        <v>149</v>
      </c>
      <c r="C38" s="28">
        <v>8200</v>
      </c>
      <c r="D38" s="28">
        <v>9000</v>
      </c>
      <c r="E38" s="28">
        <v>14608</v>
      </c>
      <c r="F38" s="28">
        <v>9000</v>
      </c>
      <c r="G38" s="28">
        <v>9000</v>
      </c>
      <c r="H38" s="28">
        <v>9000</v>
      </c>
      <c r="I38" s="28">
        <v>9000</v>
      </c>
      <c r="J38" s="28">
        <v>9000</v>
      </c>
      <c r="K38" s="28">
        <v>11500</v>
      </c>
      <c r="L38" s="28">
        <v>12000</v>
      </c>
      <c r="M38" s="28">
        <v>12120</v>
      </c>
      <c r="N38">
        <v>13330</v>
      </c>
      <c r="O38" s="18">
        <f>SUM(C38:N38)</f>
        <v>125758</v>
      </c>
      <c r="P38" s="29"/>
    </row>
    <row r="39" spans="1:16" ht="15" x14ac:dyDescent="0.2">
      <c r="A39" s="854"/>
      <c r="B39" s="27" t="s">
        <v>150</v>
      </c>
      <c r="C39" s="28">
        <v>0</v>
      </c>
      <c r="D39" s="28">
        <v>0</v>
      </c>
      <c r="E39" s="28">
        <v>0</v>
      </c>
      <c r="F39" s="28">
        <v>0</v>
      </c>
      <c r="G39" s="28">
        <v>0</v>
      </c>
      <c r="H39" s="28">
        <v>0</v>
      </c>
      <c r="I39" s="28">
        <v>0</v>
      </c>
      <c r="J39" s="28">
        <v>0</v>
      </c>
      <c r="K39" s="28">
        <v>0</v>
      </c>
      <c r="L39" s="28">
        <v>0</v>
      </c>
      <c r="M39" s="28">
        <v>0</v>
      </c>
      <c r="N39" s="28">
        <v>0</v>
      </c>
      <c r="O39" s="18">
        <f>SUM(C39:N39)</f>
        <v>0</v>
      </c>
    </row>
    <row r="40" spans="1:16" ht="15" x14ac:dyDescent="0.2">
      <c r="A40" s="854"/>
      <c r="B40" s="27" t="s">
        <v>151</v>
      </c>
      <c r="C40" s="28">
        <v>60</v>
      </c>
      <c r="D40" s="28">
        <v>60</v>
      </c>
      <c r="E40" s="28">
        <v>60</v>
      </c>
      <c r="F40" s="28">
        <v>60</v>
      </c>
      <c r="G40" s="28">
        <v>60</v>
      </c>
      <c r="H40" s="28">
        <v>60</v>
      </c>
      <c r="I40" s="28">
        <v>60</v>
      </c>
      <c r="J40" s="28">
        <v>60</v>
      </c>
      <c r="K40" s="28">
        <v>60</v>
      </c>
      <c r="L40" s="28">
        <v>60</v>
      </c>
      <c r="M40" s="28">
        <v>60</v>
      </c>
      <c r="N40" s="28">
        <v>60</v>
      </c>
      <c r="O40" s="18">
        <f t="shared" ref="O40:O50" si="2">SUM(C40:N40)</f>
        <v>720</v>
      </c>
    </row>
    <row r="41" spans="1:16" ht="15" x14ac:dyDescent="0.2">
      <c r="A41" s="854"/>
      <c r="B41" s="27" t="s">
        <v>152</v>
      </c>
      <c r="C41" s="28">
        <v>0</v>
      </c>
      <c r="D41" s="28">
        <v>0</v>
      </c>
      <c r="E41" s="28">
        <v>0</v>
      </c>
      <c r="F41" s="28">
        <v>0</v>
      </c>
      <c r="G41" s="28">
        <v>0</v>
      </c>
      <c r="H41" s="28">
        <v>0</v>
      </c>
      <c r="I41" s="28">
        <v>0</v>
      </c>
      <c r="J41" s="28">
        <v>0</v>
      </c>
      <c r="K41" s="28">
        <v>0</v>
      </c>
      <c r="L41" s="28">
        <v>0</v>
      </c>
      <c r="M41" s="28">
        <v>0</v>
      </c>
      <c r="N41" s="28">
        <v>0</v>
      </c>
      <c r="O41" s="18">
        <f t="shared" si="2"/>
        <v>0</v>
      </c>
    </row>
    <row r="42" spans="1:16" ht="15" x14ac:dyDescent="0.2">
      <c r="A42" s="854"/>
      <c r="B42" s="27" t="s">
        <v>153</v>
      </c>
      <c r="C42" s="28">
        <v>0</v>
      </c>
      <c r="D42" s="28">
        <v>0</v>
      </c>
      <c r="E42" s="28">
        <v>0</v>
      </c>
      <c r="F42" s="28">
        <v>0</v>
      </c>
      <c r="G42" s="28">
        <v>0</v>
      </c>
      <c r="H42" s="28">
        <v>0</v>
      </c>
      <c r="I42" s="28">
        <v>0</v>
      </c>
      <c r="J42" s="28">
        <v>0</v>
      </c>
      <c r="K42" s="28">
        <v>0</v>
      </c>
      <c r="L42" s="28">
        <v>0</v>
      </c>
      <c r="M42" s="28">
        <v>0</v>
      </c>
      <c r="N42" s="28">
        <v>0</v>
      </c>
      <c r="O42" s="18">
        <f t="shared" si="2"/>
        <v>0</v>
      </c>
    </row>
    <row r="43" spans="1:16" ht="15" x14ac:dyDescent="0.2">
      <c r="A43" s="854"/>
      <c r="B43" s="27" t="s">
        <v>154</v>
      </c>
      <c r="C43" s="28">
        <v>20000</v>
      </c>
      <c r="D43" s="28">
        <v>20000</v>
      </c>
      <c r="E43" s="28">
        <v>20000</v>
      </c>
      <c r="F43" s="28">
        <v>20000</v>
      </c>
      <c r="G43" s="28">
        <v>20000</v>
      </c>
      <c r="H43" s="28">
        <v>20000</v>
      </c>
      <c r="I43" s="28">
        <v>20000</v>
      </c>
      <c r="J43" s="28">
        <v>20000</v>
      </c>
      <c r="K43" s="28">
        <v>20000</v>
      </c>
      <c r="L43" s="28">
        <v>20000</v>
      </c>
      <c r="M43" s="28">
        <v>20000</v>
      </c>
      <c r="N43" s="28">
        <v>20000</v>
      </c>
      <c r="O43" s="18">
        <f t="shared" si="2"/>
        <v>240000</v>
      </c>
    </row>
    <row r="44" spans="1:16" ht="15" x14ac:dyDescent="0.2">
      <c r="A44" s="854"/>
      <c r="B44" s="27" t="s">
        <v>155</v>
      </c>
      <c r="C44" s="28">
        <v>200</v>
      </c>
      <c r="D44" s="28">
        <v>200</v>
      </c>
      <c r="E44" s="28">
        <v>200</v>
      </c>
      <c r="F44" s="28">
        <v>200</v>
      </c>
      <c r="G44" s="28">
        <v>200</v>
      </c>
      <c r="H44" s="28">
        <v>200</v>
      </c>
      <c r="I44" s="28">
        <v>200</v>
      </c>
      <c r="J44" s="28">
        <v>200</v>
      </c>
      <c r="K44" s="28">
        <v>200</v>
      </c>
      <c r="L44" s="28">
        <v>200</v>
      </c>
      <c r="M44" s="28">
        <v>200</v>
      </c>
      <c r="N44" s="28">
        <v>300</v>
      </c>
      <c r="O44" s="18">
        <f t="shared" si="2"/>
        <v>2500</v>
      </c>
    </row>
    <row r="45" spans="1:16" ht="15" x14ac:dyDescent="0.2">
      <c r="A45" s="854"/>
      <c r="B45" s="27" t="s">
        <v>156</v>
      </c>
      <c r="C45" s="28">
        <v>0</v>
      </c>
      <c r="D45" s="28">
        <v>0</v>
      </c>
      <c r="E45" s="28">
        <v>0</v>
      </c>
      <c r="F45" s="28">
        <v>0</v>
      </c>
      <c r="G45" s="28">
        <v>0</v>
      </c>
      <c r="H45" s="28">
        <v>0</v>
      </c>
      <c r="I45" s="28">
        <v>0</v>
      </c>
      <c r="J45" s="28">
        <v>0</v>
      </c>
      <c r="K45" s="28">
        <v>0</v>
      </c>
      <c r="L45" s="28">
        <v>0</v>
      </c>
      <c r="M45" s="28">
        <v>0</v>
      </c>
      <c r="N45" s="28">
        <v>0</v>
      </c>
      <c r="O45" s="18">
        <f t="shared" si="2"/>
        <v>0</v>
      </c>
    </row>
    <row r="46" spans="1:16" ht="15" x14ac:dyDescent="0.2">
      <c r="A46" s="854"/>
      <c r="B46" s="27" t="s">
        <v>157</v>
      </c>
      <c r="C46" s="28">
        <v>0</v>
      </c>
      <c r="D46" s="28">
        <v>0</v>
      </c>
      <c r="E46" s="28">
        <v>0</v>
      </c>
      <c r="F46" s="28">
        <v>0</v>
      </c>
      <c r="G46" s="28">
        <v>0</v>
      </c>
      <c r="H46" s="28">
        <v>0</v>
      </c>
      <c r="I46" s="28">
        <v>0</v>
      </c>
      <c r="J46" s="28">
        <v>0</v>
      </c>
      <c r="K46" s="28">
        <v>0</v>
      </c>
      <c r="L46" s="28">
        <v>0</v>
      </c>
      <c r="M46" s="28">
        <v>0</v>
      </c>
      <c r="N46" s="28">
        <v>0</v>
      </c>
      <c r="O46" s="18">
        <f t="shared" si="2"/>
        <v>0</v>
      </c>
    </row>
    <row r="47" spans="1:16" ht="30.75" customHeight="1" x14ac:dyDescent="0.2">
      <c r="A47" s="855"/>
      <c r="B47" s="30" t="s">
        <v>158</v>
      </c>
      <c r="C47" s="28">
        <v>1776</v>
      </c>
      <c r="D47" s="28">
        <v>1776</v>
      </c>
      <c r="E47" s="28">
        <v>1776</v>
      </c>
      <c r="F47" s="28">
        <v>1776</v>
      </c>
      <c r="G47" s="28">
        <v>1776</v>
      </c>
      <c r="H47" s="28">
        <v>1776</v>
      </c>
      <c r="I47" s="28">
        <v>1776</v>
      </c>
      <c r="J47" s="28">
        <v>1776</v>
      </c>
      <c r="K47" s="28">
        <v>1776</v>
      </c>
      <c r="L47" s="28">
        <v>1776</v>
      </c>
      <c r="M47" s="28">
        <v>1776</v>
      </c>
      <c r="N47" s="28">
        <v>1776</v>
      </c>
      <c r="O47" s="31">
        <f t="shared" si="2"/>
        <v>21312</v>
      </c>
    </row>
    <row r="48" spans="1:16" ht="25.5" x14ac:dyDescent="0.2">
      <c r="A48" s="856"/>
      <c r="B48" s="169" t="s">
        <v>1027</v>
      </c>
      <c r="C48" s="28">
        <v>0</v>
      </c>
      <c r="D48" s="28">
        <v>0</v>
      </c>
      <c r="E48" s="28">
        <v>0</v>
      </c>
      <c r="F48" s="28">
        <v>0</v>
      </c>
      <c r="G48" s="28">
        <v>0</v>
      </c>
      <c r="H48" s="28">
        <v>0</v>
      </c>
      <c r="I48" s="28">
        <v>0</v>
      </c>
      <c r="J48" s="28">
        <v>0</v>
      </c>
      <c r="K48" s="28">
        <v>0</v>
      </c>
      <c r="L48" s="28">
        <v>0</v>
      </c>
      <c r="M48" s="28">
        <v>0</v>
      </c>
      <c r="N48" s="28">
        <v>0</v>
      </c>
      <c r="O48" s="31">
        <f t="shared" si="2"/>
        <v>0</v>
      </c>
    </row>
    <row r="49" spans="1:18" ht="15" x14ac:dyDescent="0.2">
      <c r="A49" s="857" t="s">
        <v>160</v>
      </c>
      <c r="B49" s="858"/>
      <c r="C49" s="33">
        <f>SUM(C38:C48)</f>
        <v>30236</v>
      </c>
      <c r="D49" s="33">
        <f t="shared" ref="D49:N49" si="3">SUM(D38:D48)</f>
        <v>31036</v>
      </c>
      <c r="E49" s="33">
        <f t="shared" si="3"/>
        <v>36644</v>
      </c>
      <c r="F49" s="33">
        <f t="shared" si="3"/>
        <v>31036</v>
      </c>
      <c r="G49" s="33">
        <f t="shared" si="3"/>
        <v>31036</v>
      </c>
      <c r="H49" s="33">
        <f t="shared" si="3"/>
        <v>31036</v>
      </c>
      <c r="I49" s="33">
        <f t="shared" si="3"/>
        <v>31036</v>
      </c>
      <c r="J49" s="33">
        <f t="shared" si="3"/>
        <v>31036</v>
      </c>
      <c r="K49" s="33">
        <f t="shared" si="3"/>
        <v>33536</v>
      </c>
      <c r="L49" s="33">
        <f t="shared" si="3"/>
        <v>34036</v>
      </c>
      <c r="M49" s="33">
        <f t="shared" si="3"/>
        <v>34156</v>
      </c>
      <c r="N49" s="33">
        <f t="shared" si="3"/>
        <v>35466</v>
      </c>
      <c r="O49" s="34">
        <f t="shared" si="2"/>
        <v>390290</v>
      </c>
    </row>
    <row r="50" spans="1:18" ht="15.75" thickBot="1" x14ac:dyDescent="0.25">
      <c r="A50" s="859" t="s">
        <v>161</v>
      </c>
      <c r="B50" s="860"/>
      <c r="C50" s="35">
        <f>C37-C49</f>
        <v>61264</v>
      </c>
      <c r="D50" s="35">
        <f t="shared" ref="D50:N50" si="4">D37-D49</f>
        <v>66092</v>
      </c>
      <c r="E50" s="35">
        <f t="shared" si="4"/>
        <v>112273</v>
      </c>
      <c r="F50" s="35">
        <f t="shared" si="4"/>
        <v>61796</v>
      </c>
      <c r="G50" s="35">
        <f t="shared" si="4"/>
        <v>64416</v>
      </c>
      <c r="H50" s="35">
        <f t="shared" si="4"/>
        <v>64416</v>
      </c>
      <c r="I50" s="35">
        <f t="shared" si="4"/>
        <v>64416</v>
      </c>
      <c r="J50" s="35">
        <f t="shared" si="4"/>
        <v>80997</v>
      </c>
      <c r="K50" s="35">
        <f t="shared" si="4"/>
        <v>67173</v>
      </c>
      <c r="L50" s="35">
        <f t="shared" si="4"/>
        <v>62988</v>
      </c>
      <c r="M50" s="35">
        <f t="shared" si="4"/>
        <v>62868</v>
      </c>
      <c r="N50" s="35">
        <f t="shared" si="4"/>
        <v>61558</v>
      </c>
      <c r="O50" s="36">
        <f t="shared" si="2"/>
        <v>830257</v>
      </c>
    </row>
    <row r="51" spans="1:18" x14ac:dyDescent="0.2">
      <c r="C51" s="38"/>
      <c r="J51" s="300">
        <f>+J37-SUM(J22:J36)</f>
        <v>97024</v>
      </c>
      <c r="Q51" s="38"/>
    </row>
    <row r="52" spans="1:18" ht="13.5" thickBot="1" x14ac:dyDescent="0.25">
      <c r="J52" s="38">
        <f>+J51-J49</f>
        <v>65988</v>
      </c>
    </row>
    <row r="53" spans="1:18" ht="13.5" thickBot="1" x14ac:dyDescent="0.25">
      <c r="B53" s="789" t="s">
        <v>162</v>
      </c>
      <c r="C53" s="861"/>
      <c r="D53" s="861"/>
      <c r="E53" s="861"/>
      <c r="F53" s="862"/>
      <c r="G53" s="863">
        <f>O37</f>
        <v>1220547</v>
      </c>
      <c r="H53" s="864"/>
    </row>
    <row r="54" spans="1:18" ht="13.5" thickBot="1" x14ac:dyDescent="0.25"/>
    <row r="55" spans="1:18" x14ac:dyDescent="0.2">
      <c r="B55" s="830" t="s">
        <v>163</v>
      </c>
      <c r="C55" s="833" t="s">
        <v>164</v>
      </c>
      <c r="D55" s="836" t="s">
        <v>229</v>
      </c>
      <c r="E55" s="837"/>
      <c r="F55" s="838"/>
      <c r="G55" s="839">
        <v>40000</v>
      </c>
      <c r="H55" s="840"/>
    </row>
    <row r="56" spans="1:18" x14ac:dyDescent="0.2">
      <c r="B56" s="831"/>
      <c r="C56" s="834"/>
      <c r="D56" s="841" t="s">
        <v>166</v>
      </c>
      <c r="E56" s="842"/>
      <c r="F56" s="843"/>
      <c r="G56" s="844">
        <f>+O44</f>
        <v>2500</v>
      </c>
      <c r="H56" s="845"/>
      <c r="I56" s="39"/>
      <c r="J56" s="846"/>
      <c r="K56" s="846"/>
      <c r="L56" s="846"/>
      <c r="M56" s="847"/>
      <c r="N56" s="847"/>
      <c r="O56" s="847"/>
    </row>
    <row r="57" spans="1:18" ht="13.5" thickBot="1" x14ac:dyDescent="0.25">
      <c r="B57" s="832"/>
      <c r="C57" s="835"/>
      <c r="D57" s="848" t="s">
        <v>243</v>
      </c>
      <c r="E57" s="849"/>
      <c r="F57" s="850"/>
      <c r="G57" s="851">
        <f>IF(O18&gt;15000,15000,+O18)</f>
        <v>0</v>
      </c>
      <c r="H57" s="852"/>
      <c r="J57" s="47"/>
      <c r="K57" s="47"/>
      <c r="L57" s="47"/>
      <c r="M57" s="47"/>
      <c r="N57" s="47"/>
      <c r="O57" s="47"/>
    </row>
    <row r="58" spans="1:18" ht="13.5" thickBot="1" x14ac:dyDescent="0.25">
      <c r="B58" s="48"/>
      <c r="J58" s="47"/>
      <c r="K58" s="47"/>
      <c r="L58" s="47"/>
      <c r="M58" s="47"/>
      <c r="N58" s="47"/>
      <c r="O58" s="47"/>
    </row>
    <row r="59" spans="1:18" ht="13.5" thickBot="1" x14ac:dyDescent="0.25">
      <c r="B59" s="789" t="s">
        <v>168</v>
      </c>
      <c r="C59" s="790"/>
      <c r="D59" s="790"/>
      <c r="E59" s="790"/>
      <c r="F59" s="791"/>
      <c r="G59" s="825">
        <f>+G53-SUM(G55:H57)</f>
        <v>1178047</v>
      </c>
      <c r="H59" s="826"/>
      <c r="J59" s="827" t="s">
        <v>169</v>
      </c>
      <c r="K59" s="828"/>
      <c r="L59" s="828"/>
      <c r="M59" s="828"/>
      <c r="N59" s="828"/>
      <c r="O59" s="829"/>
    </row>
    <row r="60" spans="1:18" ht="13.5" thickBot="1" x14ac:dyDescent="0.25">
      <c r="B60" s="49"/>
      <c r="C60" s="50"/>
      <c r="D60" s="50"/>
      <c r="E60" s="50"/>
      <c r="F60" s="50"/>
      <c r="G60" s="45"/>
      <c r="H60" s="50"/>
      <c r="J60" s="129"/>
      <c r="K60" s="130"/>
      <c r="L60" s="130"/>
      <c r="M60" s="130"/>
      <c r="N60" s="130"/>
      <c r="O60" s="131"/>
    </row>
    <row r="61" spans="1:18" ht="13.5" thickBot="1" x14ac:dyDescent="0.25">
      <c r="B61" s="789" t="s">
        <v>170</v>
      </c>
      <c r="C61" s="790"/>
      <c r="D61" s="790"/>
      <c r="E61" s="790"/>
      <c r="F61" s="791"/>
      <c r="G61" s="805"/>
      <c r="H61" s="791"/>
      <c r="J61" s="129"/>
      <c r="K61" s="130"/>
      <c r="L61" s="130"/>
      <c r="M61" s="130"/>
      <c r="N61" s="130"/>
      <c r="O61" s="131"/>
    </row>
    <row r="62" spans="1:18" ht="12.75" customHeight="1" x14ac:dyDescent="0.2">
      <c r="B62" s="57" t="s">
        <v>171</v>
      </c>
      <c r="C62" s="806" t="s">
        <v>172</v>
      </c>
      <c r="D62" s="807"/>
      <c r="E62" s="807"/>
      <c r="F62" s="808"/>
      <c r="G62" s="809">
        <v>0</v>
      </c>
      <c r="H62" s="809"/>
      <c r="I62" s="58"/>
      <c r="J62" s="810" t="s">
        <v>173</v>
      </c>
      <c r="K62" s="811"/>
      <c r="L62" s="811"/>
      <c r="M62" s="811"/>
      <c r="N62" s="811"/>
      <c r="O62" s="812"/>
      <c r="Q62" s="59"/>
      <c r="R62" s="59"/>
    </row>
    <row r="63" spans="1:18" ht="13.5" thickBot="1" x14ac:dyDescent="0.25">
      <c r="D63" s="37"/>
      <c r="I63" s="58"/>
      <c r="J63" s="60" t="s">
        <v>254</v>
      </c>
      <c r="K63" s="132"/>
      <c r="L63" s="132"/>
      <c r="M63" s="133"/>
      <c r="N63" s="133"/>
      <c r="O63" s="134"/>
      <c r="Q63" s="59"/>
      <c r="R63" s="59"/>
    </row>
    <row r="64" spans="1:18" ht="13.5" thickBot="1" x14ac:dyDescent="0.25">
      <c r="B64" s="789" t="s">
        <v>175</v>
      </c>
      <c r="C64" s="790"/>
      <c r="D64" s="790"/>
      <c r="E64" s="790"/>
      <c r="F64" s="791"/>
      <c r="G64" s="805">
        <f>+G59-G62</f>
        <v>1178047</v>
      </c>
      <c r="H64" s="791"/>
      <c r="I64" s="63"/>
      <c r="J64" s="64"/>
      <c r="K64" s="39"/>
      <c r="L64" s="39"/>
      <c r="M64" s="39"/>
      <c r="N64" s="39"/>
      <c r="O64" s="65"/>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6.25" customHeight="1" thickBot="1" x14ac:dyDescent="0.25">
      <c r="B67" s="66"/>
      <c r="C67" s="48"/>
      <c r="G67" s="70" t="s">
        <v>177</v>
      </c>
      <c r="H67" s="70" t="s">
        <v>178</v>
      </c>
      <c r="I67" s="63"/>
      <c r="J67" s="810" t="s">
        <v>179</v>
      </c>
      <c r="K67" s="811"/>
      <c r="L67" s="71"/>
      <c r="M67" s="71"/>
      <c r="N67" s="71"/>
      <c r="O67" s="72"/>
      <c r="Q67" s="59"/>
      <c r="R67" s="59"/>
    </row>
    <row r="68" spans="2:18" ht="12.75" customHeight="1" x14ac:dyDescent="0.2">
      <c r="B68" s="802" t="s">
        <v>180</v>
      </c>
      <c r="C68" s="821" t="s">
        <v>181</v>
      </c>
      <c r="D68" s="823" t="s">
        <v>182</v>
      </c>
      <c r="E68" s="824"/>
      <c r="F68" s="824"/>
      <c r="G68" s="73">
        <f>+O43</f>
        <v>240000</v>
      </c>
      <c r="H68" s="74">
        <f t="shared" ref="H68:H76" si="5">+G68</f>
        <v>240000</v>
      </c>
      <c r="I68" s="63"/>
      <c r="J68" s="75" t="s">
        <v>231</v>
      </c>
      <c r="K68" s="58"/>
      <c r="L68" s="58"/>
      <c r="M68" s="58"/>
      <c r="N68" s="58"/>
      <c r="O68" s="76">
        <v>21720</v>
      </c>
      <c r="Q68" s="59"/>
      <c r="R68" s="59"/>
    </row>
    <row r="69" spans="2:18" ht="12.75" customHeight="1" x14ac:dyDescent="0.2">
      <c r="B69" s="803"/>
      <c r="C69" s="822"/>
      <c r="D69" s="782" t="s">
        <v>184</v>
      </c>
      <c r="E69" s="783"/>
      <c r="F69" s="783"/>
      <c r="G69" s="77">
        <f>O47</f>
        <v>21312</v>
      </c>
      <c r="H69" s="78">
        <f t="shared" si="5"/>
        <v>21312</v>
      </c>
      <c r="I69" s="63"/>
      <c r="J69" s="79"/>
      <c r="K69" s="68"/>
      <c r="L69" s="68"/>
      <c r="M69" s="68"/>
      <c r="N69" s="68"/>
      <c r="O69" s="69"/>
      <c r="Q69" s="59"/>
      <c r="R69" s="59"/>
    </row>
    <row r="70" spans="2:18" ht="12.75" customHeight="1" x14ac:dyDescent="0.2">
      <c r="B70" s="803"/>
      <c r="C70" s="822"/>
      <c r="D70" s="819" t="s">
        <v>185</v>
      </c>
      <c r="E70" s="820"/>
      <c r="F70" s="820"/>
      <c r="G70" s="80">
        <f>O40</f>
        <v>720</v>
      </c>
      <c r="H70" s="78">
        <f t="shared" si="5"/>
        <v>720</v>
      </c>
      <c r="I70" s="63"/>
      <c r="J70" s="67"/>
      <c r="K70" s="68"/>
      <c r="L70" s="68"/>
      <c r="M70" s="68"/>
      <c r="N70" s="68"/>
      <c r="O70" s="69"/>
    </row>
    <row r="71" spans="2:18" x14ac:dyDescent="0.2">
      <c r="B71" s="803"/>
      <c r="C71" s="822"/>
      <c r="D71" s="782" t="s">
        <v>270</v>
      </c>
      <c r="E71" s="783"/>
      <c r="F71" s="783"/>
      <c r="G71" s="81">
        <v>4020</v>
      </c>
      <c r="H71" s="78">
        <f t="shared" si="5"/>
        <v>4020</v>
      </c>
      <c r="I71" s="63"/>
      <c r="J71" s="82" t="s">
        <v>187</v>
      </c>
      <c r="K71" s="71"/>
      <c r="L71" s="71"/>
      <c r="M71" s="71"/>
      <c r="N71" s="71"/>
      <c r="O71" s="72"/>
    </row>
    <row r="72" spans="2:18" ht="12.75" customHeight="1" x14ac:dyDescent="0.2">
      <c r="B72" s="803"/>
      <c r="C72" s="822"/>
      <c r="D72" s="784" t="s">
        <v>188</v>
      </c>
      <c r="E72" s="783"/>
      <c r="F72" s="783"/>
      <c r="G72" s="80">
        <v>0</v>
      </c>
      <c r="H72" s="78">
        <f t="shared" si="5"/>
        <v>0</v>
      </c>
      <c r="I72" s="63"/>
      <c r="J72" s="75" t="s">
        <v>189</v>
      </c>
      <c r="K72" s="50"/>
      <c r="L72" s="50"/>
      <c r="M72" s="50"/>
      <c r="N72" s="50"/>
      <c r="O72" s="83">
        <v>3900</v>
      </c>
    </row>
    <row r="73" spans="2:18" ht="14.25" customHeight="1" x14ac:dyDescent="0.2">
      <c r="B73" s="803"/>
      <c r="C73" s="822"/>
      <c r="D73" s="782" t="s">
        <v>190</v>
      </c>
      <c r="E73" s="783"/>
      <c r="F73" s="783"/>
      <c r="G73" s="84">
        <v>0</v>
      </c>
      <c r="H73" s="78">
        <f t="shared" si="5"/>
        <v>0</v>
      </c>
      <c r="I73" s="63"/>
      <c r="J73" s="64"/>
      <c r="K73" s="39"/>
      <c r="L73" s="39"/>
      <c r="M73" s="39"/>
      <c r="N73" s="39"/>
      <c r="O73" s="65"/>
    </row>
    <row r="74" spans="2:18" x14ac:dyDescent="0.2">
      <c r="B74" s="803"/>
      <c r="C74" s="822"/>
      <c r="D74" s="782" t="s">
        <v>191</v>
      </c>
      <c r="E74" s="783"/>
      <c r="F74" s="783"/>
      <c r="G74" s="81">
        <v>0</v>
      </c>
      <c r="H74" s="78">
        <f t="shared" si="5"/>
        <v>0</v>
      </c>
      <c r="I74" s="58"/>
      <c r="J74" s="150"/>
      <c r="K74" s="50"/>
      <c r="L74" s="50"/>
      <c r="M74" s="50"/>
      <c r="N74" s="50"/>
      <c r="O74" s="83"/>
    </row>
    <row r="75" spans="2:18" x14ac:dyDescent="0.2">
      <c r="B75" s="803"/>
      <c r="C75" s="88" t="s">
        <v>192</v>
      </c>
      <c r="D75" s="813" t="s">
        <v>193</v>
      </c>
      <c r="E75" s="814"/>
      <c r="F75" s="814"/>
      <c r="G75" s="80">
        <v>0</v>
      </c>
      <c r="H75" s="78">
        <f t="shared" si="5"/>
        <v>0</v>
      </c>
      <c r="I75" s="58"/>
      <c r="J75" s="79"/>
      <c r="K75" s="39"/>
      <c r="L75" s="39"/>
      <c r="M75" s="39"/>
      <c r="N75" s="39"/>
      <c r="O75" s="65"/>
    </row>
    <row r="76" spans="2:18" ht="13.5" customHeight="1" thickBot="1" x14ac:dyDescent="0.25">
      <c r="B76" s="803"/>
      <c r="C76" s="88" t="s">
        <v>194</v>
      </c>
      <c r="D76" s="815" t="s">
        <v>195</v>
      </c>
      <c r="E76" s="815"/>
      <c r="F76" s="815"/>
      <c r="G76" s="89">
        <v>0</v>
      </c>
      <c r="H76" s="90">
        <f t="shared" si="5"/>
        <v>0</v>
      </c>
      <c r="I76" s="63"/>
      <c r="J76" s="67"/>
      <c r="K76" s="68"/>
      <c r="L76" s="68"/>
      <c r="M76" s="91"/>
      <c r="N76" s="91"/>
      <c r="O76" s="92"/>
    </row>
    <row r="77" spans="2:18" ht="13.5" thickBot="1" x14ac:dyDescent="0.25">
      <c r="B77" s="803"/>
      <c r="C77" s="93"/>
      <c r="D77" s="94"/>
      <c r="E77" s="816" t="s">
        <v>117</v>
      </c>
      <c r="F77" s="817"/>
      <c r="G77" s="95">
        <f>SUM(G68:G76)</f>
        <v>266052</v>
      </c>
      <c r="H77" s="96">
        <f>IF(SUM(G68:G74)&lt;150000,SUM(G68:G74),150000)+IF(+G75&lt;20000,+G75,20000)</f>
        <v>150000</v>
      </c>
      <c r="I77" s="63"/>
      <c r="J77" s="140"/>
      <c r="K77" s="141"/>
      <c r="L77" s="141"/>
      <c r="M77" s="142"/>
      <c r="N77" s="142"/>
      <c r="O77" s="143"/>
    </row>
    <row r="78" spans="2:18" ht="12.75" customHeight="1" x14ac:dyDescent="0.2">
      <c r="B78" s="803"/>
      <c r="C78" s="100" t="s">
        <v>196</v>
      </c>
      <c r="D78" s="782" t="s">
        <v>187</v>
      </c>
      <c r="E78" s="783"/>
      <c r="F78" s="818"/>
      <c r="G78" s="73">
        <f>+O42</f>
        <v>0</v>
      </c>
      <c r="H78" s="101">
        <f>+IF(+G78&lt;25000,+G78,25000)</f>
        <v>0</v>
      </c>
      <c r="I78" s="87"/>
    </row>
    <row r="79" spans="2:18" x14ac:dyDescent="0.2">
      <c r="B79" s="803"/>
      <c r="C79" s="100" t="s">
        <v>197</v>
      </c>
      <c r="D79" s="784" t="s">
        <v>198</v>
      </c>
      <c r="E79" s="785"/>
      <c r="F79" s="786"/>
      <c r="G79" s="102"/>
      <c r="H79" s="103">
        <f>+IF(+G79&lt;40000,+G79,40000)</f>
        <v>0</v>
      </c>
      <c r="I79" s="63"/>
    </row>
    <row r="80" spans="2:18" x14ac:dyDescent="0.2">
      <c r="B80" s="803"/>
      <c r="C80" s="100" t="s">
        <v>199</v>
      </c>
      <c r="D80" s="784" t="s">
        <v>200</v>
      </c>
      <c r="E80" s="785"/>
      <c r="F80" s="786"/>
      <c r="G80" s="81"/>
      <c r="H80" s="104">
        <v>0</v>
      </c>
      <c r="I80" s="63"/>
    </row>
    <row r="81" spans="2:12" x14ac:dyDescent="0.2">
      <c r="B81" s="803"/>
      <c r="C81" s="100" t="s">
        <v>201</v>
      </c>
      <c r="D81" s="784" t="s">
        <v>202</v>
      </c>
      <c r="E81" s="785"/>
      <c r="F81" s="786"/>
      <c r="G81" s="81"/>
      <c r="H81" s="104">
        <v>0</v>
      </c>
      <c r="I81" s="63"/>
      <c r="J81" s="106"/>
    </row>
    <row r="82" spans="2:12" ht="13.5" thickBot="1" x14ac:dyDescent="0.25">
      <c r="B82" s="804"/>
      <c r="C82" s="100" t="s">
        <v>203</v>
      </c>
      <c r="D82" s="784" t="s">
        <v>204</v>
      </c>
      <c r="E82" s="785"/>
      <c r="F82" s="786"/>
      <c r="G82" s="102"/>
      <c r="H82" s="103">
        <f>+IF(+G82&lt;100000,+G82,10000)</f>
        <v>0</v>
      </c>
      <c r="I82" s="63"/>
    </row>
    <row r="83" spans="2:12" ht="13.5" thickBot="1" x14ac:dyDescent="0.25">
      <c r="B83" s="787" t="s">
        <v>205</v>
      </c>
      <c r="C83" s="788"/>
      <c r="D83" s="788"/>
      <c r="E83" s="788"/>
      <c r="F83" s="788"/>
      <c r="G83" s="107">
        <f>SUM(G78:G82)</f>
        <v>0</v>
      </c>
      <c r="H83" s="108">
        <f>SUM(H77:H82)</f>
        <v>150000</v>
      </c>
    </row>
    <row r="84" spans="2:12" ht="13.5" thickBot="1" x14ac:dyDescent="0.25"/>
    <row r="85" spans="2:12" ht="13.5" thickBot="1" x14ac:dyDescent="0.25">
      <c r="B85" s="789" t="s">
        <v>206</v>
      </c>
      <c r="C85" s="790"/>
      <c r="D85" s="790"/>
      <c r="E85" s="790"/>
      <c r="F85" s="791"/>
      <c r="G85" s="792">
        <f>+G64-H83</f>
        <v>1028047</v>
      </c>
      <c r="H85" s="791"/>
      <c r="J85" s="109">
        <f>C37+D37+E37+F37</f>
        <v>430377</v>
      </c>
      <c r="K85" s="16" t="s">
        <v>235</v>
      </c>
    </row>
    <row r="86" spans="2:12" x14ac:dyDescent="0.2">
      <c r="B86" s="110"/>
      <c r="F86" s="105"/>
      <c r="J86" s="109">
        <f>G37+H37+I37</f>
        <v>286356</v>
      </c>
      <c r="K86" s="16" t="s">
        <v>236</v>
      </c>
    </row>
    <row r="87" spans="2:12" x14ac:dyDescent="0.2">
      <c r="C87" s="793" t="s">
        <v>207</v>
      </c>
      <c r="D87" s="794"/>
      <c r="E87" s="111" t="s">
        <v>208</v>
      </c>
      <c r="F87" s="111" t="s">
        <v>209</v>
      </c>
      <c r="G87" s="111" t="s">
        <v>210</v>
      </c>
      <c r="H87" s="111" t="s">
        <v>211</v>
      </c>
      <c r="J87" s="206">
        <f>J37+K37+L37</f>
        <v>309766</v>
      </c>
      <c r="K87" s="47" t="s">
        <v>237</v>
      </c>
    </row>
    <row r="88" spans="2:12" x14ac:dyDescent="0.2">
      <c r="C88" s="795" t="str">
        <f>IF(I6="M","0          - 250000","0          -  250000")</f>
        <v>0          -  250000</v>
      </c>
      <c r="D88" s="796"/>
      <c r="E88" s="112">
        <v>0</v>
      </c>
      <c r="F88" s="113">
        <f>IF(I6="M",(IF(G85&lt;250000,G85,250000)),(IF(G85&lt;250000,G85,250000)))</f>
        <v>250000</v>
      </c>
      <c r="G88" s="113">
        <f>G85-F88</f>
        <v>778047</v>
      </c>
      <c r="H88" s="113">
        <f>E88*F88</f>
        <v>0</v>
      </c>
      <c r="J88" s="207">
        <f>M37+N37</f>
        <v>194048</v>
      </c>
      <c r="K88" s="1" t="s">
        <v>238</v>
      </c>
    </row>
    <row r="89" spans="2:12" x14ac:dyDescent="0.2">
      <c r="C89" s="795" t="str">
        <f>IF(I6="M","250001 - 500000","250001-500000")</f>
        <v>250001-500000</v>
      </c>
      <c r="D89" s="796"/>
      <c r="E89" s="112">
        <v>0.05</v>
      </c>
      <c r="F89" s="113">
        <f>IF(I6="M",(IF(G88&lt;250000,G88,250000)),(IF(G88&lt;250000,G88,250000)))</f>
        <v>250000</v>
      </c>
      <c r="G89" s="113">
        <f>G88-F89</f>
        <v>528047</v>
      </c>
      <c r="H89" s="114">
        <f>ROUND(E89*F89,0.1)</f>
        <v>12500</v>
      </c>
      <c r="J89" s="115">
        <f>SUM(J85:J88)</f>
        <v>1220547</v>
      </c>
    </row>
    <row r="90" spans="2:12" x14ac:dyDescent="0.2">
      <c r="C90" s="797" t="s">
        <v>212</v>
      </c>
      <c r="D90" s="798"/>
      <c r="E90" s="112">
        <v>0.2</v>
      </c>
      <c r="F90" s="113">
        <f>IF(G89&lt;500000,G89,500000)</f>
        <v>500000</v>
      </c>
      <c r="G90" s="113">
        <f>G89-F90</f>
        <v>28047</v>
      </c>
      <c r="H90" s="114">
        <f>ROUND(E90*F90,0.1)</f>
        <v>100000</v>
      </c>
      <c r="J90" s="16">
        <f>+G85</f>
        <v>1028047</v>
      </c>
    </row>
    <row r="91" spans="2:12" x14ac:dyDescent="0.2">
      <c r="C91" s="795" t="s">
        <v>213</v>
      </c>
      <c r="D91" s="796"/>
      <c r="E91" s="112">
        <v>0.3</v>
      </c>
      <c r="F91" s="113">
        <f>G90</f>
        <v>28047</v>
      </c>
      <c r="G91" s="113">
        <f>G90-F91</f>
        <v>0</v>
      </c>
      <c r="H91" s="114">
        <f>ROUND(E91*F91,0.1)</f>
        <v>8414</v>
      </c>
      <c r="J91" s="16">
        <f>+J89-J90</f>
        <v>192500</v>
      </c>
    </row>
    <row r="92" spans="2:12" ht="12.75" customHeight="1" thickBot="1" x14ac:dyDescent="0.25">
      <c r="B92" s="116"/>
      <c r="C92" s="117"/>
      <c r="D92" s="47"/>
      <c r="E92" s="47"/>
      <c r="F92" s="47"/>
    </row>
    <row r="93" spans="2:12" ht="13.5" thickBot="1" x14ac:dyDescent="0.25">
      <c r="B93" s="799" t="s">
        <v>239</v>
      </c>
      <c r="C93" s="800"/>
      <c r="D93" s="800"/>
      <c r="E93" s="800"/>
      <c r="F93" s="801"/>
      <c r="G93" s="771">
        <f>H88+H89+H90+H91</f>
        <v>120914</v>
      </c>
      <c r="H93" s="772"/>
    </row>
    <row r="94" spans="2:12" ht="13.5" thickBot="1" x14ac:dyDescent="0.25">
      <c r="B94" s="119" t="s">
        <v>215</v>
      </c>
      <c r="C94" s="120"/>
      <c r="D94" s="120"/>
      <c r="E94" s="120"/>
      <c r="F94" s="120"/>
      <c r="G94" s="884">
        <f>IF((G64&lt;500000),5000,0)</f>
        <v>0</v>
      </c>
      <c r="H94" s="885">
        <f>IF(H92&lt;200000,0,IF(H92&lt;220000,((H92-200000)*10%),IF(H92&lt;=500000,2000,IF(H92&gt;=500000,0))))</f>
        <v>0</v>
      </c>
      <c r="J94" s="1"/>
      <c r="K94" s="121"/>
      <c r="L94" s="121"/>
    </row>
    <row r="95" spans="2:12" ht="13.5" thickBot="1" x14ac:dyDescent="0.25">
      <c r="B95" s="122" t="s">
        <v>216</v>
      </c>
      <c r="C95" s="123"/>
      <c r="D95" s="123"/>
      <c r="E95" s="123"/>
      <c r="F95" s="123"/>
      <c r="G95" s="771">
        <f>IF((G93-G94)&lt;0,0,(G93-G94))</f>
        <v>120914</v>
      </c>
      <c r="H95" s="772"/>
      <c r="I95" s="37"/>
    </row>
    <row r="96" spans="2:12" ht="13.5" thickBot="1" x14ac:dyDescent="0.25">
      <c r="B96" s="773" t="s">
        <v>240</v>
      </c>
      <c r="C96" s="774"/>
      <c r="D96" s="774"/>
      <c r="E96" s="774"/>
      <c r="F96" s="775"/>
      <c r="G96" s="776">
        <f>ROUND((IF(G95&gt;0,(G95*4%),0)),0)</f>
        <v>4837</v>
      </c>
      <c r="H96" s="777"/>
      <c r="I96" s="37"/>
    </row>
    <row r="97" spans="2:9" ht="13.5" thickBot="1" x14ac:dyDescent="0.25">
      <c r="B97" s="778" t="s">
        <v>218</v>
      </c>
      <c r="C97" s="779"/>
      <c r="D97" s="779"/>
      <c r="E97" s="779"/>
      <c r="F97" s="779"/>
      <c r="G97" s="780">
        <f>G95+G96</f>
        <v>125751</v>
      </c>
      <c r="H97" s="781"/>
      <c r="I97" s="121"/>
    </row>
    <row r="98" spans="2:9" ht="13.5" thickBot="1" x14ac:dyDescent="0.25">
      <c r="B98" s="765" t="s">
        <v>219</v>
      </c>
      <c r="C98" s="766"/>
      <c r="D98" s="766"/>
      <c r="E98" s="766"/>
      <c r="F98" s="766"/>
      <c r="G98" s="767">
        <f>O38</f>
        <v>125758</v>
      </c>
      <c r="H98" s="768"/>
      <c r="I98" s="121"/>
    </row>
    <row r="99" spans="2:9" ht="13.5" thickBot="1" x14ac:dyDescent="0.25">
      <c r="B99" s="765" t="str">
        <f>IF(G99&gt;0,"TAX PAYABLE","TAX REFUND")</f>
        <v>TAX REFUND</v>
      </c>
      <c r="C99" s="766"/>
      <c r="D99" s="766"/>
      <c r="E99" s="766"/>
      <c r="F99" s="766"/>
      <c r="G99" s="767">
        <f>+G97-G98</f>
        <v>-7</v>
      </c>
      <c r="H99" s="768"/>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0:F90 B99:F99 B93:F97">
    <cfRule type="cellIs" dxfId="367" priority="3" stopIfTrue="1" operator="equal">
      <formula>"TAX PAYABLE"</formula>
    </cfRule>
    <cfRule type="cellIs" dxfId="366" priority="4" stopIfTrue="1" operator="equal">
      <formula>"TAX REFUND"</formula>
    </cfRule>
  </conditionalFormatting>
  <conditionalFormatting sqref="G90:H90">
    <cfRule type="cellIs" dxfId="365" priority="5" stopIfTrue="1" operator="lessThan">
      <formula>0</formula>
    </cfRule>
    <cfRule type="cellIs" dxfId="364" priority="6" stopIfTrue="1" operator="greaterThan">
      <formula>0</formula>
    </cfRule>
  </conditionalFormatting>
  <conditionalFormatting sqref="G99:H99">
    <cfRule type="cellIs" dxfId="363" priority="1" stopIfTrue="1" operator="greaterThan">
      <formula>0</formula>
    </cfRule>
    <cfRule type="cellIs" dxfId="362"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8"/>
  <sheetViews>
    <sheetView topLeftCell="A62" workbookViewId="0">
      <selection activeCell="H69" sqref="H69"/>
    </sheetView>
  </sheetViews>
  <sheetFormatPr defaultRowHeight="12.75" x14ac:dyDescent="0.2"/>
  <cols>
    <col min="1" max="1" width="5" style="16" customWidth="1"/>
    <col min="2" max="2" width="18.7109375" style="37" customWidth="1"/>
    <col min="3" max="3" width="8.7109375" style="16" customWidth="1"/>
    <col min="4" max="4" width="6.7109375" style="16" bestFit="1" customWidth="1"/>
    <col min="5" max="5" width="8.5703125" style="16" bestFit="1" customWidth="1"/>
    <col min="6" max="6" width="10.140625" style="16" customWidth="1"/>
    <col min="7" max="8" width="8.5703125" style="16" customWidth="1"/>
    <col min="9" max="14" width="7.42578125" style="16" customWidth="1"/>
    <col min="15" max="15" width="8"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8.7109375" style="16" customWidth="1"/>
    <col min="259" max="259" width="8.7109375" style="16" customWidth="1"/>
    <col min="260" max="260" width="6.7109375" style="16" bestFit="1" customWidth="1"/>
    <col min="261" max="261" width="8.5703125" style="16" bestFit="1" customWidth="1"/>
    <col min="262" max="262" width="10.140625" style="16" customWidth="1"/>
    <col min="263" max="264" width="8.5703125" style="16" customWidth="1"/>
    <col min="265" max="270" width="7.42578125" style="16" customWidth="1"/>
    <col min="271" max="271" width="8"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8.7109375" style="16" customWidth="1"/>
    <col min="515" max="515" width="8.7109375" style="16" customWidth="1"/>
    <col min="516" max="516" width="6.7109375" style="16" bestFit="1" customWidth="1"/>
    <col min="517" max="517" width="8.5703125" style="16" bestFit="1" customWidth="1"/>
    <col min="518" max="518" width="10.140625" style="16" customWidth="1"/>
    <col min="519" max="520" width="8.5703125" style="16" customWidth="1"/>
    <col min="521" max="526" width="7.42578125" style="16" customWidth="1"/>
    <col min="527" max="527" width="8"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8.7109375" style="16" customWidth="1"/>
    <col min="771" max="771" width="8.7109375" style="16" customWidth="1"/>
    <col min="772" max="772" width="6.7109375" style="16" bestFit="1" customWidth="1"/>
    <col min="773" max="773" width="8.5703125" style="16" bestFit="1" customWidth="1"/>
    <col min="774" max="774" width="10.140625" style="16" customWidth="1"/>
    <col min="775" max="776" width="8.5703125" style="16" customWidth="1"/>
    <col min="777" max="782" width="7.42578125" style="16" customWidth="1"/>
    <col min="783" max="783" width="8"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8.7109375" style="16" customWidth="1"/>
    <col min="1027" max="1027" width="8.7109375" style="16" customWidth="1"/>
    <col min="1028" max="1028" width="6.7109375" style="16" bestFit="1" customWidth="1"/>
    <col min="1029" max="1029" width="8.5703125" style="16" bestFit="1" customWidth="1"/>
    <col min="1030" max="1030" width="10.140625" style="16" customWidth="1"/>
    <col min="1031" max="1032" width="8.5703125" style="16" customWidth="1"/>
    <col min="1033" max="1038" width="7.42578125" style="16" customWidth="1"/>
    <col min="1039" max="1039" width="8"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8.7109375" style="16" customWidth="1"/>
    <col min="1283" max="1283" width="8.7109375" style="16" customWidth="1"/>
    <col min="1284" max="1284" width="6.7109375" style="16" bestFit="1" customWidth="1"/>
    <col min="1285" max="1285" width="8.5703125" style="16" bestFit="1" customWidth="1"/>
    <col min="1286" max="1286" width="10.140625" style="16" customWidth="1"/>
    <col min="1287" max="1288" width="8.5703125" style="16" customWidth="1"/>
    <col min="1289" max="1294" width="7.42578125" style="16" customWidth="1"/>
    <col min="1295" max="1295" width="8"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8.7109375" style="16" customWidth="1"/>
    <col min="1539" max="1539" width="8.7109375" style="16" customWidth="1"/>
    <col min="1540" max="1540" width="6.7109375" style="16" bestFit="1" customWidth="1"/>
    <col min="1541" max="1541" width="8.5703125" style="16" bestFit="1" customWidth="1"/>
    <col min="1542" max="1542" width="10.140625" style="16" customWidth="1"/>
    <col min="1543" max="1544" width="8.5703125" style="16" customWidth="1"/>
    <col min="1545" max="1550" width="7.42578125" style="16" customWidth="1"/>
    <col min="1551" max="1551" width="8"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8.7109375" style="16" customWidth="1"/>
    <col min="1795" max="1795" width="8.7109375" style="16" customWidth="1"/>
    <col min="1796" max="1796" width="6.7109375" style="16" bestFit="1" customWidth="1"/>
    <col min="1797" max="1797" width="8.5703125" style="16" bestFit="1" customWidth="1"/>
    <col min="1798" max="1798" width="10.140625" style="16" customWidth="1"/>
    <col min="1799" max="1800" width="8.5703125" style="16" customWidth="1"/>
    <col min="1801" max="1806" width="7.42578125" style="16" customWidth="1"/>
    <col min="1807" max="1807" width="8"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8.7109375" style="16" customWidth="1"/>
    <col min="2051" max="2051" width="8.7109375" style="16" customWidth="1"/>
    <col min="2052" max="2052" width="6.7109375" style="16" bestFit="1" customWidth="1"/>
    <col min="2053" max="2053" width="8.5703125" style="16" bestFit="1" customWidth="1"/>
    <col min="2054" max="2054" width="10.140625" style="16" customWidth="1"/>
    <col min="2055" max="2056" width="8.5703125" style="16" customWidth="1"/>
    <col min="2057" max="2062" width="7.42578125" style="16" customWidth="1"/>
    <col min="2063" max="2063" width="8"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8.7109375" style="16" customWidth="1"/>
    <col min="2307" max="2307" width="8.7109375" style="16" customWidth="1"/>
    <col min="2308" max="2308" width="6.7109375" style="16" bestFit="1" customWidth="1"/>
    <col min="2309" max="2309" width="8.5703125" style="16" bestFit="1" customWidth="1"/>
    <col min="2310" max="2310" width="10.140625" style="16" customWidth="1"/>
    <col min="2311" max="2312" width="8.5703125" style="16" customWidth="1"/>
    <col min="2313" max="2318" width="7.42578125" style="16" customWidth="1"/>
    <col min="2319" max="2319" width="8"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8.7109375" style="16" customWidth="1"/>
    <col min="2563" max="2563" width="8.7109375" style="16" customWidth="1"/>
    <col min="2564" max="2564" width="6.7109375" style="16" bestFit="1" customWidth="1"/>
    <col min="2565" max="2565" width="8.5703125" style="16" bestFit="1" customWidth="1"/>
    <col min="2566" max="2566" width="10.140625" style="16" customWidth="1"/>
    <col min="2567" max="2568" width="8.5703125" style="16" customWidth="1"/>
    <col min="2569" max="2574" width="7.42578125" style="16" customWidth="1"/>
    <col min="2575" max="2575" width="8"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8.7109375" style="16" customWidth="1"/>
    <col min="2819" max="2819" width="8.7109375" style="16" customWidth="1"/>
    <col min="2820" max="2820" width="6.7109375" style="16" bestFit="1" customWidth="1"/>
    <col min="2821" max="2821" width="8.5703125" style="16" bestFit="1" customWidth="1"/>
    <col min="2822" max="2822" width="10.140625" style="16" customWidth="1"/>
    <col min="2823" max="2824" width="8.5703125" style="16" customWidth="1"/>
    <col min="2825" max="2830" width="7.42578125" style="16" customWidth="1"/>
    <col min="2831" max="2831" width="8"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8.7109375" style="16" customWidth="1"/>
    <col min="3075" max="3075" width="8.7109375" style="16" customWidth="1"/>
    <col min="3076" max="3076" width="6.7109375" style="16" bestFit="1" customWidth="1"/>
    <col min="3077" max="3077" width="8.5703125" style="16" bestFit="1" customWidth="1"/>
    <col min="3078" max="3078" width="10.140625" style="16" customWidth="1"/>
    <col min="3079" max="3080" width="8.5703125" style="16" customWidth="1"/>
    <col min="3081" max="3086" width="7.42578125" style="16" customWidth="1"/>
    <col min="3087" max="3087" width="8"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8.7109375" style="16" customWidth="1"/>
    <col min="3331" max="3331" width="8.7109375" style="16" customWidth="1"/>
    <col min="3332" max="3332" width="6.7109375" style="16" bestFit="1" customWidth="1"/>
    <col min="3333" max="3333" width="8.5703125" style="16" bestFit="1" customWidth="1"/>
    <col min="3334" max="3334" width="10.140625" style="16" customWidth="1"/>
    <col min="3335" max="3336" width="8.5703125" style="16" customWidth="1"/>
    <col min="3337" max="3342" width="7.42578125" style="16" customWidth="1"/>
    <col min="3343" max="3343" width="8"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8.7109375" style="16" customWidth="1"/>
    <col min="3587" max="3587" width="8.7109375" style="16" customWidth="1"/>
    <col min="3588" max="3588" width="6.7109375" style="16" bestFit="1" customWidth="1"/>
    <col min="3589" max="3589" width="8.5703125" style="16" bestFit="1" customWidth="1"/>
    <col min="3590" max="3590" width="10.140625" style="16" customWidth="1"/>
    <col min="3591" max="3592" width="8.5703125" style="16" customWidth="1"/>
    <col min="3593" max="3598" width="7.42578125" style="16" customWidth="1"/>
    <col min="3599" max="3599" width="8"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8.7109375" style="16" customWidth="1"/>
    <col min="3843" max="3843" width="8.7109375" style="16" customWidth="1"/>
    <col min="3844" max="3844" width="6.7109375" style="16" bestFit="1" customWidth="1"/>
    <col min="3845" max="3845" width="8.5703125" style="16" bestFit="1" customWidth="1"/>
    <col min="3846" max="3846" width="10.140625" style="16" customWidth="1"/>
    <col min="3847" max="3848" width="8.5703125" style="16" customWidth="1"/>
    <col min="3849" max="3854" width="7.42578125" style="16" customWidth="1"/>
    <col min="3855" max="3855" width="8"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8.7109375" style="16" customWidth="1"/>
    <col min="4099" max="4099" width="8.7109375" style="16" customWidth="1"/>
    <col min="4100" max="4100" width="6.7109375" style="16" bestFit="1" customWidth="1"/>
    <col min="4101" max="4101" width="8.5703125" style="16" bestFit="1" customWidth="1"/>
    <col min="4102" max="4102" width="10.140625" style="16" customWidth="1"/>
    <col min="4103" max="4104" width="8.5703125" style="16" customWidth="1"/>
    <col min="4105" max="4110" width="7.42578125" style="16" customWidth="1"/>
    <col min="4111" max="4111" width="8"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8.7109375" style="16" customWidth="1"/>
    <col min="4355" max="4355" width="8.7109375" style="16" customWidth="1"/>
    <col min="4356" max="4356" width="6.7109375" style="16" bestFit="1" customWidth="1"/>
    <col min="4357" max="4357" width="8.5703125" style="16" bestFit="1" customWidth="1"/>
    <col min="4358" max="4358" width="10.140625" style="16" customWidth="1"/>
    <col min="4359" max="4360" width="8.5703125" style="16" customWidth="1"/>
    <col min="4361" max="4366" width="7.42578125" style="16" customWidth="1"/>
    <col min="4367" max="4367" width="8"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8.7109375" style="16" customWidth="1"/>
    <col min="4611" max="4611" width="8.7109375" style="16" customWidth="1"/>
    <col min="4612" max="4612" width="6.7109375" style="16" bestFit="1" customWidth="1"/>
    <col min="4613" max="4613" width="8.5703125" style="16" bestFit="1" customWidth="1"/>
    <col min="4614" max="4614" width="10.140625" style="16" customWidth="1"/>
    <col min="4615" max="4616" width="8.5703125" style="16" customWidth="1"/>
    <col min="4617" max="4622" width="7.42578125" style="16" customWidth="1"/>
    <col min="4623" max="4623" width="8"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8.7109375" style="16" customWidth="1"/>
    <col min="4867" max="4867" width="8.7109375" style="16" customWidth="1"/>
    <col min="4868" max="4868" width="6.7109375" style="16" bestFit="1" customWidth="1"/>
    <col min="4869" max="4869" width="8.5703125" style="16" bestFit="1" customWidth="1"/>
    <col min="4870" max="4870" width="10.140625" style="16" customWidth="1"/>
    <col min="4871" max="4872" width="8.5703125" style="16" customWidth="1"/>
    <col min="4873" max="4878" width="7.42578125" style="16" customWidth="1"/>
    <col min="4879" max="4879" width="8"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8.7109375" style="16" customWidth="1"/>
    <col min="5123" max="5123" width="8.7109375" style="16" customWidth="1"/>
    <col min="5124" max="5124" width="6.7109375" style="16" bestFit="1" customWidth="1"/>
    <col min="5125" max="5125" width="8.5703125" style="16" bestFit="1" customWidth="1"/>
    <col min="5126" max="5126" width="10.140625" style="16" customWidth="1"/>
    <col min="5127" max="5128" width="8.5703125" style="16" customWidth="1"/>
    <col min="5129" max="5134" width="7.42578125" style="16" customWidth="1"/>
    <col min="5135" max="5135" width="8"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8.7109375" style="16" customWidth="1"/>
    <col min="5379" max="5379" width="8.7109375" style="16" customWidth="1"/>
    <col min="5380" max="5380" width="6.7109375" style="16" bestFit="1" customWidth="1"/>
    <col min="5381" max="5381" width="8.5703125" style="16" bestFit="1" customWidth="1"/>
    <col min="5382" max="5382" width="10.140625" style="16" customWidth="1"/>
    <col min="5383" max="5384" width="8.5703125" style="16" customWidth="1"/>
    <col min="5385" max="5390" width="7.42578125" style="16" customWidth="1"/>
    <col min="5391" max="5391" width="8"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8.7109375" style="16" customWidth="1"/>
    <col min="5635" max="5635" width="8.7109375" style="16" customWidth="1"/>
    <col min="5636" max="5636" width="6.7109375" style="16" bestFit="1" customWidth="1"/>
    <col min="5637" max="5637" width="8.5703125" style="16" bestFit="1" customWidth="1"/>
    <col min="5638" max="5638" width="10.140625" style="16" customWidth="1"/>
    <col min="5639" max="5640" width="8.5703125" style="16" customWidth="1"/>
    <col min="5641" max="5646" width="7.42578125" style="16" customWidth="1"/>
    <col min="5647" max="5647" width="8"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8.7109375" style="16" customWidth="1"/>
    <col min="5891" max="5891" width="8.7109375" style="16" customWidth="1"/>
    <col min="5892" max="5892" width="6.7109375" style="16" bestFit="1" customWidth="1"/>
    <col min="5893" max="5893" width="8.5703125" style="16" bestFit="1" customWidth="1"/>
    <col min="5894" max="5894" width="10.140625" style="16" customWidth="1"/>
    <col min="5895" max="5896" width="8.5703125" style="16" customWidth="1"/>
    <col min="5897" max="5902" width="7.42578125" style="16" customWidth="1"/>
    <col min="5903" max="5903" width="8"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8.7109375" style="16" customWidth="1"/>
    <col min="6147" max="6147" width="8.7109375" style="16" customWidth="1"/>
    <col min="6148" max="6148" width="6.7109375" style="16" bestFit="1" customWidth="1"/>
    <col min="6149" max="6149" width="8.5703125" style="16" bestFit="1" customWidth="1"/>
    <col min="6150" max="6150" width="10.140625" style="16" customWidth="1"/>
    <col min="6151" max="6152" width="8.5703125" style="16" customWidth="1"/>
    <col min="6153" max="6158" width="7.42578125" style="16" customWidth="1"/>
    <col min="6159" max="6159" width="8"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8.7109375" style="16" customWidth="1"/>
    <col min="6403" max="6403" width="8.7109375" style="16" customWidth="1"/>
    <col min="6404" max="6404" width="6.7109375" style="16" bestFit="1" customWidth="1"/>
    <col min="6405" max="6405" width="8.5703125" style="16" bestFit="1" customWidth="1"/>
    <col min="6406" max="6406" width="10.140625" style="16" customWidth="1"/>
    <col min="6407" max="6408" width="8.5703125" style="16" customWidth="1"/>
    <col min="6409" max="6414" width="7.42578125" style="16" customWidth="1"/>
    <col min="6415" max="6415" width="8"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8.7109375" style="16" customWidth="1"/>
    <col min="6659" max="6659" width="8.7109375" style="16" customWidth="1"/>
    <col min="6660" max="6660" width="6.7109375" style="16" bestFit="1" customWidth="1"/>
    <col min="6661" max="6661" width="8.5703125" style="16" bestFit="1" customWidth="1"/>
    <col min="6662" max="6662" width="10.140625" style="16" customWidth="1"/>
    <col min="6663" max="6664" width="8.5703125" style="16" customWidth="1"/>
    <col min="6665" max="6670" width="7.42578125" style="16" customWidth="1"/>
    <col min="6671" max="6671" width="8"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8.7109375" style="16" customWidth="1"/>
    <col min="6915" max="6915" width="8.7109375" style="16" customWidth="1"/>
    <col min="6916" max="6916" width="6.7109375" style="16" bestFit="1" customWidth="1"/>
    <col min="6917" max="6917" width="8.5703125" style="16" bestFit="1" customWidth="1"/>
    <col min="6918" max="6918" width="10.140625" style="16" customWidth="1"/>
    <col min="6919" max="6920" width="8.5703125" style="16" customWidth="1"/>
    <col min="6921" max="6926" width="7.42578125" style="16" customWidth="1"/>
    <col min="6927" max="6927" width="8"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8.7109375" style="16" customWidth="1"/>
    <col min="7171" max="7171" width="8.7109375" style="16" customWidth="1"/>
    <col min="7172" max="7172" width="6.7109375" style="16" bestFit="1" customWidth="1"/>
    <col min="7173" max="7173" width="8.5703125" style="16" bestFit="1" customWidth="1"/>
    <col min="7174" max="7174" width="10.140625" style="16" customWidth="1"/>
    <col min="7175" max="7176" width="8.5703125" style="16" customWidth="1"/>
    <col min="7177" max="7182" width="7.42578125" style="16" customWidth="1"/>
    <col min="7183" max="7183" width="8"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8.7109375" style="16" customWidth="1"/>
    <col min="7427" max="7427" width="8.7109375" style="16" customWidth="1"/>
    <col min="7428" max="7428" width="6.7109375" style="16" bestFit="1" customWidth="1"/>
    <col min="7429" max="7429" width="8.5703125" style="16" bestFit="1" customWidth="1"/>
    <col min="7430" max="7430" width="10.140625" style="16" customWidth="1"/>
    <col min="7431" max="7432" width="8.5703125" style="16" customWidth="1"/>
    <col min="7433" max="7438" width="7.42578125" style="16" customWidth="1"/>
    <col min="7439" max="7439" width="8"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8.7109375" style="16" customWidth="1"/>
    <col min="7683" max="7683" width="8.7109375" style="16" customWidth="1"/>
    <col min="7684" max="7684" width="6.7109375" style="16" bestFit="1" customWidth="1"/>
    <col min="7685" max="7685" width="8.5703125" style="16" bestFit="1" customWidth="1"/>
    <col min="7686" max="7686" width="10.140625" style="16" customWidth="1"/>
    <col min="7687" max="7688" width="8.5703125" style="16" customWidth="1"/>
    <col min="7689" max="7694" width="7.42578125" style="16" customWidth="1"/>
    <col min="7695" max="7695" width="8"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8.7109375" style="16" customWidth="1"/>
    <col min="7939" max="7939" width="8.7109375" style="16" customWidth="1"/>
    <col min="7940" max="7940" width="6.7109375" style="16" bestFit="1" customWidth="1"/>
    <col min="7941" max="7941" width="8.5703125" style="16" bestFit="1" customWidth="1"/>
    <col min="7942" max="7942" width="10.140625" style="16" customWidth="1"/>
    <col min="7943" max="7944" width="8.5703125" style="16" customWidth="1"/>
    <col min="7945" max="7950" width="7.42578125" style="16" customWidth="1"/>
    <col min="7951" max="7951" width="8"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8.7109375" style="16" customWidth="1"/>
    <col min="8195" max="8195" width="8.7109375" style="16" customWidth="1"/>
    <col min="8196" max="8196" width="6.7109375" style="16" bestFit="1" customWidth="1"/>
    <col min="8197" max="8197" width="8.5703125" style="16" bestFit="1" customWidth="1"/>
    <col min="8198" max="8198" width="10.140625" style="16" customWidth="1"/>
    <col min="8199" max="8200" width="8.5703125" style="16" customWidth="1"/>
    <col min="8201" max="8206" width="7.42578125" style="16" customWidth="1"/>
    <col min="8207" max="8207" width="8"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8.7109375" style="16" customWidth="1"/>
    <col min="8451" max="8451" width="8.7109375" style="16" customWidth="1"/>
    <col min="8452" max="8452" width="6.7109375" style="16" bestFit="1" customWidth="1"/>
    <col min="8453" max="8453" width="8.5703125" style="16" bestFit="1" customWidth="1"/>
    <col min="8454" max="8454" width="10.140625" style="16" customWidth="1"/>
    <col min="8455" max="8456" width="8.5703125" style="16" customWidth="1"/>
    <col min="8457" max="8462" width="7.42578125" style="16" customWidth="1"/>
    <col min="8463" max="8463" width="8"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8.7109375" style="16" customWidth="1"/>
    <col min="8707" max="8707" width="8.7109375" style="16" customWidth="1"/>
    <col min="8708" max="8708" width="6.7109375" style="16" bestFit="1" customWidth="1"/>
    <col min="8709" max="8709" width="8.5703125" style="16" bestFit="1" customWidth="1"/>
    <col min="8710" max="8710" width="10.140625" style="16" customWidth="1"/>
    <col min="8711" max="8712" width="8.5703125" style="16" customWidth="1"/>
    <col min="8713" max="8718" width="7.42578125" style="16" customWidth="1"/>
    <col min="8719" max="8719" width="8"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8.7109375" style="16" customWidth="1"/>
    <col min="8963" max="8963" width="8.7109375" style="16" customWidth="1"/>
    <col min="8964" max="8964" width="6.7109375" style="16" bestFit="1" customWidth="1"/>
    <col min="8965" max="8965" width="8.5703125" style="16" bestFit="1" customWidth="1"/>
    <col min="8966" max="8966" width="10.140625" style="16" customWidth="1"/>
    <col min="8967" max="8968" width="8.5703125" style="16" customWidth="1"/>
    <col min="8969" max="8974" width="7.42578125" style="16" customWidth="1"/>
    <col min="8975" max="8975" width="8"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8.7109375" style="16" customWidth="1"/>
    <col min="9219" max="9219" width="8.7109375" style="16" customWidth="1"/>
    <col min="9220" max="9220" width="6.7109375" style="16" bestFit="1" customWidth="1"/>
    <col min="9221" max="9221" width="8.5703125" style="16" bestFit="1" customWidth="1"/>
    <col min="9222" max="9222" width="10.140625" style="16" customWidth="1"/>
    <col min="9223" max="9224" width="8.5703125" style="16" customWidth="1"/>
    <col min="9225" max="9230" width="7.42578125" style="16" customWidth="1"/>
    <col min="9231" max="9231" width="8"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8.7109375" style="16" customWidth="1"/>
    <col min="9475" max="9475" width="8.7109375" style="16" customWidth="1"/>
    <col min="9476" max="9476" width="6.7109375" style="16" bestFit="1" customWidth="1"/>
    <col min="9477" max="9477" width="8.5703125" style="16" bestFit="1" customWidth="1"/>
    <col min="9478" max="9478" width="10.140625" style="16" customWidth="1"/>
    <col min="9479" max="9480" width="8.5703125" style="16" customWidth="1"/>
    <col min="9481" max="9486" width="7.42578125" style="16" customWidth="1"/>
    <col min="9487" max="9487" width="8"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8.7109375" style="16" customWidth="1"/>
    <col min="9731" max="9731" width="8.7109375" style="16" customWidth="1"/>
    <col min="9732" max="9732" width="6.7109375" style="16" bestFit="1" customWidth="1"/>
    <col min="9733" max="9733" width="8.5703125" style="16" bestFit="1" customWidth="1"/>
    <col min="9734" max="9734" width="10.140625" style="16" customWidth="1"/>
    <col min="9735" max="9736" width="8.5703125" style="16" customWidth="1"/>
    <col min="9737" max="9742" width="7.42578125" style="16" customWidth="1"/>
    <col min="9743" max="9743" width="8"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8.7109375" style="16" customWidth="1"/>
    <col min="9987" max="9987" width="8.7109375" style="16" customWidth="1"/>
    <col min="9988" max="9988" width="6.7109375" style="16" bestFit="1" customWidth="1"/>
    <col min="9989" max="9989" width="8.5703125" style="16" bestFit="1" customWidth="1"/>
    <col min="9990" max="9990" width="10.140625" style="16" customWidth="1"/>
    <col min="9991" max="9992" width="8.5703125" style="16" customWidth="1"/>
    <col min="9993" max="9998" width="7.42578125" style="16" customWidth="1"/>
    <col min="9999" max="9999" width="8"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8.7109375" style="16" customWidth="1"/>
    <col min="10243" max="10243" width="8.7109375" style="16" customWidth="1"/>
    <col min="10244" max="10244" width="6.7109375" style="16" bestFit="1" customWidth="1"/>
    <col min="10245" max="10245" width="8.5703125" style="16" bestFit="1" customWidth="1"/>
    <col min="10246" max="10246" width="10.140625" style="16" customWidth="1"/>
    <col min="10247" max="10248" width="8.5703125" style="16" customWidth="1"/>
    <col min="10249" max="10254" width="7.42578125" style="16" customWidth="1"/>
    <col min="10255" max="10255" width="8"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8.7109375" style="16" customWidth="1"/>
    <col min="10499" max="10499" width="8.7109375" style="16" customWidth="1"/>
    <col min="10500" max="10500" width="6.7109375" style="16" bestFit="1" customWidth="1"/>
    <col min="10501" max="10501" width="8.5703125" style="16" bestFit="1" customWidth="1"/>
    <col min="10502" max="10502" width="10.140625" style="16" customWidth="1"/>
    <col min="10503" max="10504" width="8.5703125" style="16" customWidth="1"/>
    <col min="10505" max="10510" width="7.42578125" style="16" customWidth="1"/>
    <col min="10511" max="10511" width="8"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8.7109375" style="16" customWidth="1"/>
    <col min="10755" max="10755" width="8.7109375" style="16" customWidth="1"/>
    <col min="10756" max="10756" width="6.7109375" style="16" bestFit="1" customWidth="1"/>
    <col min="10757" max="10757" width="8.5703125" style="16" bestFit="1" customWidth="1"/>
    <col min="10758" max="10758" width="10.140625" style="16" customWidth="1"/>
    <col min="10759" max="10760" width="8.5703125" style="16" customWidth="1"/>
    <col min="10761" max="10766" width="7.42578125" style="16" customWidth="1"/>
    <col min="10767" max="10767" width="8"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8.7109375" style="16" customWidth="1"/>
    <col min="11011" max="11011" width="8.7109375" style="16" customWidth="1"/>
    <col min="11012" max="11012" width="6.7109375" style="16" bestFit="1" customWidth="1"/>
    <col min="11013" max="11013" width="8.5703125" style="16" bestFit="1" customWidth="1"/>
    <col min="11014" max="11014" width="10.140625" style="16" customWidth="1"/>
    <col min="11015" max="11016" width="8.5703125" style="16" customWidth="1"/>
    <col min="11017" max="11022" width="7.42578125" style="16" customWidth="1"/>
    <col min="11023" max="11023" width="8"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8.7109375" style="16" customWidth="1"/>
    <col min="11267" max="11267" width="8.7109375" style="16" customWidth="1"/>
    <col min="11268" max="11268" width="6.7109375" style="16" bestFit="1" customWidth="1"/>
    <col min="11269" max="11269" width="8.5703125" style="16" bestFit="1" customWidth="1"/>
    <col min="11270" max="11270" width="10.140625" style="16" customWidth="1"/>
    <col min="11271" max="11272" width="8.5703125" style="16" customWidth="1"/>
    <col min="11273" max="11278" width="7.42578125" style="16" customWidth="1"/>
    <col min="11279" max="11279" width="8"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8.7109375" style="16" customWidth="1"/>
    <col min="11523" max="11523" width="8.7109375" style="16" customWidth="1"/>
    <col min="11524" max="11524" width="6.7109375" style="16" bestFit="1" customWidth="1"/>
    <col min="11525" max="11525" width="8.5703125" style="16" bestFit="1" customWidth="1"/>
    <col min="11526" max="11526" width="10.140625" style="16" customWidth="1"/>
    <col min="11527" max="11528" width="8.5703125" style="16" customWidth="1"/>
    <col min="11529" max="11534" width="7.42578125" style="16" customWidth="1"/>
    <col min="11535" max="11535" width="8"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8.7109375" style="16" customWidth="1"/>
    <col min="11779" max="11779" width="8.7109375" style="16" customWidth="1"/>
    <col min="11780" max="11780" width="6.7109375" style="16" bestFit="1" customWidth="1"/>
    <col min="11781" max="11781" width="8.5703125" style="16" bestFit="1" customWidth="1"/>
    <col min="11782" max="11782" width="10.140625" style="16" customWidth="1"/>
    <col min="11783" max="11784" width="8.5703125" style="16" customWidth="1"/>
    <col min="11785" max="11790" width="7.42578125" style="16" customWidth="1"/>
    <col min="11791" max="11791" width="8"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8.7109375" style="16" customWidth="1"/>
    <col min="12035" max="12035" width="8.7109375" style="16" customWidth="1"/>
    <col min="12036" max="12036" width="6.7109375" style="16" bestFit="1" customWidth="1"/>
    <col min="12037" max="12037" width="8.5703125" style="16" bestFit="1" customWidth="1"/>
    <col min="12038" max="12038" width="10.140625" style="16" customWidth="1"/>
    <col min="12039" max="12040" width="8.5703125" style="16" customWidth="1"/>
    <col min="12041" max="12046" width="7.42578125" style="16" customWidth="1"/>
    <col min="12047" max="12047" width="8"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8.7109375" style="16" customWidth="1"/>
    <col min="12291" max="12291" width="8.7109375" style="16" customWidth="1"/>
    <col min="12292" max="12292" width="6.7109375" style="16" bestFit="1" customWidth="1"/>
    <col min="12293" max="12293" width="8.5703125" style="16" bestFit="1" customWidth="1"/>
    <col min="12294" max="12294" width="10.140625" style="16" customWidth="1"/>
    <col min="12295" max="12296" width="8.5703125" style="16" customWidth="1"/>
    <col min="12297" max="12302" width="7.42578125" style="16" customWidth="1"/>
    <col min="12303" max="12303" width="8"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8.7109375" style="16" customWidth="1"/>
    <col min="12547" max="12547" width="8.7109375" style="16" customWidth="1"/>
    <col min="12548" max="12548" width="6.7109375" style="16" bestFit="1" customWidth="1"/>
    <col min="12549" max="12549" width="8.5703125" style="16" bestFit="1" customWidth="1"/>
    <col min="12550" max="12550" width="10.140625" style="16" customWidth="1"/>
    <col min="12551" max="12552" width="8.5703125" style="16" customWidth="1"/>
    <col min="12553" max="12558" width="7.42578125" style="16" customWidth="1"/>
    <col min="12559" max="12559" width="8"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8.7109375" style="16" customWidth="1"/>
    <col min="12803" max="12803" width="8.7109375" style="16" customWidth="1"/>
    <col min="12804" max="12804" width="6.7109375" style="16" bestFit="1" customWidth="1"/>
    <col min="12805" max="12805" width="8.5703125" style="16" bestFit="1" customWidth="1"/>
    <col min="12806" max="12806" width="10.140625" style="16" customWidth="1"/>
    <col min="12807" max="12808" width="8.5703125" style="16" customWidth="1"/>
    <col min="12809" max="12814" width="7.42578125" style="16" customWidth="1"/>
    <col min="12815" max="12815" width="8"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8.7109375" style="16" customWidth="1"/>
    <col min="13059" max="13059" width="8.7109375" style="16" customWidth="1"/>
    <col min="13060" max="13060" width="6.7109375" style="16" bestFit="1" customWidth="1"/>
    <col min="13061" max="13061" width="8.5703125" style="16" bestFit="1" customWidth="1"/>
    <col min="13062" max="13062" width="10.140625" style="16" customWidth="1"/>
    <col min="13063" max="13064" width="8.5703125" style="16" customWidth="1"/>
    <col min="13065" max="13070" width="7.42578125" style="16" customWidth="1"/>
    <col min="13071" max="13071" width="8"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8.7109375" style="16" customWidth="1"/>
    <col min="13315" max="13315" width="8.7109375" style="16" customWidth="1"/>
    <col min="13316" max="13316" width="6.7109375" style="16" bestFit="1" customWidth="1"/>
    <col min="13317" max="13317" width="8.5703125" style="16" bestFit="1" customWidth="1"/>
    <col min="13318" max="13318" width="10.140625" style="16" customWidth="1"/>
    <col min="13319" max="13320" width="8.5703125" style="16" customWidth="1"/>
    <col min="13321" max="13326" width="7.42578125" style="16" customWidth="1"/>
    <col min="13327" max="13327" width="8"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8.7109375" style="16" customWidth="1"/>
    <col min="13571" max="13571" width="8.7109375" style="16" customWidth="1"/>
    <col min="13572" max="13572" width="6.7109375" style="16" bestFit="1" customWidth="1"/>
    <col min="13573" max="13573" width="8.5703125" style="16" bestFit="1" customWidth="1"/>
    <col min="13574" max="13574" width="10.140625" style="16" customWidth="1"/>
    <col min="13575" max="13576" width="8.5703125" style="16" customWidth="1"/>
    <col min="13577" max="13582" width="7.42578125" style="16" customWidth="1"/>
    <col min="13583" max="13583" width="8"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8.7109375" style="16" customWidth="1"/>
    <col min="13827" max="13827" width="8.7109375" style="16" customWidth="1"/>
    <col min="13828" max="13828" width="6.7109375" style="16" bestFit="1" customWidth="1"/>
    <col min="13829" max="13829" width="8.5703125" style="16" bestFit="1" customWidth="1"/>
    <col min="13830" max="13830" width="10.140625" style="16" customWidth="1"/>
    <col min="13831" max="13832" width="8.5703125" style="16" customWidth="1"/>
    <col min="13833" max="13838" width="7.42578125" style="16" customWidth="1"/>
    <col min="13839" max="13839" width="8"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8.7109375" style="16" customWidth="1"/>
    <col min="14083" max="14083" width="8.7109375" style="16" customWidth="1"/>
    <col min="14084" max="14084" width="6.7109375" style="16" bestFit="1" customWidth="1"/>
    <col min="14085" max="14085" width="8.5703125" style="16" bestFit="1" customWidth="1"/>
    <col min="14086" max="14086" width="10.140625" style="16" customWidth="1"/>
    <col min="14087" max="14088" width="8.5703125" style="16" customWidth="1"/>
    <col min="14089" max="14094" width="7.42578125" style="16" customWidth="1"/>
    <col min="14095" max="14095" width="8"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8.7109375" style="16" customWidth="1"/>
    <col min="14339" max="14339" width="8.7109375" style="16" customWidth="1"/>
    <col min="14340" max="14340" width="6.7109375" style="16" bestFit="1" customWidth="1"/>
    <col min="14341" max="14341" width="8.5703125" style="16" bestFit="1" customWidth="1"/>
    <col min="14342" max="14342" width="10.140625" style="16" customWidth="1"/>
    <col min="14343" max="14344" width="8.5703125" style="16" customWidth="1"/>
    <col min="14345" max="14350" width="7.42578125" style="16" customWidth="1"/>
    <col min="14351" max="14351" width="8"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8.7109375" style="16" customWidth="1"/>
    <col min="14595" max="14595" width="8.7109375" style="16" customWidth="1"/>
    <col min="14596" max="14596" width="6.7109375" style="16" bestFit="1" customWidth="1"/>
    <col min="14597" max="14597" width="8.5703125" style="16" bestFit="1" customWidth="1"/>
    <col min="14598" max="14598" width="10.140625" style="16" customWidth="1"/>
    <col min="14599" max="14600" width="8.5703125" style="16" customWidth="1"/>
    <col min="14601" max="14606" width="7.42578125" style="16" customWidth="1"/>
    <col min="14607" max="14607" width="8"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8.7109375" style="16" customWidth="1"/>
    <col min="14851" max="14851" width="8.7109375" style="16" customWidth="1"/>
    <col min="14852" max="14852" width="6.7109375" style="16" bestFit="1" customWidth="1"/>
    <col min="14853" max="14853" width="8.5703125" style="16" bestFit="1" customWidth="1"/>
    <col min="14854" max="14854" width="10.140625" style="16" customWidth="1"/>
    <col min="14855" max="14856" width="8.5703125" style="16" customWidth="1"/>
    <col min="14857" max="14862" width="7.42578125" style="16" customWidth="1"/>
    <col min="14863" max="14863" width="8"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8.7109375" style="16" customWidth="1"/>
    <col min="15107" max="15107" width="8.7109375" style="16" customWidth="1"/>
    <col min="15108" max="15108" width="6.7109375" style="16" bestFit="1" customWidth="1"/>
    <col min="15109" max="15109" width="8.5703125" style="16" bestFit="1" customWidth="1"/>
    <col min="15110" max="15110" width="10.140625" style="16" customWidth="1"/>
    <col min="15111" max="15112" width="8.5703125" style="16" customWidth="1"/>
    <col min="15113" max="15118" width="7.42578125" style="16" customWidth="1"/>
    <col min="15119" max="15119" width="8"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8.7109375" style="16" customWidth="1"/>
    <col min="15363" max="15363" width="8.7109375" style="16" customWidth="1"/>
    <col min="15364" max="15364" width="6.7109375" style="16" bestFit="1" customWidth="1"/>
    <col min="15365" max="15365" width="8.5703125" style="16" bestFit="1" customWidth="1"/>
    <col min="15366" max="15366" width="10.140625" style="16" customWidth="1"/>
    <col min="15367" max="15368" width="8.5703125" style="16" customWidth="1"/>
    <col min="15369" max="15374" width="7.42578125" style="16" customWidth="1"/>
    <col min="15375" max="15375" width="8"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8.7109375" style="16" customWidth="1"/>
    <col min="15619" max="15619" width="8.7109375" style="16" customWidth="1"/>
    <col min="15620" max="15620" width="6.7109375" style="16" bestFit="1" customWidth="1"/>
    <col min="15621" max="15621" width="8.5703125" style="16" bestFit="1" customWidth="1"/>
    <col min="15622" max="15622" width="10.140625" style="16" customWidth="1"/>
    <col min="15623" max="15624" width="8.5703125" style="16" customWidth="1"/>
    <col min="15625" max="15630" width="7.42578125" style="16" customWidth="1"/>
    <col min="15631" max="15631" width="8"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8.7109375" style="16" customWidth="1"/>
    <col min="15875" max="15875" width="8.7109375" style="16" customWidth="1"/>
    <col min="15876" max="15876" width="6.7109375" style="16" bestFit="1" customWidth="1"/>
    <col min="15877" max="15877" width="8.5703125" style="16" bestFit="1" customWidth="1"/>
    <col min="15878" max="15878" width="10.140625" style="16" customWidth="1"/>
    <col min="15879" max="15880" width="8.5703125" style="16" customWidth="1"/>
    <col min="15881" max="15886" width="7.42578125" style="16" customWidth="1"/>
    <col min="15887" max="15887" width="8"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8.7109375" style="16" customWidth="1"/>
    <col min="16131" max="16131" width="8.7109375" style="16" customWidth="1"/>
    <col min="16132" max="16132" width="6.7109375" style="16" bestFit="1" customWidth="1"/>
    <col min="16133" max="16133" width="8.5703125" style="16" bestFit="1" customWidth="1"/>
    <col min="16134" max="16134" width="10.140625" style="16" customWidth="1"/>
    <col min="16135" max="16136" width="8.5703125" style="16" customWidth="1"/>
    <col min="16137" max="16142" width="7.42578125" style="16" customWidth="1"/>
    <col min="16143" max="16143" width="8"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67" t="s">
        <v>449</v>
      </c>
      <c r="B1" s="868"/>
      <c r="C1" s="868"/>
      <c r="D1" s="869"/>
      <c r="E1" s="868"/>
      <c r="F1" s="868"/>
      <c r="G1" s="867" t="s">
        <v>102</v>
      </c>
      <c r="H1" s="869"/>
      <c r="I1" s="869" t="s">
        <v>948</v>
      </c>
      <c r="J1" s="868"/>
      <c r="K1" s="868"/>
      <c r="L1" s="870"/>
      <c r="M1" s="870"/>
      <c r="N1" s="870"/>
      <c r="O1" s="870"/>
    </row>
    <row r="2" spans="1:15" s="1" customFormat="1" x14ac:dyDescent="0.2">
      <c r="A2" s="867" t="s">
        <v>103</v>
      </c>
      <c r="B2" s="868"/>
      <c r="C2" s="868"/>
      <c r="D2" s="869"/>
      <c r="E2" s="868"/>
      <c r="F2" s="868"/>
      <c r="G2" s="867" t="s">
        <v>104</v>
      </c>
      <c r="H2" s="869"/>
      <c r="I2" s="869" t="s">
        <v>105</v>
      </c>
      <c r="J2" s="868"/>
      <c r="K2" s="868"/>
      <c r="L2" s="870"/>
      <c r="M2" s="870"/>
      <c r="N2" s="870"/>
      <c r="O2" s="870"/>
    </row>
    <row r="3" spans="1:15" s="1" customFormat="1" x14ac:dyDescent="0.2">
      <c r="A3" s="867" t="s">
        <v>106</v>
      </c>
      <c r="B3" s="868"/>
      <c r="C3" s="868"/>
      <c r="D3" s="881" t="s">
        <v>1023</v>
      </c>
      <c r="E3" s="882"/>
      <c r="F3" s="882"/>
      <c r="G3" s="867" t="s">
        <v>107</v>
      </c>
      <c r="H3" s="869"/>
      <c r="I3" s="869" t="s">
        <v>108</v>
      </c>
      <c r="J3" s="868"/>
      <c r="K3" s="868"/>
      <c r="L3" s="870"/>
      <c r="M3" s="870"/>
      <c r="N3" s="870"/>
      <c r="O3" s="870"/>
    </row>
    <row r="4" spans="1:15" s="1" customFormat="1" x14ac:dyDescent="0.2">
      <c r="A4" s="867" t="s">
        <v>109</v>
      </c>
      <c r="B4" s="868"/>
      <c r="C4" s="868"/>
      <c r="D4" s="883"/>
      <c r="E4" s="868"/>
      <c r="F4" s="868"/>
      <c r="G4" s="867" t="s">
        <v>110</v>
      </c>
      <c r="H4" s="869"/>
      <c r="I4" s="869" t="s">
        <v>1024</v>
      </c>
      <c r="J4" s="868"/>
      <c r="K4" s="868"/>
      <c r="L4" s="870"/>
      <c r="M4" s="870"/>
      <c r="N4" s="870"/>
      <c r="O4" s="870"/>
    </row>
    <row r="5" spans="1:15" s="1" customFormat="1" x14ac:dyDescent="0.2">
      <c r="A5" s="867" t="s">
        <v>443</v>
      </c>
      <c r="B5" s="868"/>
      <c r="C5" s="868"/>
      <c r="D5" s="869" t="s">
        <v>540</v>
      </c>
      <c r="E5" s="868"/>
      <c r="F5" s="868"/>
      <c r="G5" s="867"/>
      <c r="H5" s="868"/>
      <c r="I5" s="869" t="s">
        <v>113</v>
      </c>
      <c r="J5" s="868"/>
      <c r="K5" s="868"/>
      <c r="L5" s="870"/>
      <c r="M5" s="870"/>
      <c r="N5" s="870"/>
      <c r="O5" s="870"/>
    </row>
    <row r="6" spans="1:15" s="1" customFormat="1" x14ac:dyDescent="0.2">
      <c r="A6" s="871" t="s">
        <v>114</v>
      </c>
      <c r="B6" s="872"/>
      <c r="C6" s="872"/>
      <c r="D6" s="868" t="s">
        <v>949</v>
      </c>
      <c r="E6" s="868"/>
      <c r="F6" s="868"/>
      <c r="G6" s="871" t="s">
        <v>115</v>
      </c>
      <c r="H6" s="871"/>
      <c r="I6" s="2" t="s">
        <v>116</v>
      </c>
      <c r="J6" s="888"/>
      <c r="K6" s="888"/>
      <c r="L6" s="888"/>
      <c r="M6" s="888"/>
      <c r="N6" s="888"/>
      <c r="O6" s="889"/>
    </row>
    <row r="7" spans="1:15" s="1" customFormat="1" ht="13.5" thickBot="1" x14ac:dyDescent="0.25">
      <c r="A7" s="3"/>
      <c r="B7" s="4"/>
      <c r="C7" s="5"/>
      <c r="D7" s="6"/>
      <c r="E7" s="6"/>
      <c r="F7" s="6"/>
      <c r="G7" s="6"/>
      <c r="H7" s="6"/>
      <c r="I7" s="6"/>
      <c r="J7" s="7"/>
      <c r="K7" s="8"/>
      <c r="L7" s="875" t="s">
        <v>223</v>
      </c>
      <c r="M7" s="875"/>
      <c r="N7" s="875"/>
      <c r="O7" s="875"/>
    </row>
    <row r="8" spans="1:15" s="11" customFormat="1" x14ac:dyDescent="0.2">
      <c r="A8" s="876" t="str">
        <f>I1</f>
        <v>Mr. N.H. KAWACHALE</v>
      </c>
      <c r="B8" s="877"/>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98700</v>
      </c>
      <c r="D9" s="14">
        <v>98700</v>
      </c>
      <c r="E9" s="14">
        <v>98700</v>
      </c>
      <c r="F9" s="14">
        <v>98700</v>
      </c>
      <c r="G9" s="14">
        <v>101700</v>
      </c>
      <c r="H9" s="14">
        <v>101700</v>
      </c>
      <c r="I9" s="14">
        <v>101700</v>
      </c>
      <c r="J9" s="14">
        <v>101700</v>
      </c>
      <c r="K9" s="14">
        <v>101700</v>
      </c>
      <c r="L9" s="14">
        <v>101700</v>
      </c>
      <c r="M9" s="14">
        <v>101700</v>
      </c>
      <c r="N9" s="14">
        <v>101700</v>
      </c>
      <c r="O9" s="15">
        <f>SUM(C9:N9)</f>
        <v>1208400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4935</v>
      </c>
      <c r="D11" s="17">
        <v>6909</v>
      </c>
      <c r="E11" s="17">
        <v>6909</v>
      </c>
      <c r="F11" s="17">
        <v>6909</v>
      </c>
      <c r="G11" s="17">
        <v>7119</v>
      </c>
      <c r="H11" s="17">
        <v>7119</v>
      </c>
      <c r="I11" s="17">
        <v>7119</v>
      </c>
      <c r="J11" s="17">
        <v>9153</v>
      </c>
      <c r="K11" s="17">
        <v>9153</v>
      </c>
      <c r="L11" s="17">
        <v>9153</v>
      </c>
      <c r="M11" s="17">
        <v>9153</v>
      </c>
      <c r="N11" s="17">
        <v>9153</v>
      </c>
      <c r="O11" s="18">
        <f>SUM(C11:N11)</f>
        <v>92784</v>
      </c>
    </row>
    <row r="12" spans="1:15" ht="13.5" hidden="1" customHeight="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4.25" hidden="1" customHeight="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x14ac:dyDescent="0.2">
      <c r="A14" s="12"/>
      <c r="B14" s="13" t="s">
        <v>123</v>
      </c>
      <c r="C14" s="17">
        <v>7560</v>
      </c>
      <c r="D14" s="17">
        <v>7704</v>
      </c>
      <c r="E14" s="17">
        <v>7704</v>
      </c>
      <c r="F14" s="17">
        <v>7704</v>
      </c>
      <c r="G14" s="17">
        <v>7704</v>
      </c>
      <c r="H14" s="17">
        <v>7704</v>
      </c>
      <c r="I14" s="17">
        <v>7704</v>
      </c>
      <c r="J14" s="17">
        <v>7848</v>
      </c>
      <c r="K14" s="17">
        <v>7848</v>
      </c>
      <c r="L14" s="17">
        <v>7848</v>
      </c>
      <c r="M14" s="17">
        <v>7848</v>
      </c>
      <c r="N14" s="17">
        <v>7848</v>
      </c>
      <c r="O14" s="18">
        <f t="shared" si="0"/>
        <v>93024</v>
      </c>
    </row>
    <row r="15" spans="1:15" ht="13.5" customHeight="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4.25" hidden="1" customHeight="1"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row>
    <row r="17" spans="1:15" ht="14.25" hidden="1" customHeight="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23688</v>
      </c>
      <c r="D19" s="17">
        <v>23688</v>
      </c>
      <c r="E19" s="17">
        <v>23688</v>
      </c>
      <c r="F19" s="17">
        <v>23688</v>
      </c>
      <c r="G19" s="17">
        <v>24408</v>
      </c>
      <c r="H19" s="17">
        <v>24408</v>
      </c>
      <c r="I19" s="17">
        <v>24408</v>
      </c>
      <c r="J19" s="17">
        <v>24408</v>
      </c>
      <c r="K19" s="17">
        <v>24408</v>
      </c>
      <c r="L19" s="17">
        <v>24408</v>
      </c>
      <c r="M19" s="17">
        <v>24408</v>
      </c>
      <c r="N19" s="17">
        <v>24408</v>
      </c>
      <c r="O19" s="18">
        <f t="shared" si="0"/>
        <v>290016</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78"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79"/>
      <c r="B22" s="19" t="s">
        <v>132</v>
      </c>
      <c r="C22" s="17">
        <v>0</v>
      </c>
      <c r="D22" s="17">
        <v>0</v>
      </c>
      <c r="E22" s="17">
        <v>0</v>
      </c>
      <c r="F22" s="17">
        <v>0</v>
      </c>
      <c r="G22" s="17">
        <v>0</v>
      </c>
      <c r="H22" s="17">
        <v>0</v>
      </c>
      <c r="I22" s="17">
        <v>0</v>
      </c>
      <c r="J22" s="17">
        <v>0</v>
      </c>
      <c r="K22" s="17">
        <v>0</v>
      </c>
      <c r="L22" s="17">
        <v>0</v>
      </c>
      <c r="M22" s="17">
        <v>0</v>
      </c>
      <c r="N22" s="17">
        <v>0</v>
      </c>
      <c r="O22" s="18">
        <f t="shared" si="0"/>
        <v>0</v>
      </c>
    </row>
    <row r="23" spans="1:15" ht="15" hidden="1" customHeight="1" x14ac:dyDescent="0.2">
      <c r="A23" s="879"/>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79"/>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79"/>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79"/>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79"/>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79"/>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79"/>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79"/>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79"/>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79"/>
      <c r="B32" s="21" t="s">
        <v>142</v>
      </c>
      <c r="C32" s="17">
        <v>0</v>
      </c>
      <c r="D32" s="17">
        <v>0</v>
      </c>
      <c r="E32" s="17">
        <v>0</v>
      </c>
      <c r="F32" s="17">
        <v>0</v>
      </c>
      <c r="G32" s="17">
        <v>0</v>
      </c>
      <c r="H32" s="17">
        <v>0</v>
      </c>
      <c r="I32" s="17">
        <v>0</v>
      </c>
      <c r="J32" s="17">
        <v>0</v>
      </c>
      <c r="K32" s="17">
        <v>0</v>
      </c>
      <c r="L32" s="17">
        <v>0</v>
      </c>
      <c r="M32" s="17">
        <v>0</v>
      </c>
      <c r="N32" s="17">
        <v>0</v>
      </c>
      <c r="O32" s="18">
        <f t="shared" si="0"/>
        <v>0</v>
      </c>
    </row>
    <row r="33" spans="1:16" ht="15" hidden="1" customHeight="1" x14ac:dyDescent="0.2">
      <c r="A33" s="880"/>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865" t="s">
        <v>280</v>
      </c>
      <c r="B34" s="866"/>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865" t="s">
        <v>145</v>
      </c>
      <c r="B35" s="866"/>
      <c r="C35" s="17">
        <v>0</v>
      </c>
      <c r="D35" s="17">
        <v>432</v>
      </c>
      <c r="E35" s="17">
        <v>0</v>
      </c>
      <c r="F35" s="17">
        <v>0</v>
      </c>
      <c r="G35" s="17">
        <v>0</v>
      </c>
      <c r="H35" s="17">
        <v>0</v>
      </c>
      <c r="I35" s="17">
        <v>0</v>
      </c>
      <c r="J35" s="17">
        <v>432</v>
      </c>
      <c r="K35" s="17">
        <v>0</v>
      </c>
      <c r="L35" s="17">
        <v>0</v>
      </c>
      <c r="M35" s="17">
        <v>0</v>
      </c>
      <c r="N35" s="17">
        <v>0</v>
      </c>
      <c r="O35" s="18">
        <f t="shared" si="0"/>
        <v>864</v>
      </c>
    </row>
    <row r="36" spans="1:16" ht="15" customHeight="1" x14ac:dyDescent="0.2">
      <c r="A36" s="865" t="s">
        <v>146</v>
      </c>
      <c r="B36" s="866"/>
      <c r="C36" s="17">
        <v>0</v>
      </c>
      <c r="D36" s="17">
        <v>5922</v>
      </c>
      <c r="E36" s="17">
        <v>0</v>
      </c>
      <c r="F36" s="17">
        <v>0</v>
      </c>
      <c r="G36" s="17">
        <v>0</v>
      </c>
      <c r="H36" s="17">
        <v>0</v>
      </c>
      <c r="I36" s="17">
        <v>0</v>
      </c>
      <c r="J36" s="17">
        <v>6102</v>
      </c>
      <c r="K36" s="17">
        <v>0</v>
      </c>
      <c r="L36" s="17">
        <v>0</v>
      </c>
      <c r="M36" s="17">
        <v>0</v>
      </c>
      <c r="N36" s="17">
        <v>0</v>
      </c>
      <c r="O36" s="18">
        <f t="shared" si="0"/>
        <v>12024</v>
      </c>
    </row>
    <row r="37" spans="1:16" ht="15" customHeight="1" x14ac:dyDescent="0.2">
      <c r="A37" s="22"/>
      <c r="B37" s="23" t="s">
        <v>147</v>
      </c>
      <c r="C37" s="24">
        <f t="shared" ref="C37:N37" si="1">SUM(C9:C36)</f>
        <v>134883</v>
      </c>
      <c r="D37" s="24">
        <f t="shared" si="1"/>
        <v>143355</v>
      </c>
      <c r="E37" s="24">
        <f t="shared" si="1"/>
        <v>137001</v>
      </c>
      <c r="F37" s="24">
        <f t="shared" si="1"/>
        <v>137001</v>
      </c>
      <c r="G37" s="24">
        <f t="shared" si="1"/>
        <v>140931</v>
      </c>
      <c r="H37" s="24">
        <f t="shared" si="1"/>
        <v>140931</v>
      </c>
      <c r="I37" s="24">
        <f t="shared" si="1"/>
        <v>140931</v>
      </c>
      <c r="J37" s="24">
        <f t="shared" si="1"/>
        <v>149643</v>
      </c>
      <c r="K37" s="24">
        <f t="shared" si="1"/>
        <v>143109</v>
      </c>
      <c r="L37" s="24">
        <f t="shared" si="1"/>
        <v>143109</v>
      </c>
      <c r="M37" s="24">
        <f t="shared" si="1"/>
        <v>143109</v>
      </c>
      <c r="N37" s="24">
        <f t="shared" si="1"/>
        <v>143109</v>
      </c>
      <c r="O37" s="25">
        <f>SUM(C37:N37)</f>
        <v>1697112</v>
      </c>
    </row>
    <row r="38" spans="1:16" ht="15" customHeight="1" x14ac:dyDescent="0.25">
      <c r="A38" s="853" t="s">
        <v>148</v>
      </c>
      <c r="B38" s="27" t="s">
        <v>149</v>
      </c>
      <c r="C38" s="28">
        <v>21000</v>
      </c>
      <c r="D38" s="28">
        <v>21000</v>
      </c>
      <c r="E38" s="28">
        <v>21000</v>
      </c>
      <c r="F38" s="28">
        <v>21000</v>
      </c>
      <c r="G38" s="28">
        <v>21000</v>
      </c>
      <c r="H38" s="28">
        <v>21000</v>
      </c>
      <c r="I38" s="28">
        <v>21000</v>
      </c>
      <c r="J38" s="28">
        <v>21000</v>
      </c>
      <c r="K38" s="28">
        <v>28000</v>
      </c>
      <c r="L38" s="28">
        <v>28285</v>
      </c>
      <c r="M38" s="28">
        <v>28285</v>
      </c>
      <c r="N38">
        <v>31010</v>
      </c>
      <c r="O38" s="18">
        <f>SUM(C38:N38)</f>
        <v>283580</v>
      </c>
      <c r="P38" s="29"/>
    </row>
    <row r="39" spans="1:16" ht="15" x14ac:dyDescent="0.2">
      <c r="A39" s="854"/>
      <c r="B39" s="27" t="s">
        <v>150</v>
      </c>
      <c r="C39" s="28">
        <v>0</v>
      </c>
      <c r="D39" s="28">
        <v>0</v>
      </c>
      <c r="E39" s="28">
        <v>0</v>
      </c>
      <c r="F39" s="28">
        <v>0</v>
      </c>
      <c r="G39" s="28">
        <v>0</v>
      </c>
      <c r="H39" s="28">
        <v>0</v>
      </c>
      <c r="I39" s="28">
        <v>0</v>
      </c>
      <c r="J39" s="28">
        <v>0</v>
      </c>
      <c r="K39" s="28">
        <v>0</v>
      </c>
      <c r="L39" s="28">
        <v>0</v>
      </c>
      <c r="M39" s="28">
        <v>0</v>
      </c>
      <c r="N39" s="28">
        <v>0</v>
      </c>
      <c r="O39" s="18">
        <f>SUM(C39:N39)</f>
        <v>0</v>
      </c>
    </row>
    <row r="40" spans="1:16" ht="15" x14ac:dyDescent="0.2">
      <c r="A40" s="854"/>
      <c r="B40" s="27" t="s">
        <v>151</v>
      </c>
      <c r="C40" s="28">
        <v>60</v>
      </c>
      <c r="D40" s="28">
        <v>60</v>
      </c>
      <c r="E40" s="28">
        <v>60</v>
      </c>
      <c r="F40" s="28">
        <v>60</v>
      </c>
      <c r="G40" s="28">
        <v>60</v>
      </c>
      <c r="H40" s="28">
        <v>60</v>
      </c>
      <c r="I40" s="28">
        <v>60</v>
      </c>
      <c r="J40" s="28">
        <v>60</v>
      </c>
      <c r="K40" s="28">
        <v>60</v>
      </c>
      <c r="L40" s="28">
        <v>60</v>
      </c>
      <c r="M40" s="28">
        <v>60</v>
      </c>
      <c r="N40" s="28">
        <v>60</v>
      </c>
      <c r="O40" s="18">
        <f t="shared" ref="O40:O50" si="2">SUM(C40:N40)</f>
        <v>720</v>
      </c>
    </row>
    <row r="41" spans="1:16" ht="15" x14ac:dyDescent="0.2">
      <c r="A41" s="854"/>
      <c r="B41" s="27" t="s">
        <v>152</v>
      </c>
      <c r="C41" s="28">
        <v>0</v>
      </c>
      <c r="D41" s="28">
        <v>0</v>
      </c>
      <c r="E41" s="28">
        <v>0</v>
      </c>
      <c r="F41" s="28">
        <v>0</v>
      </c>
      <c r="G41" s="28">
        <v>0</v>
      </c>
      <c r="H41" s="28">
        <v>0</v>
      </c>
      <c r="I41" s="28">
        <v>0</v>
      </c>
      <c r="J41" s="28">
        <v>0</v>
      </c>
      <c r="K41" s="28">
        <v>0</v>
      </c>
      <c r="L41" s="28">
        <v>0</v>
      </c>
      <c r="M41" s="28">
        <v>0</v>
      </c>
      <c r="N41" s="28">
        <v>0</v>
      </c>
      <c r="O41" s="18">
        <f t="shared" si="2"/>
        <v>0</v>
      </c>
    </row>
    <row r="42" spans="1:16" ht="15" x14ac:dyDescent="0.2">
      <c r="A42" s="854"/>
      <c r="B42" s="27" t="s">
        <v>153</v>
      </c>
      <c r="C42" s="28">
        <v>0</v>
      </c>
      <c r="D42" s="28">
        <v>0</v>
      </c>
      <c r="E42" s="28">
        <v>0</v>
      </c>
      <c r="F42" s="28">
        <v>0</v>
      </c>
      <c r="G42" s="28">
        <v>0</v>
      </c>
      <c r="H42" s="28">
        <v>0</v>
      </c>
      <c r="I42" s="28">
        <v>0</v>
      </c>
      <c r="J42" s="28">
        <v>0</v>
      </c>
      <c r="K42" s="28">
        <v>0</v>
      </c>
      <c r="L42" s="28">
        <v>0</v>
      </c>
      <c r="M42" s="28">
        <v>0</v>
      </c>
      <c r="N42" s="28">
        <v>0</v>
      </c>
      <c r="O42" s="18">
        <f t="shared" si="2"/>
        <v>0</v>
      </c>
    </row>
    <row r="43" spans="1:16" ht="15" x14ac:dyDescent="0.2">
      <c r="A43" s="854"/>
      <c r="B43" s="27" t="s">
        <v>154</v>
      </c>
      <c r="C43" s="28">
        <v>10000</v>
      </c>
      <c r="D43" s="28">
        <v>10000</v>
      </c>
      <c r="E43" s="28">
        <v>10000</v>
      </c>
      <c r="F43" s="28">
        <v>10000</v>
      </c>
      <c r="G43" s="28">
        <v>10000</v>
      </c>
      <c r="H43" s="28">
        <v>10000</v>
      </c>
      <c r="I43" s="28">
        <v>10000</v>
      </c>
      <c r="J43" s="28">
        <v>10000</v>
      </c>
      <c r="K43" s="28">
        <v>10000</v>
      </c>
      <c r="L43" s="28">
        <v>10000</v>
      </c>
      <c r="M43" s="28">
        <v>10000</v>
      </c>
      <c r="N43" s="28">
        <v>10000</v>
      </c>
      <c r="O43" s="18">
        <f t="shared" si="2"/>
        <v>120000</v>
      </c>
    </row>
    <row r="44" spans="1:16" ht="15" x14ac:dyDescent="0.2">
      <c r="A44" s="854"/>
      <c r="B44" s="27" t="s">
        <v>155</v>
      </c>
      <c r="C44" s="28">
        <v>200</v>
      </c>
      <c r="D44" s="28">
        <v>200</v>
      </c>
      <c r="E44" s="28">
        <v>200</v>
      </c>
      <c r="F44" s="28">
        <v>200</v>
      </c>
      <c r="G44" s="28">
        <v>200</v>
      </c>
      <c r="H44" s="28">
        <v>200</v>
      </c>
      <c r="I44" s="28">
        <v>200</v>
      </c>
      <c r="J44" s="28">
        <v>200</v>
      </c>
      <c r="K44" s="28">
        <v>200</v>
      </c>
      <c r="L44" s="28">
        <v>200</v>
      </c>
      <c r="M44" s="28">
        <v>200</v>
      </c>
      <c r="N44" s="28">
        <v>300</v>
      </c>
      <c r="O44" s="18">
        <f t="shared" si="2"/>
        <v>2500</v>
      </c>
    </row>
    <row r="45" spans="1:16" ht="15" x14ac:dyDescent="0.2">
      <c r="A45" s="854"/>
      <c r="B45" s="27" t="s">
        <v>156</v>
      </c>
      <c r="C45" s="28">
        <v>0</v>
      </c>
      <c r="D45" s="28">
        <v>0</v>
      </c>
      <c r="E45" s="28">
        <v>0</v>
      </c>
      <c r="F45" s="28">
        <v>0</v>
      </c>
      <c r="G45" s="28">
        <v>0</v>
      </c>
      <c r="H45" s="28">
        <v>0</v>
      </c>
      <c r="I45" s="28">
        <v>0</v>
      </c>
      <c r="J45" s="28">
        <v>0</v>
      </c>
      <c r="K45" s="28">
        <v>0</v>
      </c>
      <c r="L45" s="28">
        <v>0</v>
      </c>
      <c r="M45" s="28">
        <v>0</v>
      </c>
      <c r="N45" s="28">
        <v>0</v>
      </c>
      <c r="O45" s="18">
        <f t="shared" si="2"/>
        <v>0</v>
      </c>
    </row>
    <row r="46" spans="1:16" ht="15" x14ac:dyDescent="0.2">
      <c r="A46" s="854"/>
      <c r="B46" s="27" t="s">
        <v>157</v>
      </c>
      <c r="C46" s="28">
        <v>0</v>
      </c>
      <c r="D46" s="28">
        <v>0</v>
      </c>
      <c r="E46" s="28">
        <v>0</v>
      </c>
      <c r="F46" s="28">
        <v>0</v>
      </c>
      <c r="G46" s="28">
        <v>0</v>
      </c>
      <c r="H46" s="28">
        <v>0</v>
      </c>
      <c r="I46" s="28">
        <v>0</v>
      </c>
      <c r="J46" s="28">
        <v>0</v>
      </c>
      <c r="K46" s="28">
        <v>0</v>
      </c>
      <c r="L46" s="28">
        <v>0</v>
      </c>
      <c r="M46" s="28">
        <v>0</v>
      </c>
      <c r="N46" s="28">
        <v>0</v>
      </c>
      <c r="O46" s="18">
        <f t="shared" si="2"/>
        <v>0</v>
      </c>
    </row>
    <row r="47" spans="1:16" ht="28.5" customHeight="1" x14ac:dyDescent="0.2">
      <c r="A47" s="855"/>
      <c r="B47" s="30" t="s">
        <v>158</v>
      </c>
      <c r="C47" s="28">
        <v>0</v>
      </c>
      <c r="D47" s="28">
        <v>0</v>
      </c>
      <c r="E47" s="28">
        <v>0</v>
      </c>
      <c r="F47" s="28">
        <v>0</v>
      </c>
      <c r="G47" s="28">
        <v>0</v>
      </c>
      <c r="H47" s="28">
        <v>0</v>
      </c>
      <c r="I47" s="28">
        <v>0</v>
      </c>
      <c r="J47" s="28">
        <v>0</v>
      </c>
      <c r="K47" s="28">
        <v>0</v>
      </c>
      <c r="L47" s="28">
        <v>0</v>
      </c>
      <c r="M47" s="28">
        <v>0</v>
      </c>
      <c r="N47" s="28">
        <v>0</v>
      </c>
      <c r="O47" s="31">
        <f t="shared" si="2"/>
        <v>0</v>
      </c>
    </row>
    <row r="48" spans="1:16" ht="15" x14ac:dyDescent="0.2">
      <c r="A48" s="856"/>
      <c r="B48" s="127" t="s">
        <v>479</v>
      </c>
      <c r="C48" s="28">
        <v>0</v>
      </c>
      <c r="D48" s="28">
        <v>0</v>
      </c>
      <c r="E48" s="28">
        <v>0</v>
      </c>
      <c r="F48" s="28">
        <v>0</v>
      </c>
      <c r="G48" s="28">
        <v>0</v>
      </c>
      <c r="H48" s="28">
        <v>0</v>
      </c>
      <c r="I48" s="28">
        <v>0</v>
      </c>
      <c r="J48" s="28">
        <v>0</v>
      </c>
      <c r="K48" s="28">
        <v>0</v>
      </c>
      <c r="L48" s="28">
        <v>0</v>
      </c>
      <c r="M48" s="28">
        <v>0</v>
      </c>
      <c r="N48" s="28">
        <v>0</v>
      </c>
      <c r="O48" s="31">
        <f t="shared" si="2"/>
        <v>0</v>
      </c>
    </row>
    <row r="49" spans="1:18" ht="15" x14ac:dyDescent="0.2">
      <c r="A49" s="857" t="s">
        <v>160</v>
      </c>
      <c r="B49" s="858"/>
      <c r="C49" s="33">
        <f t="shared" ref="C49:N49" si="3">SUM(C38:C48)</f>
        <v>31260</v>
      </c>
      <c r="D49" s="33">
        <f t="shared" si="3"/>
        <v>31260</v>
      </c>
      <c r="E49" s="33">
        <f t="shared" si="3"/>
        <v>31260</v>
      </c>
      <c r="F49" s="33">
        <f t="shared" si="3"/>
        <v>31260</v>
      </c>
      <c r="G49" s="33">
        <f t="shared" si="3"/>
        <v>31260</v>
      </c>
      <c r="H49" s="33">
        <f t="shared" si="3"/>
        <v>31260</v>
      </c>
      <c r="I49" s="33">
        <f t="shared" si="3"/>
        <v>31260</v>
      </c>
      <c r="J49" s="33">
        <f t="shared" si="3"/>
        <v>31260</v>
      </c>
      <c r="K49" s="33">
        <f t="shared" si="3"/>
        <v>38260</v>
      </c>
      <c r="L49" s="33">
        <f t="shared" si="3"/>
        <v>38545</v>
      </c>
      <c r="M49" s="33">
        <f t="shared" si="3"/>
        <v>38545</v>
      </c>
      <c r="N49" s="33">
        <f t="shared" si="3"/>
        <v>41370</v>
      </c>
      <c r="O49" s="34">
        <f t="shared" si="2"/>
        <v>406800</v>
      </c>
    </row>
    <row r="50" spans="1:18" ht="15.75" thickBot="1" x14ac:dyDescent="0.25">
      <c r="A50" s="859" t="s">
        <v>161</v>
      </c>
      <c r="B50" s="860"/>
      <c r="C50" s="35">
        <f t="shared" ref="C50:N50" si="4">C37-C49</f>
        <v>103623</v>
      </c>
      <c r="D50" s="35">
        <f t="shared" si="4"/>
        <v>112095</v>
      </c>
      <c r="E50" s="35">
        <f t="shared" si="4"/>
        <v>105741</v>
      </c>
      <c r="F50" s="35">
        <f t="shared" si="4"/>
        <v>105741</v>
      </c>
      <c r="G50" s="35">
        <f t="shared" si="4"/>
        <v>109671</v>
      </c>
      <c r="H50" s="35">
        <f t="shared" si="4"/>
        <v>109671</v>
      </c>
      <c r="I50" s="35">
        <f t="shared" si="4"/>
        <v>109671</v>
      </c>
      <c r="J50" s="35">
        <f t="shared" si="4"/>
        <v>118383</v>
      </c>
      <c r="K50" s="35">
        <f t="shared" si="4"/>
        <v>104849</v>
      </c>
      <c r="L50" s="35">
        <f t="shared" si="4"/>
        <v>104564</v>
      </c>
      <c r="M50" s="35">
        <f t="shared" si="4"/>
        <v>104564</v>
      </c>
      <c r="N50" s="35">
        <f t="shared" si="4"/>
        <v>101739</v>
      </c>
      <c r="O50" s="36">
        <f t="shared" si="2"/>
        <v>1290312</v>
      </c>
    </row>
    <row r="51" spans="1:18" x14ac:dyDescent="0.2">
      <c r="J51" s="300">
        <f>+J37-SUM(J22:J36)</f>
        <v>143109</v>
      </c>
      <c r="Q51" s="38"/>
    </row>
    <row r="52" spans="1:18" ht="13.5" thickBot="1" x14ac:dyDescent="0.25">
      <c r="J52" s="38">
        <f>+J51-J49</f>
        <v>111849</v>
      </c>
    </row>
    <row r="53" spans="1:18" ht="13.5" thickBot="1" x14ac:dyDescent="0.25">
      <c r="B53" s="789" t="s">
        <v>162</v>
      </c>
      <c r="C53" s="861"/>
      <c r="D53" s="861"/>
      <c r="E53" s="861"/>
      <c r="F53" s="862"/>
      <c r="G53" s="863">
        <f>O37</f>
        <v>1697112</v>
      </c>
      <c r="H53" s="864"/>
    </row>
    <row r="54" spans="1:18" ht="13.5" thickBot="1" x14ac:dyDescent="0.25"/>
    <row r="55" spans="1:18" x14ac:dyDescent="0.2">
      <c r="B55" s="830" t="s">
        <v>163</v>
      </c>
      <c r="C55" s="833" t="s">
        <v>164</v>
      </c>
      <c r="D55" s="836" t="s">
        <v>811</v>
      </c>
      <c r="E55" s="837"/>
      <c r="F55" s="838"/>
      <c r="G55" s="839">
        <v>40000</v>
      </c>
      <c r="H55" s="840"/>
    </row>
    <row r="56" spans="1:18" x14ac:dyDescent="0.2">
      <c r="B56" s="831"/>
      <c r="C56" s="834"/>
      <c r="D56" s="841" t="s">
        <v>166</v>
      </c>
      <c r="E56" s="842"/>
      <c r="F56" s="843"/>
      <c r="G56" s="844">
        <f>+O44</f>
        <v>2500</v>
      </c>
      <c r="H56" s="845"/>
      <c r="I56" s="39"/>
      <c r="J56" s="846"/>
      <c r="K56" s="846"/>
      <c r="L56" s="846"/>
      <c r="M56" s="847"/>
      <c r="N56" s="847"/>
      <c r="O56" s="847"/>
    </row>
    <row r="57" spans="1:18" x14ac:dyDescent="0.2">
      <c r="B57" s="886"/>
      <c r="C57" s="887"/>
      <c r="D57" s="40" t="s">
        <v>129</v>
      </c>
      <c r="E57" s="41"/>
      <c r="F57" s="42"/>
      <c r="G57" s="43"/>
      <c r="H57" s="44">
        <v>0</v>
      </c>
      <c r="I57" s="39"/>
      <c r="J57" s="45"/>
      <c r="K57" s="45"/>
      <c r="L57" s="45"/>
      <c r="M57" s="46"/>
      <c r="N57" s="46"/>
      <c r="O57" s="46"/>
    </row>
    <row r="58" spans="1:18" ht="13.5" thickBot="1" x14ac:dyDescent="0.25">
      <c r="B58" s="832"/>
      <c r="C58" s="835"/>
      <c r="D58" s="848" t="s">
        <v>243</v>
      </c>
      <c r="E58" s="849"/>
      <c r="F58" s="850"/>
      <c r="G58" s="851">
        <f>IF(O18&gt;15000,15000,+O18)</f>
        <v>0</v>
      </c>
      <c r="H58" s="852"/>
      <c r="J58" s="47"/>
      <c r="K58" s="47"/>
      <c r="L58" s="47"/>
      <c r="M58" s="47"/>
      <c r="N58" s="47"/>
      <c r="O58" s="47"/>
    </row>
    <row r="59" spans="1:18" ht="13.5" thickBot="1" x14ac:dyDescent="0.25">
      <c r="B59" s="48"/>
      <c r="J59" s="47"/>
      <c r="K59" s="47"/>
      <c r="L59" s="47"/>
      <c r="M59" s="47"/>
      <c r="N59" s="47"/>
      <c r="O59" s="47"/>
    </row>
    <row r="60" spans="1:18" ht="13.5" thickBot="1" x14ac:dyDescent="0.25">
      <c r="B60" s="789" t="s">
        <v>168</v>
      </c>
      <c r="C60" s="790"/>
      <c r="D60" s="790"/>
      <c r="E60" s="790"/>
      <c r="F60" s="791"/>
      <c r="G60" s="825">
        <f>+G53-SUM(G55:H58)</f>
        <v>1654612</v>
      </c>
      <c r="H60" s="826"/>
      <c r="J60" s="827" t="s">
        <v>169</v>
      </c>
      <c r="K60" s="828"/>
      <c r="L60" s="828"/>
      <c r="M60" s="828"/>
      <c r="N60" s="828"/>
      <c r="O60" s="829"/>
    </row>
    <row r="61" spans="1:18" ht="13.5" thickBot="1" x14ac:dyDescent="0.25">
      <c r="B61" s="49"/>
      <c r="C61" s="50"/>
      <c r="D61" s="50"/>
      <c r="E61" s="50"/>
      <c r="F61" s="50"/>
      <c r="G61" s="45"/>
      <c r="H61" s="50"/>
      <c r="J61" s="129"/>
      <c r="K61" s="130"/>
      <c r="L61" s="130"/>
      <c r="M61" s="130"/>
      <c r="N61" s="130"/>
      <c r="O61" s="131"/>
    </row>
    <row r="62" spans="1:18" ht="13.5" thickBot="1" x14ac:dyDescent="0.25">
      <c r="B62" s="789" t="s">
        <v>170</v>
      </c>
      <c r="C62" s="790"/>
      <c r="D62" s="790"/>
      <c r="E62" s="790"/>
      <c r="F62" s="791"/>
      <c r="G62" s="805"/>
      <c r="H62" s="791"/>
      <c r="J62" s="129"/>
      <c r="K62" s="130"/>
      <c r="L62" s="130"/>
      <c r="M62" s="130"/>
      <c r="N62" s="130"/>
      <c r="O62" s="131"/>
    </row>
    <row r="63" spans="1:18" ht="12.75" customHeight="1" x14ac:dyDescent="0.2">
      <c r="B63" s="57" t="s">
        <v>171</v>
      </c>
      <c r="C63" s="806" t="s">
        <v>172</v>
      </c>
      <c r="D63" s="807"/>
      <c r="E63" s="807"/>
      <c r="F63" s="808"/>
      <c r="G63" s="809">
        <v>0</v>
      </c>
      <c r="H63" s="809"/>
      <c r="I63" s="58"/>
      <c r="J63" s="810" t="s">
        <v>173</v>
      </c>
      <c r="K63" s="811"/>
      <c r="L63" s="811"/>
      <c r="M63" s="811"/>
      <c r="N63" s="811"/>
      <c r="O63" s="812"/>
      <c r="Q63" s="59"/>
      <c r="R63" s="59"/>
    </row>
    <row r="64" spans="1:18" ht="13.5" thickBot="1" x14ac:dyDescent="0.25">
      <c r="D64" s="37"/>
      <c r="I64" s="58"/>
      <c r="J64" s="60" t="s">
        <v>254</v>
      </c>
      <c r="K64" s="132"/>
      <c r="L64" s="132"/>
      <c r="M64" s="133"/>
      <c r="N64" s="133"/>
      <c r="O64" s="134"/>
      <c r="Q64" s="59"/>
      <c r="R64" s="59"/>
    </row>
    <row r="65" spans="2:18" ht="13.5" thickBot="1" x14ac:dyDescent="0.25">
      <c r="B65" s="789" t="s">
        <v>175</v>
      </c>
      <c r="C65" s="790"/>
      <c r="D65" s="790"/>
      <c r="E65" s="790"/>
      <c r="F65" s="791"/>
      <c r="G65" s="805">
        <f>+G60-G63</f>
        <v>1654612</v>
      </c>
      <c r="H65" s="791"/>
      <c r="I65" s="63"/>
      <c r="J65" s="75" t="s">
        <v>1025</v>
      </c>
      <c r="K65" s="39"/>
      <c r="L65" s="39"/>
      <c r="M65" s="39"/>
      <c r="N65" s="39"/>
      <c r="O65" s="65"/>
      <c r="Q65" s="59"/>
      <c r="R65" s="59"/>
    </row>
    <row r="66" spans="2:18" ht="12.75" customHeight="1" x14ac:dyDescent="0.2">
      <c r="B66" s="48"/>
      <c r="C66" s="48"/>
      <c r="I66" s="63"/>
      <c r="J66" s="64"/>
      <c r="K66" s="39"/>
      <c r="L66" s="39"/>
      <c r="M66" s="39"/>
      <c r="N66" s="39"/>
      <c r="O66" s="65"/>
      <c r="Q66" s="59"/>
      <c r="R66" s="59"/>
    </row>
    <row r="67" spans="2:18" x14ac:dyDescent="0.2">
      <c r="B67" s="66" t="s">
        <v>176</v>
      </c>
      <c r="C67" s="48"/>
      <c r="I67" s="63"/>
      <c r="J67" s="67"/>
      <c r="K67" s="68"/>
      <c r="L67" s="68"/>
      <c r="M67" s="68"/>
      <c r="N67" s="68"/>
      <c r="O67" s="69"/>
      <c r="Q67" s="59"/>
      <c r="R67" s="59"/>
    </row>
    <row r="68" spans="2:18" ht="26.25" customHeight="1" thickBot="1" x14ac:dyDescent="0.25">
      <c r="B68" s="66"/>
      <c r="C68" s="48"/>
      <c r="G68" s="70" t="s">
        <v>177</v>
      </c>
      <c r="H68" s="70" t="s">
        <v>178</v>
      </c>
      <c r="I68" s="63"/>
      <c r="J68" s="810" t="s">
        <v>179</v>
      </c>
      <c r="K68" s="811"/>
      <c r="L68" s="71"/>
      <c r="M68" s="71"/>
      <c r="N68" s="71"/>
      <c r="O68" s="72"/>
      <c r="Q68" s="59"/>
      <c r="R68" s="59"/>
    </row>
    <row r="69" spans="2:18" ht="12.75" customHeight="1" x14ac:dyDescent="0.2">
      <c r="B69" s="802" t="s">
        <v>180</v>
      </c>
      <c r="C69" s="821" t="s">
        <v>181</v>
      </c>
      <c r="D69" s="823" t="s">
        <v>182</v>
      </c>
      <c r="E69" s="824"/>
      <c r="F69" s="824"/>
      <c r="G69" s="73">
        <f>+O43</f>
        <v>120000</v>
      </c>
      <c r="H69" s="74">
        <f t="shared" ref="H69:H77" si="5">+G69</f>
        <v>120000</v>
      </c>
      <c r="I69" s="63"/>
      <c r="J69" s="915"/>
      <c r="K69" s="916"/>
      <c r="L69" s="58"/>
      <c r="M69" s="58"/>
      <c r="N69" s="58"/>
      <c r="O69" s="76"/>
      <c r="Q69" s="59"/>
      <c r="R69" s="59"/>
    </row>
    <row r="70" spans="2:18" ht="12.75" customHeight="1" x14ac:dyDescent="0.2">
      <c r="B70" s="803"/>
      <c r="C70" s="822"/>
      <c r="D70" s="782" t="s">
        <v>184</v>
      </c>
      <c r="E70" s="783"/>
      <c r="F70" s="783"/>
      <c r="G70" s="77">
        <v>0</v>
      </c>
      <c r="H70" s="78">
        <f t="shared" si="5"/>
        <v>0</v>
      </c>
      <c r="I70" s="63"/>
      <c r="J70" s="915"/>
      <c r="K70" s="916"/>
      <c r="L70" s="68"/>
      <c r="M70" s="68"/>
      <c r="N70" s="135"/>
      <c r="O70" s="136"/>
      <c r="Q70" s="59"/>
      <c r="R70" s="59"/>
    </row>
    <row r="71" spans="2:18" ht="12.75" customHeight="1" x14ac:dyDescent="0.2">
      <c r="B71" s="803"/>
      <c r="C71" s="822"/>
      <c r="D71" s="819" t="s">
        <v>185</v>
      </c>
      <c r="E71" s="820"/>
      <c r="F71" s="820"/>
      <c r="G71" s="80">
        <f>O40</f>
        <v>720</v>
      </c>
      <c r="H71" s="78">
        <f t="shared" si="5"/>
        <v>720</v>
      </c>
      <c r="I71" s="63"/>
      <c r="J71" s="915"/>
      <c r="K71" s="916"/>
      <c r="L71" s="68"/>
      <c r="M71" s="68"/>
      <c r="N71" s="135"/>
      <c r="O71" s="136"/>
    </row>
    <row r="72" spans="2:18" x14ac:dyDescent="0.2">
      <c r="B72" s="803"/>
      <c r="C72" s="822"/>
      <c r="D72" s="782" t="s">
        <v>873</v>
      </c>
      <c r="E72" s="783"/>
      <c r="F72" s="783"/>
      <c r="G72" s="81">
        <v>0</v>
      </c>
      <c r="H72" s="78">
        <f t="shared" si="5"/>
        <v>0</v>
      </c>
      <c r="I72" s="63"/>
      <c r="J72" s="82" t="s">
        <v>187</v>
      </c>
      <c r="K72" s="71"/>
      <c r="L72" s="71"/>
      <c r="M72" s="71"/>
      <c r="N72" s="71"/>
      <c r="O72" s="72"/>
    </row>
    <row r="73" spans="2:18" ht="12.75" customHeight="1" x14ac:dyDescent="0.2">
      <c r="B73" s="803"/>
      <c r="C73" s="822"/>
      <c r="D73" s="784" t="s">
        <v>188</v>
      </c>
      <c r="E73" s="783"/>
      <c r="F73" s="783"/>
      <c r="G73" s="80">
        <v>0</v>
      </c>
      <c r="H73" s="78">
        <f t="shared" si="5"/>
        <v>0</v>
      </c>
      <c r="I73" s="63"/>
      <c r="J73" s="75" t="s">
        <v>189</v>
      </c>
      <c r="K73" s="50"/>
      <c r="L73" s="50"/>
      <c r="M73" s="50"/>
      <c r="N73" s="50"/>
      <c r="O73" s="83"/>
    </row>
    <row r="74" spans="2:18" ht="14.25" customHeight="1" x14ac:dyDescent="0.2">
      <c r="B74" s="803"/>
      <c r="C74" s="822"/>
      <c r="D74" s="782" t="s">
        <v>190</v>
      </c>
      <c r="E74" s="783"/>
      <c r="F74" s="783"/>
      <c r="G74" s="84">
        <v>0</v>
      </c>
      <c r="H74" s="78">
        <f t="shared" si="5"/>
        <v>0</v>
      </c>
      <c r="I74" s="63"/>
      <c r="J74" s="64"/>
      <c r="K74" s="39"/>
      <c r="L74" s="39"/>
      <c r="M74" s="39"/>
      <c r="N74" s="39"/>
      <c r="O74" s="65"/>
    </row>
    <row r="75" spans="2:18" x14ac:dyDescent="0.2">
      <c r="B75" s="803"/>
      <c r="C75" s="822"/>
      <c r="D75" s="782" t="s">
        <v>191</v>
      </c>
      <c r="E75" s="783"/>
      <c r="F75" s="783"/>
      <c r="G75" s="81">
        <v>0</v>
      </c>
      <c r="H75" s="78">
        <f t="shared" si="5"/>
        <v>0</v>
      </c>
      <c r="I75" s="58"/>
      <c r="J75" s="150"/>
      <c r="K75" s="50"/>
      <c r="L75" s="50"/>
      <c r="M75" s="50"/>
      <c r="N75" s="50"/>
      <c r="O75" s="83"/>
    </row>
    <row r="76" spans="2:18" x14ac:dyDescent="0.2">
      <c r="B76" s="803"/>
      <c r="C76" s="88" t="s">
        <v>192</v>
      </c>
      <c r="D76" s="813" t="s">
        <v>193</v>
      </c>
      <c r="E76" s="814"/>
      <c r="F76" s="814"/>
      <c r="G76" s="80">
        <v>0</v>
      </c>
      <c r="H76" s="78">
        <f t="shared" si="5"/>
        <v>0</v>
      </c>
      <c r="I76" s="58"/>
      <c r="J76" s="79"/>
      <c r="K76" s="39"/>
      <c r="L76" s="39"/>
      <c r="M76" s="39"/>
      <c r="N76" s="39"/>
      <c r="O76" s="65"/>
    </row>
    <row r="77" spans="2:18" ht="13.5" customHeight="1" thickBot="1" x14ac:dyDescent="0.25">
      <c r="B77" s="803"/>
      <c r="C77" s="88" t="s">
        <v>194</v>
      </c>
      <c r="D77" s="815" t="s">
        <v>195</v>
      </c>
      <c r="E77" s="815"/>
      <c r="F77" s="815"/>
      <c r="G77" s="89">
        <v>0</v>
      </c>
      <c r="H77" s="90">
        <f t="shared" si="5"/>
        <v>0</v>
      </c>
      <c r="I77" s="63"/>
      <c r="J77" s="67"/>
      <c r="K77" s="68"/>
      <c r="L77" s="68"/>
      <c r="M77" s="91"/>
      <c r="N77" s="91"/>
      <c r="O77" s="92"/>
    </row>
    <row r="78" spans="2:18" ht="13.5" thickBot="1" x14ac:dyDescent="0.25">
      <c r="B78" s="803"/>
      <c r="C78" s="93"/>
      <c r="D78" s="94"/>
      <c r="E78" s="816" t="s">
        <v>117</v>
      </c>
      <c r="F78" s="817"/>
      <c r="G78" s="95">
        <f>SUM(G69:G77)</f>
        <v>120720</v>
      </c>
      <c r="H78" s="96">
        <f>IF(SUM(G69:G75)&lt;150000,SUM(G69:G75),150000)+IF(+G76&lt;20000,+G76,20000)</f>
        <v>120720</v>
      </c>
      <c r="I78" s="63"/>
      <c r="J78" s="140"/>
      <c r="K78" s="141"/>
      <c r="L78" s="141"/>
      <c r="M78" s="142"/>
      <c r="N78" s="142"/>
      <c r="O78" s="143"/>
    </row>
    <row r="79" spans="2:18" ht="12.75" customHeight="1" x14ac:dyDescent="0.2">
      <c r="B79" s="803"/>
      <c r="C79" s="100" t="s">
        <v>196</v>
      </c>
      <c r="D79" s="782" t="s">
        <v>187</v>
      </c>
      <c r="E79" s="783"/>
      <c r="F79" s="818"/>
      <c r="G79" s="73">
        <f>+O42</f>
        <v>0</v>
      </c>
      <c r="H79" s="101">
        <f>+IF(+G79&lt;25000,+G79,25000)</f>
        <v>0</v>
      </c>
      <c r="I79" s="87"/>
    </row>
    <row r="80" spans="2:18" x14ac:dyDescent="0.2">
      <c r="B80" s="803"/>
      <c r="C80" s="100" t="s">
        <v>197</v>
      </c>
      <c r="D80" s="784" t="s">
        <v>198</v>
      </c>
      <c r="E80" s="785"/>
      <c r="F80" s="786"/>
      <c r="G80" s="102"/>
      <c r="H80" s="103">
        <f>+IF(+G80&lt;40000,+G80,40000)</f>
        <v>0</v>
      </c>
      <c r="I80" s="63"/>
    </row>
    <row r="81" spans="2:12" x14ac:dyDescent="0.2">
      <c r="B81" s="803"/>
      <c r="C81" s="100" t="s">
        <v>199</v>
      </c>
      <c r="D81" s="784" t="s">
        <v>200</v>
      </c>
      <c r="E81" s="785"/>
      <c r="F81" s="786"/>
      <c r="G81" s="81"/>
      <c r="H81" s="104">
        <v>0</v>
      </c>
      <c r="I81" s="63"/>
      <c r="J81" s="106"/>
    </row>
    <row r="82" spans="2:12" x14ac:dyDescent="0.2">
      <c r="B82" s="803"/>
      <c r="C82" s="100" t="s">
        <v>201</v>
      </c>
      <c r="D82" s="784" t="s">
        <v>202</v>
      </c>
      <c r="E82" s="785"/>
      <c r="F82" s="786"/>
      <c r="G82" s="81"/>
      <c r="H82" s="104">
        <v>0</v>
      </c>
      <c r="I82" s="63"/>
    </row>
    <row r="83" spans="2:12" ht="13.5" thickBot="1" x14ac:dyDescent="0.25">
      <c r="B83" s="804"/>
      <c r="C83" s="100" t="s">
        <v>203</v>
      </c>
      <c r="D83" s="784" t="s">
        <v>204</v>
      </c>
      <c r="E83" s="785"/>
      <c r="F83" s="786"/>
      <c r="G83" s="102"/>
      <c r="H83" s="103">
        <f>+IF(+G83&lt;100000,+G83,10000)</f>
        <v>0</v>
      </c>
      <c r="I83" s="63"/>
    </row>
    <row r="84" spans="2:12" ht="13.5" thickBot="1" x14ac:dyDescent="0.25">
      <c r="B84" s="787" t="s">
        <v>205</v>
      </c>
      <c r="C84" s="788"/>
      <c r="D84" s="788"/>
      <c r="E84" s="788"/>
      <c r="F84" s="788"/>
      <c r="G84" s="107">
        <f>SUM(G79:G83)</f>
        <v>0</v>
      </c>
      <c r="H84" s="108">
        <f>SUM(H78:H83)</f>
        <v>120720</v>
      </c>
    </row>
    <row r="85" spans="2:12" ht="13.5" thickBot="1" x14ac:dyDescent="0.25"/>
    <row r="86" spans="2:12" ht="13.5" thickBot="1" x14ac:dyDescent="0.25">
      <c r="B86" s="789" t="s">
        <v>206</v>
      </c>
      <c r="C86" s="790"/>
      <c r="D86" s="790"/>
      <c r="E86" s="790"/>
      <c r="F86" s="791"/>
      <c r="G86" s="792">
        <f>+G65-H84</f>
        <v>1533892</v>
      </c>
      <c r="H86" s="791"/>
      <c r="J86" s="109">
        <f>C37+D37+E37+F37</f>
        <v>552240</v>
      </c>
      <c r="K86" s="16" t="s">
        <v>235</v>
      </c>
    </row>
    <row r="87" spans="2:12" x14ac:dyDescent="0.2">
      <c r="B87" s="110"/>
      <c r="F87" s="105"/>
      <c r="J87" s="109">
        <f>G37+H37+I37</f>
        <v>422793</v>
      </c>
      <c r="K87" s="16" t="s">
        <v>236</v>
      </c>
    </row>
    <row r="88" spans="2:12" x14ac:dyDescent="0.2">
      <c r="C88" s="793" t="s">
        <v>207</v>
      </c>
      <c r="D88" s="794"/>
      <c r="E88" s="111" t="s">
        <v>208</v>
      </c>
      <c r="F88" s="111" t="s">
        <v>209</v>
      </c>
      <c r="G88" s="111" t="s">
        <v>210</v>
      </c>
      <c r="H88" s="111" t="s">
        <v>211</v>
      </c>
      <c r="J88" s="206">
        <f>J37+K37+L37</f>
        <v>435861</v>
      </c>
      <c r="K88" s="47" t="s">
        <v>237</v>
      </c>
    </row>
    <row r="89" spans="2:12" x14ac:dyDescent="0.2">
      <c r="C89" s="795" t="str">
        <f>IF(I6="M","0          - 250000","0          -  250000")</f>
        <v>0          - 250000</v>
      </c>
      <c r="D89" s="796"/>
      <c r="E89" s="112">
        <v>0</v>
      </c>
      <c r="F89" s="113">
        <f>IF(I6="M",(IF(G86&lt;250000,G86,250000)),(IF(G86&lt;250000,G86,250000)))</f>
        <v>250000</v>
      </c>
      <c r="G89" s="113">
        <f>G86-F89</f>
        <v>1283892</v>
      </c>
      <c r="H89" s="113">
        <f>E89*F89</f>
        <v>0</v>
      </c>
      <c r="J89" s="207">
        <f>M37+N37</f>
        <v>286218</v>
      </c>
      <c r="K89" s="1" t="s">
        <v>238</v>
      </c>
    </row>
    <row r="90" spans="2:12" x14ac:dyDescent="0.2">
      <c r="C90" s="795" t="str">
        <f>IF(I6="M","250001 - 500000","250001-500000")</f>
        <v>250001 - 500000</v>
      </c>
      <c r="D90" s="796"/>
      <c r="E90" s="112">
        <v>0.05</v>
      </c>
      <c r="F90" s="113">
        <f>IF(I6="M",(IF(G89&lt;250000,G89,250000)),(IF(G89&lt;250000,G89,250000)))</f>
        <v>250000</v>
      </c>
      <c r="G90" s="113">
        <f>G89-F90</f>
        <v>1033892</v>
      </c>
      <c r="H90" s="114">
        <f>ROUND(E90*F90,0.1)</f>
        <v>12500</v>
      </c>
      <c r="J90" s="115">
        <f>SUM(J86:J89)</f>
        <v>1697112</v>
      </c>
    </row>
    <row r="91" spans="2:12" x14ac:dyDescent="0.2">
      <c r="C91" s="797" t="s">
        <v>212</v>
      </c>
      <c r="D91" s="798"/>
      <c r="E91" s="112">
        <v>0.2</v>
      </c>
      <c r="F91" s="113">
        <f>IF(G90&lt;500000,G90,500000)</f>
        <v>500000</v>
      </c>
      <c r="G91" s="113">
        <f>G90-F91</f>
        <v>533892</v>
      </c>
      <c r="H91" s="114">
        <f>ROUND(E91*F91,0.1)</f>
        <v>100000</v>
      </c>
      <c r="J91" s="16">
        <f>+G86</f>
        <v>1533892</v>
      </c>
    </row>
    <row r="92" spans="2:12" x14ac:dyDescent="0.2">
      <c r="C92" s="795" t="s">
        <v>213</v>
      </c>
      <c r="D92" s="796"/>
      <c r="E92" s="112">
        <v>0.3</v>
      </c>
      <c r="F92" s="113">
        <f>G91</f>
        <v>533892</v>
      </c>
      <c r="G92" s="113">
        <f>G91-F92</f>
        <v>0</v>
      </c>
      <c r="H92" s="114">
        <f>ROUND(E92*F92,0.1)</f>
        <v>160168</v>
      </c>
      <c r="J92" s="16">
        <f>+J90-J91</f>
        <v>163220</v>
      </c>
    </row>
    <row r="93" spans="2:12" ht="12.75" customHeight="1" thickBot="1" x14ac:dyDescent="0.25">
      <c r="B93" s="116"/>
      <c r="C93" s="117"/>
      <c r="D93" s="47"/>
      <c r="E93" s="47"/>
      <c r="F93" s="47"/>
    </row>
    <row r="94" spans="2:12" ht="13.5" thickBot="1" x14ac:dyDescent="0.25">
      <c r="B94" s="799" t="s">
        <v>239</v>
      </c>
      <c r="C94" s="800"/>
      <c r="D94" s="800"/>
      <c r="E94" s="800"/>
      <c r="F94" s="801"/>
      <c r="G94" s="771">
        <f>H89+H90+H91+H92</f>
        <v>272668</v>
      </c>
      <c r="H94" s="772"/>
    </row>
    <row r="95" spans="2:12" ht="13.5" thickBot="1" x14ac:dyDescent="0.25">
      <c r="B95" s="119" t="s">
        <v>215</v>
      </c>
      <c r="C95" s="120"/>
      <c r="D95" s="120"/>
      <c r="E95" s="120"/>
      <c r="F95" s="120"/>
      <c r="G95" s="884">
        <f>IF((G65&lt;500000),5000,0)</f>
        <v>0</v>
      </c>
      <c r="H95" s="885">
        <f>IF(H93&lt;200000,0,IF(H93&lt;220000,((H93-200000)*10%),IF(H93&lt;=500000,2000,IF(H93&gt;=500000,0))))</f>
        <v>0</v>
      </c>
      <c r="J95" s="1"/>
      <c r="K95" s="121"/>
      <c r="L95" s="121"/>
    </row>
    <row r="96" spans="2:12" ht="13.5" thickBot="1" x14ac:dyDescent="0.25">
      <c r="B96" s="122" t="s">
        <v>216</v>
      </c>
      <c r="C96" s="123"/>
      <c r="D96" s="123"/>
      <c r="E96" s="123"/>
      <c r="F96" s="123"/>
      <c r="G96" s="771">
        <f>IF((G94-G95)&lt;0,0,(G94-G95))</f>
        <v>272668</v>
      </c>
      <c r="H96" s="772"/>
      <c r="I96" s="37"/>
    </row>
    <row r="97" spans="2:9" ht="13.5" thickBot="1" x14ac:dyDescent="0.25">
      <c r="B97" s="773" t="s">
        <v>240</v>
      </c>
      <c r="C97" s="774"/>
      <c r="D97" s="774"/>
      <c r="E97" s="774"/>
      <c r="F97" s="775"/>
      <c r="G97" s="776">
        <f>ROUND((IF(G96&gt;0,(G96*4%),0)),0)</f>
        <v>10907</v>
      </c>
      <c r="H97" s="777"/>
      <c r="I97" s="37"/>
    </row>
    <row r="98" spans="2:9" ht="13.5" thickBot="1" x14ac:dyDescent="0.25">
      <c r="B98" s="778" t="s">
        <v>218</v>
      </c>
      <c r="C98" s="779"/>
      <c r="D98" s="779"/>
      <c r="E98" s="779"/>
      <c r="F98" s="779"/>
      <c r="G98" s="780">
        <f>G96+G97</f>
        <v>283575</v>
      </c>
      <c r="H98" s="781"/>
      <c r="I98" s="121"/>
    </row>
    <row r="99" spans="2:9" ht="13.5" thickBot="1" x14ac:dyDescent="0.25">
      <c r="B99" s="765" t="s">
        <v>219</v>
      </c>
      <c r="C99" s="766"/>
      <c r="D99" s="766"/>
      <c r="E99" s="766"/>
      <c r="F99" s="766"/>
      <c r="G99" s="767">
        <f>O38</f>
        <v>283580</v>
      </c>
      <c r="H99" s="768"/>
      <c r="I99" s="121"/>
    </row>
    <row r="100" spans="2:9" ht="13.5" thickBot="1" x14ac:dyDescent="0.25">
      <c r="B100" s="765" t="str">
        <f>IF(G100&gt;0,"TAX PAYABLE","TAX REFUND")</f>
        <v>TAX REFUND</v>
      </c>
      <c r="C100" s="766"/>
      <c r="D100" s="766"/>
      <c r="E100" s="766"/>
      <c r="F100" s="766"/>
      <c r="G100" s="767">
        <f>+G98-G99</f>
        <v>-5</v>
      </c>
      <c r="H100" s="768"/>
      <c r="I100" s="37"/>
    </row>
    <row r="101" spans="2:9" x14ac:dyDescent="0.2">
      <c r="C101" s="124"/>
      <c r="D101" s="45"/>
      <c r="E101" s="118"/>
      <c r="F101" s="118"/>
      <c r="G101" s="118"/>
      <c r="H101" s="118"/>
      <c r="I101" s="125"/>
    </row>
    <row r="102" spans="2:9" x14ac:dyDescent="0.2">
      <c r="C102" s="47"/>
      <c r="D102" s="50"/>
      <c r="E102" s="117"/>
      <c r="F102" s="47"/>
      <c r="G102" s="47"/>
      <c r="H102" s="47"/>
      <c r="I102" s="125"/>
    </row>
    <row r="103" spans="2:9" x14ac:dyDescent="0.2">
      <c r="C103" s="39"/>
      <c r="D103" s="126"/>
      <c r="E103" s="126"/>
      <c r="F103" s="126"/>
      <c r="G103" s="39"/>
      <c r="H103" s="39"/>
      <c r="I103" s="37"/>
    </row>
    <row r="104" spans="2:9" x14ac:dyDescent="0.2">
      <c r="C104" s="39"/>
      <c r="D104" s="126"/>
      <c r="E104" s="126"/>
      <c r="F104" s="39"/>
      <c r="G104" s="39"/>
      <c r="H104" s="39"/>
      <c r="I104" s="37"/>
    </row>
    <row r="105" spans="2:9" x14ac:dyDescent="0.2">
      <c r="C105" s="39"/>
      <c r="D105" s="126"/>
      <c r="E105" s="126"/>
      <c r="F105" s="39"/>
      <c r="G105" s="39"/>
      <c r="H105" s="39"/>
      <c r="I105" s="37"/>
    </row>
    <row r="106" spans="2:9" x14ac:dyDescent="0.2">
      <c r="C106" s="39"/>
      <c r="D106" s="39"/>
      <c r="E106" s="39"/>
      <c r="F106" s="39"/>
      <c r="G106" s="39"/>
      <c r="H106" s="39"/>
      <c r="I106" s="37"/>
    </row>
    <row r="107" spans="2:9" x14ac:dyDescent="0.2">
      <c r="C107" s="39"/>
      <c r="D107" s="39"/>
      <c r="E107" s="39"/>
      <c r="F107" s="39"/>
      <c r="G107" s="39"/>
      <c r="H107" s="39"/>
    </row>
    <row r="108" spans="2:9" x14ac:dyDescent="0.2">
      <c r="C108" s="39"/>
      <c r="D108" s="39"/>
      <c r="E108" s="39"/>
      <c r="F108" s="39"/>
      <c r="G108" s="39"/>
      <c r="H108" s="39"/>
    </row>
  </sheetData>
  <mergeCells count="96">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60:F60"/>
    <mergeCell ref="G60:H60"/>
    <mergeCell ref="J60:O60"/>
    <mergeCell ref="B55:B58"/>
    <mergeCell ref="C55:C58"/>
    <mergeCell ref="D55:F55"/>
    <mergeCell ref="G55:H55"/>
    <mergeCell ref="D56:F56"/>
    <mergeCell ref="G56:H56"/>
    <mergeCell ref="J56:L56"/>
    <mergeCell ref="M56:O56"/>
    <mergeCell ref="D58:F58"/>
    <mergeCell ref="G58:H58"/>
    <mergeCell ref="G62:H62"/>
    <mergeCell ref="C63:F63"/>
    <mergeCell ref="G63:H63"/>
    <mergeCell ref="J63:O63"/>
    <mergeCell ref="J68:K68"/>
    <mergeCell ref="B65:F65"/>
    <mergeCell ref="G65:H65"/>
    <mergeCell ref="B62:F62"/>
    <mergeCell ref="J69:K69"/>
    <mergeCell ref="D70:F70"/>
    <mergeCell ref="J70:K70"/>
    <mergeCell ref="D71:F71"/>
    <mergeCell ref="J71:K71"/>
    <mergeCell ref="B84:F84"/>
    <mergeCell ref="D73:F73"/>
    <mergeCell ref="D74:F74"/>
    <mergeCell ref="D75:F75"/>
    <mergeCell ref="D76:F76"/>
    <mergeCell ref="D77:F77"/>
    <mergeCell ref="E78:F78"/>
    <mergeCell ref="D79:F79"/>
    <mergeCell ref="D80:F80"/>
    <mergeCell ref="D81:F81"/>
    <mergeCell ref="D82:F82"/>
    <mergeCell ref="D83:F83"/>
    <mergeCell ref="B69:B83"/>
    <mergeCell ref="C69:C75"/>
    <mergeCell ref="D69:F69"/>
    <mergeCell ref="D72:F72"/>
    <mergeCell ref="B97:F97"/>
    <mergeCell ref="G97:H97"/>
    <mergeCell ref="B86:F86"/>
    <mergeCell ref="G86:H86"/>
    <mergeCell ref="C88:D88"/>
    <mergeCell ref="C89:D89"/>
    <mergeCell ref="C90:D90"/>
    <mergeCell ref="C91:D91"/>
    <mergeCell ref="C92:D92"/>
    <mergeCell ref="B94:F94"/>
    <mergeCell ref="G94:H94"/>
    <mergeCell ref="G95:H95"/>
    <mergeCell ref="G96:H96"/>
    <mergeCell ref="B98:F98"/>
    <mergeCell ref="G98:H98"/>
    <mergeCell ref="B99:F99"/>
    <mergeCell ref="G99:H99"/>
    <mergeCell ref="B100:F100"/>
    <mergeCell ref="G100:H100"/>
  </mergeCells>
  <conditionalFormatting sqref="B91:F91 B100:F100 B94:F98">
    <cfRule type="cellIs" dxfId="361" priority="3" stopIfTrue="1" operator="equal">
      <formula>"TAX PAYABLE"</formula>
    </cfRule>
    <cfRule type="cellIs" dxfId="360" priority="4" stopIfTrue="1" operator="equal">
      <formula>"TAX REFUND"</formula>
    </cfRule>
  </conditionalFormatting>
  <conditionalFormatting sqref="G100:H100">
    <cfRule type="cellIs" dxfId="359" priority="1" stopIfTrue="1" operator="greaterThan">
      <formula>0</formula>
    </cfRule>
    <cfRule type="cellIs" dxfId="358"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07"/>
  <sheetViews>
    <sheetView topLeftCell="A56" workbookViewId="0">
      <selection activeCell="G74" sqref="G74"/>
    </sheetView>
  </sheetViews>
  <sheetFormatPr defaultRowHeight="12.75" x14ac:dyDescent="0.2"/>
  <cols>
    <col min="1" max="1" width="5" style="16" customWidth="1"/>
    <col min="2" max="2" width="19" style="37" customWidth="1"/>
    <col min="3" max="14" width="8.28515625" style="16" customWidth="1"/>
    <col min="15" max="15" width="7.570312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9" style="16" customWidth="1"/>
    <col min="259" max="270" width="8.28515625" style="16" customWidth="1"/>
    <col min="271" max="271" width="7.570312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9" style="16" customWidth="1"/>
    <col min="515" max="526" width="8.28515625" style="16" customWidth="1"/>
    <col min="527" max="527" width="7.570312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9" style="16" customWidth="1"/>
    <col min="771" max="782" width="8.28515625" style="16" customWidth="1"/>
    <col min="783" max="783" width="7.570312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9" style="16" customWidth="1"/>
    <col min="1027" max="1038" width="8.28515625" style="16" customWidth="1"/>
    <col min="1039" max="1039" width="7.570312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9" style="16" customWidth="1"/>
    <col min="1283" max="1294" width="8.28515625" style="16" customWidth="1"/>
    <col min="1295" max="1295" width="7.570312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9" style="16" customWidth="1"/>
    <col min="1539" max="1550" width="8.28515625" style="16" customWidth="1"/>
    <col min="1551" max="1551" width="7.570312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9" style="16" customWidth="1"/>
    <col min="1795" max="1806" width="8.28515625" style="16" customWidth="1"/>
    <col min="1807" max="1807" width="7.570312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9" style="16" customWidth="1"/>
    <col min="2051" max="2062" width="8.28515625" style="16" customWidth="1"/>
    <col min="2063" max="2063" width="7.570312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9" style="16" customWidth="1"/>
    <col min="2307" max="2318" width="8.28515625" style="16" customWidth="1"/>
    <col min="2319" max="2319" width="7.570312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9" style="16" customWidth="1"/>
    <col min="2563" max="2574" width="8.28515625" style="16" customWidth="1"/>
    <col min="2575" max="2575" width="7.570312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9" style="16" customWidth="1"/>
    <col min="2819" max="2830" width="8.28515625" style="16" customWidth="1"/>
    <col min="2831" max="2831" width="7.570312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9" style="16" customWidth="1"/>
    <col min="3075" max="3086" width="8.28515625" style="16" customWidth="1"/>
    <col min="3087" max="3087" width="7.570312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9" style="16" customWidth="1"/>
    <col min="3331" max="3342" width="8.28515625" style="16" customWidth="1"/>
    <col min="3343" max="3343" width="7.570312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9" style="16" customWidth="1"/>
    <col min="3587" max="3598" width="8.28515625" style="16" customWidth="1"/>
    <col min="3599" max="3599" width="7.570312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9" style="16" customWidth="1"/>
    <col min="3843" max="3854" width="8.28515625" style="16" customWidth="1"/>
    <col min="3855" max="3855" width="7.570312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9" style="16" customWidth="1"/>
    <col min="4099" max="4110" width="8.28515625" style="16" customWidth="1"/>
    <col min="4111" max="4111" width="7.570312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9" style="16" customWidth="1"/>
    <col min="4355" max="4366" width="8.28515625" style="16" customWidth="1"/>
    <col min="4367" max="4367" width="7.570312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9" style="16" customWidth="1"/>
    <col min="4611" max="4622" width="8.28515625" style="16" customWidth="1"/>
    <col min="4623" max="4623" width="7.570312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9" style="16" customWidth="1"/>
    <col min="4867" max="4878" width="8.28515625" style="16" customWidth="1"/>
    <col min="4879" max="4879" width="7.570312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9" style="16" customWidth="1"/>
    <col min="5123" max="5134" width="8.28515625" style="16" customWidth="1"/>
    <col min="5135" max="5135" width="7.570312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9" style="16" customWidth="1"/>
    <col min="5379" max="5390" width="8.28515625" style="16" customWidth="1"/>
    <col min="5391" max="5391" width="7.570312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9" style="16" customWidth="1"/>
    <col min="5635" max="5646" width="8.28515625" style="16" customWidth="1"/>
    <col min="5647" max="5647" width="7.570312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9" style="16" customWidth="1"/>
    <col min="5891" max="5902" width="8.28515625" style="16" customWidth="1"/>
    <col min="5903" max="5903" width="7.570312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9" style="16" customWidth="1"/>
    <col min="6147" max="6158" width="8.28515625" style="16" customWidth="1"/>
    <col min="6159" max="6159" width="7.570312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9" style="16" customWidth="1"/>
    <col min="6403" max="6414" width="8.28515625" style="16" customWidth="1"/>
    <col min="6415" max="6415" width="7.570312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9" style="16" customWidth="1"/>
    <col min="6659" max="6670" width="8.28515625" style="16" customWidth="1"/>
    <col min="6671" max="6671" width="7.570312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9" style="16" customWidth="1"/>
    <col min="6915" max="6926" width="8.28515625" style="16" customWidth="1"/>
    <col min="6927" max="6927" width="7.570312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9" style="16" customWidth="1"/>
    <col min="7171" max="7182" width="8.28515625" style="16" customWidth="1"/>
    <col min="7183" max="7183" width="7.570312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9" style="16" customWidth="1"/>
    <col min="7427" max="7438" width="8.28515625" style="16" customWidth="1"/>
    <col min="7439" max="7439" width="7.570312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9" style="16" customWidth="1"/>
    <col min="7683" max="7694" width="8.28515625" style="16" customWidth="1"/>
    <col min="7695" max="7695" width="7.570312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9" style="16" customWidth="1"/>
    <col min="7939" max="7950" width="8.28515625" style="16" customWidth="1"/>
    <col min="7951" max="7951" width="7.570312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9" style="16" customWidth="1"/>
    <col min="8195" max="8206" width="8.28515625" style="16" customWidth="1"/>
    <col min="8207" max="8207" width="7.570312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9" style="16" customWidth="1"/>
    <col min="8451" max="8462" width="8.28515625" style="16" customWidth="1"/>
    <col min="8463" max="8463" width="7.570312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9" style="16" customWidth="1"/>
    <col min="8707" max="8718" width="8.28515625" style="16" customWidth="1"/>
    <col min="8719" max="8719" width="7.570312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9" style="16" customWidth="1"/>
    <col min="8963" max="8974" width="8.28515625" style="16" customWidth="1"/>
    <col min="8975" max="8975" width="7.570312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9" style="16" customWidth="1"/>
    <col min="9219" max="9230" width="8.28515625" style="16" customWidth="1"/>
    <col min="9231" max="9231" width="7.570312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9" style="16" customWidth="1"/>
    <col min="9475" max="9486" width="8.28515625" style="16" customWidth="1"/>
    <col min="9487" max="9487" width="7.570312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9" style="16" customWidth="1"/>
    <col min="9731" max="9742" width="8.28515625" style="16" customWidth="1"/>
    <col min="9743" max="9743" width="7.570312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9" style="16" customWidth="1"/>
    <col min="9987" max="9998" width="8.28515625" style="16" customWidth="1"/>
    <col min="9999" max="9999" width="7.570312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9" style="16" customWidth="1"/>
    <col min="10243" max="10254" width="8.28515625" style="16" customWidth="1"/>
    <col min="10255" max="10255" width="7.570312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9" style="16" customWidth="1"/>
    <col min="10499" max="10510" width="8.28515625" style="16" customWidth="1"/>
    <col min="10511" max="10511" width="7.570312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9" style="16" customWidth="1"/>
    <col min="10755" max="10766" width="8.28515625" style="16" customWidth="1"/>
    <col min="10767" max="10767" width="7.570312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9" style="16" customWidth="1"/>
    <col min="11011" max="11022" width="8.28515625" style="16" customWidth="1"/>
    <col min="11023" max="11023" width="7.570312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9" style="16" customWidth="1"/>
    <col min="11267" max="11278" width="8.28515625" style="16" customWidth="1"/>
    <col min="11279" max="11279" width="7.570312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9" style="16" customWidth="1"/>
    <col min="11523" max="11534" width="8.28515625" style="16" customWidth="1"/>
    <col min="11535" max="11535" width="7.570312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9" style="16" customWidth="1"/>
    <col min="11779" max="11790" width="8.28515625" style="16" customWidth="1"/>
    <col min="11791" max="11791" width="7.570312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9" style="16" customWidth="1"/>
    <col min="12035" max="12046" width="8.28515625" style="16" customWidth="1"/>
    <col min="12047" max="12047" width="7.570312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9" style="16" customWidth="1"/>
    <col min="12291" max="12302" width="8.28515625" style="16" customWidth="1"/>
    <col min="12303" max="12303" width="7.570312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9" style="16" customWidth="1"/>
    <col min="12547" max="12558" width="8.28515625" style="16" customWidth="1"/>
    <col min="12559" max="12559" width="7.570312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9" style="16" customWidth="1"/>
    <col min="12803" max="12814" width="8.28515625" style="16" customWidth="1"/>
    <col min="12815" max="12815" width="7.570312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9" style="16" customWidth="1"/>
    <col min="13059" max="13070" width="8.28515625" style="16" customWidth="1"/>
    <col min="13071" max="13071" width="7.570312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9" style="16" customWidth="1"/>
    <col min="13315" max="13326" width="8.28515625" style="16" customWidth="1"/>
    <col min="13327" max="13327" width="7.570312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9" style="16" customWidth="1"/>
    <col min="13571" max="13582" width="8.28515625" style="16" customWidth="1"/>
    <col min="13583" max="13583" width="7.570312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9" style="16" customWidth="1"/>
    <col min="13827" max="13838" width="8.28515625" style="16" customWidth="1"/>
    <col min="13839" max="13839" width="7.570312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9" style="16" customWidth="1"/>
    <col min="14083" max="14094" width="8.28515625" style="16" customWidth="1"/>
    <col min="14095" max="14095" width="7.570312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9" style="16" customWidth="1"/>
    <col min="14339" max="14350" width="8.28515625" style="16" customWidth="1"/>
    <col min="14351" max="14351" width="7.570312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9" style="16" customWidth="1"/>
    <col min="14595" max="14606" width="8.28515625" style="16" customWidth="1"/>
    <col min="14607" max="14607" width="7.570312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9" style="16" customWidth="1"/>
    <col min="14851" max="14862" width="8.28515625" style="16" customWidth="1"/>
    <col min="14863" max="14863" width="7.570312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9" style="16" customWidth="1"/>
    <col min="15107" max="15118" width="8.28515625" style="16" customWidth="1"/>
    <col min="15119" max="15119" width="7.570312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9" style="16" customWidth="1"/>
    <col min="15363" max="15374" width="8.28515625" style="16" customWidth="1"/>
    <col min="15375" max="15375" width="7.570312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9" style="16" customWidth="1"/>
    <col min="15619" max="15630" width="8.28515625" style="16" customWidth="1"/>
    <col min="15631" max="15631" width="7.570312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9" style="16" customWidth="1"/>
    <col min="15875" max="15886" width="8.28515625" style="16" customWidth="1"/>
    <col min="15887" max="15887" width="7.570312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9" style="16" customWidth="1"/>
    <col min="16131" max="16142" width="8.28515625" style="16" customWidth="1"/>
    <col min="16143" max="16143" width="7.570312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20" s="1" customFormat="1" x14ac:dyDescent="0.2">
      <c r="A1" s="867" t="s">
        <v>449</v>
      </c>
      <c r="B1" s="868"/>
      <c r="C1" s="868"/>
      <c r="D1" s="869"/>
      <c r="E1" s="868"/>
      <c r="F1" s="868"/>
      <c r="G1" s="867" t="s">
        <v>102</v>
      </c>
      <c r="H1" s="869"/>
      <c r="I1" s="869" t="s">
        <v>952</v>
      </c>
      <c r="J1" s="868"/>
      <c r="K1" s="868"/>
      <c r="L1" s="870"/>
      <c r="M1" s="870"/>
      <c r="N1" s="870"/>
      <c r="O1" s="870"/>
    </row>
    <row r="2" spans="1:20" s="1" customFormat="1" x14ac:dyDescent="0.2">
      <c r="A2" s="867" t="s">
        <v>103</v>
      </c>
      <c r="B2" s="868"/>
      <c r="C2" s="868"/>
      <c r="D2" s="869"/>
      <c r="E2" s="868"/>
      <c r="F2" s="868"/>
      <c r="G2" s="867" t="s">
        <v>104</v>
      </c>
      <c r="H2" s="869"/>
      <c r="I2" s="869" t="s">
        <v>105</v>
      </c>
      <c r="J2" s="868"/>
      <c r="K2" s="868"/>
      <c r="L2" s="870"/>
      <c r="M2" s="870"/>
      <c r="N2" s="870"/>
      <c r="O2" s="870"/>
    </row>
    <row r="3" spans="1:20" s="1" customFormat="1" x14ac:dyDescent="0.2">
      <c r="A3" s="867" t="s">
        <v>106</v>
      </c>
      <c r="B3" s="868"/>
      <c r="C3" s="868"/>
      <c r="D3" s="881">
        <v>22150</v>
      </c>
      <c r="E3" s="882"/>
      <c r="F3" s="882"/>
      <c r="G3" s="867" t="s">
        <v>107</v>
      </c>
      <c r="H3" s="869"/>
      <c r="I3" s="869" t="s">
        <v>108</v>
      </c>
      <c r="J3" s="868"/>
      <c r="K3" s="868"/>
      <c r="L3" s="870"/>
      <c r="M3" s="870"/>
      <c r="N3" s="870"/>
      <c r="O3" s="870"/>
    </row>
    <row r="4" spans="1:20" s="1" customFormat="1" x14ac:dyDescent="0.2">
      <c r="A4" s="867" t="s">
        <v>109</v>
      </c>
      <c r="B4" s="868"/>
      <c r="C4" s="868"/>
      <c r="D4" s="869"/>
      <c r="E4" s="868"/>
      <c r="F4" s="868"/>
      <c r="G4" s="867" t="s">
        <v>110</v>
      </c>
      <c r="H4" s="869"/>
      <c r="I4" s="869" t="s">
        <v>300</v>
      </c>
      <c r="J4" s="868"/>
      <c r="K4" s="868"/>
      <c r="L4" s="870"/>
      <c r="M4" s="870"/>
      <c r="N4" s="870"/>
      <c r="O4" s="870"/>
    </row>
    <row r="5" spans="1:20" s="1" customFormat="1" x14ac:dyDescent="0.2">
      <c r="A5" s="867" t="s">
        <v>443</v>
      </c>
      <c r="B5" s="868"/>
      <c r="C5" s="868"/>
      <c r="D5" s="869" t="s">
        <v>1009</v>
      </c>
      <c r="E5" s="868"/>
      <c r="F5" s="868"/>
      <c r="G5" s="867"/>
      <c r="H5" s="868"/>
      <c r="I5" s="869" t="s">
        <v>113</v>
      </c>
      <c r="J5" s="868"/>
      <c r="K5" s="868"/>
      <c r="L5" s="870"/>
      <c r="M5" s="870"/>
      <c r="N5" s="870"/>
      <c r="O5" s="870"/>
    </row>
    <row r="6" spans="1:20" s="1" customFormat="1" x14ac:dyDescent="0.2">
      <c r="A6" s="871" t="s">
        <v>114</v>
      </c>
      <c r="B6" s="872"/>
      <c r="C6" s="872"/>
      <c r="D6" s="868" t="s">
        <v>953</v>
      </c>
      <c r="E6" s="868"/>
      <c r="F6" s="868"/>
      <c r="G6" s="871" t="s">
        <v>115</v>
      </c>
      <c r="H6" s="871"/>
      <c r="I6" s="2" t="s">
        <v>116</v>
      </c>
      <c r="J6" s="888"/>
      <c r="K6" s="888"/>
      <c r="L6" s="888"/>
      <c r="M6" s="888"/>
      <c r="N6" s="888"/>
      <c r="O6" s="889"/>
    </row>
    <row r="7" spans="1:20" s="1" customFormat="1" ht="13.5" thickBot="1" x14ac:dyDescent="0.25">
      <c r="A7" s="3"/>
      <c r="B7" s="4"/>
      <c r="C7" s="5"/>
      <c r="D7" s="6"/>
      <c r="E7" s="6"/>
      <c r="F7" s="6"/>
      <c r="G7" s="6"/>
      <c r="H7" s="6"/>
      <c r="I7" s="6"/>
      <c r="J7" s="7"/>
      <c r="K7" s="8"/>
      <c r="L7" s="875" t="s">
        <v>223</v>
      </c>
      <c r="M7" s="875"/>
      <c r="N7" s="875"/>
      <c r="O7" s="875"/>
    </row>
    <row r="8" spans="1:20" s="11" customFormat="1" x14ac:dyDescent="0.2">
      <c r="A8" s="876" t="str">
        <f>I1</f>
        <v>Mr. A.S. Kambli</v>
      </c>
      <c r="B8" s="877"/>
      <c r="C8" s="9">
        <v>43160</v>
      </c>
      <c r="D8" s="9">
        <v>43191</v>
      </c>
      <c r="E8" s="9">
        <v>43221</v>
      </c>
      <c r="F8" s="9">
        <v>43252</v>
      </c>
      <c r="G8" s="9">
        <v>43282</v>
      </c>
      <c r="H8" s="9">
        <v>43313</v>
      </c>
      <c r="I8" s="9">
        <v>43344</v>
      </c>
      <c r="J8" s="9">
        <v>43374</v>
      </c>
      <c r="K8" s="9">
        <v>43405</v>
      </c>
      <c r="L8" s="9">
        <v>43435</v>
      </c>
      <c r="M8" s="9">
        <v>43466</v>
      </c>
      <c r="N8" s="9">
        <v>43497</v>
      </c>
      <c r="O8" s="10" t="s">
        <v>117</v>
      </c>
    </row>
    <row r="9" spans="1:20" ht="15" x14ac:dyDescent="0.2">
      <c r="A9" s="12"/>
      <c r="B9" s="13" t="s">
        <v>118</v>
      </c>
      <c r="C9" s="14">
        <v>45400</v>
      </c>
      <c r="D9" s="14">
        <v>45400</v>
      </c>
      <c r="E9" s="14">
        <v>47600</v>
      </c>
      <c r="F9" s="14">
        <v>47600</v>
      </c>
      <c r="G9" s="14">
        <v>49000</v>
      </c>
      <c r="H9" s="14">
        <v>49000</v>
      </c>
      <c r="I9" s="14">
        <v>49000</v>
      </c>
      <c r="J9" s="14">
        <v>49000</v>
      </c>
      <c r="K9" s="14">
        <v>49000</v>
      </c>
      <c r="L9" s="14">
        <v>49000</v>
      </c>
      <c r="M9" s="14">
        <v>49000</v>
      </c>
      <c r="N9" s="14">
        <v>49000</v>
      </c>
      <c r="O9" s="15">
        <f>SUM(C9:N9)</f>
        <v>578000</v>
      </c>
    </row>
    <row r="10" spans="1:20" ht="15.75" thickBot="1" x14ac:dyDescent="0.25">
      <c r="A10" s="12"/>
      <c r="B10" s="13" t="s">
        <v>1010</v>
      </c>
      <c r="C10" s="17">
        <v>0</v>
      </c>
      <c r="D10" s="17">
        <v>0</v>
      </c>
      <c r="E10" s="17">
        <v>0</v>
      </c>
      <c r="F10" s="17">
        <v>0</v>
      </c>
      <c r="G10" s="17">
        <v>0</v>
      </c>
      <c r="H10" s="17">
        <v>0</v>
      </c>
      <c r="I10" s="17">
        <v>0</v>
      </c>
      <c r="J10" s="17">
        <v>0</v>
      </c>
      <c r="K10" s="17">
        <v>0</v>
      </c>
      <c r="L10" s="17">
        <v>0</v>
      </c>
      <c r="M10" s="17">
        <v>0</v>
      </c>
      <c r="N10" s="17">
        <v>0</v>
      </c>
      <c r="O10" s="18">
        <f>SUM(C10:N10)</f>
        <v>0</v>
      </c>
    </row>
    <row r="11" spans="1:20" ht="15" x14ac:dyDescent="0.2">
      <c r="A11" s="12"/>
      <c r="B11" s="13" t="s">
        <v>120</v>
      </c>
      <c r="C11" s="17">
        <v>2270</v>
      </c>
      <c r="D11" s="17">
        <v>3178</v>
      </c>
      <c r="E11" s="17">
        <v>3332</v>
      </c>
      <c r="F11" s="17">
        <v>3332</v>
      </c>
      <c r="G11" s="17">
        <v>3430</v>
      </c>
      <c r="H11" s="17">
        <v>3430</v>
      </c>
      <c r="I11" s="17">
        <v>3430</v>
      </c>
      <c r="J11" s="17">
        <v>4410</v>
      </c>
      <c r="K11" s="17">
        <v>4410</v>
      </c>
      <c r="L11" s="17">
        <v>4410</v>
      </c>
      <c r="M11" s="17">
        <v>4410</v>
      </c>
      <c r="N11" s="17">
        <v>4410</v>
      </c>
      <c r="O11" s="18">
        <f>SUM(C11:N11)</f>
        <v>44452</v>
      </c>
      <c r="R11" s="9"/>
    </row>
    <row r="12" spans="1:20"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20"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20" ht="15" x14ac:dyDescent="0.2">
      <c r="A14" s="12"/>
      <c r="B14" s="13" t="s">
        <v>123</v>
      </c>
      <c r="C14" s="17">
        <v>3780</v>
      </c>
      <c r="D14" s="17">
        <v>3852</v>
      </c>
      <c r="E14" s="17">
        <v>3852</v>
      </c>
      <c r="F14" s="17">
        <v>3852</v>
      </c>
      <c r="G14" s="17">
        <v>3852</v>
      </c>
      <c r="H14" s="17">
        <v>3852</v>
      </c>
      <c r="I14" s="17">
        <v>3852</v>
      </c>
      <c r="J14" s="17">
        <v>3924</v>
      </c>
      <c r="K14" s="17">
        <v>3924</v>
      </c>
      <c r="L14" s="17">
        <v>3924</v>
      </c>
      <c r="M14" s="17">
        <v>3924</v>
      </c>
      <c r="N14" s="17">
        <v>3924</v>
      </c>
      <c r="O14" s="18">
        <f t="shared" si="0"/>
        <v>46512</v>
      </c>
    </row>
    <row r="15" spans="1:20"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20" ht="15" x14ac:dyDescent="0.2">
      <c r="A16" s="12"/>
      <c r="B16" s="13" t="s">
        <v>125</v>
      </c>
      <c r="C16" s="17">
        <v>0</v>
      </c>
      <c r="D16" s="17">
        <v>0</v>
      </c>
      <c r="E16" s="17">
        <v>0</v>
      </c>
      <c r="F16" s="17">
        <v>0</v>
      </c>
      <c r="G16" s="17">
        <v>5000</v>
      </c>
      <c r="H16" s="17">
        <v>0</v>
      </c>
      <c r="I16" s="17">
        <v>0</v>
      </c>
      <c r="J16" s="17">
        <v>0</v>
      </c>
      <c r="K16" s="17">
        <v>0</v>
      </c>
      <c r="L16" s="17">
        <v>0</v>
      </c>
      <c r="M16" s="17">
        <v>0</v>
      </c>
      <c r="N16" s="17">
        <v>0</v>
      </c>
      <c r="O16" s="18">
        <f t="shared" si="0"/>
        <v>5000</v>
      </c>
      <c r="T16" s="205"/>
    </row>
    <row r="17" spans="1:20"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20"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c r="T18" s="16">
        <v>0</v>
      </c>
    </row>
    <row r="19" spans="1:20" ht="15" x14ac:dyDescent="0.2">
      <c r="A19" s="12"/>
      <c r="B19" s="13" t="s">
        <v>128</v>
      </c>
      <c r="C19" s="17">
        <v>10896</v>
      </c>
      <c r="D19" s="17">
        <v>10896</v>
      </c>
      <c r="E19" s="17">
        <v>11424</v>
      </c>
      <c r="F19" s="17">
        <v>11424</v>
      </c>
      <c r="G19" s="17">
        <v>11760</v>
      </c>
      <c r="H19" s="17">
        <v>11760</v>
      </c>
      <c r="I19" s="17">
        <v>11760</v>
      </c>
      <c r="J19" s="17">
        <v>11760</v>
      </c>
      <c r="K19" s="17">
        <v>11760</v>
      </c>
      <c r="L19" s="17">
        <v>11760</v>
      </c>
      <c r="M19" s="17">
        <v>11760</v>
      </c>
      <c r="N19" s="17">
        <v>11760</v>
      </c>
      <c r="O19" s="18">
        <f t="shared" si="0"/>
        <v>138720</v>
      </c>
    </row>
    <row r="20" spans="1:20"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20" ht="15" hidden="1" customHeight="1" x14ac:dyDescent="0.2">
      <c r="A21" s="878"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20" ht="15" customHeight="1" x14ac:dyDescent="0.2">
      <c r="A22" s="879"/>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20" ht="15" hidden="1" customHeight="1" x14ac:dyDescent="0.2">
      <c r="A23" s="879"/>
      <c r="B23" s="19" t="s">
        <v>133</v>
      </c>
      <c r="C23" s="17">
        <v>0</v>
      </c>
      <c r="D23" s="17">
        <v>0</v>
      </c>
      <c r="E23" s="17">
        <v>0</v>
      </c>
      <c r="F23" s="17">
        <v>0</v>
      </c>
      <c r="G23" s="17">
        <v>0</v>
      </c>
      <c r="H23" s="17">
        <v>0</v>
      </c>
      <c r="I23" s="17">
        <v>0</v>
      </c>
      <c r="J23" s="17">
        <v>0</v>
      </c>
      <c r="K23" s="17">
        <v>0</v>
      </c>
      <c r="L23" s="17">
        <v>0</v>
      </c>
      <c r="M23" s="17">
        <v>0</v>
      </c>
      <c r="N23" s="17">
        <v>0</v>
      </c>
      <c r="O23" s="18">
        <f t="shared" si="0"/>
        <v>0</v>
      </c>
    </row>
    <row r="24" spans="1:20" ht="15" hidden="1" customHeight="1" x14ac:dyDescent="0.2">
      <c r="A24" s="879"/>
      <c r="B24" s="19" t="s">
        <v>134</v>
      </c>
      <c r="C24" s="17">
        <v>0</v>
      </c>
      <c r="D24" s="17">
        <v>0</v>
      </c>
      <c r="E24" s="17">
        <v>0</v>
      </c>
      <c r="F24" s="17">
        <v>0</v>
      </c>
      <c r="G24" s="17">
        <v>0</v>
      </c>
      <c r="H24" s="17">
        <v>0</v>
      </c>
      <c r="I24" s="17">
        <v>0</v>
      </c>
      <c r="J24" s="17">
        <v>0</v>
      </c>
      <c r="K24" s="17">
        <v>0</v>
      </c>
      <c r="L24" s="17">
        <v>0</v>
      </c>
      <c r="M24" s="17">
        <v>0</v>
      </c>
      <c r="N24" s="17">
        <v>0</v>
      </c>
      <c r="O24" s="18">
        <f t="shared" si="0"/>
        <v>0</v>
      </c>
    </row>
    <row r="25" spans="1:20" ht="15" hidden="1" customHeight="1" x14ac:dyDescent="0.2">
      <c r="A25" s="879"/>
      <c r="B25" s="19" t="s">
        <v>135</v>
      </c>
      <c r="C25" s="17">
        <v>0</v>
      </c>
      <c r="D25" s="17">
        <v>0</v>
      </c>
      <c r="E25" s="17">
        <v>0</v>
      </c>
      <c r="F25" s="17">
        <v>0</v>
      </c>
      <c r="G25" s="17">
        <v>0</v>
      </c>
      <c r="H25" s="17">
        <v>0</v>
      </c>
      <c r="I25" s="17">
        <v>0</v>
      </c>
      <c r="J25" s="17">
        <v>0</v>
      </c>
      <c r="K25" s="17">
        <v>0</v>
      </c>
      <c r="L25" s="17">
        <v>0</v>
      </c>
      <c r="M25" s="17">
        <v>0</v>
      </c>
      <c r="N25" s="17">
        <v>0</v>
      </c>
      <c r="O25" s="18">
        <f t="shared" si="0"/>
        <v>0</v>
      </c>
    </row>
    <row r="26" spans="1:20" ht="15" hidden="1" customHeight="1" x14ac:dyDescent="0.2">
      <c r="A26" s="879"/>
      <c r="B26" s="19" t="s">
        <v>136</v>
      </c>
      <c r="C26" s="17">
        <v>0</v>
      </c>
      <c r="D26" s="17">
        <v>0</v>
      </c>
      <c r="E26" s="17">
        <v>0</v>
      </c>
      <c r="F26" s="17">
        <v>0</v>
      </c>
      <c r="G26" s="17">
        <v>0</v>
      </c>
      <c r="H26" s="17">
        <v>0</v>
      </c>
      <c r="I26" s="17">
        <v>0</v>
      </c>
      <c r="J26" s="17">
        <v>0</v>
      </c>
      <c r="K26" s="17">
        <v>0</v>
      </c>
      <c r="L26" s="17">
        <v>0</v>
      </c>
      <c r="M26" s="17">
        <v>0</v>
      </c>
      <c r="N26" s="17">
        <v>0</v>
      </c>
      <c r="O26" s="18">
        <f t="shared" si="0"/>
        <v>0</v>
      </c>
    </row>
    <row r="27" spans="1:20" ht="15" hidden="1" customHeight="1" x14ac:dyDescent="0.2">
      <c r="A27" s="879"/>
      <c r="B27" s="19" t="s">
        <v>137</v>
      </c>
      <c r="C27" s="17">
        <v>0</v>
      </c>
      <c r="D27" s="17">
        <v>0</v>
      </c>
      <c r="E27" s="17">
        <v>0</v>
      </c>
      <c r="F27" s="17">
        <v>0</v>
      </c>
      <c r="G27" s="17">
        <v>0</v>
      </c>
      <c r="H27" s="17">
        <v>0</v>
      </c>
      <c r="I27" s="17">
        <v>0</v>
      </c>
      <c r="J27" s="17">
        <v>0</v>
      </c>
      <c r="K27" s="17">
        <v>0</v>
      </c>
      <c r="L27" s="17">
        <v>0</v>
      </c>
      <c r="M27" s="17">
        <v>0</v>
      </c>
      <c r="N27" s="17">
        <v>0</v>
      </c>
      <c r="O27" s="18">
        <f t="shared" si="0"/>
        <v>0</v>
      </c>
    </row>
    <row r="28" spans="1:20" ht="15" hidden="1" customHeight="1" x14ac:dyDescent="0.2">
      <c r="A28" s="879"/>
      <c r="B28" s="19" t="s">
        <v>138</v>
      </c>
      <c r="C28" s="17">
        <v>0</v>
      </c>
      <c r="D28" s="17">
        <v>0</v>
      </c>
      <c r="E28" s="17">
        <v>0</v>
      </c>
      <c r="F28" s="17">
        <v>0</v>
      </c>
      <c r="G28" s="17">
        <v>0</v>
      </c>
      <c r="H28" s="17">
        <v>0</v>
      </c>
      <c r="I28" s="17">
        <v>0</v>
      </c>
      <c r="J28" s="17">
        <v>0</v>
      </c>
      <c r="K28" s="17">
        <v>0</v>
      </c>
      <c r="L28" s="17">
        <v>0</v>
      </c>
      <c r="M28" s="17">
        <v>0</v>
      </c>
      <c r="N28" s="17">
        <v>0</v>
      </c>
      <c r="O28" s="18">
        <f t="shared" si="0"/>
        <v>0</v>
      </c>
    </row>
    <row r="29" spans="1:20" ht="15" hidden="1" customHeight="1" x14ac:dyDescent="0.2">
      <c r="A29" s="879"/>
      <c r="B29" s="19" t="s">
        <v>139</v>
      </c>
      <c r="C29" s="17">
        <v>0</v>
      </c>
      <c r="D29" s="17">
        <v>0</v>
      </c>
      <c r="E29" s="17">
        <v>0</v>
      </c>
      <c r="F29" s="17">
        <v>0</v>
      </c>
      <c r="G29" s="17">
        <v>0</v>
      </c>
      <c r="H29" s="17">
        <v>0</v>
      </c>
      <c r="I29" s="17">
        <v>0</v>
      </c>
      <c r="J29" s="17">
        <v>0</v>
      </c>
      <c r="K29" s="17">
        <v>0</v>
      </c>
      <c r="L29" s="17">
        <v>0</v>
      </c>
      <c r="M29" s="17">
        <v>0</v>
      </c>
      <c r="N29" s="17">
        <v>0</v>
      </c>
      <c r="O29" s="18">
        <f t="shared" si="0"/>
        <v>0</v>
      </c>
    </row>
    <row r="30" spans="1:20" ht="15" hidden="1" customHeight="1" x14ac:dyDescent="0.2">
      <c r="A30" s="879"/>
      <c r="B30" s="19" t="s">
        <v>140</v>
      </c>
      <c r="C30" s="17">
        <v>0</v>
      </c>
      <c r="D30" s="17">
        <v>0</v>
      </c>
      <c r="E30" s="17">
        <v>0</v>
      </c>
      <c r="F30" s="17">
        <v>0</v>
      </c>
      <c r="G30" s="17">
        <v>0</v>
      </c>
      <c r="H30" s="17">
        <v>0</v>
      </c>
      <c r="I30" s="17">
        <v>0</v>
      </c>
      <c r="J30" s="17">
        <v>0</v>
      </c>
      <c r="K30" s="17">
        <v>0</v>
      </c>
      <c r="L30" s="17">
        <v>0</v>
      </c>
      <c r="M30" s="17">
        <v>0</v>
      </c>
      <c r="N30" s="17">
        <v>0</v>
      </c>
      <c r="O30" s="18">
        <f t="shared" si="0"/>
        <v>0</v>
      </c>
    </row>
    <row r="31" spans="1:20" ht="15" hidden="1" customHeight="1" x14ac:dyDescent="0.2">
      <c r="A31" s="879"/>
      <c r="B31" s="19" t="s">
        <v>225</v>
      </c>
      <c r="C31" s="17">
        <v>0</v>
      </c>
      <c r="D31" s="17">
        <v>0</v>
      </c>
      <c r="E31" s="17">
        <v>0</v>
      </c>
      <c r="F31" s="17">
        <v>0</v>
      </c>
      <c r="G31" s="17">
        <v>0</v>
      </c>
      <c r="H31" s="17">
        <v>0</v>
      </c>
      <c r="I31" s="17">
        <v>0</v>
      </c>
      <c r="J31" s="17">
        <v>0</v>
      </c>
      <c r="K31" s="17">
        <v>0</v>
      </c>
      <c r="L31" s="17">
        <v>0</v>
      </c>
      <c r="M31" s="17">
        <v>0</v>
      </c>
      <c r="N31" s="17">
        <v>0</v>
      </c>
      <c r="O31" s="18">
        <f t="shared" si="0"/>
        <v>0</v>
      </c>
    </row>
    <row r="32" spans="1:20" ht="15" customHeight="1" x14ac:dyDescent="0.2">
      <c r="A32" s="879"/>
      <c r="B32" s="21" t="s">
        <v>142</v>
      </c>
      <c r="C32" s="17">
        <v>0</v>
      </c>
      <c r="D32" s="17">
        <v>0</v>
      </c>
      <c r="E32" s="17">
        <v>0</v>
      </c>
      <c r="F32" s="17">
        <v>61552</v>
      </c>
      <c r="G32" s="17">
        <v>0</v>
      </c>
      <c r="H32" s="17">
        <v>0</v>
      </c>
      <c r="I32" s="17">
        <v>0</v>
      </c>
      <c r="J32" s="17">
        <v>0</v>
      </c>
      <c r="K32" s="17">
        <v>0</v>
      </c>
      <c r="L32" s="17">
        <v>0</v>
      </c>
      <c r="M32" s="17">
        <v>0</v>
      </c>
      <c r="N32" s="17">
        <v>0</v>
      </c>
      <c r="O32" s="18">
        <f t="shared" si="0"/>
        <v>61552</v>
      </c>
    </row>
    <row r="33" spans="1:16" ht="15" hidden="1" customHeight="1" x14ac:dyDescent="0.2">
      <c r="A33" s="880"/>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865" t="s">
        <v>141</v>
      </c>
      <c r="B34" s="866"/>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865" t="s">
        <v>145</v>
      </c>
      <c r="B35" s="866"/>
      <c r="C35" s="17">
        <v>0</v>
      </c>
      <c r="D35" s="17">
        <v>216</v>
      </c>
      <c r="E35" s="17">
        <v>0</v>
      </c>
      <c r="F35" s="17">
        <v>0</v>
      </c>
      <c r="G35" s="17">
        <v>0</v>
      </c>
      <c r="H35" s="17">
        <v>0</v>
      </c>
      <c r="I35" s="17">
        <v>0</v>
      </c>
      <c r="J35" s="17">
        <v>216</v>
      </c>
      <c r="K35" s="17">
        <v>0</v>
      </c>
      <c r="L35" s="17">
        <v>0</v>
      </c>
      <c r="M35" s="17">
        <v>0</v>
      </c>
      <c r="N35" s="17">
        <v>0</v>
      </c>
      <c r="O35" s="18">
        <f t="shared" si="0"/>
        <v>432</v>
      </c>
    </row>
    <row r="36" spans="1:16" ht="15" customHeight="1" x14ac:dyDescent="0.2">
      <c r="A36" s="865" t="s">
        <v>146</v>
      </c>
      <c r="B36" s="866"/>
      <c r="C36" s="17">
        <v>0</v>
      </c>
      <c r="D36" s="17">
        <v>2724</v>
      </c>
      <c r="E36" s="17">
        <v>0</v>
      </c>
      <c r="F36" s="17">
        <v>0</v>
      </c>
      <c r="G36" s="17">
        <v>0</v>
      </c>
      <c r="H36" s="17">
        <v>0</v>
      </c>
      <c r="I36" s="17">
        <v>0</v>
      </c>
      <c r="J36" s="17">
        <v>2940</v>
      </c>
      <c r="K36" s="17">
        <v>0</v>
      </c>
      <c r="L36" s="17">
        <v>0</v>
      </c>
      <c r="M36" s="17">
        <v>0</v>
      </c>
      <c r="N36" s="17">
        <v>0</v>
      </c>
      <c r="O36" s="18">
        <f t="shared" si="0"/>
        <v>5664</v>
      </c>
    </row>
    <row r="37" spans="1:16" ht="15" customHeight="1" x14ac:dyDescent="0.2">
      <c r="A37" s="22"/>
      <c r="B37" s="23" t="s">
        <v>147</v>
      </c>
      <c r="C37" s="24">
        <f t="shared" ref="C37:N37" si="1">SUM(C9:C36)</f>
        <v>62346</v>
      </c>
      <c r="D37" s="24">
        <f t="shared" si="1"/>
        <v>66266</v>
      </c>
      <c r="E37" s="24">
        <f t="shared" si="1"/>
        <v>66208</v>
      </c>
      <c r="F37" s="24">
        <f t="shared" si="1"/>
        <v>127760</v>
      </c>
      <c r="G37" s="24">
        <f t="shared" si="1"/>
        <v>73042</v>
      </c>
      <c r="H37" s="24">
        <f t="shared" si="1"/>
        <v>68042</v>
      </c>
      <c r="I37" s="24">
        <f t="shared" si="1"/>
        <v>68042</v>
      </c>
      <c r="J37" s="24">
        <f t="shared" si="1"/>
        <v>79158</v>
      </c>
      <c r="K37" s="24">
        <f t="shared" si="1"/>
        <v>69094</v>
      </c>
      <c r="L37" s="24">
        <f t="shared" si="1"/>
        <v>69094</v>
      </c>
      <c r="M37" s="24">
        <f t="shared" si="1"/>
        <v>69094</v>
      </c>
      <c r="N37" s="24">
        <f t="shared" si="1"/>
        <v>69094</v>
      </c>
      <c r="O37" s="25">
        <f>SUM(C37:N37)</f>
        <v>887240</v>
      </c>
    </row>
    <row r="38" spans="1:16" ht="15" customHeight="1" x14ac:dyDescent="0.25">
      <c r="A38" s="853" t="s">
        <v>148</v>
      </c>
      <c r="B38" s="27" t="s">
        <v>149</v>
      </c>
      <c r="C38" s="28">
        <v>1900</v>
      </c>
      <c r="D38" s="28">
        <v>2000</v>
      </c>
      <c r="E38" s="28">
        <v>2000</v>
      </c>
      <c r="F38" s="28">
        <v>8155</v>
      </c>
      <c r="G38" s="28">
        <v>3000</v>
      </c>
      <c r="H38" s="28">
        <v>3000</v>
      </c>
      <c r="I38" s="28">
        <v>3000</v>
      </c>
      <c r="J38" s="28">
        <v>3000</v>
      </c>
      <c r="K38" s="28">
        <v>6500</v>
      </c>
      <c r="L38" s="28">
        <v>5955</v>
      </c>
      <c r="M38" s="28">
        <v>5955</v>
      </c>
      <c r="N38">
        <v>6440</v>
      </c>
      <c r="O38" s="18">
        <f>SUM(C38:N38)</f>
        <v>50905</v>
      </c>
      <c r="P38" s="29"/>
    </row>
    <row r="39" spans="1:16" ht="15" x14ac:dyDescent="0.2">
      <c r="A39" s="854"/>
      <c r="B39" s="27" t="s">
        <v>150</v>
      </c>
      <c r="C39" s="28">
        <v>0</v>
      </c>
      <c r="D39" s="28">
        <v>0</v>
      </c>
      <c r="E39" s="28">
        <v>0</v>
      </c>
      <c r="F39" s="28">
        <v>0</v>
      </c>
      <c r="G39" s="28">
        <v>0</v>
      </c>
      <c r="H39" s="28">
        <v>0</v>
      </c>
      <c r="I39" s="28">
        <v>0</v>
      </c>
      <c r="J39" s="28">
        <v>0</v>
      </c>
      <c r="K39" s="28">
        <v>0</v>
      </c>
      <c r="L39" s="28">
        <v>0</v>
      </c>
      <c r="M39" s="28">
        <v>0</v>
      </c>
      <c r="N39" s="28">
        <v>0</v>
      </c>
      <c r="O39" s="18">
        <f>SUM(C39:N39)</f>
        <v>0</v>
      </c>
    </row>
    <row r="40" spans="1:16" ht="15" x14ac:dyDescent="0.2">
      <c r="A40" s="854"/>
      <c r="B40" s="27" t="s">
        <v>151</v>
      </c>
      <c r="C40" s="28">
        <v>30</v>
      </c>
      <c r="D40" s="28">
        <v>30</v>
      </c>
      <c r="E40" s="28">
        <v>30</v>
      </c>
      <c r="F40" s="28">
        <v>30</v>
      </c>
      <c r="G40" s="28">
        <v>30</v>
      </c>
      <c r="H40" s="28">
        <v>30</v>
      </c>
      <c r="I40" s="28">
        <v>30</v>
      </c>
      <c r="J40" s="28">
        <v>30</v>
      </c>
      <c r="K40" s="28">
        <v>30</v>
      </c>
      <c r="L40" s="28">
        <v>30</v>
      </c>
      <c r="M40" s="28">
        <v>30</v>
      </c>
      <c r="N40" s="28">
        <v>30</v>
      </c>
      <c r="O40" s="18">
        <f t="shared" ref="O40:O50" si="2">SUM(C40:N40)</f>
        <v>360</v>
      </c>
    </row>
    <row r="41" spans="1:16" ht="15" x14ac:dyDescent="0.2">
      <c r="A41" s="854"/>
      <c r="B41" s="27" t="s">
        <v>152</v>
      </c>
      <c r="C41" s="28">
        <v>0</v>
      </c>
      <c r="D41" s="28">
        <v>0</v>
      </c>
      <c r="E41" s="28">
        <v>0</v>
      </c>
      <c r="F41" s="28">
        <v>0</v>
      </c>
      <c r="G41" s="28">
        <v>0</v>
      </c>
      <c r="H41" s="28">
        <v>0</v>
      </c>
      <c r="I41" s="28">
        <v>0</v>
      </c>
      <c r="J41" s="28">
        <v>0</v>
      </c>
      <c r="K41" s="28">
        <v>0</v>
      </c>
      <c r="L41" s="28">
        <v>0</v>
      </c>
      <c r="M41" s="28">
        <v>0</v>
      </c>
      <c r="N41" s="28">
        <v>0</v>
      </c>
      <c r="O41" s="18">
        <f t="shared" si="2"/>
        <v>0</v>
      </c>
    </row>
    <row r="42" spans="1:16" ht="15" x14ac:dyDescent="0.2">
      <c r="A42" s="854"/>
      <c r="B42" s="27" t="s">
        <v>153</v>
      </c>
      <c r="C42" s="28">
        <v>0</v>
      </c>
      <c r="D42" s="28">
        <v>0</v>
      </c>
      <c r="E42" s="28">
        <v>0</v>
      </c>
      <c r="F42" s="28">
        <v>0</v>
      </c>
      <c r="G42" s="28">
        <v>0</v>
      </c>
      <c r="H42" s="28">
        <v>0</v>
      </c>
      <c r="I42" s="28">
        <v>0</v>
      </c>
      <c r="J42" s="28">
        <v>0</v>
      </c>
      <c r="K42" s="28">
        <v>0</v>
      </c>
      <c r="L42" s="28">
        <v>0</v>
      </c>
      <c r="M42" s="28">
        <v>0</v>
      </c>
      <c r="N42" s="28">
        <v>0</v>
      </c>
      <c r="O42" s="18">
        <f t="shared" si="2"/>
        <v>0</v>
      </c>
    </row>
    <row r="43" spans="1:16" ht="15" x14ac:dyDescent="0.2">
      <c r="A43" s="854"/>
      <c r="B43" s="27" t="s">
        <v>154</v>
      </c>
      <c r="C43" s="28">
        <v>10000</v>
      </c>
      <c r="D43" s="28">
        <v>10000</v>
      </c>
      <c r="E43" s="28">
        <v>10000</v>
      </c>
      <c r="F43" s="28">
        <v>10000</v>
      </c>
      <c r="G43" s="28">
        <v>10000</v>
      </c>
      <c r="H43" s="28">
        <v>10000</v>
      </c>
      <c r="I43" s="28">
        <v>10000</v>
      </c>
      <c r="J43" s="28">
        <v>10000</v>
      </c>
      <c r="K43" s="28">
        <v>10000</v>
      </c>
      <c r="L43" s="28">
        <v>10000</v>
      </c>
      <c r="M43" s="28">
        <v>10000</v>
      </c>
      <c r="N43" s="28">
        <v>10000</v>
      </c>
      <c r="O43" s="18">
        <f t="shared" si="2"/>
        <v>120000</v>
      </c>
      <c r="P43" s="170"/>
    </row>
    <row r="44" spans="1:16" ht="15" x14ac:dyDescent="0.2">
      <c r="A44" s="854"/>
      <c r="B44" s="27" t="s">
        <v>155</v>
      </c>
      <c r="C44" s="28">
        <v>200</v>
      </c>
      <c r="D44" s="28">
        <v>200</v>
      </c>
      <c r="E44" s="28">
        <v>200</v>
      </c>
      <c r="F44" s="28">
        <v>200</v>
      </c>
      <c r="G44" s="28">
        <v>200</v>
      </c>
      <c r="H44" s="28">
        <v>200</v>
      </c>
      <c r="I44" s="28">
        <v>200</v>
      </c>
      <c r="J44" s="28">
        <v>200</v>
      </c>
      <c r="K44" s="28">
        <v>200</v>
      </c>
      <c r="L44" s="28">
        <v>200</v>
      </c>
      <c r="M44" s="28">
        <v>200</v>
      </c>
      <c r="N44" s="28">
        <v>300</v>
      </c>
      <c r="O44" s="18">
        <f t="shared" si="2"/>
        <v>2500</v>
      </c>
    </row>
    <row r="45" spans="1:16" ht="15" x14ac:dyDescent="0.2">
      <c r="A45" s="854"/>
      <c r="B45" s="27" t="s">
        <v>156</v>
      </c>
      <c r="C45" s="28">
        <v>0</v>
      </c>
      <c r="D45" s="28">
        <v>0</v>
      </c>
      <c r="E45" s="28">
        <v>0</v>
      </c>
      <c r="F45" s="28">
        <v>0</v>
      </c>
      <c r="G45" s="28">
        <v>0</v>
      </c>
      <c r="H45" s="28">
        <v>0</v>
      </c>
      <c r="I45" s="28">
        <v>0</v>
      </c>
      <c r="J45" s="28">
        <v>0</v>
      </c>
      <c r="K45" s="28">
        <v>0</v>
      </c>
      <c r="L45" s="28">
        <v>0</v>
      </c>
      <c r="M45" s="28">
        <v>0</v>
      </c>
      <c r="N45" s="28">
        <v>0</v>
      </c>
      <c r="O45" s="18">
        <f t="shared" si="2"/>
        <v>0</v>
      </c>
    </row>
    <row r="46" spans="1:16" ht="15" x14ac:dyDescent="0.2">
      <c r="A46" s="854"/>
      <c r="B46" s="27" t="s">
        <v>157</v>
      </c>
      <c r="C46" s="28">
        <v>5000</v>
      </c>
      <c r="D46" s="28">
        <v>5000</v>
      </c>
      <c r="E46" s="28">
        <v>5000</v>
      </c>
      <c r="F46" s="28">
        <v>0</v>
      </c>
      <c r="G46" s="28">
        <v>0</v>
      </c>
      <c r="H46" s="28">
        <v>0</v>
      </c>
      <c r="I46" s="28">
        <v>0</v>
      </c>
      <c r="J46" s="28">
        <v>0</v>
      </c>
      <c r="K46" s="28">
        <v>0</v>
      </c>
      <c r="L46" s="28">
        <v>0</v>
      </c>
      <c r="M46" s="28">
        <v>0</v>
      </c>
      <c r="N46" s="28">
        <v>0</v>
      </c>
      <c r="O46" s="18">
        <f t="shared" si="2"/>
        <v>15000</v>
      </c>
    </row>
    <row r="47" spans="1:16" ht="28.5" customHeight="1" x14ac:dyDescent="0.2">
      <c r="A47" s="855"/>
      <c r="B47" s="30" t="s">
        <v>158</v>
      </c>
      <c r="C47" s="28">
        <v>2915</v>
      </c>
      <c r="D47" s="28">
        <v>2915</v>
      </c>
      <c r="E47" s="28">
        <v>2915</v>
      </c>
      <c r="F47" s="28">
        <v>2915</v>
      </c>
      <c r="G47" s="28">
        <v>2915</v>
      </c>
      <c r="H47" s="28">
        <v>2915</v>
      </c>
      <c r="I47" s="28">
        <v>2915</v>
      </c>
      <c r="J47" s="28">
        <v>2915</v>
      </c>
      <c r="K47" s="28">
        <v>2915</v>
      </c>
      <c r="L47" s="28">
        <v>2915</v>
      </c>
      <c r="M47" s="28">
        <v>2915</v>
      </c>
      <c r="N47" s="28">
        <v>2915</v>
      </c>
      <c r="O47" s="31">
        <f t="shared" si="2"/>
        <v>34980</v>
      </c>
    </row>
    <row r="48" spans="1:16" ht="23.25" x14ac:dyDescent="0.2">
      <c r="A48" s="856"/>
      <c r="B48" s="160" t="s">
        <v>1011</v>
      </c>
      <c r="C48" s="28">
        <v>0</v>
      </c>
      <c r="D48" s="28">
        <v>0</v>
      </c>
      <c r="E48" s="28">
        <v>0</v>
      </c>
      <c r="F48" s="28">
        <v>0</v>
      </c>
      <c r="G48" s="28">
        <v>0</v>
      </c>
      <c r="H48" s="28">
        <v>0</v>
      </c>
      <c r="I48" s="28">
        <v>0</v>
      </c>
      <c r="J48" s="28">
        <v>0</v>
      </c>
      <c r="K48" s="28">
        <v>0</v>
      </c>
      <c r="L48" s="28">
        <v>0</v>
      </c>
      <c r="M48" s="28">
        <v>0</v>
      </c>
      <c r="N48" s="28">
        <v>0</v>
      </c>
      <c r="O48" s="31">
        <f t="shared" si="2"/>
        <v>0</v>
      </c>
    </row>
    <row r="49" spans="1:18" ht="15" x14ac:dyDescent="0.2">
      <c r="A49" s="857" t="s">
        <v>160</v>
      </c>
      <c r="B49" s="858"/>
      <c r="C49" s="33">
        <f t="shared" ref="C49:N49" si="3">SUM(C38:C48)</f>
        <v>20045</v>
      </c>
      <c r="D49" s="33">
        <f t="shared" si="3"/>
        <v>20145</v>
      </c>
      <c r="E49" s="33">
        <f t="shared" si="3"/>
        <v>20145</v>
      </c>
      <c r="F49" s="33">
        <f t="shared" si="3"/>
        <v>21300</v>
      </c>
      <c r="G49" s="33">
        <f t="shared" si="3"/>
        <v>16145</v>
      </c>
      <c r="H49" s="33">
        <f t="shared" si="3"/>
        <v>16145</v>
      </c>
      <c r="I49" s="33">
        <f t="shared" si="3"/>
        <v>16145</v>
      </c>
      <c r="J49" s="33">
        <f t="shared" si="3"/>
        <v>16145</v>
      </c>
      <c r="K49" s="33">
        <f t="shared" si="3"/>
        <v>19645</v>
      </c>
      <c r="L49" s="33">
        <f t="shared" si="3"/>
        <v>19100</v>
      </c>
      <c r="M49" s="33">
        <f t="shared" si="3"/>
        <v>19100</v>
      </c>
      <c r="N49" s="33">
        <f t="shared" si="3"/>
        <v>19685</v>
      </c>
      <c r="O49" s="34">
        <f t="shared" si="2"/>
        <v>223745</v>
      </c>
    </row>
    <row r="50" spans="1:18" ht="15.75" thickBot="1" x14ac:dyDescent="0.25">
      <c r="A50" s="859" t="s">
        <v>161</v>
      </c>
      <c r="B50" s="860"/>
      <c r="C50" s="35">
        <f t="shared" ref="C50:N50" si="4">C37-C49</f>
        <v>42301</v>
      </c>
      <c r="D50" s="35">
        <f t="shared" si="4"/>
        <v>46121</v>
      </c>
      <c r="E50" s="35">
        <f t="shared" si="4"/>
        <v>46063</v>
      </c>
      <c r="F50" s="35">
        <f t="shared" si="4"/>
        <v>106460</v>
      </c>
      <c r="G50" s="35">
        <f t="shared" si="4"/>
        <v>56897</v>
      </c>
      <c r="H50" s="35">
        <f t="shared" si="4"/>
        <v>51897</v>
      </c>
      <c r="I50" s="35">
        <f t="shared" si="4"/>
        <v>51897</v>
      </c>
      <c r="J50" s="35">
        <f t="shared" si="4"/>
        <v>63013</v>
      </c>
      <c r="K50" s="35">
        <f t="shared" si="4"/>
        <v>49449</v>
      </c>
      <c r="L50" s="35">
        <f t="shared" si="4"/>
        <v>49994</v>
      </c>
      <c r="M50" s="35">
        <f t="shared" si="4"/>
        <v>49994</v>
      </c>
      <c r="N50" s="35">
        <f t="shared" si="4"/>
        <v>49409</v>
      </c>
      <c r="O50" s="36">
        <f t="shared" si="2"/>
        <v>663495</v>
      </c>
    </row>
    <row r="51" spans="1:18" x14ac:dyDescent="0.2">
      <c r="J51" s="300">
        <f>+J37-SUM(J22:J36)</f>
        <v>69094</v>
      </c>
      <c r="Q51" s="38"/>
    </row>
    <row r="52" spans="1:18" ht="13.5" thickBot="1" x14ac:dyDescent="0.25">
      <c r="J52" s="38">
        <f>+J51-J49</f>
        <v>52949</v>
      </c>
    </row>
    <row r="53" spans="1:18" ht="13.5" thickBot="1" x14ac:dyDescent="0.25">
      <c r="B53" s="789" t="s">
        <v>162</v>
      </c>
      <c r="C53" s="861"/>
      <c r="D53" s="861"/>
      <c r="E53" s="861"/>
      <c r="F53" s="862"/>
      <c r="G53" s="863">
        <f>O37</f>
        <v>887240</v>
      </c>
      <c r="H53" s="864"/>
    </row>
    <row r="54" spans="1:18" ht="13.5" thickBot="1" x14ac:dyDescent="0.25"/>
    <row r="55" spans="1:18" x14ac:dyDescent="0.2">
      <c r="B55" s="830" t="s">
        <v>163</v>
      </c>
      <c r="C55" s="833" t="s">
        <v>164</v>
      </c>
      <c r="D55" s="836" t="s">
        <v>229</v>
      </c>
      <c r="E55" s="837"/>
      <c r="F55" s="838"/>
      <c r="G55" s="839">
        <v>40000</v>
      </c>
      <c r="H55" s="840"/>
    </row>
    <row r="56" spans="1:18" x14ac:dyDescent="0.2">
      <c r="B56" s="831"/>
      <c r="C56" s="834"/>
      <c r="D56" s="841" t="s">
        <v>166</v>
      </c>
      <c r="E56" s="842"/>
      <c r="F56" s="843"/>
      <c r="G56" s="844">
        <f>+O44</f>
        <v>2500</v>
      </c>
      <c r="H56" s="845"/>
      <c r="I56" s="39"/>
      <c r="J56" s="846"/>
      <c r="K56" s="846"/>
      <c r="L56" s="846"/>
      <c r="M56" s="847"/>
      <c r="N56" s="847"/>
      <c r="O56" s="847"/>
    </row>
    <row r="57" spans="1:18" ht="13.5" thickBot="1" x14ac:dyDescent="0.25">
      <c r="B57" s="832"/>
      <c r="C57" s="835"/>
      <c r="D57" s="848" t="s">
        <v>243</v>
      </c>
      <c r="E57" s="849"/>
      <c r="F57" s="850"/>
      <c r="G57" s="851">
        <f>IF(O18&gt;15000,15000,+O18)</f>
        <v>0</v>
      </c>
      <c r="H57" s="852"/>
      <c r="J57" s="47"/>
      <c r="K57" s="47"/>
      <c r="L57" s="47"/>
      <c r="M57" s="47"/>
      <c r="N57" s="47"/>
      <c r="O57" s="47"/>
    </row>
    <row r="58" spans="1:18" ht="13.5" thickBot="1" x14ac:dyDescent="0.25">
      <c r="B58" s="48"/>
      <c r="J58" s="47"/>
      <c r="K58" s="47"/>
      <c r="L58" s="47"/>
      <c r="M58" s="47"/>
      <c r="N58" s="47"/>
      <c r="O58" s="47"/>
    </row>
    <row r="59" spans="1:18" ht="13.5" thickBot="1" x14ac:dyDescent="0.25">
      <c r="B59" s="789" t="s">
        <v>168</v>
      </c>
      <c r="C59" s="790"/>
      <c r="D59" s="790"/>
      <c r="E59" s="790"/>
      <c r="F59" s="791"/>
      <c r="G59" s="825">
        <f>+G53-SUM(G55:H57)</f>
        <v>844740</v>
      </c>
      <c r="H59" s="826"/>
      <c r="J59" s="827" t="s">
        <v>169</v>
      </c>
      <c r="K59" s="828"/>
      <c r="L59" s="828"/>
      <c r="M59" s="828"/>
      <c r="N59" s="828"/>
      <c r="O59" s="829"/>
    </row>
    <row r="60" spans="1:18" ht="13.5" thickBot="1" x14ac:dyDescent="0.25">
      <c r="B60" s="49"/>
      <c r="C60" s="50"/>
      <c r="D60" s="50"/>
      <c r="E60" s="50"/>
      <c r="F60" s="50"/>
      <c r="G60" s="45"/>
      <c r="H60" s="50"/>
      <c r="J60" s="129"/>
      <c r="K60" s="130"/>
      <c r="L60" s="130"/>
      <c r="M60" s="130"/>
      <c r="N60" s="130"/>
      <c r="O60" s="131"/>
    </row>
    <row r="61" spans="1:18" ht="13.5" thickBot="1" x14ac:dyDescent="0.25">
      <c r="B61" s="789" t="s">
        <v>170</v>
      </c>
      <c r="C61" s="790"/>
      <c r="D61" s="790"/>
      <c r="E61" s="790"/>
      <c r="F61" s="791"/>
      <c r="G61" s="805"/>
      <c r="H61" s="791"/>
      <c r="J61" s="129"/>
      <c r="K61" s="130"/>
      <c r="L61" s="130"/>
      <c r="M61" s="130"/>
      <c r="N61" s="130"/>
      <c r="O61" s="131"/>
    </row>
    <row r="62" spans="1:18" ht="12.75" customHeight="1" x14ac:dyDescent="0.2">
      <c r="B62" s="57" t="s">
        <v>171</v>
      </c>
      <c r="C62" s="806" t="s">
        <v>172</v>
      </c>
      <c r="D62" s="807"/>
      <c r="E62" s="807"/>
      <c r="F62" s="808"/>
      <c r="G62" s="809">
        <v>12531</v>
      </c>
      <c r="H62" s="809"/>
      <c r="I62" s="58"/>
      <c r="J62" s="810" t="s">
        <v>173</v>
      </c>
      <c r="K62" s="811"/>
      <c r="L62" s="811"/>
      <c r="M62" s="811"/>
      <c r="N62" s="811"/>
      <c r="O62" s="812"/>
      <c r="Q62" s="59"/>
      <c r="R62" s="59"/>
    </row>
    <row r="63" spans="1:18" ht="13.5" thickBot="1" x14ac:dyDescent="0.25">
      <c r="D63" s="37"/>
      <c r="I63" s="58"/>
      <c r="J63" s="60" t="s">
        <v>1012</v>
      </c>
      <c r="K63" s="132"/>
      <c r="L63" s="132"/>
      <c r="M63" s="133"/>
      <c r="N63" s="133"/>
      <c r="O63" s="134"/>
      <c r="P63" s="16" t="s">
        <v>396</v>
      </c>
      <c r="Q63" s="59"/>
      <c r="R63" s="59"/>
    </row>
    <row r="64" spans="1:18" ht="13.5" thickBot="1" x14ac:dyDescent="0.25">
      <c r="B64" s="789" t="s">
        <v>175</v>
      </c>
      <c r="C64" s="790"/>
      <c r="D64" s="790"/>
      <c r="E64" s="790"/>
      <c r="F64" s="791"/>
      <c r="G64" s="805">
        <f>+G59-G62</f>
        <v>832209</v>
      </c>
      <c r="H64" s="791"/>
      <c r="I64" s="63"/>
      <c r="J64" s="75"/>
      <c r="K64" s="39"/>
      <c r="L64" s="39"/>
      <c r="M64" s="39"/>
      <c r="N64" s="39"/>
      <c r="O64" s="65"/>
      <c r="P64" s="16" t="s">
        <v>388</v>
      </c>
      <c r="Q64" s="59"/>
      <c r="R64" s="59"/>
    </row>
    <row r="65" spans="2:18" ht="12.75" customHeight="1" x14ac:dyDescent="0.2">
      <c r="B65" s="48"/>
      <c r="C65" s="48"/>
      <c r="I65" s="63"/>
      <c r="J65" s="75"/>
      <c r="K65" s="39"/>
      <c r="L65" s="39"/>
      <c r="M65" s="39"/>
      <c r="N65" s="39"/>
      <c r="O65" s="65"/>
      <c r="Q65" s="59"/>
      <c r="R65" s="59"/>
    </row>
    <row r="66" spans="2:18" x14ac:dyDescent="0.2">
      <c r="B66" s="66" t="s">
        <v>176</v>
      </c>
      <c r="C66" s="48"/>
      <c r="I66" s="63"/>
      <c r="J66" s="164"/>
      <c r="K66" s="68"/>
      <c r="L66" s="68"/>
      <c r="M66" s="68"/>
      <c r="N66" s="68"/>
      <c r="O66" s="69"/>
      <c r="Q66" s="59"/>
      <c r="R66" s="59"/>
    </row>
    <row r="67" spans="2:18" ht="26.25" customHeight="1" thickBot="1" x14ac:dyDescent="0.25">
      <c r="B67" s="66"/>
      <c r="C67" s="48"/>
      <c r="G67" s="70" t="s">
        <v>177</v>
      </c>
      <c r="H67" s="70" t="s">
        <v>178</v>
      </c>
      <c r="I67" s="63"/>
      <c r="J67" s="810" t="s">
        <v>179</v>
      </c>
      <c r="K67" s="811"/>
      <c r="L67" s="71"/>
      <c r="M67" s="71"/>
      <c r="N67" s="71"/>
      <c r="O67" s="72"/>
      <c r="Q67" s="59"/>
      <c r="R67" s="59"/>
    </row>
    <row r="68" spans="2:18" ht="12.75" customHeight="1" x14ac:dyDescent="0.2">
      <c r="B68" s="802" t="s">
        <v>180</v>
      </c>
      <c r="C68" s="821" t="s">
        <v>181</v>
      </c>
      <c r="D68" s="823" t="s">
        <v>182</v>
      </c>
      <c r="E68" s="824"/>
      <c r="F68" s="824"/>
      <c r="G68" s="73">
        <f>+O43</f>
        <v>120000</v>
      </c>
      <c r="H68" s="74">
        <f t="shared" ref="H68:H76" si="5">+G68</f>
        <v>120000</v>
      </c>
      <c r="I68" s="63"/>
      <c r="J68" s="75" t="s">
        <v>231</v>
      </c>
      <c r="K68" s="58"/>
      <c r="L68" s="58"/>
      <c r="M68" s="135" t="s">
        <v>232</v>
      </c>
      <c r="N68" s="135" t="s">
        <v>233</v>
      </c>
      <c r="O68" s="76">
        <f>O47</f>
        <v>34980</v>
      </c>
      <c r="Q68" s="59"/>
      <c r="R68" s="59"/>
    </row>
    <row r="69" spans="2:18" ht="12.75" customHeight="1" x14ac:dyDescent="0.2">
      <c r="B69" s="803"/>
      <c r="C69" s="822"/>
      <c r="D69" s="782" t="s">
        <v>184</v>
      </c>
      <c r="E69" s="783"/>
      <c r="F69" s="783"/>
      <c r="G69" s="77">
        <f>+O47</f>
        <v>34980</v>
      </c>
      <c r="H69" s="78">
        <f t="shared" si="5"/>
        <v>34980</v>
      </c>
      <c r="I69" s="63"/>
      <c r="J69" s="75"/>
      <c r="K69" s="68"/>
      <c r="L69" s="68"/>
      <c r="M69" s="68"/>
      <c r="N69" s="68"/>
      <c r="O69" s="69"/>
      <c r="Q69" s="59"/>
      <c r="R69" s="59"/>
    </row>
    <row r="70" spans="2:18" ht="12.75" customHeight="1" x14ac:dyDescent="0.2">
      <c r="B70" s="803"/>
      <c r="C70" s="822"/>
      <c r="D70" s="819" t="s">
        <v>185</v>
      </c>
      <c r="E70" s="820"/>
      <c r="F70" s="820"/>
      <c r="G70" s="80">
        <f>O40</f>
        <v>360</v>
      </c>
      <c r="H70" s="78">
        <f t="shared" si="5"/>
        <v>360</v>
      </c>
      <c r="I70" s="63"/>
      <c r="J70" s="164"/>
      <c r="K70" s="68"/>
      <c r="L70" s="68"/>
      <c r="M70" s="68"/>
      <c r="N70" s="68"/>
      <c r="O70" s="69"/>
    </row>
    <row r="71" spans="2:18" x14ac:dyDescent="0.2">
      <c r="B71" s="803"/>
      <c r="C71" s="822"/>
      <c r="D71" s="782" t="s">
        <v>186</v>
      </c>
      <c r="E71" s="783"/>
      <c r="F71" s="783"/>
      <c r="G71" s="81">
        <v>0</v>
      </c>
      <c r="H71" s="78">
        <f t="shared" si="5"/>
        <v>0</v>
      </c>
      <c r="I71" s="63"/>
      <c r="J71" s="82" t="s">
        <v>187</v>
      </c>
      <c r="K71" s="71"/>
      <c r="L71" s="71"/>
      <c r="M71" s="71"/>
      <c r="N71" s="71"/>
      <c r="O71" s="72"/>
    </row>
    <row r="72" spans="2:18" ht="12.75" customHeight="1" x14ac:dyDescent="0.2">
      <c r="B72" s="803"/>
      <c r="C72" s="822"/>
      <c r="D72" s="784" t="s">
        <v>188</v>
      </c>
      <c r="E72" s="783"/>
      <c r="F72" s="783"/>
      <c r="G72" s="80">
        <v>0</v>
      </c>
      <c r="H72" s="78">
        <f t="shared" si="5"/>
        <v>0</v>
      </c>
      <c r="I72" s="63"/>
      <c r="J72" s="75" t="s">
        <v>189</v>
      </c>
      <c r="K72" s="50"/>
      <c r="L72" s="50"/>
      <c r="M72" s="50"/>
      <c r="N72" s="50"/>
      <c r="O72" s="83">
        <v>0</v>
      </c>
    </row>
    <row r="73" spans="2:18" ht="14.25" customHeight="1" x14ac:dyDescent="0.2">
      <c r="B73" s="803"/>
      <c r="C73" s="822"/>
      <c r="D73" s="782" t="s">
        <v>190</v>
      </c>
      <c r="E73" s="783"/>
      <c r="F73" s="783"/>
      <c r="G73" s="84">
        <v>0</v>
      </c>
      <c r="H73" s="78">
        <f t="shared" si="5"/>
        <v>0</v>
      </c>
      <c r="I73" s="63"/>
      <c r="J73" s="75"/>
      <c r="K73" s="39"/>
      <c r="L73" s="39"/>
      <c r="M73" s="39"/>
      <c r="N73" s="39"/>
      <c r="O73" s="65"/>
    </row>
    <row r="74" spans="2:18" x14ac:dyDescent="0.2">
      <c r="B74" s="803"/>
      <c r="C74" s="822"/>
      <c r="D74" s="782" t="s">
        <v>191</v>
      </c>
      <c r="E74" s="783"/>
      <c r="F74" s="783"/>
      <c r="G74" s="81">
        <v>71229</v>
      </c>
      <c r="H74" s="78">
        <f t="shared" si="5"/>
        <v>71229</v>
      </c>
      <c r="I74" s="58"/>
      <c r="J74" s="137"/>
      <c r="K74" s="50"/>
      <c r="L74" s="50"/>
      <c r="M74" s="50"/>
      <c r="N74" s="50"/>
      <c r="O74" s="83"/>
    </row>
    <row r="75" spans="2:18" x14ac:dyDescent="0.2">
      <c r="B75" s="803"/>
      <c r="C75" s="88" t="s">
        <v>192</v>
      </c>
      <c r="D75" s="813" t="s">
        <v>193</v>
      </c>
      <c r="E75" s="814"/>
      <c r="F75" s="814"/>
      <c r="G75" s="80">
        <v>0</v>
      </c>
      <c r="H75" s="78">
        <f t="shared" si="5"/>
        <v>0</v>
      </c>
      <c r="I75" s="58"/>
      <c r="J75" s="75"/>
      <c r="K75" s="39"/>
      <c r="L75" s="39"/>
      <c r="M75" s="39"/>
      <c r="N75" s="39"/>
      <c r="O75" s="65"/>
    </row>
    <row r="76" spans="2:18" ht="13.5" customHeight="1" thickBot="1" x14ac:dyDescent="0.25">
      <c r="B76" s="803"/>
      <c r="C76" s="88" t="s">
        <v>194</v>
      </c>
      <c r="D76" s="815" t="s">
        <v>195</v>
      </c>
      <c r="E76" s="815"/>
      <c r="F76" s="815"/>
      <c r="G76" s="89">
        <v>0</v>
      </c>
      <c r="H76" s="90">
        <f t="shared" si="5"/>
        <v>0</v>
      </c>
      <c r="I76" s="63"/>
      <c r="J76" s="164"/>
      <c r="K76" s="68"/>
      <c r="L76" s="68"/>
      <c r="M76" s="91"/>
      <c r="N76" s="91"/>
      <c r="O76" s="92"/>
    </row>
    <row r="77" spans="2:18" ht="13.5" thickBot="1" x14ac:dyDescent="0.25">
      <c r="B77" s="803"/>
      <c r="C77" s="93"/>
      <c r="D77" s="94"/>
      <c r="E77" s="816" t="s">
        <v>117</v>
      </c>
      <c r="F77" s="817"/>
      <c r="G77" s="95">
        <f>SUM(G68:G76)</f>
        <v>226569</v>
      </c>
      <c r="H77" s="96">
        <f>IF(SUM(G68:G74)&lt;150000,SUM(G68:G74),150000)+IF(+G75&lt;20000,+G75,20000)</f>
        <v>150000</v>
      </c>
      <c r="I77" s="63"/>
      <c r="J77" s="358"/>
      <c r="K77" s="141"/>
      <c r="L77" s="141"/>
      <c r="M77" s="142"/>
      <c r="N77" s="142"/>
      <c r="O77" s="143"/>
    </row>
    <row r="78" spans="2:18" ht="12.75" customHeight="1" x14ac:dyDescent="0.2">
      <c r="B78" s="803"/>
      <c r="C78" s="100" t="s">
        <v>196</v>
      </c>
      <c r="D78" s="782" t="s">
        <v>187</v>
      </c>
      <c r="E78" s="783"/>
      <c r="F78" s="818"/>
      <c r="G78" s="73">
        <f>+O42</f>
        <v>0</v>
      </c>
      <c r="H78" s="101">
        <f>+IF(+G78&lt;25000,+G78,25000)</f>
        <v>0</v>
      </c>
      <c r="I78" s="87"/>
    </row>
    <row r="79" spans="2:18" x14ac:dyDescent="0.2">
      <c r="B79" s="803"/>
      <c r="C79" s="100" t="s">
        <v>197</v>
      </c>
      <c r="D79" s="784" t="s">
        <v>198</v>
      </c>
      <c r="E79" s="785"/>
      <c r="F79" s="786"/>
      <c r="G79" s="102"/>
      <c r="H79" s="103">
        <f>+IF(+G79&lt;40000,+G79,40000)</f>
        <v>0</v>
      </c>
      <c r="I79" s="63"/>
    </row>
    <row r="80" spans="2:18" x14ac:dyDescent="0.2">
      <c r="B80" s="803"/>
      <c r="C80" s="100" t="s">
        <v>199</v>
      </c>
      <c r="D80" s="784" t="s">
        <v>200</v>
      </c>
      <c r="E80" s="785"/>
      <c r="F80" s="786"/>
      <c r="G80" s="81"/>
      <c r="H80" s="104">
        <v>0</v>
      </c>
      <c r="I80" s="63"/>
      <c r="J80" s="172"/>
      <c r="K80" s="172"/>
      <c r="L80" s="172"/>
    </row>
    <row r="81" spans="2:12" x14ac:dyDescent="0.2">
      <c r="B81" s="803"/>
      <c r="C81" s="100" t="s">
        <v>201</v>
      </c>
      <c r="D81" s="784" t="s">
        <v>202</v>
      </c>
      <c r="E81" s="785"/>
      <c r="F81" s="786"/>
      <c r="G81" s="81"/>
      <c r="H81" s="104">
        <v>0</v>
      </c>
      <c r="I81" s="63"/>
    </row>
    <row r="82" spans="2:12" ht="13.5" thickBot="1" x14ac:dyDescent="0.25">
      <c r="B82" s="804"/>
      <c r="C82" s="100" t="s">
        <v>203</v>
      </c>
      <c r="D82" s="784" t="s">
        <v>204</v>
      </c>
      <c r="E82" s="785"/>
      <c r="F82" s="786"/>
      <c r="G82" s="102"/>
      <c r="H82" s="103">
        <f>+IF(+G82&lt;100000,+G82,10000)</f>
        <v>0</v>
      </c>
      <c r="I82" s="63"/>
      <c r="J82" s="106"/>
    </row>
    <row r="83" spans="2:12" ht="13.5" thickBot="1" x14ac:dyDescent="0.25">
      <c r="B83" s="787" t="s">
        <v>205</v>
      </c>
      <c r="C83" s="788"/>
      <c r="D83" s="788"/>
      <c r="E83" s="788"/>
      <c r="F83" s="788"/>
      <c r="G83" s="107">
        <f>SUM(G78:G82)</f>
        <v>0</v>
      </c>
      <c r="H83" s="108">
        <f>SUM(H77:H82)</f>
        <v>150000</v>
      </c>
    </row>
    <row r="84" spans="2:12" ht="13.5" thickBot="1" x14ac:dyDescent="0.25"/>
    <row r="85" spans="2:12" ht="13.5" thickBot="1" x14ac:dyDescent="0.25">
      <c r="B85" s="789" t="s">
        <v>206</v>
      </c>
      <c r="C85" s="790"/>
      <c r="D85" s="790"/>
      <c r="E85" s="790"/>
      <c r="F85" s="791"/>
      <c r="G85" s="792">
        <f>+G64-H83</f>
        <v>682209</v>
      </c>
      <c r="H85" s="791"/>
      <c r="J85" s="109">
        <f>C37+D37+E37+F37</f>
        <v>322580</v>
      </c>
      <c r="K85" s="16" t="s">
        <v>235</v>
      </c>
    </row>
    <row r="86" spans="2:12" x14ac:dyDescent="0.2">
      <c r="B86" s="110"/>
      <c r="F86" s="105"/>
      <c r="J86" s="109">
        <f>G37+H37+I37</f>
        <v>209126</v>
      </c>
      <c r="K86" s="16" t="s">
        <v>236</v>
      </c>
    </row>
    <row r="87" spans="2:12" x14ac:dyDescent="0.2">
      <c r="C87" s="793" t="s">
        <v>207</v>
      </c>
      <c r="D87" s="794"/>
      <c r="E87" s="111" t="s">
        <v>208</v>
      </c>
      <c r="F87" s="111" t="s">
        <v>209</v>
      </c>
      <c r="G87" s="111" t="s">
        <v>210</v>
      </c>
      <c r="H87" s="111" t="s">
        <v>211</v>
      </c>
      <c r="J87" s="206">
        <f>J37+K37+L37</f>
        <v>217346</v>
      </c>
      <c r="K87" s="47" t="s">
        <v>237</v>
      </c>
      <c r="L87" s="16">
        <f>+J91/5</f>
        <v>41006.199999999997</v>
      </c>
    </row>
    <row r="88" spans="2:12" x14ac:dyDescent="0.2">
      <c r="C88" s="795" t="str">
        <f>IF(I6="M","0          - 250000","0          -  250000")</f>
        <v>0          - 250000</v>
      </c>
      <c r="D88" s="796"/>
      <c r="E88" s="112">
        <v>0</v>
      </c>
      <c r="F88" s="113">
        <f>IF(I6="M",(IF(G85&lt;250000,G85,250000)),(IF(G85&lt;250000,G85,250000)))</f>
        <v>250000</v>
      </c>
      <c r="G88" s="113">
        <f>G85-F88</f>
        <v>432209</v>
      </c>
      <c r="H88" s="113">
        <f>E88*F88</f>
        <v>0</v>
      </c>
      <c r="J88" s="207">
        <f>M37+N37</f>
        <v>138188</v>
      </c>
      <c r="K88" s="1" t="s">
        <v>238</v>
      </c>
    </row>
    <row r="89" spans="2:12" x14ac:dyDescent="0.2">
      <c r="C89" s="795" t="str">
        <f>IF(I6="M","250001 - 500000","250001-500000")</f>
        <v>250001 - 500000</v>
      </c>
      <c r="D89" s="796"/>
      <c r="E89" s="112">
        <v>0.05</v>
      </c>
      <c r="F89" s="113">
        <f>IF(I6="M",(IF(G88&lt;250000,G88,250000)),(IF(G88&lt;250000,G88,250000)))</f>
        <v>250000</v>
      </c>
      <c r="G89" s="113">
        <f>G88-F89</f>
        <v>182209</v>
      </c>
      <c r="H89" s="114">
        <f>ROUND(E89*F89,0.1)</f>
        <v>12500</v>
      </c>
      <c r="J89" s="115">
        <f>SUM(J85:J88)</f>
        <v>887240</v>
      </c>
    </row>
    <row r="90" spans="2:12" x14ac:dyDescent="0.2">
      <c r="C90" s="797" t="s">
        <v>212</v>
      </c>
      <c r="D90" s="798"/>
      <c r="E90" s="112">
        <v>0.2</v>
      </c>
      <c r="F90" s="113">
        <f>IF(G89&lt;500000,G89,500000)</f>
        <v>182209</v>
      </c>
      <c r="G90" s="113">
        <f>G89-F90</f>
        <v>0</v>
      </c>
      <c r="H90" s="114">
        <f>ROUND(E90*F90,0.1)</f>
        <v>36442</v>
      </c>
      <c r="J90" s="16">
        <f>+G85</f>
        <v>682209</v>
      </c>
    </row>
    <row r="91" spans="2:12" x14ac:dyDescent="0.2">
      <c r="C91" s="795" t="s">
        <v>213</v>
      </c>
      <c r="D91" s="796"/>
      <c r="E91" s="112">
        <v>0.3</v>
      </c>
      <c r="F91" s="113">
        <f>G90</f>
        <v>0</v>
      </c>
      <c r="G91" s="113">
        <f>G90-F91</f>
        <v>0</v>
      </c>
      <c r="H91" s="114">
        <f>ROUND(E91*F91,0.1)</f>
        <v>0</v>
      </c>
      <c r="J91" s="16">
        <f>+J89-J90</f>
        <v>205031</v>
      </c>
    </row>
    <row r="92" spans="2:12" ht="12.75" customHeight="1" thickBot="1" x14ac:dyDescent="0.25">
      <c r="B92" s="116"/>
      <c r="C92" s="117"/>
      <c r="D92" s="47"/>
      <c r="E92" s="47"/>
      <c r="F92" s="47"/>
    </row>
    <row r="93" spans="2:12" ht="13.5" thickBot="1" x14ac:dyDescent="0.25">
      <c r="B93" s="799" t="s">
        <v>239</v>
      </c>
      <c r="C93" s="800"/>
      <c r="D93" s="800"/>
      <c r="E93" s="800"/>
      <c r="F93" s="801"/>
      <c r="G93" s="771">
        <f>H88+H89+H90+H91</f>
        <v>48942</v>
      </c>
      <c r="H93" s="772"/>
    </row>
    <row r="94" spans="2:12" ht="13.5" thickBot="1" x14ac:dyDescent="0.25">
      <c r="B94" s="119" t="s">
        <v>215</v>
      </c>
      <c r="C94" s="120"/>
      <c r="D94" s="120"/>
      <c r="E94" s="120"/>
      <c r="F94" s="120"/>
      <c r="G94" s="884">
        <f>IF((G64&lt;500000),5000,0)</f>
        <v>0</v>
      </c>
      <c r="H94" s="885">
        <f>IF(H92&lt;200000,0,IF(H92&lt;220000,((H92-200000)*10%),IF(H92&lt;=500000,2000,IF(H92&gt;=500000,0))))</f>
        <v>0</v>
      </c>
      <c r="J94" s="1"/>
      <c r="K94" s="121"/>
      <c r="L94" s="121"/>
    </row>
    <row r="95" spans="2:12" ht="13.5" thickBot="1" x14ac:dyDescent="0.25">
      <c r="B95" s="122" t="s">
        <v>216</v>
      </c>
      <c r="C95" s="123"/>
      <c r="D95" s="123"/>
      <c r="E95" s="123"/>
      <c r="F95" s="123"/>
      <c r="G95" s="771">
        <f>IF((G93-G94)&lt;0,0,(G93-G94))</f>
        <v>48942</v>
      </c>
      <c r="H95" s="772"/>
      <c r="I95" s="37"/>
    </row>
    <row r="96" spans="2:12" ht="13.5" thickBot="1" x14ac:dyDescent="0.25">
      <c r="B96" s="773" t="s">
        <v>240</v>
      </c>
      <c r="C96" s="774"/>
      <c r="D96" s="774"/>
      <c r="E96" s="774"/>
      <c r="F96" s="775"/>
      <c r="G96" s="776">
        <f>ROUND((IF(G95&gt;0,(G95*4%),0)),0)</f>
        <v>1958</v>
      </c>
      <c r="H96" s="777"/>
      <c r="I96" s="37"/>
    </row>
    <row r="97" spans="2:9" ht="13.5" thickBot="1" x14ac:dyDescent="0.25">
      <c r="B97" s="778" t="s">
        <v>218</v>
      </c>
      <c r="C97" s="779"/>
      <c r="D97" s="779"/>
      <c r="E97" s="779"/>
      <c r="F97" s="779"/>
      <c r="G97" s="780">
        <f>G95+G96</f>
        <v>50900</v>
      </c>
      <c r="H97" s="781"/>
      <c r="I97" s="121"/>
    </row>
    <row r="98" spans="2:9" ht="13.5" thickBot="1" x14ac:dyDescent="0.25">
      <c r="B98" s="765" t="s">
        <v>219</v>
      </c>
      <c r="C98" s="766"/>
      <c r="D98" s="766"/>
      <c r="E98" s="766"/>
      <c r="F98" s="766"/>
      <c r="G98" s="767">
        <f>O38</f>
        <v>50905</v>
      </c>
      <c r="H98" s="768"/>
      <c r="I98" s="121"/>
    </row>
    <row r="99" spans="2:9" ht="13.5" thickBot="1" x14ac:dyDescent="0.25">
      <c r="B99" s="765" t="str">
        <f>IF(G99&gt;0,"TAX PAYABLE","TAX REFUND")</f>
        <v>TAX REFUND</v>
      </c>
      <c r="C99" s="766"/>
      <c r="D99" s="766"/>
      <c r="E99" s="766"/>
      <c r="F99" s="766"/>
      <c r="G99" s="767">
        <f>+G97-G98</f>
        <v>-5</v>
      </c>
      <c r="H99" s="768"/>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0:F90 B99:F99 B93:F97">
    <cfRule type="cellIs" dxfId="357" priority="3" stopIfTrue="1" operator="equal">
      <formula>"TAX PAYABLE"</formula>
    </cfRule>
    <cfRule type="cellIs" dxfId="356" priority="4" stopIfTrue="1" operator="equal">
      <formula>"TAX REFUND"</formula>
    </cfRule>
  </conditionalFormatting>
  <conditionalFormatting sqref="G90:H90">
    <cfRule type="cellIs" dxfId="355" priority="5" stopIfTrue="1" operator="lessThan">
      <formula>0</formula>
    </cfRule>
    <cfRule type="cellIs" dxfId="354" priority="6" stopIfTrue="1" operator="greaterThan">
      <formula>0</formula>
    </cfRule>
  </conditionalFormatting>
  <conditionalFormatting sqref="G99:H99">
    <cfRule type="cellIs" dxfId="353" priority="1" stopIfTrue="1" operator="greaterThan">
      <formula>0</formula>
    </cfRule>
    <cfRule type="cellIs" dxfId="352"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8"/>
  <sheetViews>
    <sheetView topLeftCell="A66" workbookViewId="0">
      <selection activeCell="N88" sqref="N88"/>
    </sheetView>
  </sheetViews>
  <sheetFormatPr defaultRowHeight="12.75" x14ac:dyDescent="0.2"/>
  <cols>
    <col min="1" max="1" width="5" style="16" customWidth="1"/>
    <col min="2" max="2" width="19" style="37" customWidth="1"/>
    <col min="3" max="3" width="8.5703125" style="16" customWidth="1"/>
    <col min="4" max="6" width="8" style="16" customWidth="1"/>
    <col min="7" max="8" width="8.7109375" style="16" customWidth="1"/>
    <col min="9" max="14" width="8" style="16" customWidth="1"/>
    <col min="15" max="15" width="8.8554687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9" style="16" customWidth="1"/>
    <col min="259" max="259" width="8.5703125" style="16" customWidth="1"/>
    <col min="260" max="262" width="8" style="16" customWidth="1"/>
    <col min="263" max="264" width="8.7109375" style="16" customWidth="1"/>
    <col min="265" max="270" width="8" style="16" customWidth="1"/>
    <col min="271" max="271" width="8.8554687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9" style="16" customWidth="1"/>
    <col min="515" max="515" width="8.5703125" style="16" customWidth="1"/>
    <col min="516" max="518" width="8" style="16" customWidth="1"/>
    <col min="519" max="520" width="8.7109375" style="16" customWidth="1"/>
    <col min="521" max="526" width="8" style="16" customWidth="1"/>
    <col min="527" max="527" width="8.8554687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9" style="16" customWidth="1"/>
    <col min="771" max="771" width="8.5703125" style="16" customWidth="1"/>
    <col min="772" max="774" width="8" style="16" customWidth="1"/>
    <col min="775" max="776" width="8.7109375" style="16" customWidth="1"/>
    <col min="777" max="782" width="8" style="16" customWidth="1"/>
    <col min="783" max="783" width="8.8554687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9" style="16" customWidth="1"/>
    <col min="1027" max="1027" width="8.5703125" style="16" customWidth="1"/>
    <col min="1028" max="1030" width="8" style="16" customWidth="1"/>
    <col min="1031" max="1032" width="8.7109375" style="16" customWidth="1"/>
    <col min="1033" max="1038" width="8" style="16" customWidth="1"/>
    <col min="1039" max="1039" width="8.8554687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9" style="16" customWidth="1"/>
    <col min="1283" max="1283" width="8.5703125" style="16" customWidth="1"/>
    <col min="1284" max="1286" width="8" style="16" customWidth="1"/>
    <col min="1287" max="1288" width="8.7109375" style="16" customWidth="1"/>
    <col min="1289" max="1294" width="8" style="16" customWidth="1"/>
    <col min="1295" max="1295" width="8.8554687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9" style="16" customWidth="1"/>
    <col min="1539" max="1539" width="8.5703125" style="16" customWidth="1"/>
    <col min="1540" max="1542" width="8" style="16" customWidth="1"/>
    <col min="1543" max="1544" width="8.7109375" style="16" customWidth="1"/>
    <col min="1545" max="1550" width="8" style="16" customWidth="1"/>
    <col min="1551" max="1551" width="8.8554687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9" style="16" customWidth="1"/>
    <col min="1795" max="1795" width="8.5703125" style="16" customWidth="1"/>
    <col min="1796" max="1798" width="8" style="16" customWidth="1"/>
    <col min="1799" max="1800" width="8.7109375" style="16" customWidth="1"/>
    <col min="1801" max="1806" width="8" style="16" customWidth="1"/>
    <col min="1807" max="1807" width="8.8554687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9" style="16" customWidth="1"/>
    <col min="2051" max="2051" width="8.5703125" style="16" customWidth="1"/>
    <col min="2052" max="2054" width="8" style="16" customWidth="1"/>
    <col min="2055" max="2056" width="8.7109375" style="16" customWidth="1"/>
    <col min="2057" max="2062" width="8" style="16" customWidth="1"/>
    <col min="2063" max="2063" width="8.8554687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9" style="16" customWidth="1"/>
    <col min="2307" max="2307" width="8.5703125" style="16" customWidth="1"/>
    <col min="2308" max="2310" width="8" style="16" customWidth="1"/>
    <col min="2311" max="2312" width="8.7109375" style="16" customWidth="1"/>
    <col min="2313" max="2318" width="8" style="16" customWidth="1"/>
    <col min="2319" max="2319" width="8.8554687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9" style="16" customWidth="1"/>
    <col min="2563" max="2563" width="8.5703125" style="16" customWidth="1"/>
    <col min="2564" max="2566" width="8" style="16" customWidth="1"/>
    <col min="2567" max="2568" width="8.7109375" style="16" customWidth="1"/>
    <col min="2569" max="2574" width="8" style="16" customWidth="1"/>
    <col min="2575" max="2575" width="8.8554687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9" style="16" customWidth="1"/>
    <col min="2819" max="2819" width="8.5703125" style="16" customWidth="1"/>
    <col min="2820" max="2822" width="8" style="16" customWidth="1"/>
    <col min="2823" max="2824" width="8.7109375" style="16" customWidth="1"/>
    <col min="2825" max="2830" width="8" style="16" customWidth="1"/>
    <col min="2831" max="2831" width="8.8554687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9" style="16" customWidth="1"/>
    <col min="3075" max="3075" width="8.5703125" style="16" customWidth="1"/>
    <col min="3076" max="3078" width="8" style="16" customWidth="1"/>
    <col min="3079" max="3080" width="8.7109375" style="16" customWidth="1"/>
    <col min="3081" max="3086" width="8" style="16" customWidth="1"/>
    <col min="3087" max="3087" width="8.8554687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9" style="16" customWidth="1"/>
    <col min="3331" max="3331" width="8.5703125" style="16" customWidth="1"/>
    <col min="3332" max="3334" width="8" style="16" customWidth="1"/>
    <col min="3335" max="3336" width="8.7109375" style="16" customWidth="1"/>
    <col min="3337" max="3342" width="8" style="16" customWidth="1"/>
    <col min="3343" max="3343" width="8.8554687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9" style="16" customWidth="1"/>
    <col min="3587" max="3587" width="8.5703125" style="16" customWidth="1"/>
    <col min="3588" max="3590" width="8" style="16" customWidth="1"/>
    <col min="3591" max="3592" width="8.7109375" style="16" customWidth="1"/>
    <col min="3593" max="3598" width="8" style="16" customWidth="1"/>
    <col min="3599" max="3599" width="8.8554687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9" style="16" customWidth="1"/>
    <col min="3843" max="3843" width="8.5703125" style="16" customWidth="1"/>
    <col min="3844" max="3846" width="8" style="16" customWidth="1"/>
    <col min="3847" max="3848" width="8.7109375" style="16" customWidth="1"/>
    <col min="3849" max="3854" width="8" style="16" customWidth="1"/>
    <col min="3855" max="3855" width="8.8554687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9" style="16" customWidth="1"/>
    <col min="4099" max="4099" width="8.5703125" style="16" customWidth="1"/>
    <col min="4100" max="4102" width="8" style="16" customWidth="1"/>
    <col min="4103" max="4104" width="8.7109375" style="16" customWidth="1"/>
    <col min="4105" max="4110" width="8" style="16" customWidth="1"/>
    <col min="4111" max="4111" width="8.8554687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9" style="16" customWidth="1"/>
    <col min="4355" max="4355" width="8.5703125" style="16" customWidth="1"/>
    <col min="4356" max="4358" width="8" style="16" customWidth="1"/>
    <col min="4359" max="4360" width="8.7109375" style="16" customWidth="1"/>
    <col min="4361" max="4366" width="8" style="16" customWidth="1"/>
    <col min="4367" max="4367" width="8.8554687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9" style="16" customWidth="1"/>
    <col min="4611" max="4611" width="8.5703125" style="16" customWidth="1"/>
    <col min="4612" max="4614" width="8" style="16" customWidth="1"/>
    <col min="4615" max="4616" width="8.7109375" style="16" customWidth="1"/>
    <col min="4617" max="4622" width="8" style="16" customWidth="1"/>
    <col min="4623" max="4623" width="8.8554687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9" style="16" customWidth="1"/>
    <col min="4867" max="4867" width="8.5703125" style="16" customWidth="1"/>
    <col min="4868" max="4870" width="8" style="16" customWidth="1"/>
    <col min="4871" max="4872" width="8.7109375" style="16" customWidth="1"/>
    <col min="4873" max="4878" width="8" style="16" customWidth="1"/>
    <col min="4879" max="4879" width="8.8554687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9" style="16" customWidth="1"/>
    <col min="5123" max="5123" width="8.5703125" style="16" customWidth="1"/>
    <col min="5124" max="5126" width="8" style="16" customWidth="1"/>
    <col min="5127" max="5128" width="8.7109375" style="16" customWidth="1"/>
    <col min="5129" max="5134" width="8" style="16" customWidth="1"/>
    <col min="5135" max="5135" width="8.8554687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9" style="16" customWidth="1"/>
    <col min="5379" max="5379" width="8.5703125" style="16" customWidth="1"/>
    <col min="5380" max="5382" width="8" style="16" customWidth="1"/>
    <col min="5383" max="5384" width="8.7109375" style="16" customWidth="1"/>
    <col min="5385" max="5390" width="8" style="16" customWidth="1"/>
    <col min="5391" max="5391" width="8.8554687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9" style="16" customWidth="1"/>
    <col min="5635" max="5635" width="8.5703125" style="16" customWidth="1"/>
    <col min="5636" max="5638" width="8" style="16" customWidth="1"/>
    <col min="5639" max="5640" width="8.7109375" style="16" customWidth="1"/>
    <col min="5641" max="5646" width="8" style="16" customWidth="1"/>
    <col min="5647" max="5647" width="8.8554687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9" style="16" customWidth="1"/>
    <col min="5891" max="5891" width="8.5703125" style="16" customWidth="1"/>
    <col min="5892" max="5894" width="8" style="16" customWidth="1"/>
    <col min="5895" max="5896" width="8.7109375" style="16" customWidth="1"/>
    <col min="5897" max="5902" width="8" style="16" customWidth="1"/>
    <col min="5903" max="5903" width="8.8554687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9" style="16" customWidth="1"/>
    <col min="6147" max="6147" width="8.5703125" style="16" customWidth="1"/>
    <col min="6148" max="6150" width="8" style="16" customWidth="1"/>
    <col min="6151" max="6152" width="8.7109375" style="16" customWidth="1"/>
    <col min="6153" max="6158" width="8" style="16" customWidth="1"/>
    <col min="6159" max="6159" width="8.8554687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9" style="16" customWidth="1"/>
    <col min="6403" max="6403" width="8.5703125" style="16" customWidth="1"/>
    <col min="6404" max="6406" width="8" style="16" customWidth="1"/>
    <col min="6407" max="6408" width="8.7109375" style="16" customWidth="1"/>
    <col min="6409" max="6414" width="8" style="16" customWidth="1"/>
    <col min="6415" max="6415" width="8.8554687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9" style="16" customWidth="1"/>
    <col min="6659" max="6659" width="8.5703125" style="16" customWidth="1"/>
    <col min="6660" max="6662" width="8" style="16" customWidth="1"/>
    <col min="6663" max="6664" width="8.7109375" style="16" customWidth="1"/>
    <col min="6665" max="6670" width="8" style="16" customWidth="1"/>
    <col min="6671" max="6671" width="8.8554687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9" style="16" customWidth="1"/>
    <col min="6915" max="6915" width="8.5703125" style="16" customWidth="1"/>
    <col min="6916" max="6918" width="8" style="16" customWidth="1"/>
    <col min="6919" max="6920" width="8.7109375" style="16" customWidth="1"/>
    <col min="6921" max="6926" width="8" style="16" customWidth="1"/>
    <col min="6927" max="6927" width="8.8554687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9" style="16" customWidth="1"/>
    <col min="7171" max="7171" width="8.5703125" style="16" customWidth="1"/>
    <col min="7172" max="7174" width="8" style="16" customWidth="1"/>
    <col min="7175" max="7176" width="8.7109375" style="16" customWidth="1"/>
    <col min="7177" max="7182" width="8" style="16" customWidth="1"/>
    <col min="7183" max="7183" width="8.8554687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9" style="16" customWidth="1"/>
    <col min="7427" max="7427" width="8.5703125" style="16" customWidth="1"/>
    <col min="7428" max="7430" width="8" style="16" customWidth="1"/>
    <col min="7431" max="7432" width="8.7109375" style="16" customWidth="1"/>
    <col min="7433" max="7438" width="8" style="16" customWidth="1"/>
    <col min="7439" max="7439" width="8.8554687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9" style="16" customWidth="1"/>
    <col min="7683" max="7683" width="8.5703125" style="16" customWidth="1"/>
    <col min="7684" max="7686" width="8" style="16" customWidth="1"/>
    <col min="7687" max="7688" width="8.7109375" style="16" customWidth="1"/>
    <col min="7689" max="7694" width="8" style="16" customWidth="1"/>
    <col min="7695" max="7695" width="8.8554687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9" style="16" customWidth="1"/>
    <col min="7939" max="7939" width="8.5703125" style="16" customWidth="1"/>
    <col min="7940" max="7942" width="8" style="16" customWidth="1"/>
    <col min="7943" max="7944" width="8.7109375" style="16" customWidth="1"/>
    <col min="7945" max="7950" width="8" style="16" customWidth="1"/>
    <col min="7951" max="7951" width="8.8554687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9" style="16" customWidth="1"/>
    <col min="8195" max="8195" width="8.5703125" style="16" customWidth="1"/>
    <col min="8196" max="8198" width="8" style="16" customWidth="1"/>
    <col min="8199" max="8200" width="8.7109375" style="16" customWidth="1"/>
    <col min="8201" max="8206" width="8" style="16" customWidth="1"/>
    <col min="8207" max="8207" width="8.8554687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9" style="16" customWidth="1"/>
    <col min="8451" max="8451" width="8.5703125" style="16" customWidth="1"/>
    <col min="8452" max="8454" width="8" style="16" customWidth="1"/>
    <col min="8455" max="8456" width="8.7109375" style="16" customWidth="1"/>
    <col min="8457" max="8462" width="8" style="16" customWidth="1"/>
    <col min="8463" max="8463" width="8.8554687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9" style="16" customWidth="1"/>
    <col min="8707" max="8707" width="8.5703125" style="16" customWidth="1"/>
    <col min="8708" max="8710" width="8" style="16" customWidth="1"/>
    <col min="8711" max="8712" width="8.7109375" style="16" customWidth="1"/>
    <col min="8713" max="8718" width="8" style="16" customWidth="1"/>
    <col min="8719" max="8719" width="8.8554687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9" style="16" customWidth="1"/>
    <col min="8963" max="8963" width="8.5703125" style="16" customWidth="1"/>
    <col min="8964" max="8966" width="8" style="16" customWidth="1"/>
    <col min="8967" max="8968" width="8.7109375" style="16" customWidth="1"/>
    <col min="8969" max="8974" width="8" style="16" customWidth="1"/>
    <col min="8975" max="8975" width="8.8554687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9" style="16" customWidth="1"/>
    <col min="9219" max="9219" width="8.5703125" style="16" customWidth="1"/>
    <col min="9220" max="9222" width="8" style="16" customWidth="1"/>
    <col min="9223" max="9224" width="8.7109375" style="16" customWidth="1"/>
    <col min="9225" max="9230" width="8" style="16" customWidth="1"/>
    <col min="9231" max="9231" width="8.8554687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9" style="16" customWidth="1"/>
    <col min="9475" max="9475" width="8.5703125" style="16" customWidth="1"/>
    <col min="9476" max="9478" width="8" style="16" customWidth="1"/>
    <col min="9479" max="9480" width="8.7109375" style="16" customWidth="1"/>
    <col min="9481" max="9486" width="8" style="16" customWidth="1"/>
    <col min="9487" max="9487" width="8.8554687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9" style="16" customWidth="1"/>
    <col min="9731" max="9731" width="8.5703125" style="16" customWidth="1"/>
    <col min="9732" max="9734" width="8" style="16" customWidth="1"/>
    <col min="9735" max="9736" width="8.7109375" style="16" customWidth="1"/>
    <col min="9737" max="9742" width="8" style="16" customWidth="1"/>
    <col min="9743" max="9743" width="8.8554687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9" style="16" customWidth="1"/>
    <col min="9987" max="9987" width="8.5703125" style="16" customWidth="1"/>
    <col min="9988" max="9990" width="8" style="16" customWidth="1"/>
    <col min="9991" max="9992" width="8.7109375" style="16" customWidth="1"/>
    <col min="9993" max="9998" width="8" style="16" customWidth="1"/>
    <col min="9999" max="9999" width="8.8554687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9" style="16" customWidth="1"/>
    <col min="10243" max="10243" width="8.5703125" style="16" customWidth="1"/>
    <col min="10244" max="10246" width="8" style="16" customWidth="1"/>
    <col min="10247" max="10248" width="8.7109375" style="16" customWidth="1"/>
    <col min="10249" max="10254" width="8" style="16" customWidth="1"/>
    <col min="10255" max="10255" width="8.8554687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9" style="16" customWidth="1"/>
    <col min="10499" max="10499" width="8.5703125" style="16" customWidth="1"/>
    <col min="10500" max="10502" width="8" style="16" customWidth="1"/>
    <col min="10503" max="10504" width="8.7109375" style="16" customWidth="1"/>
    <col min="10505" max="10510" width="8" style="16" customWidth="1"/>
    <col min="10511" max="10511" width="8.8554687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9" style="16" customWidth="1"/>
    <col min="10755" max="10755" width="8.5703125" style="16" customWidth="1"/>
    <col min="10756" max="10758" width="8" style="16" customWidth="1"/>
    <col min="10759" max="10760" width="8.7109375" style="16" customWidth="1"/>
    <col min="10761" max="10766" width="8" style="16" customWidth="1"/>
    <col min="10767" max="10767" width="8.8554687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9" style="16" customWidth="1"/>
    <col min="11011" max="11011" width="8.5703125" style="16" customWidth="1"/>
    <col min="11012" max="11014" width="8" style="16" customWidth="1"/>
    <col min="11015" max="11016" width="8.7109375" style="16" customWidth="1"/>
    <col min="11017" max="11022" width="8" style="16" customWidth="1"/>
    <col min="11023" max="11023" width="8.8554687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9" style="16" customWidth="1"/>
    <col min="11267" max="11267" width="8.5703125" style="16" customWidth="1"/>
    <col min="11268" max="11270" width="8" style="16" customWidth="1"/>
    <col min="11271" max="11272" width="8.7109375" style="16" customWidth="1"/>
    <col min="11273" max="11278" width="8" style="16" customWidth="1"/>
    <col min="11279" max="11279" width="8.8554687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9" style="16" customWidth="1"/>
    <col min="11523" max="11523" width="8.5703125" style="16" customWidth="1"/>
    <col min="11524" max="11526" width="8" style="16" customWidth="1"/>
    <col min="11527" max="11528" width="8.7109375" style="16" customWidth="1"/>
    <col min="11529" max="11534" width="8" style="16" customWidth="1"/>
    <col min="11535" max="11535" width="8.8554687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9" style="16" customWidth="1"/>
    <col min="11779" max="11779" width="8.5703125" style="16" customWidth="1"/>
    <col min="11780" max="11782" width="8" style="16" customWidth="1"/>
    <col min="11783" max="11784" width="8.7109375" style="16" customWidth="1"/>
    <col min="11785" max="11790" width="8" style="16" customWidth="1"/>
    <col min="11791" max="11791" width="8.8554687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9" style="16" customWidth="1"/>
    <col min="12035" max="12035" width="8.5703125" style="16" customWidth="1"/>
    <col min="12036" max="12038" width="8" style="16" customWidth="1"/>
    <col min="12039" max="12040" width="8.7109375" style="16" customWidth="1"/>
    <col min="12041" max="12046" width="8" style="16" customWidth="1"/>
    <col min="12047" max="12047" width="8.8554687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9" style="16" customWidth="1"/>
    <col min="12291" max="12291" width="8.5703125" style="16" customWidth="1"/>
    <col min="12292" max="12294" width="8" style="16" customWidth="1"/>
    <col min="12295" max="12296" width="8.7109375" style="16" customWidth="1"/>
    <col min="12297" max="12302" width="8" style="16" customWidth="1"/>
    <col min="12303" max="12303" width="8.8554687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9" style="16" customWidth="1"/>
    <col min="12547" max="12547" width="8.5703125" style="16" customWidth="1"/>
    <col min="12548" max="12550" width="8" style="16" customWidth="1"/>
    <col min="12551" max="12552" width="8.7109375" style="16" customWidth="1"/>
    <col min="12553" max="12558" width="8" style="16" customWidth="1"/>
    <col min="12559" max="12559" width="8.8554687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9" style="16" customWidth="1"/>
    <col min="12803" max="12803" width="8.5703125" style="16" customWidth="1"/>
    <col min="12804" max="12806" width="8" style="16" customWidth="1"/>
    <col min="12807" max="12808" width="8.7109375" style="16" customWidth="1"/>
    <col min="12809" max="12814" width="8" style="16" customWidth="1"/>
    <col min="12815" max="12815" width="8.8554687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9" style="16" customWidth="1"/>
    <col min="13059" max="13059" width="8.5703125" style="16" customWidth="1"/>
    <col min="13060" max="13062" width="8" style="16" customWidth="1"/>
    <col min="13063" max="13064" width="8.7109375" style="16" customWidth="1"/>
    <col min="13065" max="13070" width="8" style="16" customWidth="1"/>
    <col min="13071" max="13071" width="8.8554687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9" style="16" customWidth="1"/>
    <col min="13315" max="13315" width="8.5703125" style="16" customWidth="1"/>
    <col min="13316" max="13318" width="8" style="16" customWidth="1"/>
    <col min="13319" max="13320" width="8.7109375" style="16" customWidth="1"/>
    <col min="13321" max="13326" width="8" style="16" customWidth="1"/>
    <col min="13327" max="13327" width="8.8554687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9" style="16" customWidth="1"/>
    <col min="13571" max="13571" width="8.5703125" style="16" customWidth="1"/>
    <col min="13572" max="13574" width="8" style="16" customWidth="1"/>
    <col min="13575" max="13576" width="8.7109375" style="16" customWidth="1"/>
    <col min="13577" max="13582" width="8" style="16" customWidth="1"/>
    <col min="13583" max="13583" width="8.8554687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9" style="16" customWidth="1"/>
    <col min="13827" max="13827" width="8.5703125" style="16" customWidth="1"/>
    <col min="13828" max="13830" width="8" style="16" customWidth="1"/>
    <col min="13831" max="13832" width="8.7109375" style="16" customWidth="1"/>
    <col min="13833" max="13838" width="8" style="16" customWidth="1"/>
    <col min="13839" max="13839" width="8.8554687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9" style="16" customWidth="1"/>
    <col min="14083" max="14083" width="8.5703125" style="16" customWidth="1"/>
    <col min="14084" max="14086" width="8" style="16" customWidth="1"/>
    <col min="14087" max="14088" width="8.7109375" style="16" customWidth="1"/>
    <col min="14089" max="14094" width="8" style="16" customWidth="1"/>
    <col min="14095" max="14095" width="8.8554687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9" style="16" customWidth="1"/>
    <col min="14339" max="14339" width="8.5703125" style="16" customWidth="1"/>
    <col min="14340" max="14342" width="8" style="16" customWidth="1"/>
    <col min="14343" max="14344" width="8.7109375" style="16" customWidth="1"/>
    <col min="14345" max="14350" width="8" style="16" customWidth="1"/>
    <col min="14351" max="14351" width="8.8554687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9" style="16" customWidth="1"/>
    <col min="14595" max="14595" width="8.5703125" style="16" customWidth="1"/>
    <col min="14596" max="14598" width="8" style="16" customWidth="1"/>
    <col min="14599" max="14600" width="8.7109375" style="16" customWidth="1"/>
    <col min="14601" max="14606" width="8" style="16" customWidth="1"/>
    <col min="14607" max="14607" width="8.8554687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9" style="16" customWidth="1"/>
    <col min="14851" max="14851" width="8.5703125" style="16" customWidth="1"/>
    <col min="14852" max="14854" width="8" style="16" customWidth="1"/>
    <col min="14855" max="14856" width="8.7109375" style="16" customWidth="1"/>
    <col min="14857" max="14862" width="8" style="16" customWidth="1"/>
    <col min="14863" max="14863" width="8.8554687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9" style="16" customWidth="1"/>
    <col min="15107" max="15107" width="8.5703125" style="16" customWidth="1"/>
    <col min="15108" max="15110" width="8" style="16" customWidth="1"/>
    <col min="15111" max="15112" width="8.7109375" style="16" customWidth="1"/>
    <col min="15113" max="15118" width="8" style="16" customWidth="1"/>
    <col min="15119" max="15119" width="8.8554687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9" style="16" customWidth="1"/>
    <col min="15363" max="15363" width="8.5703125" style="16" customWidth="1"/>
    <col min="15364" max="15366" width="8" style="16" customWidth="1"/>
    <col min="15367" max="15368" width="8.7109375" style="16" customWidth="1"/>
    <col min="15369" max="15374" width="8" style="16" customWidth="1"/>
    <col min="15375" max="15375" width="8.8554687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9" style="16" customWidth="1"/>
    <col min="15619" max="15619" width="8.5703125" style="16" customWidth="1"/>
    <col min="15620" max="15622" width="8" style="16" customWidth="1"/>
    <col min="15623" max="15624" width="8.7109375" style="16" customWidth="1"/>
    <col min="15625" max="15630" width="8" style="16" customWidth="1"/>
    <col min="15631" max="15631" width="8.8554687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9" style="16" customWidth="1"/>
    <col min="15875" max="15875" width="8.5703125" style="16" customWidth="1"/>
    <col min="15876" max="15878" width="8" style="16" customWidth="1"/>
    <col min="15879" max="15880" width="8.7109375" style="16" customWidth="1"/>
    <col min="15881" max="15886" width="8" style="16" customWidth="1"/>
    <col min="15887" max="15887" width="8.8554687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9" style="16" customWidth="1"/>
    <col min="16131" max="16131" width="8.5703125" style="16" customWidth="1"/>
    <col min="16132" max="16134" width="8" style="16" customWidth="1"/>
    <col min="16135" max="16136" width="8.7109375" style="16" customWidth="1"/>
    <col min="16137" max="16142" width="8" style="16" customWidth="1"/>
    <col min="16143" max="16143" width="8.8554687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67" t="s">
        <v>449</v>
      </c>
      <c r="B1" s="868"/>
      <c r="C1" s="868"/>
      <c r="D1" s="869"/>
      <c r="E1" s="868"/>
      <c r="F1" s="868"/>
      <c r="G1" s="867" t="s">
        <v>102</v>
      </c>
      <c r="H1" s="869"/>
      <c r="I1" s="869" t="s">
        <v>954</v>
      </c>
      <c r="J1" s="868"/>
      <c r="K1" s="868"/>
      <c r="L1" s="870"/>
      <c r="M1" s="870"/>
      <c r="N1" s="870"/>
      <c r="O1" s="870"/>
    </row>
    <row r="2" spans="1:15" s="1" customFormat="1" x14ac:dyDescent="0.2">
      <c r="A2" s="867" t="s">
        <v>103</v>
      </c>
      <c r="B2" s="868"/>
      <c r="C2" s="868"/>
      <c r="D2" s="881"/>
      <c r="E2" s="882"/>
      <c r="F2" s="882"/>
      <c r="G2" s="867" t="s">
        <v>104</v>
      </c>
      <c r="H2" s="869"/>
      <c r="I2" s="869" t="s">
        <v>105</v>
      </c>
      <c r="J2" s="868"/>
      <c r="K2" s="868"/>
      <c r="L2" s="870"/>
      <c r="M2" s="870"/>
      <c r="N2" s="870"/>
      <c r="O2" s="870"/>
    </row>
    <row r="3" spans="1:15" s="1" customFormat="1" x14ac:dyDescent="0.2">
      <c r="A3" s="867" t="s">
        <v>106</v>
      </c>
      <c r="B3" s="868"/>
      <c r="C3" s="868"/>
      <c r="D3" s="881">
        <v>22068</v>
      </c>
      <c r="E3" s="882"/>
      <c r="F3" s="882"/>
      <c r="G3" s="867" t="s">
        <v>107</v>
      </c>
      <c r="H3" s="869"/>
      <c r="I3" s="869" t="s">
        <v>108</v>
      </c>
      <c r="J3" s="868"/>
      <c r="K3" s="868"/>
      <c r="L3" s="870"/>
      <c r="M3" s="870"/>
      <c r="N3" s="870"/>
      <c r="O3" s="870"/>
    </row>
    <row r="4" spans="1:15" s="1" customFormat="1" x14ac:dyDescent="0.2">
      <c r="A4" s="867" t="s">
        <v>109</v>
      </c>
      <c r="B4" s="868"/>
      <c r="C4" s="868"/>
      <c r="D4" s="869"/>
      <c r="E4" s="868"/>
      <c r="F4" s="868"/>
      <c r="G4" s="867" t="s">
        <v>110</v>
      </c>
      <c r="H4" s="869"/>
      <c r="I4" s="869" t="s">
        <v>300</v>
      </c>
      <c r="J4" s="868"/>
      <c r="K4" s="868"/>
      <c r="L4" s="870"/>
      <c r="M4" s="870"/>
      <c r="N4" s="870"/>
      <c r="O4" s="870"/>
    </row>
    <row r="5" spans="1:15" s="1" customFormat="1" x14ac:dyDescent="0.2">
      <c r="A5" s="867" t="s">
        <v>443</v>
      </c>
      <c r="B5" s="868"/>
      <c r="C5" s="868"/>
      <c r="D5" s="869" t="s">
        <v>1007</v>
      </c>
      <c r="E5" s="868"/>
      <c r="F5" s="868"/>
      <c r="G5" s="867"/>
      <c r="H5" s="868"/>
      <c r="I5" s="869" t="s">
        <v>113</v>
      </c>
      <c r="J5" s="868"/>
      <c r="K5" s="868"/>
      <c r="L5" s="870"/>
      <c r="M5" s="870"/>
      <c r="N5" s="870"/>
      <c r="O5" s="870"/>
    </row>
    <row r="6" spans="1:15" s="1" customFormat="1" x14ac:dyDescent="0.2">
      <c r="A6" s="871" t="s">
        <v>114</v>
      </c>
      <c r="B6" s="872"/>
      <c r="C6" s="872"/>
      <c r="D6" s="868" t="s">
        <v>955</v>
      </c>
      <c r="E6" s="868"/>
      <c r="F6" s="868"/>
      <c r="G6" s="871" t="s">
        <v>115</v>
      </c>
      <c r="H6" s="871"/>
      <c r="I6" s="2" t="s">
        <v>116</v>
      </c>
      <c r="J6" s="888"/>
      <c r="K6" s="888"/>
      <c r="L6" s="888"/>
      <c r="M6" s="888"/>
      <c r="N6" s="888"/>
      <c r="O6" s="889"/>
    </row>
    <row r="7" spans="1:15" s="1" customFormat="1" ht="13.5" thickBot="1" x14ac:dyDescent="0.25">
      <c r="A7" s="3"/>
      <c r="B7" s="4"/>
      <c r="C7" s="5"/>
      <c r="D7" s="6"/>
      <c r="E7" s="6"/>
      <c r="F7" s="6"/>
      <c r="G7" s="6"/>
      <c r="H7" s="6"/>
      <c r="I7" s="6"/>
      <c r="J7" s="7"/>
      <c r="K7" s="8"/>
      <c r="L7" s="875" t="s">
        <v>223</v>
      </c>
      <c r="M7" s="875"/>
      <c r="N7" s="875"/>
      <c r="O7" s="875"/>
    </row>
    <row r="8" spans="1:15" s="11" customFormat="1" x14ac:dyDescent="0.2">
      <c r="A8" s="876" t="str">
        <f>I1</f>
        <v>Mr. R.D. Bobade</v>
      </c>
      <c r="B8" s="877"/>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44100</v>
      </c>
      <c r="D9" s="14">
        <v>44100</v>
      </c>
      <c r="E9" s="14">
        <v>44100</v>
      </c>
      <c r="F9" s="14">
        <v>44100</v>
      </c>
      <c r="G9" s="14">
        <v>45400</v>
      </c>
      <c r="H9" s="14">
        <v>45400</v>
      </c>
      <c r="I9" s="14">
        <v>45400</v>
      </c>
      <c r="J9" s="14">
        <v>45400</v>
      </c>
      <c r="K9" s="14">
        <v>45400</v>
      </c>
      <c r="L9" s="14">
        <v>45400</v>
      </c>
      <c r="M9" s="14">
        <v>45400</v>
      </c>
      <c r="N9" s="14">
        <v>45400</v>
      </c>
      <c r="O9" s="15">
        <f>SUM(C9:N9)</f>
        <v>539600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2205</v>
      </c>
      <c r="D11" s="17">
        <v>3087</v>
      </c>
      <c r="E11" s="17">
        <v>3087</v>
      </c>
      <c r="F11" s="17">
        <v>3087</v>
      </c>
      <c r="G11" s="17">
        <v>3178</v>
      </c>
      <c r="H11" s="17">
        <v>3178</v>
      </c>
      <c r="I11" s="17">
        <v>3178</v>
      </c>
      <c r="J11" s="17">
        <v>4086</v>
      </c>
      <c r="K11" s="17">
        <v>4086</v>
      </c>
      <c r="L11" s="17">
        <v>4086</v>
      </c>
      <c r="M11" s="17">
        <v>4086</v>
      </c>
      <c r="N11" s="17">
        <v>4086</v>
      </c>
      <c r="O11" s="18">
        <f>SUM(C11:N11)</f>
        <v>41430</v>
      </c>
    </row>
    <row r="12" spans="1:15"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x14ac:dyDescent="0.2">
      <c r="A14" s="12"/>
      <c r="B14" s="13" t="s">
        <v>123</v>
      </c>
      <c r="C14" s="17">
        <v>3780</v>
      </c>
      <c r="D14" s="17">
        <v>3852</v>
      </c>
      <c r="E14" s="17">
        <v>3852</v>
      </c>
      <c r="F14" s="17">
        <v>3852</v>
      </c>
      <c r="G14" s="17">
        <v>3852</v>
      </c>
      <c r="H14" s="17">
        <v>3852</v>
      </c>
      <c r="I14" s="17">
        <v>3852</v>
      </c>
      <c r="J14" s="17">
        <v>3924</v>
      </c>
      <c r="K14" s="17">
        <v>3924</v>
      </c>
      <c r="L14" s="17">
        <v>3924</v>
      </c>
      <c r="M14" s="17">
        <v>3924</v>
      </c>
      <c r="N14" s="17">
        <v>3924</v>
      </c>
      <c r="O14" s="18">
        <f t="shared" si="0"/>
        <v>46512</v>
      </c>
    </row>
    <row r="15" spans="1:15"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x14ac:dyDescent="0.2">
      <c r="A16" s="12"/>
      <c r="B16" s="13" t="s">
        <v>125</v>
      </c>
      <c r="C16" s="17">
        <v>0</v>
      </c>
      <c r="D16" s="17">
        <v>0</v>
      </c>
      <c r="E16" s="17">
        <v>0</v>
      </c>
      <c r="F16" s="17">
        <v>0</v>
      </c>
      <c r="G16" s="17">
        <v>5000</v>
      </c>
      <c r="H16" s="17">
        <v>0</v>
      </c>
      <c r="I16" s="17">
        <v>0</v>
      </c>
      <c r="J16" s="17">
        <v>0</v>
      </c>
      <c r="K16" s="17">
        <v>0</v>
      </c>
      <c r="L16" s="17">
        <v>0</v>
      </c>
      <c r="M16" s="17">
        <v>0</v>
      </c>
      <c r="N16" s="17">
        <v>0</v>
      </c>
      <c r="O16" s="18">
        <f t="shared" si="0"/>
        <v>5000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10584</v>
      </c>
      <c r="D19" s="17">
        <v>10584</v>
      </c>
      <c r="E19" s="17">
        <v>10584</v>
      </c>
      <c r="F19" s="17">
        <v>10584</v>
      </c>
      <c r="G19" s="17">
        <v>10896</v>
      </c>
      <c r="H19" s="17">
        <v>10896</v>
      </c>
      <c r="I19" s="17">
        <v>10896</v>
      </c>
      <c r="J19" s="17">
        <v>10896</v>
      </c>
      <c r="K19" s="17">
        <v>10896</v>
      </c>
      <c r="L19" s="17">
        <v>10896</v>
      </c>
      <c r="M19" s="17">
        <v>10896</v>
      </c>
      <c r="N19" s="17">
        <v>10896</v>
      </c>
      <c r="O19" s="18">
        <f t="shared" si="0"/>
        <v>129504</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78"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79"/>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5" ht="15" hidden="1" customHeight="1" x14ac:dyDescent="0.2">
      <c r="A23" s="879"/>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79"/>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79"/>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79"/>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79"/>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79"/>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79"/>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79"/>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79"/>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79"/>
      <c r="B32" s="344" t="s">
        <v>141</v>
      </c>
      <c r="C32" s="17">
        <v>0</v>
      </c>
      <c r="D32" s="17">
        <v>0</v>
      </c>
      <c r="E32" s="17">
        <v>0</v>
      </c>
      <c r="F32" s="17">
        <v>0</v>
      </c>
      <c r="G32" s="17">
        <v>0</v>
      </c>
      <c r="H32" s="17">
        <v>0</v>
      </c>
      <c r="I32" s="17">
        <v>0</v>
      </c>
      <c r="J32" s="17">
        <v>0</v>
      </c>
      <c r="K32" s="17">
        <v>0</v>
      </c>
      <c r="L32" s="17">
        <v>0</v>
      </c>
      <c r="M32" s="17">
        <v>0</v>
      </c>
      <c r="N32" s="17">
        <v>0</v>
      </c>
      <c r="O32" s="18">
        <f t="shared" si="0"/>
        <v>0</v>
      </c>
    </row>
    <row r="33" spans="1:16" ht="15" hidden="1" customHeight="1" x14ac:dyDescent="0.2">
      <c r="A33" s="880"/>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865" t="s">
        <v>247</v>
      </c>
      <c r="B34" s="866"/>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865" t="s">
        <v>145</v>
      </c>
      <c r="B35" s="866"/>
      <c r="C35" s="17">
        <v>0</v>
      </c>
      <c r="D35" s="17">
        <v>216</v>
      </c>
      <c r="E35" s="17">
        <v>0</v>
      </c>
      <c r="F35" s="17">
        <v>0</v>
      </c>
      <c r="G35" s="17">
        <v>0</v>
      </c>
      <c r="H35" s="17">
        <v>0</v>
      </c>
      <c r="I35" s="17">
        <v>0</v>
      </c>
      <c r="J35" s="17">
        <v>216</v>
      </c>
      <c r="K35" s="17">
        <v>0</v>
      </c>
      <c r="L35" s="17">
        <v>0</v>
      </c>
      <c r="M35" s="17">
        <v>0</v>
      </c>
      <c r="N35" s="17">
        <v>0</v>
      </c>
      <c r="O35" s="18">
        <f t="shared" si="0"/>
        <v>432</v>
      </c>
    </row>
    <row r="36" spans="1:16" ht="15" customHeight="1" x14ac:dyDescent="0.2">
      <c r="A36" s="865" t="s">
        <v>146</v>
      </c>
      <c r="B36" s="866"/>
      <c r="C36" s="17">
        <v>0</v>
      </c>
      <c r="D36" s="17">
        <v>2646</v>
      </c>
      <c r="E36" s="17">
        <v>0</v>
      </c>
      <c r="F36" s="17">
        <v>0</v>
      </c>
      <c r="G36" s="17">
        <v>0</v>
      </c>
      <c r="H36" s="17">
        <v>0</v>
      </c>
      <c r="I36" s="17">
        <v>0</v>
      </c>
      <c r="J36" s="17">
        <v>2724</v>
      </c>
      <c r="K36" s="17">
        <v>0</v>
      </c>
      <c r="L36" s="17">
        <v>0</v>
      </c>
      <c r="M36" s="17">
        <v>0</v>
      </c>
      <c r="N36" s="17">
        <v>0</v>
      </c>
      <c r="O36" s="18">
        <f t="shared" si="0"/>
        <v>5370</v>
      </c>
    </row>
    <row r="37" spans="1:16" ht="15" customHeight="1" x14ac:dyDescent="0.2">
      <c r="A37" s="22"/>
      <c r="B37" s="23" t="s">
        <v>147</v>
      </c>
      <c r="C37" s="24">
        <f t="shared" ref="C37:N37" si="1">SUM(C9:C36)</f>
        <v>60669</v>
      </c>
      <c r="D37" s="24">
        <f t="shared" si="1"/>
        <v>64485</v>
      </c>
      <c r="E37" s="24">
        <f t="shared" si="1"/>
        <v>61623</v>
      </c>
      <c r="F37" s="24">
        <f t="shared" si="1"/>
        <v>61623</v>
      </c>
      <c r="G37" s="24">
        <f t="shared" si="1"/>
        <v>68326</v>
      </c>
      <c r="H37" s="24">
        <f t="shared" si="1"/>
        <v>63326</v>
      </c>
      <c r="I37" s="24">
        <f t="shared" si="1"/>
        <v>63326</v>
      </c>
      <c r="J37" s="24">
        <f t="shared" si="1"/>
        <v>74154</v>
      </c>
      <c r="K37" s="24">
        <f t="shared" si="1"/>
        <v>64306</v>
      </c>
      <c r="L37" s="24">
        <f t="shared" si="1"/>
        <v>64306</v>
      </c>
      <c r="M37" s="24">
        <f t="shared" si="1"/>
        <v>64306</v>
      </c>
      <c r="N37" s="24">
        <f t="shared" si="1"/>
        <v>64306</v>
      </c>
      <c r="O37" s="25">
        <f>SUM(C37:N37)</f>
        <v>774756</v>
      </c>
    </row>
    <row r="38" spans="1:16" ht="15" customHeight="1" x14ac:dyDescent="0.25">
      <c r="A38" s="853" t="s">
        <v>148</v>
      </c>
      <c r="B38" s="27" t="s">
        <v>149</v>
      </c>
      <c r="C38" s="28">
        <v>2400</v>
      </c>
      <c r="D38" s="28">
        <v>3000</v>
      </c>
      <c r="E38" s="28">
        <v>3000</v>
      </c>
      <c r="F38" s="28">
        <v>3000</v>
      </c>
      <c r="G38" s="28">
        <v>3000</v>
      </c>
      <c r="H38" s="28">
        <v>3000</v>
      </c>
      <c r="I38" s="28">
        <v>3000</v>
      </c>
      <c r="J38" s="28">
        <v>3000</v>
      </c>
      <c r="K38" s="28">
        <v>2000</v>
      </c>
      <c r="L38" s="28">
        <v>1269</v>
      </c>
      <c r="M38" s="28">
        <v>1269</v>
      </c>
      <c r="N38">
        <v>1554</v>
      </c>
      <c r="O38" s="18">
        <f>SUM(C38:N38)</f>
        <v>29492</v>
      </c>
      <c r="P38" s="29"/>
    </row>
    <row r="39" spans="1:16" ht="15" x14ac:dyDescent="0.2">
      <c r="A39" s="854"/>
      <c r="B39" s="27" t="s">
        <v>150</v>
      </c>
      <c r="C39" s="28">
        <v>0</v>
      </c>
      <c r="D39" s="28">
        <v>0</v>
      </c>
      <c r="E39" s="28">
        <v>0</v>
      </c>
      <c r="F39" s="28">
        <v>0</v>
      </c>
      <c r="G39" s="28">
        <v>0</v>
      </c>
      <c r="H39" s="28">
        <v>0</v>
      </c>
      <c r="I39" s="28">
        <v>0</v>
      </c>
      <c r="J39" s="28">
        <v>0</v>
      </c>
      <c r="K39" s="28">
        <v>0</v>
      </c>
      <c r="L39" s="28">
        <v>0</v>
      </c>
      <c r="M39" s="28">
        <v>0</v>
      </c>
      <c r="N39" s="28">
        <v>0</v>
      </c>
      <c r="O39" s="18">
        <f>SUM(C39:N39)</f>
        <v>0</v>
      </c>
    </row>
    <row r="40" spans="1:16" ht="15" x14ac:dyDescent="0.2">
      <c r="A40" s="854"/>
      <c r="B40" s="27" t="s">
        <v>151</v>
      </c>
      <c r="C40" s="28">
        <v>30</v>
      </c>
      <c r="D40" s="28">
        <v>30</v>
      </c>
      <c r="E40" s="28">
        <v>30</v>
      </c>
      <c r="F40" s="28">
        <v>30</v>
      </c>
      <c r="G40" s="28">
        <v>30</v>
      </c>
      <c r="H40" s="28">
        <v>30</v>
      </c>
      <c r="I40" s="28">
        <v>30</v>
      </c>
      <c r="J40" s="28">
        <v>30</v>
      </c>
      <c r="K40" s="28">
        <v>30</v>
      </c>
      <c r="L40" s="28">
        <v>30</v>
      </c>
      <c r="M40" s="28">
        <v>30</v>
      </c>
      <c r="N40" s="28">
        <v>30</v>
      </c>
      <c r="O40" s="18">
        <f t="shared" ref="O40:O50" si="2">SUM(C40:N40)</f>
        <v>360</v>
      </c>
    </row>
    <row r="41" spans="1:16" ht="15" x14ac:dyDescent="0.2">
      <c r="A41" s="854"/>
      <c r="B41" s="27" t="s">
        <v>152</v>
      </c>
      <c r="C41" s="28">
        <v>0</v>
      </c>
      <c r="D41" s="28">
        <v>0</v>
      </c>
      <c r="E41" s="28">
        <v>0</v>
      </c>
      <c r="F41" s="28">
        <v>0</v>
      </c>
      <c r="G41" s="28">
        <v>0</v>
      </c>
      <c r="H41" s="28">
        <v>0</v>
      </c>
      <c r="I41" s="28">
        <v>0</v>
      </c>
      <c r="J41" s="28">
        <v>0</v>
      </c>
      <c r="K41" s="28">
        <v>0</v>
      </c>
      <c r="L41" s="28">
        <v>0</v>
      </c>
      <c r="M41" s="28">
        <v>0</v>
      </c>
      <c r="N41" s="28">
        <v>0</v>
      </c>
      <c r="O41" s="18">
        <f t="shared" si="2"/>
        <v>0</v>
      </c>
    </row>
    <row r="42" spans="1:16" ht="15" x14ac:dyDescent="0.2">
      <c r="A42" s="854"/>
      <c r="B42" s="27" t="s">
        <v>153</v>
      </c>
      <c r="C42" s="28">
        <v>250</v>
      </c>
      <c r="D42" s="28">
        <v>250</v>
      </c>
      <c r="E42" s="28">
        <v>250</v>
      </c>
      <c r="F42" s="28">
        <v>250</v>
      </c>
      <c r="G42" s="28">
        <v>250</v>
      </c>
      <c r="H42" s="28">
        <v>250</v>
      </c>
      <c r="I42" s="28">
        <v>250</v>
      </c>
      <c r="J42" s="28">
        <v>250</v>
      </c>
      <c r="K42" s="28">
        <v>250</v>
      </c>
      <c r="L42" s="28">
        <v>250</v>
      </c>
      <c r="M42" s="28">
        <v>250</v>
      </c>
      <c r="N42" s="28">
        <v>250</v>
      </c>
      <c r="O42" s="18">
        <f t="shared" si="2"/>
        <v>3000</v>
      </c>
    </row>
    <row r="43" spans="1:16" ht="15" x14ac:dyDescent="0.2">
      <c r="A43" s="854"/>
      <c r="B43" s="27" t="s">
        <v>154</v>
      </c>
      <c r="C43" s="28">
        <v>25000</v>
      </c>
      <c r="D43" s="28">
        <v>25000</v>
      </c>
      <c r="E43" s="28">
        <v>25000</v>
      </c>
      <c r="F43" s="28">
        <v>25000</v>
      </c>
      <c r="G43" s="28">
        <v>25000</v>
      </c>
      <c r="H43" s="28">
        <v>25000</v>
      </c>
      <c r="I43" s="28">
        <v>25000</v>
      </c>
      <c r="J43" s="28">
        <v>25000</v>
      </c>
      <c r="K43" s="28">
        <v>25000</v>
      </c>
      <c r="L43" s="28">
        <v>25000</v>
      </c>
      <c r="M43" s="28">
        <v>25000</v>
      </c>
      <c r="N43" s="28">
        <v>25000</v>
      </c>
      <c r="O43" s="18">
        <f t="shared" si="2"/>
        <v>300000</v>
      </c>
    </row>
    <row r="44" spans="1:16" ht="15" x14ac:dyDescent="0.2">
      <c r="A44" s="854"/>
      <c r="B44" s="27" t="s">
        <v>155</v>
      </c>
      <c r="C44" s="28">
        <v>200</v>
      </c>
      <c r="D44" s="28">
        <v>200</v>
      </c>
      <c r="E44" s="28">
        <v>200</v>
      </c>
      <c r="F44" s="28">
        <v>200</v>
      </c>
      <c r="G44" s="28">
        <v>200</v>
      </c>
      <c r="H44" s="28">
        <v>200</v>
      </c>
      <c r="I44" s="28">
        <v>200</v>
      </c>
      <c r="J44" s="28">
        <v>200</v>
      </c>
      <c r="K44" s="28">
        <v>200</v>
      </c>
      <c r="L44" s="28">
        <v>200</v>
      </c>
      <c r="M44" s="28">
        <v>200</v>
      </c>
      <c r="N44" s="28">
        <v>300</v>
      </c>
      <c r="O44" s="18">
        <f t="shared" si="2"/>
        <v>2500</v>
      </c>
    </row>
    <row r="45" spans="1:16" ht="15" x14ac:dyDescent="0.2">
      <c r="A45" s="854"/>
      <c r="B45" s="27" t="s">
        <v>156</v>
      </c>
      <c r="C45" s="28">
        <v>0</v>
      </c>
      <c r="D45" s="28">
        <v>0</v>
      </c>
      <c r="E45" s="28">
        <v>0</v>
      </c>
      <c r="F45" s="28">
        <v>0</v>
      </c>
      <c r="G45" s="28">
        <v>0</v>
      </c>
      <c r="H45" s="28">
        <v>0</v>
      </c>
      <c r="I45" s="28">
        <v>0</v>
      </c>
      <c r="J45" s="28">
        <v>0</v>
      </c>
      <c r="K45" s="28">
        <v>0</v>
      </c>
      <c r="L45" s="28">
        <v>0</v>
      </c>
      <c r="M45" s="28">
        <v>0</v>
      </c>
      <c r="N45" s="28">
        <v>0</v>
      </c>
      <c r="O45" s="18">
        <f t="shared" si="2"/>
        <v>0</v>
      </c>
    </row>
    <row r="46" spans="1:16" ht="15" x14ac:dyDescent="0.2">
      <c r="A46" s="854"/>
      <c r="B46" s="27" t="s">
        <v>157</v>
      </c>
      <c r="C46" s="28">
        <v>0</v>
      </c>
      <c r="D46" s="28">
        <v>0</v>
      </c>
      <c r="E46" s="28">
        <v>0</v>
      </c>
      <c r="F46" s="28">
        <v>0</v>
      </c>
      <c r="G46" s="28">
        <v>0</v>
      </c>
      <c r="H46" s="28">
        <v>0</v>
      </c>
      <c r="I46" s="28">
        <v>0</v>
      </c>
      <c r="J46" s="28">
        <v>0</v>
      </c>
      <c r="K46" s="28">
        <v>0</v>
      </c>
      <c r="L46" s="28">
        <v>0</v>
      </c>
      <c r="M46" s="28">
        <v>0</v>
      </c>
      <c r="N46" s="28">
        <v>0</v>
      </c>
      <c r="O46" s="18">
        <f t="shared" si="2"/>
        <v>0</v>
      </c>
    </row>
    <row r="47" spans="1:16" ht="28.5" customHeight="1" x14ac:dyDescent="0.2">
      <c r="A47" s="855"/>
      <c r="B47" s="357" t="s">
        <v>158</v>
      </c>
      <c r="C47" s="28">
        <v>2132</v>
      </c>
      <c r="D47" s="28">
        <v>2132</v>
      </c>
      <c r="E47" s="28">
        <v>2132</v>
      </c>
      <c r="F47" s="28">
        <v>2132</v>
      </c>
      <c r="G47" s="28">
        <v>2132</v>
      </c>
      <c r="H47" s="28">
        <v>2132</v>
      </c>
      <c r="I47" s="28">
        <v>2132</v>
      </c>
      <c r="J47" s="28">
        <v>2132</v>
      </c>
      <c r="K47" s="28">
        <v>2132</v>
      </c>
      <c r="L47" s="28">
        <v>2132</v>
      </c>
      <c r="M47" s="28">
        <v>2132</v>
      </c>
      <c r="N47" s="28">
        <v>2132</v>
      </c>
      <c r="O47" s="31">
        <f t="shared" si="2"/>
        <v>25584</v>
      </c>
    </row>
    <row r="48" spans="1:16" ht="16.5" customHeight="1" x14ac:dyDescent="0.2">
      <c r="A48" s="856"/>
      <c r="B48" s="160" t="s">
        <v>1008</v>
      </c>
      <c r="C48" s="28">
        <v>0</v>
      </c>
      <c r="D48" s="28">
        <v>0</v>
      </c>
      <c r="E48" s="28">
        <v>0</v>
      </c>
      <c r="F48" s="28">
        <v>0</v>
      </c>
      <c r="G48" s="28">
        <v>0</v>
      </c>
      <c r="H48" s="28">
        <v>0</v>
      </c>
      <c r="I48" s="28">
        <v>0</v>
      </c>
      <c r="J48" s="28">
        <v>0</v>
      </c>
      <c r="K48" s="28">
        <v>0</v>
      </c>
      <c r="L48" s="28">
        <v>0</v>
      </c>
      <c r="M48" s="28">
        <v>0</v>
      </c>
      <c r="N48" s="28">
        <v>0</v>
      </c>
      <c r="O48" s="31">
        <f t="shared" si="2"/>
        <v>0</v>
      </c>
    </row>
    <row r="49" spans="1:18" ht="15" x14ac:dyDescent="0.2">
      <c r="A49" s="857" t="s">
        <v>160</v>
      </c>
      <c r="B49" s="858"/>
      <c r="C49" s="33">
        <f t="shared" ref="C49:N49" si="3">SUM(C38:C48)</f>
        <v>30012</v>
      </c>
      <c r="D49" s="33">
        <f t="shared" si="3"/>
        <v>30612</v>
      </c>
      <c r="E49" s="33">
        <f t="shared" si="3"/>
        <v>30612</v>
      </c>
      <c r="F49" s="33">
        <f t="shared" si="3"/>
        <v>30612</v>
      </c>
      <c r="G49" s="33">
        <f t="shared" si="3"/>
        <v>30612</v>
      </c>
      <c r="H49" s="33">
        <f t="shared" si="3"/>
        <v>30612</v>
      </c>
      <c r="I49" s="33">
        <f t="shared" si="3"/>
        <v>30612</v>
      </c>
      <c r="J49" s="33">
        <f t="shared" si="3"/>
        <v>30612</v>
      </c>
      <c r="K49" s="33">
        <f t="shared" si="3"/>
        <v>29612</v>
      </c>
      <c r="L49" s="33">
        <f t="shared" si="3"/>
        <v>28881</v>
      </c>
      <c r="M49" s="33">
        <f t="shared" si="3"/>
        <v>28881</v>
      </c>
      <c r="N49" s="33">
        <f t="shared" si="3"/>
        <v>29266</v>
      </c>
      <c r="O49" s="34">
        <f t="shared" si="2"/>
        <v>360936</v>
      </c>
    </row>
    <row r="50" spans="1:18" ht="15.75" thickBot="1" x14ac:dyDescent="0.25">
      <c r="A50" s="859" t="s">
        <v>161</v>
      </c>
      <c r="B50" s="860"/>
      <c r="C50" s="35">
        <f t="shared" ref="C50:N50" si="4">C37-C49</f>
        <v>30657</v>
      </c>
      <c r="D50" s="35">
        <f t="shared" si="4"/>
        <v>33873</v>
      </c>
      <c r="E50" s="35">
        <f t="shared" si="4"/>
        <v>31011</v>
      </c>
      <c r="F50" s="35">
        <f t="shared" si="4"/>
        <v>31011</v>
      </c>
      <c r="G50" s="35">
        <f t="shared" si="4"/>
        <v>37714</v>
      </c>
      <c r="H50" s="35">
        <f t="shared" si="4"/>
        <v>32714</v>
      </c>
      <c r="I50" s="35">
        <f t="shared" si="4"/>
        <v>32714</v>
      </c>
      <c r="J50" s="35">
        <f t="shared" si="4"/>
        <v>43542</v>
      </c>
      <c r="K50" s="35">
        <f t="shared" si="4"/>
        <v>34694</v>
      </c>
      <c r="L50" s="35">
        <f t="shared" si="4"/>
        <v>35425</v>
      </c>
      <c r="M50" s="35">
        <f t="shared" si="4"/>
        <v>35425</v>
      </c>
      <c r="N50" s="35">
        <f t="shared" si="4"/>
        <v>35040</v>
      </c>
      <c r="O50" s="36">
        <f t="shared" si="2"/>
        <v>413820</v>
      </c>
    </row>
    <row r="51" spans="1:18" x14ac:dyDescent="0.2">
      <c r="J51" s="300">
        <f>+J37-SUM(J22:J36)</f>
        <v>64306</v>
      </c>
      <c r="Q51" s="38"/>
    </row>
    <row r="52" spans="1:18" ht="13.5" thickBot="1" x14ac:dyDescent="0.25">
      <c r="J52" s="38">
        <f>+J51-J49</f>
        <v>33694</v>
      </c>
    </row>
    <row r="53" spans="1:18" ht="13.5" thickBot="1" x14ac:dyDescent="0.25">
      <c r="B53" s="789" t="s">
        <v>162</v>
      </c>
      <c r="C53" s="861"/>
      <c r="D53" s="861"/>
      <c r="E53" s="861"/>
      <c r="F53" s="862"/>
      <c r="G53" s="863">
        <f>O37</f>
        <v>774756</v>
      </c>
      <c r="H53" s="864"/>
      <c r="I53" s="863">
        <v>0</v>
      </c>
      <c r="J53" s="864"/>
      <c r="K53" s="863"/>
      <c r="L53" s="864"/>
    </row>
    <row r="54" spans="1:18" ht="13.5" thickBot="1" x14ac:dyDescent="0.25"/>
    <row r="55" spans="1:18" x14ac:dyDescent="0.2">
      <c r="B55" s="830" t="s">
        <v>163</v>
      </c>
      <c r="C55" s="833" t="s">
        <v>164</v>
      </c>
      <c r="D55" s="836" t="s">
        <v>229</v>
      </c>
      <c r="E55" s="837"/>
      <c r="F55" s="838"/>
      <c r="G55" s="839">
        <v>40000</v>
      </c>
      <c r="H55" s="840"/>
    </row>
    <row r="56" spans="1:18" x14ac:dyDescent="0.2">
      <c r="B56" s="831"/>
      <c r="C56" s="834"/>
      <c r="D56" s="841" t="s">
        <v>166</v>
      </c>
      <c r="E56" s="842"/>
      <c r="F56" s="843"/>
      <c r="G56" s="844">
        <f>+O44</f>
        <v>2500</v>
      </c>
      <c r="H56" s="845"/>
      <c r="I56" s="39"/>
      <c r="J56" s="846"/>
      <c r="K56" s="846"/>
      <c r="L56" s="846"/>
      <c r="M56" s="847"/>
      <c r="N56" s="847"/>
      <c r="O56" s="847"/>
    </row>
    <row r="57" spans="1:18" x14ac:dyDescent="0.2">
      <c r="B57" s="886"/>
      <c r="C57" s="887"/>
      <c r="D57" s="40" t="s">
        <v>129</v>
      </c>
      <c r="E57" s="41"/>
      <c r="F57" s="42"/>
      <c r="G57" s="43"/>
      <c r="H57" s="44">
        <v>0</v>
      </c>
      <c r="I57" s="39"/>
      <c r="J57" s="45"/>
      <c r="K57" s="45"/>
      <c r="L57" s="45"/>
      <c r="M57" s="46"/>
      <c r="N57" s="46"/>
      <c r="O57" s="46"/>
    </row>
    <row r="58" spans="1:18" ht="13.5" thickBot="1" x14ac:dyDescent="0.25">
      <c r="B58" s="832"/>
      <c r="C58" s="835"/>
      <c r="D58" s="848" t="s">
        <v>243</v>
      </c>
      <c r="E58" s="849"/>
      <c r="F58" s="850"/>
      <c r="G58" s="851">
        <f>IF(O18&gt;15000,15000,+O18)</f>
        <v>0</v>
      </c>
      <c r="H58" s="852"/>
      <c r="J58" s="47"/>
      <c r="K58" s="47"/>
      <c r="L58" s="47"/>
      <c r="M58" s="47"/>
      <c r="N58" s="47"/>
      <c r="O58" s="47"/>
    </row>
    <row r="59" spans="1:18" ht="13.5" thickBot="1" x14ac:dyDescent="0.25">
      <c r="B59" s="48"/>
      <c r="J59" s="47"/>
      <c r="K59" s="47"/>
      <c r="L59" s="47"/>
      <c r="M59" s="47"/>
      <c r="N59" s="47"/>
      <c r="O59" s="47"/>
    </row>
    <row r="60" spans="1:18" ht="13.5" thickBot="1" x14ac:dyDescent="0.25">
      <c r="B60" s="789" t="s">
        <v>168</v>
      </c>
      <c r="C60" s="790"/>
      <c r="D60" s="790"/>
      <c r="E60" s="790"/>
      <c r="F60" s="791"/>
      <c r="G60" s="825">
        <f>+G53-SUM(G55:H58)</f>
        <v>732256</v>
      </c>
      <c r="H60" s="826"/>
      <c r="J60" s="827" t="s">
        <v>169</v>
      </c>
      <c r="K60" s="828"/>
      <c r="L60" s="828"/>
      <c r="M60" s="828"/>
      <c r="N60" s="828"/>
      <c r="O60" s="829"/>
    </row>
    <row r="61" spans="1:18" ht="13.5" thickBot="1" x14ac:dyDescent="0.25">
      <c r="B61" s="49"/>
      <c r="C61" s="50"/>
      <c r="D61" s="50"/>
      <c r="E61" s="50"/>
      <c r="F61" s="50"/>
      <c r="G61" s="45"/>
      <c r="H61" s="50"/>
      <c r="J61" s="129"/>
      <c r="K61" s="130"/>
      <c r="L61" s="130"/>
      <c r="M61" s="130"/>
      <c r="N61" s="130"/>
      <c r="O61" s="131"/>
    </row>
    <row r="62" spans="1:18" ht="13.5" thickBot="1" x14ac:dyDescent="0.25">
      <c r="B62" s="789" t="s">
        <v>170</v>
      </c>
      <c r="C62" s="790"/>
      <c r="D62" s="790"/>
      <c r="E62" s="790"/>
      <c r="F62" s="791"/>
      <c r="G62" s="805"/>
      <c r="H62" s="791"/>
      <c r="J62" s="129"/>
      <c r="K62" s="130"/>
      <c r="L62" s="130"/>
      <c r="M62" s="130"/>
      <c r="N62" s="130"/>
      <c r="O62" s="131"/>
    </row>
    <row r="63" spans="1:18" ht="12.75" customHeight="1" x14ac:dyDescent="0.2">
      <c r="B63" s="57" t="s">
        <v>171</v>
      </c>
      <c r="C63" s="806" t="s">
        <v>172</v>
      </c>
      <c r="D63" s="807"/>
      <c r="E63" s="807"/>
      <c r="F63" s="808"/>
      <c r="G63" s="809">
        <v>0</v>
      </c>
      <c r="H63" s="809"/>
      <c r="I63" s="58"/>
      <c r="J63" s="810" t="s">
        <v>173</v>
      </c>
      <c r="K63" s="811"/>
      <c r="L63" s="811"/>
      <c r="M63" s="811"/>
      <c r="N63" s="811"/>
      <c r="O63" s="812"/>
      <c r="Q63" s="59"/>
      <c r="R63" s="59"/>
    </row>
    <row r="64" spans="1:18" ht="13.5" thickBot="1" x14ac:dyDescent="0.25">
      <c r="D64" s="37"/>
      <c r="I64" s="58"/>
      <c r="J64" s="60" t="s">
        <v>254</v>
      </c>
      <c r="K64" s="132"/>
      <c r="L64" s="132"/>
      <c r="M64" s="133"/>
      <c r="N64" s="133"/>
      <c r="O64" s="134"/>
      <c r="Q64" s="59"/>
      <c r="R64" s="59"/>
    </row>
    <row r="65" spans="2:18" ht="13.5" thickBot="1" x14ac:dyDescent="0.25">
      <c r="B65" s="789" t="s">
        <v>175</v>
      </c>
      <c r="C65" s="790"/>
      <c r="D65" s="790"/>
      <c r="E65" s="790"/>
      <c r="F65" s="791"/>
      <c r="G65" s="805">
        <f>+G60-G63</f>
        <v>732256</v>
      </c>
      <c r="H65" s="791"/>
      <c r="I65" s="63"/>
      <c r="J65" s="64"/>
      <c r="K65" s="39"/>
      <c r="L65" s="39"/>
      <c r="M65" s="39"/>
      <c r="N65" s="39"/>
      <c r="O65" s="65"/>
      <c r="Q65" s="59"/>
      <c r="R65" s="59"/>
    </row>
    <row r="66" spans="2:18" ht="12.75" customHeight="1" x14ac:dyDescent="0.2">
      <c r="B66" s="48"/>
      <c r="C66" s="48"/>
      <c r="I66" s="63"/>
      <c r="J66" s="64"/>
      <c r="K66" s="39"/>
      <c r="L66" s="39"/>
      <c r="M66" s="39"/>
      <c r="N66" s="39"/>
      <c r="O66" s="65"/>
      <c r="Q66" s="59"/>
      <c r="R66" s="59"/>
    </row>
    <row r="67" spans="2:18" x14ac:dyDescent="0.2">
      <c r="B67" s="66" t="s">
        <v>176</v>
      </c>
      <c r="C67" s="48"/>
      <c r="I67" s="63"/>
      <c r="J67" s="67"/>
      <c r="K67" s="68"/>
      <c r="L67" s="68"/>
      <c r="M67" s="68"/>
      <c r="N67" s="68"/>
      <c r="O67" s="69"/>
      <c r="Q67" s="59"/>
      <c r="R67" s="59"/>
    </row>
    <row r="68" spans="2:18" ht="26.25" customHeight="1" thickBot="1" x14ac:dyDescent="0.25">
      <c r="B68" s="66"/>
      <c r="C68" s="48"/>
      <c r="G68" s="70" t="s">
        <v>177</v>
      </c>
      <c r="H68" s="70" t="s">
        <v>178</v>
      </c>
      <c r="I68" s="63"/>
      <c r="J68" s="810" t="s">
        <v>179</v>
      </c>
      <c r="K68" s="811"/>
      <c r="L68" s="71"/>
      <c r="M68" s="71"/>
      <c r="N68" s="71"/>
      <c r="O68" s="72"/>
      <c r="Q68" s="59"/>
      <c r="R68" s="59"/>
    </row>
    <row r="69" spans="2:18" ht="12.75" customHeight="1" x14ac:dyDescent="0.2">
      <c r="B69" s="802" t="s">
        <v>180</v>
      </c>
      <c r="C69" s="821" t="s">
        <v>181</v>
      </c>
      <c r="D69" s="823" t="s">
        <v>182</v>
      </c>
      <c r="E69" s="824"/>
      <c r="F69" s="824"/>
      <c r="G69" s="73">
        <f>+O43</f>
        <v>300000</v>
      </c>
      <c r="H69" s="74">
        <f t="shared" ref="H69:H77" si="5">+G69</f>
        <v>300000</v>
      </c>
      <c r="I69" s="63"/>
      <c r="J69" s="75" t="s">
        <v>231</v>
      </c>
      <c r="K69" s="58"/>
      <c r="L69" s="58"/>
      <c r="M69" s="135" t="s">
        <v>232</v>
      </c>
      <c r="N69" s="135" t="s">
        <v>233</v>
      </c>
      <c r="O69" s="76">
        <f>O47</f>
        <v>25584</v>
      </c>
      <c r="Q69" s="59"/>
      <c r="R69" s="59"/>
    </row>
    <row r="70" spans="2:18" ht="12.75" customHeight="1" x14ac:dyDescent="0.2">
      <c r="B70" s="803"/>
      <c r="C70" s="822"/>
      <c r="D70" s="782" t="s">
        <v>184</v>
      </c>
      <c r="E70" s="783"/>
      <c r="F70" s="783"/>
      <c r="G70" s="77">
        <f>+O47</f>
        <v>25584</v>
      </c>
      <c r="H70" s="78">
        <f t="shared" si="5"/>
        <v>25584</v>
      </c>
      <c r="I70" s="63"/>
      <c r="J70" s="79"/>
      <c r="K70" s="68"/>
      <c r="L70" s="68"/>
      <c r="M70" s="68"/>
      <c r="N70" s="68"/>
      <c r="O70" s="69"/>
      <c r="Q70" s="59"/>
      <c r="R70" s="59"/>
    </row>
    <row r="71" spans="2:18" ht="12.75" customHeight="1" x14ac:dyDescent="0.2">
      <c r="B71" s="803"/>
      <c r="C71" s="822"/>
      <c r="D71" s="819" t="s">
        <v>185</v>
      </c>
      <c r="E71" s="820"/>
      <c r="F71" s="820"/>
      <c r="G71" s="80">
        <f>O40</f>
        <v>360</v>
      </c>
      <c r="H71" s="78">
        <f t="shared" si="5"/>
        <v>360</v>
      </c>
      <c r="I71" s="63"/>
      <c r="J71" s="67"/>
      <c r="K71" s="68"/>
      <c r="L71" s="68"/>
      <c r="M71" s="68"/>
      <c r="N71" s="68"/>
      <c r="O71" s="69"/>
    </row>
    <row r="72" spans="2:18" x14ac:dyDescent="0.2">
      <c r="B72" s="803"/>
      <c r="C72" s="822"/>
      <c r="D72" s="782" t="s">
        <v>186</v>
      </c>
      <c r="E72" s="783"/>
      <c r="F72" s="783"/>
      <c r="G72" s="81">
        <v>0</v>
      </c>
      <c r="H72" s="78">
        <f t="shared" si="5"/>
        <v>0</v>
      </c>
      <c r="I72" s="63"/>
      <c r="J72" s="82" t="s">
        <v>187</v>
      </c>
      <c r="K72" s="71"/>
      <c r="L72" s="71"/>
      <c r="M72" s="71"/>
      <c r="N72" s="71"/>
      <c r="O72" s="72"/>
    </row>
    <row r="73" spans="2:18" ht="12.75" customHeight="1" x14ac:dyDescent="0.2">
      <c r="B73" s="803"/>
      <c r="C73" s="822"/>
      <c r="D73" s="784" t="s">
        <v>188</v>
      </c>
      <c r="E73" s="783"/>
      <c r="F73" s="783"/>
      <c r="G73" s="80">
        <v>0</v>
      </c>
      <c r="H73" s="78">
        <f t="shared" si="5"/>
        <v>0</v>
      </c>
      <c r="I73" s="63"/>
      <c r="J73" s="75" t="s">
        <v>189</v>
      </c>
      <c r="K73" s="50"/>
      <c r="L73" s="50"/>
      <c r="M73" s="50"/>
      <c r="N73" s="50"/>
      <c r="O73" s="83">
        <f>O42</f>
        <v>3000</v>
      </c>
    </row>
    <row r="74" spans="2:18" ht="14.25" customHeight="1" x14ac:dyDescent="0.2">
      <c r="B74" s="803"/>
      <c r="C74" s="822"/>
      <c r="D74" s="782" t="s">
        <v>190</v>
      </c>
      <c r="E74" s="783"/>
      <c r="F74" s="783"/>
      <c r="G74" s="84">
        <v>0</v>
      </c>
      <c r="H74" s="78">
        <f t="shared" si="5"/>
        <v>0</v>
      </c>
      <c r="I74" s="63"/>
      <c r="J74" s="64"/>
      <c r="K74" s="39"/>
      <c r="L74" s="39"/>
      <c r="M74" s="39"/>
      <c r="N74" s="39"/>
      <c r="O74" s="65"/>
    </row>
    <row r="75" spans="2:18" x14ac:dyDescent="0.2">
      <c r="B75" s="803"/>
      <c r="C75" s="822"/>
      <c r="D75" s="782" t="s">
        <v>191</v>
      </c>
      <c r="E75" s="783"/>
      <c r="F75" s="783"/>
      <c r="G75" s="81">
        <v>0</v>
      </c>
      <c r="H75" s="78">
        <f t="shared" si="5"/>
        <v>0</v>
      </c>
      <c r="I75" s="58"/>
      <c r="J75" s="150"/>
      <c r="K75" s="50"/>
      <c r="L75" s="50"/>
      <c r="M75" s="50"/>
      <c r="N75" s="50"/>
      <c r="O75" s="83"/>
    </row>
    <row r="76" spans="2:18" x14ac:dyDescent="0.2">
      <c r="B76" s="803"/>
      <c r="C76" s="88" t="s">
        <v>192</v>
      </c>
      <c r="D76" s="813" t="s">
        <v>193</v>
      </c>
      <c r="E76" s="814"/>
      <c r="F76" s="814"/>
      <c r="G76" s="80">
        <v>0</v>
      </c>
      <c r="H76" s="78">
        <f t="shared" si="5"/>
        <v>0</v>
      </c>
      <c r="I76" s="58"/>
      <c r="J76" s="79"/>
      <c r="K76" s="39"/>
      <c r="L76" s="39"/>
      <c r="M76" s="39"/>
      <c r="N76" s="39"/>
      <c r="O76" s="65"/>
    </row>
    <row r="77" spans="2:18" ht="13.5" customHeight="1" thickBot="1" x14ac:dyDescent="0.25">
      <c r="B77" s="803"/>
      <c r="C77" s="88" t="s">
        <v>194</v>
      </c>
      <c r="D77" s="815" t="s">
        <v>195</v>
      </c>
      <c r="E77" s="815"/>
      <c r="F77" s="815"/>
      <c r="G77" s="89">
        <v>0</v>
      </c>
      <c r="H77" s="90">
        <f t="shared" si="5"/>
        <v>0</v>
      </c>
      <c r="I77" s="63"/>
      <c r="J77" s="67"/>
      <c r="K77" s="68"/>
      <c r="L77" s="68"/>
      <c r="M77" s="91"/>
      <c r="N77" s="91"/>
      <c r="O77" s="92"/>
    </row>
    <row r="78" spans="2:18" ht="13.5" thickBot="1" x14ac:dyDescent="0.25">
      <c r="B78" s="803"/>
      <c r="C78" s="93"/>
      <c r="D78" s="94"/>
      <c r="E78" s="816" t="s">
        <v>117</v>
      </c>
      <c r="F78" s="817"/>
      <c r="G78" s="95">
        <f>SUM(G69:G77)</f>
        <v>325944</v>
      </c>
      <c r="H78" s="96">
        <f>IF(SUM(G69:G75)&lt;150000,SUM(G69:G75),150000)+IF(+G76&lt;20000,+G76,20000)</f>
        <v>150000</v>
      </c>
      <c r="I78" s="63"/>
      <c r="J78" s="140"/>
      <c r="K78" s="141"/>
      <c r="L78" s="141"/>
      <c r="M78" s="142"/>
      <c r="N78" s="142"/>
      <c r="O78" s="143"/>
    </row>
    <row r="79" spans="2:18" ht="12.75" customHeight="1" x14ac:dyDescent="0.2">
      <c r="B79" s="803"/>
      <c r="C79" s="100" t="s">
        <v>196</v>
      </c>
      <c r="D79" s="782" t="s">
        <v>187</v>
      </c>
      <c r="E79" s="783"/>
      <c r="F79" s="818"/>
      <c r="G79" s="73">
        <f>+O42</f>
        <v>3000</v>
      </c>
      <c r="H79" s="101">
        <f>+IF(+G79&lt;25000,+G79,25000)</f>
        <v>3000</v>
      </c>
      <c r="I79" s="87"/>
    </row>
    <row r="80" spans="2:18" x14ac:dyDescent="0.2">
      <c r="B80" s="803"/>
      <c r="C80" s="100" t="s">
        <v>197</v>
      </c>
      <c r="D80" s="784" t="s">
        <v>198</v>
      </c>
      <c r="E80" s="785"/>
      <c r="F80" s="786"/>
      <c r="G80" s="102"/>
      <c r="H80" s="103">
        <f>+IF(+G80&lt;40000,+G80,40000)</f>
        <v>0</v>
      </c>
      <c r="I80" s="63"/>
    </row>
    <row r="81" spans="2:12" x14ac:dyDescent="0.2">
      <c r="B81" s="803"/>
      <c r="C81" s="100" t="s">
        <v>199</v>
      </c>
      <c r="D81" s="784" t="s">
        <v>200</v>
      </c>
      <c r="E81" s="785"/>
      <c r="F81" s="786"/>
      <c r="G81" s="81"/>
      <c r="H81" s="104">
        <v>0</v>
      </c>
      <c r="I81" s="63"/>
      <c r="J81" s="106"/>
    </row>
    <row r="82" spans="2:12" x14ac:dyDescent="0.2">
      <c r="B82" s="803"/>
      <c r="C82" s="100" t="s">
        <v>201</v>
      </c>
      <c r="D82" s="784" t="s">
        <v>202</v>
      </c>
      <c r="E82" s="785"/>
      <c r="F82" s="786"/>
      <c r="G82" s="81"/>
      <c r="H82" s="104">
        <v>0</v>
      </c>
      <c r="I82" s="63"/>
    </row>
    <row r="83" spans="2:12" ht="13.5" thickBot="1" x14ac:dyDescent="0.25">
      <c r="B83" s="804"/>
      <c r="C83" s="100" t="s">
        <v>203</v>
      </c>
      <c r="D83" s="784" t="s">
        <v>204</v>
      </c>
      <c r="E83" s="785"/>
      <c r="F83" s="786"/>
      <c r="G83" s="102"/>
      <c r="H83" s="103">
        <f>+IF(+G83&lt;100000,+G83,10000)</f>
        <v>0</v>
      </c>
      <c r="I83" s="63"/>
    </row>
    <row r="84" spans="2:12" ht="13.5" thickBot="1" x14ac:dyDescent="0.25">
      <c r="B84" s="787" t="s">
        <v>205</v>
      </c>
      <c r="C84" s="788"/>
      <c r="D84" s="788"/>
      <c r="E84" s="788"/>
      <c r="F84" s="788"/>
      <c r="G84" s="107">
        <f>SUM(G79:G83)</f>
        <v>3000</v>
      </c>
      <c r="H84" s="108">
        <f>SUM(H78:H83)</f>
        <v>153000</v>
      </c>
    </row>
    <row r="85" spans="2:12" ht="13.5" thickBot="1" x14ac:dyDescent="0.25"/>
    <row r="86" spans="2:12" ht="13.5" thickBot="1" x14ac:dyDescent="0.25">
      <c r="B86" s="789" t="s">
        <v>206</v>
      </c>
      <c r="C86" s="790"/>
      <c r="D86" s="790"/>
      <c r="E86" s="790"/>
      <c r="F86" s="791"/>
      <c r="G86" s="792">
        <f>+G65-H84</f>
        <v>579256</v>
      </c>
      <c r="H86" s="791"/>
      <c r="J86" s="109">
        <f>C37+D37+E37+F37</f>
        <v>248400</v>
      </c>
      <c r="K86" s="16" t="s">
        <v>235</v>
      </c>
    </row>
    <row r="87" spans="2:12" x14ac:dyDescent="0.2">
      <c r="B87" s="110"/>
      <c r="F87" s="105"/>
      <c r="J87" s="109">
        <f>G37+H37+I37</f>
        <v>194978</v>
      </c>
      <c r="K87" s="16" t="s">
        <v>236</v>
      </c>
    </row>
    <row r="88" spans="2:12" x14ac:dyDescent="0.2">
      <c r="C88" s="793" t="s">
        <v>207</v>
      </c>
      <c r="D88" s="794"/>
      <c r="E88" s="111" t="s">
        <v>208</v>
      </c>
      <c r="F88" s="111" t="s">
        <v>209</v>
      </c>
      <c r="G88" s="111" t="s">
        <v>210</v>
      </c>
      <c r="H88" s="111" t="s">
        <v>211</v>
      </c>
      <c r="J88" s="206">
        <f>J37+K37+L37</f>
        <v>202766</v>
      </c>
      <c r="K88" s="47" t="s">
        <v>237</v>
      </c>
      <c r="L88" s="16">
        <f>+J92/5</f>
        <v>39100</v>
      </c>
    </row>
    <row r="89" spans="2:12" x14ac:dyDescent="0.2">
      <c r="C89" s="795" t="str">
        <f>IF(I6="M","0          - 250000","0          -  250000")</f>
        <v>0          - 250000</v>
      </c>
      <c r="D89" s="796"/>
      <c r="E89" s="112">
        <v>0</v>
      </c>
      <c r="F89" s="113">
        <f>IF(I6="M",(IF(G86&lt;250000,G86,250000)),(IF(G86&lt;250000,G86,250000)))</f>
        <v>250000</v>
      </c>
      <c r="G89" s="113">
        <f>G86-F89</f>
        <v>329256</v>
      </c>
      <c r="H89" s="113">
        <f>E89*F89</f>
        <v>0</v>
      </c>
      <c r="J89" s="207">
        <f>M37+N37</f>
        <v>128612</v>
      </c>
      <c r="K89" s="1" t="s">
        <v>238</v>
      </c>
    </row>
    <row r="90" spans="2:12" x14ac:dyDescent="0.2">
      <c r="C90" s="795" t="str">
        <f>IF(I6="M","250001 - 500000","250001-500000")</f>
        <v>250001 - 500000</v>
      </c>
      <c r="D90" s="796"/>
      <c r="E90" s="112">
        <v>0.05</v>
      </c>
      <c r="F90" s="113">
        <f>IF(I6="M",(IF(G89&lt;250000,G89,250000)),(IF(G89&lt;250000,G89,250000)))</f>
        <v>250000</v>
      </c>
      <c r="G90" s="113">
        <f>G89-F90</f>
        <v>79256</v>
      </c>
      <c r="H90" s="114">
        <f>ROUND(E90*F90,0.1)</f>
        <v>12500</v>
      </c>
      <c r="J90" s="115">
        <f>SUM(J86:J89)</f>
        <v>774756</v>
      </c>
    </row>
    <row r="91" spans="2:12" x14ac:dyDescent="0.2">
      <c r="C91" s="797" t="s">
        <v>212</v>
      </c>
      <c r="D91" s="798"/>
      <c r="E91" s="112">
        <v>0.2</v>
      </c>
      <c r="F91" s="113">
        <f>IF(G90&lt;500000,G90,500000)</f>
        <v>79256</v>
      </c>
      <c r="G91" s="113">
        <f>G90-F91</f>
        <v>0</v>
      </c>
      <c r="H91" s="114">
        <f>ROUND(E91*F91,0.1)</f>
        <v>15851</v>
      </c>
      <c r="J91" s="16">
        <f>+G86</f>
        <v>579256</v>
      </c>
    </row>
    <row r="92" spans="2:12" x14ac:dyDescent="0.2">
      <c r="C92" s="795" t="s">
        <v>213</v>
      </c>
      <c r="D92" s="796"/>
      <c r="E92" s="112">
        <v>0.3</v>
      </c>
      <c r="F92" s="113">
        <f>G91</f>
        <v>0</v>
      </c>
      <c r="G92" s="113">
        <f>G91-F92</f>
        <v>0</v>
      </c>
      <c r="H92" s="114">
        <f>ROUND(E92*F92,0.1)</f>
        <v>0</v>
      </c>
      <c r="J92" s="16">
        <f>+J90-J91</f>
        <v>195500</v>
      </c>
    </row>
    <row r="93" spans="2:12" ht="12.75" customHeight="1" thickBot="1" x14ac:dyDescent="0.25">
      <c r="B93" s="116"/>
      <c r="C93" s="117"/>
      <c r="D93" s="47"/>
      <c r="E93" s="47"/>
      <c r="F93" s="47"/>
    </row>
    <row r="94" spans="2:12" ht="13.5" thickBot="1" x14ac:dyDescent="0.25">
      <c r="B94" s="799" t="s">
        <v>239</v>
      </c>
      <c r="C94" s="800"/>
      <c r="D94" s="800"/>
      <c r="E94" s="800"/>
      <c r="F94" s="801"/>
      <c r="G94" s="771">
        <f>H89+H90+H91+H92</f>
        <v>28351</v>
      </c>
      <c r="H94" s="772"/>
    </row>
    <row r="95" spans="2:12" ht="13.5" thickBot="1" x14ac:dyDescent="0.25">
      <c r="B95" s="119" t="s">
        <v>215</v>
      </c>
      <c r="C95" s="120"/>
      <c r="D95" s="120"/>
      <c r="E95" s="120"/>
      <c r="F95" s="120"/>
      <c r="G95" s="884">
        <f>IF((G65&lt;500000),5000,0)</f>
        <v>0</v>
      </c>
      <c r="H95" s="885">
        <f>IF(H93&lt;200000,0,IF(H93&lt;220000,((H93-200000)*10%),IF(H93&lt;=500000,2000,IF(H93&gt;=500000,0))))</f>
        <v>0</v>
      </c>
      <c r="J95" s="1"/>
      <c r="K95" s="121"/>
      <c r="L95" s="121"/>
    </row>
    <row r="96" spans="2:12" ht="13.5" thickBot="1" x14ac:dyDescent="0.25">
      <c r="B96" s="122" t="s">
        <v>216</v>
      </c>
      <c r="C96" s="123"/>
      <c r="D96" s="123"/>
      <c r="E96" s="123"/>
      <c r="F96" s="123"/>
      <c r="G96" s="771">
        <f>IF((G94-G95)&lt;0,0,(G94-G95))</f>
        <v>28351</v>
      </c>
      <c r="H96" s="772"/>
      <c r="I96" s="37"/>
    </row>
    <row r="97" spans="2:9" ht="13.5" thickBot="1" x14ac:dyDescent="0.25">
      <c r="B97" s="773" t="s">
        <v>240</v>
      </c>
      <c r="C97" s="774"/>
      <c r="D97" s="774"/>
      <c r="E97" s="774"/>
      <c r="F97" s="775"/>
      <c r="G97" s="776">
        <f>ROUND((IF(G96&gt;0,(G96*4%),0)),0)</f>
        <v>1134</v>
      </c>
      <c r="H97" s="777"/>
      <c r="I97" s="37"/>
    </row>
    <row r="98" spans="2:9" ht="13.5" thickBot="1" x14ac:dyDescent="0.25">
      <c r="B98" s="778" t="s">
        <v>218</v>
      </c>
      <c r="C98" s="779"/>
      <c r="D98" s="779"/>
      <c r="E98" s="779"/>
      <c r="F98" s="779"/>
      <c r="G98" s="780">
        <f>G96+G97</f>
        <v>29485</v>
      </c>
      <c r="H98" s="781"/>
      <c r="I98" s="121"/>
    </row>
    <row r="99" spans="2:9" ht="13.5" thickBot="1" x14ac:dyDescent="0.25">
      <c r="B99" s="765" t="s">
        <v>219</v>
      </c>
      <c r="C99" s="766"/>
      <c r="D99" s="766"/>
      <c r="E99" s="766"/>
      <c r="F99" s="766"/>
      <c r="G99" s="767">
        <f>O38</f>
        <v>29492</v>
      </c>
      <c r="H99" s="768"/>
      <c r="I99" s="121"/>
    </row>
    <row r="100" spans="2:9" ht="13.5" thickBot="1" x14ac:dyDescent="0.25">
      <c r="B100" s="765" t="str">
        <f>IF(G100&gt;0,"TAX PAYABLE","TAX REFUND")</f>
        <v>TAX REFUND</v>
      </c>
      <c r="C100" s="766"/>
      <c r="D100" s="766"/>
      <c r="E100" s="766"/>
      <c r="F100" s="766"/>
      <c r="G100" s="767">
        <f>+G98-G99</f>
        <v>-7</v>
      </c>
      <c r="H100" s="768"/>
      <c r="I100" s="37"/>
    </row>
    <row r="101" spans="2:9" x14ac:dyDescent="0.2">
      <c r="C101" s="124"/>
      <c r="D101" s="45"/>
      <c r="E101" s="118"/>
      <c r="F101" s="118"/>
      <c r="G101" s="118"/>
      <c r="H101" s="118"/>
      <c r="I101" s="125"/>
    </row>
    <row r="102" spans="2:9" x14ac:dyDescent="0.2">
      <c r="C102" s="47"/>
      <c r="D102" s="50"/>
      <c r="E102" s="117"/>
      <c r="F102" s="47"/>
      <c r="G102" s="47"/>
      <c r="H102" s="47"/>
      <c r="I102" s="125"/>
    </row>
    <row r="103" spans="2:9" x14ac:dyDescent="0.2">
      <c r="C103" s="39"/>
      <c r="D103" s="126"/>
      <c r="E103" s="126"/>
      <c r="F103" s="126"/>
      <c r="G103" s="39"/>
      <c r="H103" s="39"/>
      <c r="I103" s="37"/>
    </row>
    <row r="104" spans="2:9" x14ac:dyDescent="0.2">
      <c r="C104" s="39"/>
      <c r="D104" s="126"/>
      <c r="E104" s="126"/>
      <c r="F104" s="39"/>
      <c r="G104" s="39"/>
      <c r="H104" s="39"/>
      <c r="I104" s="37"/>
    </row>
    <row r="105" spans="2:9" x14ac:dyDescent="0.2">
      <c r="C105" s="39"/>
      <c r="D105" s="126"/>
      <c r="E105" s="126"/>
      <c r="F105" s="39"/>
      <c r="G105" s="39"/>
      <c r="H105" s="39"/>
      <c r="I105" s="37"/>
    </row>
    <row r="106" spans="2:9" x14ac:dyDescent="0.2">
      <c r="C106" s="39"/>
      <c r="D106" s="39"/>
      <c r="E106" s="39"/>
      <c r="F106" s="39"/>
      <c r="G106" s="39"/>
      <c r="H106" s="39"/>
      <c r="I106" s="37"/>
    </row>
    <row r="107" spans="2:9" x14ac:dyDescent="0.2">
      <c r="C107" s="39"/>
      <c r="D107" s="39"/>
      <c r="E107" s="39"/>
      <c r="F107" s="39"/>
      <c r="G107" s="39"/>
      <c r="H107" s="39"/>
    </row>
    <row r="108" spans="2:9" x14ac:dyDescent="0.2">
      <c r="C108" s="39"/>
      <c r="D108" s="39"/>
      <c r="E108" s="39"/>
      <c r="F108" s="39"/>
      <c r="G108" s="39"/>
      <c r="H108" s="39"/>
    </row>
  </sheetData>
  <mergeCells count="95">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K53:L53"/>
    <mergeCell ref="B55:B58"/>
    <mergeCell ref="C55:C58"/>
    <mergeCell ref="D55:F55"/>
    <mergeCell ref="G55:H55"/>
    <mergeCell ref="D56:F56"/>
    <mergeCell ref="G56:H56"/>
    <mergeCell ref="J56:L56"/>
    <mergeCell ref="I53:J53"/>
    <mergeCell ref="B65:F65"/>
    <mergeCell ref="G65:H65"/>
    <mergeCell ref="M56:O56"/>
    <mergeCell ref="D58:F58"/>
    <mergeCell ref="G58:H58"/>
    <mergeCell ref="B60:F60"/>
    <mergeCell ref="G60:H60"/>
    <mergeCell ref="J60:O60"/>
    <mergeCell ref="B62:F62"/>
    <mergeCell ref="G62:H62"/>
    <mergeCell ref="C63:F63"/>
    <mergeCell ref="G63:H63"/>
    <mergeCell ref="J63:O63"/>
    <mergeCell ref="D81:F81"/>
    <mergeCell ref="J68:K68"/>
    <mergeCell ref="B69:B83"/>
    <mergeCell ref="C69:C75"/>
    <mergeCell ref="D69:F69"/>
    <mergeCell ref="D70:F70"/>
    <mergeCell ref="D71:F71"/>
    <mergeCell ref="D72:F72"/>
    <mergeCell ref="D73:F73"/>
    <mergeCell ref="D74:F74"/>
    <mergeCell ref="D75:F75"/>
    <mergeCell ref="D76:F76"/>
    <mergeCell ref="D77:F77"/>
    <mergeCell ref="E78:F78"/>
    <mergeCell ref="D79:F79"/>
    <mergeCell ref="D80:F80"/>
    <mergeCell ref="G94:H94"/>
    <mergeCell ref="D82:F82"/>
    <mergeCell ref="D83:F83"/>
    <mergeCell ref="B84:F84"/>
    <mergeCell ref="B86:F86"/>
    <mergeCell ref="G86:H86"/>
    <mergeCell ref="C88:D88"/>
    <mergeCell ref="C89:D89"/>
    <mergeCell ref="C90:D90"/>
    <mergeCell ref="C91:D91"/>
    <mergeCell ref="C92:D92"/>
    <mergeCell ref="B94:F94"/>
    <mergeCell ref="B99:F99"/>
    <mergeCell ref="G99:H99"/>
    <mergeCell ref="B100:F100"/>
    <mergeCell ref="G100:H100"/>
    <mergeCell ref="G95:H95"/>
    <mergeCell ref="G96:H96"/>
    <mergeCell ref="B97:F97"/>
    <mergeCell ref="G97:H97"/>
    <mergeCell ref="B98:F98"/>
    <mergeCell ref="G98:H98"/>
  </mergeCells>
  <conditionalFormatting sqref="B91:F91 B100:F100 B94:F98">
    <cfRule type="cellIs" dxfId="351" priority="3" stopIfTrue="1" operator="equal">
      <formula>"TAX PAYABLE"</formula>
    </cfRule>
    <cfRule type="cellIs" dxfId="350" priority="4" stopIfTrue="1" operator="equal">
      <formula>"TAX REFUND"</formula>
    </cfRule>
  </conditionalFormatting>
  <conditionalFormatting sqref="G91:H91">
    <cfRule type="cellIs" dxfId="349" priority="5" stopIfTrue="1" operator="lessThan">
      <formula>0</formula>
    </cfRule>
    <cfRule type="cellIs" dxfId="348" priority="6" stopIfTrue="1" operator="greaterThan">
      <formula>0</formula>
    </cfRule>
  </conditionalFormatting>
  <conditionalFormatting sqref="G100:H100">
    <cfRule type="cellIs" dxfId="347" priority="1" stopIfTrue="1" operator="greaterThan">
      <formula>0</formula>
    </cfRule>
    <cfRule type="cellIs" dxfId="346"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07"/>
  <sheetViews>
    <sheetView topLeftCell="A59" workbookViewId="0">
      <selection activeCell="J79" sqref="J79"/>
    </sheetView>
  </sheetViews>
  <sheetFormatPr defaultRowHeight="12.75" x14ac:dyDescent="0.2"/>
  <cols>
    <col min="1" max="1" width="5" style="16" customWidth="1"/>
    <col min="2" max="2" width="19.28515625" style="37" customWidth="1"/>
    <col min="3" max="3" width="8.7109375" style="16" customWidth="1"/>
    <col min="4" max="4" width="8.42578125" style="16" customWidth="1"/>
    <col min="5" max="5" width="8.5703125" style="16" bestFit="1" customWidth="1"/>
    <col min="6" max="15" width="8.4257812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9.28515625" style="16" customWidth="1"/>
    <col min="259" max="259" width="8.7109375" style="16" customWidth="1"/>
    <col min="260" max="260" width="8.42578125" style="16" customWidth="1"/>
    <col min="261" max="261" width="8.5703125" style="16" bestFit="1" customWidth="1"/>
    <col min="262" max="271" width="8.4257812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9.28515625" style="16" customWidth="1"/>
    <col min="515" max="515" width="8.7109375" style="16" customWidth="1"/>
    <col min="516" max="516" width="8.42578125" style="16" customWidth="1"/>
    <col min="517" max="517" width="8.5703125" style="16" bestFit="1" customWidth="1"/>
    <col min="518" max="527" width="8.4257812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9.28515625" style="16" customWidth="1"/>
    <col min="771" max="771" width="8.7109375" style="16" customWidth="1"/>
    <col min="772" max="772" width="8.42578125" style="16" customWidth="1"/>
    <col min="773" max="773" width="8.5703125" style="16" bestFit="1" customWidth="1"/>
    <col min="774" max="783" width="8.4257812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9.28515625" style="16" customWidth="1"/>
    <col min="1027" max="1027" width="8.7109375" style="16" customWidth="1"/>
    <col min="1028" max="1028" width="8.42578125" style="16" customWidth="1"/>
    <col min="1029" max="1029" width="8.5703125" style="16" bestFit="1" customWidth="1"/>
    <col min="1030" max="1039" width="8.4257812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9.28515625" style="16" customWidth="1"/>
    <col min="1283" max="1283" width="8.7109375" style="16" customWidth="1"/>
    <col min="1284" max="1284" width="8.42578125" style="16" customWidth="1"/>
    <col min="1285" max="1285" width="8.5703125" style="16" bestFit="1" customWidth="1"/>
    <col min="1286" max="1295" width="8.4257812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9.28515625" style="16" customWidth="1"/>
    <col min="1539" max="1539" width="8.7109375" style="16" customWidth="1"/>
    <col min="1540" max="1540" width="8.42578125" style="16" customWidth="1"/>
    <col min="1541" max="1541" width="8.5703125" style="16" bestFit="1" customWidth="1"/>
    <col min="1542" max="1551" width="8.4257812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9.28515625" style="16" customWidth="1"/>
    <col min="1795" max="1795" width="8.7109375" style="16" customWidth="1"/>
    <col min="1796" max="1796" width="8.42578125" style="16" customWidth="1"/>
    <col min="1797" max="1797" width="8.5703125" style="16" bestFit="1" customWidth="1"/>
    <col min="1798" max="1807" width="8.4257812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9.28515625" style="16" customWidth="1"/>
    <col min="2051" max="2051" width="8.7109375" style="16" customWidth="1"/>
    <col min="2052" max="2052" width="8.42578125" style="16" customWidth="1"/>
    <col min="2053" max="2053" width="8.5703125" style="16" bestFit="1" customWidth="1"/>
    <col min="2054" max="2063" width="8.4257812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9.28515625" style="16" customWidth="1"/>
    <col min="2307" max="2307" width="8.7109375" style="16" customWidth="1"/>
    <col min="2308" max="2308" width="8.42578125" style="16" customWidth="1"/>
    <col min="2309" max="2309" width="8.5703125" style="16" bestFit="1" customWidth="1"/>
    <col min="2310" max="2319" width="8.4257812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9.28515625" style="16" customWidth="1"/>
    <col min="2563" max="2563" width="8.7109375" style="16" customWidth="1"/>
    <col min="2564" max="2564" width="8.42578125" style="16" customWidth="1"/>
    <col min="2565" max="2565" width="8.5703125" style="16" bestFit="1" customWidth="1"/>
    <col min="2566" max="2575" width="8.4257812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9.28515625" style="16" customWidth="1"/>
    <col min="2819" max="2819" width="8.7109375" style="16" customWidth="1"/>
    <col min="2820" max="2820" width="8.42578125" style="16" customWidth="1"/>
    <col min="2821" max="2821" width="8.5703125" style="16" bestFit="1" customWidth="1"/>
    <col min="2822" max="2831" width="8.4257812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9.28515625" style="16" customWidth="1"/>
    <col min="3075" max="3075" width="8.7109375" style="16" customWidth="1"/>
    <col min="3076" max="3076" width="8.42578125" style="16" customWidth="1"/>
    <col min="3077" max="3077" width="8.5703125" style="16" bestFit="1" customWidth="1"/>
    <col min="3078" max="3087" width="8.4257812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9.28515625" style="16" customWidth="1"/>
    <col min="3331" max="3331" width="8.7109375" style="16" customWidth="1"/>
    <col min="3332" max="3332" width="8.42578125" style="16" customWidth="1"/>
    <col min="3333" max="3333" width="8.5703125" style="16" bestFit="1" customWidth="1"/>
    <col min="3334" max="3343" width="8.4257812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9.28515625" style="16" customWidth="1"/>
    <col min="3587" max="3587" width="8.7109375" style="16" customWidth="1"/>
    <col min="3588" max="3588" width="8.42578125" style="16" customWidth="1"/>
    <col min="3589" max="3589" width="8.5703125" style="16" bestFit="1" customWidth="1"/>
    <col min="3590" max="3599" width="8.4257812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9.28515625" style="16" customWidth="1"/>
    <col min="3843" max="3843" width="8.7109375" style="16" customWidth="1"/>
    <col min="3844" max="3844" width="8.42578125" style="16" customWidth="1"/>
    <col min="3845" max="3845" width="8.5703125" style="16" bestFit="1" customWidth="1"/>
    <col min="3846" max="3855" width="8.4257812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9.28515625" style="16" customWidth="1"/>
    <col min="4099" max="4099" width="8.7109375" style="16" customWidth="1"/>
    <col min="4100" max="4100" width="8.42578125" style="16" customWidth="1"/>
    <col min="4101" max="4101" width="8.5703125" style="16" bestFit="1" customWidth="1"/>
    <col min="4102" max="4111" width="8.4257812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9.28515625" style="16" customWidth="1"/>
    <col min="4355" max="4355" width="8.7109375" style="16" customWidth="1"/>
    <col min="4356" max="4356" width="8.42578125" style="16" customWidth="1"/>
    <col min="4357" max="4357" width="8.5703125" style="16" bestFit="1" customWidth="1"/>
    <col min="4358" max="4367" width="8.4257812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9.28515625" style="16" customWidth="1"/>
    <col min="4611" max="4611" width="8.7109375" style="16" customWidth="1"/>
    <col min="4612" max="4612" width="8.42578125" style="16" customWidth="1"/>
    <col min="4613" max="4613" width="8.5703125" style="16" bestFit="1" customWidth="1"/>
    <col min="4614" max="4623" width="8.4257812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9.28515625" style="16" customWidth="1"/>
    <col min="4867" max="4867" width="8.7109375" style="16" customWidth="1"/>
    <col min="4868" max="4868" width="8.42578125" style="16" customWidth="1"/>
    <col min="4869" max="4869" width="8.5703125" style="16" bestFit="1" customWidth="1"/>
    <col min="4870" max="4879" width="8.4257812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9.28515625" style="16" customWidth="1"/>
    <col min="5123" max="5123" width="8.7109375" style="16" customWidth="1"/>
    <col min="5124" max="5124" width="8.42578125" style="16" customWidth="1"/>
    <col min="5125" max="5125" width="8.5703125" style="16" bestFit="1" customWidth="1"/>
    <col min="5126" max="5135" width="8.4257812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9.28515625" style="16" customWidth="1"/>
    <col min="5379" max="5379" width="8.7109375" style="16" customWidth="1"/>
    <col min="5380" max="5380" width="8.42578125" style="16" customWidth="1"/>
    <col min="5381" max="5381" width="8.5703125" style="16" bestFit="1" customWidth="1"/>
    <col min="5382" max="5391" width="8.4257812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9.28515625" style="16" customWidth="1"/>
    <col min="5635" max="5635" width="8.7109375" style="16" customWidth="1"/>
    <col min="5636" max="5636" width="8.42578125" style="16" customWidth="1"/>
    <col min="5637" max="5637" width="8.5703125" style="16" bestFit="1" customWidth="1"/>
    <col min="5638" max="5647" width="8.4257812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9.28515625" style="16" customWidth="1"/>
    <col min="5891" max="5891" width="8.7109375" style="16" customWidth="1"/>
    <col min="5892" max="5892" width="8.42578125" style="16" customWidth="1"/>
    <col min="5893" max="5893" width="8.5703125" style="16" bestFit="1" customWidth="1"/>
    <col min="5894" max="5903" width="8.4257812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9.28515625" style="16" customWidth="1"/>
    <col min="6147" max="6147" width="8.7109375" style="16" customWidth="1"/>
    <col min="6148" max="6148" width="8.42578125" style="16" customWidth="1"/>
    <col min="6149" max="6149" width="8.5703125" style="16" bestFit="1" customWidth="1"/>
    <col min="6150" max="6159" width="8.4257812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9.28515625" style="16" customWidth="1"/>
    <col min="6403" max="6403" width="8.7109375" style="16" customWidth="1"/>
    <col min="6404" max="6404" width="8.42578125" style="16" customWidth="1"/>
    <col min="6405" max="6405" width="8.5703125" style="16" bestFit="1" customWidth="1"/>
    <col min="6406" max="6415" width="8.4257812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9.28515625" style="16" customWidth="1"/>
    <col min="6659" max="6659" width="8.7109375" style="16" customWidth="1"/>
    <col min="6660" max="6660" width="8.42578125" style="16" customWidth="1"/>
    <col min="6661" max="6661" width="8.5703125" style="16" bestFit="1" customWidth="1"/>
    <col min="6662" max="6671" width="8.4257812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9.28515625" style="16" customWidth="1"/>
    <col min="6915" max="6915" width="8.7109375" style="16" customWidth="1"/>
    <col min="6916" max="6916" width="8.42578125" style="16" customWidth="1"/>
    <col min="6917" max="6917" width="8.5703125" style="16" bestFit="1" customWidth="1"/>
    <col min="6918" max="6927" width="8.4257812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9.28515625" style="16" customWidth="1"/>
    <col min="7171" max="7171" width="8.7109375" style="16" customWidth="1"/>
    <col min="7172" max="7172" width="8.42578125" style="16" customWidth="1"/>
    <col min="7173" max="7173" width="8.5703125" style="16" bestFit="1" customWidth="1"/>
    <col min="7174" max="7183" width="8.4257812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9.28515625" style="16" customWidth="1"/>
    <col min="7427" max="7427" width="8.7109375" style="16" customWidth="1"/>
    <col min="7428" max="7428" width="8.42578125" style="16" customWidth="1"/>
    <col min="7429" max="7429" width="8.5703125" style="16" bestFit="1" customWidth="1"/>
    <col min="7430" max="7439" width="8.4257812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9.28515625" style="16" customWidth="1"/>
    <col min="7683" max="7683" width="8.7109375" style="16" customWidth="1"/>
    <col min="7684" max="7684" width="8.42578125" style="16" customWidth="1"/>
    <col min="7685" max="7685" width="8.5703125" style="16" bestFit="1" customWidth="1"/>
    <col min="7686" max="7695" width="8.4257812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9.28515625" style="16" customWidth="1"/>
    <col min="7939" max="7939" width="8.7109375" style="16" customWidth="1"/>
    <col min="7940" max="7940" width="8.42578125" style="16" customWidth="1"/>
    <col min="7941" max="7941" width="8.5703125" style="16" bestFit="1" customWidth="1"/>
    <col min="7942" max="7951" width="8.4257812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9.28515625" style="16" customWidth="1"/>
    <col min="8195" max="8195" width="8.7109375" style="16" customWidth="1"/>
    <col min="8196" max="8196" width="8.42578125" style="16" customWidth="1"/>
    <col min="8197" max="8197" width="8.5703125" style="16" bestFit="1" customWidth="1"/>
    <col min="8198" max="8207" width="8.4257812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9.28515625" style="16" customWidth="1"/>
    <col min="8451" max="8451" width="8.7109375" style="16" customWidth="1"/>
    <col min="8452" max="8452" width="8.42578125" style="16" customWidth="1"/>
    <col min="8453" max="8453" width="8.5703125" style="16" bestFit="1" customWidth="1"/>
    <col min="8454" max="8463" width="8.4257812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9.28515625" style="16" customWidth="1"/>
    <col min="8707" max="8707" width="8.7109375" style="16" customWidth="1"/>
    <col min="8708" max="8708" width="8.42578125" style="16" customWidth="1"/>
    <col min="8709" max="8709" width="8.5703125" style="16" bestFit="1" customWidth="1"/>
    <col min="8710" max="8719" width="8.4257812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9.28515625" style="16" customWidth="1"/>
    <col min="8963" max="8963" width="8.7109375" style="16" customWidth="1"/>
    <col min="8964" max="8964" width="8.42578125" style="16" customWidth="1"/>
    <col min="8965" max="8965" width="8.5703125" style="16" bestFit="1" customWidth="1"/>
    <col min="8966" max="8975" width="8.4257812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9.28515625" style="16" customWidth="1"/>
    <col min="9219" max="9219" width="8.7109375" style="16" customWidth="1"/>
    <col min="9220" max="9220" width="8.42578125" style="16" customWidth="1"/>
    <col min="9221" max="9221" width="8.5703125" style="16" bestFit="1" customWidth="1"/>
    <col min="9222" max="9231" width="8.4257812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9.28515625" style="16" customWidth="1"/>
    <col min="9475" max="9475" width="8.7109375" style="16" customWidth="1"/>
    <col min="9476" max="9476" width="8.42578125" style="16" customWidth="1"/>
    <col min="9477" max="9477" width="8.5703125" style="16" bestFit="1" customWidth="1"/>
    <col min="9478" max="9487" width="8.4257812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9.28515625" style="16" customWidth="1"/>
    <col min="9731" max="9731" width="8.7109375" style="16" customWidth="1"/>
    <col min="9732" max="9732" width="8.42578125" style="16" customWidth="1"/>
    <col min="9733" max="9733" width="8.5703125" style="16" bestFit="1" customWidth="1"/>
    <col min="9734" max="9743" width="8.4257812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9.28515625" style="16" customWidth="1"/>
    <col min="9987" max="9987" width="8.7109375" style="16" customWidth="1"/>
    <col min="9988" max="9988" width="8.42578125" style="16" customWidth="1"/>
    <col min="9989" max="9989" width="8.5703125" style="16" bestFit="1" customWidth="1"/>
    <col min="9990" max="9999" width="8.4257812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9.28515625" style="16" customWidth="1"/>
    <col min="10243" max="10243" width="8.7109375" style="16" customWidth="1"/>
    <col min="10244" max="10244" width="8.42578125" style="16" customWidth="1"/>
    <col min="10245" max="10245" width="8.5703125" style="16" bestFit="1" customWidth="1"/>
    <col min="10246" max="10255" width="8.4257812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9.28515625" style="16" customWidth="1"/>
    <col min="10499" max="10499" width="8.7109375" style="16" customWidth="1"/>
    <col min="10500" max="10500" width="8.42578125" style="16" customWidth="1"/>
    <col min="10501" max="10501" width="8.5703125" style="16" bestFit="1" customWidth="1"/>
    <col min="10502" max="10511" width="8.4257812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9.28515625" style="16" customWidth="1"/>
    <col min="10755" max="10755" width="8.7109375" style="16" customWidth="1"/>
    <col min="10756" max="10756" width="8.42578125" style="16" customWidth="1"/>
    <col min="10757" max="10757" width="8.5703125" style="16" bestFit="1" customWidth="1"/>
    <col min="10758" max="10767" width="8.4257812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9.28515625" style="16" customWidth="1"/>
    <col min="11011" max="11011" width="8.7109375" style="16" customWidth="1"/>
    <col min="11012" max="11012" width="8.42578125" style="16" customWidth="1"/>
    <col min="11013" max="11013" width="8.5703125" style="16" bestFit="1" customWidth="1"/>
    <col min="11014" max="11023" width="8.4257812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9.28515625" style="16" customWidth="1"/>
    <col min="11267" max="11267" width="8.7109375" style="16" customWidth="1"/>
    <col min="11268" max="11268" width="8.42578125" style="16" customWidth="1"/>
    <col min="11269" max="11269" width="8.5703125" style="16" bestFit="1" customWidth="1"/>
    <col min="11270" max="11279" width="8.4257812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9.28515625" style="16" customWidth="1"/>
    <col min="11523" max="11523" width="8.7109375" style="16" customWidth="1"/>
    <col min="11524" max="11524" width="8.42578125" style="16" customWidth="1"/>
    <col min="11525" max="11525" width="8.5703125" style="16" bestFit="1" customWidth="1"/>
    <col min="11526" max="11535" width="8.4257812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9.28515625" style="16" customWidth="1"/>
    <col min="11779" max="11779" width="8.7109375" style="16" customWidth="1"/>
    <col min="11780" max="11780" width="8.42578125" style="16" customWidth="1"/>
    <col min="11781" max="11781" width="8.5703125" style="16" bestFit="1" customWidth="1"/>
    <col min="11782" max="11791" width="8.4257812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9.28515625" style="16" customWidth="1"/>
    <col min="12035" max="12035" width="8.7109375" style="16" customWidth="1"/>
    <col min="12036" max="12036" width="8.42578125" style="16" customWidth="1"/>
    <col min="12037" max="12037" width="8.5703125" style="16" bestFit="1" customWidth="1"/>
    <col min="12038" max="12047" width="8.4257812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9.28515625" style="16" customWidth="1"/>
    <col min="12291" max="12291" width="8.7109375" style="16" customWidth="1"/>
    <col min="12292" max="12292" width="8.42578125" style="16" customWidth="1"/>
    <col min="12293" max="12293" width="8.5703125" style="16" bestFit="1" customWidth="1"/>
    <col min="12294" max="12303" width="8.4257812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9.28515625" style="16" customWidth="1"/>
    <col min="12547" max="12547" width="8.7109375" style="16" customWidth="1"/>
    <col min="12548" max="12548" width="8.42578125" style="16" customWidth="1"/>
    <col min="12549" max="12549" width="8.5703125" style="16" bestFit="1" customWidth="1"/>
    <col min="12550" max="12559" width="8.4257812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9.28515625" style="16" customWidth="1"/>
    <col min="12803" max="12803" width="8.7109375" style="16" customWidth="1"/>
    <col min="12804" max="12804" width="8.42578125" style="16" customWidth="1"/>
    <col min="12805" max="12805" width="8.5703125" style="16" bestFit="1" customWidth="1"/>
    <col min="12806" max="12815" width="8.4257812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9.28515625" style="16" customWidth="1"/>
    <col min="13059" max="13059" width="8.7109375" style="16" customWidth="1"/>
    <col min="13060" max="13060" width="8.42578125" style="16" customWidth="1"/>
    <col min="13061" max="13061" width="8.5703125" style="16" bestFit="1" customWidth="1"/>
    <col min="13062" max="13071" width="8.4257812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9.28515625" style="16" customWidth="1"/>
    <col min="13315" max="13315" width="8.7109375" style="16" customWidth="1"/>
    <col min="13316" max="13316" width="8.42578125" style="16" customWidth="1"/>
    <col min="13317" max="13317" width="8.5703125" style="16" bestFit="1" customWidth="1"/>
    <col min="13318" max="13327" width="8.4257812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9.28515625" style="16" customWidth="1"/>
    <col min="13571" max="13571" width="8.7109375" style="16" customWidth="1"/>
    <col min="13572" max="13572" width="8.42578125" style="16" customWidth="1"/>
    <col min="13573" max="13573" width="8.5703125" style="16" bestFit="1" customWidth="1"/>
    <col min="13574" max="13583" width="8.4257812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9.28515625" style="16" customWidth="1"/>
    <col min="13827" max="13827" width="8.7109375" style="16" customWidth="1"/>
    <col min="13828" max="13828" width="8.42578125" style="16" customWidth="1"/>
    <col min="13829" max="13829" width="8.5703125" style="16" bestFit="1" customWidth="1"/>
    <col min="13830" max="13839" width="8.4257812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9.28515625" style="16" customWidth="1"/>
    <col min="14083" max="14083" width="8.7109375" style="16" customWidth="1"/>
    <col min="14084" max="14084" width="8.42578125" style="16" customWidth="1"/>
    <col min="14085" max="14085" width="8.5703125" style="16" bestFit="1" customWidth="1"/>
    <col min="14086" max="14095" width="8.4257812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9.28515625" style="16" customWidth="1"/>
    <col min="14339" max="14339" width="8.7109375" style="16" customWidth="1"/>
    <col min="14340" max="14340" width="8.42578125" style="16" customWidth="1"/>
    <col min="14341" max="14341" width="8.5703125" style="16" bestFit="1" customWidth="1"/>
    <col min="14342" max="14351" width="8.4257812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9.28515625" style="16" customWidth="1"/>
    <col min="14595" max="14595" width="8.7109375" style="16" customWidth="1"/>
    <col min="14596" max="14596" width="8.42578125" style="16" customWidth="1"/>
    <col min="14597" max="14597" width="8.5703125" style="16" bestFit="1" customWidth="1"/>
    <col min="14598" max="14607" width="8.4257812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9.28515625" style="16" customWidth="1"/>
    <col min="14851" max="14851" width="8.7109375" style="16" customWidth="1"/>
    <col min="14852" max="14852" width="8.42578125" style="16" customWidth="1"/>
    <col min="14853" max="14853" width="8.5703125" style="16" bestFit="1" customWidth="1"/>
    <col min="14854" max="14863" width="8.4257812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9.28515625" style="16" customWidth="1"/>
    <col min="15107" max="15107" width="8.7109375" style="16" customWidth="1"/>
    <col min="15108" max="15108" width="8.42578125" style="16" customWidth="1"/>
    <col min="15109" max="15109" width="8.5703125" style="16" bestFit="1" customWidth="1"/>
    <col min="15110" max="15119" width="8.4257812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9.28515625" style="16" customWidth="1"/>
    <col min="15363" max="15363" width="8.7109375" style="16" customWidth="1"/>
    <col min="15364" max="15364" width="8.42578125" style="16" customWidth="1"/>
    <col min="15365" max="15365" width="8.5703125" style="16" bestFit="1" customWidth="1"/>
    <col min="15366" max="15375" width="8.4257812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9.28515625" style="16" customWidth="1"/>
    <col min="15619" max="15619" width="8.7109375" style="16" customWidth="1"/>
    <col min="15620" max="15620" width="8.42578125" style="16" customWidth="1"/>
    <col min="15621" max="15621" width="8.5703125" style="16" bestFit="1" customWidth="1"/>
    <col min="15622" max="15631" width="8.4257812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9.28515625" style="16" customWidth="1"/>
    <col min="15875" max="15875" width="8.7109375" style="16" customWidth="1"/>
    <col min="15876" max="15876" width="8.42578125" style="16" customWidth="1"/>
    <col min="15877" max="15877" width="8.5703125" style="16" bestFit="1" customWidth="1"/>
    <col min="15878" max="15887" width="8.4257812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9.28515625" style="16" customWidth="1"/>
    <col min="16131" max="16131" width="8.7109375" style="16" customWidth="1"/>
    <col min="16132" max="16132" width="8.42578125" style="16" customWidth="1"/>
    <col min="16133" max="16133" width="8.5703125" style="16" bestFit="1" customWidth="1"/>
    <col min="16134" max="16143" width="8.4257812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67" t="s">
        <v>449</v>
      </c>
      <c r="B1" s="868"/>
      <c r="C1" s="868"/>
      <c r="D1" s="869"/>
      <c r="E1" s="868"/>
      <c r="F1" s="868"/>
      <c r="G1" s="867" t="s">
        <v>102</v>
      </c>
      <c r="H1" s="869"/>
      <c r="I1" s="869" t="s">
        <v>956</v>
      </c>
      <c r="J1" s="868"/>
      <c r="K1" s="868"/>
      <c r="L1" s="870"/>
      <c r="M1" s="870"/>
      <c r="N1" s="870"/>
      <c r="O1" s="870"/>
    </row>
    <row r="2" spans="1:15" s="1" customFormat="1" x14ac:dyDescent="0.2">
      <c r="A2" s="867" t="s">
        <v>103</v>
      </c>
      <c r="B2" s="868"/>
      <c r="C2" s="868"/>
      <c r="D2" s="869"/>
      <c r="E2" s="868"/>
      <c r="F2" s="868"/>
      <c r="G2" s="867" t="s">
        <v>104</v>
      </c>
      <c r="H2" s="869"/>
      <c r="I2" s="869" t="s">
        <v>105</v>
      </c>
      <c r="J2" s="868"/>
      <c r="K2" s="868"/>
      <c r="L2" s="870"/>
      <c r="M2" s="870"/>
      <c r="N2" s="870"/>
      <c r="O2" s="870"/>
    </row>
    <row r="3" spans="1:15" s="1" customFormat="1" x14ac:dyDescent="0.2">
      <c r="A3" s="867" t="s">
        <v>106</v>
      </c>
      <c r="B3" s="868"/>
      <c r="C3" s="868"/>
      <c r="D3" s="881">
        <v>24259</v>
      </c>
      <c r="E3" s="882"/>
      <c r="F3" s="882"/>
      <c r="G3" s="867" t="s">
        <v>107</v>
      </c>
      <c r="H3" s="869"/>
      <c r="I3" s="869" t="s">
        <v>108</v>
      </c>
      <c r="J3" s="868"/>
      <c r="K3" s="868"/>
      <c r="L3" s="870"/>
      <c r="M3" s="870"/>
      <c r="N3" s="870"/>
      <c r="O3" s="870"/>
    </row>
    <row r="4" spans="1:15" s="1" customFormat="1" x14ac:dyDescent="0.2">
      <c r="A4" s="867" t="s">
        <v>109</v>
      </c>
      <c r="B4" s="868"/>
      <c r="C4" s="868"/>
      <c r="D4" s="869"/>
      <c r="E4" s="868"/>
      <c r="F4" s="868"/>
      <c r="G4" s="867" t="s">
        <v>110</v>
      </c>
      <c r="H4" s="869"/>
      <c r="I4" s="869" t="s">
        <v>272</v>
      </c>
      <c r="J4" s="868"/>
      <c r="K4" s="868"/>
      <c r="L4" s="870"/>
      <c r="M4" s="870"/>
      <c r="N4" s="870"/>
      <c r="O4" s="870"/>
    </row>
    <row r="5" spans="1:15" s="1" customFormat="1" x14ac:dyDescent="0.2">
      <c r="A5" s="867" t="s">
        <v>443</v>
      </c>
      <c r="B5" s="868"/>
      <c r="C5" s="868"/>
      <c r="D5" s="869" t="s">
        <v>1005</v>
      </c>
      <c r="E5" s="868"/>
      <c r="F5" s="868"/>
      <c r="G5" s="867"/>
      <c r="H5" s="868"/>
      <c r="I5" s="869" t="s">
        <v>113</v>
      </c>
      <c r="J5" s="868"/>
      <c r="K5" s="868"/>
      <c r="L5" s="870"/>
      <c r="M5" s="870"/>
      <c r="N5" s="870"/>
      <c r="O5" s="870"/>
    </row>
    <row r="6" spans="1:15" s="1" customFormat="1" x14ac:dyDescent="0.2">
      <c r="A6" s="871" t="s">
        <v>114</v>
      </c>
      <c r="B6" s="872"/>
      <c r="C6" s="872"/>
      <c r="D6" s="868" t="s">
        <v>957</v>
      </c>
      <c r="E6" s="868"/>
      <c r="F6" s="868"/>
      <c r="G6" s="871" t="s">
        <v>115</v>
      </c>
      <c r="H6" s="871"/>
      <c r="I6" s="2" t="s">
        <v>116</v>
      </c>
      <c r="J6" s="888"/>
      <c r="K6" s="888"/>
      <c r="L6" s="888"/>
      <c r="M6" s="888"/>
      <c r="N6" s="888"/>
      <c r="O6" s="889"/>
    </row>
    <row r="7" spans="1:15" s="1" customFormat="1" ht="13.5" thickBot="1" x14ac:dyDescent="0.25">
      <c r="A7" s="3"/>
      <c r="B7" s="4"/>
      <c r="C7" s="5"/>
      <c r="D7" s="6"/>
      <c r="E7" s="6"/>
      <c r="F7" s="6"/>
      <c r="G7" s="6"/>
      <c r="H7" s="6"/>
      <c r="I7" s="6"/>
      <c r="J7" s="7"/>
      <c r="K7" s="8"/>
      <c r="L7" s="875" t="s">
        <v>223</v>
      </c>
      <c r="M7" s="875"/>
      <c r="N7" s="875"/>
      <c r="O7" s="875"/>
    </row>
    <row r="8" spans="1:15" s="11" customFormat="1" x14ac:dyDescent="0.2">
      <c r="A8" s="876" t="str">
        <f>I1</f>
        <v>Mr. B.D.Yadav</v>
      </c>
      <c r="B8" s="877"/>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34000</v>
      </c>
      <c r="D9" s="14">
        <v>34000</v>
      </c>
      <c r="E9" s="14">
        <v>34000</v>
      </c>
      <c r="F9" s="14">
        <v>34000</v>
      </c>
      <c r="G9" s="14">
        <v>35000</v>
      </c>
      <c r="H9" s="14">
        <v>35000</v>
      </c>
      <c r="I9" s="14">
        <v>35000</v>
      </c>
      <c r="J9" s="14">
        <v>35000</v>
      </c>
      <c r="K9" s="14">
        <v>35000</v>
      </c>
      <c r="L9" s="14">
        <v>35000</v>
      </c>
      <c r="M9" s="14">
        <v>35000</v>
      </c>
      <c r="N9" s="14">
        <v>35000</v>
      </c>
      <c r="O9" s="15">
        <f>SUM(C9:N9)</f>
        <v>416000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1700</v>
      </c>
      <c r="D11" s="17">
        <v>2380</v>
      </c>
      <c r="E11" s="17">
        <v>2380</v>
      </c>
      <c r="F11" s="17">
        <v>2380</v>
      </c>
      <c r="G11" s="17">
        <v>2450</v>
      </c>
      <c r="H11" s="17">
        <v>2450</v>
      </c>
      <c r="I11" s="17">
        <v>2450</v>
      </c>
      <c r="J11" s="17">
        <v>3150</v>
      </c>
      <c r="K11" s="17">
        <v>3150</v>
      </c>
      <c r="L11" s="17">
        <v>3150</v>
      </c>
      <c r="M11" s="17">
        <v>3150</v>
      </c>
      <c r="N11" s="17">
        <v>3150</v>
      </c>
      <c r="O11" s="18">
        <f>SUM(C11:N11)</f>
        <v>31940</v>
      </c>
    </row>
    <row r="12" spans="1:15"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x14ac:dyDescent="0.2">
      <c r="A14" s="12"/>
      <c r="B14" s="13" t="s">
        <v>123</v>
      </c>
      <c r="C14" s="17">
        <v>3780</v>
      </c>
      <c r="D14" s="17">
        <v>3852</v>
      </c>
      <c r="E14" s="17">
        <v>3852</v>
      </c>
      <c r="F14" s="17">
        <v>3852</v>
      </c>
      <c r="G14" s="17">
        <v>3852</v>
      </c>
      <c r="H14" s="17">
        <v>3852</v>
      </c>
      <c r="I14" s="17">
        <v>3852</v>
      </c>
      <c r="J14" s="17">
        <v>3924</v>
      </c>
      <c r="K14" s="17">
        <v>3924</v>
      </c>
      <c r="L14" s="17">
        <v>3924</v>
      </c>
      <c r="M14" s="17">
        <v>3924</v>
      </c>
      <c r="N14" s="17">
        <v>3924</v>
      </c>
      <c r="O14" s="18">
        <f t="shared" si="0"/>
        <v>46512</v>
      </c>
    </row>
    <row r="15" spans="1:15" ht="15"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x14ac:dyDescent="0.2">
      <c r="A16" s="12"/>
      <c r="B16" s="13" t="s">
        <v>125</v>
      </c>
      <c r="C16" s="17">
        <v>0</v>
      </c>
      <c r="D16" s="17">
        <v>0</v>
      </c>
      <c r="E16" s="17">
        <v>0</v>
      </c>
      <c r="F16" s="17">
        <v>0</v>
      </c>
      <c r="G16" s="17">
        <v>5000</v>
      </c>
      <c r="H16" s="17">
        <v>0</v>
      </c>
      <c r="I16" s="17">
        <v>0</v>
      </c>
      <c r="J16" s="17">
        <v>0</v>
      </c>
      <c r="K16" s="17">
        <v>0</v>
      </c>
      <c r="L16" s="17">
        <v>0</v>
      </c>
      <c r="M16" s="17">
        <v>0</v>
      </c>
      <c r="N16" s="17">
        <v>0</v>
      </c>
      <c r="O16" s="18">
        <f t="shared" si="0"/>
        <v>5000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0</v>
      </c>
      <c r="D19" s="17">
        <v>0</v>
      </c>
      <c r="E19" s="17">
        <v>0</v>
      </c>
      <c r="F19" s="17">
        <v>0</v>
      </c>
      <c r="G19" s="17">
        <v>0</v>
      </c>
      <c r="H19" s="17">
        <v>0</v>
      </c>
      <c r="I19" s="17">
        <v>0</v>
      </c>
      <c r="J19" s="17">
        <v>0</v>
      </c>
      <c r="K19" s="17">
        <v>0</v>
      </c>
      <c r="L19" s="17">
        <v>0</v>
      </c>
      <c r="M19" s="17">
        <v>0</v>
      </c>
      <c r="N19" s="17">
        <v>0</v>
      </c>
      <c r="O19" s="18">
        <f t="shared" si="0"/>
        <v>0</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78"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79"/>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5" ht="15" hidden="1" customHeight="1" x14ac:dyDescent="0.2">
      <c r="A23" s="879"/>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79"/>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79"/>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79"/>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79"/>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79"/>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79"/>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79"/>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79"/>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79"/>
      <c r="B32" s="21" t="s">
        <v>142</v>
      </c>
      <c r="C32" s="17">
        <v>0</v>
      </c>
      <c r="D32" s="17">
        <v>0</v>
      </c>
      <c r="E32" s="17">
        <v>0</v>
      </c>
      <c r="F32" s="17">
        <v>0</v>
      </c>
      <c r="G32" s="17">
        <v>0</v>
      </c>
      <c r="H32" s="17">
        <v>0</v>
      </c>
      <c r="I32" s="17">
        <v>0</v>
      </c>
      <c r="J32" s="17">
        <v>0</v>
      </c>
      <c r="K32" s="17">
        <v>0</v>
      </c>
      <c r="L32" s="17">
        <v>0</v>
      </c>
      <c r="M32" s="17">
        <v>0</v>
      </c>
      <c r="N32" s="17">
        <v>0</v>
      </c>
      <c r="O32" s="18">
        <f t="shared" si="0"/>
        <v>0</v>
      </c>
    </row>
    <row r="33" spans="1:22" ht="15" hidden="1" customHeight="1" x14ac:dyDescent="0.2">
      <c r="A33" s="880"/>
      <c r="B33" s="19" t="s">
        <v>226</v>
      </c>
      <c r="C33" s="17">
        <v>0</v>
      </c>
      <c r="D33" s="17">
        <v>0</v>
      </c>
      <c r="E33" s="17">
        <v>0</v>
      </c>
      <c r="F33" s="17">
        <v>0</v>
      </c>
      <c r="G33" s="17">
        <v>0</v>
      </c>
      <c r="H33" s="17">
        <v>0</v>
      </c>
      <c r="I33" s="17">
        <v>0</v>
      </c>
      <c r="J33" s="17">
        <v>0</v>
      </c>
      <c r="K33" s="17">
        <v>0</v>
      </c>
      <c r="L33" s="17">
        <v>0</v>
      </c>
      <c r="M33" s="17">
        <v>0</v>
      </c>
      <c r="N33" s="17">
        <v>0</v>
      </c>
      <c r="O33" s="18">
        <f t="shared" si="0"/>
        <v>0</v>
      </c>
    </row>
    <row r="34" spans="1:22" ht="15" customHeight="1" x14ac:dyDescent="0.2">
      <c r="A34" s="865" t="s">
        <v>280</v>
      </c>
      <c r="B34" s="866"/>
      <c r="C34" s="17">
        <v>0</v>
      </c>
      <c r="D34" s="17">
        <v>0</v>
      </c>
      <c r="E34" s="17">
        <v>0</v>
      </c>
      <c r="F34" s="17">
        <v>0</v>
      </c>
      <c r="G34" s="17">
        <v>0</v>
      </c>
      <c r="H34" s="17">
        <v>0</v>
      </c>
      <c r="I34" s="17">
        <v>0</v>
      </c>
      <c r="J34" s="17">
        <v>0</v>
      </c>
      <c r="K34" s="17">
        <v>0</v>
      </c>
      <c r="L34" s="17">
        <v>0</v>
      </c>
      <c r="M34" s="17">
        <v>0</v>
      </c>
      <c r="N34" s="17">
        <v>0</v>
      </c>
      <c r="O34" s="18">
        <f t="shared" si="0"/>
        <v>0</v>
      </c>
    </row>
    <row r="35" spans="1:22" ht="15" customHeight="1" x14ac:dyDescent="0.2">
      <c r="A35" s="865" t="s">
        <v>145</v>
      </c>
      <c r="B35" s="866"/>
      <c r="C35" s="17">
        <v>0</v>
      </c>
      <c r="D35" s="17">
        <v>216</v>
      </c>
      <c r="E35" s="17">
        <v>0</v>
      </c>
      <c r="F35" s="17">
        <v>0</v>
      </c>
      <c r="G35" s="17">
        <v>0</v>
      </c>
      <c r="H35" s="17">
        <v>0</v>
      </c>
      <c r="I35" s="17">
        <v>0</v>
      </c>
      <c r="J35" s="17">
        <v>216</v>
      </c>
      <c r="K35" s="17">
        <v>0</v>
      </c>
      <c r="L35" s="17">
        <v>0</v>
      </c>
      <c r="M35" s="17">
        <v>0</v>
      </c>
      <c r="N35" s="17">
        <v>0</v>
      </c>
      <c r="O35" s="18">
        <f t="shared" si="0"/>
        <v>432</v>
      </c>
    </row>
    <row r="36" spans="1:22" ht="15" customHeight="1" x14ac:dyDescent="0.2">
      <c r="A36" s="865" t="s">
        <v>146</v>
      </c>
      <c r="B36" s="866"/>
      <c r="C36" s="17">
        <v>0</v>
      </c>
      <c r="D36" s="17">
        <v>2040</v>
      </c>
      <c r="E36" s="17">
        <v>0</v>
      </c>
      <c r="F36" s="17">
        <v>0</v>
      </c>
      <c r="G36" s="17">
        <v>0</v>
      </c>
      <c r="H36" s="17">
        <v>0</v>
      </c>
      <c r="I36" s="17">
        <v>0</v>
      </c>
      <c r="J36" s="17">
        <v>2100</v>
      </c>
      <c r="K36" s="17">
        <v>0</v>
      </c>
      <c r="L36" s="17">
        <v>0</v>
      </c>
      <c r="M36" s="17">
        <v>0</v>
      </c>
      <c r="N36" s="17">
        <v>0</v>
      </c>
      <c r="O36" s="18">
        <f t="shared" si="0"/>
        <v>4140</v>
      </c>
    </row>
    <row r="37" spans="1:22" ht="15" customHeight="1" x14ac:dyDescent="0.2">
      <c r="A37" s="22"/>
      <c r="B37" s="23" t="s">
        <v>147</v>
      </c>
      <c r="C37" s="24">
        <f t="shared" ref="C37:N37" si="1">SUM(C9:C36)</f>
        <v>39480</v>
      </c>
      <c r="D37" s="24">
        <f t="shared" si="1"/>
        <v>42488</v>
      </c>
      <c r="E37" s="24">
        <f t="shared" si="1"/>
        <v>40232</v>
      </c>
      <c r="F37" s="24">
        <f t="shared" si="1"/>
        <v>40232</v>
      </c>
      <c r="G37" s="24">
        <f t="shared" si="1"/>
        <v>46302</v>
      </c>
      <c r="H37" s="24">
        <f t="shared" si="1"/>
        <v>41302</v>
      </c>
      <c r="I37" s="24">
        <f t="shared" si="1"/>
        <v>41302</v>
      </c>
      <c r="J37" s="24">
        <f t="shared" si="1"/>
        <v>51298</v>
      </c>
      <c r="K37" s="24">
        <f t="shared" si="1"/>
        <v>42074</v>
      </c>
      <c r="L37" s="24">
        <f t="shared" si="1"/>
        <v>42074</v>
      </c>
      <c r="M37" s="24">
        <f t="shared" si="1"/>
        <v>42074</v>
      </c>
      <c r="N37" s="24">
        <f t="shared" si="1"/>
        <v>42074</v>
      </c>
      <c r="O37" s="25">
        <f>SUM(C37:N37)</f>
        <v>510932</v>
      </c>
    </row>
    <row r="38" spans="1:22" ht="15" customHeight="1" x14ac:dyDescent="0.2">
      <c r="A38" s="853" t="s">
        <v>148</v>
      </c>
      <c r="B38" s="27" t="s">
        <v>149</v>
      </c>
      <c r="C38" s="28">
        <v>0</v>
      </c>
      <c r="D38" s="28">
        <v>0</v>
      </c>
      <c r="E38" s="28">
        <v>0</v>
      </c>
      <c r="F38" s="28">
        <v>0</v>
      </c>
      <c r="G38" s="28">
        <v>0</v>
      </c>
      <c r="H38" s="28">
        <v>0</v>
      </c>
      <c r="I38" s="28">
        <v>0</v>
      </c>
      <c r="J38" s="28">
        <v>0</v>
      </c>
      <c r="K38" s="28">
        <v>0</v>
      </c>
      <c r="L38" s="28">
        <v>100</v>
      </c>
      <c r="M38" s="28">
        <v>710</v>
      </c>
      <c r="N38" s="28">
        <v>0</v>
      </c>
      <c r="O38" s="18">
        <f>SUM(C38:N38)</f>
        <v>810</v>
      </c>
      <c r="P38" s="29" t="s">
        <v>524</v>
      </c>
    </row>
    <row r="39" spans="1:22" ht="15" x14ac:dyDescent="0.2">
      <c r="A39" s="854"/>
      <c r="B39" s="27" t="s">
        <v>150</v>
      </c>
      <c r="C39" s="28">
        <v>0</v>
      </c>
      <c r="D39" s="28">
        <v>0</v>
      </c>
      <c r="E39" s="28">
        <v>0</v>
      </c>
      <c r="F39" s="28">
        <v>0</v>
      </c>
      <c r="G39" s="28">
        <v>0</v>
      </c>
      <c r="H39" s="28">
        <v>0</v>
      </c>
      <c r="I39" s="28">
        <v>0</v>
      </c>
      <c r="J39" s="28">
        <v>0</v>
      </c>
      <c r="K39" s="28">
        <v>0</v>
      </c>
      <c r="L39" s="28">
        <v>0</v>
      </c>
      <c r="M39" s="28">
        <v>0</v>
      </c>
      <c r="N39" s="28">
        <v>0</v>
      </c>
      <c r="O39" s="18">
        <f>SUM(C39:N39)</f>
        <v>0</v>
      </c>
    </row>
    <row r="40" spans="1:22" ht="15" x14ac:dyDescent="0.2">
      <c r="A40" s="854"/>
      <c r="B40" s="27" t="s">
        <v>151</v>
      </c>
      <c r="C40" s="28">
        <v>30</v>
      </c>
      <c r="D40" s="28">
        <v>30</v>
      </c>
      <c r="E40" s="28">
        <v>30</v>
      </c>
      <c r="F40" s="28">
        <v>30</v>
      </c>
      <c r="G40" s="28">
        <v>30</v>
      </c>
      <c r="H40" s="28">
        <v>30</v>
      </c>
      <c r="I40" s="28">
        <v>30</v>
      </c>
      <c r="J40" s="28">
        <v>30</v>
      </c>
      <c r="K40" s="28">
        <v>30</v>
      </c>
      <c r="L40" s="28">
        <v>30</v>
      </c>
      <c r="M40" s="28">
        <v>30</v>
      </c>
      <c r="N40" s="28">
        <v>30</v>
      </c>
      <c r="O40" s="18">
        <f t="shared" ref="O40:O50" si="2">SUM(C40:N40)</f>
        <v>360</v>
      </c>
    </row>
    <row r="41" spans="1:22" ht="15" x14ac:dyDescent="0.2">
      <c r="A41" s="854"/>
      <c r="B41" s="27" t="s">
        <v>152</v>
      </c>
      <c r="C41" s="28">
        <v>0</v>
      </c>
      <c r="D41" s="28">
        <v>0</v>
      </c>
      <c r="E41" s="28">
        <v>0</v>
      </c>
      <c r="F41" s="28">
        <v>0</v>
      </c>
      <c r="G41" s="28">
        <v>0</v>
      </c>
      <c r="H41" s="28">
        <v>0</v>
      </c>
      <c r="I41" s="28">
        <v>0</v>
      </c>
      <c r="J41" s="28">
        <v>0</v>
      </c>
      <c r="K41" s="28">
        <v>0</v>
      </c>
      <c r="L41" s="28">
        <v>0</v>
      </c>
      <c r="M41" s="28">
        <v>0</v>
      </c>
      <c r="N41" s="28">
        <v>0</v>
      </c>
      <c r="O41" s="18">
        <f t="shared" si="2"/>
        <v>0</v>
      </c>
    </row>
    <row r="42" spans="1:22" ht="15" x14ac:dyDescent="0.2">
      <c r="A42" s="854"/>
      <c r="B42" s="27" t="s">
        <v>153</v>
      </c>
      <c r="C42" s="28">
        <v>250</v>
      </c>
      <c r="D42" s="28">
        <v>250</v>
      </c>
      <c r="E42" s="28">
        <v>250</v>
      </c>
      <c r="F42" s="28">
        <v>250</v>
      </c>
      <c r="G42" s="28">
        <v>250</v>
      </c>
      <c r="H42" s="28">
        <v>250</v>
      </c>
      <c r="I42" s="28">
        <v>250</v>
      </c>
      <c r="J42" s="28">
        <v>250</v>
      </c>
      <c r="K42" s="28">
        <v>250</v>
      </c>
      <c r="L42" s="28">
        <v>250</v>
      </c>
      <c r="M42" s="28">
        <v>250</v>
      </c>
      <c r="N42" s="28">
        <v>250</v>
      </c>
      <c r="O42" s="18">
        <f t="shared" si="2"/>
        <v>3000</v>
      </c>
    </row>
    <row r="43" spans="1:22" ht="15.75" x14ac:dyDescent="0.25">
      <c r="A43" s="854"/>
      <c r="B43" s="27" t="s">
        <v>154</v>
      </c>
      <c r="C43" s="28">
        <v>3000</v>
      </c>
      <c r="D43" s="28">
        <v>3000</v>
      </c>
      <c r="E43" s="28">
        <v>20000</v>
      </c>
      <c r="F43" s="28">
        <v>20000</v>
      </c>
      <c r="G43" s="28">
        <v>20000</v>
      </c>
      <c r="H43" s="28">
        <v>20000</v>
      </c>
      <c r="I43" s="28">
        <v>20000</v>
      </c>
      <c r="J43" s="28">
        <v>20000</v>
      </c>
      <c r="K43" s="28">
        <v>20000</v>
      </c>
      <c r="L43" s="28">
        <v>20000</v>
      </c>
      <c r="M43" s="28">
        <v>20000</v>
      </c>
      <c r="N43" s="28">
        <v>20000</v>
      </c>
      <c r="O43" s="18">
        <f t="shared" si="2"/>
        <v>206000</v>
      </c>
      <c r="P43" s="170"/>
      <c r="T43" s="200"/>
      <c r="U43" s="200"/>
      <c r="V43" s="200"/>
    </row>
    <row r="44" spans="1:22" ht="15.75" x14ac:dyDescent="0.25">
      <c r="A44" s="854"/>
      <c r="B44" s="27" t="s">
        <v>155</v>
      </c>
      <c r="C44" s="28">
        <v>200</v>
      </c>
      <c r="D44" s="28">
        <v>200</v>
      </c>
      <c r="E44" s="28">
        <v>200</v>
      </c>
      <c r="F44" s="28">
        <v>200</v>
      </c>
      <c r="G44" s="28">
        <v>200</v>
      </c>
      <c r="H44" s="28">
        <v>200</v>
      </c>
      <c r="I44" s="28">
        <v>200</v>
      </c>
      <c r="J44" s="28">
        <v>200</v>
      </c>
      <c r="K44" s="28">
        <v>200</v>
      </c>
      <c r="L44" s="28">
        <v>200</v>
      </c>
      <c r="M44" s="28">
        <v>200</v>
      </c>
      <c r="N44" s="28">
        <v>300</v>
      </c>
      <c r="O44" s="18">
        <f t="shared" si="2"/>
        <v>2500</v>
      </c>
      <c r="T44" s="200"/>
      <c r="V44" s="200"/>
    </row>
    <row r="45" spans="1:22" ht="15.75" x14ac:dyDescent="0.25">
      <c r="A45" s="854"/>
      <c r="B45" s="27" t="s">
        <v>293</v>
      </c>
      <c r="C45" s="28">
        <v>310</v>
      </c>
      <c r="D45" s="28">
        <v>310</v>
      </c>
      <c r="E45" s="28">
        <v>310</v>
      </c>
      <c r="F45" s="28">
        <v>310</v>
      </c>
      <c r="G45" s="28">
        <v>310</v>
      </c>
      <c r="H45" s="28">
        <v>310</v>
      </c>
      <c r="I45" s="28">
        <v>310</v>
      </c>
      <c r="J45" s="28">
        <v>310</v>
      </c>
      <c r="K45" s="28">
        <v>310</v>
      </c>
      <c r="L45" s="28">
        <v>310</v>
      </c>
      <c r="M45" s="28">
        <v>310</v>
      </c>
      <c r="N45" s="28">
        <v>310</v>
      </c>
      <c r="O45" s="18">
        <f t="shared" si="2"/>
        <v>3720</v>
      </c>
      <c r="T45" s="200"/>
      <c r="V45" s="200"/>
    </row>
    <row r="46" spans="1:22" ht="15.75" x14ac:dyDescent="0.25">
      <c r="A46" s="854"/>
      <c r="B46" s="27" t="s">
        <v>157</v>
      </c>
      <c r="C46" s="28">
        <v>0</v>
      </c>
      <c r="D46" s="28">
        <v>0</v>
      </c>
      <c r="E46" s="28">
        <v>0</v>
      </c>
      <c r="F46" s="28">
        <v>0</v>
      </c>
      <c r="G46" s="28">
        <v>0</v>
      </c>
      <c r="H46" s="28">
        <v>0</v>
      </c>
      <c r="I46" s="28">
        <v>0</v>
      </c>
      <c r="J46" s="28">
        <v>0</v>
      </c>
      <c r="K46" s="28">
        <v>0</v>
      </c>
      <c r="L46" s="28">
        <v>0</v>
      </c>
      <c r="M46" s="28">
        <v>0</v>
      </c>
      <c r="N46" s="28">
        <v>0</v>
      </c>
      <c r="O46" s="18">
        <f t="shared" si="2"/>
        <v>0</v>
      </c>
      <c r="T46" s="200"/>
      <c r="V46" s="200"/>
    </row>
    <row r="47" spans="1:22" ht="28.5" customHeight="1" x14ac:dyDescent="0.25">
      <c r="A47" s="855"/>
      <c r="B47" s="30" t="s">
        <v>158</v>
      </c>
      <c r="C47" s="28">
        <v>2036</v>
      </c>
      <c r="D47" s="28">
        <v>2036</v>
      </c>
      <c r="E47" s="28">
        <v>2036</v>
      </c>
      <c r="F47" s="28">
        <v>2036</v>
      </c>
      <c r="G47" s="28">
        <v>2036</v>
      </c>
      <c r="H47" s="28">
        <v>2036</v>
      </c>
      <c r="I47" s="28">
        <v>2036</v>
      </c>
      <c r="J47" s="28">
        <v>2036</v>
      </c>
      <c r="K47" s="28">
        <v>2036</v>
      </c>
      <c r="L47" s="28">
        <v>2036</v>
      </c>
      <c r="M47" s="28">
        <v>2036</v>
      </c>
      <c r="N47" s="28">
        <v>2036</v>
      </c>
      <c r="O47" s="31">
        <f t="shared" si="2"/>
        <v>24432</v>
      </c>
      <c r="T47" s="200"/>
      <c r="V47" s="200"/>
    </row>
    <row r="48" spans="1:22" ht="15.75" x14ac:dyDescent="0.25">
      <c r="A48" s="856"/>
      <c r="B48" s="127" t="s">
        <v>479</v>
      </c>
      <c r="C48" s="28">
        <v>0</v>
      </c>
      <c r="D48" s="28">
        <v>0</v>
      </c>
      <c r="E48" s="28">
        <v>0</v>
      </c>
      <c r="F48" s="28">
        <v>0</v>
      </c>
      <c r="G48" s="28">
        <v>0</v>
      </c>
      <c r="H48" s="28">
        <v>0</v>
      </c>
      <c r="I48" s="28">
        <v>0</v>
      </c>
      <c r="J48" s="28">
        <v>0</v>
      </c>
      <c r="K48" s="28">
        <v>0</v>
      </c>
      <c r="L48" s="28">
        <v>0</v>
      </c>
      <c r="M48" s="28">
        <v>0</v>
      </c>
      <c r="N48" s="28">
        <v>0</v>
      </c>
      <c r="O48" s="31">
        <f t="shared" si="2"/>
        <v>0</v>
      </c>
      <c r="T48" s="200"/>
      <c r="V48" s="200"/>
    </row>
    <row r="49" spans="1:22" ht="15.75" x14ac:dyDescent="0.25">
      <c r="A49" s="857" t="s">
        <v>160</v>
      </c>
      <c r="B49" s="858"/>
      <c r="C49" s="33">
        <f t="shared" ref="C49:N49" si="3">SUM(C38:C48)</f>
        <v>5826</v>
      </c>
      <c r="D49" s="33">
        <f t="shared" si="3"/>
        <v>5826</v>
      </c>
      <c r="E49" s="33">
        <f t="shared" si="3"/>
        <v>22826</v>
      </c>
      <c r="F49" s="33">
        <f t="shared" si="3"/>
        <v>22826</v>
      </c>
      <c r="G49" s="33">
        <f t="shared" si="3"/>
        <v>22826</v>
      </c>
      <c r="H49" s="33">
        <f t="shared" si="3"/>
        <v>22826</v>
      </c>
      <c r="I49" s="33">
        <f t="shared" si="3"/>
        <v>22826</v>
      </c>
      <c r="J49" s="33">
        <f t="shared" si="3"/>
        <v>22826</v>
      </c>
      <c r="K49" s="33">
        <f t="shared" si="3"/>
        <v>22826</v>
      </c>
      <c r="L49" s="33">
        <f t="shared" si="3"/>
        <v>22926</v>
      </c>
      <c r="M49" s="33">
        <f t="shared" si="3"/>
        <v>23536</v>
      </c>
      <c r="N49" s="33">
        <f t="shared" si="3"/>
        <v>22926</v>
      </c>
      <c r="O49" s="34">
        <f t="shared" si="2"/>
        <v>240822</v>
      </c>
      <c r="T49" s="200"/>
      <c r="U49" s="200"/>
      <c r="V49" s="200"/>
    </row>
    <row r="50" spans="1:22" ht="15.75" thickBot="1" x14ac:dyDescent="0.25">
      <c r="A50" s="859" t="s">
        <v>161</v>
      </c>
      <c r="B50" s="860"/>
      <c r="C50" s="35">
        <f t="shared" ref="C50:N50" si="4">C37-C49</f>
        <v>33654</v>
      </c>
      <c r="D50" s="35">
        <f t="shared" si="4"/>
        <v>36662</v>
      </c>
      <c r="E50" s="35">
        <f t="shared" si="4"/>
        <v>17406</v>
      </c>
      <c r="F50" s="35">
        <f t="shared" si="4"/>
        <v>17406</v>
      </c>
      <c r="G50" s="35">
        <f t="shared" si="4"/>
        <v>23476</v>
      </c>
      <c r="H50" s="35">
        <f t="shared" si="4"/>
        <v>18476</v>
      </c>
      <c r="I50" s="35">
        <f t="shared" si="4"/>
        <v>18476</v>
      </c>
      <c r="J50" s="35">
        <f t="shared" si="4"/>
        <v>28472</v>
      </c>
      <c r="K50" s="35">
        <f t="shared" si="4"/>
        <v>19248</v>
      </c>
      <c r="L50" s="35">
        <f t="shared" si="4"/>
        <v>19148</v>
      </c>
      <c r="M50" s="35">
        <f t="shared" si="4"/>
        <v>18538</v>
      </c>
      <c r="N50" s="35">
        <f t="shared" si="4"/>
        <v>19148</v>
      </c>
      <c r="O50" s="36">
        <f t="shared" si="2"/>
        <v>270110</v>
      </c>
    </row>
    <row r="51" spans="1:22" x14ac:dyDescent="0.2">
      <c r="J51" s="300">
        <f>+J37-SUM(J22:J36)</f>
        <v>42074</v>
      </c>
      <c r="Q51" s="38"/>
    </row>
    <row r="52" spans="1:22" ht="13.5" thickBot="1" x14ac:dyDescent="0.25">
      <c r="J52" s="38">
        <f>+J51-J49</f>
        <v>19248</v>
      </c>
    </row>
    <row r="53" spans="1:22" ht="15.75" thickBot="1" x14ac:dyDescent="0.3">
      <c r="B53" s="789" t="s">
        <v>162</v>
      </c>
      <c r="C53" s="861"/>
      <c r="D53" s="861"/>
      <c r="E53" s="861"/>
      <c r="F53" s="862"/>
      <c r="G53" s="863">
        <f>O37</f>
        <v>510932</v>
      </c>
      <c r="H53" s="864"/>
      <c r="S53" s="200"/>
    </row>
    <row r="54" spans="1:22" ht="13.5" thickBot="1" x14ac:dyDescent="0.25"/>
    <row r="55" spans="1:22" x14ac:dyDescent="0.2">
      <c r="B55" s="830" t="s">
        <v>163</v>
      </c>
      <c r="C55" s="833" t="s">
        <v>164</v>
      </c>
      <c r="D55" s="836" t="s">
        <v>229</v>
      </c>
      <c r="E55" s="837"/>
      <c r="F55" s="838"/>
      <c r="G55" s="839">
        <v>40000</v>
      </c>
      <c r="H55" s="840"/>
    </row>
    <row r="56" spans="1:22" x14ac:dyDescent="0.2">
      <c r="B56" s="831"/>
      <c r="C56" s="834"/>
      <c r="D56" s="841" t="s">
        <v>166</v>
      </c>
      <c r="E56" s="842"/>
      <c r="F56" s="843"/>
      <c r="G56" s="844">
        <f>+O44</f>
        <v>2500</v>
      </c>
      <c r="H56" s="845"/>
      <c r="I56" s="39"/>
      <c r="J56" s="846"/>
      <c r="K56" s="846"/>
      <c r="L56" s="846"/>
      <c r="M56" s="847"/>
      <c r="N56" s="847"/>
      <c r="O56" s="847"/>
    </row>
    <row r="57" spans="1:22" ht="13.5" thickBot="1" x14ac:dyDescent="0.25">
      <c r="B57" s="832"/>
      <c r="C57" s="835"/>
      <c r="D57" s="848" t="s">
        <v>243</v>
      </c>
      <c r="E57" s="849"/>
      <c r="F57" s="850"/>
      <c r="G57" s="851">
        <f>IF(O18&gt;15000,15000,+O18)</f>
        <v>0</v>
      </c>
      <c r="H57" s="852"/>
      <c r="J57" s="47"/>
      <c r="K57" s="47"/>
      <c r="L57" s="47"/>
      <c r="M57" s="47"/>
      <c r="N57" s="47"/>
      <c r="O57" s="47"/>
    </row>
    <row r="58" spans="1:22" ht="13.5" thickBot="1" x14ac:dyDescent="0.25">
      <c r="B58" s="48"/>
      <c r="J58" s="47"/>
      <c r="K58" s="47"/>
      <c r="L58" s="47"/>
      <c r="M58" s="47"/>
      <c r="N58" s="47"/>
      <c r="O58" s="47"/>
    </row>
    <row r="59" spans="1:22" ht="13.5" thickBot="1" x14ac:dyDescent="0.25">
      <c r="B59" s="789" t="s">
        <v>168</v>
      </c>
      <c r="C59" s="790"/>
      <c r="D59" s="790"/>
      <c r="E59" s="790"/>
      <c r="F59" s="791"/>
      <c r="G59" s="825">
        <f>+G53-SUM(G55:H57)</f>
        <v>468432</v>
      </c>
      <c r="H59" s="826"/>
      <c r="J59" s="827" t="s">
        <v>169</v>
      </c>
      <c r="K59" s="828"/>
      <c r="L59" s="828"/>
      <c r="M59" s="828"/>
      <c r="N59" s="828"/>
      <c r="O59" s="829"/>
    </row>
    <row r="60" spans="1:22" ht="13.5" thickBot="1" x14ac:dyDescent="0.25">
      <c r="B60" s="49"/>
      <c r="C60" s="50"/>
      <c r="D60" s="50"/>
      <c r="E60" s="50"/>
      <c r="F60" s="50"/>
      <c r="G60" s="45"/>
      <c r="H60" s="50"/>
      <c r="J60" s="129"/>
      <c r="K60" s="130"/>
      <c r="L60" s="130"/>
      <c r="M60" s="130"/>
      <c r="N60" s="130"/>
      <c r="O60" s="131"/>
    </row>
    <row r="61" spans="1:22" ht="13.5" thickBot="1" x14ac:dyDescent="0.25">
      <c r="B61" s="789" t="s">
        <v>170</v>
      </c>
      <c r="C61" s="790"/>
      <c r="D61" s="790"/>
      <c r="E61" s="790"/>
      <c r="F61" s="791"/>
      <c r="G61" s="805"/>
      <c r="H61" s="791"/>
      <c r="J61" s="129"/>
      <c r="K61" s="130"/>
      <c r="L61" s="130"/>
      <c r="M61" s="130"/>
      <c r="N61" s="130"/>
      <c r="O61" s="131"/>
    </row>
    <row r="62" spans="1:22" ht="12.75" customHeight="1" x14ac:dyDescent="0.2">
      <c r="B62" s="57" t="s">
        <v>171</v>
      </c>
      <c r="C62" s="806" t="s">
        <v>172</v>
      </c>
      <c r="D62" s="807"/>
      <c r="E62" s="807"/>
      <c r="F62" s="808"/>
      <c r="G62" s="809">
        <v>0</v>
      </c>
      <c r="H62" s="809"/>
      <c r="I62" s="58"/>
      <c r="J62" s="810" t="s">
        <v>173</v>
      </c>
      <c r="K62" s="811"/>
      <c r="L62" s="811"/>
      <c r="M62" s="811"/>
      <c r="N62" s="811"/>
      <c r="O62" s="812"/>
      <c r="Q62" s="59"/>
      <c r="R62" s="59"/>
    </row>
    <row r="63" spans="1:22" ht="13.5" thickBot="1" x14ac:dyDescent="0.25">
      <c r="D63" s="37"/>
      <c r="I63" s="58"/>
      <c r="J63" s="60" t="s">
        <v>1006</v>
      </c>
      <c r="K63" s="132"/>
      <c r="L63" s="132"/>
      <c r="M63" s="133"/>
      <c r="N63" s="133"/>
      <c r="O63" s="134"/>
      <c r="Q63" s="59"/>
      <c r="R63" s="59"/>
    </row>
    <row r="64" spans="1:22" ht="13.5" thickBot="1" x14ac:dyDescent="0.25">
      <c r="B64" s="789" t="s">
        <v>175</v>
      </c>
      <c r="C64" s="790"/>
      <c r="D64" s="790"/>
      <c r="E64" s="790"/>
      <c r="F64" s="791"/>
      <c r="G64" s="805">
        <f>+G59-G62</f>
        <v>468432</v>
      </c>
      <c r="H64" s="791"/>
      <c r="I64" s="63"/>
      <c r="J64" s="64"/>
      <c r="K64" s="39"/>
      <c r="L64" s="39"/>
      <c r="M64" s="39"/>
      <c r="N64" s="39"/>
      <c r="O64" s="65"/>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6.25" customHeight="1" thickBot="1" x14ac:dyDescent="0.25">
      <c r="B67" s="66"/>
      <c r="C67" s="48"/>
      <c r="G67" s="70" t="s">
        <v>177</v>
      </c>
      <c r="H67" s="70" t="s">
        <v>178</v>
      </c>
      <c r="I67" s="63"/>
      <c r="J67" s="810" t="s">
        <v>179</v>
      </c>
      <c r="K67" s="811"/>
      <c r="L67" s="71"/>
      <c r="M67" s="71"/>
      <c r="N67" s="71"/>
      <c r="O67" s="72"/>
      <c r="Q67" s="59"/>
      <c r="R67" s="59"/>
    </row>
    <row r="68" spans="2:18" ht="12.75" customHeight="1" x14ac:dyDescent="0.2">
      <c r="B68" s="802" t="s">
        <v>180</v>
      </c>
      <c r="C68" s="821" t="s">
        <v>181</v>
      </c>
      <c r="D68" s="823" t="s">
        <v>182</v>
      </c>
      <c r="E68" s="824"/>
      <c r="F68" s="824"/>
      <c r="G68" s="73">
        <f>+O43</f>
        <v>206000</v>
      </c>
      <c r="H68" s="74">
        <f t="shared" ref="H68:H76" si="5">+G68</f>
        <v>206000</v>
      </c>
      <c r="I68" s="63"/>
      <c r="J68" s="75" t="s">
        <v>231</v>
      </c>
      <c r="K68" s="58"/>
      <c r="L68" s="135"/>
      <c r="M68" s="135" t="s">
        <v>232</v>
      </c>
      <c r="N68" s="135" t="s">
        <v>233</v>
      </c>
      <c r="O68" s="76">
        <v>27144</v>
      </c>
      <c r="Q68" s="59"/>
      <c r="R68" s="59"/>
    </row>
    <row r="69" spans="2:18" ht="12.75" customHeight="1" x14ac:dyDescent="0.2">
      <c r="B69" s="803"/>
      <c r="C69" s="822"/>
      <c r="D69" s="782" t="s">
        <v>184</v>
      </c>
      <c r="E69" s="783"/>
      <c r="F69" s="783"/>
      <c r="G69" s="77">
        <f>+O47</f>
        <v>24432</v>
      </c>
      <c r="H69" s="78">
        <f t="shared" si="5"/>
        <v>24432</v>
      </c>
      <c r="I69" s="63"/>
      <c r="J69" s="79"/>
      <c r="K69" s="68"/>
      <c r="L69" s="68"/>
      <c r="M69" s="68"/>
      <c r="N69" s="68"/>
      <c r="O69" s="69"/>
      <c r="Q69" s="59"/>
      <c r="R69" s="59"/>
    </row>
    <row r="70" spans="2:18" ht="12.75" customHeight="1" x14ac:dyDescent="0.2">
      <c r="B70" s="803"/>
      <c r="C70" s="822"/>
      <c r="D70" s="819" t="s">
        <v>185</v>
      </c>
      <c r="E70" s="820"/>
      <c r="F70" s="820"/>
      <c r="G70" s="80">
        <f>O40</f>
        <v>360</v>
      </c>
      <c r="H70" s="78">
        <f t="shared" si="5"/>
        <v>360</v>
      </c>
      <c r="I70" s="63"/>
      <c r="J70" s="67"/>
      <c r="K70" s="68"/>
      <c r="L70" s="68"/>
      <c r="M70" s="68"/>
      <c r="N70" s="68"/>
      <c r="O70" s="69"/>
    </row>
    <row r="71" spans="2:18" x14ac:dyDescent="0.2">
      <c r="B71" s="803"/>
      <c r="C71" s="822"/>
      <c r="D71" s="782" t="s">
        <v>186</v>
      </c>
      <c r="E71" s="783"/>
      <c r="F71" s="783"/>
      <c r="G71" s="81">
        <v>0</v>
      </c>
      <c r="H71" s="78">
        <f t="shared" si="5"/>
        <v>0</v>
      </c>
      <c r="I71" s="63"/>
      <c r="J71" s="82" t="s">
        <v>187</v>
      </c>
      <c r="K71" s="71"/>
      <c r="L71" s="71"/>
      <c r="M71" s="71"/>
      <c r="N71" s="71"/>
      <c r="O71" s="72"/>
    </row>
    <row r="72" spans="2:18" ht="12.75" customHeight="1" x14ac:dyDescent="0.2">
      <c r="B72" s="803"/>
      <c r="C72" s="822"/>
      <c r="D72" s="784" t="s">
        <v>188</v>
      </c>
      <c r="E72" s="783"/>
      <c r="F72" s="783"/>
      <c r="G72" s="80">
        <v>0</v>
      </c>
      <c r="H72" s="78">
        <f t="shared" si="5"/>
        <v>0</v>
      </c>
      <c r="I72" s="63"/>
      <c r="J72" s="75" t="s">
        <v>189</v>
      </c>
      <c r="K72" s="50"/>
      <c r="L72" s="50"/>
      <c r="M72" s="50"/>
      <c r="N72" s="50"/>
      <c r="O72" s="83">
        <f>O42</f>
        <v>3000</v>
      </c>
    </row>
    <row r="73" spans="2:18" ht="14.25" customHeight="1" x14ac:dyDescent="0.2">
      <c r="B73" s="803"/>
      <c r="C73" s="822"/>
      <c r="D73" s="782" t="s">
        <v>190</v>
      </c>
      <c r="E73" s="783"/>
      <c r="F73" s="783"/>
      <c r="G73" s="84">
        <v>0</v>
      </c>
      <c r="H73" s="78">
        <f t="shared" si="5"/>
        <v>0</v>
      </c>
      <c r="I73" s="63"/>
      <c r="J73" s="64"/>
      <c r="K73" s="39"/>
      <c r="L73" s="39"/>
      <c r="M73" s="39"/>
      <c r="N73" s="39"/>
      <c r="O73" s="65"/>
    </row>
    <row r="74" spans="2:18" x14ac:dyDescent="0.2">
      <c r="B74" s="803"/>
      <c r="C74" s="822"/>
      <c r="D74" s="782" t="s">
        <v>191</v>
      </c>
      <c r="E74" s="783"/>
      <c r="F74" s="783"/>
      <c r="G74" s="81">
        <v>0</v>
      </c>
      <c r="H74" s="78">
        <f t="shared" si="5"/>
        <v>0</v>
      </c>
      <c r="I74" s="58"/>
      <c r="J74" s="150"/>
      <c r="K74" s="50"/>
      <c r="L74" s="50"/>
      <c r="M74" s="50"/>
      <c r="N74" s="50"/>
      <c r="O74" s="83"/>
    </row>
    <row r="75" spans="2:18" x14ac:dyDescent="0.2">
      <c r="B75" s="803"/>
      <c r="C75" s="88" t="s">
        <v>192</v>
      </c>
      <c r="D75" s="813" t="s">
        <v>193</v>
      </c>
      <c r="E75" s="814"/>
      <c r="F75" s="814"/>
      <c r="G75" s="80">
        <v>0</v>
      </c>
      <c r="H75" s="78">
        <f t="shared" si="5"/>
        <v>0</v>
      </c>
      <c r="I75" s="58"/>
      <c r="J75" s="79"/>
      <c r="K75" s="39"/>
      <c r="L75" s="39"/>
      <c r="M75" s="39"/>
      <c r="N75" s="39"/>
      <c r="O75" s="65"/>
    </row>
    <row r="76" spans="2:18" ht="13.5" customHeight="1" thickBot="1" x14ac:dyDescent="0.25">
      <c r="B76" s="803"/>
      <c r="C76" s="88" t="s">
        <v>194</v>
      </c>
      <c r="D76" s="815" t="s">
        <v>195</v>
      </c>
      <c r="E76" s="815"/>
      <c r="F76" s="815"/>
      <c r="G76" s="89">
        <v>0</v>
      </c>
      <c r="H76" s="90">
        <f t="shared" si="5"/>
        <v>0</v>
      </c>
      <c r="I76" s="63"/>
      <c r="J76" s="67"/>
      <c r="K76" s="68"/>
      <c r="L76" s="68"/>
      <c r="M76" s="91"/>
      <c r="N76" s="91"/>
      <c r="O76" s="92"/>
    </row>
    <row r="77" spans="2:18" ht="13.5" thickBot="1" x14ac:dyDescent="0.25">
      <c r="B77" s="803"/>
      <c r="C77" s="93"/>
      <c r="D77" s="94"/>
      <c r="E77" s="816" t="s">
        <v>117</v>
      </c>
      <c r="F77" s="817"/>
      <c r="G77" s="95">
        <f>SUM(G68:G76)</f>
        <v>230792</v>
      </c>
      <c r="H77" s="96">
        <f>IF(SUM(G68:G74)&lt;150000,SUM(G68:G74),150000)+IF(+G75&lt;20000,+G75,20000)</f>
        <v>150000</v>
      </c>
      <c r="I77" s="63"/>
      <c r="J77" s="140"/>
      <c r="K77" s="141"/>
      <c r="L77" s="141"/>
      <c r="M77" s="142"/>
      <c r="N77" s="142"/>
      <c r="O77" s="143"/>
    </row>
    <row r="78" spans="2:18" ht="12.75" customHeight="1" x14ac:dyDescent="0.2">
      <c r="B78" s="803"/>
      <c r="C78" s="100" t="s">
        <v>196</v>
      </c>
      <c r="D78" s="782" t="s">
        <v>187</v>
      </c>
      <c r="E78" s="783"/>
      <c r="F78" s="818"/>
      <c r="G78" s="73">
        <f>+O42</f>
        <v>3000</v>
      </c>
      <c r="H78" s="101">
        <f>+IF(+G78&lt;25000,+G78,25000)</f>
        <v>3000</v>
      </c>
      <c r="I78" s="87"/>
    </row>
    <row r="79" spans="2:18" x14ac:dyDescent="0.2">
      <c r="B79" s="803"/>
      <c r="C79" s="100" t="s">
        <v>197</v>
      </c>
      <c r="D79" s="784" t="s">
        <v>198</v>
      </c>
      <c r="E79" s="785"/>
      <c r="F79" s="786"/>
      <c r="G79" s="102"/>
      <c r="H79" s="103">
        <f>+IF(+G79&lt;40000,+G79,40000)</f>
        <v>0</v>
      </c>
      <c r="I79" s="63"/>
    </row>
    <row r="80" spans="2:18" x14ac:dyDescent="0.2">
      <c r="B80" s="803"/>
      <c r="C80" s="100" t="s">
        <v>199</v>
      </c>
      <c r="D80" s="784" t="s">
        <v>200</v>
      </c>
      <c r="E80" s="785"/>
      <c r="F80" s="786"/>
      <c r="G80" s="81"/>
      <c r="H80" s="104">
        <v>0</v>
      </c>
      <c r="I80" s="63"/>
      <c r="J80" s="172"/>
      <c r="K80" s="172"/>
      <c r="L80" s="172"/>
    </row>
    <row r="81" spans="2:12" x14ac:dyDescent="0.2">
      <c r="B81" s="803"/>
      <c r="C81" s="100" t="s">
        <v>201</v>
      </c>
      <c r="D81" s="784" t="s">
        <v>202</v>
      </c>
      <c r="E81" s="785"/>
      <c r="F81" s="786"/>
      <c r="G81" s="81"/>
      <c r="H81" s="104">
        <v>0</v>
      </c>
      <c r="I81" s="63"/>
    </row>
    <row r="82" spans="2:12" ht="13.5" thickBot="1" x14ac:dyDescent="0.25">
      <c r="B82" s="804"/>
      <c r="C82" s="100" t="s">
        <v>203</v>
      </c>
      <c r="D82" s="784" t="s">
        <v>204</v>
      </c>
      <c r="E82" s="785"/>
      <c r="F82" s="786"/>
      <c r="G82" s="102"/>
      <c r="H82" s="103">
        <f>+IF(+G82&lt;100000,+G82,10000)</f>
        <v>0</v>
      </c>
      <c r="I82" s="63"/>
      <c r="J82" s="106"/>
    </row>
    <row r="83" spans="2:12" ht="13.5" thickBot="1" x14ac:dyDescent="0.25">
      <c r="B83" s="787" t="s">
        <v>205</v>
      </c>
      <c r="C83" s="788"/>
      <c r="D83" s="788"/>
      <c r="E83" s="788"/>
      <c r="F83" s="788"/>
      <c r="G83" s="107">
        <f>SUM(G78:G82)</f>
        <v>3000</v>
      </c>
      <c r="H83" s="108">
        <f>SUM(H77:H82)</f>
        <v>153000</v>
      </c>
    </row>
    <row r="84" spans="2:12" ht="13.5" thickBot="1" x14ac:dyDescent="0.25"/>
    <row r="85" spans="2:12" ht="13.5" thickBot="1" x14ac:dyDescent="0.25">
      <c r="B85" s="789" t="s">
        <v>206</v>
      </c>
      <c r="C85" s="790"/>
      <c r="D85" s="790"/>
      <c r="E85" s="790"/>
      <c r="F85" s="791"/>
      <c r="G85" s="792">
        <f>+G64-H83</f>
        <v>315432</v>
      </c>
      <c r="H85" s="791"/>
      <c r="J85" s="109">
        <f>C37+D37+E37+F37</f>
        <v>162432</v>
      </c>
      <c r="K85" s="16" t="s">
        <v>235</v>
      </c>
    </row>
    <row r="86" spans="2:12" x14ac:dyDescent="0.2">
      <c r="B86" s="110"/>
      <c r="F86" s="105"/>
      <c r="J86" s="109">
        <f>G37+H37+I37</f>
        <v>128906</v>
      </c>
      <c r="K86" s="16" t="s">
        <v>236</v>
      </c>
    </row>
    <row r="87" spans="2:12" x14ac:dyDescent="0.2">
      <c r="C87" s="793" t="s">
        <v>207</v>
      </c>
      <c r="D87" s="794"/>
      <c r="E87" s="111" t="s">
        <v>208</v>
      </c>
      <c r="F87" s="111" t="s">
        <v>209</v>
      </c>
      <c r="G87" s="111" t="s">
        <v>210</v>
      </c>
      <c r="H87" s="111" t="s">
        <v>211</v>
      </c>
      <c r="J87" s="206">
        <f>J37+K37+L37</f>
        <v>135446</v>
      </c>
      <c r="K87" s="47" t="s">
        <v>237</v>
      </c>
    </row>
    <row r="88" spans="2:12" x14ac:dyDescent="0.2">
      <c r="C88" s="795" t="str">
        <f>IF(I6="M","0          - 250000","0          -  250000")</f>
        <v>0          - 250000</v>
      </c>
      <c r="D88" s="796"/>
      <c r="E88" s="112">
        <v>0</v>
      </c>
      <c r="F88" s="113">
        <f>IF(I6="M",(IF(G85&lt;250000,G85,250000)),(IF(G85&lt;250000,G85,250000)))</f>
        <v>250000</v>
      </c>
      <c r="G88" s="113">
        <f>G85-F88</f>
        <v>65432</v>
      </c>
      <c r="H88" s="113">
        <f>E88*F88</f>
        <v>0</v>
      </c>
      <c r="J88" s="207">
        <f>M37+N37</f>
        <v>84148</v>
      </c>
      <c r="K88" s="1" t="s">
        <v>238</v>
      </c>
    </row>
    <row r="89" spans="2:12" x14ac:dyDescent="0.2">
      <c r="C89" s="795" t="str">
        <f>IF(I6="M","200001 - 500000","200001-500000")</f>
        <v>200001 - 500000</v>
      </c>
      <c r="D89" s="796"/>
      <c r="E89" s="112">
        <v>0.05</v>
      </c>
      <c r="F89" s="113">
        <f>IF(I6="M",(IF(G88&lt;250000,G88,250000)),(IF(G88&lt;250000,G88,250000)))</f>
        <v>65432</v>
      </c>
      <c r="G89" s="113">
        <f>G88-F89</f>
        <v>0</v>
      </c>
      <c r="H89" s="114">
        <f>ROUND(E89*F89,0.1)</f>
        <v>3272</v>
      </c>
      <c r="J89" s="115">
        <f>SUM(J85:J88)</f>
        <v>510932</v>
      </c>
    </row>
    <row r="90" spans="2:12" x14ac:dyDescent="0.2">
      <c r="C90" s="797" t="s">
        <v>212</v>
      </c>
      <c r="D90" s="798"/>
      <c r="E90" s="112">
        <v>0.2</v>
      </c>
      <c r="F90" s="113">
        <f>IF(G89&lt;500000,G89,500000)</f>
        <v>0</v>
      </c>
      <c r="G90" s="113">
        <f>G89-F90</f>
        <v>0</v>
      </c>
      <c r="H90" s="114">
        <f>ROUND(E90*F90,0.1)</f>
        <v>0</v>
      </c>
      <c r="J90" s="16">
        <f>+G85</f>
        <v>315432</v>
      </c>
    </row>
    <row r="91" spans="2:12" x14ac:dyDescent="0.2">
      <c r="C91" s="795" t="s">
        <v>213</v>
      </c>
      <c r="D91" s="796"/>
      <c r="E91" s="112">
        <v>0.3</v>
      </c>
      <c r="F91" s="113">
        <f>G90</f>
        <v>0</v>
      </c>
      <c r="G91" s="113">
        <f>G90-F91</f>
        <v>0</v>
      </c>
      <c r="H91" s="114">
        <f>ROUND(E91*F91,0.1)</f>
        <v>0</v>
      </c>
      <c r="J91" s="16">
        <f>+J89-J90</f>
        <v>195500</v>
      </c>
    </row>
    <row r="92" spans="2:12" ht="12.75" customHeight="1" thickBot="1" x14ac:dyDescent="0.25">
      <c r="B92" s="116"/>
      <c r="C92" s="117"/>
      <c r="D92" s="47"/>
      <c r="E92" s="47"/>
      <c r="F92" s="47"/>
    </row>
    <row r="93" spans="2:12" ht="13.5" thickBot="1" x14ac:dyDescent="0.25">
      <c r="B93" s="799" t="s">
        <v>239</v>
      </c>
      <c r="C93" s="800"/>
      <c r="D93" s="800"/>
      <c r="E93" s="800"/>
      <c r="F93" s="801"/>
      <c r="G93" s="771">
        <f>H88+H89+H90+H91</f>
        <v>3272</v>
      </c>
      <c r="H93" s="772"/>
    </row>
    <row r="94" spans="2:12" ht="13.5" thickBot="1" x14ac:dyDescent="0.25">
      <c r="B94" s="119" t="s">
        <v>215</v>
      </c>
      <c r="C94" s="120"/>
      <c r="D94" s="120"/>
      <c r="E94" s="120"/>
      <c r="F94" s="120"/>
      <c r="G94" s="895">
        <f>IF(G85&lt;350000,2500,0)</f>
        <v>2500</v>
      </c>
      <c r="H94" s="896">
        <f>IF(H92&lt;200000,0,IF(H92&lt;220000,((H92-200000)*10%),IF(H92&lt;=500000,2000,IF(H92&gt;=500000,0))))</f>
        <v>0</v>
      </c>
      <c r="J94" s="1"/>
      <c r="K94" s="121"/>
      <c r="L94" s="121"/>
    </row>
    <row r="95" spans="2:12" ht="13.5" thickBot="1" x14ac:dyDescent="0.25">
      <c r="B95" s="122" t="s">
        <v>216</v>
      </c>
      <c r="C95" s="123"/>
      <c r="D95" s="123"/>
      <c r="E95" s="123"/>
      <c r="F95" s="123"/>
      <c r="G95" s="897">
        <f>IF((G93-G94)&lt;0,0,(G93-G94))</f>
        <v>772</v>
      </c>
      <c r="H95" s="898"/>
      <c r="I95" s="37"/>
    </row>
    <row r="96" spans="2:12" ht="13.5" thickBot="1" x14ac:dyDescent="0.25">
      <c r="B96" s="773" t="s">
        <v>240</v>
      </c>
      <c r="C96" s="774"/>
      <c r="D96" s="774"/>
      <c r="E96" s="774"/>
      <c r="F96" s="775"/>
      <c r="G96" s="899">
        <f>ROUND((IF(G95&gt;0,(G95*4%),0)),0)</f>
        <v>31</v>
      </c>
      <c r="H96" s="900"/>
      <c r="I96" s="37"/>
    </row>
    <row r="97" spans="2:9" ht="13.5" thickBot="1" x14ac:dyDescent="0.25">
      <c r="B97" s="778" t="s">
        <v>218</v>
      </c>
      <c r="C97" s="779"/>
      <c r="D97" s="779"/>
      <c r="E97" s="779"/>
      <c r="F97" s="779"/>
      <c r="G97" s="901">
        <f>G95+G96</f>
        <v>803</v>
      </c>
      <c r="H97" s="902"/>
      <c r="I97" s="121"/>
    </row>
    <row r="98" spans="2:9" ht="13.5" thickBot="1" x14ac:dyDescent="0.25">
      <c r="B98" s="765" t="s">
        <v>219</v>
      </c>
      <c r="C98" s="766"/>
      <c r="D98" s="766"/>
      <c r="E98" s="766"/>
      <c r="F98" s="766"/>
      <c r="G98" s="893">
        <f>O38</f>
        <v>810</v>
      </c>
      <c r="H98" s="894"/>
      <c r="I98" s="121"/>
    </row>
    <row r="99" spans="2:9" ht="13.5" thickBot="1" x14ac:dyDescent="0.25">
      <c r="B99" s="765" t="str">
        <f>IF(G99&gt;0,"TAX PAYABLE","TAX REFUND")</f>
        <v>TAX REFUND</v>
      </c>
      <c r="C99" s="766"/>
      <c r="D99" s="766"/>
      <c r="E99" s="766"/>
      <c r="F99" s="766"/>
      <c r="G99" s="893">
        <f>+G97-G98</f>
        <v>-7</v>
      </c>
      <c r="H99" s="894"/>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0:F90 B99:F99 B93:F97">
    <cfRule type="cellIs" dxfId="345" priority="3" stopIfTrue="1" operator="equal">
      <formula>"TAX PAYABLE"</formula>
    </cfRule>
    <cfRule type="cellIs" dxfId="344" priority="4" stopIfTrue="1" operator="equal">
      <formula>"TAX REFUND"</formula>
    </cfRule>
  </conditionalFormatting>
  <conditionalFormatting sqref="G90:H90">
    <cfRule type="cellIs" dxfId="343" priority="5" stopIfTrue="1" operator="lessThan">
      <formula>0</formula>
    </cfRule>
    <cfRule type="cellIs" dxfId="342" priority="6" stopIfTrue="1" operator="greaterThan">
      <formula>0</formula>
    </cfRule>
  </conditionalFormatting>
  <conditionalFormatting sqref="G99:H99">
    <cfRule type="cellIs" dxfId="341" priority="1" stopIfTrue="1" operator="greaterThan">
      <formula>0</formula>
    </cfRule>
    <cfRule type="cellIs" dxfId="340"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7"/>
  <sheetViews>
    <sheetView topLeftCell="A61" workbookViewId="0">
      <selection activeCell="Q56" sqref="Q56"/>
    </sheetView>
  </sheetViews>
  <sheetFormatPr defaultRowHeight="12.75" x14ac:dyDescent="0.2"/>
  <cols>
    <col min="1" max="1" width="5" style="16" customWidth="1"/>
    <col min="2" max="2" width="19" style="37" customWidth="1"/>
    <col min="3" max="3" width="9.42578125" style="16" customWidth="1"/>
    <col min="4" max="4" width="6.7109375" style="16" bestFit="1" customWidth="1"/>
    <col min="5" max="5" width="8.5703125" style="16" bestFit="1" customWidth="1"/>
    <col min="6" max="6" width="8.140625" style="16" customWidth="1"/>
    <col min="7" max="7" width="8.42578125" style="16" customWidth="1"/>
    <col min="8" max="8" width="8.85546875" style="16" customWidth="1"/>
    <col min="9" max="9" width="7.5703125" style="16" customWidth="1"/>
    <col min="10" max="10" width="7.85546875" style="16" customWidth="1"/>
    <col min="11" max="12" width="7.42578125" style="16" customWidth="1"/>
    <col min="13" max="13" width="7" style="16" customWidth="1"/>
    <col min="14" max="14" width="7" style="16" bestFit="1" customWidth="1"/>
    <col min="15" max="15" width="8.7109375" style="16" customWidth="1"/>
    <col min="16" max="16" width="11" style="16" customWidth="1"/>
    <col min="17" max="17" width="9.140625" style="16"/>
    <col min="18" max="18" width="12" style="16" bestFit="1" customWidth="1"/>
    <col min="19" max="20" width="9.140625" style="16"/>
    <col min="21" max="21" width="12.42578125" style="16" customWidth="1"/>
    <col min="22" max="22" width="9.140625" style="16"/>
    <col min="23" max="23" width="12" style="16" customWidth="1"/>
    <col min="24" max="256" width="9.140625" style="16"/>
    <col min="257" max="257" width="5" style="16" customWidth="1"/>
    <col min="258" max="258" width="19" style="16" customWidth="1"/>
    <col min="259" max="259" width="9.42578125" style="16" customWidth="1"/>
    <col min="260" max="260" width="6.7109375" style="16" bestFit="1" customWidth="1"/>
    <col min="261" max="261" width="8.5703125" style="16" bestFit="1" customWidth="1"/>
    <col min="262" max="262" width="8.140625" style="16" customWidth="1"/>
    <col min="263" max="263" width="8.42578125" style="16" customWidth="1"/>
    <col min="264" max="264" width="8.85546875" style="16" customWidth="1"/>
    <col min="265" max="265" width="7.5703125" style="16" customWidth="1"/>
    <col min="266" max="266" width="7.85546875" style="16" customWidth="1"/>
    <col min="267" max="268" width="7.42578125" style="16" customWidth="1"/>
    <col min="269" max="269" width="7" style="16" customWidth="1"/>
    <col min="270" max="270" width="7" style="16" bestFit="1" customWidth="1"/>
    <col min="271" max="271" width="8.7109375" style="16" customWidth="1"/>
    <col min="272" max="272" width="11" style="16" customWidth="1"/>
    <col min="273" max="273" width="9.140625" style="16"/>
    <col min="274" max="274" width="12" style="16" bestFit="1" customWidth="1"/>
    <col min="275" max="276" width="9.140625" style="16"/>
    <col min="277" max="277" width="12.42578125" style="16" customWidth="1"/>
    <col min="278" max="278" width="9.140625" style="16"/>
    <col min="279" max="279" width="12" style="16" customWidth="1"/>
    <col min="280" max="512" width="9.140625" style="16"/>
    <col min="513" max="513" width="5" style="16" customWidth="1"/>
    <col min="514" max="514" width="19" style="16" customWidth="1"/>
    <col min="515" max="515" width="9.42578125" style="16" customWidth="1"/>
    <col min="516" max="516" width="6.7109375" style="16" bestFit="1" customWidth="1"/>
    <col min="517" max="517" width="8.5703125" style="16" bestFit="1" customWidth="1"/>
    <col min="518" max="518" width="8.140625" style="16" customWidth="1"/>
    <col min="519" max="519" width="8.42578125" style="16" customWidth="1"/>
    <col min="520" max="520" width="8.85546875" style="16" customWidth="1"/>
    <col min="521" max="521" width="7.5703125" style="16" customWidth="1"/>
    <col min="522" max="522" width="7.85546875" style="16" customWidth="1"/>
    <col min="523" max="524" width="7.42578125" style="16" customWidth="1"/>
    <col min="525" max="525" width="7" style="16" customWidth="1"/>
    <col min="526" max="526" width="7" style="16" bestFit="1" customWidth="1"/>
    <col min="527" max="527" width="8.7109375" style="16" customWidth="1"/>
    <col min="528" max="528" width="11" style="16" customWidth="1"/>
    <col min="529" max="529" width="9.140625" style="16"/>
    <col min="530" max="530" width="12" style="16" bestFit="1" customWidth="1"/>
    <col min="531" max="532" width="9.140625" style="16"/>
    <col min="533" max="533" width="12.42578125" style="16" customWidth="1"/>
    <col min="534" max="534" width="9.140625" style="16"/>
    <col min="535" max="535" width="12" style="16" customWidth="1"/>
    <col min="536" max="768" width="9.140625" style="16"/>
    <col min="769" max="769" width="5" style="16" customWidth="1"/>
    <col min="770" max="770" width="19" style="16" customWidth="1"/>
    <col min="771" max="771" width="9.42578125" style="16" customWidth="1"/>
    <col min="772" max="772" width="6.7109375" style="16" bestFit="1" customWidth="1"/>
    <col min="773" max="773" width="8.5703125" style="16" bestFit="1" customWidth="1"/>
    <col min="774" max="774" width="8.140625" style="16" customWidth="1"/>
    <col min="775" max="775" width="8.42578125" style="16" customWidth="1"/>
    <col min="776" max="776" width="8.85546875" style="16" customWidth="1"/>
    <col min="777" max="777" width="7.5703125" style="16" customWidth="1"/>
    <col min="778" max="778" width="7.85546875" style="16" customWidth="1"/>
    <col min="779" max="780" width="7.42578125" style="16" customWidth="1"/>
    <col min="781" max="781" width="7" style="16" customWidth="1"/>
    <col min="782" max="782" width="7" style="16" bestFit="1" customWidth="1"/>
    <col min="783" max="783" width="8.7109375" style="16" customWidth="1"/>
    <col min="784" max="784" width="11" style="16" customWidth="1"/>
    <col min="785" max="785" width="9.140625" style="16"/>
    <col min="786" max="786" width="12" style="16" bestFit="1" customWidth="1"/>
    <col min="787" max="788" width="9.140625" style="16"/>
    <col min="789" max="789" width="12.42578125" style="16" customWidth="1"/>
    <col min="790" max="790" width="9.140625" style="16"/>
    <col min="791" max="791" width="12" style="16" customWidth="1"/>
    <col min="792" max="1024" width="9.140625" style="16"/>
    <col min="1025" max="1025" width="5" style="16" customWidth="1"/>
    <col min="1026" max="1026" width="19" style="16" customWidth="1"/>
    <col min="1027" max="1027" width="9.42578125" style="16" customWidth="1"/>
    <col min="1028" max="1028" width="6.7109375" style="16" bestFit="1" customWidth="1"/>
    <col min="1029" max="1029" width="8.5703125" style="16" bestFit="1" customWidth="1"/>
    <col min="1030" max="1030" width="8.140625" style="16" customWidth="1"/>
    <col min="1031" max="1031" width="8.42578125" style="16" customWidth="1"/>
    <col min="1032" max="1032" width="8.85546875" style="16" customWidth="1"/>
    <col min="1033" max="1033" width="7.5703125" style="16" customWidth="1"/>
    <col min="1034" max="1034" width="7.85546875" style="16" customWidth="1"/>
    <col min="1035" max="1036" width="7.42578125" style="16" customWidth="1"/>
    <col min="1037" max="1037" width="7" style="16" customWidth="1"/>
    <col min="1038" max="1038" width="7" style="16" bestFit="1" customWidth="1"/>
    <col min="1039" max="1039" width="8.7109375" style="16" customWidth="1"/>
    <col min="1040" max="1040" width="11" style="16" customWidth="1"/>
    <col min="1041" max="1041" width="9.140625" style="16"/>
    <col min="1042" max="1042" width="12" style="16" bestFit="1" customWidth="1"/>
    <col min="1043" max="1044" width="9.140625" style="16"/>
    <col min="1045" max="1045" width="12.42578125" style="16" customWidth="1"/>
    <col min="1046" max="1046" width="9.140625" style="16"/>
    <col min="1047" max="1047" width="12" style="16" customWidth="1"/>
    <col min="1048" max="1280" width="9.140625" style="16"/>
    <col min="1281" max="1281" width="5" style="16" customWidth="1"/>
    <col min="1282" max="1282" width="19" style="16" customWidth="1"/>
    <col min="1283" max="1283" width="9.42578125" style="16" customWidth="1"/>
    <col min="1284" max="1284" width="6.7109375" style="16" bestFit="1" customWidth="1"/>
    <col min="1285" max="1285" width="8.5703125" style="16" bestFit="1" customWidth="1"/>
    <col min="1286" max="1286" width="8.140625" style="16" customWidth="1"/>
    <col min="1287" max="1287" width="8.42578125" style="16" customWidth="1"/>
    <col min="1288" max="1288" width="8.85546875" style="16" customWidth="1"/>
    <col min="1289" max="1289" width="7.5703125" style="16" customWidth="1"/>
    <col min="1290" max="1290" width="7.85546875" style="16" customWidth="1"/>
    <col min="1291" max="1292" width="7.42578125" style="16" customWidth="1"/>
    <col min="1293" max="1293" width="7" style="16" customWidth="1"/>
    <col min="1294" max="1294" width="7" style="16" bestFit="1" customWidth="1"/>
    <col min="1295" max="1295" width="8.7109375" style="16" customWidth="1"/>
    <col min="1296" max="1296" width="11" style="16" customWidth="1"/>
    <col min="1297" max="1297" width="9.140625" style="16"/>
    <col min="1298" max="1298" width="12" style="16" bestFit="1" customWidth="1"/>
    <col min="1299" max="1300" width="9.140625" style="16"/>
    <col min="1301" max="1301" width="12.42578125" style="16" customWidth="1"/>
    <col min="1302" max="1302" width="9.140625" style="16"/>
    <col min="1303" max="1303" width="12" style="16" customWidth="1"/>
    <col min="1304" max="1536" width="9.140625" style="16"/>
    <col min="1537" max="1537" width="5" style="16" customWidth="1"/>
    <col min="1538" max="1538" width="19" style="16" customWidth="1"/>
    <col min="1539" max="1539" width="9.42578125" style="16" customWidth="1"/>
    <col min="1540" max="1540" width="6.7109375" style="16" bestFit="1" customWidth="1"/>
    <col min="1541" max="1541" width="8.5703125" style="16" bestFit="1" customWidth="1"/>
    <col min="1542" max="1542" width="8.140625" style="16" customWidth="1"/>
    <col min="1543" max="1543" width="8.42578125" style="16" customWidth="1"/>
    <col min="1544" max="1544" width="8.85546875" style="16" customWidth="1"/>
    <col min="1545" max="1545" width="7.5703125" style="16" customWidth="1"/>
    <col min="1546" max="1546" width="7.85546875" style="16" customWidth="1"/>
    <col min="1547" max="1548" width="7.42578125" style="16" customWidth="1"/>
    <col min="1549" max="1549" width="7" style="16" customWidth="1"/>
    <col min="1550" max="1550" width="7" style="16" bestFit="1" customWidth="1"/>
    <col min="1551" max="1551" width="8.7109375" style="16" customWidth="1"/>
    <col min="1552" max="1552" width="11" style="16" customWidth="1"/>
    <col min="1553" max="1553" width="9.140625" style="16"/>
    <col min="1554" max="1554" width="12" style="16" bestFit="1" customWidth="1"/>
    <col min="1555" max="1556" width="9.140625" style="16"/>
    <col min="1557" max="1557" width="12.42578125" style="16" customWidth="1"/>
    <col min="1558" max="1558" width="9.140625" style="16"/>
    <col min="1559" max="1559" width="12" style="16" customWidth="1"/>
    <col min="1560" max="1792" width="9.140625" style="16"/>
    <col min="1793" max="1793" width="5" style="16" customWidth="1"/>
    <col min="1794" max="1794" width="19" style="16" customWidth="1"/>
    <col min="1795" max="1795" width="9.42578125" style="16" customWidth="1"/>
    <col min="1796" max="1796" width="6.7109375" style="16" bestFit="1" customWidth="1"/>
    <col min="1797" max="1797" width="8.5703125" style="16" bestFit="1" customWidth="1"/>
    <col min="1798" max="1798" width="8.140625" style="16" customWidth="1"/>
    <col min="1799" max="1799" width="8.42578125" style="16" customWidth="1"/>
    <col min="1800" max="1800" width="8.85546875" style="16" customWidth="1"/>
    <col min="1801" max="1801" width="7.5703125" style="16" customWidth="1"/>
    <col min="1802" max="1802" width="7.85546875" style="16" customWidth="1"/>
    <col min="1803" max="1804" width="7.42578125" style="16" customWidth="1"/>
    <col min="1805" max="1805" width="7" style="16" customWidth="1"/>
    <col min="1806" max="1806" width="7" style="16" bestFit="1" customWidth="1"/>
    <col min="1807" max="1807" width="8.7109375" style="16" customWidth="1"/>
    <col min="1808" max="1808" width="11" style="16" customWidth="1"/>
    <col min="1809" max="1809" width="9.140625" style="16"/>
    <col min="1810" max="1810" width="12" style="16" bestFit="1" customWidth="1"/>
    <col min="1811" max="1812" width="9.140625" style="16"/>
    <col min="1813" max="1813" width="12.42578125" style="16" customWidth="1"/>
    <col min="1814" max="1814" width="9.140625" style="16"/>
    <col min="1815" max="1815" width="12" style="16" customWidth="1"/>
    <col min="1816" max="2048" width="9.140625" style="16"/>
    <col min="2049" max="2049" width="5" style="16" customWidth="1"/>
    <col min="2050" max="2050" width="19" style="16" customWidth="1"/>
    <col min="2051" max="2051" width="9.42578125" style="16" customWidth="1"/>
    <col min="2052" max="2052" width="6.7109375" style="16" bestFit="1" customWidth="1"/>
    <col min="2053" max="2053" width="8.5703125" style="16" bestFit="1" customWidth="1"/>
    <col min="2054" max="2054" width="8.140625" style="16" customWidth="1"/>
    <col min="2055" max="2055" width="8.42578125" style="16" customWidth="1"/>
    <col min="2056" max="2056" width="8.85546875" style="16" customWidth="1"/>
    <col min="2057" max="2057" width="7.5703125" style="16" customWidth="1"/>
    <col min="2058" max="2058" width="7.85546875" style="16" customWidth="1"/>
    <col min="2059" max="2060" width="7.42578125" style="16" customWidth="1"/>
    <col min="2061" max="2061" width="7" style="16" customWidth="1"/>
    <col min="2062" max="2062" width="7" style="16" bestFit="1" customWidth="1"/>
    <col min="2063" max="2063" width="8.7109375" style="16" customWidth="1"/>
    <col min="2064" max="2064" width="11" style="16" customWidth="1"/>
    <col min="2065" max="2065" width="9.140625" style="16"/>
    <col min="2066" max="2066" width="12" style="16" bestFit="1" customWidth="1"/>
    <col min="2067" max="2068" width="9.140625" style="16"/>
    <col min="2069" max="2069" width="12.42578125" style="16" customWidth="1"/>
    <col min="2070" max="2070" width="9.140625" style="16"/>
    <col min="2071" max="2071" width="12" style="16" customWidth="1"/>
    <col min="2072" max="2304" width="9.140625" style="16"/>
    <col min="2305" max="2305" width="5" style="16" customWidth="1"/>
    <col min="2306" max="2306" width="19" style="16" customWidth="1"/>
    <col min="2307" max="2307" width="9.42578125" style="16" customWidth="1"/>
    <col min="2308" max="2308" width="6.7109375" style="16" bestFit="1" customWidth="1"/>
    <col min="2309" max="2309" width="8.5703125" style="16" bestFit="1" customWidth="1"/>
    <col min="2310" max="2310" width="8.140625" style="16" customWidth="1"/>
    <col min="2311" max="2311" width="8.42578125" style="16" customWidth="1"/>
    <col min="2312" max="2312" width="8.85546875" style="16" customWidth="1"/>
    <col min="2313" max="2313" width="7.5703125" style="16" customWidth="1"/>
    <col min="2314" max="2314" width="7.85546875" style="16" customWidth="1"/>
    <col min="2315" max="2316" width="7.42578125" style="16" customWidth="1"/>
    <col min="2317" max="2317" width="7" style="16" customWidth="1"/>
    <col min="2318" max="2318" width="7" style="16" bestFit="1" customWidth="1"/>
    <col min="2319" max="2319" width="8.7109375" style="16" customWidth="1"/>
    <col min="2320" max="2320" width="11" style="16" customWidth="1"/>
    <col min="2321" max="2321" width="9.140625" style="16"/>
    <col min="2322" max="2322" width="12" style="16" bestFit="1" customWidth="1"/>
    <col min="2323" max="2324" width="9.140625" style="16"/>
    <col min="2325" max="2325" width="12.42578125" style="16" customWidth="1"/>
    <col min="2326" max="2326" width="9.140625" style="16"/>
    <col min="2327" max="2327" width="12" style="16" customWidth="1"/>
    <col min="2328" max="2560" width="9.140625" style="16"/>
    <col min="2561" max="2561" width="5" style="16" customWidth="1"/>
    <col min="2562" max="2562" width="19" style="16" customWidth="1"/>
    <col min="2563" max="2563" width="9.42578125" style="16" customWidth="1"/>
    <col min="2564" max="2564" width="6.7109375" style="16" bestFit="1" customWidth="1"/>
    <col min="2565" max="2565" width="8.5703125" style="16" bestFit="1" customWidth="1"/>
    <col min="2566" max="2566" width="8.140625" style="16" customWidth="1"/>
    <col min="2567" max="2567" width="8.42578125" style="16" customWidth="1"/>
    <col min="2568" max="2568" width="8.85546875" style="16" customWidth="1"/>
    <col min="2569" max="2569" width="7.5703125" style="16" customWidth="1"/>
    <col min="2570" max="2570" width="7.85546875" style="16" customWidth="1"/>
    <col min="2571" max="2572" width="7.42578125" style="16" customWidth="1"/>
    <col min="2573" max="2573" width="7" style="16" customWidth="1"/>
    <col min="2574" max="2574" width="7" style="16" bestFit="1" customWidth="1"/>
    <col min="2575" max="2575" width="8.7109375" style="16" customWidth="1"/>
    <col min="2576" max="2576" width="11" style="16" customWidth="1"/>
    <col min="2577" max="2577" width="9.140625" style="16"/>
    <col min="2578" max="2578" width="12" style="16" bestFit="1" customWidth="1"/>
    <col min="2579" max="2580" width="9.140625" style="16"/>
    <col min="2581" max="2581" width="12.42578125" style="16" customWidth="1"/>
    <col min="2582" max="2582" width="9.140625" style="16"/>
    <col min="2583" max="2583" width="12" style="16" customWidth="1"/>
    <col min="2584" max="2816" width="9.140625" style="16"/>
    <col min="2817" max="2817" width="5" style="16" customWidth="1"/>
    <col min="2818" max="2818" width="19" style="16" customWidth="1"/>
    <col min="2819" max="2819" width="9.42578125" style="16" customWidth="1"/>
    <col min="2820" max="2820" width="6.7109375" style="16" bestFit="1" customWidth="1"/>
    <col min="2821" max="2821" width="8.5703125" style="16" bestFit="1" customWidth="1"/>
    <col min="2822" max="2822" width="8.140625" style="16" customWidth="1"/>
    <col min="2823" max="2823" width="8.42578125" style="16" customWidth="1"/>
    <col min="2824" max="2824" width="8.85546875" style="16" customWidth="1"/>
    <col min="2825" max="2825" width="7.5703125" style="16" customWidth="1"/>
    <col min="2826" max="2826" width="7.85546875" style="16" customWidth="1"/>
    <col min="2827" max="2828" width="7.42578125" style="16" customWidth="1"/>
    <col min="2829" max="2829" width="7" style="16" customWidth="1"/>
    <col min="2830" max="2830" width="7" style="16" bestFit="1" customWidth="1"/>
    <col min="2831" max="2831" width="8.7109375" style="16" customWidth="1"/>
    <col min="2832" max="2832" width="11" style="16" customWidth="1"/>
    <col min="2833" max="2833" width="9.140625" style="16"/>
    <col min="2834" max="2834" width="12" style="16" bestFit="1" customWidth="1"/>
    <col min="2835" max="2836" width="9.140625" style="16"/>
    <col min="2837" max="2837" width="12.42578125" style="16" customWidth="1"/>
    <col min="2838" max="2838" width="9.140625" style="16"/>
    <col min="2839" max="2839" width="12" style="16" customWidth="1"/>
    <col min="2840" max="3072" width="9.140625" style="16"/>
    <col min="3073" max="3073" width="5" style="16" customWidth="1"/>
    <col min="3074" max="3074" width="19" style="16" customWidth="1"/>
    <col min="3075" max="3075" width="9.42578125" style="16" customWidth="1"/>
    <col min="3076" max="3076" width="6.7109375" style="16" bestFit="1" customWidth="1"/>
    <col min="3077" max="3077" width="8.5703125" style="16" bestFit="1" customWidth="1"/>
    <col min="3078" max="3078" width="8.140625" style="16" customWidth="1"/>
    <col min="3079" max="3079" width="8.42578125" style="16" customWidth="1"/>
    <col min="3080" max="3080" width="8.85546875" style="16" customWidth="1"/>
    <col min="3081" max="3081" width="7.5703125" style="16" customWidth="1"/>
    <col min="3082" max="3082" width="7.85546875" style="16" customWidth="1"/>
    <col min="3083" max="3084" width="7.42578125" style="16" customWidth="1"/>
    <col min="3085" max="3085" width="7" style="16" customWidth="1"/>
    <col min="3086" max="3086" width="7" style="16" bestFit="1" customWidth="1"/>
    <col min="3087" max="3087" width="8.7109375" style="16" customWidth="1"/>
    <col min="3088" max="3088" width="11" style="16" customWidth="1"/>
    <col min="3089" max="3089" width="9.140625" style="16"/>
    <col min="3090" max="3090" width="12" style="16" bestFit="1" customWidth="1"/>
    <col min="3091" max="3092" width="9.140625" style="16"/>
    <col min="3093" max="3093" width="12.42578125" style="16" customWidth="1"/>
    <col min="3094" max="3094" width="9.140625" style="16"/>
    <col min="3095" max="3095" width="12" style="16" customWidth="1"/>
    <col min="3096" max="3328" width="9.140625" style="16"/>
    <col min="3329" max="3329" width="5" style="16" customWidth="1"/>
    <col min="3330" max="3330" width="19" style="16" customWidth="1"/>
    <col min="3331" max="3331" width="9.42578125" style="16" customWidth="1"/>
    <col min="3332" max="3332" width="6.7109375" style="16" bestFit="1" customWidth="1"/>
    <col min="3333" max="3333" width="8.5703125" style="16" bestFit="1" customWidth="1"/>
    <col min="3334" max="3334" width="8.140625" style="16" customWidth="1"/>
    <col min="3335" max="3335" width="8.42578125" style="16" customWidth="1"/>
    <col min="3336" max="3336" width="8.85546875" style="16" customWidth="1"/>
    <col min="3337" max="3337" width="7.5703125" style="16" customWidth="1"/>
    <col min="3338" max="3338" width="7.85546875" style="16" customWidth="1"/>
    <col min="3339" max="3340" width="7.42578125" style="16" customWidth="1"/>
    <col min="3341" max="3341" width="7" style="16" customWidth="1"/>
    <col min="3342" max="3342" width="7" style="16" bestFit="1" customWidth="1"/>
    <col min="3343" max="3343" width="8.7109375" style="16" customWidth="1"/>
    <col min="3344" max="3344" width="11" style="16" customWidth="1"/>
    <col min="3345" max="3345" width="9.140625" style="16"/>
    <col min="3346" max="3346" width="12" style="16" bestFit="1" customWidth="1"/>
    <col min="3347" max="3348" width="9.140625" style="16"/>
    <col min="3349" max="3349" width="12.42578125" style="16" customWidth="1"/>
    <col min="3350" max="3350" width="9.140625" style="16"/>
    <col min="3351" max="3351" width="12" style="16" customWidth="1"/>
    <col min="3352" max="3584" width="9.140625" style="16"/>
    <col min="3585" max="3585" width="5" style="16" customWidth="1"/>
    <col min="3586" max="3586" width="19" style="16" customWidth="1"/>
    <col min="3587" max="3587" width="9.42578125" style="16" customWidth="1"/>
    <col min="3588" max="3588" width="6.7109375" style="16" bestFit="1" customWidth="1"/>
    <col min="3589" max="3589" width="8.5703125" style="16" bestFit="1" customWidth="1"/>
    <col min="3590" max="3590" width="8.140625" style="16" customWidth="1"/>
    <col min="3591" max="3591" width="8.42578125" style="16" customWidth="1"/>
    <col min="3592" max="3592" width="8.85546875" style="16" customWidth="1"/>
    <col min="3593" max="3593" width="7.5703125" style="16" customWidth="1"/>
    <col min="3594" max="3594" width="7.85546875" style="16" customWidth="1"/>
    <col min="3595" max="3596" width="7.42578125" style="16" customWidth="1"/>
    <col min="3597" max="3597" width="7" style="16" customWidth="1"/>
    <col min="3598" max="3598" width="7" style="16" bestFit="1" customWidth="1"/>
    <col min="3599" max="3599" width="8.7109375" style="16" customWidth="1"/>
    <col min="3600" max="3600" width="11" style="16" customWidth="1"/>
    <col min="3601" max="3601" width="9.140625" style="16"/>
    <col min="3602" max="3602" width="12" style="16" bestFit="1" customWidth="1"/>
    <col min="3603" max="3604" width="9.140625" style="16"/>
    <col min="3605" max="3605" width="12.42578125" style="16" customWidth="1"/>
    <col min="3606" max="3606" width="9.140625" style="16"/>
    <col min="3607" max="3607" width="12" style="16" customWidth="1"/>
    <col min="3608" max="3840" width="9.140625" style="16"/>
    <col min="3841" max="3841" width="5" style="16" customWidth="1"/>
    <col min="3842" max="3842" width="19" style="16" customWidth="1"/>
    <col min="3843" max="3843" width="9.42578125" style="16" customWidth="1"/>
    <col min="3844" max="3844" width="6.7109375" style="16" bestFit="1" customWidth="1"/>
    <col min="3845" max="3845" width="8.5703125" style="16" bestFit="1" customWidth="1"/>
    <col min="3846" max="3846" width="8.140625" style="16" customWidth="1"/>
    <col min="3847" max="3847" width="8.42578125" style="16" customWidth="1"/>
    <col min="3848" max="3848" width="8.85546875" style="16" customWidth="1"/>
    <col min="3849" max="3849" width="7.5703125" style="16" customWidth="1"/>
    <col min="3850" max="3850" width="7.85546875" style="16" customWidth="1"/>
    <col min="3851" max="3852" width="7.42578125" style="16" customWidth="1"/>
    <col min="3853" max="3853" width="7" style="16" customWidth="1"/>
    <col min="3854" max="3854" width="7" style="16" bestFit="1" customWidth="1"/>
    <col min="3855" max="3855" width="8.7109375" style="16" customWidth="1"/>
    <col min="3856" max="3856" width="11" style="16" customWidth="1"/>
    <col min="3857" max="3857" width="9.140625" style="16"/>
    <col min="3858" max="3858" width="12" style="16" bestFit="1" customWidth="1"/>
    <col min="3859" max="3860" width="9.140625" style="16"/>
    <col min="3861" max="3861" width="12.42578125" style="16" customWidth="1"/>
    <col min="3862" max="3862" width="9.140625" style="16"/>
    <col min="3863" max="3863" width="12" style="16" customWidth="1"/>
    <col min="3864" max="4096" width="9.140625" style="16"/>
    <col min="4097" max="4097" width="5" style="16" customWidth="1"/>
    <col min="4098" max="4098" width="19" style="16" customWidth="1"/>
    <col min="4099" max="4099" width="9.42578125" style="16" customWidth="1"/>
    <col min="4100" max="4100" width="6.7109375" style="16" bestFit="1" customWidth="1"/>
    <col min="4101" max="4101" width="8.5703125" style="16" bestFit="1" customWidth="1"/>
    <col min="4102" max="4102" width="8.140625" style="16" customWidth="1"/>
    <col min="4103" max="4103" width="8.42578125" style="16" customWidth="1"/>
    <col min="4104" max="4104" width="8.85546875" style="16" customWidth="1"/>
    <col min="4105" max="4105" width="7.5703125" style="16" customWidth="1"/>
    <col min="4106" max="4106" width="7.85546875" style="16" customWidth="1"/>
    <col min="4107" max="4108" width="7.42578125" style="16" customWidth="1"/>
    <col min="4109" max="4109" width="7" style="16" customWidth="1"/>
    <col min="4110" max="4110" width="7" style="16" bestFit="1" customWidth="1"/>
    <col min="4111" max="4111" width="8.7109375" style="16" customWidth="1"/>
    <col min="4112" max="4112" width="11" style="16" customWidth="1"/>
    <col min="4113" max="4113" width="9.140625" style="16"/>
    <col min="4114" max="4114" width="12" style="16" bestFit="1" customWidth="1"/>
    <col min="4115" max="4116" width="9.140625" style="16"/>
    <col min="4117" max="4117" width="12.42578125" style="16" customWidth="1"/>
    <col min="4118" max="4118" width="9.140625" style="16"/>
    <col min="4119" max="4119" width="12" style="16" customWidth="1"/>
    <col min="4120" max="4352" width="9.140625" style="16"/>
    <col min="4353" max="4353" width="5" style="16" customWidth="1"/>
    <col min="4354" max="4354" width="19" style="16" customWidth="1"/>
    <col min="4355" max="4355" width="9.42578125" style="16" customWidth="1"/>
    <col min="4356" max="4356" width="6.7109375" style="16" bestFit="1" customWidth="1"/>
    <col min="4357" max="4357" width="8.5703125" style="16" bestFit="1" customWidth="1"/>
    <col min="4358" max="4358" width="8.140625" style="16" customWidth="1"/>
    <col min="4359" max="4359" width="8.42578125" style="16" customWidth="1"/>
    <col min="4360" max="4360" width="8.85546875" style="16" customWidth="1"/>
    <col min="4361" max="4361" width="7.5703125" style="16" customWidth="1"/>
    <col min="4362" max="4362" width="7.85546875" style="16" customWidth="1"/>
    <col min="4363" max="4364" width="7.42578125" style="16" customWidth="1"/>
    <col min="4365" max="4365" width="7" style="16" customWidth="1"/>
    <col min="4366" max="4366" width="7" style="16" bestFit="1" customWidth="1"/>
    <col min="4367" max="4367" width="8.7109375" style="16" customWidth="1"/>
    <col min="4368" max="4368" width="11" style="16" customWidth="1"/>
    <col min="4369" max="4369" width="9.140625" style="16"/>
    <col min="4370" max="4370" width="12" style="16" bestFit="1" customWidth="1"/>
    <col min="4371" max="4372" width="9.140625" style="16"/>
    <col min="4373" max="4373" width="12.42578125" style="16" customWidth="1"/>
    <col min="4374" max="4374" width="9.140625" style="16"/>
    <col min="4375" max="4375" width="12" style="16" customWidth="1"/>
    <col min="4376" max="4608" width="9.140625" style="16"/>
    <col min="4609" max="4609" width="5" style="16" customWidth="1"/>
    <col min="4610" max="4610" width="19" style="16" customWidth="1"/>
    <col min="4611" max="4611" width="9.42578125" style="16" customWidth="1"/>
    <col min="4612" max="4612" width="6.7109375" style="16" bestFit="1" customWidth="1"/>
    <col min="4613" max="4613" width="8.5703125" style="16" bestFit="1" customWidth="1"/>
    <col min="4614" max="4614" width="8.140625" style="16" customWidth="1"/>
    <col min="4615" max="4615" width="8.42578125" style="16" customWidth="1"/>
    <col min="4616" max="4616" width="8.85546875" style="16" customWidth="1"/>
    <col min="4617" max="4617" width="7.5703125" style="16" customWidth="1"/>
    <col min="4618" max="4618" width="7.85546875" style="16" customWidth="1"/>
    <col min="4619" max="4620" width="7.42578125" style="16" customWidth="1"/>
    <col min="4621" max="4621" width="7" style="16" customWidth="1"/>
    <col min="4622" max="4622" width="7" style="16" bestFit="1" customWidth="1"/>
    <col min="4623" max="4623" width="8.7109375" style="16" customWidth="1"/>
    <col min="4624" max="4624" width="11" style="16" customWidth="1"/>
    <col min="4625" max="4625" width="9.140625" style="16"/>
    <col min="4626" max="4626" width="12" style="16" bestFit="1" customWidth="1"/>
    <col min="4627" max="4628" width="9.140625" style="16"/>
    <col min="4629" max="4629" width="12.42578125" style="16" customWidth="1"/>
    <col min="4630" max="4630" width="9.140625" style="16"/>
    <col min="4631" max="4631" width="12" style="16" customWidth="1"/>
    <col min="4632" max="4864" width="9.140625" style="16"/>
    <col min="4865" max="4865" width="5" style="16" customWidth="1"/>
    <col min="4866" max="4866" width="19" style="16" customWidth="1"/>
    <col min="4867" max="4867" width="9.42578125" style="16" customWidth="1"/>
    <col min="4868" max="4868" width="6.7109375" style="16" bestFit="1" customWidth="1"/>
    <col min="4869" max="4869" width="8.5703125" style="16" bestFit="1" customWidth="1"/>
    <col min="4870" max="4870" width="8.140625" style="16" customWidth="1"/>
    <col min="4871" max="4871" width="8.42578125" style="16" customWidth="1"/>
    <col min="4872" max="4872" width="8.85546875" style="16" customWidth="1"/>
    <col min="4873" max="4873" width="7.5703125" style="16" customWidth="1"/>
    <col min="4874" max="4874" width="7.85546875" style="16" customWidth="1"/>
    <col min="4875" max="4876" width="7.42578125" style="16" customWidth="1"/>
    <col min="4877" max="4877" width="7" style="16" customWidth="1"/>
    <col min="4878" max="4878" width="7" style="16" bestFit="1" customWidth="1"/>
    <col min="4879" max="4879" width="8.7109375" style="16" customWidth="1"/>
    <col min="4880" max="4880" width="11" style="16" customWidth="1"/>
    <col min="4881" max="4881" width="9.140625" style="16"/>
    <col min="4882" max="4882" width="12" style="16" bestFit="1" customWidth="1"/>
    <col min="4883" max="4884" width="9.140625" style="16"/>
    <col min="4885" max="4885" width="12.42578125" style="16" customWidth="1"/>
    <col min="4886" max="4886" width="9.140625" style="16"/>
    <col min="4887" max="4887" width="12" style="16" customWidth="1"/>
    <col min="4888" max="5120" width="9.140625" style="16"/>
    <col min="5121" max="5121" width="5" style="16" customWidth="1"/>
    <col min="5122" max="5122" width="19" style="16" customWidth="1"/>
    <col min="5123" max="5123" width="9.42578125" style="16" customWidth="1"/>
    <col min="5124" max="5124" width="6.7109375" style="16" bestFit="1" customWidth="1"/>
    <col min="5125" max="5125" width="8.5703125" style="16" bestFit="1" customWidth="1"/>
    <col min="5126" max="5126" width="8.140625" style="16" customWidth="1"/>
    <col min="5127" max="5127" width="8.42578125" style="16" customWidth="1"/>
    <col min="5128" max="5128" width="8.85546875" style="16" customWidth="1"/>
    <col min="5129" max="5129" width="7.5703125" style="16" customWidth="1"/>
    <col min="5130" max="5130" width="7.85546875" style="16" customWidth="1"/>
    <col min="5131" max="5132" width="7.42578125" style="16" customWidth="1"/>
    <col min="5133" max="5133" width="7" style="16" customWidth="1"/>
    <col min="5134" max="5134" width="7" style="16" bestFit="1" customWidth="1"/>
    <col min="5135" max="5135" width="8.7109375" style="16" customWidth="1"/>
    <col min="5136" max="5136" width="11" style="16" customWidth="1"/>
    <col min="5137" max="5137" width="9.140625" style="16"/>
    <col min="5138" max="5138" width="12" style="16" bestFit="1" customWidth="1"/>
    <col min="5139" max="5140" width="9.140625" style="16"/>
    <col min="5141" max="5141" width="12.42578125" style="16" customWidth="1"/>
    <col min="5142" max="5142" width="9.140625" style="16"/>
    <col min="5143" max="5143" width="12" style="16" customWidth="1"/>
    <col min="5144" max="5376" width="9.140625" style="16"/>
    <col min="5377" max="5377" width="5" style="16" customWidth="1"/>
    <col min="5378" max="5378" width="19" style="16" customWidth="1"/>
    <col min="5379" max="5379" width="9.42578125" style="16" customWidth="1"/>
    <col min="5380" max="5380" width="6.7109375" style="16" bestFit="1" customWidth="1"/>
    <col min="5381" max="5381" width="8.5703125" style="16" bestFit="1" customWidth="1"/>
    <col min="5382" max="5382" width="8.140625" style="16" customWidth="1"/>
    <col min="5383" max="5383" width="8.42578125" style="16" customWidth="1"/>
    <col min="5384" max="5384" width="8.85546875" style="16" customWidth="1"/>
    <col min="5385" max="5385" width="7.5703125" style="16" customWidth="1"/>
    <col min="5386" max="5386" width="7.85546875" style="16" customWidth="1"/>
    <col min="5387" max="5388" width="7.42578125" style="16" customWidth="1"/>
    <col min="5389" max="5389" width="7" style="16" customWidth="1"/>
    <col min="5390" max="5390" width="7" style="16" bestFit="1" customWidth="1"/>
    <col min="5391" max="5391" width="8.7109375" style="16" customWidth="1"/>
    <col min="5392" max="5392" width="11" style="16" customWidth="1"/>
    <col min="5393" max="5393" width="9.140625" style="16"/>
    <col min="5394" max="5394" width="12" style="16" bestFit="1" customWidth="1"/>
    <col min="5395" max="5396" width="9.140625" style="16"/>
    <col min="5397" max="5397" width="12.42578125" style="16" customWidth="1"/>
    <col min="5398" max="5398" width="9.140625" style="16"/>
    <col min="5399" max="5399" width="12" style="16" customWidth="1"/>
    <col min="5400" max="5632" width="9.140625" style="16"/>
    <col min="5633" max="5633" width="5" style="16" customWidth="1"/>
    <col min="5634" max="5634" width="19" style="16" customWidth="1"/>
    <col min="5635" max="5635" width="9.42578125" style="16" customWidth="1"/>
    <col min="5636" max="5636" width="6.7109375" style="16" bestFit="1" customWidth="1"/>
    <col min="5637" max="5637" width="8.5703125" style="16" bestFit="1" customWidth="1"/>
    <col min="5638" max="5638" width="8.140625" style="16" customWidth="1"/>
    <col min="5639" max="5639" width="8.42578125" style="16" customWidth="1"/>
    <col min="5640" max="5640" width="8.85546875" style="16" customWidth="1"/>
    <col min="5641" max="5641" width="7.5703125" style="16" customWidth="1"/>
    <col min="5642" max="5642" width="7.85546875" style="16" customWidth="1"/>
    <col min="5643" max="5644" width="7.42578125" style="16" customWidth="1"/>
    <col min="5645" max="5645" width="7" style="16" customWidth="1"/>
    <col min="5646" max="5646" width="7" style="16" bestFit="1" customWidth="1"/>
    <col min="5647" max="5647" width="8.7109375" style="16" customWidth="1"/>
    <col min="5648" max="5648" width="11" style="16" customWidth="1"/>
    <col min="5649" max="5649" width="9.140625" style="16"/>
    <col min="5650" max="5650" width="12" style="16" bestFit="1" customWidth="1"/>
    <col min="5651" max="5652" width="9.140625" style="16"/>
    <col min="5653" max="5653" width="12.42578125" style="16" customWidth="1"/>
    <col min="5654" max="5654" width="9.140625" style="16"/>
    <col min="5655" max="5655" width="12" style="16" customWidth="1"/>
    <col min="5656" max="5888" width="9.140625" style="16"/>
    <col min="5889" max="5889" width="5" style="16" customWidth="1"/>
    <col min="5890" max="5890" width="19" style="16" customWidth="1"/>
    <col min="5891" max="5891" width="9.42578125" style="16" customWidth="1"/>
    <col min="5892" max="5892" width="6.7109375" style="16" bestFit="1" customWidth="1"/>
    <col min="5893" max="5893" width="8.5703125" style="16" bestFit="1" customWidth="1"/>
    <col min="5894" max="5894" width="8.140625" style="16" customWidth="1"/>
    <col min="5895" max="5895" width="8.42578125" style="16" customWidth="1"/>
    <col min="5896" max="5896" width="8.85546875" style="16" customWidth="1"/>
    <col min="5897" max="5897" width="7.5703125" style="16" customWidth="1"/>
    <col min="5898" max="5898" width="7.85546875" style="16" customWidth="1"/>
    <col min="5899" max="5900" width="7.42578125" style="16" customWidth="1"/>
    <col min="5901" max="5901" width="7" style="16" customWidth="1"/>
    <col min="5902" max="5902" width="7" style="16" bestFit="1" customWidth="1"/>
    <col min="5903" max="5903" width="8.7109375" style="16" customWidth="1"/>
    <col min="5904" max="5904" width="11" style="16" customWidth="1"/>
    <col min="5905" max="5905" width="9.140625" style="16"/>
    <col min="5906" max="5906" width="12" style="16" bestFit="1" customWidth="1"/>
    <col min="5907" max="5908" width="9.140625" style="16"/>
    <col min="5909" max="5909" width="12.42578125" style="16" customWidth="1"/>
    <col min="5910" max="5910" width="9.140625" style="16"/>
    <col min="5911" max="5911" width="12" style="16" customWidth="1"/>
    <col min="5912" max="6144" width="9.140625" style="16"/>
    <col min="6145" max="6145" width="5" style="16" customWidth="1"/>
    <col min="6146" max="6146" width="19" style="16" customWidth="1"/>
    <col min="6147" max="6147" width="9.42578125" style="16" customWidth="1"/>
    <col min="6148" max="6148" width="6.7109375" style="16" bestFit="1" customWidth="1"/>
    <col min="6149" max="6149" width="8.5703125" style="16" bestFit="1" customWidth="1"/>
    <col min="6150" max="6150" width="8.140625" style="16" customWidth="1"/>
    <col min="6151" max="6151" width="8.42578125" style="16" customWidth="1"/>
    <col min="6152" max="6152" width="8.85546875" style="16" customWidth="1"/>
    <col min="6153" max="6153" width="7.5703125" style="16" customWidth="1"/>
    <col min="6154" max="6154" width="7.85546875" style="16" customWidth="1"/>
    <col min="6155" max="6156" width="7.42578125" style="16" customWidth="1"/>
    <col min="6157" max="6157" width="7" style="16" customWidth="1"/>
    <col min="6158" max="6158" width="7" style="16" bestFit="1" customWidth="1"/>
    <col min="6159" max="6159" width="8.7109375" style="16" customWidth="1"/>
    <col min="6160" max="6160" width="11" style="16" customWidth="1"/>
    <col min="6161" max="6161" width="9.140625" style="16"/>
    <col min="6162" max="6162" width="12" style="16" bestFit="1" customWidth="1"/>
    <col min="6163" max="6164" width="9.140625" style="16"/>
    <col min="6165" max="6165" width="12.42578125" style="16" customWidth="1"/>
    <col min="6166" max="6166" width="9.140625" style="16"/>
    <col min="6167" max="6167" width="12" style="16" customWidth="1"/>
    <col min="6168" max="6400" width="9.140625" style="16"/>
    <col min="6401" max="6401" width="5" style="16" customWidth="1"/>
    <col min="6402" max="6402" width="19" style="16" customWidth="1"/>
    <col min="6403" max="6403" width="9.42578125" style="16" customWidth="1"/>
    <col min="6404" max="6404" width="6.7109375" style="16" bestFit="1" customWidth="1"/>
    <col min="6405" max="6405" width="8.5703125" style="16" bestFit="1" customWidth="1"/>
    <col min="6406" max="6406" width="8.140625" style="16" customWidth="1"/>
    <col min="6407" max="6407" width="8.42578125" style="16" customWidth="1"/>
    <col min="6408" max="6408" width="8.85546875" style="16" customWidth="1"/>
    <col min="6409" max="6409" width="7.5703125" style="16" customWidth="1"/>
    <col min="6410" max="6410" width="7.85546875" style="16" customWidth="1"/>
    <col min="6411" max="6412" width="7.42578125" style="16" customWidth="1"/>
    <col min="6413" max="6413" width="7" style="16" customWidth="1"/>
    <col min="6414" max="6414" width="7" style="16" bestFit="1" customWidth="1"/>
    <col min="6415" max="6415" width="8.7109375" style="16" customWidth="1"/>
    <col min="6416" max="6416" width="11" style="16" customWidth="1"/>
    <col min="6417" max="6417" width="9.140625" style="16"/>
    <col min="6418" max="6418" width="12" style="16" bestFit="1" customWidth="1"/>
    <col min="6419" max="6420" width="9.140625" style="16"/>
    <col min="6421" max="6421" width="12.42578125" style="16" customWidth="1"/>
    <col min="6422" max="6422" width="9.140625" style="16"/>
    <col min="6423" max="6423" width="12" style="16" customWidth="1"/>
    <col min="6424" max="6656" width="9.140625" style="16"/>
    <col min="6657" max="6657" width="5" style="16" customWidth="1"/>
    <col min="6658" max="6658" width="19" style="16" customWidth="1"/>
    <col min="6659" max="6659" width="9.42578125" style="16" customWidth="1"/>
    <col min="6660" max="6660" width="6.7109375" style="16" bestFit="1" customWidth="1"/>
    <col min="6661" max="6661" width="8.5703125" style="16" bestFit="1" customWidth="1"/>
    <col min="6662" max="6662" width="8.140625" style="16" customWidth="1"/>
    <col min="6663" max="6663" width="8.42578125" style="16" customWidth="1"/>
    <col min="6664" max="6664" width="8.85546875" style="16" customWidth="1"/>
    <col min="6665" max="6665" width="7.5703125" style="16" customWidth="1"/>
    <col min="6666" max="6666" width="7.85546875" style="16" customWidth="1"/>
    <col min="6667" max="6668" width="7.42578125" style="16" customWidth="1"/>
    <col min="6669" max="6669" width="7" style="16" customWidth="1"/>
    <col min="6670" max="6670" width="7" style="16" bestFit="1" customWidth="1"/>
    <col min="6671" max="6671" width="8.7109375" style="16" customWidth="1"/>
    <col min="6672" max="6672" width="11" style="16" customWidth="1"/>
    <col min="6673" max="6673" width="9.140625" style="16"/>
    <col min="6674" max="6674" width="12" style="16" bestFit="1" customWidth="1"/>
    <col min="6675" max="6676" width="9.140625" style="16"/>
    <col min="6677" max="6677" width="12.42578125" style="16" customWidth="1"/>
    <col min="6678" max="6678" width="9.140625" style="16"/>
    <col min="6679" max="6679" width="12" style="16" customWidth="1"/>
    <col min="6680" max="6912" width="9.140625" style="16"/>
    <col min="6913" max="6913" width="5" style="16" customWidth="1"/>
    <col min="6914" max="6914" width="19" style="16" customWidth="1"/>
    <col min="6915" max="6915" width="9.42578125" style="16" customWidth="1"/>
    <col min="6916" max="6916" width="6.7109375" style="16" bestFit="1" customWidth="1"/>
    <col min="6917" max="6917" width="8.5703125" style="16" bestFit="1" customWidth="1"/>
    <col min="6918" max="6918" width="8.140625" style="16" customWidth="1"/>
    <col min="6919" max="6919" width="8.42578125" style="16" customWidth="1"/>
    <col min="6920" max="6920" width="8.85546875" style="16" customWidth="1"/>
    <col min="6921" max="6921" width="7.5703125" style="16" customWidth="1"/>
    <col min="6922" max="6922" width="7.85546875" style="16" customWidth="1"/>
    <col min="6923" max="6924" width="7.42578125" style="16" customWidth="1"/>
    <col min="6925" max="6925" width="7" style="16" customWidth="1"/>
    <col min="6926" max="6926" width="7" style="16" bestFit="1" customWidth="1"/>
    <col min="6927" max="6927" width="8.7109375" style="16" customWidth="1"/>
    <col min="6928" max="6928" width="11" style="16" customWidth="1"/>
    <col min="6929" max="6929" width="9.140625" style="16"/>
    <col min="6930" max="6930" width="12" style="16" bestFit="1" customWidth="1"/>
    <col min="6931" max="6932" width="9.140625" style="16"/>
    <col min="6933" max="6933" width="12.42578125" style="16" customWidth="1"/>
    <col min="6934" max="6934" width="9.140625" style="16"/>
    <col min="6935" max="6935" width="12" style="16" customWidth="1"/>
    <col min="6936" max="7168" width="9.140625" style="16"/>
    <col min="7169" max="7169" width="5" style="16" customWidth="1"/>
    <col min="7170" max="7170" width="19" style="16" customWidth="1"/>
    <col min="7171" max="7171" width="9.42578125" style="16" customWidth="1"/>
    <col min="7172" max="7172" width="6.7109375" style="16" bestFit="1" customWidth="1"/>
    <col min="7173" max="7173" width="8.5703125" style="16" bestFit="1" customWidth="1"/>
    <col min="7174" max="7174" width="8.140625" style="16" customWidth="1"/>
    <col min="7175" max="7175" width="8.42578125" style="16" customWidth="1"/>
    <col min="7176" max="7176" width="8.85546875" style="16" customWidth="1"/>
    <col min="7177" max="7177" width="7.5703125" style="16" customWidth="1"/>
    <col min="7178" max="7178" width="7.85546875" style="16" customWidth="1"/>
    <col min="7179" max="7180" width="7.42578125" style="16" customWidth="1"/>
    <col min="7181" max="7181" width="7" style="16" customWidth="1"/>
    <col min="7182" max="7182" width="7" style="16" bestFit="1" customWidth="1"/>
    <col min="7183" max="7183" width="8.7109375" style="16" customWidth="1"/>
    <col min="7184" max="7184" width="11" style="16" customWidth="1"/>
    <col min="7185" max="7185" width="9.140625" style="16"/>
    <col min="7186" max="7186" width="12" style="16" bestFit="1" customWidth="1"/>
    <col min="7187" max="7188" width="9.140625" style="16"/>
    <col min="7189" max="7189" width="12.42578125" style="16" customWidth="1"/>
    <col min="7190" max="7190" width="9.140625" style="16"/>
    <col min="7191" max="7191" width="12" style="16" customWidth="1"/>
    <col min="7192" max="7424" width="9.140625" style="16"/>
    <col min="7425" max="7425" width="5" style="16" customWidth="1"/>
    <col min="7426" max="7426" width="19" style="16" customWidth="1"/>
    <col min="7427" max="7427" width="9.42578125" style="16" customWidth="1"/>
    <col min="7428" max="7428" width="6.7109375" style="16" bestFit="1" customWidth="1"/>
    <col min="7429" max="7429" width="8.5703125" style="16" bestFit="1" customWidth="1"/>
    <col min="7430" max="7430" width="8.140625" style="16" customWidth="1"/>
    <col min="7431" max="7431" width="8.42578125" style="16" customWidth="1"/>
    <col min="7432" max="7432" width="8.85546875" style="16" customWidth="1"/>
    <col min="7433" max="7433" width="7.5703125" style="16" customWidth="1"/>
    <col min="7434" max="7434" width="7.85546875" style="16" customWidth="1"/>
    <col min="7435" max="7436" width="7.42578125" style="16" customWidth="1"/>
    <col min="7437" max="7437" width="7" style="16" customWidth="1"/>
    <col min="7438" max="7438" width="7" style="16" bestFit="1" customWidth="1"/>
    <col min="7439" max="7439" width="8.7109375" style="16" customWidth="1"/>
    <col min="7440" max="7440" width="11" style="16" customWidth="1"/>
    <col min="7441" max="7441" width="9.140625" style="16"/>
    <col min="7442" max="7442" width="12" style="16" bestFit="1" customWidth="1"/>
    <col min="7443" max="7444" width="9.140625" style="16"/>
    <col min="7445" max="7445" width="12.42578125" style="16" customWidth="1"/>
    <col min="7446" max="7446" width="9.140625" style="16"/>
    <col min="7447" max="7447" width="12" style="16" customWidth="1"/>
    <col min="7448" max="7680" width="9.140625" style="16"/>
    <col min="7681" max="7681" width="5" style="16" customWidth="1"/>
    <col min="7682" max="7682" width="19" style="16" customWidth="1"/>
    <col min="7683" max="7683" width="9.42578125" style="16" customWidth="1"/>
    <col min="7684" max="7684" width="6.7109375" style="16" bestFit="1" customWidth="1"/>
    <col min="7685" max="7685" width="8.5703125" style="16" bestFit="1" customWidth="1"/>
    <col min="7686" max="7686" width="8.140625" style="16" customWidth="1"/>
    <col min="7687" max="7687" width="8.42578125" style="16" customWidth="1"/>
    <col min="7688" max="7688" width="8.85546875" style="16" customWidth="1"/>
    <col min="7689" max="7689" width="7.5703125" style="16" customWidth="1"/>
    <col min="7690" max="7690" width="7.85546875" style="16" customWidth="1"/>
    <col min="7691" max="7692" width="7.42578125" style="16" customWidth="1"/>
    <col min="7693" max="7693" width="7" style="16" customWidth="1"/>
    <col min="7694" max="7694" width="7" style="16" bestFit="1" customWidth="1"/>
    <col min="7695" max="7695" width="8.7109375" style="16" customWidth="1"/>
    <col min="7696" max="7696" width="11" style="16" customWidth="1"/>
    <col min="7697" max="7697" width="9.140625" style="16"/>
    <col min="7698" max="7698" width="12" style="16" bestFit="1" customWidth="1"/>
    <col min="7699" max="7700" width="9.140625" style="16"/>
    <col min="7701" max="7701" width="12.42578125" style="16" customWidth="1"/>
    <col min="7702" max="7702" width="9.140625" style="16"/>
    <col min="7703" max="7703" width="12" style="16" customWidth="1"/>
    <col min="7704" max="7936" width="9.140625" style="16"/>
    <col min="7937" max="7937" width="5" style="16" customWidth="1"/>
    <col min="7938" max="7938" width="19" style="16" customWidth="1"/>
    <col min="7939" max="7939" width="9.42578125" style="16" customWidth="1"/>
    <col min="7940" max="7940" width="6.7109375" style="16" bestFit="1" customWidth="1"/>
    <col min="7941" max="7941" width="8.5703125" style="16" bestFit="1" customWidth="1"/>
    <col min="7942" max="7942" width="8.140625" style="16" customWidth="1"/>
    <col min="7943" max="7943" width="8.42578125" style="16" customWidth="1"/>
    <col min="7944" max="7944" width="8.85546875" style="16" customWidth="1"/>
    <col min="7945" max="7945" width="7.5703125" style="16" customWidth="1"/>
    <col min="7946" max="7946" width="7.85546875" style="16" customWidth="1"/>
    <col min="7947" max="7948" width="7.42578125" style="16" customWidth="1"/>
    <col min="7949" max="7949" width="7" style="16" customWidth="1"/>
    <col min="7950" max="7950" width="7" style="16" bestFit="1" customWidth="1"/>
    <col min="7951" max="7951" width="8.7109375" style="16" customWidth="1"/>
    <col min="7952" max="7952" width="11" style="16" customWidth="1"/>
    <col min="7953" max="7953" width="9.140625" style="16"/>
    <col min="7954" max="7954" width="12" style="16" bestFit="1" customWidth="1"/>
    <col min="7955" max="7956" width="9.140625" style="16"/>
    <col min="7957" max="7957" width="12.42578125" style="16" customWidth="1"/>
    <col min="7958" max="7958" width="9.140625" style="16"/>
    <col min="7959" max="7959" width="12" style="16" customWidth="1"/>
    <col min="7960" max="8192" width="9.140625" style="16"/>
    <col min="8193" max="8193" width="5" style="16" customWidth="1"/>
    <col min="8194" max="8194" width="19" style="16" customWidth="1"/>
    <col min="8195" max="8195" width="9.42578125" style="16" customWidth="1"/>
    <col min="8196" max="8196" width="6.7109375" style="16" bestFit="1" customWidth="1"/>
    <col min="8197" max="8197" width="8.5703125" style="16" bestFit="1" customWidth="1"/>
    <col min="8198" max="8198" width="8.140625" style="16" customWidth="1"/>
    <col min="8199" max="8199" width="8.42578125" style="16" customWidth="1"/>
    <col min="8200" max="8200" width="8.85546875" style="16" customWidth="1"/>
    <col min="8201" max="8201" width="7.5703125" style="16" customWidth="1"/>
    <col min="8202" max="8202" width="7.85546875" style="16" customWidth="1"/>
    <col min="8203" max="8204" width="7.42578125" style="16" customWidth="1"/>
    <col min="8205" max="8205" width="7" style="16" customWidth="1"/>
    <col min="8206" max="8206" width="7" style="16" bestFit="1" customWidth="1"/>
    <col min="8207" max="8207" width="8.7109375" style="16" customWidth="1"/>
    <col min="8208" max="8208" width="11" style="16" customWidth="1"/>
    <col min="8209" max="8209" width="9.140625" style="16"/>
    <col min="8210" max="8210" width="12" style="16" bestFit="1" customWidth="1"/>
    <col min="8211" max="8212" width="9.140625" style="16"/>
    <col min="8213" max="8213" width="12.42578125" style="16" customWidth="1"/>
    <col min="8214" max="8214" width="9.140625" style="16"/>
    <col min="8215" max="8215" width="12" style="16" customWidth="1"/>
    <col min="8216" max="8448" width="9.140625" style="16"/>
    <col min="8449" max="8449" width="5" style="16" customWidth="1"/>
    <col min="8450" max="8450" width="19" style="16" customWidth="1"/>
    <col min="8451" max="8451" width="9.42578125" style="16" customWidth="1"/>
    <col min="8452" max="8452" width="6.7109375" style="16" bestFit="1" customWidth="1"/>
    <col min="8453" max="8453" width="8.5703125" style="16" bestFit="1" customWidth="1"/>
    <col min="8454" max="8454" width="8.140625" style="16" customWidth="1"/>
    <col min="8455" max="8455" width="8.42578125" style="16" customWidth="1"/>
    <col min="8456" max="8456" width="8.85546875" style="16" customWidth="1"/>
    <col min="8457" max="8457" width="7.5703125" style="16" customWidth="1"/>
    <col min="8458" max="8458" width="7.85546875" style="16" customWidth="1"/>
    <col min="8459" max="8460" width="7.42578125" style="16" customWidth="1"/>
    <col min="8461" max="8461" width="7" style="16" customWidth="1"/>
    <col min="8462" max="8462" width="7" style="16" bestFit="1" customWidth="1"/>
    <col min="8463" max="8463" width="8.7109375" style="16" customWidth="1"/>
    <col min="8464" max="8464" width="11" style="16" customWidth="1"/>
    <col min="8465" max="8465" width="9.140625" style="16"/>
    <col min="8466" max="8466" width="12" style="16" bestFit="1" customWidth="1"/>
    <col min="8467" max="8468" width="9.140625" style="16"/>
    <col min="8469" max="8469" width="12.42578125" style="16" customWidth="1"/>
    <col min="8470" max="8470" width="9.140625" style="16"/>
    <col min="8471" max="8471" width="12" style="16" customWidth="1"/>
    <col min="8472" max="8704" width="9.140625" style="16"/>
    <col min="8705" max="8705" width="5" style="16" customWidth="1"/>
    <col min="8706" max="8706" width="19" style="16" customWidth="1"/>
    <col min="8707" max="8707" width="9.42578125" style="16" customWidth="1"/>
    <col min="8708" max="8708" width="6.7109375" style="16" bestFit="1" customWidth="1"/>
    <col min="8709" max="8709" width="8.5703125" style="16" bestFit="1" customWidth="1"/>
    <col min="8710" max="8710" width="8.140625" style="16" customWidth="1"/>
    <col min="8711" max="8711" width="8.42578125" style="16" customWidth="1"/>
    <col min="8712" max="8712" width="8.85546875" style="16" customWidth="1"/>
    <col min="8713" max="8713" width="7.5703125" style="16" customWidth="1"/>
    <col min="8714" max="8714" width="7.85546875" style="16" customWidth="1"/>
    <col min="8715" max="8716" width="7.42578125" style="16" customWidth="1"/>
    <col min="8717" max="8717" width="7" style="16" customWidth="1"/>
    <col min="8718" max="8718" width="7" style="16" bestFit="1" customWidth="1"/>
    <col min="8719" max="8719" width="8.7109375" style="16" customWidth="1"/>
    <col min="8720" max="8720" width="11" style="16" customWidth="1"/>
    <col min="8721" max="8721" width="9.140625" style="16"/>
    <col min="8722" max="8722" width="12" style="16" bestFit="1" customWidth="1"/>
    <col min="8723" max="8724" width="9.140625" style="16"/>
    <col min="8725" max="8725" width="12.42578125" style="16" customWidth="1"/>
    <col min="8726" max="8726" width="9.140625" style="16"/>
    <col min="8727" max="8727" width="12" style="16" customWidth="1"/>
    <col min="8728" max="8960" width="9.140625" style="16"/>
    <col min="8961" max="8961" width="5" style="16" customWidth="1"/>
    <col min="8962" max="8962" width="19" style="16" customWidth="1"/>
    <col min="8963" max="8963" width="9.42578125" style="16" customWidth="1"/>
    <col min="8964" max="8964" width="6.7109375" style="16" bestFit="1" customWidth="1"/>
    <col min="8965" max="8965" width="8.5703125" style="16" bestFit="1" customWidth="1"/>
    <col min="8966" max="8966" width="8.140625" style="16" customWidth="1"/>
    <col min="8967" max="8967" width="8.42578125" style="16" customWidth="1"/>
    <col min="8968" max="8968" width="8.85546875" style="16" customWidth="1"/>
    <col min="8969" max="8969" width="7.5703125" style="16" customWidth="1"/>
    <col min="8970" max="8970" width="7.85546875" style="16" customWidth="1"/>
    <col min="8971" max="8972" width="7.42578125" style="16" customWidth="1"/>
    <col min="8973" max="8973" width="7" style="16" customWidth="1"/>
    <col min="8974" max="8974" width="7" style="16" bestFit="1" customWidth="1"/>
    <col min="8975" max="8975" width="8.7109375" style="16" customWidth="1"/>
    <col min="8976" max="8976" width="11" style="16" customWidth="1"/>
    <col min="8977" max="8977" width="9.140625" style="16"/>
    <col min="8978" max="8978" width="12" style="16" bestFit="1" customWidth="1"/>
    <col min="8979" max="8980" width="9.140625" style="16"/>
    <col min="8981" max="8981" width="12.42578125" style="16" customWidth="1"/>
    <col min="8982" max="8982" width="9.140625" style="16"/>
    <col min="8983" max="8983" width="12" style="16" customWidth="1"/>
    <col min="8984" max="9216" width="9.140625" style="16"/>
    <col min="9217" max="9217" width="5" style="16" customWidth="1"/>
    <col min="9218" max="9218" width="19" style="16" customWidth="1"/>
    <col min="9219" max="9219" width="9.42578125" style="16" customWidth="1"/>
    <col min="9220" max="9220" width="6.7109375" style="16" bestFit="1" customWidth="1"/>
    <col min="9221" max="9221" width="8.5703125" style="16" bestFit="1" customWidth="1"/>
    <col min="9222" max="9222" width="8.140625" style="16" customWidth="1"/>
    <col min="9223" max="9223" width="8.42578125" style="16" customWidth="1"/>
    <col min="9224" max="9224" width="8.85546875" style="16" customWidth="1"/>
    <col min="9225" max="9225" width="7.5703125" style="16" customWidth="1"/>
    <col min="9226" max="9226" width="7.85546875" style="16" customWidth="1"/>
    <col min="9227" max="9228" width="7.42578125" style="16" customWidth="1"/>
    <col min="9229" max="9229" width="7" style="16" customWidth="1"/>
    <col min="9230" max="9230" width="7" style="16" bestFit="1" customWidth="1"/>
    <col min="9231" max="9231" width="8.7109375" style="16" customWidth="1"/>
    <col min="9232" max="9232" width="11" style="16" customWidth="1"/>
    <col min="9233" max="9233" width="9.140625" style="16"/>
    <col min="9234" max="9234" width="12" style="16" bestFit="1" customWidth="1"/>
    <col min="9235" max="9236" width="9.140625" style="16"/>
    <col min="9237" max="9237" width="12.42578125" style="16" customWidth="1"/>
    <col min="9238" max="9238" width="9.140625" style="16"/>
    <col min="9239" max="9239" width="12" style="16" customWidth="1"/>
    <col min="9240" max="9472" width="9.140625" style="16"/>
    <col min="9473" max="9473" width="5" style="16" customWidth="1"/>
    <col min="9474" max="9474" width="19" style="16" customWidth="1"/>
    <col min="9475" max="9475" width="9.42578125" style="16" customWidth="1"/>
    <col min="9476" max="9476" width="6.7109375" style="16" bestFit="1" customWidth="1"/>
    <col min="9477" max="9477" width="8.5703125" style="16" bestFit="1" customWidth="1"/>
    <col min="9478" max="9478" width="8.140625" style="16" customWidth="1"/>
    <col min="9479" max="9479" width="8.42578125" style="16" customWidth="1"/>
    <col min="9480" max="9480" width="8.85546875" style="16" customWidth="1"/>
    <col min="9481" max="9481" width="7.5703125" style="16" customWidth="1"/>
    <col min="9482" max="9482" width="7.85546875" style="16" customWidth="1"/>
    <col min="9483" max="9484" width="7.42578125" style="16" customWidth="1"/>
    <col min="9485" max="9485" width="7" style="16" customWidth="1"/>
    <col min="9486" max="9486" width="7" style="16" bestFit="1" customWidth="1"/>
    <col min="9487" max="9487" width="8.7109375" style="16" customWidth="1"/>
    <col min="9488" max="9488" width="11" style="16" customWidth="1"/>
    <col min="9489" max="9489" width="9.140625" style="16"/>
    <col min="9490" max="9490" width="12" style="16" bestFit="1" customWidth="1"/>
    <col min="9491" max="9492" width="9.140625" style="16"/>
    <col min="9493" max="9493" width="12.42578125" style="16" customWidth="1"/>
    <col min="9494" max="9494" width="9.140625" style="16"/>
    <col min="9495" max="9495" width="12" style="16" customWidth="1"/>
    <col min="9496" max="9728" width="9.140625" style="16"/>
    <col min="9729" max="9729" width="5" style="16" customWidth="1"/>
    <col min="9730" max="9730" width="19" style="16" customWidth="1"/>
    <col min="9731" max="9731" width="9.42578125" style="16" customWidth="1"/>
    <col min="9732" max="9732" width="6.7109375" style="16" bestFit="1" customWidth="1"/>
    <col min="9733" max="9733" width="8.5703125" style="16" bestFit="1" customWidth="1"/>
    <col min="9734" max="9734" width="8.140625" style="16" customWidth="1"/>
    <col min="9735" max="9735" width="8.42578125" style="16" customWidth="1"/>
    <col min="9736" max="9736" width="8.85546875" style="16" customWidth="1"/>
    <col min="9737" max="9737" width="7.5703125" style="16" customWidth="1"/>
    <col min="9738" max="9738" width="7.85546875" style="16" customWidth="1"/>
    <col min="9739" max="9740" width="7.42578125" style="16" customWidth="1"/>
    <col min="9741" max="9741" width="7" style="16" customWidth="1"/>
    <col min="9742" max="9742" width="7" style="16" bestFit="1" customWidth="1"/>
    <col min="9743" max="9743" width="8.7109375" style="16" customWidth="1"/>
    <col min="9744" max="9744" width="11" style="16" customWidth="1"/>
    <col min="9745" max="9745" width="9.140625" style="16"/>
    <col min="9746" max="9746" width="12" style="16" bestFit="1" customWidth="1"/>
    <col min="9747" max="9748" width="9.140625" style="16"/>
    <col min="9749" max="9749" width="12.42578125" style="16" customWidth="1"/>
    <col min="9750" max="9750" width="9.140625" style="16"/>
    <col min="9751" max="9751" width="12" style="16" customWidth="1"/>
    <col min="9752" max="9984" width="9.140625" style="16"/>
    <col min="9985" max="9985" width="5" style="16" customWidth="1"/>
    <col min="9986" max="9986" width="19" style="16" customWidth="1"/>
    <col min="9987" max="9987" width="9.42578125" style="16" customWidth="1"/>
    <col min="9988" max="9988" width="6.7109375" style="16" bestFit="1" customWidth="1"/>
    <col min="9989" max="9989" width="8.5703125" style="16" bestFit="1" customWidth="1"/>
    <col min="9990" max="9990" width="8.140625" style="16" customWidth="1"/>
    <col min="9991" max="9991" width="8.42578125" style="16" customWidth="1"/>
    <col min="9992" max="9992" width="8.85546875" style="16" customWidth="1"/>
    <col min="9993" max="9993" width="7.5703125" style="16" customWidth="1"/>
    <col min="9994" max="9994" width="7.85546875" style="16" customWidth="1"/>
    <col min="9995" max="9996" width="7.42578125" style="16" customWidth="1"/>
    <col min="9997" max="9997" width="7" style="16" customWidth="1"/>
    <col min="9998" max="9998" width="7" style="16" bestFit="1" customWidth="1"/>
    <col min="9999" max="9999" width="8.7109375" style="16" customWidth="1"/>
    <col min="10000" max="10000" width="11" style="16" customWidth="1"/>
    <col min="10001" max="10001" width="9.140625" style="16"/>
    <col min="10002" max="10002" width="12" style="16" bestFit="1" customWidth="1"/>
    <col min="10003" max="10004" width="9.140625" style="16"/>
    <col min="10005" max="10005" width="12.42578125" style="16" customWidth="1"/>
    <col min="10006" max="10006" width="9.140625" style="16"/>
    <col min="10007" max="10007" width="12" style="16" customWidth="1"/>
    <col min="10008" max="10240" width="9.140625" style="16"/>
    <col min="10241" max="10241" width="5" style="16" customWidth="1"/>
    <col min="10242" max="10242" width="19" style="16" customWidth="1"/>
    <col min="10243" max="10243" width="9.42578125" style="16" customWidth="1"/>
    <col min="10244" max="10244" width="6.7109375" style="16" bestFit="1" customWidth="1"/>
    <col min="10245" max="10245" width="8.5703125" style="16" bestFit="1" customWidth="1"/>
    <col min="10246" max="10246" width="8.140625" style="16" customWidth="1"/>
    <col min="10247" max="10247" width="8.42578125" style="16" customWidth="1"/>
    <col min="10248" max="10248" width="8.85546875" style="16" customWidth="1"/>
    <col min="10249" max="10249" width="7.5703125" style="16" customWidth="1"/>
    <col min="10250" max="10250" width="7.85546875" style="16" customWidth="1"/>
    <col min="10251" max="10252" width="7.42578125" style="16" customWidth="1"/>
    <col min="10253" max="10253" width="7" style="16" customWidth="1"/>
    <col min="10254" max="10254" width="7" style="16" bestFit="1" customWidth="1"/>
    <col min="10255" max="10255" width="8.7109375" style="16" customWidth="1"/>
    <col min="10256" max="10256" width="11" style="16" customWidth="1"/>
    <col min="10257" max="10257" width="9.140625" style="16"/>
    <col min="10258" max="10258" width="12" style="16" bestFit="1" customWidth="1"/>
    <col min="10259" max="10260" width="9.140625" style="16"/>
    <col min="10261" max="10261" width="12.42578125" style="16" customWidth="1"/>
    <col min="10262" max="10262" width="9.140625" style="16"/>
    <col min="10263" max="10263" width="12" style="16" customWidth="1"/>
    <col min="10264" max="10496" width="9.140625" style="16"/>
    <col min="10497" max="10497" width="5" style="16" customWidth="1"/>
    <col min="10498" max="10498" width="19" style="16" customWidth="1"/>
    <col min="10499" max="10499" width="9.42578125" style="16" customWidth="1"/>
    <col min="10500" max="10500" width="6.7109375" style="16" bestFit="1" customWidth="1"/>
    <col min="10501" max="10501" width="8.5703125" style="16" bestFit="1" customWidth="1"/>
    <col min="10502" max="10502" width="8.140625" style="16" customWidth="1"/>
    <col min="10503" max="10503" width="8.42578125" style="16" customWidth="1"/>
    <col min="10504" max="10504" width="8.85546875" style="16" customWidth="1"/>
    <col min="10505" max="10505" width="7.5703125" style="16" customWidth="1"/>
    <col min="10506" max="10506" width="7.85546875" style="16" customWidth="1"/>
    <col min="10507" max="10508" width="7.42578125" style="16" customWidth="1"/>
    <col min="10509" max="10509" width="7" style="16" customWidth="1"/>
    <col min="10510" max="10510" width="7" style="16" bestFit="1" customWidth="1"/>
    <col min="10511" max="10511" width="8.7109375" style="16" customWidth="1"/>
    <col min="10512" max="10512" width="11" style="16" customWidth="1"/>
    <col min="10513" max="10513" width="9.140625" style="16"/>
    <col min="10514" max="10514" width="12" style="16" bestFit="1" customWidth="1"/>
    <col min="10515" max="10516" width="9.140625" style="16"/>
    <col min="10517" max="10517" width="12.42578125" style="16" customWidth="1"/>
    <col min="10518" max="10518" width="9.140625" style="16"/>
    <col min="10519" max="10519" width="12" style="16" customWidth="1"/>
    <col min="10520" max="10752" width="9.140625" style="16"/>
    <col min="10753" max="10753" width="5" style="16" customWidth="1"/>
    <col min="10754" max="10754" width="19" style="16" customWidth="1"/>
    <col min="10755" max="10755" width="9.42578125" style="16" customWidth="1"/>
    <col min="10756" max="10756" width="6.7109375" style="16" bestFit="1" customWidth="1"/>
    <col min="10757" max="10757" width="8.5703125" style="16" bestFit="1" customWidth="1"/>
    <col min="10758" max="10758" width="8.140625" style="16" customWidth="1"/>
    <col min="10759" max="10759" width="8.42578125" style="16" customWidth="1"/>
    <col min="10760" max="10760" width="8.85546875" style="16" customWidth="1"/>
    <col min="10761" max="10761" width="7.5703125" style="16" customWidth="1"/>
    <col min="10762" max="10762" width="7.85546875" style="16" customWidth="1"/>
    <col min="10763" max="10764" width="7.42578125" style="16" customWidth="1"/>
    <col min="10765" max="10765" width="7" style="16" customWidth="1"/>
    <col min="10766" max="10766" width="7" style="16" bestFit="1" customWidth="1"/>
    <col min="10767" max="10767" width="8.7109375" style="16" customWidth="1"/>
    <col min="10768" max="10768" width="11" style="16" customWidth="1"/>
    <col min="10769" max="10769" width="9.140625" style="16"/>
    <col min="10770" max="10770" width="12" style="16" bestFit="1" customWidth="1"/>
    <col min="10771" max="10772" width="9.140625" style="16"/>
    <col min="10773" max="10773" width="12.42578125" style="16" customWidth="1"/>
    <col min="10774" max="10774" width="9.140625" style="16"/>
    <col min="10775" max="10775" width="12" style="16" customWidth="1"/>
    <col min="10776" max="11008" width="9.140625" style="16"/>
    <col min="11009" max="11009" width="5" style="16" customWidth="1"/>
    <col min="11010" max="11010" width="19" style="16" customWidth="1"/>
    <col min="11011" max="11011" width="9.42578125" style="16" customWidth="1"/>
    <col min="11012" max="11012" width="6.7109375" style="16" bestFit="1" customWidth="1"/>
    <col min="11013" max="11013" width="8.5703125" style="16" bestFit="1" customWidth="1"/>
    <col min="11014" max="11014" width="8.140625" style="16" customWidth="1"/>
    <col min="11015" max="11015" width="8.42578125" style="16" customWidth="1"/>
    <col min="11016" max="11016" width="8.85546875" style="16" customWidth="1"/>
    <col min="11017" max="11017" width="7.5703125" style="16" customWidth="1"/>
    <col min="11018" max="11018" width="7.85546875" style="16" customWidth="1"/>
    <col min="11019" max="11020" width="7.42578125" style="16" customWidth="1"/>
    <col min="11021" max="11021" width="7" style="16" customWidth="1"/>
    <col min="11022" max="11022" width="7" style="16" bestFit="1" customWidth="1"/>
    <col min="11023" max="11023" width="8.7109375" style="16" customWidth="1"/>
    <col min="11024" max="11024" width="11" style="16" customWidth="1"/>
    <col min="11025" max="11025" width="9.140625" style="16"/>
    <col min="11026" max="11026" width="12" style="16" bestFit="1" customWidth="1"/>
    <col min="11027" max="11028" width="9.140625" style="16"/>
    <col min="11029" max="11029" width="12.42578125" style="16" customWidth="1"/>
    <col min="11030" max="11030" width="9.140625" style="16"/>
    <col min="11031" max="11031" width="12" style="16" customWidth="1"/>
    <col min="11032" max="11264" width="9.140625" style="16"/>
    <col min="11265" max="11265" width="5" style="16" customWidth="1"/>
    <col min="11266" max="11266" width="19" style="16" customWidth="1"/>
    <col min="11267" max="11267" width="9.42578125" style="16" customWidth="1"/>
    <col min="11268" max="11268" width="6.7109375" style="16" bestFit="1" customWidth="1"/>
    <col min="11269" max="11269" width="8.5703125" style="16" bestFit="1" customWidth="1"/>
    <col min="11270" max="11270" width="8.140625" style="16" customWidth="1"/>
    <col min="11271" max="11271" width="8.42578125" style="16" customWidth="1"/>
    <col min="11272" max="11272" width="8.85546875" style="16" customWidth="1"/>
    <col min="11273" max="11273" width="7.5703125" style="16" customWidth="1"/>
    <col min="11274" max="11274" width="7.85546875" style="16" customWidth="1"/>
    <col min="11275" max="11276" width="7.42578125" style="16" customWidth="1"/>
    <col min="11277" max="11277" width="7" style="16" customWidth="1"/>
    <col min="11278" max="11278" width="7" style="16" bestFit="1" customWidth="1"/>
    <col min="11279" max="11279" width="8.7109375" style="16" customWidth="1"/>
    <col min="11280" max="11280" width="11" style="16" customWidth="1"/>
    <col min="11281" max="11281" width="9.140625" style="16"/>
    <col min="11282" max="11282" width="12" style="16" bestFit="1" customWidth="1"/>
    <col min="11283" max="11284" width="9.140625" style="16"/>
    <col min="11285" max="11285" width="12.42578125" style="16" customWidth="1"/>
    <col min="11286" max="11286" width="9.140625" style="16"/>
    <col min="11287" max="11287" width="12" style="16" customWidth="1"/>
    <col min="11288" max="11520" width="9.140625" style="16"/>
    <col min="11521" max="11521" width="5" style="16" customWidth="1"/>
    <col min="11522" max="11522" width="19" style="16" customWidth="1"/>
    <col min="11523" max="11523" width="9.42578125" style="16" customWidth="1"/>
    <col min="11524" max="11524" width="6.7109375" style="16" bestFit="1" customWidth="1"/>
    <col min="11525" max="11525" width="8.5703125" style="16" bestFit="1" customWidth="1"/>
    <col min="11526" max="11526" width="8.140625" style="16" customWidth="1"/>
    <col min="11527" max="11527" width="8.42578125" style="16" customWidth="1"/>
    <col min="11528" max="11528" width="8.85546875" style="16" customWidth="1"/>
    <col min="11529" max="11529" width="7.5703125" style="16" customWidth="1"/>
    <col min="11530" max="11530" width="7.85546875" style="16" customWidth="1"/>
    <col min="11531" max="11532" width="7.42578125" style="16" customWidth="1"/>
    <col min="11533" max="11533" width="7" style="16" customWidth="1"/>
    <col min="11534" max="11534" width="7" style="16" bestFit="1" customWidth="1"/>
    <col min="11535" max="11535" width="8.7109375" style="16" customWidth="1"/>
    <col min="11536" max="11536" width="11" style="16" customWidth="1"/>
    <col min="11537" max="11537" width="9.140625" style="16"/>
    <col min="11538" max="11538" width="12" style="16" bestFit="1" customWidth="1"/>
    <col min="11539" max="11540" width="9.140625" style="16"/>
    <col min="11541" max="11541" width="12.42578125" style="16" customWidth="1"/>
    <col min="11542" max="11542" width="9.140625" style="16"/>
    <col min="11543" max="11543" width="12" style="16" customWidth="1"/>
    <col min="11544" max="11776" width="9.140625" style="16"/>
    <col min="11777" max="11777" width="5" style="16" customWidth="1"/>
    <col min="11778" max="11778" width="19" style="16" customWidth="1"/>
    <col min="11779" max="11779" width="9.42578125" style="16" customWidth="1"/>
    <col min="11780" max="11780" width="6.7109375" style="16" bestFit="1" customWidth="1"/>
    <col min="11781" max="11781" width="8.5703125" style="16" bestFit="1" customWidth="1"/>
    <col min="11782" max="11782" width="8.140625" style="16" customWidth="1"/>
    <col min="11783" max="11783" width="8.42578125" style="16" customWidth="1"/>
    <col min="11784" max="11784" width="8.85546875" style="16" customWidth="1"/>
    <col min="11785" max="11785" width="7.5703125" style="16" customWidth="1"/>
    <col min="11786" max="11786" width="7.85546875" style="16" customWidth="1"/>
    <col min="11787" max="11788" width="7.42578125" style="16" customWidth="1"/>
    <col min="11789" max="11789" width="7" style="16" customWidth="1"/>
    <col min="11790" max="11790" width="7" style="16" bestFit="1" customWidth="1"/>
    <col min="11791" max="11791" width="8.7109375" style="16" customWidth="1"/>
    <col min="11792" max="11792" width="11" style="16" customWidth="1"/>
    <col min="11793" max="11793" width="9.140625" style="16"/>
    <col min="11794" max="11794" width="12" style="16" bestFit="1" customWidth="1"/>
    <col min="11795" max="11796" width="9.140625" style="16"/>
    <col min="11797" max="11797" width="12.42578125" style="16" customWidth="1"/>
    <col min="11798" max="11798" width="9.140625" style="16"/>
    <col min="11799" max="11799" width="12" style="16" customWidth="1"/>
    <col min="11800" max="12032" width="9.140625" style="16"/>
    <col min="12033" max="12033" width="5" style="16" customWidth="1"/>
    <col min="12034" max="12034" width="19" style="16" customWidth="1"/>
    <col min="12035" max="12035" width="9.42578125" style="16" customWidth="1"/>
    <col min="12036" max="12036" width="6.7109375" style="16" bestFit="1" customWidth="1"/>
    <col min="12037" max="12037" width="8.5703125" style="16" bestFit="1" customWidth="1"/>
    <col min="12038" max="12038" width="8.140625" style="16" customWidth="1"/>
    <col min="12039" max="12039" width="8.42578125" style="16" customWidth="1"/>
    <col min="12040" max="12040" width="8.85546875" style="16" customWidth="1"/>
    <col min="12041" max="12041" width="7.5703125" style="16" customWidth="1"/>
    <col min="12042" max="12042" width="7.85546875" style="16" customWidth="1"/>
    <col min="12043" max="12044" width="7.42578125" style="16" customWidth="1"/>
    <col min="12045" max="12045" width="7" style="16" customWidth="1"/>
    <col min="12046" max="12046" width="7" style="16" bestFit="1" customWidth="1"/>
    <col min="12047" max="12047" width="8.7109375" style="16" customWidth="1"/>
    <col min="12048" max="12048" width="11" style="16" customWidth="1"/>
    <col min="12049" max="12049" width="9.140625" style="16"/>
    <col min="12050" max="12050" width="12" style="16" bestFit="1" customWidth="1"/>
    <col min="12051" max="12052" width="9.140625" style="16"/>
    <col min="12053" max="12053" width="12.42578125" style="16" customWidth="1"/>
    <col min="12054" max="12054" width="9.140625" style="16"/>
    <col min="12055" max="12055" width="12" style="16" customWidth="1"/>
    <col min="12056" max="12288" width="9.140625" style="16"/>
    <col min="12289" max="12289" width="5" style="16" customWidth="1"/>
    <col min="12290" max="12290" width="19" style="16" customWidth="1"/>
    <col min="12291" max="12291" width="9.42578125" style="16" customWidth="1"/>
    <col min="12292" max="12292" width="6.7109375" style="16" bestFit="1" customWidth="1"/>
    <col min="12293" max="12293" width="8.5703125" style="16" bestFit="1" customWidth="1"/>
    <col min="12294" max="12294" width="8.140625" style="16" customWidth="1"/>
    <col min="12295" max="12295" width="8.42578125" style="16" customWidth="1"/>
    <col min="12296" max="12296" width="8.85546875" style="16" customWidth="1"/>
    <col min="12297" max="12297" width="7.5703125" style="16" customWidth="1"/>
    <col min="12298" max="12298" width="7.85546875" style="16" customWidth="1"/>
    <col min="12299" max="12300" width="7.42578125" style="16" customWidth="1"/>
    <col min="12301" max="12301" width="7" style="16" customWidth="1"/>
    <col min="12302" max="12302" width="7" style="16" bestFit="1" customWidth="1"/>
    <col min="12303" max="12303" width="8.7109375" style="16" customWidth="1"/>
    <col min="12304" max="12304" width="11" style="16" customWidth="1"/>
    <col min="12305" max="12305" width="9.140625" style="16"/>
    <col min="12306" max="12306" width="12" style="16" bestFit="1" customWidth="1"/>
    <col min="12307" max="12308" width="9.140625" style="16"/>
    <col min="12309" max="12309" width="12.42578125" style="16" customWidth="1"/>
    <col min="12310" max="12310" width="9.140625" style="16"/>
    <col min="12311" max="12311" width="12" style="16" customWidth="1"/>
    <col min="12312" max="12544" width="9.140625" style="16"/>
    <col min="12545" max="12545" width="5" style="16" customWidth="1"/>
    <col min="12546" max="12546" width="19" style="16" customWidth="1"/>
    <col min="12547" max="12547" width="9.42578125" style="16" customWidth="1"/>
    <col min="12548" max="12548" width="6.7109375" style="16" bestFit="1" customWidth="1"/>
    <col min="12549" max="12549" width="8.5703125" style="16" bestFit="1" customWidth="1"/>
    <col min="12550" max="12550" width="8.140625" style="16" customWidth="1"/>
    <col min="12551" max="12551" width="8.42578125" style="16" customWidth="1"/>
    <col min="12552" max="12552" width="8.85546875" style="16" customWidth="1"/>
    <col min="12553" max="12553" width="7.5703125" style="16" customWidth="1"/>
    <col min="12554" max="12554" width="7.85546875" style="16" customWidth="1"/>
    <col min="12555" max="12556" width="7.42578125" style="16" customWidth="1"/>
    <col min="12557" max="12557" width="7" style="16" customWidth="1"/>
    <col min="12558" max="12558" width="7" style="16" bestFit="1" customWidth="1"/>
    <col min="12559" max="12559" width="8.7109375" style="16" customWidth="1"/>
    <col min="12560" max="12560" width="11" style="16" customWidth="1"/>
    <col min="12561" max="12561" width="9.140625" style="16"/>
    <col min="12562" max="12562" width="12" style="16" bestFit="1" customWidth="1"/>
    <col min="12563" max="12564" width="9.140625" style="16"/>
    <col min="12565" max="12565" width="12.42578125" style="16" customWidth="1"/>
    <col min="12566" max="12566" width="9.140625" style="16"/>
    <col min="12567" max="12567" width="12" style="16" customWidth="1"/>
    <col min="12568" max="12800" width="9.140625" style="16"/>
    <col min="12801" max="12801" width="5" style="16" customWidth="1"/>
    <col min="12802" max="12802" width="19" style="16" customWidth="1"/>
    <col min="12803" max="12803" width="9.42578125" style="16" customWidth="1"/>
    <col min="12804" max="12804" width="6.7109375" style="16" bestFit="1" customWidth="1"/>
    <col min="12805" max="12805" width="8.5703125" style="16" bestFit="1" customWidth="1"/>
    <col min="12806" max="12806" width="8.140625" style="16" customWidth="1"/>
    <col min="12807" max="12807" width="8.42578125" style="16" customWidth="1"/>
    <col min="12808" max="12808" width="8.85546875" style="16" customWidth="1"/>
    <col min="12809" max="12809" width="7.5703125" style="16" customWidth="1"/>
    <col min="12810" max="12810" width="7.85546875" style="16" customWidth="1"/>
    <col min="12811" max="12812" width="7.42578125" style="16" customWidth="1"/>
    <col min="12813" max="12813" width="7" style="16" customWidth="1"/>
    <col min="12814" max="12814" width="7" style="16" bestFit="1" customWidth="1"/>
    <col min="12815" max="12815" width="8.7109375" style="16" customWidth="1"/>
    <col min="12816" max="12816" width="11" style="16" customWidth="1"/>
    <col min="12817" max="12817" width="9.140625" style="16"/>
    <col min="12818" max="12818" width="12" style="16" bestFit="1" customWidth="1"/>
    <col min="12819" max="12820" width="9.140625" style="16"/>
    <col min="12821" max="12821" width="12.42578125" style="16" customWidth="1"/>
    <col min="12822" max="12822" width="9.140625" style="16"/>
    <col min="12823" max="12823" width="12" style="16" customWidth="1"/>
    <col min="12824" max="13056" width="9.140625" style="16"/>
    <col min="13057" max="13057" width="5" style="16" customWidth="1"/>
    <col min="13058" max="13058" width="19" style="16" customWidth="1"/>
    <col min="13059" max="13059" width="9.42578125" style="16" customWidth="1"/>
    <col min="13060" max="13060" width="6.7109375" style="16" bestFit="1" customWidth="1"/>
    <col min="13061" max="13061" width="8.5703125" style="16" bestFit="1" customWidth="1"/>
    <col min="13062" max="13062" width="8.140625" style="16" customWidth="1"/>
    <col min="13063" max="13063" width="8.42578125" style="16" customWidth="1"/>
    <col min="13064" max="13064" width="8.85546875" style="16" customWidth="1"/>
    <col min="13065" max="13065" width="7.5703125" style="16" customWidth="1"/>
    <col min="13066" max="13066" width="7.85546875" style="16" customWidth="1"/>
    <col min="13067" max="13068" width="7.42578125" style="16" customWidth="1"/>
    <col min="13069" max="13069" width="7" style="16" customWidth="1"/>
    <col min="13070" max="13070" width="7" style="16" bestFit="1" customWidth="1"/>
    <col min="13071" max="13071" width="8.7109375" style="16" customWidth="1"/>
    <col min="13072" max="13072" width="11" style="16" customWidth="1"/>
    <col min="13073" max="13073" width="9.140625" style="16"/>
    <col min="13074" max="13074" width="12" style="16" bestFit="1" customWidth="1"/>
    <col min="13075" max="13076" width="9.140625" style="16"/>
    <col min="13077" max="13077" width="12.42578125" style="16" customWidth="1"/>
    <col min="13078" max="13078" width="9.140625" style="16"/>
    <col min="13079" max="13079" width="12" style="16" customWidth="1"/>
    <col min="13080" max="13312" width="9.140625" style="16"/>
    <col min="13313" max="13313" width="5" style="16" customWidth="1"/>
    <col min="13314" max="13314" width="19" style="16" customWidth="1"/>
    <col min="13315" max="13315" width="9.42578125" style="16" customWidth="1"/>
    <col min="13316" max="13316" width="6.7109375" style="16" bestFit="1" customWidth="1"/>
    <col min="13317" max="13317" width="8.5703125" style="16" bestFit="1" customWidth="1"/>
    <col min="13318" max="13318" width="8.140625" style="16" customWidth="1"/>
    <col min="13319" max="13319" width="8.42578125" style="16" customWidth="1"/>
    <col min="13320" max="13320" width="8.85546875" style="16" customWidth="1"/>
    <col min="13321" max="13321" width="7.5703125" style="16" customWidth="1"/>
    <col min="13322" max="13322" width="7.85546875" style="16" customWidth="1"/>
    <col min="13323" max="13324" width="7.42578125" style="16" customWidth="1"/>
    <col min="13325" max="13325" width="7" style="16" customWidth="1"/>
    <col min="13326" max="13326" width="7" style="16" bestFit="1" customWidth="1"/>
    <col min="13327" max="13327" width="8.7109375" style="16" customWidth="1"/>
    <col min="13328" max="13328" width="11" style="16" customWidth="1"/>
    <col min="13329" max="13329" width="9.140625" style="16"/>
    <col min="13330" max="13330" width="12" style="16" bestFit="1" customWidth="1"/>
    <col min="13331" max="13332" width="9.140625" style="16"/>
    <col min="13333" max="13333" width="12.42578125" style="16" customWidth="1"/>
    <col min="13334" max="13334" width="9.140625" style="16"/>
    <col min="13335" max="13335" width="12" style="16" customWidth="1"/>
    <col min="13336" max="13568" width="9.140625" style="16"/>
    <col min="13569" max="13569" width="5" style="16" customWidth="1"/>
    <col min="13570" max="13570" width="19" style="16" customWidth="1"/>
    <col min="13571" max="13571" width="9.42578125" style="16" customWidth="1"/>
    <col min="13572" max="13572" width="6.7109375" style="16" bestFit="1" customWidth="1"/>
    <col min="13573" max="13573" width="8.5703125" style="16" bestFit="1" customWidth="1"/>
    <col min="13574" max="13574" width="8.140625" style="16" customWidth="1"/>
    <col min="13575" max="13575" width="8.42578125" style="16" customWidth="1"/>
    <col min="13576" max="13576" width="8.85546875" style="16" customWidth="1"/>
    <col min="13577" max="13577" width="7.5703125" style="16" customWidth="1"/>
    <col min="13578" max="13578" width="7.85546875" style="16" customWidth="1"/>
    <col min="13579" max="13580" width="7.42578125" style="16" customWidth="1"/>
    <col min="13581" max="13581" width="7" style="16" customWidth="1"/>
    <col min="13582" max="13582" width="7" style="16" bestFit="1" customWidth="1"/>
    <col min="13583" max="13583" width="8.7109375" style="16" customWidth="1"/>
    <col min="13584" max="13584" width="11" style="16" customWidth="1"/>
    <col min="13585" max="13585" width="9.140625" style="16"/>
    <col min="13586" max="13586" width="12" style="16" bestFit="1" customWidth="1"/>
    <col min="13587" max="13588" width="9.140625" style="16"/>
    <col min="13589" max="13589" width="12.42578125" style="16" customWidth="1"/>
    <col min="13590" max="13590" width="9.140625" style="16"/>
    <col min="13591" max="13591" width="12" style="16" customWidth="1"/>
    <col min="13592" max="13824" width="9.140625" style="16"/>
    <col min="13825" max="13825" width="5" style="16" customWidth="1"/>
    <col min="13826" max="13826" width="19" style="16" customWidth="1"/>
    <col min="13827" max="13827" width="9.42578125" style="16" customWidth="1"/>
    <col min="13828" max="13828" width="6.7109375" style="16" bestFit="1" customWidth="1"/>
    <col min="13829" max="13829" width="8.5703125" style="16" bestFit="1" customWidth="1"/>
    <col min="13830" max="13830" width="8.140625" style="16" customWidth="1"/>
    <col min="13831" max="13831" width="8.42578125" style="16" customWidth="1"/>
    <col min="13832" max="13832" width="8.85546875" style="16" customWidth="1"/>
    <col min="13833" max="13833" width="7.5703125" style="16" customWidth="1"/>
    <col min="13834" max="13834" width="7.85546875" style="16" customWidth="1"/>
    <col min="13835" max="13836" width="7.42578125" style="16" customWidth="1"/>
    <col min="13837" max="13837" width="7" style="16" customWidth="1"/>
    <col min="13838" max="13838" width="7" style="16" bestFit="1" customWidth="1"/>
    <col min="13839" max="13839" width="8.7109375" style="16" customWidth="1"/>
    <col min="13840" max="13840" width="11" style="16" customWidth="1"/>
    <col min="13841" max="13841" width="9.140625" style="16"/>
    <col min="13842" max="13842" width="12" style="16" bestFit="1" customWidth="1"/>
    <col min="13843" max="13844" width="9.140625" style="16"/>
    <col min="13845" max="13845" width="12.42578125" style="16" customWidth="1"/>
    <col min="13846" max="13846" width="9.140625" style="16"/>
    <col min="13847" max="13847" width="12" style="16" customWidth="1"/>
    <col min="13848" max="14080" width="9.140625" style="16"/>
    <col min="14081" max="14081" width="5" style="16" customWidth="1"/>
    <col min="14082" max="14082" width="19" style="16" customWidth="1"/>
    <col min="14083" max="14083" width="9.42578125" style="16" customWidth="1"/>
    <col min="14084" max="14084" width="6.7109375" style="16" bestFit="1" customWidth="1"/>
    <col min="14085" max="14085" width="8.5703125" style="16" bestFit="1" customWidth="1"/>
    <col min="14086" max="14086" width="8.140625" style="16" customWidth="1"/>
    <col min="14087" max="14087" width="8.42578125" style="16" customWidth="1"/>
    <col min="14088" max="14088" width="8.85546875" style="16" customWidth="1"/>
    <col min="14089" max="14089" width="7.5703125" style="16" customWidth="1"/>
    <col min="14090" max="14090" width="7.85546875" style="16" customWidth="1"/>
    <col min="14091" max="14092" width="7.42578125" style="16" customWidth="1"/>
    <col min="14093" max="14093" width="7" style="16" customWidth="1"/>
    <col min="14094" max="14094" width="7" style="16" bestFit="1" customWidth="1"/>
    <col min="14095" max="14095" width="8.7109375" style="16" customWidth="1"/>
    <col min="14096" max="14096" width="11" style="16" customWidth="1"/>
    <col min="14097" max="14097" width="9.140625" style="16"/>
    <col min="14098" max="14098" width="12" style="16" bestFit="1" customWidth="1"/>
    <col min="14099" max="14100" width="9.140625" style="16"/>
    <col min="14101" max="14101" width="12.42578125" style="16" customWidth="1"/>
    <col min="14102" max="14102" width="9.140625" style="16"/>
    <col min="14103" max="14103" width="12" style="16" customWidth="1"/>
    <col min="14104" max="14336" width="9.140625" style="16"/>
    <col min="14337" max="14337" width="5" style="16" customWidth="1"/>
    <col min="14338" max="14338" width="19" style="16" customWidth="1"/>
    <col min="14339" max="14339" width="9.42578125" style="16" customWidth="1"/>
    <col min="14340" max="14340" width="6.7109375" style="16" bestFit="1" customWidth="1"/>
    <col min="14341" max="14341" width="8.5703125" style="16" bestFit="1" customWidth="1"/>
    <col min="14342" max="14342" width="8.140625" style="16" customWidth="1"/>
    <col min="14343" max="14343" width="8.42578125" style="16" customWidth="1"/>
    <col min="14344" max="14344" width="8.85546875" style="16" customWidth="1"/>
    <col min="14345" max="14345" width="7.5703125" style="16" customWidth="1"/>
    <col min="14346" max="14346" width="7.85546875" style="16" customWidth="1"/>
    <col min="14347" max="14348" width="7.42578125" style="16" customWidth="1"/>
    <col min="14349" max="14349" width="7" style="16" customWidth="1"/>
    <col min="14350" max="14350" width="7" style="16" bestFit="1" customWidth="1"/>
    <col min="14351" max="14351" width="8.7109375" style="16" customWidth="1"/>
    <col min="14352" max="14352" width="11" style="16" customWidth="1"/>
    <col min="14353" max="14353" width="9.140625" style="16"/>
    <col min="14354" max="14354" width="12" style="16" bestFit="1" customWidth="1"/>
    <col min="14355" max="14356" width="9.140625" style="16"/>
    <col min="14357" max="14357" width="12.42578125" style="16" customWidth="1"/>
    <col min="14358" max="14358" width="9.140625" style="16"/>
    <col min="14359" max="14359" width="12" style="16" customWidth="1"/>
    <col min="14360" max="14592" width="9.140625" style="16"/>
    <col min="14593" max="14593" width="5" style="16" customWidth="1"/>
    <col min="14594" max="14594" width="19" style="16" customWidth="1"/>
    <col min="14595" max="14595" width="9.42578125" style="16" customWidth="1"/>
    <col min="14596" max="14596" width="6.7109375" style="16" bestFit="1" customWidth="1"/>
    <col min="14597" max="14597" width="8.5703125" style="16" bestFit="1" customWidth="1"/>
    <col min="14598" max="14598" width="8.140625" style="16" customWidth="1"/>
    <col min="14599" max="14599" width="8.42578125" style="16" customWidth="1"/>
    <col min="14600" max="14600" width="8.85546875" style="16" customWidth="1"/>
    <col min="14601" max="14601" width="7.5703125" style="16" customWidth="1"/>
    <col min="14602" max="14602" width="7.85546875" style="16" customWidth="1"/>
    <col min="14603" max="14604" width="7.42578125" style="16" customWidth="1"/>
    <col min="14605" max="14605" width="7" style="16" customWidth="1"/>
    <col min="14606" max="14606" width="7" style="16" bestFit="1" customWidth="1"/>
    <col min="14607" max="14607" width="8.7109375" style="16" customWidth="1"/>
    <col min="14608" max="14608" width="11" style="16" customWidth="1"/>
    <col min="14609" max="14609" width="9.140625" style="16"/>
    <col min="14610" max="14610" width="12" style="16" bestFit="1" customWidth="1"/>
    <col min="14611" max="14612" width="9.140625" style="16"/>
    <col min="14613" max="14613" width="12.42578125" style="16" customWidth="1"/>
    <col min="14614" max="14614" width="9.140625" style="16"/>
    <col min="14615" max="14615" width="12" style="16" customWidth="1"/>
    <col min="14616" max="14848" width="9.140625" style="16"/>
    <col min="14849" max="14849" width="5" style="16" customWidth="1"/>
    <col min="14850" max="14850" width="19" style="16" customWidth="1"/>
    <col min="14851" max="14851" width="9.42578125" style="16" customWidth="1"/>
    <col min="14852" max="14852" width="6.7109375" style="16" bestFit="1" customWidth="1"/>
    <col min="14853" max="14853" width="8.5703125" style="16" bestFit="1" customWidth="1"/>
    <col min="14854" max="14854" width="8.140625" style="16" customWidth="1"/>
    <col min="14855" max="14855" width="8.42578125" style="16" customWidth="1"/>
    <col min="14856" max="14856" width="8.85546875" style="16" customWidth="1"/>
    <col min="14857" max="14857" width="7.5703125" style="16" customWidth="1"/>
    <col min="14858" max="14858" width="7.85546875" style="16" customWidth="1"/>
    <col min="14859" max="14860" width="7.42578125" style="16" customWidth="1"/>
    <col min="14861" max="14861" width="7" style="16" customWidth="1"/>
    <col min="14862" max="14862" width="7" style="16" bestFit="1" customWidth="1"/>
    <col min="14863" max="14863" width="8.7109375" style="16" customWidth="1"/>
    <col min="14864" max="14864" width="11" style="16" customWidth="1"/>
    <col min="14865" max="14865" width="9.140625" style="16"/>
    <col min="14866" max="14866" width="12" style="16" bestFit="1" customWidth="1"/>
    <col min="14867" max="14868" width="9.140625" style="16"/>
    <col min="14869" max="14869" width="12.42578125" style="16" customWidth="1"/>
    <col min="14870" max="14870" width="9.140625" style="16"/>
    <col min="14871" max="14871" width="12" style="16" customWidth="1"/>
    <col min="14872" max="15104" width="9.140625" style="16"/>
    <col min="15105" max="15105" width="5" style="16" customWidth="1"/>
    <col min="15106" max="15106" width="19" style="16" customWidth="1"/>
    <col min="15107" max="15107" width="9.42578125" style="16" customWidth="1"/>
    <col min="15108" max="15108" width="6.7109375" style="16" bestFit="1" customWidth="1"/>
    <col min="15109" max="15109" width="8.5703125" style="16" bestFit="1" customWidth="1"/>
    <col min="15110" max="15110" width="8.140625" style="16" customWidth="1"/>
    <col min="15111" max="15111" width="8.42578125" style="16" customWidth="1"/>
    <col min="15112" max="15112" width="8.85546875" style="16" customWidth="1"/>
    <col min="15113" max="15113" width="7.5703125" style="16" customWidth="1"/>
    <col min="15114" max="15114" width="7.85546875" style="16" customWidth="1"/>
    <col min="15115" max="15116" width="7.42578125" style="16" customWidth="1"/>
    <col min="15117" max="15117" width="7" style="16" customWidth="1"/>
    <col min="15118" max="15118" width="7" style="16" bestFit="1" customWidth="1"/>
    <col min="15119" max="15119" width="8.7109375" style="16" customWidth="1"/>
    <col min="15120" max="15120" width="11" style="16" customWidth="1"/>
    <col min="15121" max="15121" width="9.140625" style="16"/>
    <col min="15122" max="15122" width="12" style="16" bestFit="1" customWidth="1"/>
    <col min="15123" max="15124" width="9.140625" style="16"/>
    <col min="15125" max="15125" width="12.42578125" style="16" customWidth="1"/>
    <col min="15126" max="15126" width="9.140625" style="16"/>
    <col min="15127" max="15127" width="12" style="16" customWidth="1"/>
    <col min="15128" max="15360" width="9.140625" style="16"/>
    <col min="15361" max="15361" width="5" style="16" customWidth="1"/>
    <col min="15362" max="15362" width="19" style="16" customWidth="1"/>
    <col min="15363" max="15363" width="9.42578125" style="16" customWidth="1"/>
    <col min="15364" max="15364" width="6.7109375" style="16" bestFit="1" customWidth="1"/>
    <col min="15365" max="15365" width="8.5703125" style="16" bestFit="1" customWidth="1"/>
    <col min="15366" max="15366" width="8.140625" style="16" customWidth="1"/>
    <col min="15367" max="15367" width="8.42578125" style="16" customWidth="1"/>
    <col min="15368" max="15368" width="8.85546875" style="16" customWidth="1"/>
    <col min="15369" max="15369" width="7.5703125" style="16" customWidth="1"/>
    <col min="15370" max="15370" width="7.85546875" style="16" customWidth="1"/>
    <col min="15371" max="15372" width="7.42578125" style="16" customWidth="1"/>
    <col min="15373" max="15373" width="7" style="16" customWidth="1"/>
    <col min="15374" max="15374" width="7" style="16" bestFit="1" customWidth="1"/>
    <col min="15375" max="15375" width="8.7109375" style="16" customWidth="1"/>
    <col min="15376" max="15376" width="11" style="16" customWidth="1"/>
    <col min="15377" max="15377" width="9.140625" style="16"/>
    <col min="15378" max="15378" width="12" style="16" bestFit="1" customWidth="1"/>
    <col min="15379" max="15380" width="9.140625" style="16"/>
    <col min="15381" max="15381" width="12.42578125" style="16" customWidth="1"/>
    <col min="15382" max="15382" width="9.140625" style="16"/>
    <col min="15383" max="15383" width="12" style="16" customWidth="1"/>
    <col min="15384" max="15616" width="9.140625" style="16"/>
    <col min="15617" max="15617" width="5" style="16" customWidth="1"/>
    <col min="15618" max="15618" width="19" style="16" customWidth="1"/>
    <col min="15619" max="15619" width="9.42578125" style="16" customWidth="1"/>
    <col min="15620" max="15620" width="6.7109375" style="16" bestFit="1" customWidth="1"/>
    <col min="15621" max="15621" width="8.5703125" style="16" bestFit="1" customWidth="1"/>
    <col min="15622" max="15622" width="8.140625" style="16" customWidth="1"/>
    <col min="15623" max="15623" width="8.42578125" style="16" customWidth="1"/>
    <col min="15624" max="15624" width="8.85546875" style="16" customWidth="1"/>
    <col min="15625" max="15625" width="7.5703125" style="16" customWidth="1"/>
    <col min="15626" max="15626" width="7.85546875" style="16" customWidth="1"/>
    <col min="15627" max="15628" width="7.42578125" style="16" customWidth="1"/>
    <col min="15629" max="15629" width="7" style="16" customWidth="1"/>
    <col min="15630" max="15630" width="7" style="16" bestFit="1" customWidth="1"/>
    <col min="15631" max="15631" width="8.7109375" style="16" customWidth="1"/>
    <col min="15632" max="15632" width="11" style="16" customWidth="1"/>
    <col min="15633" max="15633" width="9.140625" style="16"/>
    <col min="15634" max="15634" width="12" style="16" bestFit="1" customWidth="1"/>
    <col min="15635" max="15636" width="9.140625" style="16"/>
    <col min="15637" max="15637" width="12.42578125" style="16" customWidth="1"/>
    <col min="15638" max="15638" width="9.140625" style="16"/>
    <col min="15639" max="15639" width="12" style="16" customWidth="1"/>
    <col min="15640" max="15872" width="9.140625" style="16"/>
    <col min="15873" max="15873" width="5" style="16" customWidth="1"/>
    <col min="15874" max="15874" width="19" style="16" customWidth="1"/>
    <col min="15875" max="15875" width="9.42578125" style="16" customWidth="1"/>
    <col min="15876" max="15876" width="6.7109375" style="16" bestFit="1" customWidth="1"/>
    <col min="15877" max="15877" width="8.5703125" style="16" bestFit="1" customWidth="1"/>
    <col min="15878" max="15878" width="8.140625" style="16" customWidth="1"/>
    <col min="15879" max="15879" width="8.42578125" style="16" customWidth="1"/>
    <col min="15880" max="15880" width="8.85546875" style="16" customWidth="1"/>
    <col min="15881" max="15881" width="7.5703125" style="16" customWidth="1"/>
    <col min="15882" max="15882" width="7.85546875" style="16" customWidth="1"/>
    <col min="15883" max="15884" width="7.42578125" style="16" customWidth="1"/>
    <col min="15885" max="15885" width="7" style="16" customWidth="1"/>
    <col min="15886" max="15886" width="7" style="16" bestFit="1" customWidth="1"/>
    <col min="15887" max="15887" width="8.7109375" style="16" customWidth="1"/>
    <col min="15888" max="15888" width="11" style="16" customWidth="1"/>
    <col min="15889" max="15889" width="9.140625" style="16"/>
    <col min="15890" max="15890" width="12" style="16" bestFit="1" customWidth="1"/>
    <col min="15891" max="15892" width="9.140625" style="16"/>
    <col min="15893" max="15893" width="12.42578125" style="16" customWidth="1"/>
    <col min="15894" max="15894" width="9.140625" style="16"/>
    <col min="15895" max="15895" width="12" style="16" customWidth="1"/>
    <col min="15896" max="16128" width="9.140625" style="16"/>
    <col min="16129" max="16129" width="5" style="16" customWidth="1"/>
    <col min="16130" max="16130" width="19" style="16" customWidth="1"/>
    <col min="16131" max="16131" width="9.42578125" style="16" customWidth="1"/>
    <col min="16132" max="16132" width="6.7109375" style="16" bestFit="1" customWidth="1"/>
    <col min="16133" max="16133" width="8.5703125" style="16" bestFit="1" customWidth="1"/>
    <col min="16134" max="16134" width="8.140625" style="16" customWidth="1"/>
    <col min="16135" max="16135" width="8.42578125" style="16" customWidth="1"/>
    <col min="16136" max="16136" width="8.85546875" style="16" customWidth="1"/>
    <col min="16137" max="16137" width="7.5703125" style="16" customWidth="1"/>
    <col min="16138" max="16138" width="7.85546875" style="16" customWidth="1"/>
    <col min="16139" max="16140" width="7.42578125" style="16" customWidth="1"/>
    <col min="16141" max="16141" width="7" style="16" customWidth="1"/>
    <col min="16142" max="16142" width="7" style="16" bestFit="1" customWidth="1"/>
    <col min="16143" max="16143" width="8.7109375" style="16" customWidth="1"/>
    <col min="16144" max="16144" width="11" style="16" customWidth="1"/>
    <col min="16145" max="16145" width="9.140625" style="16"/>
    <col min="16146" max="16146" width="12" style="16" bestFit="1" customWidth="1"/>
    <col min="16147" max="16148" width="9.140625" style="16"/>
    <col min="16149" max="16149" width="12.42578125" style="16" customWidth="1"/>
    <col min="16150" max="16150" width="9.140625" style="16"/>
    <col min="16151" max="16151" width="12" style="16" customWidth="1"/>
    <col min="16152" max="16384" width="9.140625" style="16"/>
  </cols>
  <sheetData>
    <row r="1" spans="1:17" s="1" customFormat="1" x14ac:dyDescent="0.2">
      <c r="A1" s="867" t="s">
        <v>449</v>
      </c>
      <c r="B1" s="868"/>
      <c r="C1" s="868"/>
      <c r="D1" s="869"/>
      <c r="E1" s="868"/>
      <c r="F1" s="868"/>
      <c r="G1" s="867" t="s">
        <v>102</v>
      </c>
      <c r="H1" s="869"/>
      <c r="I1" s="869" t="s">
        <v>958</v>
      </c>
      <c r="J1" s="868"/>
      <c r="K1" s="868"/>
      <c r="L1" s="870"/>
      <c r="M1" s="870"/>
      <c r="N1" s="870"/>
      <c r="O1" s="870"/>
    </row>
    <row r="2" spans="1:17" s="1" customFormat="1" x14ac:dyDescent="0.2">
      <c r="A2" s="867" t="s">
        <v>103</v>
      </c>
      <c r="B2" s="868"/>
      <c r="C2" s="868"/>
      <c r="D2" s="869"/>
      <c r="E2" s="868"/>
      <c r="F2" s="868"/>
      <c r="G2" s="867" t="s">
        <v>104</v>
      </c>
      <c r="H2" s="869"/>
      <c r="I2" s="869" t="s">
        <v>105</v>
      </c>
      <c r="J2" s="868"/>
      <c r="K2" s="868"/>
      <c r="L2" s="870"/>
      <c r="M2" s="870"/>
      <c r="N2" s="870"/>
      <c r="O2" s="870"/>
    </row>
    <row r="3" spans="1:17" s="1" customFormat="1" x14ac:dyDescent="0.2">
      <c r="A3" s="867" t="s">
        <v>106</v>
      </c>
      <c r="B3" s="868"/>
      <c r="C3" s="868"/>
      <c r="D3" s="883" t="s">
        <v>978</v>
      </c>
      <c r="E3" s="868"/>
      <c r="F3" s="868"/>
      <c r="G3" s="867" t="s">
        <v>107</v>
      </c>
      <c r="H3" s="869"/>
      <c r="I3" s="869" t="s">
        <v>108</v>
      </c>
      <c r="J3" s="868"/>
      <c r="K3" s="868"/>
      <c r="L3" s="870"/>
      <c r="M3" s="870"/>
      <c r="N3" s="870"/>
      <c r="O3" s="870"/>
    </row>
    <row r="4" spans="1:17" s="1" customFormat="1" x14ac:dyDescent="0.2">
      <c r="A4" s="867" t="s">
        <v>109</v>
      </c>
      <c r="B4" s="868"/>
      <c r="C4" s="868"/>
      <c r="D4" s="869"/>
      <c r="E4" s="868"/>
      <c r="F4" s="868"/>
      <c r="G4" s="867" t="s">
        <v>110</v>
      </c>
      <c r="H4" s="869"/>
      <c r="I4" s="869" t="s">
        <v>635</v>
      </c>
      <c r="J4" s="868"/>
      <c r="K4" s="868"/>
      <c r="L4" s="870"/>
      <c r="M4" s="870"/>
      <c r="N4" s="870"/>
      <c r="O4" s="870"/>
    </row>
    <row r="5" spans="1:17" s="1" customFormat="1" x14ac:dyDescent="0.2">
      <c r="A5" s="867" t="s">
        <v>476</v>
      </c>
      <c r="B5" s="868"/>
      <c r="C5" s="868"/>
      <c r="D5" s="869" t="s">
        <v>979</v>
      </c>
      <c r="E5" s="868"/>
      <c r="F5" s="868"/>
      <c r="G5" s="867"/>
      <c r="H5" s="868"/>
      <c r="I5" s="869" t="s">
        <v>113</v>
      </c>
      <c r="J5" s="868"/>
      <c r="K5" s="868"/>
      <c r="L5" s="870"/>
      <c r="M5" s="870"/>
      <c r="N5" s="870"/>
      <c r="O5" s="870"/>
    </row>
    <row r="6" spans="1:17" s="1" customFormat="1" x14ac:dyDescent="0.2">
      <c r="A6" s="871" t="s">
        <v>114</v>
      </c>
      <c r="B6" s="872"/>
      <c r="C6" s="872"/>
      <c r="D6" s="868" t="s">
        <v>959</v>
      </c>
      <c r="E6" s="868"/>
      <c r="F6" s="868"/>
      <c r="G6" s="871" t="s">
        <v>115</v>
      </c>
      <c r="H6" s="871"/>
      <c r="I6" s="2" t="s">
        <v>116</v>
      </c>
      <c r="J6" s="873"/>
      <c r="K6" s="873"/>
      <c r="L6" s="873"/>
      <c r="M6" s="873"/>
      <c r="N6" s="873"/>
      <c r="O6" s="874"/>
    </row>
    <row r="7" spans="1:17" s="1" customFormat="1" ht="13.5" thickBot="1" x14ac:dyDescent="0.25">
      <c r="A7" s="3"/>
      <c r="B7" s="4"/>
      <c r="C7" s="5"/>
      <c r="D7" s="6"/>
      <c r="E7" s="6"/>
      <c r="F7" s="6"/>
      <c r="G7" s="6"/>
      <c r="H7" s="6"/>
      <c r="I7" s="6"/>
      <c r="J7" s="7"/>
      <c r="K7" s="8"/>
      <c r="L7" s="875" t="s">
        <v>223</v>
      </c>
      <c r="M7" s="875"/>
      <c r="N7" s="875"/>
      <c r="O7" s="875"/>
    </row>
    <row r="8" spans="1:17" s="11" customFormat="1" x14ac:dyDescent="0.2">
      <c r="A8" s="876" t="str">
        <f>I1</f>
        <v>Mr. G. S. Sangle</v>
      </c>
      <c r="B8" s="877"/>
      <c r="C8" s="9">
        <v>43160</v>
      </c>
      <c r="D8" s="9">
        <v>43191</v>
      </c>
      <c r="E8" s="9">
        <v>43221</v>
      </c>
      <c r="F8" s="9">
        <v>43252</v>
      </c>
      <c r="G8" s="9">
        <v>43282</v>
      </c>
      <c r="H8" s="9">
        <v>43313</v>
      </c>
      <c r="I8" s="9">
        <v>43344</v>
      </c>
      <c r="J8" s="9">
        <v>43374</v>
      </c>
      <c r="K8" s="9">
        <v>43405</v>
      </c>
      <c r="L8" s="9">
        <v>43435</v>
      </c>
      <c r="M8" s="9">
        <v>43466</v>
      </c>
      <c r="N8" s="9">
        <v>43497</v>
      </c>
      <c r="O8" s="10" t="s">
        <v>117</v>
      </c>
      <c r="Q8" s="11" t="s">
        <v>116</v>
      </c>
    </row>
    <row r="9" spans="1:17" ht="15" x14ac:dyDescent="0.2">
      <c r="A9" s="12"/>
      <c r="B9" s="13" t="s">
        <v>118</v>
      </c>
      <c r="C9" s="14">
        <v>93000</v>
      </c>
      <c r="D9" s="14">
        <v>93000</v>
      </c>
      <c r="E9" s="14">
        <v>93000</v>
      </c>
      <c r="F9" s="14">
        <v>93000</v>
      </c>
      <c r="G9" s="14">
        <v>95800</v>
      </c>
      <c r="H9" s="14">
        <v>95800</v>
      </c>
      <c r="I9" s="14">
        <v>95800</v>
      </c>
      <c r="J9" s="14">
        <v>95800</v>
      </c>
      <c r="K9" s="14">
        <v>95800</v>
      </c>
      <c r="L9" s="14">
        <v>95800</v>
      </c>
      <c r="M9" s="14">
        <v>95800</v>
      </c>
      <c r="N9" s="14">
        <v>95800</v>
      </c>
      <c r="O9" s="15">
        <f>SUM(C9:N9)</f>
        <v>1138400</v>
      </c>
      <c r="Q9" s="16" t="s">
        <v>222</v>
      </c>
    </row>
    <row r="10" spans="1:17"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7" ht="15" x14ac:dyDescent="0.2">
      <c r="A11" s="12"/>
      <c r="B11" s="13" t="s">
        <v>120</v>
      </c>
      <c r="C11" s="17">
        <v>4650</v>
      </c>
      <c r="D11" s="17">
        <v>6510</v>
      </c>
      <c r="E11" s="17">
        <v>6510</v>
      </c>
      <c r="F11" s="17">
        <v>6510</v>
      </c>
      <c r="G11" s="17">
        <v>6706</v>
      </c>
      <c r="H11" s="17">
        <v>6706</v>
      </c>
      <c r="I11" s="17">
        <v>6706</v>
      </c>
      <c r="J11" s="17">
        <v>8622</v>
      </c>
      <c r="K11" s="17">
        <v>8622</v>
      </c>
      <c r="L11" s="17">
        <v>8622</v>
      </c>
      <c r="M11" s="17">
        <v>8622</v>
      </c>
      <c r="N11" s="17">
        <v>8622</v>
      </c>
      <c r="O11" s="18">
        <f>SUM(C11:N11)</f>
        <v>87408</v>
      </c>
    </row>
    <row r="12" spans="1:17"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7"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7" ht="15" x14ac:dyDescent="0.2">
      <c r="A14" s="12"/>
      <c r="B14" s="13" t="s">
        <v>123</v>
      </c>
      <c r="C14" s="17">
        <v>7560</v>
      </c>
      <c r="D14" s="17">
        <v>7704</v>
      </c>
      <c r="E14" s="17">
        <v>7704</v>
      </c>
      <c r="F14" s="17">
        <v>7704</v>
      </c>
      <c r="G14" s="17">
        <v>7704</v>
      </c>
      <c r="H14" s="17">
        <v>7704</v>
      </c>
      <c r="I14" s="17">
        <v>7704</v>
      </c>
      <c r="J14" s="17">
        <v>7848</v>
      </c>
      <c r="K14" s="17">
        <v>7848</v>
      </c>
      <c r="L14" s="17">
        <v>7848</v>
      </c>
      <c r="M14" s="17">
        <v>7848</v>
      </c>
      <c r="N14" s="17">
        <v>7848</v>
      </c>
      <c r="O14" s="18">
        <f t="shared" si="0"/>
        <v>93024</v>
      </c>
      <c r="P14" s="170"/>
    </row>
    <row r="15" spans="1:17"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7" ht="15" hidden="1" x14ac:dyDescent="0.2">
      <c r="A16" s="12"/>
      <c r="B16" s="13" t="s">
        <v>405</v>
      </c>
      <c r="C16" s="17">
        <v>0</v>
      </c>
      <c r="D16" s="17">
        <v>0</v>
      </c>
      <c r="E16" s="17">
        <v>0</v>
      </c>
      <c r="F16" s="17">
        <v>0</v>
      </c>
      <c r="G16" s="17">
        <v>0</v>
      </c>
      <c r="H16" s="17">
        <v>0</v>
      </c>
      <c r="I16" s="17">
        <v>0</v>
      </c>
      <c r="J16" s="17">
        <v>0</v>
      </c>
      <c r="K16" s="17">
        <v>0</v>
      </c>
      <c r="L16" s="17">
        <v>0</v>
      </c>
      <c r="M16" s="17">
        <v>0</v>
      </c>
      <c r="N16" s="17">
        <v>0</v>
      </c>
      <c r="O16" s="18">
        <f t="shared" si="0"/>
        <v>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458</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22320</v>
      </c>
      <c r="D19" s="17">
        <v>22320</v>
      </c>
      <c r="E19" s="17">
        <v>22320</v>
      </c>
      <c r="F19" s="17">
        <v>22320</v>
      </c>
      <c r="G19" s="17">
        <v>22992</v>
      </c>
      <c r="H19" s="17">
        <v>22992</v>
      </c>
      <c r="I19" s="17">
        <v>22992</v>
      </c>
      <c r="J19" s="17">
        <v>22992</v>
      </c>
      <c r="K19" s="17">
        <v>22992</v>
      </c>
      <c r="L19" s="17">
        <v>22992</v>
      </c>
      <c r="M19" s="17">
        <v>22992</v>
      </c>
      <c r="N19" s="17">
        <v>22992</v>
      </c>
      <c r="O19" s="18">
        <f t="shared" si="0"/>
        <v>273216</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78"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79"/>
      <c r="B22" s="19" t="s">
        <v>132</v>
      </c>
      <c r="C22" s="17">
        <v>0</v>
      </c>
      <c r="D22" s="17">
        <v>0</v>
      </c>
      <c r="E22" s="17">
        <v>0</v>
      </c>
      <c r="F22" s="17">
        <v>0</v>
      </c>
      <c r="G22" s="17">
        <v>0</v>
      </c>
      <c r="H22" s="17">
        <v>0</v>
      </c>
      <c r="I22" s="17">
        <v>0</v>
      </c>
      <c r="J22" s="17">
        <v>0</v>
      </c>
      <c r="K22" s="17">
        <v>0</v>
      </c>
      <c r="L22" s="17">
        <v>0</v>
      </c>
      <c r="M22" s="17">
        <v>0</v>
      </c>
      <c r="N22" s="17">
        <v>0</v>
      </c>
      <c r="O22" s="18">
        <f t="shared" si="0"/>
        <v>0</v>
      </c>
    </row>
    <row r="23" spans="1:15" ht="15" hidden="1" customHeight="1" x14ac:dyDescent="0.2">
      <c r="A23" s="879"/>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79"/>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79"/>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79"/>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79"/>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79"/>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79"/>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79"/>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customHeight="1" x14ac:dyDescent="0.2">
      <c r="A31" s="879"/>
      <c r="B31" s="167" t="s">
        <v>246</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79"/>
      <c r="B32" s="21" t="s">
        <v>142</v>
      </c>
      <c r="C32" s="17">
        <v>0</v>
      </c>
      <c r="D32" s="17">
        <v>0</v>
      </c>
      <c r="E32" s="17">
        <v>0</v>
      </c>
      <c r="F32" s="17">
        <v>0</v>
      </c>
      <c r="G32" s="17">
        <v>0</v>
      </c>
      <c r="H32" s="17">
        <v>0</v>
      </c>
      <c r="I32" s="17">
        <v>0</v>
      </c>
      <c r="J32" s="17">
        <v>0</v>
      </c>
      <c r="K32" s="17">
        <v>0</v>
      </c>
      <c r="L32" s="17">
        <v>0</v>
      </c>
      <c r="M32" s="17">
        <v>0</v>
      </c>
      <c r="N32" s="17">
        <v>0</v>
      </c>
      <c r="O32" s="18">
        <f t="shared" si="0"/>
        <v>0</v>
      </c>
    </row>
    <row r="33" spans="1:16" ht="15" hidden="1" customHeight="1" x14ac:dyDescent="0.2">
      <c r="A33" s="880"/>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219"/>
      <c r="B34" s="220" t="s">
        <v>143</v>
      </c>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865" t="s">
        <v>145</v>
      </c>
      <c r="B35" s="866"/>
      <c r="C35" s="17">
        <v>0</v>
      </c>
      <c r="D35" s="17">
        <v>432</v>
      </c>
      <c r="E35" s="17">
        <v>0</v>
      </c>
      <c r="F35" s="17">
        <v>0</v>
      </c>
      <c r="G35" s="17">
        <v>0</v>
      </c>
      <c r="H35" s="17">
        <v>0</v>
      </c>
      <c r="I35" s="17">
        <v>0</v>
      </c>
      <c r="J35" s="17">
        <v>432</v>
      </c>
      <c r="K35" s="17">
        <v>0</v>
      </c>
      <c r="L35" s="17">
        <v>0</v>
      </c>
      <c r="M35" s="17">
        <v>0</v>
      </c>
      <c r="N35" s="17">
        <v>0</v>
      </c>
      <c r="O35" s="18">
        <f t="shared" si="0"/>
        <v>864</v>
      </c>
    </row>
    <row r="36" spans="1:16" ht="15" customHeight="1" x14ac:dyDescent="0.2">
      <c r="A36" s="865" t="s">
        <v>146</v>
      </c>
      <c r="B36" s="866"/>
      <c r="C36" s="17">
        <v>0</v>
      </c>
      <c r="D36" s="17">
        <v>5580</v>
      </c>
      <c r="E36" s="17">
        <v>0</v>
      </c>
      <c r="F36" s="17">
        <v>0</v>
      </c>
      <c r="G36" s="17">
        <v>0</v>
      </c>
      <c r="H36" s="17">
        <v>0</v>
      </c>
      <c r="I36" s="17">
        <v>0</v>
      </c>
      <c r="J36" s="17">
        <v>5748</v>
      </c>
      <c r="K36" s="17">
        <v>0</v>
      </c>
      <c r="L36" s="17">
        <v>0</v>
      </c>
      <c r="M36" s="17">
        <v>0</v>
      </c>
      <c r="N36" s="17">
        <v>0</v>
      </c>
      <c r="O36" s="18">
        <f t="shared" si="0"/>
        <v>11328</v>
      </c>
    </row>
    <row r="37" spans="1:16" ht="15" customHeight="1" x14ac:dyDescent="0.2">
      <c r="A37" s="22"/>
      <c r="B37" s="23" t="s">
        <v>147</v>
      </c>
      <c r="C37" s="24">
        <f t="shared" ref="C37:N37" si="1">SUM(C9:C36)</f>
        <v>127530</v>
      </c>
      <c r="D37" s="24">
        <f t="shared" si="1"/>
        <v>135546</v>
      </c>
      <c r="E37" s="24">
        <f t="shared" si="1"/>
        <v>129534</v>
      </c>
      <c r="F37" s="24">
        <f t="shared" si="1"/>
        <v>129534</v>
      </c>
      <c r="G37" s="24">
        <f t="shared" si="1"/>
        <v>133202</v>
      </c>
      <c r="H37" s="24">
        <f t="shared" si="1"/>
        <v>133202</v>
      </c>
      <c r="I37" s="24">
        <f t="shared" si="1"/>
        <v>133202</v>
      </c>
      <c r="J37" s="24">
        <f t="shared" si="1"/>
        <v>141442</v>
      </c>
      <c r="K37" s="24">
        <f t="shared" si="1"/>
        <v>135262</v>
      </c>
      <c r="L37" s="24">
        <f t="shared" si="1"/>
        <v>135262</v>
      </c>
      <c r="M37" s="24">
        <f t="shared" si="1"/>
        <v>135262</v>
      </c>
      <c r="N37" s="24">
        <f t="shared" si="1"/>
        <v>135262</v>
      </c>
      <c r="O37" s="25">
        <f>SUM(C37:N37)</f>
        <v>1604240</v>
      </c>
    </row>
    <row r="38" spans="1:16" ht="15" customHeight="1" x14ac:dyDescent="0.25">
      <c r="A38" s="853" t="s">
        <v>148</v>
      </c>
      <c r="B38" s="27" t="s">
        <v>149</v>
      </c>
      <c r="C38" s="28">
        <v>19400</v>
      </c>
      <c r="D38" s="28">
        <v>20000</v>
      </c>
      <c r="E38" s="28">
        <v>19500</v>
      </c>
      <c r="F38" s="28">
        <v>19500</v>
      </c>
      <c r="G38" s="28">
        <v>19500</v>
      </c>
      <c r="H38" s="28">
        <v>19500</v>
      </c>
      <c r="I38" s="28">
        <v>19500</v>
      </c>
      <c r="J38" s="28">
        <v>19500</v>
      </c>
      <c r="K38" s="28">
        <v>22000</v>
      </c>
      <c r="L38" s="28">
        <v>21500</v>
      </c>
      <c r="M38" s="28">
        <v>21500</v>
      </c>
      <c r="N38">
        <v>23845</v>
      </c>
      <c r="O38" s="18">
        <f>SUM(C38:N38)</f>
        <v>245245</v>
      </c>
      <c r="P38" s="29"/>
    </row>
    <row r="39" spans="1:16" ht="15" customHeight="1" x14ac:dyDescent="0.2">
      <c r="A39" s="854"/>
      <c r="B39" s="27" t="s">
        <v>150</v>
      </c>
      <c r="C39" s="28">
        <v>0</v>
      </c>
      <c r="D39" s="28">
        <v>0</v>
      </c>
      <c r="E39" s="28">
        <v>0</v>
      </c>
      <c r="F39" s="28">
        <v>0</v>
      </c>
      <c r="G39" s="28">
        <v>0</v>
      </c>
      <c r="H39" s="28">
        <v>0</v>
      </c>
      <c r="I39" s="28">
        <v>0</v>
      </c>
      <c r="J39" s="28">
        <v>0</v>
      </c>
      <c r="K39" s="28">
        <v>0</v>
      </c>
      <c r="L39" s="28">
        <v>0</v>
      </c>
      <c r="M39" s="28">
        <v>0</v>
      </c>
      <c r="N39" s="28">
        <v>0</v>
      </c>
      <c r="O39" s="18">
        <f>SUM(C39:N39)</f>
        <v>0</v>
      </c>
    </row>
    <row r="40" spans="1:16" ht="15" x14ac:dyDescent="0.2">
      <c r="A40" s="854"/>
      <c r="B40" s="27" t="s">
        <v>151</v>
      </c>
      <c r="C40" s="28">
        <v>60</v>
      </c>
      <c r="D40" s="28">
        <v>60</v>
      </c>
      <c r="E40" s="28">
        <v>60</v>
      </c>
      <c r="F40" s="28">
        <v>60</v>
      </c>
      <c r="G40" s="28">
        <v>60</v>
      </c>
      <c r="H40" s="28">
        <v>60</v>
      </c>
      <c r="I40" s="28">
        <v>60</v>
      </c>
      <c r="J40" s="28">
        <v>60</v>
      </c>
      <c r="K40" s="28">
        <v>60</v>
      </c>
      <c r="L40" s="28">
        <v>60</v>
      </c>
      <c r="M40" s="28">
        <v>60</v>
      </c>
      <c r="N40" s="28">
        <v>60</v>
      </c>
      <c r="O40" s="18">
        <f t="shared" ref="O40:O50" si="2">SUM(C40:N40)</f>
        <v>720</v>
      </c>
    </row>
    <row r="41" spans="1:16" ht="15" x14ac:dyDescent="0.2">
      <c r="A41" s="854"/>
      <c r="B41" s="27" t="s">
        <v>152</v>
      </c>
      <c r="C41" s="28">
        <v>0</v>
      </c>
      <c r="D41" s="28">
        <v>0</v>
      </c>
      <c r="E41" s="28">
        <v>0</v>
      </c>
      <c r="F41" s="28">
        <v>0</v>
      </c>
      <c r="G41" s="28">
        <v>0</v>
      </c>
      <c r="H41" s="28">
        <v>0</v>
      </c>
      <c r="I41" s="28">
        <v>0</v>
      </c>
      <c r="J41" s="28">
        <v>0</v>
      </c>
      <c r="K41" s="28">
        <v>0</v>
      </c>
      <c r="L41" s="28">
        <v>0</v>
      </c>
      <c r="M41" s="28">
        <v>0</v>
      </c>
      <c r="N41" s="28">
        <v>0</v>
      </c>
      <c r="O41" s="18">
        <f t="shared" si="2"/>
        <v>0</v>
      </c>
    </row>
    <row r="42" spans="1:16" ht="15" x14ac:dyDescent="0.2">
      <c r="A42" s="854"/>
      <c r="B42" s="27" t="s">
        <v>153</v>
      </c>
      <c r="C42" s="28">
        <v>650</v>
      </c>
      <c r="D42" s="28">
        <v>650</v>
      </c>
      <c r="E42" s="28">
        <v>650</v>
      </c>
      <c r="F42" s="28">
        <v>650</v>
      </c>
      <c r="G42" s="28">
        <v>650</v>
      </c>
      <c r="H42" s="28">
        <v>650</v>
      </c>
      <c r="I42" s="28">
        <v>650</v>
      </c>
      <c r="J42" s="28">
        <v>650</v>
      </c>
      <c r="K42" s="28">
        <v>650</v>
      </c>
      <c r="L42" s="28">
        <v>650</v>
      </c>
      <c r="M42" s="28">
        <v>650</v>
      </c>
      <c r="N42" s="28">
        <v>650</v>
      </c>
      <c r="O42" s="18">
        <f t="shared" si="2"/>
        <v>7800</v>
      </c>
    </row>
    <row r="43" spans="1:16" ht="15" x14ac:dyDescent="0.2">
      <c r="A43" s="854"/>
      <c r="B43" s="27" t="s">
        <v>154</v>
      </c>
      <c r="C43" s="28">
        <v>40000</v>
      </c>
      <c r="D43" s="28">
        <v>40000</v>
      </c>
      <c r="E43" s="28">
        <v>40000</v>
      </c>
      <c r="F43" s="28">
        <v>40000</v>
      </c>
      <c r="G43" s="28">
        <v>40000</v>
      </c>
      <c r="H43" s="28">
        <v>40000</v>
      </c>
      <c r="I43" s="28">
        <v>40000</v>
      </c>
      <c r="J43" s="28">
        <v>40000</v>
      </c>
      <c r="K43" s="28">
        <v>40000</v>
      </c>
      <c r="L43" s="28">
        <v>40000</v>
      </c>
      <c r="M43" s="28">
        <v>40000</v>
      </c>
      <c r="N43" s="28">
        <v>40000</v>
      </c>
      <c r="O43" s="18">
        <f t="shared" si="2"/>
        <v>480000</v>
      </c>
    </row>
    <row r="44" spans="1:16" ht="15" x14ac:dyDescent="0.2">
      <c r="A44" s="854"/>
      <c r="B44" s="27" t="s">
        <v>155</v>
      </c>
      <c r="C44" s="28">
        <v>200</v>
      </c>
      <c r="D44" s="28">
        <v>200</v>
      </c>
      <c r="E44" s="28">
        <v>200</v>
      </c>
      <c r="F44" s="28">
        <v>200</v>
      </c>
      <c r="G44" s="28">
        <v>200</v>
      </c>
      <c r="H44" s="28">
        <v>200</v>
      </c>
      <c r="I44" s="28">
        <v>200</v>
      </c>
      <c r="J44" s="28">
        <v>200</v>
      </c>
      <c r="K44" s="28">
        <v>200</v>
      </c>
      <c r="L44" s="28">
        <v>200</v>
      </c>
      <c r="M44" s="28">
        <v>200</v>
      </c>
      <c r="N44" s="28">
        <v>300</v>
      </c>
      <c r="O44" s="18">
        <f t="shared" si="2"/>
        <v>2500</v>
      </c>
    </row>
    <row r="45" spans="1:16" ht="15" x14ac:dyDescent="0.2">
      <c r="A45" s="854"/>
      <c r="B45" s="27" t="s">
        <v>156</v>
      </c>
      <c r="C45" s="28">
        <v>0</v>
      </c>
      <c r="D45" s="28">
        <v>0</v>
      </c>
      <c r="E45" s="28">
        <v>0</v>
      </c>
      <c r="F45" s="28">
        <v>0</v>
      </c>
      <c r="G45" s="28">
        <v>0</v>
      </c>
      <c r="H45" s="28">
        <v>0</v>
      </c>
      <c r="I45" s="28">
        <v>0</v>
      </c>
      <c r="J45" s="28">
        <v>0</v>
      </c>
      <c r="K45" s="28">
        <v>0</v>
      </c>
      <c r="L45" s="28">
        <v>0</v>
      </c>
      <c r="M45" s="28">
        <v>0</v>
      </c>
      <c r="N45" s="28">
        <v>0</v>
      </c>
      <c r="O45" s="18">
        <f t="shared" si="2"/>
        <v>0</v>
      </c>
    </row>
    <row r="46" spans="1:16" ht="15" x14ac:dyDescent="0.2">
      <c r="A46" s="854"/>
      <c r="B46" s="27" t="s">
        <v>157</v>
      </c>
      <c r="C46" s="28">
        <v>0</v>
      </c>
      <c r="D46" s="28">
        <v>0</v>
      </c>
      <c r="E46" s="28">
        <v>0</v>
      </c>
      <c r="F46" s="28">
        <v>0</v>
      </c>
      <c r="G46" s="28">
        <v>0</v>
      </c>
      <c r="H46" s="28">
        <v>0</v>
      </c>
      <c r="I46" s="28">
        <v>0</v>
      </c>
      <c r="J46" s="28">
        <v>0</v>
      </c>
      <c r="K46" s="28">
        <v>0</v>
      </c>
      <c r="L46" s="28">
        <v>0</v>
      </c>
      <c r="M46" s="28">
        <v>0</v>
      </c>
      <c r="N46" s="28">
        <v>0</v>
      </c>
      <c r="O46" s="18">
        <f>SUM(C46:N46)</f>
        <v>0</v>
      </c>
    </row>
    <row r="47" spans="1:16" ht="28.5" customHeight="1" x14ac:dyDescent="0.2">
      <c r="A47" s="855"/>
      <c r="B47" s="30" t="s">
        <v>158</v>
      </c>
      <c r="C47" s="28">
        <v>0</v>
      </c>
      <c r="D47" s="28">
        <v>0</v>
      </c>
      <c r="E47" s="28">
        <v>0</v>
      </c>
      <c r="F47" s="28">
        <v>0</v>
      </c>
      <c r="G47" s="28">
        <v>0</v>
      </c>
      <c r="H47" s="28">
        <v>0</v>
      </c>
      <c r="I47" s="28">
        <v>0</v>
      </c>
      <c r="J47" s="28">
        <v>0</v>
      </c>
      <c r="K47" s="28">
        <v>0</v>
      </c>
      <c r="L47" s="28">
        <v>0</v>
      </c>
      <c r="M47" s="28">
        <v>0</v>
      </c>
      <c r="N47" s="28">
        <v>0</v>
      </c>
      <c r="O47" s="31">
        <f t="shared" si="2"/>
        <v>0</v>
      </c>
    </row>
    <row r="48" spans="1:16" ht="15" x14ac:dyDescent="0.2">
      <c r="A48" s="856"/>
      <c r="B48" s="127" t="s">
        <v>479</v>
      </c>
      <c r="C48" s="28">
        <v>0</v>
      </c>
      <c r="D48" s="28">
        <v>0</v>
      </c>
      <c r="E48" s="28">
        <v>0</v>
      </c>
      <c r="F48" s="28">
        <v>0</v>
      </c>
      <c r="G48" s="28">
        <v>0</v>
      </c>
      <c r="H48" s="28">
        <v>0</v>
      </c>
      <c r="I48" s="28">
        <v>0</v>
      </c>
      <c r="J48" s="28">
        <v>0</v>
      </c>
      <c r="K48" s="28">
        <v>0</v>
      </c>
      <c r="L48" s="28">
        <v>0</v>
      </c>
      <c r="M48" s="28">
        <v>0</v>
      </c>
      <c r="N48" s="28">
        <v>0</v>
      </c>
      <c r="O48" s="31">
        <f t="shared" si="2"/>
        <v>0</v>
      </c>
    </row>
    <row r="49" spans="1:19" ht="15" x14ac:dyDescent="0.2">
      <c r="A49" s="857" t="s">
        <v>160</v>
      </c>
      <c r="B49" s="858"/>
      <c r="C49" s="33">
        <f t="shared" ref="C49:N49" si="3">SUM(C38:C48)</f>
        <v>60310</v>
      </c>
      <c r="D49" s="33">
        <f t="shared" si="3"/>
        <v>60910</v>
      </c>
      <c r="E49" s="33">
        <f t="shared" si="3"/>
        <v>60410</v>
      </c>
      <c r="F49" s="33">
        <f t="shared" si="3"/>
        <v>60410</v>
      </c>
      <c r="G49" s="33">
        <f t="shared" si="3"/>
        <v>60410</v>
      </c>
      <c r="H49" s="33">
        <f t="shared" si="3"/>
        <v>60410</v>
      </c>
      <c r="I49" s="33">
        <f t="shared" si="3"/>
        <v>60410</v>
      </c>
      <c r="J49" s="33">
        <f t="shared" si="3"/>
        <v>60410</v>
      </c>
      <c r="K49" s="33">
        <f t="shared" si="3"/>
        <v>62910</v>
      </c>
      <c r="L49" s="33">
        <f t="shared" si="3"/>
        <v>62410</v>
      </c>
      <c r="M49" s="33">
        <f t="shared" si="3"/>
        <v>62410</v>
      </c>
      <c r="N49" s="33">
        <f t="shared" si="3"/>
        <v>64855</v>
      </c>
      <c r="O49" s="34">
        <f t="shared" si="2"/>
        <v>736265</v>
      </c>
    </row>
    <row r="50" spans="1:19" ht="15.75" thickBot="1" x14ac:dyDescent="0.25">
      <c r="A50" s="859" t="s">
        <v>161</v>
      </c>
      <c r="B50" s="860"/>
      <c r="C50" s="35">
        <f t="shared" ref="C50:N50" si="4">C37-C49</f>
        <v>67220</v>
      </c>
      <c r="D50" s="35">
        <f t="shared" si="4"/>
        <v>74636</v>
      </c>
      <c r="E50" s="35">
        <f t="shared" si="4"/>
        <v>69124</v>
      </c>
      <c r="F50" s="35">
        <f t="shared" si="4"/>
        <v>69124</v>
      </c>
      <c r="G50" s="35">
        <f t="shared" si="4"/>
        <v>72792</v>
      </c>
      <c r="H50" s="35">
        <f t="shared" si="4"/>
        <v>72792</v>
      </c>
      <c r="I50" s="35">
        <f t="shared" si="4"/>
        <v>72792</v>
      </c>
      <c r="J50" s="35">
        <f t="shared" si="4"/>
        <v>81032</v>
      </c>
      <c r="K50" s="35">
        <f t="shared" si="4"/>
        <v>72352</v>
      </c>
      <c r="L50" s="35">
        <f t="shared" si="4"/>
        <v>72852</v>
      </c>
      <c r="M50" s="35">
        <f t="shared" si="4"/>
        <v>72852</v>
      </c>
      <c r="N50" s="35">
        <f t="shared" si="4"/>
        <v>70407</v>
      </c>
      <c r="O50" s="36">
        <f t="shared" si="2"/>
        <v>867975</v>
      </c>
      <c r="Q50" s="16">
        <f>52650+46350+10964+48981+49101+51075+49375*2+10560+3454+51495+51395*3+16214+51142</f>
        <v>644921</v>
      </c>
    </row>
    <row r="51" spans="1:19" x14ac:dyDescent="0.2">
      <c r="J51" s="16">
        <f>+J37-SUM(J20:J36)</f>
        <v>135262</v>
      </c>
      <c r="Q51" s="38"/>
    </row>
    <row r="52" spans="1:19" ht="13.5" thickBot="1" x14ac:dyDescent="0.25">
      <c r="J52" s="38">
        <f>+J51-J49</f>
        <v>74852</v>
      </c>
    </row>
    <row r="53" spans="1:19" ht="13.5" thickBot="1" x14ac:dyDescent="0.25">
      <c r="B53" s="789" t="s">
        <v>162</v>
      </c>
      <c r="C53" s="861"/>
      <c r="D53" s="861"/>
      <c r="E53" s="861"/>
      <c r="F53" s="862"/>
      <c r="G53" s="863">
        <f>O37</f>
        <v>1604240</v>
      </c>
      <c r="H53" s="864"/>
    </row>
    <row r="54" spans="1:19" ht="13.5" thickBot="1" x14ac:dyDescent="0.25"/>
    <row r="55" spans="1:19" x14ac:dyDescent="0.2">
      <c r="B55" s="830" t="s">
        <v>163</v>
      </c>
      <c r="C55" s="833" t="s">
        <v>164</v>
      </c>
      <c r="D55" s="836" t="s">
        <v>811</v>
      </c>
      <c r="E55" s="837"/>
      <c r="F55" s="838"/>
      <c r="G55" s="839">
        <v>40000</v>
      </c>
      <c r="H55" s="840"/>
    </row>
    <row r="56" spans="1:19" x14ac:dyDescent="0.2">
      <c r="B56" s="831"/>
      <c r="C56" s="834"/>
      <c r="D56" s="841" t="s">
        <v>166</v>
      </c>
      <c r="E56" s="842"/>
      <c r="F56" s="843"/>
      <c r="G56" s="844">
        <f>+O44</f>
        <v>2500</v>
      </c>
      <c r="H56" s="845"/>
      <c r="I56" s="39"/>
      <c r="J56" s="846"/>
      <c r="K56" s="846"/>
      <c r="L56" s="846"/>
      <c r="M56" s="847"/>
      <c r="N56" s="847"/>
      <c r="O56" s="847"/>
    </row>
    <row r="57" spans="1:19" ht="13.5" thickBot="1" x14ac:dyDescent="0.25">
      <c r="B57" s="832"/>
      <c r="C57" s="835"/>
      <c r="D57" s="848" t="s">
        <v>243</v>
      </c>
      <c r="E57" s="849"/>
      <c r="F57" s="850"/>
      <c r="G57" s="851">
        <f>IF(O18&gt;15000,15000,+O18)</f>
        <v>0</v>
      </c>
      <c r="H57" s="852"/>
      <c r="J57" s="47"/>
      <c r="K57" s="47"/>
      <c r="L57" s="47"/>
      <c r="M57" s="47"/>
      <c r="N57" s="47"/>
      <c r="O57" s="47"/>
    </row>
    <row r="58" spans="1:19" ht="13.5" thickBot="1" x14ac:dyDescent="0.25">
      <c r="B58" s="48"/>
      <c r="J58" s="47"/>
      <c r="K58" s="47"/>
      <c r="L58" s="47"/>
      <c r="M58" s="47"/>
      <c r="N58" s="47"/>
      <c r="O58" s="47"/>
    </row>
    <row r="59" spans="1:19" ht="13.5" thickBot="1" x14ac:dyDescent="0.25">
      <c r="B59" s="789" t="s">
        <v>168</v>
      </c>
      <c r="C59" s="790"/>
      <c r="D59" s="790"/>
      <c r="E59" s="790"/>
      <c r="F59" s="791"/>
      <c r="G59" s="825">
        <f>+G53-SUM(G55:H57)</f>
        <v>1561740</v>
      </c>
      <c r="H59" s="826"/>
      <c r="J59" s="827" t="s">
        <v>169</v>
      </c>
      <c r="K59" s="828"/>
      <c r="L59" s="828"/>
      <c r="M59" s="828"/>
      <c r="N59" s="828"/>
      <c r="O59" s="829"/>
    </row>
    <row r="60" spans="1:19" ht="13.5" thickBot="1" x14ac:dyDescent="0.25">
      <c r="B60" s="49"/>
      <c r="C60" s="50"/>
      <c r="D60" s="50"/>
      <c r="E60" s="50"/>
      <c r="F60" s="50"/>
      <c r="G60" s="45"/>
      <c r="H60" s="50"/>
      <c r="J60" s="129"/>
      <c r="K60" s="130"/>
      <c r="L60" s="130"/>
      <c r="M60" s="130"/>
      <c r="N60" s="130"/>
      <c r="O60" s="131"/>
    </row>
    <row r="61" spans="1:19" ht="13.5" thickBot="1" x14ac:dyDescent="0.25">
      <c r="B61" s="789" t="s">
        <v>170</v>
      </c>
      <c r="C61" s="790"/>
      <c r="D61" s="790"/>
      <c r="E61" s="790"/>
      <c r="F61" s="791"/>
      <c r="G61" s="805"/>
      <c r="H61" s="791"/>
      <c r="J61" s="129"/>
      <c r="K61" s="130"/>
      <c r="L61" s="130"/>
      <c r="M61" s="130"/>
      <c r="N61" s="130"/>
      <c r="O61" s="131"/>
    </row>
    <row r="62" spans="1:19" ht="12.75" customHeight="1" x14ac:dyDescent="0.2">
      <c r="B62" s="57" t="s">
        <v>171</v>
      </c>
      <c r="C62" s="806" t="s">
        <v>172</v>
      </c>
      <c r="D62" s="807"/>
      <c r="E62" s="807"/>
      <c r="F62" s="808"/>
      <c r="G62" s="809">
        <v>0</v>
      </c>
      <c r="H62" s="809"/>
      <c r="I62" s="58"/>
      <c r="J62" s="810" t="s">
        <v>173</v>
      </c>
      <c r="K62" s="811"/>
      <c r="L62" s="811"/>
      <c r="M62" s="811"/>
      <c r="N62" s="811"/>
      <c r="O62" s="812"/>
      <c r="Q62" s="59"/>
      <c r="R62" s="59"/>
      <c r="S62" s="59"/>
    </row>
    <row r="63" spans="1:19" ht="13.5" thickBot="1" x14ac:dyDescent="0.25">
      <c r="D63" s="37"/>
      <c r="I63" s="58"/>
      <c r="J63" s="60" t="s">
        <v>360</v>
      </c>
      <c r="K63" s="132"/>
      <c r="L63" s="132"/>
      <c r="M63" s="133"/>
      <c r="N63" s="133"/>
      <c r="O63" s="134"/>
      <c r="Q63" s="59"/>
      <c r="R63" s="59"/>
      <c r="S63" s="59"/>
    </row>
    <row r="64" spans="1:19" ht="13.5" thickBot="1" x14ac:dyDescent="0.25">
      <c r="B64" s="789" t="s">
        <v>175</v>
      </c>
      <c r="C64" s="790"/>
      <c r="D64" s="790"/>
      <c r="E64" s="790"/>
      <c r="F64" s="791"/>
      <c r="G64" s="805">
        <f>+G59-G62</f>
        <v>1561740</v>
      </c>
      <c r="H64" s="791"/>
      <c r="I64" s="63"/>
      <c r="J64" s="64"/>
      <c r="K64" s="39"/>
      <c r="L64" s="39"/>
      <c r="M64" s="39"/>
      <c r="N64" s="39"/>
      <c r="O64" s="65"/>
      <c r="Q64" s="59"/>
      <c r="R64" s="59"/>
      <c r="S64" s="59"/>
    </row>
    <row r="65" spans="2:19" ht="12.75" customHeight="1" x14ac:dyDescent="0.2">
      <c r="B65" s="48"/>
      <c r="C65" s="48"/>
      <c r="I65" s="63"/>
      <c r="J65" s="64"/>
      <c r="K65" s="39"/>
      <c r="L65" s="39"/>
      <c r="M65" s="39"/>
      <c r="N65" s="39"/>
      <c r="O65" s="65"/>
      <c r="Q65" s="59"/>
      <c r="R65" s="59"/>
      <c r="S65" s="59"/>
    </row>
    <row r="66" spans="2:19" x14ac:dyDescent="0.2">
      <c r="B66" s="66" t="s">
        <v>176</v>
      </c>
      <c r="C66" s="48"/>
      <c r="I66" s="63"/>
      <c r="J66" s="67"/>
      <c r="K66" s="68"/>
      <c r="L66" s="68"/>
      <c r="M66" s="68"/>
      <c r="N66" s="68"/>
      <c r="O66" s="69"/>
      <c r="Q66" s="59"/>
      <c r="R66" s="59"/>
      <c r="S66" s="59"/>
    </row>
    <row r="67" spans="2:19" ht="27.75" customHeight="1" thickBot="1" x14ac:dyDescent="0.25">
      <c r="B67" s="66"/>
      <c r="C67" s="48"/>
      <c r="G67" s="70" t="s">
        <v>177</v>
      </c>
      <c r="H67" s="70" t="s">
        <v>178</v>
      </c>
      <c r="I67" s="63"/>
      <c r="J67" s="810" t="s">
        <v>179</v>
      </c>
      <c r="K67" s="811"/>
      <c r="L67" s="71"/>
      <c r="M67" s="71"/>
      <c r="N67" s="71"/>
      <c r="O67" s="72"/>
      <c r="Q67" s="59"/>
      <c r="R67" s="59"/>
      <c r="S67" s="59"/>
    </row>
    <row r="68" spans="2:19" ht="12.75" customHeight="1" x14ac:dyDescent="0.2">
      <c r="B68" s="802" t="s">
        <v>180</v>
      </c>
      <c r="C68" s="821" t="s">
        <v>181</v>
      </c>
      <c r="D68" s="823" t="s">
        <v>182</v>
      </c>
      <c r="E68" s="824"/>
      <c r="F68" s="824"/>
      <c r="G68" s="73">
        <f>+O43</f>
        <v>480000</v>
      </c>
      <c r="H68" s="74">
        <f>+G68</f>
        <v>480000</v>
      </c>
      <c r="I68" s="63"/>
      <c r="J68" s="75" t="s">
        <v>183</v>
      </c>
      <c r="K68" s="58"/>
      <c r="L68" s="58"/>
      <c r="M68" s="58"/>
      <c r="N68" s="58"/>
      <c r="O68" s="76"/>
      <c r="Q68" s="59"/>
      <c r="R68" s="59"/>
      <c r="S68" s="59"/>
    </row>
    <row r="69" spans="2:19" ht="12.75" customHeight="1" x14ac:dyDescent="0.2">
      <c r="B69" s="803"/>
      <c r="C69" s="822"/>
      <c r="D69" s="782" t="s">
        <v>184</v>
      </c>
      <c r="E69" s="783"/>
      <c r="F69" s="783"/>
      <c r="G69" s="77">
        <f>+O47</f>
        <v>0</v>
      </c>
      <c r="H69" s="78">
        <f t="shared" ref="H69:H75" si="5">+G69</f>
        <v>0</v>
      </c>
      <c r="I69" s="63"/>
      <c r="J69" s="79"/>
      <c r="K69" s="68"/>
      <c r="L69" s="68"/>
      <c r="M69" s="68"/>
      <c r="N69" s="68"/>
      <c r="O69" s="69"/>
      <c r="Q69" s="59"/>
      <c r="R69" s="59"/>
      <c r="S69" s="59"/>
    </row>
    <row r="70" spans="2:19" ht="12.75" customHeight="1" x14ac:dyDescent="0.2">
      <c r="B70" s="803"/>
      <c r="C70" s="822"/>
      <c r="D70" s="819" t="s">
        <v>185</v>
      </c>
      <c r="E70" s="820"/>
      <c r="F70" s="820"/>
      <c r="G70" s="80">
        <f>O40</f>
        <v>720</v>
      </c>
      <c r="H70" s="78">
        <f t="shared" si="5"/>
        <v>720</v>
      </c>
      <c r="I70" s="63"/>
      <c r="J70" s="67"/>
      <c r="K70" s="68"/>
      <c r="L70" s="68"/>
      <c r="M70" s="68"/>
      <c r="N70" s="68"/>
      <c r="O70" s="69"/>
    </row>
    <row r="71" spans="2:19" x14ac:dyDescent="0.2">
      <c r="B71" s="803"/>
      <c r="C71" s="822"/>
      <c r="D71" s="782" t="s">
        <v>186</v>
      </c>
      <c r="E71" s="783"/>
      <c r="F71" s="783"/>
      <c r="G71" s="81">
        <v>0</v>
      </c>
      <c r="H71" s="78">
        <f t="shared" si="5"/>
        <v>0</v>
      </c>
      <c r="I71" s="63"/>
      <c r="J71" s="82" t="s">
        <v>187</v>
      </c>
      <c r="K71" s="71"/>
      <c r="L71" s="71"/>
      <c r="M71" s="71"/>
      <c r="N71" s="71"/>
      <c r="O71" s="72"/>
    </row>
    <row r="72" spans="2:19" ht="12.75" customHeight="1" x14ac:dyDescent="0.2">
      <c r="B72" s="803"/>
      <c r="C72" s="822"/>
      <c r="D72" s="784" t="s">
        <v>188</v>
      </c>
      <c r="E72" s="783"/>
      <c r="F72" s="783"/>
      <c r="G72" s="80">
        <v>0</v>
      </c>
      <c r="H72" s="78">
        <f t="shared" si="5"/>
        <v>0</v>
      </c>
      <c r="I72" s="63"/>
      <c r="J72" s="75" t="s">
        <v>189</v>
      </c>
      <c r="K72" s="50"/>
      <c r="L72" s="50"/>
      <c r="M72" s="50"/>
      <c r="N72" s="50"/>
      <c r="O72" s="83">
        <f>O42</f>
        <v>7800</v>
      </c>
    </row>
    <row r="73" spans="2:19" ht="14.25" customHeight="1" x14ac:dyDescent="0.2">
      <c r="B73" s="803"/>
      <c r="C73" s="822"/>
      <c r="D73" s="782" t="s">
        <v>190</v>
      </c>
      <c r="E73" s="783"/>
      <c r="F73" s="783"/>
      <c r="G73" s="84">
        <v>0</v>
      </c>
      <c r="H73" s="78">
        <f t="shared" si="5"/>
        <v>0</v>
      </c>
      <c r="I73" s="63"/>
      <c r="J73" s="75" t="s">
        <v>980</v>
      </c>
      <c r="K73" s="39"/>
      <c r="L73" s="39"/>
      <c r="M73" s="39"/>
      <c r="N73" s="39"/>
      <c r="O73" s="65"/>
    </row>
    <row r="74" spans="2:19" x14ac:dyDescent="0.2">
      <c r="B74" s="803"/>
      <c r="C74" s="822"/>
      <c r="D74" s="782" t="s">
        <v>191</v>
      </c>
      <c r="E74" s="783"/>
      <c r="F74" s="783"/>
      <c r="G74" s="81">
        <v>0</v>
      </c>
      <c r="H74" s="78">
        <f t="shared" si="5"/>
        <v>0</v>
      </c>
      <c r="I74" s="58"/>
      <c r="J74" s="137" t="s">
        <v>981</v>
      </c>
      <c r="K74" s="50"/>
      <c r="L74" s="50"/>
      <c r="M74" s="50"/>
      <c r="N74" s="50"/>
      <c r="O74" s="83"/>
    </row>
    <row r="75" spans="2:19" x14ac:dyDescent="0.2">
      <c r="B75" s="803"/>
      <c r="C75" s="88" t="s">
        <v>192</v>
      </c>
      <c r="D75" s="813" t="s">
        <v>193</v>
      </c>
      <c r="E75" s="814"/>
      <c r="F75" s="814"/>
      <c r="G75" s="80">
        <v>0</v>
      </c>
      <c r="H75" s="78">
        <f t="shared" si="5"/>
        <v>0</v>
      </c>
      <c r="I75" s="58"/>
      <c r="J75" s="79"/>
      <c r="K75" s="39"/>
      <c r="L75" s="39"/>
      <c r="M75" s="183"/>
      <c r="N75" s="39"/>
      <c r="O75" s="65"/>
    </row>
    <row r="76" spans="2:19" ht="13.5" customHeight="1" thickBot="1" x14ac:dyDescent="0.25">
      <c r="B76" s="803"/>
      <c r="C76" s="88" t="s">
        <v>194</v>
      </c>
      <c r="D76" s="815" t="s">
        <v>195</v>
      </c>
      <c r="E76" s="815"/>
      <c r="F76" s="815"/>
      <c r="G76" s="89">
        <v>0</v>
      </c>
      <c r="H76" s="90">
        <f>+G76</f>
        <v>0</v>
      </c>
      <c r="I76" s="63"/>
      <c r="J76" s="67"/>
      <c r="K76" s="68"/>
      <c r="L76" s="68"/>
      <c r="M76" s="91"/>
      <c r="N76" s="91"/>
      <c r="O76" s="92"/>
    </row>
    <row r="77" spans="2:19" ht="13.5" thickBot="1" x14ac:dyDescent="0.25">
      <c r="B77" s="803"/>
      <c r="C77" s="93"/>
      <c r="D77" s="94"/>
      <c r="E77" s="816" t="s">
        <v>117</v>
      </c>
      <c r="F77" s="817"/>
      <c r="G77" s="95">
        <f>SUM(G68:G76)</f>
        <v>480720</v>
      </c>
      <c r="H77" s="96">
        <f>IF(SUM(G68:G74)&lt;150000,SUM(G68:G74),150000)+IF(+G75&lt;20000,+G75,20000)</f>
        <v>150000</v>
      </c>
      <c r="I77" s="63"/>
      <c r="J77" s="140"/>
      <c r="K77" s="141"/>
      <c r="L77" s="141"/>
      <c r="M77" s="142"/>
      <c r="N77" s="142"/>
      <c r="O77" s="143"/>
    </row>
    <row r="78" spans="2:19" ht="12.75" customHeight="1" x14ac:dyDescent="0.2">
      <c r="B78" s="803"/>
      <c r="C78" s="100" t="s">
        <v>196</v>
      </c>
      <c r="D78" s="782" t="s">
        <v>187</v>
      </c>
      <c r="E78" s="783"/>
      <c r="F78" s="818"/>
      <c r="G78" s="73">
        <f>O40</f>
        <v>720</v>
      </c>
      <c r="H78" s="101">
        <f>+IF(+G78&lt;25000,+G78,25000)</f>
        <v>720</v>
      </c>
      <c r="I78" s="87"/>
    </row>
    <row r="79" spans="2:19" x14ac:dyDescent="0.2">
      <c r="B79" s="803"/>
      <c r="C79" s="100" t="s">
        <v>197</v>
      </c>
      <c r="D79" s="784" t="s">
        <v>198</v>
      </c>
      <c r="E79" s="785"/>
      <c r="F79" s="786"/>
      <c r="G79" s="102"/>
      <c r="H79" s="103">
        <f>+IF(+G79&lt;40000,+G79,40000)</f>
        <v>0</v>
      </c>
      <c r="I79" s="63"/>
    </row>
    <row r="80" spans="2:19" x14ac:dyDescent="0.2">
      <c r="B80" s="803"/>
      <c r="C80" s="100" t="s">
        <v>199</v>
      </c>
      <c r="D80" s="784" t="s">
        <v>200</v>
      </c>
      <c r="E80" s="785"/>
      <c r="F80" s="786"/>
      <c r="G80" s="81"/>
      <c r="H80" s="104">
        <v>0</v>
      </c>
      <c r="I80" s="63"/>
    </row>
    <row r="81" spans="2:12" x14ac:dyDescent="0.2">
      <c r="B81" s="803"/>
      <c r="C81" s="100" t="s">
        <v>201</v>
      </c>
      <c r="D81" s="784" t="s">
        <v>202</v>
      </c>
      <c r="E81" s="785"/>
      <c r="F81" s="786"/>
      <c r="G81" s="81"/>
      <c r="H81" s="104">
        <v>0</v>
      </c>
      <c r="I81" s="63"/>
      <c r="J81" s="106"/>
    </row>
    <row r="82" spans="2:12" ht="13.5" thickBot="1" x14ac:dyDescent="0.25">
      <c r="B82" s="804"/>
      <c r="C82" s="100" t="s">
        <v>203</v>
      </c>
      <c r="D82" s="784" t="s">
        <v>204</v>
      </c>
      <c r="E82" s="785"/>
      <c r="F82" s="786"/>
      <c r="G82" s="102"/>
      <c r="H82" s="103">
        <f>+IF(+G82&lt;100000,+G82,10000)</f>
        <v>0</v>
      </c>
      <c r="I82" s="63"/>
    </row>
    <row r="83" spans="2:12" ht="13.5" thickBot="1" x14ac:dyDescent="0.25">
      <c r="B83" s="787" t="s">
        <v>205</v>
      </c>
      <c r="C83" s="788"/>
      <c r="D83" s="788"/>
      <c r="E83" s="788"/>
      <c r="F83" s="788"/>
      <c r="G83" s="107">
        <f>SUM(G78:G82)</f>
        <v>720</v>
      </c>
      <c r="H83" s="108">
        <f>SUM(H77:H82)</f>
        <v>150720</v>
      </c>
    </row>
    <row r="84" spans="2:12" ht="13.5" thickBot="1" x14ac:dyDescent="0.25"/>
    <row r="85" spans="2:12" ht="13.5" thickBot="1" x14ac:dyDescent="0.25">
      <c r="B85" s="789" t="s">
        <v>206</v>
      </c>
      <c r="C85" s="790"/>
      <c r="D85" s="790"/>
      <c r="E85" s="790"/>
      <c r="F85" s="791"/>
      <c r="G85" s="792">
        <f>+G64-H83</f>
        <v>1411020</v>
      </c>
      <c r="H85" s="791"/>
      <c r="J85" s="109">
        <f>C37+D37+E37+F37</f>
        <v>522144</v>
      </c>
      <c r="K85" s="16" t="s">
        <v>235</v>
      </c>
    </row>
    <row r="86" spans="2:12" x14ac:dyDescent="0.2">
      <c r="B86" s="110"/>
      <c r="F86" s="105"/>
      <c r="J86" s="109">
        <f>G37+H37+I37</f>
        <v>399606</v>
      </c>
      <c r="K86" s="16" t="s">
        <v>236</v>
      </c>
    </row>
    <row r="87" spans="2:12" x14ac:dyDescent="0.2">
      <c r="C87" s="793" t="s">
        <v>207</v>
      </c>
      <c r="D87" s="794"/>
      <c r="E87" s="111" t="s">
        <v>208</v>
      </c>
      <c r="F87" s="111" t="s">
        <v>209</v>
      </c>
      <c r="G87" s="111" t="s">
        <v>210</v>
      </c>
      <c r="H87" s="111" t="s">
        <v>211</v>
      </c>
      <c r="J87" s="109">
        <f>J37+K37+L37</f>
        <v>411966</v>
      </c>
      <c r="K87" s="47" t="s">
        <v>237</v>
      </c>
    </row>
    <row r="88" spans="2:12" x14ac:dyDescent="0.2">
      <c r="C88" s="795" t="str">
        <f>IF(I6="M","0          - 250000","0          -  250000")</f>
        <v>0          - 250000</v>
      </c>
      <c r="D88" s="796"/>
      <c r="E88" s="112">
        <v>0</v>
      </c>
      <c r="F88" s="113">
        <f>IF(I6="M",(IF(G85&lt;250000,G85,250000)),(IF(G85&lt;250000,G85,250000)))</f>
        <v>250000</v>
      </c>
      <c r="G88" s="113">
        <f>G85-F88</f>
        <v>1161020</v>
      </c>
      <c r="H88" s="113">
        <f>E88*F88</f>
        <v>0</v>
      </c>
      <c r="J88" s="16">
        <f>M37+N37</f>
        <v>270524</v>
      </c>
      <c r="K88" s="1" t="s">
        <v>238</v>
      </c>
    </row>
    <row r="89" spans="2:12" x14ac:dyDescent="0.2">
      <c r="C89" s="795" t="str">
        <f>IF(I6="M","250001 - 500000","250001-500000")</f>
        <v>250001 - 500000</v>
      </c>
      <c r="D89" s="796"/>
      <c r="E89" s="112">
        <v>0.05</v>
      </c>
      <c r="F89" s="113">
        <f>IF(I6="M",(IF(G88&lt;250000,G88,250000)),(IF(G88&lt;250000,G88,250000)))</f>
        <v>250000</v>
      </c>
      <c r="G89" s="113">
        <f>G88-F89</f>
        <v>911020</v>
      </c>
      <c r="H89" s="114">
        <f>ROUND(E89*F89,0.1)</f>
        <v>12500</v>
      </c>
      <c r="J89" s="115">
        <f>SUM(J85:J88)</f>
        <v>1604240</v>
      </c>
    </row>
    <row r="90" spans="2:12" x14ac:dyDescent="0.2">
      <c r="C90" s="797" t="s">
        <v>212</v>
      </c>
      <c r="D90" s="798"/>
      <c r="E90" s="112">
        <v>0.2</v>
      </c>
      <c r="F90" s="113">
        <f>IF(G89&lt;500000,G89,500000)</f>
        <v>500000</v>
      </c>
      <c r="G90" s="113">
        <f>G89-F90</f>
        <v>411020</v>
      </c>
      <c r="H90" s="114">
        <f>ROUND(E90*F90,0.1)</f>
        <v>100000</v>
      </c>
      <c r="J90" s="16">
        <f>+G85</f>
        <v>1411020</v>
      </c>
    </row>
    <row r="91" spans="2:12" x14ac:dyDescent="0.2">
      <c r="C91" s="795" t="s">
        <v>213</v>
      </c>
      <c r="D91" s="796"/>
      <c r="E91" s="112">
        <v>0.3</v>
      </c>
      <c r="F91" s="113">
        <f>G90</f>
        <v>411020</v>
      </c>
      <c r="G91" s="113">
        <f>G90-F91</f>
        <v>0</v>
      </c>
      <c r="H91" s="114">
        <f>ROUND(E91*F91,0.1)</f>
        <v>123306</v>
      </c>
      <c r="J91" s="16">
        <f>+J89-J90</f>
        <v>193220</v>
      </c>
    </row>
    <row r="92" spans="2:12" ht="12.75" customHeight="1" thickBot="1" x14ac:dyDescent="0.25">
      <c r="B92" s="116"/>
      <c r="C92" s="117"/>
      <c r="D92" s="47"/>
      <c r="E92" s="47"/>
      <c r="F92" s="47"/>
      <c r="K92" s="118"/>
    </row>
    <row r="93" spans="2:12" ht="13.5" thickBot="1" x14ac:dyDescent="0.25">
      <c r="B93" s="799" t="s">
        <v>239</v>
      </c>
      <c r="C93" s="800"/>
      <c r="D93" s="800"/>
      <c r="E93" s="800"/>
      <c r="F93" s="801"/>
      <c r="G93" s="771">
        <f>H88+H89+H90+H91</f>
        <v>235806</v>
      </c>
      <c r="H93" s="772"/>
    </row>
    <row r="94" spans="2:12" ht="13.5" thickBot="1" x14ac:dyDescent="0.25">
      <c r="B94" s="119" t="s">
        <v>215</v>
      </c>
      <c r="C94" s="120"/>
      <c r="D94" s="120"/>
      <c r="E94" s="120"/>
      <c r="F94" s="120"/>
      <c r="G94" s="884">
        <f>IF((G64&lt;500000),5000,0)</f>
        <v>0</v>
      </c>
      <c r="H94" s="885">
        <f>IF(H92&lt;200000,0,IF(H92&lt;220000,((H92-200000)*10%),IF(H92&lt;=500000,2000,IF(H92&gt;=500000,0))))</f>
        <v>0</v>
      </c>
      <c r="J94" s="1"/>
      <c r="K94" s="121"/>
      <c r="L94" s="121"/>
    </row>
    <row r="95" spans="2:12" ht="13.5" thickBot="1" x14ac:dyDescent="0.25">
      <c r="B95" s="122" t="s">
        <v>216</v>
      </c>
      <c r="C95" s="123"/>
      <c r="D95" s="123"/>
      <c r="E95" s="123"/>
      <c r="F95" s="123"/>
      <c r="G95" s="771">
        <f>IF((G93-G94)&lt;0,0,(G93-G94))</f>
        <v>235806</v>
      </c>
      <c r="H95" s="772"/>
      <c r="I95" s="37"/>
    </row>
    <row r="96" spans="2:12" ht="13.5" thickBot="1" x14ac:dyDescent="0.25">
      <c r="B96" s="773" t="s">
        <v>240</v>
      </c>
      <c r="C96" s="774"/>
      <c r="D96" s="774"/>
      <c r="E96" s="774"/>
      <c r="F96" s="775"/>
      <c r="G96" s="776">
        <f>ROUND((IF(G95&gt;0,(G95*4%),0)),0)</f>
        <v>9432</v>
      </c>
      <c r="H96" s="777"/>
      <c r="I96" s="37"/>
    </row>
    <row r="97" spans="2:9" ht="13.5" thickBot="1" x14ac:dyDescent="0.25">
      <c r="B97" s="778" t="s">
        <v>218</v>
      </c>
      <c r="C97" s="779"/>
      <c r="D97" s="779"/>
      <c r="E97" s="779"/>
      <c r="F97" s="779"/>
      <c r="G97" s="780">
        <f>G95+G96</f>
        <v>245238</v>
      </c>
      <c r="H97" s="781"/>
      <c r="I97" s="121"/>
    </row>
    <row r="98" spans="2:9" ht="13.5" thickBot="1" x14ac:dyDescent="0.25">
      <c r="B98" s="765" t="s">
        <v>219</v>
      </c>
      <c r="C98" s="766"/>
      <c r="D98" s="766"/>
      <c r="E98" s="766"/>
      <c r="F98" s="766"/>
      <c r="G98" s="767">
        <f>O38</f>
        <v>245245</v>
      </c>
      <c r="H98" s="768"/>
      <c r="I98" s="121"/>
    </row>
    <row r="99" spans="2:9" ht="13.5" thickBot="1" x14ac:dyDescent="0.25">
      <c r="B99" s="765" t="str">
        <f>IF(G99&gt;0,"TAX PAYABLE","TAX REFUND")</f>
        <v>TAX REFUND</v>
      </c>
      <c r="C99" s="766"/>
      <c r="D99" s="766"/>
      <c r="E99" s="766"/>
      <c r="F99" s="766"/>
      <c r="G99" s="767">
        <f>+G97-G98</f>
        <v>-7</v>
      </c>
      <c r="H99" s="768"/>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c r="I106" s="121"/>
    </row>
    <row r="107" spans="2:9" x14ac:dyDescent="0.2">
      <c r="C107" s="39"/>
      <c r="D107" s="39"/>
      <c r="E107" s="39"/>
      <c r="F107" s="39"/>
      <c r="G107" s="39"/>
      <c r="H107" s="39"/>
    </row>
  </sheetData>
  <mergeCells count="92">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8:A48"/>
    <mergeCell ref="A5:C5"/>
    <mergeCell ref="D5:F5"/>
    <mergeCell ref="G5:H5"/>
    <mergeCell ref="I5:O5"/>
    <mergeCell ref="A6:C6"/>
    <mergeCell ref="D6:F6"/>
    <mergeCell ref="G6:H6"/>
    <mergeCell ref="J6:O6"/>
    <mergeCell ref="L7:O7"/>
    <mergeCell ref="A8:B8"/>
    <mergeCell ref="A21:A33"/>
    <mergeCell ref="A35:B35"/>
    <mergeCell ref="A36:B36"/>
    <mergeCell ref="A49:B49"/>
    <mergeCell ref="A50:B50"/>
    <mergeCell ref="B53:F53"/>
    <mergeCell ref="G53:H53"/>
    <mergeCell ref="B55:B57"/>
    <mergeCell ref="C55:C57"/>
    <mergeCell ref="D55:F55"/>
    <mergeCell ref="G55:H55"/>
    <mergeCell ref="D56:F56"/>
    <mergeCell ref="G56:H56"/>
    <mergeCell ref="B64:F64"/>
    <mergeCell ref="G64:H64"/>
    <mergeCell ref="J56:L56"/>
    <mergeCell ref="M56:O56"/>
    <mergeCell ref="D57:F57"/>
    <mergeCell ref="G57:H57"/>
    <mergeCell ref="B59:F59"/>
    <mergeCell ref="G59:H59"/>
    <mergeCell ref="J59:O59"/>
    <mergeCell ref="B61:F61"/>
    <mergeCell ref="G61:H61"/>
    <mergeCell ref="C62:F62"/>
    <mergeCell ref="G62:H62"/>
    <mergeCell ref="J62:O62"/>
    <mergeCell ref="D80:F80"/>
    <mergeCell ref="J67:K67"/>
    <mergeCell ref="B68:B82"/>
    <mergeCell ref="C68:C74"/>
    <mergeCell ref="D68:F68"/>
    <mergeCell ref="D69:F69"/>
    <mergeCell ref="D70:F70"/>
    <mergeCell ref="D71:F71"/>
    <mergeCell ref="D72:F72"/>
    <mergeCell ref="D73:F73"/>
    <mergeCell ref="D74:F74"/>
    <mergeCell ref="D75:F75"/>
    <mergeCell ref="D76:F76"/>
    <mergeCell ref="E77:F77"/>
    <mergeCell ref="D78:F78"/>
    <mergeCell ref="D79:F79"/>
    <mergeCell ref="G93:H93"/>
    <mergeCell ref="D81:F81"/>
    <mergeCell ref="D82:F82"/>
    <mergeCell ref="B83:F83"/>
    <mergeCell ref="B85:F85"/>
    <mergeCell ref="G85:H85"/>
    <mergeCell ref="C87:D87"/>
    <mergeCell ref="C88:D88"/>
    <mergeCell ref="C89:D89"/>
    <mergeCell ref="C90:D90"/>
    <mergeCell ref="C91:D91"/>
    <mergeCell ref="B93:F93"/>
    <mergeCell ref="B98:F98"/>
    <mergeCell ref="G98:H98"/>
    <mergeCell ref="B99:F99"/>
    <mergeCell ref="G99:H99"/>
    <mergeCell ref="G94:H94"/>
    <mergeCell ref="G95:H95"/>
    <mergeCell ref="B96:F96"/>
    <mergeCell ref="G96:H96"/>
    <mergeCell ref="B97:F97"/>
    <mergeCell ref="G97:H97"/>
  </mergeCells>
  <conditionalFormatting sqref="B99:F99 B93:F97">
    <cfRule type="cellIs" dxfId="339" priority="5" stopIfTrue="1" operator="equal">
      <formula>"TAX PAYABLE"</formula>
    </cfRule>
    <cfRule type="cellIs" dxfId="338" priority="6" stopIfTrue="1" operator="equal">
      <formula>"TAX REFUND"</formula>
    </cfRule>
  </conditionalFormatting>
  <conditionalFormatting sqref="G99:H99">
    <cfRule type="cellIs" dxfId="337" priority="3" stopIfTrue="1" operator="greaterThan">
      <formula>0</formula>
    </cfRule>
    <cfRule type="cellIs" dxfId="336" priority="4" stopIfTrue="1" operator="lessThanOrEqual">
      <formula>0</formula>
    </cfRule>
  </conditionalFormatting>
  <conditionalFormatting sqref="G94:H94">
    <cfRule type="cellIs" dxfId="335" priority="1" stopIfTrue="1" operator="lessThan">
      <formula>0</formula>
    </cfRule>
    <cfRule type="cellIs" dxfId="334" priority="2" stopIfTrue="1" operator="greaterThan">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$Q$8:$Q$9</formula1>
    </dataValidation>
  </dataValidations>
  <pageMargins left="0.7" right="0.7" top="0.75" bottom="0.75" header="0.3" footer="0.3"/>
</worksheet>
</file>

<file path=xl/worksheets/sheet1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105"/>
  <sheetViews>
    <sheetView topLeftCell="A68" workbookViewId="0">
      <selection activeCell="L82" sqref="L82"/>
    </sheetView>
  </sheetViews>
  <sheetFormatPr defaultRowHeight="12.75" x14ac:dyDescent="0.2"/>
  <cols>
    <col min="1" max="1" width="5" style="16" customWidth="1"/>
    <col min="2" max="2" width="19.42578125" style="37" customWidth="1"/>
    <col min="3" max="3" width="8.5703125" style="16" customWidth="1"/>
    <col min="4" max="4" width="8.7109375" style="16" customWidth="1"/>
    <col min="5" max="5" width="8.140625" style="16" customWidth="1"/>
    <col min="6" max="6" width="8.7109375" style="16" customWidth="1"/>
    <col min="7" max="8" width="8.140625" style="16" customWidth="1"/>
    <col min="9" max="9" width="8.42578125" style="16" customWidth="1"/>
    <col min="10" max="10" width="10.28515625" style="16" customWidth="1"/>
    <col min="11" max="14" width="8.28515625" style="16" customWidth="1"/>
    <col min="15" max="15" width="7.140625" style="16" bestFit="1" customWidth="1"/>
    <col min="16" max="20" width="9.140625" style="16"/>
    <col min="21" max="21" width="12.42578125" style="16" customWidth="1"/>
    <col min="22" max="22" width="9.140625" style="16"/>
    <col min="23" max="23" width="12" style="16" customWidth="1"/>
    <col min="24" max="256" width="9.140625" style="16"/>
    <col min="257" max="257" width="5" style="16" customWidth="1"/>
    <col min="258" max="258" width="19.42578125" style="16" customWidth="1"/>
    <col min="259" max="259" width="8.5703125" style="16" customWidth="1"/>
    <col min="260" max="260" width="8.7109375" style="16" customWidth="1"/>
    <col min="261" max="261" width="8.140625" style="16" customWidth="1"/>
    <col min="262" max="262" width="8.7109375" style="16" customWidth="1"/>
    <col min="263" max="264" width="8.140625" style="16" customWidth="1"/>
    <col min="265" max="265" width="8.42578125" style="16" customWidth="1"/>
    <col min="266" max="266" width="10.28515625" style="16" customWidth="1"/>
    <col min="267" max="270" width="8.28515625" style="16" customWidth="1"/>
    <col min="271" max="271" width="7.140625" style="16" bestFit="1" customWidth="1"/>
    <col min="272" max="276" width="9.140625" style="16"/>
    <col min="277" max="277" width="12.42578125" style="16" customWidth="1"/>
    <col min="278" max="278" width="9.140625" style="16"/>
    <col min="279" max="279" width="12" style="16" customWidth="1"/>
    <col min="280" max="512" width="9.140625" style="16"/>
    <col min="513" max="513" width="5" style="16" customWidth="1"/>
    <col min="514" max="514" width="19.42578125" style="16" customWidth="1"/>
    <col min="515" max="515" width="8.5703125" style="16" customWidth="1"/>
    <col min="516" max="516" width="8.7109375" style="16" customWidth="1"/>
    <col min="517" max="517" width="8.140625" style="16" customWidth="1"/>
    <col min="518" max="518" width="8.7109375" style="16" customWidth="1"/>
    <col min="519" max="520" width="8.140625" style="16" customWidth="1"/>
    <col min="521" max="521" width="8.42578125" style="16" customWidth="1"/>
    <col min="522" max="522" width="10.28515625" style="16" customWidth="1"/>
    <col min="523" max="526" width="8.28515625" style="16" customWidth="1"/>
    <col min="527" max="527" width="7.140625" style="16" bestFit="1" customWidth="1"/>
    <col min="528" max="532" width="9.140625" style="16"/>
    <col min="533" max="533" width="12.42578125" style="16" customWidth="1"/>
    <col min="534" max="534" width="9.140625" style="16"/>
    <col min="535" max="535" width="12" style="16" customWidth="1"/>
    <col min="536" max="768" width="9.140625" style="16"/>
    <col min="769" max="769" width="5" style="16" customWidth="1"/>
    <col min="770" max="770" width="19.42578125" style="16" customWidth="1"/>
    <col min="771" max="771" width="8.5703125" style="16" customWidth="1"/>
    <col min="772" max="772" width="8.7109375" style="16" customWidth="1"/>
    <col min="773" max="773" width="8.140625" style="16" customWidth="1"/>
    <col min="774" max="774" width="8.7109375" style="16" customWidth="1"/>
    <col min="775" max="776" width="8.140625" style="16" customWidth="1"/>
    <col min="777" max="777" width="8.42578125" style="16" customWidth="1"/>
    <col min="778" max="778" width="10.28515625" style="16" customWidth="1"/>
    <col min="779" max="782" width="8.28515625" style="16" customWidth="1"/>
    <col min="783" max="783" width="7.140625" style="16" bestFit="1" customWidth="1"/>
    <col min="784" max="788" width="9.140625" style="16"/>
    <col min="789" max="789" width="12.42578125" style="16" customWidth="1"/>
    <col min="790" max="790" width="9.140625" style="16"/>
    <col min="791" max="791" width="12" style="16" customWidth="1"/>
    <col min="792" max="1024" width="9.140625" style="16"/>
    <col min="1025" max="1025" width="5" style="16" customWidth="1"/>
    <col min="1026" max="1026" width="19.42578125" style="16" customWidth="1"/>
    <col min="1027" max="1027" width="8.5703125" style="16" customWidth="1"/>
    <col min="1028" max="1028" width="8.7109375" style="16" customWidth="1"/>
    <col min="1029" max="1029" width="8.140625" style="16" customWidth="1"/>
    <col min="1030" max="1030" width="8.7109375" style="16" customWidth="1"/>
    <col min="1031" max="1032" width="8.140625" style="16" customWidth="1"/>
    <col min="1033" max="1033" width="8.42578125" style="16" customWidth="1"/>
    <col min="1034" max="1034" width="10.28515625" style="16" customWidth="1"/>
    <col min="1035" max="1038" width="8.28515625" style="16" customWidth="1"/>
    <col min="1039" max="1039" width="7.140625" style="16" bestFit="1" customWidth="1"/>
    <col min="1040" max="1044" width="9.140625" style="16"/>
    <col min="1045" max="1045" width="12.42578125" style="16" customWidth="1"/>
    <col min="1046" max="1046" width="9.140625" style="16"/>
    <col min="1047" max="1047" width="12" style="16" customWidth="1"/>
    <col min="1048" max="1280" width="9.140625" style="16"/>
    <col min="1281" max="1281" width="5" style="16" customWidth="1"/>
    <col min="1282" max="1282" width="19.42578125" style="16" customWidth="1"/>
    <col min="1283" max="1283" width="8.5703125" style="16" customWidth="1"/>
    <col min="1284" max="1284" width="8.7109375" style="16" customWidth="1"/>
    <col min="1285" max="1285" width="8.140625" style="16" customWidth="1"/>
    <col min="1286" max="1286" width="8.7109375" style="16" customWidth="1"/>
    <col min="1287" max="1288" width="8.140625" style="16" customWidth="1"/>
    <col min="1289" max="1289" width="8.42578125" style="16" customWidth="1"/>
    <col min="1290" max="1290" width="10.28515625" style="16" customWidth="1"/>
    <col min="1291" max="1294" width="8.28515625" style="16" customWidth="1"/>
    <col min="1295" max="1295" width="7.140625" style="16" bestFit="1" customWidth="1"/>
    <col min="1296" max="1300" width="9.140625" style="16"/>
    <col min="1301" max="1301" width="12.42578125" style="16" customWidth="1"/>
    <col min="1302" max="1302" width="9.140625" style="16"/>
    <col min="1303" max="1303" width="12" style="16" customWidth="1"/>
    <col min="1304" max="1536" width="9.140625" style="16"/>
    <col min="1537" max="1537" width="5" style="16" customWidth="1"/>
    <col min="1538" max="1538" width="19.42578125" style="16" customWidth="1"/>
    <col min="1539" max="1539" width="8.5703125" style="16" customWidth="1"/>
    <col min="1540" max="1540" width="8.7109375" style="16" customWidth="1"/>
    <col min="1541" max="1541" width="8.140625" style="16" customWidth="1"/>
    <col min="1542" max="1542" width="8.7109375" style="16" customWidth="1"/>
    <col min="1543" max="1544" width="8.140625" style="16" customWidth="1"/>
    <col min="1545" max="1545" width="8.42578125" style="16" customWidth="1"/>
    <col min="1546" max="1546" width="10.28515625" style="16" customWidth="1"/>
    <col min="1547" max="1550" width="8.28515625" style="16" customWidth="1"/>
    <col min="1551" max="1551" width="7.140625" style="16" bestFit="1" customWidth="1"/>
    <col min="1552" max="1556" width="9.140625" style="16"/>
    <col min="1557" max="1557" width="12.42578125" style="16" customWidth="1"/>
    <col min="1558" max="1558" width="9.140625" style="16"/>
    <col min="1559" max="1559" width="12" style="16" customWidth="1"/>
    <col min="1560" max="1792" width="9.140625" style="16"/>
    <col min="1793" max="1793" width="5" style="16" customWidth="1"/>
    <col min="1794" max="1794" width="19.42578125" style="16" customWidth="1"/>
    <col min="1795" max="1795" width="8.5703125" style="16" customWidth="1"/>
    <col min="1796" max="1796" width="8.7109375" style="16" customWidth="1"/>
    <col min="1797" max="1797" width="8.140625" style="16" customWidth="1"/>
    <col min="1798" max="1798" width="8.7109375" style="16" customWidth="1"/>
    <col min="1799" max="1800" width="8.140625" style="16" customWidth="1"/>
    <col min="1801" max="1801" width="8.42578125" style="16" customWidth="1"/>
    <col min="1802" max="1802" width="10.28515625" style="16" customWidth="1"/>
    <col min="1803" max="1806" width="8.28515625" style="16" customWidth="1"/>
    <col min="1807" max="1807" width="7.140625" style="16" bestFit="1" customWidth="1"/>
    <col min="1808" max="1812" width="9.140625" style="16"/>
    <col min="1813" max="1813" width="12.42578125" style="16" customWidth="1"/>
    <col min="1814" max="1814" width="9.140625" style="16"/>
    <col min="1815" max="1815" width="12" style="16" customWidth="1"/>
    <col min="1816" max="2048" width="9.140625" style="16"/>
    <col min="2049" max="2049" width="5" style="16" customWidth="1"/>
    <col min="2050" max="2050" width="19.42578125" style="16" customWidth="1"/>
    <col min="2051" max="2051" width="8.5703125" style="16" customWidth="1"/>
    <col min="2052" max="2052" width="8.7109375" style="16" customWidth="1"/>
    <col min="2053" max="2053" width="8.140625" style="16" customWidth="1"/>
    <col min="2054" max="2054" width="8.7109375" style="16" customWidth="1"/>
    <col min="2055" max="2056" width="8.140625" style="16" customWidth="1"/>
    <col min="2057" max="2057" width="8.42578125" style="16" customWidth="1"/>
    <col min="2058" max="2058" width="10.28515625" style="16" customWidth="1"/>
    <col min="2059" max="2062" width="8.28515625" style="16" customWidth="1"/>
    <col min="2063" max="2063" width="7.140625" style="16" bestFit="1" customWidth="1"/>
    <col min="2064" max="2068" width="9.140625" style="16"/>
    <col min="2069" max="2069" width="12.42578125" style="16" customWidth="1"/>
    <col min="2070" max="2070" width="9.140625" style="16"/>
    <col min="2071" max="2071" width="12" style="16" customWidth="1"/>
    <col min="2072" max="2304" width="9.140625" style="16"/>
    <col min="2305" max="2305" width="5" style="16" customWidth="1"/>
    <col min="2306" max="2306" width="19.42578125" style="16" customWidth="1"/>
    <col min="2307" max="2307" width="8.5703125" style="16" customWidth="1"/>
    <col min="2308" max="2308" width="8.7109375" style="16" customWidth="1"/>
    <col min="2309" max="2309" width="8.140625" style="16" customWidth="1"/>
    <col min="2310" max="2310" width="8.7109375" style="16" customWidth="1"/>
    <col min="2311" max="2312" width="8.140625" style="16" customWidth="1"/>
    <col min="2313" max="2313" width="8.42578125" style="16" customWidth="1"/>
    <col min="2314" max="2314" width="10.28515625" style="16" customWidth="1"/>
    <col min="2315" max="2318" width="8.28515625" style="16" customWidth="1"/>
    <col min="2319" max="2319" width="7.140625" style="16" bestFit="1" customWidth="1"/>
    <col min="2320" max="2324" width="9.140625" style="16"/>
    <col min="2325" max="2325" width="12.42578125" style="16" customWidth="1"/>
    <col min="2326" max="2326" width="9.140625" style="16"/>
    <col min="2327" max="2327" width="12" style="16" customWidth="1"/>
    <col min="2328" max="2560" width="9.140625" style="16"/>
    <col min="2561" max="2561" width="5" style="16" customWidth="1"/>
    <col min="2562" max="2562" width="19.42578125" style="16" customWidth="1"/>
    <col min="2563" max="2563" width="8.5703125" style="16" customWidth="1"/>
    <col min="2564" max="2564" width="8.7109375" style="16" customWidth="1"/>
    <col min="2565" max="2565" width="8.140625" style="16" customWidth="1"/>
    <col min="2566" max="2566" width="8.7109375" style="16" customWidth="1"/>
    <col min="2567" max="2568" width="8.140625" style="16" customWidth="1"/>
    <col min="2569" max="2569" width="8.42578125" style="16" customWidth="1"/>
    <col min="2570" max="2570" width="10.28515625" style="16" customWidth="1"/>
    <col min="2571" max="2574" width="8.28515625" style="16" customWidth="1"/>
    <col min="2575" max="2575" width="7.140625" style="16" bestFit="1" customWidth="1"/>
    <col min="2576" max="2580" width="9.140625" style="16"/>
    <col min="2581" max="2581" width="12.42578125" style="16" customWidth="1"/>
    <col min="2582" max="2582" width="9.140625" style="16"/>
    <col min="2583" max="2583" width="12" style="16" customWidth="1"/>
    <col min="2584" max="2816" width="9.140625" style="16"/>
    <col min="2817" max="2817" width="5" style="16" customWidth="1"/>
    <col min="2818" max="2818" width="19.42578125" style="16" customWidth="1"/>
    <col min="2819" max="2819" width="8.5703125" style="16" customWidth="1"/>
    <col min="2820" max="2820" width="8.7109375" style="16" customWidth="1"/>
    <col min="2821" max="2821" width="8.140625" style="16" customWidth="1"/>
    <col min="2822" max="2822" width="8.7109375" style="16" customWidth="1"/>
    <col min="2823" max="2824" width="8.140625" style="16" customWidth="1"/>
    <col min="2825" max="2825" width="8.42578125" style="16" customWidth="1"/>
    <col min="2826" max="2826" width="10.28515625" style="16" customWidth="1"/>
    <col min="2827" max="2830" width="8.28515625" style="16" customWidth="1"/>
    <col min="2831" max="2831" width="7.140625" style="16" bestFit="1" customWidth="1"/>
    <col min="2832" max="2836" width="9.140625" style="16"/>
    <col min="2837" max="2837" width="12.42578125" style="16" customWidth="1"/>
    <col min="2838" max="2838" width="9.140625" style="16"/>
    <col min="2839" max="2839" width="12" style="16" customWidth="1"/>
    <col min="2840" max="3072" width="9.140625" style="16"/>
    <col min="3073" max="3073" width="5" style="16" customWidth="1"/>
    <col min="3074" max="3074" width="19.42578125" style="16" customWidth="1"/>
    <col min="3075" max="3075" width="8.5703125" style="16" customWidth="1"/>
    <col min="3076" max="3076" width="8.7109375" style="16" customWidth="1"/>
    <col min="3077" max="3077" width="8.140625" style="16" customWidth="1"/>
    <col min="3078" max="3078" width="8.7109375" style="16" customWidth="1"/>
    <col min="3079" max="3080" width="8.140625" style="16" customWidth="1"/>
    <col min="3081" max="3081" width="8.42578125" style="16" customWidth="1"/>
    <col min="3082" max="3082" width="10.28515625" style="16" customWidth="1"/>
    <col min="3083" max="3086" width="8.28515625" style="16" customWidth="1"/>
    <col min="3087" max="3087" width="7.140625" style="16" bestFit="1" customWidth="1"/>
    <col min="3088" max="3092" width="9.140625" style="16"/>
    <col min="3093" max="3093" width="12.42578125" style="16" customWidth="1"/>
    <col min="3094" max="3094" width="9.140625" style="16"/>
    <col min="3095" max="3095" width="12" style="16" customWidth="1"/>
    <col min="3096" max="3328" width="9.140625" style="16"/>
    <col min="3329" max="3329" width="5" style="16" customWidth="1"/>
    <col min="3330" max="3330" width="19.42578125" style="16" customWidth="1"/>
    <col min="3331" max="3331" width="8.5703125" style="16" customWidth="1"/>
    <col min="3332" max="3332" width="8.7109375" style="16" customWidth="1"/>
    <col min="3333" max="3333" width="8.140625" style="16" customWidth="1"/>
    <col min="3334" max="3334" width="8.7109375" style="16" customWidth="1"/>
    <col min="3335" max="3336" width="8.140625" style="16" customWidth="1"/>
    <col min="3337" max="3337" width="8.42578125" style="16" customWidth="1"/>
    <col min="3338" max="3338" width="10.28515625" style="16" customWidth="1"/>
    <col min="3339" max="3342" width="8.28515625" style="16" customWidth="1"/>
    <col min="3343" max="3343" width="7.140625" style="16" bestFit="1" customWidth="1"/>
    <col min="3344" max="3348" width="9.140625" style="16"/>
    <col min="3349" max="3349" width="12.42578125" style="16" customWidth="1"/>
    <col min="3350" max="3350" width="9.140625" style="16"/>
    <col min="3351" max="3351" width="12" style="16" customWidth="1"/>
    <col min="3352" max="3584" width="9.140625" style="16"/>
    <col min="3585" max="3585" width="5" style="16" customWidth="1"/>
    <col min="3586" max="3586" width="19.42578125" style="16" customWidth="1"/>
    <col min="3587" max="3587" width="8.5703125" style="16" customWidth="1"/>
    <col min="3588" max="3588" width="8.7109375" style="16" customWidth="1"/>
    <col min="3589" max="3589" width="8.140625" style="16" customWidth="1"/>
    <col min="3590" max="3590" width="8.7109375" style="16" customWidth="1"/>
    <col min="3591" max="3592" width="8.140625" style="16" customWidth="1"/>
    <col min="3593" max="3593" width="8.42578125" style="16" customWidth="1"/>
    <col min="3594" max="3594" width="10.28515625" style="16" customWidth="1"/>
    <col min="3595" max="3598" width="8.28515625" style="16" customWidth="1"/>
    <col min="3599" max="3599" width="7.140625" style="16" bestFit="1" customWidth="1"/>
    <col min="3600" max="3604" width="9.140625" style="16"/>
    <col min="3605" max="3605" width="12.42578125" style="16" customWidth="1"/>
    <col min="3606" max="3606" width="9.140625" style="16"/>
    <col min="3607" max="3607" width="12" style="16" customWidth="1"/>
    <col min="3608" max="3840" width="9.140625" style="16"/>
    <col min="3841" max="3841" width="5" style="16" customWidth="1"/>
    <col min="3842" max="3842" width="19.42578125" style="16" customWidth="1"/>
    <col min="3843" max="3843" width="8.5703125" style="16" customWidth="1"/>
    <col min="3844" max="3844" width="8.7109375" style="16" customWidth="1"/>
    <col min="3845" max="3845" width="8.140625" style="16" customWidth="1"/>
    <col min="3846" max="3846" width="8.7109375" style="16" customWidth="1"/>
    <col min="3847" max="3848" width="8.140625" style="16" customWidth="1"/>
    <col min="3849" max="3849" width="8.42578125" style="16" customWidth="1"/>
    <col min="3850" max="3850" width="10.28515625" style="16" customWidth="1"/>
    <col min="3851" max="3854" width="8.28515625" style="16" customWidth="1"/>
    <col min="3855" max="3855" width="7.140625" style="16" bestFit="1" customWidth="1"/>
    <col min="3856" max="3860" width="9.140625" style="16"/>
    <col min="3861" max="3861" width="12.42578125" style="16" customWidth="1"/>
    <col min="3862" max="3862" width="9.140625" style="16"/>
    <col min="3863" max="3863" width="12" style="16" customWidth="1"/>
    <col min="3864" max="4096" width="9.140625" style="16"/>
    <col min="4097" max="4097" width="5" style="16" customWidth="1"/>
    <col min="4098" max="4098" width="19.42578125" style="16" customWidth="1"/>
    <col min="4099" max="4099" width="8.5703125" style="16" customWidth="1"/>
    <col min="4100" max="4100" width="8.7109375" style="16" customWidth="1"/>
    <col min="4101" max="4101" width="8.140625" style="16" customWidth="1"/>
    <col min="4102" max="4102" width="8.7109375" style="16" customWidth="1"/>
    <col min="4103" max="4104" width="8.140625" style="16" customWidth="1"/>
    <col min="4105" max="4105" width="8.42578125" style="16" customWidth="1"/>
    <col min="4106" max="4106" width="10.28515625" style="16" customWidth="1"/>
    <col min="4107" max="4110" width="8.28515625" style="16" customWidth="1"/>
    <col min="4111" max="4111" width="7.140625" style="16" bestFit="1" customWidth="1"/>
    <col min="4112" max="4116" width="9.140625" style="16"/>
    <col min="4117" max="4117" width="12.42578125" style="16" customWidth="1"/>
    <col min="4118" max="4118" width="9.140625" style="16"/>
    <col min="4119" max="4119" width="12" style="16" customWidth="1"/>
    <col min="4120" max="4352" width="9.140625" style="16"/>
    <col min="4353" max="4353" width="5" style="16" customWidth="1"/>
    <col min="4354" max="4354" width="19.42578125" style="16" customWidth="1"/>
    <col min="4355" max="4355" width="8.5703125" style="16" customWidth="1"/>
    <col min="4356" max="4356" width="8.7109375" style="16" customWidth="1"/>
    <col min="4357" max="4357" width="8.140625" style="16" customWidth="1"/>
    <col min="4358" max="4358" width="8.7109375" style="16" customWidth="1"/>
    <col min="4359" max="4360" width="8.140625" style="16" customWidth="1"/>
    <col min="4361" max="4361" width="8.42578125" style="16" customWidth="1"/>
    <col min="4362" max="4362" width="10.28515625" style="16" customWidth="1"/>
    <col min="4363" max="4366" width="8.28515625" style="16" customWidth="1"/>
    <col min="4367" max="4367" width="7.140625" style="16" bestFit="1" customWidth="1"/>
    <col min="4368" max="4372" width="9.140625" style="16"/>
    <col min="4373" max="4373" width="12.42578125" style="16" customWidth="1"/>
    <col min="4374" max="4374" width="9.140625" style="16"/>
    <col min="4375" max="4375" width="12" style="16" customWidth="1"/>
    <col min="4376" max="4608" width="9.140625" style="16"/>
    <col min="4609" max="4609" width="5" style="16" customWidth="1"/>
    <col min="4610" max="4610" width="19.42578125" style="16" customWidth="1"/>
    <col min="4611" max="4611" width="8.5703125" style="16" customWidth="1"/>
    <col min="4612" max="4612" width="8.7109375" style="16" customWidth="1"/>
    <col min="4613" max="4613" width="8.140625" style="16" customWidth="1"/>
    <col min="4614" max="4614" width="8.7109375" style="16" customWidth="1"/>
    <col min="4615" max="4616" width="8.140625" style="16" customWidth="1"/>
    <col min="4617" max="4617" width="8.42578125" style="16" customWidth="1"/>
    <col min="4618" max="4618" width="10.28515625" style="16" customWidth="1"/>
    <col min="4619" max="4622" width="8.28515625" style="16" customWidth="1"/>
    <col min="4623" max="4623" width="7.140625" style="16" bestFit="1" customWidth="1"/>
    <col min="4624" max="4628" width="9.140625" style="16"/>
    <col min="4629" max="4629" width="12.42578125" style="16" customWidth="1"/>
    <col min="4630" max="4630" width="9.140625" style="16"/>
    <col min="4631" max="4631" width="12" style="16" customWidth="1"/>
    <col min="4632" max="4864" width="9.140625" style="16"/>
    <col min="4865" max="4865" width="5" style="16" customWidth="1"/>
    <col min="4866" max="4866" width="19.42578125" style="16" customWidth="1"/>
    <col min="4867" max="4867" width="8.5703125" style="16" customWidth="1"/>
    <col min="4868" max="4868" width="8.7109375" style="16" customWidth="1"/>
    <col min="4869" max="4869" width="8.140625" style="16" customWidth="1"/>
    <col min="4870" max="4870" width="8.7109375" style="16" customWidth="1"/>
    <col min="4871" max="4872" width="8.140625" style="16" customWidth="1"/>
    <col min="4873" max="4873" width="8.42578125" style="16" customWidth="1"/>
    <col min="4874" max="4874" width="10.28515625" style="16" customWidth="1"/>
    <col min="4875" max="4878" width="8.28515625" style="16" customWidth="1"/>
    <col min="4879" max="4879" width="7.140625" style="16" bestFit="1" customWidth="1"/>
    <col min="4880" max="4884" width="9.140625" style="16"/>
    <col min="4885" max="4885" width="12.42578125" style="16" customWidth="1"/>
    <col min="4886" max="4886" width="9.140625" style="16"/>
    <col min="4887" max="4887" width="12" style="16" customWidth="1"/>
    <col min="4888" max="5120" width="9.140625" style="16"/>
    <col min="5121" max="5121" width="5" style="16" customWidth="1"/>
    <col min="5122" max="5122" width="19.42578125" style="16" customWidth="1"/>
    <col min="5123" max="5123" width="8.5703125" style="16" customWidth="1"/>
    <col min="5124" max="5124" width="8.7109375" style="16" customWidth="1"/>
    <col min="5125" max="5125" width="8.140625" style="16" customWidth="1"/>
    <col min="5126" max="5126" width="8.7109375" style="16" customWidth="1"/>
    <col min="5127" max="5128" width="8.140625" style="16" customWidth="1"/>
    <col min="5129" max="5129" width="8.42578125" style="16" customWidth="1"/>
    <col min="5130" max="5130" width="10.28515625" style="16" customWidth="1"/>
    <col min="5131" max="5134" width="8.28515625" style="16" customWidth="1"/>
    <col min="5135" max="5135" width="7.140625" style="16" bestFit="1" customWidth="1"/>
    <col min="5136" max="5140" width="9.140625" style="16"/>
    <col min="5141" max="5141" width="12.42578125" style="16" customWidth="1"/>
    <col min="5142" max="5142" width="9.140625" style="16"/>
    <col min="5143" max="5143" width="12" style="16" customWidth="1"/>
    <col min="5144" max="5376" width="9.140625" style="16"/>
    <col min="5377" max="5377" width="5" style="16" customWidth="1"/>
    <col min="5378" max="5378" width="19.42578125" style="16" customWidth="1"/>
    <col min="5379" max="5379" width="8.5703125" style="16" customWidth="1"/>
    <col min="5380" max="5380" width="8.7109375" style="16" customWidth="1"/>
    <col min="5381" max="5381" width="8.140625" style="16" customWidth="1"/>
    <col min="5382" max="5382" width="8.7109375" style="16" customWidth="1"/>
    <col min="5383" max="5384" width="8.140625" style="16" customWidth="1"/>
    <col min="5385" max="5385" width="8.42578125" style="16" customWidth="1"/>
    <col min="5386" max="5386" width="10.28515625" style="16" customWidth="1"/>
    <col min="5387" max="5390" width="8.28515625" style="16" customWidth="1"/>
    <col min="5391" max="5391" width="7.140625" style="16" bestFit="1" customWidth="1"/>
    <col min="5392" max="5396" width="9.140625" style="16"/>
    <col min="5397" max="5397" width="12.42578125" style="16" customWidth="1"/>
    <col min="5398" max="5398" width="9.140625" style="16"/>
    <col min="5399" max="5399" width="12" style="16" customWidth="1"/>
    <col min="5400" max="5632" width="9.140625" style="16"/>
    <col min="5633" max="5633" width="5" style="16" customWidth="1"/>
    <col min="5634" max="5634" width="19.42578125" style="16" customWidth="1"/>
    <col min="5635" max="5635" width="8.5703125" style="16" customWidth="1"/>
    <col min="5636" max="5636" width="8.7109375" style="16" customWidth="1"/>
    <col min="5637" max="5637" width="8.140625" style="16" customWidth="1"/>
    <col min="5638" max="5638" width="8.7109375" style="16" customWidth="1"/>
    <col min="5639" max="5640" width="8.140625" style="16" customWidth="1"/>
    <col min="5641" max="5641" width="8.42578125" style="16" customWidth="1"/>
    <col min="5642" max="5642" width="10.28515625" style="16" customWidth="1"/>
    <col min="5643" max="5646" width="8.28515625" style="16" customWidth="1"/>
    <col min="5647" max="5647" width="7.140625" style="16" bestFit="1" customWidth="1"/>
    <col min="5648" max="5652" width="9.140625" style="16"/>
    <col min="5653" max="5653" width="12.42578125" style="16" customWidth="1"/>
    <col min="5654" max="5654" width="9.140625" style="16"/>
    <col min="5655" max="5655" width="12" style="16" customWidth="1"/>
    <col min="5656" max="5888" width="9.140625" style="16"/>
    <col min="5889" max="5889" width="5" style="16" customWidth="1"/>
    <col min="5890" max="5890" width="19.42578125" style="16" customWidth="1"/>
    <col min="5891" max="5891" width="8.5703125" style="16" customWidth="1"/>
    <col min="5892" max="5892" width="8.7109375" style="16" customWidth="1"/>
    <col min="5893" max="5893" width="8.140625" style="16" customWidth="1"/>
    <col min="5894" max="5894" width="8.7109375" style="16" customWidth="1"/>
    <col min="5895" max="5896" width="8.140625" style="16" customWidth="1"/>
    <col min="5897" max="5897" width="8.42578125" style="16" customWidth="1"/>
    <col min="5898" max="5898" width="10.28515625" style="16" customWidth="1"/>
    <col min="5899" max="5902" width="8.28515625" style="16" customWidth="1"/>
    <col min="5903" max="5903" width="7.140625" style="16" bestFit="1" customWidth="1"/>
    <col min="5904" max="5908" width="9.140625" style="16"/>
    <col min="5909" max="5909" width="12.42578125" style="16" customWidth="1"/>
    <col min="5910" max="5910" width="9.140625" style="16"/>
    <col min="5911" max="5911" width="12" style="16" customWidth="1"/>
    <col min="5912" max="6144" width="9.140625" style="16"/>
    <col min="6145" max="6145" width="5" style="16" customWidth="1"/>
    <col min="6146" max="6146" width="19.42578125" style="16" customWidth="1"/>
    <col min="6147" max="6147" width="8.5703125" style="16" customWidth="1"/>
    <col min="6148" max="6148" width="8.7109375" style="16" customWidth="1"/>
    <col min="6149" max="6149" width="8.140625" style="16" customWidth="1"/>
    <col min="6150" max="6150" width="8.7109375" style="16" customWidth="1"/>
    <col min="6151" max="6152" width="8.140625" style="16" customWidth="1"/>
    <col min="6153" max="6153" width="8.42578125" style="16" customWidth="1"/>
    <col min="6154" max="6154" width="10.28515625" style="16" customWidth="1"/>
    <col min="6155" max="6158" width="8.28515625" style="16" customWidth="1"/>
    <col min="6159" max="6159" width="7.140625" style="16" bestFit="1" customWidth="1"/>
    <col min="6160" max="6164" width="9.140625" style="16"/>
    <col min="6165" max="6165" width="12.42578125" style="16" customWidth="1"/>
    <col min="6166" max="6166" width="9.140625" style="16"/>
    <col min="6167" max="6167" width="12" style="16" customWidth="1"/>
    <col min="6168" max="6400" width="9.140625" style="16"/>
    <col min="6401" max="6401" width="5" style="16" customWidth="1"/>
    <col min="6402" max="6402" width="19.42578125" style="16" customWidth="1"/>
    <col min="6403" max="6403" width="8.5703125" style="16" customWidth="1"/>
    <col min="6404" max="6404" width="8.7109375" style="16" customWidth="1"/>
    <col min="6405" max="6405" width="8.140625" style="16" customWidth="1"/>
    <col min="6406" max="6406" width="8.7109375" style="16" customWidth="1"/>
    <col min="6407" max="6408" width="8.140625" style="16" customWidth="1"/>
    <col min="6409" max="6409" width="8.42578125" style="16" customWidth="1"/>
    <col min="6410" max="6410" width="10.28515625" style="16" customWidth="1"/>
    <col min="6411" max="6414" width="8.28515625" style="16" customWidth="1"/>
    <col min="6415" max="6415" width="7.140625" style="16" bestFit="1" customWidth="1"/>
    <col min="6416" max="6420" width="9.140625" style="16"/>
    <col min="6421" max="6421" width="12.42578125" style="16" customWidth="1"/>
    <col min="6422" max="6422" width="9.140625" style="16"/>
    <col min="6423" max="6423" width="12" style="16" customWidth="1"/>
    <col min="6424" max="6656" width="9.140625" style="16"/>
    <col min="6657" max="6657" width="5" style="16" customWidth="1"/>
    <col min="6658" max="6658" width="19.42578125" style="16" customWidth="1"/>
    <col min="6659" max="6659" width="8.5703125" style="16" customWidth="1"/>
    <col min="6660" max="6660" width="8.7109375" style="16" customWidth="1"/>
    <col min="6661" max="6661" width="8.140625" style="16" customWidth="1"/>
    <col min="6662" max="6662" width="8.7109375" style="16" customWidth="1"/>
    <col min="6663" max="6664" width="8.140625" style="16" customWidth="1"/>
    <col min="6665" max="6665" width="8.42578125" style="16" customWidth="1"/>
    <col min="6666" max="6666" width="10.28515625" style="16" customWidth="1"/>
    <col min="6667" max="6670" width="8.28515625" style="16" customWidth="1"/>
    <col min="6671" max="6671" width="7.140625" style="16" bestFit="1" customWidth="1"/>
    <col min="6672" max="6676" width="9.140625" style="16"/>
    <col min="6677" max="6677" width="12.42578125" style="16" customWidth="1"/>
    <col min="6678" max="6678" width="9.140625" style="16"/>
    <col min="6679" max="6679" width="12" style="16" customWidth="1"/>
    <col min="6680" max="6912" width="9.140625" style="16"/>
    <col min="6913" max="6913" width="5" style="16" customWidth="1"/>
    <col min="6914" max="6914" width="19.42578125" style="16" customWidth="1"/>
    <col min="6915" max="6915" width="8.5703125" style="16" customWidth="1"/>
    <col min="6916" max="6916" width="8.7109375" style="16" customWidth="1"/>
    <col min="6917" max="6917" width="8.140625" style="16" customWidth="1"/>
    <col min="6918" max="6918" width="8.7109375" style="16" customWidth="1"/>
    <col min="6919" max="6920" width="8.140625" style="16" customWidth="1"/>
    <col min="6921" max="6921" width="8.42578125" style="16" customWidth="1"/>
    <col min="6922" max="6922" width="10.28515625" style="16" customWidth="1"/>
    <col min="6923" max="6926" width="8.28515625" style="16" customWidth="1"/>
    <col min="6927" max="6927" width="7.140625" style="16" bestFit="1" customWidth="1"/>
    <col min="6928" max="6932" width="9.140625" style="16"/>
    <col min="6933" max="6933" width="12.42578125" style="16" customWidth="1"/>
    <col min="6934" max="6934" width="9.140625" style="16"/>
    <col min="6935" max="6935" width="12" style="16" customWidth="1"/>
    <col min="6936" max="7168" width="9.140625" style="16"/>
    <col min="7169" max="7169" width="5" style="16" customWidth="1"/>
    <col min="7170" max="7170" width="19.42578125" style="16" customWidth="1"/>
    <col min="7171" max="7171" width="8.5703125" style="16" customWidth="1"/>
    <col min="7172" max="7172" width="8.7109375" style="16" customWidth="1"/>
    <col min="7173" max="7173" width="8.140625" style="16" customWidth="1"/>
    <col min="7174" max="7174" width="8.7109375" style="16" customWidth="1"/>
    <col min="7175" max="7176" width="8.140625" style="16" customWidth="1"/>
    <col min="7177" max="7177" width="8.42578125" style="16" customWidth="1"/>
    <col min="7178" max="7178" width="10.28515625" style="16" customWidth="1"/>
    <col min="7179" max="7182" width="8.28515625" style="16" customWidth="1"/>
    <col min="7183" max="7183" width="7.140625" style="16" bestFit="1" customWidth="1"/>
    <col min="7184" max="7188" width="9.140625" style="16"/>
    <col min="7189" max="7189" width="12.42578125" style="16" customWidth="1"/>
    <col min="7190" max="7190" width="9.140625" style="16"/>
    <col min="7191" max="7191" width="12" style="16" customWidth="1"/>
    <col min="7192" max="7424" width="9.140625" style="16"/>
    <col min="7425" max="7425" width="5" style="16" customWidth="1"/>
    <col min="7426" max="7426" width="19.42578125" style="16" customWidth="1"/>
    <col min="7427" max="7427" width="8.5703125" style="16" customWidth="1"/>
    <col min="7428" max="7428" width="8.7109375" style="16" customWidth="1"/>
    <col min="7429" max="7429" width="8.140625" style="16" customWidth="1"/>
    <col min="7430" max="7430" width="8.7109375" style="16" customWidth="1"/>
    <col min="7431" max="7432" width="8.140625" style="16" customWidth="1"/>
    <col min="7433" max="7433" width="8.42578125" style="16" customWidth="1"/>
    <col min="7434" max="7434" width="10.28515625" style="16" customWidth="1"/>
    <col min="7435" max="7438" width="8.28515625" style="16" customWidth="1"/>
    <col min="7439" max="7439" width="7.140625" style="16" bestFit="1" customWidth="1"/>
    <col min="7440" max="7444" width="9.140625" style="16"/>
    <col min="7445" max="7445" width="12.42578125" style="16" customWidth="1"/>
    <col min="7446" max="7446" width="9.140625" style="16"/>
    <col min="7447" max="7447" width="12" style="16" customWidth="1"/>
    <col min="7448" max="7680" width="9.140625" style="16"/>
    <col min="7681" max="7681" width="5" style="16" customWidth="1"/>
    <col min="7682" max="7682" width="19.42578125" style="16" customWidth="1"/>
    <col min="7683" max="7683" width="8.5703125" style="16" customWidth="1"/>
    <col min="7684" max="7684" width="8.7109375" style="16" customWidth="1"/>
    <col min="7685" max="7685" width="8.140625" style="16" customWidth="1"/>
    <col min="7686" max="7686" width="8.7109375" style="16" customWidth="1"/>
    <col min="7687" max="7688" width="8.140625" style="16" customWidth="1"/>
    <col min="7689" max="7689" width="8.42578125" style="16" customWidth="1"/>
    <col min="7690" max="7690" width="10.28515625" style="16" customWidth="1"/>
    <col min="7691" max="7694" width="8.28515625" style="16" customWidth="1"/>
    <col min="7695" max="7695" width="7.140625" style="16" bestFit="1" customWidth="1"/>
    <col min="7696" max="7700" width="9.140625" style="16"/>
    <col min="7701" max="7701" width="12.42578125" style="16" customWidth="1"/>
    <col min="7702" max="7702" width="9.140625" style="16"/>
    <col min="7703" max="7703" width="12" style="16" customWidth="1"/>
    <col min="7704" max="7936" width="9.140625" style="16"/>
    <col min="7937" max="7937" width="5" style="16" customWidth="1"/>
    <col min="7938" max="7938" width="19.42578125" style="16" customWidth="1"/>
    <col min="7939" max="7939" width="8.5703125" style="16" customWidth="1"/>
    <col min="7940" max="7940" width="8.7109375" style="16" customWidth="1"/>
    <col min="7941" max="7941" width="8.140625" style="16" customWidth="1"/>
    <col min="7942" max="7942" width="8.7109375" style="16" customWidth="1"/>
    <col min="7943" max="7944" width="8.140625" style="16" customWidth="1"/>
    <col min="7945" max="7945" width="8.42578125" style="16" customWidth="1"/>
    <col min="7946" max="7946" width="10.28515625" style="16" customWidth="1"/>
    <col min="7947" max="7950" width="8.28515625" style="16" customWidth="1"/>
    <col min="7951" max="7951" width="7.140625" style="16" bestFit="1" customWidth="1"/>
    <col min="7952" max="7956" width="9.140625" style="16"/>
    <col min="7957" max="7957" width="12.42578125" style="16" customWidth="1"/>
    <col min="7958" max="7958" width="9.140625" style="16"/>
    <col min="7959" max="7959" width="12" style="16" customWidth="1"/>
    <col min="7960" max="8192" width="9.140625" style="16"/>
    <col min="8193" max="8193" width="5" style="16" customWidth="1"/>
    <col min="8194" max="8194" width="19.42578125" style="16" customWidth="1"/>
    <col min="8195" max="8195" width="8.5703125" style="16" customWidth="1"/>
    <col min="8196" max="8196" width="8.7109375" style="16" customWidth="1"/>
    <col min="8197" max="8197" width="8.140625" style="16" customWidth="1"/>
    <col min="8198" max="8198" width="8.7109375" style="16" customWidth="1"/>
    <col min="8199" max="8200" width="8.140625" style="16" customWidth="1"/>
    <col min="8201" max="8201" width="8.42578125" style="16" customWidth="1"/>
    <col min="8202" max="8202" width="10.28515625" style="16" customWidth="1"/>
    <col min="8203" max="8206" width="8.28515625" style="16" customWidth="1"/>
    <col min="8207" max="8207" width="7.140625" style="16" bestFit="1" customWidth="1"/>
    <col min="8208" max="8212" width="9.140625" style="16"/>
    <col min="8213" max="8213" width="12.42578125" style="16" customWidth="1"/>
    <col min="8214" max="8214" width="9.140625" style="16"/>
    <col min="8215" max="8215" width="12" style="16" customWidth="1"/>
    <col min="8216" max="8448" width="9.140625" style="16"/>
    <col min="8449" max="8449" width="5" style="16" customWidth="1"/>
    <col min="8450" max="8450" width="19.42578125" style="16" customWidth="1"/>
    <col min="8451" max="8451" width="8.5703125" style="16" customWidth="1"/>
    <col min="8452" max="8452" width="8.7109375" style="16" customWidth="1"/>
    <col min="8453" max="8453" width="8.140625" style="16" customWidth="1"/>
    <col min="8454" max="8454" width="8.7109375" style="16" customWidth="1"/>
    <col min="8455" max="8456" width="8.140625" style="16" customWidth="1"/>
    <col min="8457" max="8457" width="8.42578125" style="16" customWidth="1"/>
    <col min="8458" max="8458" width="10.28515625" style="16" customWidth="1"/>
    <col min="8459" max="8462" width="8.28515625" style="16" customWidth="1"/>
    <col min="8463" max="8463" width="7.140625" style="16" bestFit="1" customWidth="1"/>
    <col min="8464" max="8468" width="9.140625" style="16"/>
    <col min="8469" max="8469" width="12.42578125" style="16" customWidth="1"/>
    <col min="8470" max="8470" width="9.140625" style="16"/>
    <col min="8471" max="8471" width="12" style="16" customWidth="1"/>
    <col min="8472" max="8704" width="9.140625" style="16"/>
    <col min="8705" max="8705" width="5" style="16" customWidth="1"/>
    <col min="8706" max="8706" width="19.42578125" style="16" customWidth="1"/>
    <col min="8707" max="8707" width="8.5703125" style="16" customWidth="1"/>
    <col min="8708" max="8708" width="8.7109375" style="16" customWidth="1"/>
    <col min="8709" max="8709" width="8.140625" style="16" customWidth="1"/>
    <col min="8710" max="8710" width="8.7109375" style="16" customWidth="1"/>
    <col min="8711" max="8712" width="8.140625" style="16" customWidth="1"/>
    <col min="8713" max="8713" width="8.42578125" style="16" customWidth="1"/>
    <col min="8714" max="8714" width="10.28515625" style="16" customWidth="1"/>
    <col min="8715" max="8718" width="8.28515625" style="16" customWidth="1"/>
    <col min="8719" max="8719" width="7.140625" style="16" bestFit="1" customWidth="1"/>
    <col min="8720" max="8724" width="9.140625" style="16"/>
    <col min="8725" max="8725" width="12.42578125" style="16" customWidth="1"/>
    <col min="8726" max="8726" width="9.140625" style="16"/>
    <col min="8727" max="8727" width="12" style="16" customWidth="1"/>
    <col min="8728" max="8960" width="9.140625" style="16"/>
    <col min="8961" max="8961" width="5" style="16" customWidth="1"/>
    <col min="8962" max="8962" width="19.42578125" style="16" customWidth="1"/>
    <col min="8963" max="8963" width="8.5703125" style="16" customWidth="1"/>
    <col min="8964" max="8964" width="8.7109375" style="16" customWidth="1"/>
    <col min="8965" max="8965" width="8.140625" style="16" customWidth="1"/>
    <col min="8966" max="8966" width="8.7109375" style="16" customWidth="1"/>
    <col min="8967" max="8968" width="8.140625" style="16" customWidth="1"/>
    <col min="8969" max="8969" width="8.42578125" style="16" customWidth="1"/>
    <col min="8970" max="8970" width="10.28515625" style="16" customWidth="1"/>
    <col min="8971" max="8974" width="8.28515625" style="16" customWidth="1"/>
    <col min="8975" max="8975" width="7.140625" style="16" bestFit="1" customWidth="1"/>
    <col min="8976" max="8980" width="9.140625" style="16"/>
    <col min="8981" max="8981" width="12.42578125" style="16" customWidth="1"/>
    <col min="8982" max="8982" width="9.140625" style="16"/>
    <col min="8983" max="8983" width="12" style="16" customWidth="1"/>
    <col min="8984" max="9216" width="9.140625" style="16"/>
    <col min="9217" max="9217" width="5" style="16" customWidth="1"/>
    <col min="9218" max="9218" width="19.42578125" style="16" customWidth="1"/>
    <col min="9219" max="9219" width="8.5703125" style="16" customWidth="1"/>
    <col min="9220" max="9220" width="8.7109375" style="16" customWidth="1"/>
    <col min="9221" max="9221" width="8.140625" style="16" customWidth="1"/>
    <col min="9222" max="9222" width="8.7109375" style="16" customWidth="1"/>
    <col min="9223" max="9224" width="8.140625" style="16" customWidth="1"/>
    <col min="9225" max="9225" width="8.42578125" style="16" customWidth="1"/>
    <col min="9226" max="9226" width="10.28515625" style="16" customWidth="1"/>
    <col min="9227" max="9230" width="8.28515625" style="16" customWidth="1"/>
    <col min="9231" max="9231" width="7.140625" style="16" bestFit="1" customWidth="1"/>
    <col min="9232" max="9236" width="9.140625" style="16"/>
    <col min="9237" max="9237" width="12.42578125" style="16" customWidth="1"/>
    <col min="9238" max="9238" width="9.140625" style="16"/>
    <col min="9239" max="9239" width="12" style="16" customWidth="1"/>
    <col min="9240" max="9472" width="9.140625" style="16"/>
    <col min="9473" max="9473" width="5" style="16" customWidth="1"/>
    <col min="9474" max="9474" width="19.42578125" style="16" customWidth="1"/>
    <col min="9475" max="9475" width="8.5703125" style="16" customWidth="1"/>
    <col min="9476" max="9476" width="8.7109375" style="16" customWidth="1"/>
    <col min="9477" max="9477" width="8.140625" style="16" customWidth="1"/>
    <col min="9478" max="9478" width="8.7109375" style="16" customWidth="1"/>
    <col min="9479" max="9480" width="8.140625" style="16" customWidth="1"/>
    <col min="9481" max="9481" width="8.42578125" style="16" customWidth="1"/>
    <col min="9482" max="9482" width="10.28515625" style="16" customWidth="1"/>
    <col min="9483" max="9486" width="8.28515625" style="16" customWidth="1"/>
    <col min="9487" max="9487" width="7.140625" style="16" bestFit="1" customWidth="1"/>
    <col min="9488" max="9492" width="9.140625" style="16"/>
    <col min="9493" max="9493" width="12.42578125" style="16" customWidth="1"/>
    <col min="9494" max="9494" width="9.140625" style="16"/>
    <col min="9495" max="9495" width="12" style="16" customWidth="1"/>
    <col min="9496" max="9728" width="9.140625" style="16"/>
    <col min="9729" max="9729" width="5" style="16" customWidth="1"/>
    <col min="9730" max="9730" width="19.42578125" style="16" customWidth="1"/>
    <col min="9731" max="9731" width="8.5703125" style="16" customWidth="1"/>
    <col min="9732" max="9732" width="8.7109375" style="16" customWidth="1"/>
    <col min="9733" max="9733" width="8.140625" style="16" customWidth="1"/>
    <col min="9734" max="9734" width="8.7109375" style="16" customWidth="1"/>
    <col min="9735" max="9736" width="8.140625" style="16" customWidth="1"/>
    <col min="9737" max="9737" width="8.42578125" style="16" customWidth="1"/>
    <col min="9738" max="9738" width="10.28515625" style="16" customWidth="1"/>
    <col min="9739" max="9742" width="8.28515625" style="16" customWidth="1"/>
    <col min="9743" max="9743" width="7.140625" style="16" bestFit="1" customWidth="1"/>
    <col min="9744" max="9748" width="9.140625" style="16"/>
    <col min="9749" max="9749" width="12.42578125" style="16" customWidth="1"/>
    <col min="9750" max="9750" width="9.140625" style="16"/>
    <col min="9751" max="9751" width="12" style="16" customWidth="1"/>
    <col min="9752" max="9984" width="9.140625" style="16"/>
    <col min="9985" max="9985" width="5" style="16" customWidth="1"/>
    <col min="9986" max="9986" width="19.42578125" style="16" customWidth="1"/>
    <col min="9987" max="9987" width="8.5703125" style="16" customWidth="1"/>
    <col min="9988" max="9988" width="8.7109375" style="16" customWidth="1"/>
    <col min="9989" max="9989" width="8.140625" style="16" customWidth="1"/>
    <col min="9990" max="9990" width="8.7109375" style="16" customWidth="1"/>
    <col min="9991" max="9992" width="8.140625" style="16" customWidth="1"/>
    <col min="9993" max="9993" width="8.42578125" style="16" customWidth="1"/>
    <col min="9994" max="9994" width="10.28515625" style="16" customWidth="1"/>
    <col min="9995" max="9998" width="8.28515625" style="16" customWidth="1"/>
    <col min="9999" max="9999" width="7.140625" style="16" bestFit="1" customWidth="1"/>
    <col min="10000" max="10004" width="9.140625" style="16"/>
    <col min="10005" max="10005" width="12.42578125" style="16" customWidth="1"/>
    <col min="10006" max="10006" width="9.140625" style="16"/>
    <col min="10007" max="10007" width="12" style="16" customWidth="1"/>
    <col min="10008" max="10240" width="9.140625" style="16"/>
    <col min="10241" max="10241" width="5" style="16" customWidth="1"/>
    <col min="10242" max="10242" width="19.42578125" style="16" customWidth="1"/>
    <col min="10243" max="10243" width="8.5703125" style="16" customWidth="1"/>
    <col min="10244" max="10244" width="8.7109375" style="16" customWidth="1"/>
    <col min="10245" max="10245" width="8.140625" style="16" customWidth="1"/>
    <col min="10246" max="10246" width="8.7109375" style="16" customWidth="1"/>
    <col min="10247" max="10248" width="8.140625" style="16" customWidth="1"/>
    <col min="10249" max="10249" width="8.42578125" style="16" customWidth="1"/>
    <col min="10250" max="10250" width="10.28515625" style="16" customWidth="1"/>
    <col min="10251" max="10254" width="8.28515625" style="16" customWidth="1"/>
    <col min="10255" max="10255" width="7.140625" style="16" bestFit="1" customWidth="1"/>
    <col min="10256" max="10260" width="9.140625" style="16"/>
    <col min="10261" max="10261" width="12.42578125" style="16" customWidth="1"/>
    <col min="10262" max="10262" width="9.140625" style="16"/>
    <col min="10263" max="10263" width="12" style="16" customWidth="1"/>
    <col min="10264" max="10496" width="9.140625" style="16"/>
    <col min="10497" max="10497" width="5" style="16" customWidth="1"/>
    <col min="10498" max="10498" width="19.42578125" style="16" customWidth="1"/>
    <col min="10499" max="10499" width="8.5703125" style="16" customWidth="1"/>
    <col min="10500" max="10500" width="8.7109375" style="16" customWidth="1"/>
    <col min="10501" max="10501" width="8.140625" style="16" customWidth="1"/>
    <col min="10502" max="10502" width="8.7109375" style="16" customWidth="1"/>
    <col min="10503" max="10504" width="8.140625" style="16" customWidth="1"/>
    <col min="10505" max="10505" width="8.42578125" style="16" customWidth="1"/>
    <col min="10506" max="10506" width="10.28515625" style="16" customWidth="1"/>
    <col min="10507" max="10510" width="8.28515625" style="16" customWidth="1"/>
    <col min="10511" max="10511" width="7.140625" style="16" bestFit="1" customWidth="1"/>
    <col min="10512" max="10516" width="9.140625" style="16"/>
    <col min="10517" max="10517" width="12.42578125" style="16" customWidth="1"/>
    <col min="10518" max="10518" width="9.140625" style="16"/>
    <col min="10519" max="10519" width="12" style="16" customWidth="1"/>
    <col min="10520" max="10752" width="9.140625" style="16"/>
    <col min="10753" max="10753" width="5" style="16" customWidth="1"/>
    <col min="10754" max="10754" width="19.42578125" style="16" customWidth="1"/>
    <col min="10755" max="10755" width="8.5703125" style="16" customWidth="1"/>
    <col min="10756" max="10756" width="8.7109375" style="16" customWidth="1"/>
    <col min="10757" max="10757" width="8.140625" style="16" customWidth="1"/>
    <col min="10758" max="10758" width="8.7109375" style="16" customWidth="1"/>
    <col min="10759" max="10760" width="8.140625" style="16" customWidth="1"/>
    <col min="10761" max="10761" width="8.42578125" style="16" customWidth="1"/>
    <col min="10762" max="10762" width="10.28515625" style="16" customWidth="1"/>
    <col min="10763" max="10766" width="8.28515625" style="16" customWidth="1"/>
    <col min="10767" max="10767" width="7.140625" style="16" bestFit="1" customWidth="1"/>
    <col min="10768" max="10772" width="9.140625" style="16"/>
    <col min="10773" max="10773" width="12.42578125" style="16" customWidth="1"/>
    <col min="10774" max="10774" width="9.140625" style="16"/>
    <col min="10775" max="10775" width="12" style="16" customWidth="1"/>
    <col min="10776" max="11008" width="9.140625" style="16"/>
    <col min="11009" max="11009" width="5" style="16" customWidth="1"/>
    <col min="11010" max="11010" width="19.42578125" style="16" customWidth="1"/>
    <col min="11011" max="11011" width="8.5703125" style="16" customWidth="1"/>
    <col min="11012" max="11012" width="8.7109375" style="16" customWidth="1"/>
    <col min="11013" max="11013" width="8.140625" style="16" customWidth="1"/>
    <col min="11014" max="11014" width="8.7109375" style="16" customWidth="1"/>
    <col min="11015" max="11016" width="8.140625" style="16" customWidth="1"/>
    <col min="11017" max="11017" width="8.42578125" style="16" customWidth="1"/>
    <col min="11018" max="11018" width="10.28515625" style="16" customWidth="1"/>
    <col min="11019" max="11022" width="8.28515625" style="16" customWidth="1"/>
    <col min="11023" max="11023" width="7.140625" style="16" bestFit="1" customWidth="1"/>
    <col min="11024" max="11028" width="9.140625" style="16"/>
    <col min="11029" max="11029" width="12.42578125" style="16" customWidth="1"/>
    <col min="11030" max="11030" width="9.140625" style="16"/>
    <col min="11031" max="11031" width="12" style="16" customWidth="1"/>
    <col min="11032" max="11264" width="9.140625" style="16"/>
    <col min="11265" max="11265" width="5" style="16" customWidth="1"/>
    <col min="11266" max="11266" width="19.42578125" style="16" customWidth="1"/>
    <col min="11267" max="11267" width="8.5703125" style="16" customWidth="1"/>
    <col min="11268" max="11268" width="8.7109375" style="16" customWidth="1"/>
    <col min="11269" max="11269" width="8.140625" style="16" customWidth="1"/>
    <col min="11270" max="11270" width="8.7109375" style="16" customWidth="1"/>
    <col min="11271" max="11272" width="8.140625" style="16" customWidth="1"/>
    <col min="11273" max="11273" width="8.42578125" style="16" customWidth="1"/>
    <col min="11274" max="11274" width="10.28515625" style="16" customWidth="1"/>
    <col min="11275" max="11278" width="8.28515625" style="16" customWidth="1"/>
    <col min="11279" max="11279" width="7.140625" style="16" bestFit="1" customWidth="1"/>
    <col min="11280" max="11284" width="9.140625" style="16"/>
    <col min="11285" max="11285" width="12.42578125" style="16" customWidth="1"/>
    <col min="11286" max="11286" width="9.140625" style="16"/>
    <col min="11287" max="11287" width="12" style="16" customWidth="1"/>
    <col min="11288" max="11520" width="9.140625" style="16"/>
    <col min="11521" max="11521" width="5" style="16" customWidth="1"/>
    <col min="11522" max="11522" width="19.42578125" style="16" customWidth="1"/>
    <col min="11523" max="11523" width="8.5703125" style="16" customWidth="1"/>
    <col min="11524" max="11524" width="8.7109375" style="16" customWidth="1"/>
    <col min="11525" max="11525" width="8.140625" style="16" customWidth="1"/>
    <col min="11526" max="11526" width="8.7109375" style="16" customWidth="1"/>
    <col min="11527" max="11528" width="8.140625" style="16" customWidth="1"/>
    <col min="11529" max="11529" width="8.42578125" style="16" customWidth="1"/>
    <col min="11530" max="11530" width="10.28515625" style="16" customWidth="1"/>
    <col min="11531" max="11534" width="8.28515625" style="16" customWidth="1"/>
    <col min="11535" max="11535" width="7.140625" style="16" bestFit="1" customWidth="1"/>
    <col min="11536" max="11540" width="9.140625" style="16"/>
    <col min="11541" max="11541" width="12.42578125" style="16" customWidth="1"/>
    <col min="11542" max="11542" width="9.140625" style="16"/>
    <col min="11543" max="11543" width="12" style="16" customWidth="1"/>
    <col min="11544" max="11776" width="9.140625" style="16"/>
    <col min="11777" max="11777" width="5" style="16" customWidth="1"/>
    <col min="11778" max="11778" width="19.42578125" style="16" customWidth="1"/>
    <col min="11779" max="11779" width="8.5703125" style="16" customWidth="1"/>
    <col min="11780" max="11780" width="8.7109375" style="16" customWidth="1"/>
    <col min="11781" max="11781" width="8.140625" style="16" customWidth="1"/>
    <col min="11782" max="11782" width="8.7109375" style="16" customWidth="1"/>
    <col min="11783" max="11784" width="8.140625" style="16" customWidth="1"/>
    <col min="11785" max="11785" width="8.42578125" style="16" customWidth="1"/>
    <col min="11786" max="11786" width="10.28515625" style="16" customWidth="1"/>
    <col min="11787" max="11790" width="8.28515625" style="16" customWidth="1"/>
    <col min="11791" max="11791" width="7.140625" style="16" bestFit="1" customWidth="1"/>
    <col min="11792" max="11796" width="9.140625" style="16"/>
    <col min="11797" max="11797" width="12.42578125" style="16" customWidth="1"/>
    <col min="11798" max="11798" width="9.140625" style="16"/>
    <col min="11799" max="11799" width="12" style="16" customWidth="1"/>
    <col min="11800" max="12032" width="9.140625" style="16"/>
    <col min="12033" max="12033" width="5" style="16" customWidth="1"/>
    <col min="12034" max="12034" width="19.42578125" style="16" customWidth="1"/>
    <col min="12035" max="12035" width="8.5703125" style="16" customWidth="1"/>
    <col min="12036" max="12036" width="8.7109375" style="16" customWidth="1"/>
    <col min="12037" max="12037" width="8.140625" style="16" customWidth="1"/>
    <col min="12038" max="12038" width="8.7109375" style="16" customWidth="1"/>
    <col min="12039" max="12040" width="8.140625" style="16" customWidth="1"/>
    <col min="12041" max="12041" width="8.42578125" style="16" customWidth="1"/>
    <col min="12042" max="12042" width="10.28515625" style="16" customWidth="1"/>
    <col min="12043" max="12046" width="8.28515625" style="16" customWidth="1"/>
    <col min="12047" max="12047" width="7.140625" style="16" bestFit="1" customWidth="1"/>
    <col min="12048" max="12052" width="9.140625" style="16"/>
    <col min="12053" max="12053" width="12.42578125" style="16" customWidth="1"/>
    <col min="12054" max="12054" width="9.140625" style="16"/>
    <col min="12055" max="12055" width="12" style="16" customWidth="1"/>
    <col min="12056" max="12288" width="9.140625" style="16"/>
    <col min="12289" max="12289" width="5" style="16" customWidth="1"/>
    <col min="12290" max="12290" width="19.42578125" style="16" customWidth="1"/>
    <col min="12291" max="12291" width="8.5703125" style="16" customWidth="1"/>
    <col min="12292" max="12292" width="8.7109375" style="16" customWidth="1"/>
    <col min="12293" max="12293" width="8.140625" style="16" customWidth="1"/>
    <col min="12294" max="12294" width="8.7109375" style="16" customWidth="1"/>
    <col min="12295" max="12296" width="8.140625" style="16" customWidth="1"/>
    <col min="12297" max="12297" width="8.42578125" style="16" customWidth="1"/>
    <col min="12298" max="12298" width="10.28515625" style="16" customWidth="1"/>
    <col min="12299" max="12302" width="8.28515625" style="16" customWidth="1"/>
    <col min="12303" max="12303" width="7.140625" style="16" bestFit="1" customWidth="1"/>
    <col min="12304" max="12308" width="9.140625" style="16"/>
    <col min="12309" max="12309" width="12.42578125" style="16" customWidth="1"/>
    <col min="12310" max="12310" width="9.140625" style="16"/>
    <col min="12311" max="12311" width="12" style="16" customWidth="1"/>
    <col min="12312" max="12544" width="9.140625" style="16"/>
    <col min="12545" max="12545" width="5" style="16" customWidth="1"/>
    <col min="12546" max="12546" width="19.42578125" style="16" customWidth="1"/>
    <col min="12547" max="12547" width="8.5703125" style="16" customWidth="1"/>
    <col min="12548" max="12548" width="8.7109375" style="16" customWidth="1"/>
    <col min="12549" max="12549" width="8.140625" style="16" customWidth="1"/>
    <col min="12550" max="12550" width="8.7109375" style="16" customWidth="1"/>
    <col min="12551" max="12552" width="8.140625" style="16" customWidth="1"/>
    <col min="12553" max="12553" width="8.42578125" style="16" customWidth="1"/>
    <col min="12554" max="12554" width="10.28515625" style="16" customWidth="1"/>
    <col min="12555" max="12558" width="8.28515625" style="16" customWidth="1"/>
    <col min="12559" max="12559" width="7.140625" style="16" bestFit="1" customWidth="1"/>
    <col min="12560" max="12564" width="9.140625" style="16"/>
    <col min="12565" max="12565" width="12.42578125" style="16" customWidth="1"/>
    <col min="12566" max="12566" width="9.140625" style="16"/>
    <col min="12567" max="12567" width="12" style="16" customWidth="1"/>
    <col min="12568" max="12800" width="9.140625" style="16"/>
    <col min="12801" max="12801" width="5" style="16" customWidth="1"/>
    <col min="12802" max="12802" width="19.42578125" style="16" customWidth="1"/>
    <col min="12803" max="12803" width="8.5703125" style="16" customWidth="1"/>
    <col min="12804" max="12804" width="8.7109375" style="16" customWidth="1"/>
    <col min="12805" max="12805" width="8.140625" style="16" customWidth="1"/>
    <col min="12806" max="12806" width="8.7109375" style="16" customWidth="1"/>
    <col min="12807" max="12808" width="8.140625" style="16" customWidth="1"/>
    <col min="12809" max="12809" width="8.42578125" style="16" customWidth="1"/>
    <col min="12810" max="12810" width="10.28515625" style="16" customWidth="1"/>
    <col min="12811" max="12814" width="8.28515625" style="16" customWidth="1"/>
    <col min="12815" max="12815" width="7.140625" style="16" bestFit="1" customWidth="1"/>
    <col min="12816" max="12820" width="9.140625" style="16"/>
    <col min="12821" max="12821" width="12.42578125" style="16" customWidth="1"/>
    <col min="12822" max="12822" width="9.140625" style="16"/>
    <col min="12823" max="12823" width="12" style="16" customWidth="1"/>
    <col min="12824" max="13056" width="9.140625" style="16"/>
    <col min="13057" max="13057" width="5" style="16" customWidth="1"/>
    <col min="13058" max="13058" width="19.42578125" style="16" customWidth="1"/>
    <col min="13059" max="13059" width="8.5703125" style="16" customWidth="1"/>
    <col min="13060" max="13060" width="8.7109375" style="16" customWidth="1"/>
    <col min="13061" max="13061" width="8.140625" style="16" customWidth="1"/>
    <col min="13062" max="13062" width="8.7109375" style="16" customWidth="1"/>
    <col min="13063" max="13064" width="8.140625" style="16" customWidth="1"/>
    <col min="13065" max="13065" width="8.42578125" style="16" customWidth="1"/>
    <col min="13066" max="13066" width="10.28515625" style="16" customWidth="1"/>
    <col min="13067" max="13070" width="8.28515625" style="16" customWidth="1"/>
    <col min="13071" max="13071" width="7.140625" style="16" bestFit="1" customWidth="1"/>
    <col min="13072" max="13076" width="9.140625" style="16"/>
    <col min="13077" max="13077" width="12.42578125" style="16" customWidth="1"/>
    <col min="13078" max="13078" width="9.140625" style="16"/>
    <col min="13079" max="13079" width="12" style="16" customWidth="1"/>
    <col min="13080" max="13312" width="9.140625" style="16"/>
    <col min="13313" max="13313" width="5" style="16" customWidth="1"/>
    <col min="13314" max="13314" width="19.42578125" style="16" customWidth="1"/>
    <col min="13315" max="13315" width="8.5703125" style="16" customWidth="1"/>
    <col min="13316" max="13316" width="8.7109375" style="16" customWidth="1"/>
    <col min="13317" max="13317" width="8.140625" style="16" customWidth="1"/>
    <col min="13318" max="13318" width="8.7109375" style="16" customWidth="1"/>
    <col min="13319" max="13320" width="8.140625" style="16" customWidth="1"/>
    <col min="13321" max="13321" width="8.42578125" style="16" customWidth="1"/>
    <col min="13322" max="13322" width="10.28515625" style="16" customWidth="1"/>
    <col min="13323" max="13326" width="8.28515625" style="16" customWidth="1"/>
    <col min="13327" max="13327" width="7.140625" style="16" bestFit="1" customWidth="1"/>
    <col min="13328" max="13332" width="9.140625" style="16"/>
    <col min="13333" max="13333" width="12.42578125" style="16" customWidth="1"/>
    <col min="13334" max="13334" width="9.140625" style="16"/>
    <col min="13335" max="13335" width="12" style="16" customWidth="1"/>
    <col min="13336" max="13568" width="9.140625" style="16"/>
    <col min="13569" max="13569" width="5" style="16" customWidth="1"/>
    <col min="13570" max="13570" width="19.42578125" style="16" customWidth="1"/>
    <col min="13571" max="13571" width="8.5703125" style="16" customWidth="1"/>
    <col min="13572" max="13572" width="8.7109375" style="16" customWidth="1"/>
    <col min="13573" max="13573" width="8.140625" style="16" customWidth="1"/>
    <col min="13574" max="13574" width="8.7109375" style="16" customWidth="1"/>
    <col min="13575" max="13576" width="8.140625" style="16" customWidth="1"/>
    <col min="13577" max="13577" width="8.42578125" style="16" customWidth="1"/>
    <col min="13578" max="13578" width="10.28515625" style="16" customWidth="1"/>
    <col min="13579" max="13582" width="8.28515625" style="16" customWidth="1"/>
    <col min="13583" max="13583" width="7.140625" style="16" bestFit="1" customWidth="1"/>
    <col min="13584" max="13588" width="9.140625" style="16"/>
    <col min="13589" max="13589" width="12.42578125" style="16" customWidth="1"/>
    <col min="13590" max="13590" width="9.140625" style="16"/>
    <col min="13591" max="13591" width="12" style="16" customWidth="1"/>
    <col min="13592" max="13824" width="9.140625" style="16"/>
    <col min="13825" max="13825" width="5" style="16" customWidth="1"/>
    <col min="13826" max="13826" width="19.42578125" style="16" customWidth="1"/>
    <col min="13827" max="13827" width="8.5703125" style="16" customWidth="1"/>
    <col min="13828" max="13828" width="8.7109375" style="16" customWidth="1"/>
    <col min="13829" max="13829" width="8.140625" style="16" customWidth="1"/>
    <col min="13830" max="13830" width="8.7109375" style="16" customWidth="1"/>
    <col min="13831" max="13832" width="8.140625" style="16" customWidth="1"/>
    <col min="13833" max="13833" width="8.42578125" style="16" customWidth="1"/>
    <col min="13834" max="13834" width="10.28515625" style="16" customWidth="1"/>
    <col min="13835" max="13838" width="8.28515625" style="16" customWidth="1"/>
    <col min="13839" max="13839" width="7.140625" style="16" bestFit="1" customWidth="1"/>
    <col min="13840" max="13844" width="9.140625" style="16"/>
    <col min="13845" max="13845" width="12.42578125" style="16" customWidth="1"/>
    <col min="13846" max="13846" width="9.140625" style="16"/>
    <col min="13847" max="13847" width="12" style="16" customWidth="1"/>
    <col min="13848" max="14080" width="9.140625" style="16"/>
    <col min="14081" max="14081" width="5" style="16" customWidth="1"/>
    <col min="14082" max="14082" width="19.42578125" style="16" customWidth="1"/>
    <col min="14083" max="14083" width="8.5703125" style="16" customWidth="1"/>
    <col min="14084" max="14084" width="8.7109375" style="16" customWidth="1"/>
    <col min="14085" max="14085" width="8.140625" style="16" customWidth="1"/>
    <col min="14086" max="14086" width="8.7109375" style="16" customWidth="1"/>
    <col min="14087" max="14088" width="8.140625" style="16" customWidth="1"/>
    <col min="14089" max="14089" width="8.42578125" style="16" customWidth="1"/>
    <col min="14090" max="14090" width="10.28515625" style="16" customWidth="1"/>
    <col min="14091" max="14094" width="8.28515625" style="16" customWidth="1"/>
    <col min="14095" max="14095" width="7.140625" style="16" bestFit="1" customWidth="1"/>
    <col min="14096" max="14100" width="9.140625" style="16"/>
    <col min="14101" max="14101" width="12.42578125" style="16" customWidth="1"/>
    <col min="14102" max="14102" width="9.140625" style="16"/>
    <col min="14103" max="14103" width="12" style="16" customWidth="1"/>
    <col min="14104" max="14336" width="9.140625" style="16"/>
    <col min="14337" max="14337" width="5" style="16" customWidth="1"/>
    <col min="14338" max="14338" width="19.42578125" style="16" customWidth="1"/>
    <col min="14339" max="14339" width="8.5703125" style="16" customWidth="1"/>
    <col min="14340" max="14340" width="8.7109375" style="16" customWidth="1"/>
    <col min="14341" max="14341" width="8.140625" style="16" customWidth="1"/>
    <col min="14342" max="14342" width="8.7109375" style="16" customWidth="1"/>
    <col min="14343" max="14344" width="8.140625" style="16" customWidth="1"/>
    <col min="14345" max="14345" width="8.42578125" style="16" customWidth="1"/>
    <col min="14346" max="14346" width="10.28515625" style="16" customWidth="1"/>
    <col min="14347" max="14350" width="8.28515625" style="16" customWidth="1"/>
    <col min="14351" max="14351" width="7.140625" style="16" bestFit="1" customWidth="1"/>
    <col min="14352" max="14356" width="9.140625" style="16"/>
    <col min="14357" max="14357" width="12.42578125" style="16" customWidth="1"/>
    <col min="14358" max="14358" width="9.140625" style="16"/>
    <col min="14359" max="14359" width="12" style="16" customWidth="1"/>
    <col min="14360" max="14592" width="9.140625" style="16"/>
    <col min="14593" max="14593" width="5" style="16" customWidth="1"/>
    <col min="14594" max="14594" width="19.42578125" style="16" customWidth="1"/>
    <col min="14595" max="14595" width="8.5703125" style="16" customWidth="1"/>
    <col min="14596" max="14596" width="8.7109375" style="16" customWidth="1"/>
    <col min="14597" max="14597" width="8.140625" style="16" customWidth="1"/>
    <col min="14598" max="14598" width="8.7109375" style="16" customWidth="1"/>
    <col min="14599" max="14600" width="8.140625" style="16" customWidth="1"/>
    <col min="14601" max="14601" width="8.42578125" style="16" customWidth="1"/>
    <col min="14602" max="14602" width="10.28515625" style="16" customWidth="1"/>
    <col min="14603" max="14606" width="8.28515625" style="16" customWidth="1"/>
    <col min="14607" max="14607" width="7.140625" style="16" bestFit="1" customWidth="1"/>
    <col min="14608" max="14612" width="9.140625" style="16"/>
    <col min="14613" max="14613" width="12.42578125" style="16" customWidth="1"/>
    <col min="14614" max="14614" width="9.140625" style="16"/>
    <col min="14615" max="14615" width="12" style="16" customWidth="1"/>
    <col min="14616" max="14848" width="9.140625" style="16"/>
    <col min="14849" max="14849" width="5" style="16" customWidth="1"/>
    <col min="14850" max="14850" width="19.42578125" style="16" customWidth="1"/>
    <col min="14851" max="14851" width="8.5703125" style="16" customWidth="1"/>
    <col min="14852" max="14852" width="8.7109375" style="16" customWidth="1"/>
    <col min="14853" max="14853" width="8.140625" style="16" customWidth="1"/>
    <col min="14854" max="14854" width="8.7109375" style="16" customWidth="1"/>
    <col min="14855" max="14856" width="8.140625" style="16" customWidth="1"/>
    <col min="14857" max="14857" width="8.42578125" style="16" customWidth="1"/>
    <col min="14858" max="14858" width="10.28515625" style="16" customWidth="1"/>
    <col min="14859" max="14862" width="8.28515625" style="16" customWidth="1"/>
    <col min="14863" max="14863" width="7.140625" style="16" bestFit="1" customWidth="1"/>
    <col min="14864" max="14868" width="9.140625" style="16"/>
    <col min="14869" max="14869" width="12.42578125" style="16" customWidth="1"/>
    <col min="14870" max="14870" width="9.140625" style="16"/>
    <col min="14871" max="14871" width="12" style="16" customWidth="1"/>
    <col min="14872" max="15104" width="9.140625" style="16"/>
    <col min="15105" max="15105" width="5" style="16" customWidth="1"/>
    <col min="15106" max="15106" width="19.42578125" style="16" customWidth="1"/>
    <col min="15107" max="15107" width="8.5703125" style="16" customWidth="1"/>
    <col min="15108" max="15108" width="8.7109375" style="16" customWidth="1"/>
    <col min="15109" max="15109" width="8.140625" style="16" customWidth="1"/>
    <col min="15110" max="15110" width="8.7109375" style="16" customWidth="1"/>
    <col min="15111" max="15112" width="8.140625" style="16" customWidth="1"/>
    <col min="15113" max="15113" width="8.42578125" style="16" customWidth="1"/>
    <col min="15114" max="15114" width="10.28515625" style="16" customWidth="1"/>
    <col min="15115" max="15118" width="8.28515625" style="16" customWidth="1"/>
    <col min="15119" max="15119" width="7.140625" style="16" bestFit="1" customWidth="1"/>
    <col min="15120" max="15124" width="9.140625" style="16"/>
    <col min="15125" max="15125" width="12.42578125" style="16" customWidth="1"/>
    <col min="15126" max="15126" width="9.140625" style="16"/>
    <col min="15127" max="15127" width="12" style="16" customWidth="1"/>
    <col min="15128" max="15360" width="9.140625" style="16"/>
    <col min="15361" max="15361" width="5" style="16" customWidth="1"/>
    <col min="15362" max="15362" width="19.42578125" style="16" customWidth="1"/>
    <col min="15363" max="15363" width="8.5703125" style="16" customWidth="1"/>
    <col min="15364" max="15364" width="8.7109375" style="16" customWidth="1"/>
    <col min="15365" max="15365" width="8.140625" style="16" customWidth="1"/>
    <col min="15366" max="15366" width="8.7109375" style="16" customWidth="1"/>
    <col min="15367" max="15368" width="8.140625" style="16" customWidth="1"/>
    <col min="15369" max="15369" width="8.42578125" style="16" customWidth="1"/>
    <col min="15370" max="15370" width="10.28515625" style="16" customWidth="1"/>
    <col min="15371" max="15374" width="8.28515625" style="16" customWidth="1"/>
    <col min="15375" max="15375" width="7.140625" style="16" bestFit="1" customWidth="1"/>
    <col min="15376" max="15380" width="9.140625" style="16"/>
    <col min="15381" max="15381" width="12.42578125" style="16" customWidth="1"/>
    <col min="15382" max="15382" width="9.140625" style="16"/>
    <col min="15383" max="15383" width="12" style="16" customWidth="1"/>
    <col min="15384" max="15616" width="9.140625" style="16"/>
    <col min="15617" max="15617" width="5" style="16" customWidth="1"/>
    <col min="15618" max="15618" width="19.42578125" style="16" customWidth="1"/>
    <col min="15619" max="15619" width="8.5703125" style="16" customWidth="1"/>
    <col min="15620" max="15620" width="8.7109375" style="16" customWidth="1"/>
    <col min="15621" max="15621" width="8.140625" style="16" customWidth="1"/>
    <col min="15622" max="15622" width="8.7109375" style="16" customWidth="1"/>
    <col min="15623" max="15624" width="8.140625" style="16" customWidth="1"/>
    <col min="15625" max="15625" width="8.42578125" style="16" customWidth="1"/>
    <col min="15626" max="15626" width="10.28515625" style="16" customWidth="1"/>
    <col min="15627" max="15630" width="8.28515625" style="16" customWidth="1"/>
    <col min="15631" max="15631" width="7.140625" style="16" bestFit="1" customWidth="1"/>
    <col min="15632" max="15636" width="9.140625" style="16"/>
    <col min="15637" max="15637" width="12.42578125" style="16" customWidth="1"/>
    <col min="15638" max="15638" width="9.140625" style="16"/>
    <col min="15639" max="15639" width="12" style="16" customWidth="1"/>
    <col min="15640" max="15872" width="9.140625" style="16"/>
    <col min="15873" max="15873" width="5" style="16" customWidth="1"/>
    <col min="15874" max="15874" width="19.42578125" style="16" customWidth="1"/>
    <col min="15875" max="15875" width="8.5703125" style="16" customWidth="1"/>
    <col min="15876" max="15876" width="8.7109375" style="16" customWidth="1"/>
    <col min="15877" max="15877" width="8.140625" style="16" customWidth="1"/>
    <col min="15878" max="15878" width="8.7109375" style="16" customWidth="1"/>
    <col min="15879" max="15880" width="8.140625" style="16" customWidth="1"/>
    <col min="15881" max="15881" width="8.42578125" style="16" customWidth="1"/>
    <col min="15882" max="15882" width="10.28515625" style="16" customWidth="1"/>
    <col min="15883" max="15886" width="8.28515625" style="16" customWidth="1"/>
    <col min="15887" max="15887" width="7.140625" style="16" bestFit="1" customWidth="1"/>
    <col min="15888" max="15892" width="9.140625" style="16"/>
    <col min="15893" max="15893" width="12.42578125" style="16" customWidth="1"/>
    <col min="15894" max="15894" width="9.140625" style="16"/>
    <col min="15895" max="15895" width="12" style="16" customWidth="1"/>
    <col min="15896" max="16128" width="9.140625" style="16"/>
    <col min="16129" max="16129" width="5" style="16" customWidth="1"/>
    <col min="16130" max="16130" width="19.42578125" style="16" customWidth="1"/>
    <col min="16131" max="16131" width="8.5703125" style="16" customWidth="1"/>
    <col min="16132" max="16132" width="8.7109375" style="16" customWidth="1"/>
    <col min="16133" max="16133" width="8.140625" style="16" customWidth="1"/>
    <col min="16134" max="16134" width="8.7109375" style="16" customWidth="1"/>
    <col min="16135" max="16136" width="8.140625" style="16" customWidth="1"/>
    <col min="16137" max="16137" width="8.42578125" style="16" customWidth="1"/>
    <col min="16138" max="16138" width="10.28515625" style="16" customWidth="1"/>
    <col min="16139" max="16142" width="8.28515625" style="16" customWidth="1"/>
    <col min="16143" max="16143" width="7.140625" style="16" bestFit="1" customWidth="1"/>
    <col min="16144" max="16148" width="9.140625" style="16"/>
    <col min="16149" max="16149" width="12.42578125" style="16" customWidth="1"/>
    <col min="16150" max="16150" width="9.140625" style="16"/>
    <col min="16151" max="16151" width="12" style="16" customWidth="1"/>
    <col min="16152" max="16384" width="9.140625" style="16"/>
  </cols>
  <sheetData>
    <row r="1" spans="1:17" s="1" customFormat="1" x14ac:dyDescent="0.2">
      <c r="A1" s="867" t="s">
        <v>449</v>
      </c>
      <c r="B1" s="868"/>
      <c r="C1" s="868"/>
      <c r="D1" s="869"/>
      <c r="E1" s="868"/>
      <c r="F1" s="868"/>
      <c r="G1" s="867" t="s">
        <v>102</v>
      </c>
      <c r="H1" s="869"/>
      <c r="I1" s="869" t="s">
        <v>960</v>
      </c>
      <c r="J1" s="868"/>
      <c r="K1" s="868"/>
      <c r="L1" s="870"/>
      <c r="M1" s="870"/>
      <c r="N1" s="870"/>
      <c r="O1" s="870"/>
    </row>
    <row r="2" spans="1:17" s="1" customFormat="1" x14ac:dyDescent="0.2">
      <c r="A2" s="867" t="s">
        <v>103</v>
      </c>
      <c r="B2" s="868"/>
      <c r="C2" s="868"/>
      <c r="D2" s="869"/>
      <c r="E2" s="868"/>
      <c r="F2" s="868"/>
      <c r="G2" s="867" t="s">
        <v>104</v>
      </c>
      <c r="H2" s="869"/>
      <c r="I2" s="869" t="s">
        <v>105</v>
      </c>
      <c r="J2" s="868"/>
      <c r="K2" s="868"/>
      <c r="L2" s="870"/>
      <c r="M2" s="870"/>
      <c r="N2" s="870"/>
      <c r="O2" s="870"/>
    </row>
    <row r="3" spans="1:17" s="1" customFormat="1" x14ac:dyDescent="0.2">
      <c r="A3" s="867" t="s">
        <v>106</v>
      </c>
      <c r="B3" s="868"/>
      <c r="C3" s="868"/>
      <c r="D3" s="883" t="s">
        <v>982</v>
      </c>
      <c r="E3" s="868"/>
      <c r="F3" s="868"/>
      <c r="G3" s="867" t="s">
        <v>107</v>
      </c>
      <c r="H3" s="869"/>
      <c r="I3" s="869" t="s">
        <v>108</v>
      </c>
      <c r="J3" s="868"/>
      <c r="K3" s="868"/>
      <c r="L3" s="870"/>
      <c r="M3" s="870"/>
      <c r="N3" s="870"/>
      <c r="O3" s="870"/>
    </row>
    <row r="4" spans="1:17" s="1" customFormat="1" x14ac:dyDescent="0.2">
      <c r="A4" s="867" t="s">
        <v>109</v>
      </c>
      <c r="B4" s="868"/>
      <c r="C4" s="868"/>
      <c r="D4" s="869"/>
      <c r="E4" s="868"/>
      <c r="F4" s="868"/>
      <c r="G4" s="867" t="s">
        <v>110</v>
      </c>
      <c r="H4" s="869"/>
      <c r="I4" s="869" t="s">
        <v>339</v>
      </c>
      <c r="J4" s="868"/>
      <c r="K4" s="868"/>
      <c r="L4" s="870"/>
      <c r="M4" s="870"/>
      <c r="N4" s="870"/>
      <c r="O4" s="870"/>
    </row>
    <row r="5" spans="1:17" s="1" customFormat="1" x14ac:dyDescent="0.2">
      <c r="A5" s="867" t="s">
        <v>278</v>
      </c>
      <c r="B5" s="868"/>
      <c r="C5" s="868"/>
      <c r="D5" s="869" t="s">
        <v>369</v>
      </c>
      <c r="E5" s="868"/>
      <c r="F5" s="868"/>
      <c r="G5" s="867"/>
      <c r="H5" s="868"/>
      <c r="I5" s="869" t="s">
        <v>113</v>
      </c>
      <c r="J5" s="868"/>
      <c r="K5" s="868"/>
      <c r="L5" s="870"/>
      <c r="M5" s="870"/>
      <c r="N5" s="870"/>
      <c r="O5" s="870"/>
    </row>
    <row r="6" spans="1:17" s="1" customFormat="1" x14ac:dyDescent="0.2">
      <c r="A6" s="871" t="s">
        <v>114</v>
      </c>
      <c r="B6" s="872"/>
      <c r="C6" s="872"/>
      <c r="D6" s="868" t="s">
        <v>961</v>
      </c>
      <c r="E6" s="868"/>
      <c r="F6" s="868"/>
      <c r="G6" s="871" t="s">
        <v>115</v>
      </c>
      <c r="H6" s="871"/>
      <c r="I6" s="2" t="s">
        <v>116</v>
      </c>
      <c r="J6" s="888"/>
      <c r="K6" s="888"/>
      <c r="L6" s="888"/>
      <c r="M6" s="888"/>
      <c r="N6" s="888"/>
      <c r="O6" s="889"/>
    </row>
    <row r="7" spans="1:17" s="1" customFormat="1" ht="13.5" thickBot="1" x14ac:dyDescent="0.25">
      <c r="A7" s="3"/>
      <c r="B7" s="4"/>
      <c r="C7" s="5"/>
      <c r="D7" s="6"/>
      <c r="E7" s="6"/>
      <c r="F7" s="6"/>
      <c r="G7" s="6"/>
      <c r="H7" s="6"/>
      <c r="I7" s="6"/>
      <c r="J7" s="7"/>
      <c r="K7" s="8"/>
      <c r="L7" s="875" t="s">
        <v>223</v>
      </c>
      <c r="M7" s="875"/>
      <c r="N7" s="875"/>
      <c r="O7" s="875"/>
    </row>
    <row r="8" spans="1:17" s="11" customFormat="1" x14ac:dyDescent="0.2">
      <c r="A8" s="876" t="str">
        <f>I1</f>
        <v>Mr. J. G. Vanjare</v>
      </c>
      <c r="B8" s="877"/>
      <c r="C8" s="9">
        <v>43160</v>
      </c>
      <c r="D8" s="9">
        <v>43191</v>
      </c>
      <c r="E8" s="9">
        <v>43221</v>
      </c>
      <c r="F8" s="9">
        <v>43252</v>
      </c>
      <c r="G8" s="9">
        <v>43282</v>
      </c>
      <c r="H8" s="9">
        <v>43313</v>
      </c>
      <c r="I8" s="9">
        <v>43344</v>
      </c>
      <c r="J8" s="9">
        <v>43374</v>
      </c>
      <c r="K8" s="9">
        <v>43405</v>
      </c>
      <c r="L8" s="9">
        <v>43435</v>
      </c>
      <c r="M8" s="9">
        <v>43466</v>
      </c>
      <c r="N8" s="9">
        <v>43497</v>
      </c>
      <c r="O8" s="10" t="s">
        <v>117</v>
      </c>
      <c r="Q8" s="11" t="s">
        <v>116</v>
      </c>
    </row>
    <row r="9" spans="1:17" ht="15" x14ac:dyDescent="0.2">
      <c r="A9" s="12"/>
      <c r="B9" s="13" t="s">
        <v>118</v>
      </c>
      <c r="C9" s="14">
        <v>35000</v>
      </c>
      <c r="D9" s="14">
        <v>35000</v>
      </c>
      <c r="E9" s="14">
        <v>35000</v>
      </c>
      <c r="F9" s="14">
        <v>35000</v>
      </c>
      <c r="G9" s="14">
        <v>36100</v>
      </c>
      <c r="H9" s="14">
        <v>36100</v>
      </c>
      <c r="I9" s="14">
        <v>36100</v>
      </c>
      <c r="J9" s="14">
        <v>36100</v>
      </c>
      <c r="K9" s="14">
        <v>36100</v>
      </c>
      <c r="L9" s="14">
        <v>36100</v>
      </c>
      <c r="M9" s="14">
        <v>36100</v>
      </c>
      <c r="N9" s="14">
        <v>36100</v>
      </c>
      <c r="O9" s="15">
        <f>SUM(C9:N9)</f>
        <v>428800</v>
      </c>
      <c r="Q9" s="16" t="s">
        <v>222</v>
      </c>
    </row>
    <row r="10" spans="1:17"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7" ht="15" x14ac:dyDescent="0.2">
      <c r="A11" s="12"/>
      <c r="B11" s="13" t="s">
        <v>120</v>
      </c>
      <c r="C11" s="17">
        <v>1750</v>
      </c>
      <c r="D11" s="17">
        <v>2450</v>
      </c>
      <c r="E11" s="17">
        <v>2450</v>
      </c>
      <c r="F11" s="17">
        <v>2450</v>
      </c>
      <c r="G11" s="17">
        <v>2527</v>
      </c>
      <c r="H11" s="17">
        <v>2527</v>
      </c>
      <c r="I11" s="17">
        <v>2527</v>
      </c>
      <c r="J11" s="17">
        <v>3249</v>
      </c>
      <c r="K11" s="17">
        <v>3249</v>
      </c>
      <c r="L11" s="17">
        <v>3249</v>
      </c>
      <c r="M11" s="17">
        <v>3249</v>
      </c>
      <c r="N11" s="17">
        <v>3249</v>
      </c>
      <c r="O11" s="18">
        <f>SUM(C11:N11)</f>
        <v>32926</v>
      </c>
    </row>
    <row r="12" spans="1:17"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7"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7" ht="15.75" customHeight="1" x14ac:dyDescent="0.2">
      <c r="A14" s="12"/>
      <c r="B14" s="13" t="s">
        <v>123</v>
      </c>
      <c r="C14" s="17">
        <v>3780</v>
      </c>
      <c r="D14" s="17">
        <v>3852</v>
      </c>
      <c r="E14" s="17">
        <v>3852</v>
      </c>
      <c r="F14" s="17">
        <v>3852</v>
      </c>
      <c r="G14" s="17">
        <v>3852</v>
      </c>
      <c r="H14" s="17">
        <v>3852</v>
      </c>
      <c r="I14" s="17">
        <v>3852</v>
      </c>
      <c r="J14" s="17">
        <v>3924</v>
      </c>
      <c r="K14" s="17">
        <v>3924</v>
      </c>
      <c r="L14" s="17">
        <v>3924</v>
      </c>
      <c r="M14" s="17">
        <v>3924</v>
      </c>
      <c r="N14" s="17">
        <v>3924</v>
      </c>
      <c r="O14" s="18">
        <f t="shared" si="0"/>
        <v>46512</v>
      </c>
    </row>
    <row r="15" spans="1:17" ht="14.25" hidden="1" customHeight="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7" ht="14.25" hidden="1" customHeight="1" x14ac:dyDescent="0.2">
      <c r="A16" s="12"/>
      <c r="B16" s="13" t="s">
        <v>405</v>
      </c>
      <c r="C16" s="17">
        <v>0</v>
      </c>
      <c r="D16" s="17">
        <v>0</v>
      </c>
      <c r="E16" s="17">
        <v>0</v>
      </c>
      <c r="F16" s="17">
        <v>0</v>
      </c>
      <c r="G16" s="17">
        <v>0</v>
      </c>
      <c r="H16" s="17">
        <v>0</v>
      </c>
      <c r="I16" s="17">
        <v>0</v>
      </c>
      <c r="J16" s="17">
        <v>0</v>
      </c>
      <c r="K16" s="17">
        <v>0</v>
      </c>
      <c r="L16" s="17">
        <v>0</v>
      </c>
      <c r="M16" s="17">
        <v>0</v>
      </c>
      <c r="N16" s="17">
        <v>0</v>
      </c>
      <c r="O16" s="18">
        <f t="shared" si="0"/>
        <v>0</v>
      </c>
    </row>
    <row r="17" spans="1:20" ht="13.5" customHeight="1" x14ac:dyDescent="0.2">
      <c r="A17" s="12"/>
      <c r="B17" s="13" t="s">
        <v>224</v>
      </c>
      <c r="C17" s="17">
        <v>0</v>
      </c>
      <c r="D17" s="17">
        <v>0</v>
      </c>
      <c r="E17" s="17">
        <v>0</v>
      </c>
      <c r="F17" s="17">
        <v>0</v>
      </c>
      <c r="G17" s="17">
        <v>0</v>
      </c>
      <c r="H17" s="17">
        <v>0</v>
      </c>
      <c r="I17" s="17">
        <v>0</v>
      </c>
      <c r="J17" s="17">
        <v>0</v>
      </c>
      <c r="K17" s="17">
        <v>0</v>
      </c>
      <c r="L17" s="17">
        <v>0</v>
      </c>
      <c r="M17" s="17">
        <v>0</v>
      </c>
      <c r="N17" s="17">
        <v>0</v>
      </c>
      <c r="O17" s="18">
        <f t="shared" si="0"/>
        <v>0</v>
      </c>
    </row>
    <row r="18" spans="1:20" ht="14.25" hidden="1" customHeight="1" x14ac:dyDescent="0.2">
      <c r="A18" s="12"/>
      <c r="B18" s="217" t="s">
        <v>983</v>
      </c>
      <c r="C18" s="17">
        <v>0</v>
      </c>
      <c r="D18" s="17">
        <v>0</v>
      </c>
      <c r="E18" s="17">
        <v>0</v>
      </c>
      <c r="F18" s="17">
        <v>0</v>
      </c>
      <c r="G18" s="17">
        <v>0</v>
      </c>
      <c r="H18" s="17">
        <v>0</v>
      </c>
      <c r="I18" s="17">
        <v>0</v>
      </c>
      <c r="J18" s="17">
        <v>0</v>
      </c>
      <c r="K18" s="17">
        <v>0</v>
      </c>
      <c r="L18" s="17">
        <v>0</v>
      </c>
      <c r="M18" s="17">
        <v>0</v>
      </c>
      <c r="N18" s="17">
        <v>0</v>
      </c>
      <c r="O18" s="18">
        <f t="shared" si="0"/>
        <v>0</v>
      </c>
    </row>
    <row r="19" spans="1:20" ht="15" x14ac:dyDescent="0.2">
      <c r="A19" s="12"/>
      <c r="B19" s="13" t="s">
        <v>128</v>
      </c>
      <c r="C19" s="17">
        <v>8400</v>
      </c>
      <c r="D19" s="17">
        <v>8400</v>
      </c>
      <c r="E19" s="17">
        <v>8400</v>
      </c>
      <c r="F19" s="17">
        <v>8400</v>
      </c>
      <c r="G19" s="17">
        <v>8664</v>
      </c>
      <c r="H19" s="17">
        <v>8664</v>
      </c>
      <c r="I19" s="17">
        <v>8664</v>
      </c>
      <c r="J19" s="17">
        <v>8664</v>
      </c>
      <c r="K19" s="17">
        <v>8664</v>
      </c>
      <c r="L19" s="17">
        <v>8664</v>
      </c>
      <c r="M19" s="17">
        <v>8664</v>
      </c>
      <c r="N19" s="17">
        <v>8664</v>
      </c>
      <c r="O19" s="18">
        <f t="shared" si="0"/>
        <v>102912</v>
      </c>
    </row>
    <row r="20" spans="1:20" ht="15" x14ac:dyDescent="0.2">
      <c r="A20" s="12"/>
      <c r="B20" s="13" t="s">
        <v>129</v>
      </c>
      <c r="C20" s="17">
        <v>0</v>
      </c>
      <c r="D20" s="17">
        <v>0</v>
      </c>
      <c r="E20" s="17">
        <v>0</v>
      </c>
      <c r="F20" s="17">
        <v>26250</v>
      </c>
      <c r="G20" s="17">
        <v>0</v>
      </c>
      <c r="H20" s="17">
        <v>0</v>
      </c>
      <c r="I20" s="17">
        <v>0</v>
      </c>
      <c r="J20" s="17">
        <v>0</v>
      </c>
      <c r="K20" s="17">
        <v>0</v>
      </c>
      <c r="L20" s="17">
        <v>0</v>
      </c>
      <c r="M20" s="17">
        <v>0</v>
      </c>
      <c r="N20" s="17">
        <v>0</v>
      </c>
      <c r="O20" s="18">
        <f t="shared" si="0"/>
        <v>26250</v>
      </c>
    </row>
    <row r="21" spans="1:20" ht="0.75" hidden="1" customHeight="1" x14ac:dyDescent="0.2">
      <c r="A21" s="878"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20" ht="15" customHeight="1" thickBot="1" x14ac:dyDescent="0.25">
      <c r="A22" s="879"/>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20" ht="15" hidden="1" customHeight="1" x14ac:dyDescent="0.2">
      <c r="A23" s="879"/>
      <c r="B23" s="19" t="s">
        <v>133</v>
      </c>
      <c r="C23" s="17">
        <v>0</v>
      </c>
      <c r="D23" s="17">
        <v>0</v>
      </c>
      <c r="E23" s="17">
        <v>0</v>
      </c>
      <c r="F23" s="17">
        <v>0</v>
      </c>
      <c r="G23" s="17">
        <v>0</v>
      </c>
      <c r="H23" s="17">
        <v>0</v>
      </c>
      <c r="I23" s="17">
        <v>0</v>
      </c>
      <c r="J23" s="17">
        <v>0</v>
      </c>
      <c r="K23" s="17">
        <v>0</v>
      </c>
      <c r="L23" s="17">
        <v>0</v>
      </c>
      <c r="M23" s="17">
        <v>0</v>
      </c>
      <c r="N23" s="17">
        <v>0</v>
      </c>
      <c r="O23" s="18">
        <f t="shared" si="0"/>
        <v>0</v>
      </c>
    </row>
    <row r="24" spans="1:20" ht="15" hidden="1" customHeight="1" x14ac:dyDescent="0.2">
      <c r="A24" s="879"/>
      <c r="B24" s="19" t="s">
        <v>134</v>
      </c>
      <c r="C24" s="17">
        <v>0</v>
      </c>
      <c r="D24" s="17">
        <v>0</v>
      </c>
      <c r="E24" s="17">
        <v>0</v>
      </c>
      <c r="F24" s="17">
        <v>0</v>
      </c>
      <c r="G24" s="17">
        <v>0</v>
      </c>
      <c r="H24" s="17">
        <v>0</v>
      </c>
      <c r="I24" s="17">
        <v>0</v>
      </c>
      <c r="J24" s="17">
        <v>0</v>
      </c>
      <c r="K24" s="17">
        <v>0</v>
      </c>
      <c r="L24" s="17">
        <v>0</v>
      </c>
      <c r="M24" s="17">
        <v>0</v>
      </c>
      <c r="N24" s="17">
        <v>0</v>
      </c>
      <c r="O24" s="18">
        <f t="shared" si="0"/>
        <v>0</v>
      </c>
    </row>
    <row r="25" spans="1:20" ht="15" hidden="1" customHeight="1" x14ac:dyDescent="0.2">
      <c r="A25" s="879"/>
      <c r="B25" s="19" t="s">
        <v>135</v>
      </c>
      <c r="C25" s="17">
        <v>0</v>
      </c>
      <c r="D25" s="17">
        <v>0</v>
      </c>
      <c r="E25" s="17">
        <v>0</v>
      </c>
      <c r="F25" s="17">
        <v>0</v>
      </c>
      <c r="G25" s="17">
        <v>0</v>
      </c>
      <c r="H25" s="17">
        <v>0</v>
      </c>
      <c r="I25" s="17">
        <v>0</v>
      </c>
      <c r="J25" s="17">
        <v>0</v>
      </c>
      <c r="K25" s="17">
        <v>0</v>
      </c>
      <c r="L25" s="17">
        <v>0</v>
      </c>
      <c r="M25" s="17">
        <v>0</v>
      </c>
      <c r="N25" s="17">
        <v>0</v>
      </c>
      <c r="O25" s="18">
        <f t="shared" si="0"/>
        <v>0</v>
      </c>
    </row>
    <row r="26" spans="1:20" ht="15" hidden="1" customHeight="1" x14ac:dyDescent="0.2">
      <c r="A26" s="879"/>
      <c r="B26" s="19" t="s">
        <v>136</v>
      </c>
      <c r="C26" s="17">
        <v>0</v>
      </c>
      <c r="D26" s="17">
        <v>0</v>
      </c>
      <c r="E26" s="17">
        <v>0</v>
      </c>
      <c r="F26" s="17">
        <v>0</v>
      </c>
      <c r="G26" s="17">
        <v>0</v>
      </c>
      <c r="H26" s="17">
        <v>0</v>
      </c>
      <c r="I26" s="17">
        <v>0</v>
      </c>
      <c r="J26" s="17">
        <v>0</v>
      </c>
      <c r="K26" s="17">
        <v>0</v>
      </c>
      <c r="L26" s="17">
        <v>0</v>
      </c>
      <c r="M26" s="17">
        <v>0</v>
      </c>
      <c r="N26" s="17">
        <v>0</v>
      </c>
      <c r="O26" s="18">
        <f t="shared" si="0"/>
        <v>0</v>
      </c>
    </row>
    <row r="27" spans="1:20" ht="15" hidden="1" customHeight="1" x14ac:dyDescent="0.2">
      <c r="A27" s="879"/>
      <c r="B27" s="19" t="s">
        <v>137</v>
      </c>
      <c r="C27" s="17">
        <v>0</v>
      </c>
      <c r="D27" s="17">
        <v>0</v>
      </c>
      <c r="E27" s="17">
        <v>0</v>
      </c>
      <c r="F27" s="17">
        <v>0</v>
      </c>
      <c r="G27" s="17">
        <v>0</v>
      </c>
      <c r="H27" s="17">
        <v>0</v>
      </c>
      <c r="I27" s="17">
        <v>0</v>
      </c>
      <c r="J27" s="17">
        <v>0</v>
      </c>
      <c r="K27" s="17">
        <v>0</v>
      </c>
      <c r="L27" s="17">
        <v>0</v>
      </c>
      <c r="M27" s="17">
        <v>0</v>
      </c>
      <c r="N27" s="17">
        <v>0</v>
      </c>
      <c r="O27" s="18">
        <f t="shared" si="0"/>
        <v>0</v>
      </c>
    </row>
    <row r="28" spans="1:20" ht="15" hidden="1" customHeight="1" x14ac:dyDescent="0.2">
      <c r="A28" s="879"/>
      <c r="B28" s="19" t="s">
        <v>138</v>
      </c>
      <c r="C28" s="17">
        <v>0</v>
      </c>
      <c r="D28" s="17">
        <v>0</v>
      </c>
      <c r="E28" s="17">
        <v>0</v>
      </c>
      <c r="F28" s="17">
        <v>0</v>
      </c>
      <c r="G28" s="17">
        <v>0</v>
      </c>
      <c r="H28" s="17">
        <v>0</v>
      </c>
      <c r="I28" s="17">
        <v>0</v>
      </c>
      <c r="J28" s="17">
        <v>0</v>
      </c>
      <c r="K28" s="17">
        <v>0</v>
      </c>
      <c r="L28" s="17">
        <v>0</v>
      </c>
      <c r="M28" s="17">
        <v>0</v>
      </c>
      <c r="N28" s="17">
        <v>0</v>
      </c>
      <c r="O28" s="18">
        <f t="shared" si="0"/>
        <v>0</v>
      </c>
    </row>
    <row r="29" spans="1:20" ht="15" hidden="1" customHeight="1" x14ac:dyDescent="0.2">
      <c r="A29" s="879"/>
      <c r="B29" s="19" t="s">
        <v>139</v>
      </c>
      <c r="C29" s="17">
        <v>0</v>
      </c>
      <c r="D29" s="17">
        <v>0</v>
      </c>
      <c r="E29" s="17">
        <v>0</v>
      </c>
      <c r="F29" s="17">
        <v>0</v>
      </c>
      <c r="G29" s="17">
        <v>0</v>
      </c>
      <c r="H29" s="17">
        <v>0</v>
      </c>
      <c r="I29" s="17">
        <v>0</v>
      </c>
      <c r="J29" s="17">
        <v>0</v>
      </c>
      <c r="K29" s="17">
        <v>0</v>
      </c>
      <c r="L29" s="17">
        <v>0</v>
      </c>
      <c r="M29" s="17">
        <v>0</v>
      </c>
      <c r="N29" s="17">
        <v>0</v>
      </c>
      <c r="O29" s="18">
        <f t="shared" si="0"/>
        <v>0</v>
      </c>
    </row>
    <row r="30" spans="1:20" ht="15" hidden="1" customHeight="1" x14ac:dyDescent="0.2">
      <c r="A30" s="879"/>
      <c r="B30" s="19" t="s">
        <v>140</v>
      </c>
      <c r="C30" s="17">
        <v>0</v>
      </c>
      <c r="D30" s="17">
        <v>0</v>
      </c>
      <c r="E30" s="17">
        <v>0</v>
      </c>
      <c r="F30" s="17">
        <v>0</v>
      </c>
      <c r="G30" s="17">
        <v>0</v>
      </c>
      <c r="H30" s="17">
        <v>0</v>
      </c>
      <c r="I30" s="17">
        <v>0</v>
      </c>
      <c r="J30" s="17">
        <v>0</v>
      </c>
      <c r="K30" s="17">
        <v>0</v>
      </c>
      <c r="L30" s="17">
        <v>0</v>
      </c>
      <c r="M30" s="17">
        <v>0</v>
      </c>
      <c r="N30" s="17">
        <v>0</v>
      </c>
      <c r="O30" s="18">
        <f t="shared" si="0"/>
        <v>0</v>
      </c>
    </row>
    <row r="31" spans="1:20" ht="15" hidden="1" customHeight="1" x14ac:dyDescent="0.2">
      <c r="A31" s="879"/>
      <c r="B31" s="19" t="s">
        <v>225</v>
      </c>
      <c r="C31" s="17">
        <v>0</v>
      </c>
      <c r="D31" s="17">
        <v>0</v>
      </c>
      <c r="E31" s="17">
        <v>0</v>
      </c>
      <c r="F31" s="17">
        <v>0</v>
      </c>
      <c r="G31" s="17">
        <v>0</v>
      </c>
      <c r="H31" s="17">
        <v>0</v>
      </c>
      <c r="I31" s="17">
        <v>0</v>
      </c>
      <c r="J31" s="17">
        <v>0</v>
      </c>
      <c r="K31" s="17">
        <v>0</v>
      </c>
      <c r="L31" s="17">
        <v>0</v>
      </c>
      <c r="M31" s="17">
        <v>0</v>
      </c>
      <c r="N31" s="17">
        <v>0</v>
      </c>
      <c r="O31" s="18">
        <f t="shared" si="0"/>
        <v>0</v>
      </c>
    </row>
    <row r="32" spans="1:20" ht="15" customHeight="1" x14ac:dyDescent="0.2">
      <c r="A32" s="879"/>
      <c r="B32" s="21" t="s">
        <v>142</v>
      </c>
      <c r="C32" s="17">
        <v>0</v>
      </c>
      <c r="D32" s="17">
        <v>0</v>
      </c>
      <c r="E32" s="17">
        <v>0</v>
      </c>
      <c r="F32" s="17">
        <v>0</v>
      </c>
      <c r="G32" s="17">
        <v>0</v>
      </c>
      <c r="H32" s="17">
        <v>0</v>
      </c>
      <c r="I32" s="17">
        <v>0</v>
      </c>
      <c r="J32" s="17">
        <v>0</v>
      </c>
      <c r="K32" s="17">
        <v>0</v>
      </c>
      <c r="L32" s="17">
        <v>0</v>
      </c>
      <c r="M32" s="17">
        <v>0</v>
      </c>
      <c r="N32" s="17">
        <v>0</v>
      </c>
      <c r="O32" s="18">
        <f t="shared" si="0"/>
        <v>0</v>
      </c>
      <c r="T32" s="346"/>
    </row>
    <row r="33" spans="1:16" ht="19.5" hidden="1" customHeight="1" x14ac:dyDescent="0.2">
      <c r="A33" s="880"/>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219"/>
      <c r="B34" s="220" t="s">
        <v>144</v>
      </c>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865" t="s">
        <v>145</v>
      </c>
      <c r="B35" s="866"/>
      <c r="C35" s="17">
        <v>0</v>
      </c>
      <c r="D35" s="17">
        <v>216</v>
      </c>
      <c r="E35" s="17">
        <v>0</v>
      </c>
      <c r="F35" s="17">
        <v>0</v>
      </c>
      <c r="G35" s="17">
        <v>0</v>
      </c>
      <c r="H35" s="17">
        <v>0</v>
      </c>
      <c r="I35" s="17">
        <v>0</v>
      </c>
      <c r="J35" s="17">
        <v>216</v>
      </c>
      <c r="K35" s="17">
        <v>0</v>
      </c>
      <c r="L35" s="17">
        <v>0</v>
      </c>
      <c r="M35" s="17">
        <v>0</v>
      </c>
      <c r="N35" s="17">
        <v>0</v>
      </c>
      <c r="O35" s="18">
        <f t="shared" si="0"/>
        <v>432</v>
      </c>
    </row>
    <row r="36" spans="1:16" ht="15" customHeight="1" x14ac:dyDescent="0.2">
      <c r="A36" s="865" t="s">
        <v>146</v>
      </c>
      <c r="B36" s="866"/>
      <c r="C36" s="17">
        <v>0</v>
      </c>
      <c r="D36" s="17">
        <v>2100</v>
      </c>
      <c r="E36" s="17">
        <v>0</v>
      </c>
      <c r="F36" s="17">
        <v>0</v>
      </c>
      <c r="G36" s="17">
        <v>0</v>
      </c>
      <c r="H36" s="17">
        <v>0</v>
      </c>
      <c r="I36" s="17">
        <v>0</v>
      </c>
      <c r="J36" s="17">
        <v>2166</v>
      </c>
      <c r="K36" s="17">
        <v>0</v>
      </c>
      <c r="L36" s="17">
        <v>0</v>
      </c>
      <c r="M36" s="17">
        <v>0</v>
      </c>
      <c r="N36" s="17">
        <v>0</v>
      </c>
      <c r="O36" s="18">
        <f t="shared" si="0"/>
        <v>4266</v>
      </c>
    </row>
    <row r="37" spans="1:16" ht="15" customHeight="1" x14ac:dyDescent="0.2">
      <c r="A37" s="22"/>
      <c r="B37" s="23" t="s">
        <v>147</v>
      </c>
      <c r="C37" s="24">
        <f t="shared" ref="C37:N37" si="1">SUM(C9:C36)</f>
        <v>48930</v>
      </c>
      <c r="D37" s="24">
        <f t="shared" si="1"/>
        <v>52018</v>
      </c>
      <c r="E37" s="24">
        <f t="shared" si="1"/>
        <v>49702</v>
      </c>
      <c r="F37" s="24">
        <f t="shared" si="1"/>
        <v>75952</v>
      </c>
      <c r="G37" s="24">
        <f t="shared" si="1"/>
        <v>51143</v>
      </c>
      <c r="H37" s="24">
        <f t="shared" si="1"/>
        <v>51143</v>
      </c>
      <c r="I37" s="24">
        <f t="shared" si="1"/>
        <v>51143</v>
      </c>
      <c r="J37" s="24">
        <f t="shared" si="1"/>
        <v>61227</v>
      </c>
      <c r="K37" s="24">
        <f t="shared" si="1"/>
        <v>51937</v>
      </c>
      <c r="L37" s="24">
        <f t="shared" si="1"/>
        <v>51937</v>
      </c>
      <c r="M37" s="24">
        <f t="shared" si="1"/>
        <v>51937</v>
      </c>
      <c r="N37" s="24">
        <f t="shared" si="1"/>
        <v>51937</v>
      </c>
      <c r="O37" s="25">
        <f>SUM(C37:N37)</f>
        <v>649006</v>
      </c>
    </row>
    <row r="38" spans="1:16" ht="15" customHeight="1" x14ac:dyDescent="0.25">
      <c r="A38" s="853" t="s">
        <v>148</v>
      </c>
      <c r="B38" s="27" t="s">
        <v>149</v>
      </c>
      <c r="C38" s="28">
        <v>0</v>
      </c>
      <c r="D38" s="28">
        <v>0</v>
      </c>
      <c r="E38" s="28">
        <v>0</v>
      </c>
      <c r="F38" s="28">
        <v>0</v>
      </c>
      <c r="G38" s="28">
        <v>0</v>
      </c>
      <c r="H38" s="28">
        <v>0</v>
      </c>
      <c r="I38" s="28">
        <v>0</v>
      </c>
      <c r="J38" s="28">
        <v>500</v>
      </c>
      <c r="K38" s="28">
        <v>2500</v>
      </c>
      <c r="L38" s="28">
        <v>2547</v>
      </c>
      <c r="M38" s="28">
        <v>2547</v>
      </c>
      <c r="N38">
        <v>2652</v>
      </c>
      <c r="O38" s="18">
        <f>SUM(C38:N38)</f>
        <v>10746</v>
      </c>
      <c r="P38" s="29"/>
    </row>
    <row r="39" spans="1:16" ht="15" x14ac:dyDescent="0.2">
      <c r="A39" s="854"/>
      <c r="B39" s="27" t="s">
        <v>150</v>
      </c>
      <c r="C39" s="28">
        <v>0</v>
      </c>
      <c r="D39" s="28">
        <v>0</v>
      </c>
      <c r="E39" s="28">
        <v>0</v>
      </c>
      <c r="F39" s="28">
        <v>0</v>
      </c>
      <c r="G39" s="28">
        <v>0</v>
      </c>
      <c r="H39" s="28">
        <v>0</v>
      </c>
      <c r="I39" s="28">
        <v>0</v>
      </c>
      <c r="J39" s="28">
        <v>0</v>
      </c>
      <c r="K39" s="28">
        <v>0</v>
      </c>
      <c r="L39" s="28">
        <v>0</v>
      </c>
      <c r="M39" s="28">
        <v>0</v>
      </c>
      <c r="N39" s="28">
        <v>0</v>
      </c>
      <c r="O39" s="18">
        <f>SUM(C39:N39)</f>
        <v>0</v>
      </c>
    </row>
    <row r="40" spans="1:16" ht="15" x14ac:dyDescent="0.2">
      <c r="A40" s="854"/>
      <c r="B40" s="27" t="s">
        <v>151</v>
      </c>
      <c r="C40" s="28">
        <v>30</v>
      </c>
      <c r="D40" s="28">
        <v>30</v>
      </c>
      <c r="E40" s="28">
        <v>30</v>
      </c>
      <c r="F40" s="28">
        <v>30</v>
      </c>
      <c r="G40" s="28">
        <v>30</v>
      </c>
      <c r="H40" s="28">
        <v>30</v>
      </c>
      <c r="I40" s="28">
        <v>30</v>
      </c>
      <c r="J40" s="28">
        <v>30</v>
      </c>
      <c r="K40" s="28">
        <v>30</v>
      </c>
      <c r="L40" s="28">
        <v>30</v>
      </c>
      <c r="M40" s="28">
        <v>30</v>
      </c>
      <c r="N40" s="28">
        <v>30</v>
      </c>
      <c r="O40" s="18">
        <f t="shared" ref="O40:O50" si="2">SUM(C40:N40)</f>
        <v>360</v>
      </c>
    </row>
    <row r="41" spans="1:16" ht="15" x14ac:dyDescent="0.2">
      <c r="A41" s="854"/>
      <c r="B41" s="27" t="s">
        <v>152</v>
      </c>
      <c r="C41" s="28">
        <v>0</v>
      </c>
      <c r="D41" s="28">
        <v>0</v>
      </c>
      <c r="E41" s="28">
        <v>0</v>
      </c>
      <c r="F41" s="28">
        <v>0</v>
      </c>
      <c r="G41" s="28">
        <v>0</v>
      </c>
      <c r="H41" s="28">
        <v>0</v>
      </c>
      <c r="I41" s="28">
        <v>0</v>
      </c>
      <c r="J41" s="28">
        <v>0</v>
      </c>
      <c r="K41" s="28">
        <v>0</v>
      </c>
      <c r="L41" s="28">
        <v>0</v>
      </c>
      <c r="M41" s="28">
        <v>0</v>
      </c>
      <c r="N41" s="28">
        <v>0</v>
      </c>
      <c r="O41" s="18">
        <f t="shared" si="2"/>
        <v>0</v>
      </c>
    </row>
    <row r="42" spans="1:16" ht="15" x14ac:dyDescent="0.2">
      <c r="A42" s="854"/>
      <c r="B42" s="27" t="s">
        <v>153</v>
      </c>
      <c r="C42" s="28">
        <v>0</v>
      </c>
      <c r="D42" s="28">
        <v>0</v>
      </c>
      <c r="E42" s="28">
        <v>0</v>
      </c>
      <c r="F42" s="28">
        <v>0</v>
      </c>
      <c r="G42" s="28">
        <v>0</v>
      </c>
      <c r="H42" s="28">
        <v>0</v>
      </c>
      <c r="I42" s="28">
        <v>0</v>
      </c>
      <c r="J42" s="28">
        <v>0</v>
      </c>
      <c r="K42" s="28">
        <v>0</v>
      </c>
      <c r="L42" s="28">
        <v>0</v>
      </c>
      <c r="M42" s="28">
        <v>0</v>
      </c>
      <c r="N42" s="28">
        <v>0</v>
      </c>
      <c r="O42" s="18">
        <f t="shared" si="2"/>
        <v>0</v>
      </c>
    </row>
    <row r="43" spans="1:16" ht="15" x14ac:dyDescent="0.2">
      <c r="A43" s="854"/>
      <c r="B43" s="27" t="s">
        <v>154</v>
      </c>
      <c r="C43" s="28">
        <v>16000</v>
      </c>
      <c r="D43" s="28">
        <v>16000</v>
      </c>
      <c r="E43" s="28">
        <v>16000</v>
      </c>
      <c r="F43" s="28">
        <v>16000</v>
      </c>
      <c r="G43" s="28">
        <v>16000</v>
      </c>
      <c r="H43" s="28">
        <v>16000</v>
      </c>
      <c r="I43" s="28">
        <v>16000</v>
      </c>
      <c r="J43" s="28">
        <v>16000</v>
      </c>
      <c r="K43" s="28">
        <v>16000</v>
      </c>
      <c r="L43" s="28">
        <v>16000</v>
      </c>
      <c r="M43" s="28">
        <v>16000</v>
      </c>
      <c r="N43" s="28">
        <v>16000</v>
      </c>
      <c r="O43" s="18">
        <f t="shared" si="2"/>
        <v>192000</v>
      </c>
    </row>
    <row r="44" spans="1:16" ht="15" x14ac:dyDescent="0.2">
      <c r="A44" s="854"/>
      <c r="B44" s="27" t="s">
        <v>155</v>
      </c>
      <c r="C44" s="28">
        <v>200</v>
      </c>
      <c r="D44" s="28">
        <v>200</v>
      </c>
      <c r="E44" s="28">
        <v>200</v>
      </c>
      <c r="F44" s="28">
        <v>200</v>
      </c>
      <c r="G44" s="28">
        <v>200</v>
      </c>
      <c r="H44" s="28">
        <v>200</v>
      </c>
      <c r="I44" s="28">
        <v>200</v>
      </c>
      <c r="J44" s="28">
        <v>200</v>
      </c>
      <c r="K44" s="28">
        <v>200</v>
      </c>
      <c r="L44" s="28">
        <v>200</v>
      </c>
      <c r="M44" s="28">
        <v>200</v>
      </c>
      <c r="N44" s="28">
        <v>300</v>
      </c>
      <c r="O44" s="18">
        <f t="shared" si="2"/>
        <v>2500</v>
      </c>
    </row>
    <row r="45" spans="1:16" ht="15" x14ac:dyDescent="0.2">
      <c r="A45" s="854"/>
      <c r="B45" s="27" t="s">
        <v>156</v>
      </c>
      <c r="C45" s="28">
        <v>0</v>
      </c>
      <c r="D45" s="28">
        <v>0</v>
      </c>
      <c r="E45" s="28">
        <v>0</v>
      </c>
      <c r="F45" s="28">
        <v>0</v>
      </c>
      <c r="G45" s="28">
        <v>0</v>
      </c>
      <c r="H45" s="28">
        <v>0</v>
      </c>
      <c r="I45" s="28">
        <v>0</v>
      </c>
      <c r="J45" s="28">
        <v>0</v>
      </c>
      <c r="K45" s="28">
        <v>0</v>
      </c>
      <c r="L45" s="28">
        <v>0</v>
      </c>
      <c r="M45" s="28">
        <v>0</v>
      </c>
      <c r="N45" s="28">
        <v>0</v>
      </c>
      <c r="O45" s="18">
        <f t="shared" si="2"/>
        <v>0</v>
      </c>
    </row>
    <row r="46" spans="1:16" ht="15" x14ac:dyDescent="0.2">
      <c r="A46" s="854"/>
      <c r="B46" s="27" t="s">
        <v>157</v>
      </c>
      <c r="C46" s="28">
        <v>0</v>
      </c>
      <c r="D46" s="28">
        <v>0</v>
      </c>
      <c r="E46" s="28">
        <v>0</v>
      </c>
      <c r="F46" s="28">
        <v>0</v>
      </c>
      <c r="G46" s="28">
        <v>0</v>
      </c>
      <c r="H46" s="28">
        <v>0</v>
      </c>
      <c r="I46" s="28">
        <v>0</v>
      </c>
      <c r="J46" s="28">
        <v>0</v>
      </c>
      <c r="K46" s="28">
        <v>0</v>
      </c>
      <c r="L46" s="28">
        <v>0</v>
      </c>
      <c r="M46" s="28">
        <v>0</v>
      </c>
      <c r="N46" s="28">
        <v>0</v>
      </c>
      <c r="O46" s="18">
        <f t="shared" si="2"/>
        <v>0</v>
      </c>
    </row>
    <row r="47" spans="1:16" ht="28.5" customHeight="1" x14ac:dyDescent="0.2">
      <c r="A47" s="855"/>
      <c r="B47" s="30" t="s">
        <v>158</v>
      </c>
      <c r="C47" s="28">
        <v>980</v>
      </c>
      <c r="D47" s="28">
        <v>980</v>
      </c>
      <c r="E47" s="28">
        <v>980</v>
      </c>
      <c r="F47" s="28">
        <v>980</v>
      </c>
      <c r="G47" s="28">
        <v>980</v>
      </c>
      <c r="H47" s="28">
        <v>980</v>
      </c>
      <c r="I47" s="28">
        <v>980</v>
      </c>
      <c r="J47" s="28">
        <v>980</v>
      </c>
      <c r="K47" s="28">
        <v>980</v>
      </c>
      <c r="L47" s="28">
        <v>980</v>
      </c>
      <c r="M47" s="28">
        <v>980</v>
      </c>
      <c r="N47" s="28">
        <v>980</v>
      </c>
      <c r="O47" s="31">
        <f t="shared" si="2"/>
        <v>11760</v>
      </c>
    </row>
    <row r="48" spans="1:16" ht="15" x14ac:dyDescent="0.2">
      <c r="A48" s="856"/>
      <c r="B48" s="127" t="s">
        <v>610</v>
      </c>
      <c r="C48" s="28">
        <v>0</v>
      </c>
      <c r="D48" s="28">
        <v>0</v>
      </c>
      <c r="E48" s="28">
        <v>0</v>
      </c>
      <c r="F48" s="28">
        <v>0</v>
      </c>
      <c r="G48" s="28">
        <v>0</v>
      </c>
      <c r="H48" s="28">
        <v>0</v>
      </c>
      <c r="I48" s="28">
        <v>0</v>
      </c>
      <c r="J48" s="28">
        <v>0</v>
      </c>
      <c r="K48" s="28">
        <v>0</v>
      </c>
      <c r="L48" s="28">
        <v>0</v>
      </c>
      <c r="M48" s="28">
        <v>0</v>
      </c>
      <c r="N48" s="28">
        <v>0</v>
      </c>
      <c r="O48" s="31">
        <f t="shared" si="2"/>
        <v>0</v>
      </c>
    </row>
    <row r="49" spans="1:19" ht="15" x14ac:dyDescent="0.2">
      <c r="A49" s="857" t="s">
        <v>160</v>
      </c>
      <c r="B49" s="858"/>
      <c r="C49" s="33">
        <f t="shared" ref="C49:N49" si="3">SUM(C38:C48)</f>
        <v>17210</v>
      </c>
      <c r="D49" s="33">
        <f t="shared" si="3"/>
        <v>17210</v>
      </c>
      <c r="E49" s="33">
        <f t="shared" si="3"/>
        <v>17210</v>
      </c>
      <c r="F49" s="33">
        <f t="shared" si="3"/>
        <v>17210</v>
      </c>
      <c r="G49" s="33">
        <f t="shared" si="3"/>
        <v>17210</v>
      </c>
      <c r="H49" s="33">
        <f t="shared" si="3"/>
        <v>17210</v>
      </c>
      <c r="I49" s="33">
        <f t="shared" si="3"/>
        <v>17210</v>
      </c>
      <c r="J49" s="33">
        <f t="shared" si="3"/>
        <v>17710</v>
      </c>
      <c r="K49" s="33">
        <f t="shared" si="3"/>
        <v>19710</v>
      </c>
      <c r="L49" s="33">
        <f t="shared" si="3"/>
        <v>19757</v>
      </c>
      <c r="M49" s="33">
        <f t="shared" si="3"/>
        <v>19757</v>
      </c>
      <c r="N49" s="33">
        <f t="shared" si="3"/>
        <v>19962</v>
      </c>
      <c r="O49" s="34">
        <f t="shared" si="2"/>
        <v>217366</v>
      </c>
    </row>
    <row r="50" spans="1:19" ht="15.75" thickBot="1" x14ac:dyDescent="0.25">
      <c r="A50" s="859" t="s">
        <v>161</v>
      </c>
      <c r="B50" s="860"/>
      <c r="C50" s="35">
        <f t="shared" ref="C50:N50" si="4">C37-C49</f>
        <v>31720</v>
      </c>
      <c r="D50" s="35">
        <f t="shared" si="4"/>
        <v>34808</v>
      </c>
      <c r="E50" s="35">
        <f t="shared" si="4"/>
        <v>32492</v>
      </c>
      <c r="F50" s="35">
        <f t="shared" si="4"/>
        <v>58742</v>
      </c>
      <c r="G50" s="35">
        <f t="shared" si="4"/>
        <v>33933</v>
      </c>
      <c r="H50" s="35">
        <f t="shared" si="4"/>
        <v>33933</v>
      </c>
      <c r="I50" s="35">
        <f t="shared" si="4"/>
        <v>33933</v>
      </c>
      <c r="J50" s="35">
        <f t="shared" si="4"/>
        <v>43517</v>
      </c>
      <c r="K50" s="35">
        <f t="shared" si="4"/>
        <v>32227</v>
      </c>
      <c r="L50" s="35">
        <f t="shared" si="4"/>
        <v>32180</v>
      </c>
      <c r="M50" s="35">
        <f t="shared" si="4"/>
        <v>32180</v>
      </c>
      <c r="N50" s="35">
        <f t="shared" si="4"/>
        <v>31975</v>
      </c>
      <c r="O50" s="36">
        <f t="shared" si="2"/>
        <v>431640</v>
      </c>
    </row>
    <row r="51" spans="1:19" x14ac:dyDescent="0.2">
      <c r="H51" s="38"/>
      <c r="J51" s="300">
        <f>+J37-SUM(J22:J36)</f>
        <v>51937</v>
      </c>
      <c r="L51" s="38"/>
      <c r="Q51" s="38"/>
    </row>
    <row r="52" spans="1:19" ht="13.5" thickBot="1" x14ac:dyDescent="0.25">
      <c r="J52" s="38">
        <f>+J51-J49</f>
        <v>34227</v>
      </c>
    </row>
    <row r="53" spans="1:19" ht="13.5" thickBot="1" x14ac:dyDescent="0.25">
      <c r="B53" s="789" t="s">
        <v>162</v>
      </c>
      <c r="C53" s="861"/>
      <c r="D53" s="861"/>
      <c r="E53" s="861"/>
      <c r="F53" s="862"/>
      <c r="G53" s="863">
        <f>O37</f>
        <v>649006</v>
      </c>
      <c r="H53" s="864"/>
    </row>
    <row r="54" spans="1:19" ht="13.5" thickBot="1" x14ac:dyDescent="0.25"/>
    <row r="55" spans="1:19" x14ac:dyDescent="0.2">
      <c r="B55" s="830" t="s">
        <v>163</v>
      </c>
      <c r="C55" s="833" t="s">
        <v>164</v>
      </c>
      <c r="D55" s="836" t="s">
        <v>229</v>
      </c>
      <c r="E55" s="837"/>
      <c r="F55" s="838"/>
      <c r="G55" s="839">
        <v>40000</v>
      </c>
      <c r="H55" s="840"/>
    </row>
    <row r="56" spans="1:19" x14ac:dyDescent="0.2">
      <c r="B56" s="831"/>
      <c r="C56" s="834"/>
      <c r="D56" s="841" t="s">
        <v>166</v>
      </c>
      <c r="E56" s="842"/>
      <c r="F56" s="843"/>
      <c r="G56" s="844">
        <f>+O44</f>
        <v>2500</v>
      </c>
      <c r="H56" s="845"/>
      <c r="I56" s="39"/>
      <c r="J56" s="846"/>
      <c r="K56" s="846"/>
      <c r="L56" s="846"/>
      <c r="M56" s="847"/>
      <c r="N56" s="847"/>
      <c r="O56" s="847"/>
    </row>
    <row r="57" spans="1:19" x14ac:dyDescent="0.2">
      <c r="B57" s="886"/>
      <c r="C57" s="887"/>
      <c r="D57" s="40" t="s">
        <v>129</v>
      </c>
      <c r="E57" s="41"/>
      <c r="F57" s="42"/>
      <c r="G57" s="43"/>
      <c r="H57" s="44">
        <v>0</v>
      </c>
      <c r="I57" s="39"/>
      <c r="J57" s="45"/>
      <c r="K57" s="45"/>
      <c r="L57" s="45"/>
      <c r="M57" s="46"/>
      <c r="N57" s="46"/>
      <c r="O57" s="46"/>
    </row>
    <row r="58" spans="1:19" ht="13.5" thickBot="1" x14ac:dyDescent="0.25">
      <c r="B58" s="832"/>
      <c r="C58" s="835"/>
      <c r="D58" s="848" t="s">
        <v>167</v>
      </c>
      <c r="E58" s="849"/>
      <c r="F58" s="850"/>
      <c r="G58" s="851">
        <f>O17</f>
        <v>0</v>
      </c>
      <c r="H58" s="852"/>
      <c r="J58" s="47"/>
      <c r="K58" s="47"/>
      <c r="L58" s="47"/>
      <c r="M58" s="47"/>
      <c r="N58" s="47"/>
      <c r="O58" s="47"/>
    </row>
    <row r="59" spans="1:19" ht="13.5" thickBot="1" x14ac:dyDescent="0.25">
      <c r="B59" s="48"/>
      <c r="J59" s="47"/>
      <c r="K59" s="47"/>
      <c r="L59" s="47"/>
      <c r="M59" s="47"/>
      <c r="N59" s="47"/>
      <c r="O59" s="47"/>
    </row>
    <row r="60" spans="1:19" ht="13.5" thickBot="1" x14ac:dyDescent="0.25">
      <c r="B60" s="789" t="s">
        <v>168</v>
      </c>
      <c r="C60" s="790"/>
      <c r="D60" s="790"/>
      <c r="E60" s="790"/>
      <c r="F60" s="791"/>
      <c r="G60" s="825">
        <f>+G53-SUM(G55:H58)</f>
        <v>606506</v>
      </c>
      <c r="H60" s="826"/>
      <c r="J60" s="827" t="s">
        <v>169</v>
      </c>
      <c r="K60" s="828"/>
      <c r="L60" s="828"/>
      <c r="M60" s="828"/>
      <c r="N60" s="828"/>
      <c r="O60" s="829"/>
    </row>
    <row r="61" spans="1:19" ht="13.5" thickBot="1" x14ac:dyDescent="0.25">
      <c r="B61" s="49"/>
      <c r="C61" s="50"/>
      <c r="D61" s="50"/>
      <c r="E61" s="50"/>
      <c r="F61" s="50"/>
      <c r="G61" s="45"/>
      <c r="H61" s="50"/>
      <c r="J61" s="129"/>
      <c r="K61" s="130"/>
      <c r="L61" s="130"/>
      <c r="M61" s="130"/>
      <c r="N61" s="130"/>
      <c r="O61" s="131"/>
    </row>
    <row r="62" spans="1:19" ht="13.5" thickBot="1" x14ac:dyDescent="0.25">
      <c r="B62" s="789" t="s">
        <v>170</v>
      </c>
      <c r="C62" s="790"/>
      <c r="D62" s="790"/>
      <c r="E62" s="790"/>
      <c r="F62" s="791"/>
      <c r="G62" s="805"/>
      <c r="H62" s="791"/>
      <c r="J62" s="129"/>
      <c r="K62" s="130"/>
      <c r="L62" s="130"/>
      <c r="M62" s="130"/>
      <c r="N62" s="130"/>
      <c r="O62" s="131"/>
    </row>
    <row r="63" spans="1:19" ht="12.75" customHeight="1" x14ac:dyDescent="0.2">
      <c r="B63" s="57" t="s">
        <v>171</v>
      </c>
      <c r="C63" s="806" t="s">
        <v>172</v>
      </c>
      <c r="D63" s="807"/>
      <c r="E63" s="807"/>
      <c r="F63" s="808"/>
      <c r="G63" s="809">
        <v>0</v>
      </c>
      <c r="H63" s="809"/>
      <c r="I63" s="58"/>
      <c r="J63" s="810" t="s">
        <v>173</v>
      </c>
      <c r="K63" s="811"/>
      <c r="L63" s="811"/>
      <c r="M63" s="811"/>
      <c r="N63" s="811"/>
      <c r="O63" s="812"/>
      <c r="Q63" s="59"/>
      <c r="R63" s="59"/>
      <c r="S63" s="59"/>
    </row>
    <row r="64" spans="1:19" ht="13.5" thickBot="1" x14ac:dyDescent="0.25">
      <c r="D64" s="37"/>
      <c r="I64" s="58"/>
      <c r="J64" s="60" t="s">
        <v>360</v>
      </c>
      <c r="K64" s="132"/>
      <c r="L64" s="132"/>
      <c r="M64" s="133"/>
      <c r="N64" s="133"/>
      <c r="O64" s="134"/>
      <c r="Q64" s="59"/>
      <c r="R64" s="59"/>
      <c r="S64" s="59"/>
    </row>
    <row r="65" spans="2:19" ht="13.5" thickBot="1" x14ac:dyDescent="0.25">
      <c r="B65" s="789" t="s">
        <v>175</v>
      </c>
      <c r="C65" s="790"/>
      <c r="D65" s="790"/>
      <c r="E65" s="790"/>
      <c r="F65" s="791"/>
      <c r="G65" s="805">
        <f>+G60-G63</f>
        <v>606506</v>
      </c>
      <c r="H65" s="791"/>
      <c r="I65" s="63"/>
      <c r="J65" s="64"/>
      <c r="K65" s="39"/>
      <c r="L65" s="39"/>
      <c r="M65" s="39"/>
      <c r="N65" s="39"/>
      <c r="O65" s="65"/>
      <c r="Q65" s="59"/>
      <c r="R65" s="59"/>
      <c r="S65" s="59"/>
    </row>
    <row r="66" spans="2:19" ht="12.75" customHeight="1" x14ac:dyDescent="0.2">
      <c r="B66" s="48"/>
      <c r="C66" s="48"/>
      <c r="I66" s="63"/>
      <c r="J66" s="64">
        <v>927297729</v>
      </c>
      <c r="K66" s="39"/>
      <c r="L66" s="39"/>
      <c r="M66" s="183" t="s">
        <v>232</v>
      </c>
      <c r="N66" s="183" t="s">
        <v>670</v>
      </c>
      <c r="O66" s="65">
        <v>0</v>
      </c>
      <c r="Q66" s="59"/>
      <c r="R66" s="59"/>
      <c r="S66" s="59"/>
    </row>
    <row r="67" spans="2:19" x14ac:dyDescent="0.2">
      <c r="B67" s="66" t="s">
        <v>176</v>
      </c>
      <c r="C67" s="48"/>
      <c r="I67" s="63"/>
      <c r="J67" s="67">
        <v>925067244</v>
      </c>
      <c r="K67" s="68"/>
      <c r="L67" s="68"/>
      <c r="M67" s="68" t="s">
        <v>232</v>
      </c>
      <c r="N67" s="68" t="s">
        <v>670</v>
      </c>
      <c r="O67" s="65">
        <v>0</v>
      </c>
      <c r="Q67" s="59"/>
      <c r="R67" s="59"/>
      <c r="S67" s="59"/>
    </row>
    <row r="68" spans="2:19" ht="26.25" customHeight="1" thickBot="1" x14ac:dyDescent="0.25">
      <c r="B68" s="66"/>
      <c r="C68" s="48"/>
      <c r="G68" s="70" t="s">
        <v>177</v>
      </c>
      <c r="H68" s="70" t="s">
        <v>178</v>
      </c>
      <c r="I68" s="63"/>
      <c r="J68" s="810" t="s">
        <v>179</v>
      </c>
      <c r="K68" s="811"/>
      <c r="L68" s="71"/>
      <c r="M68" s="71"/>
      <c r="N68" s="71"/>
      <c r="O68" s="65">
        <v>0</v>
      </c>
      <c r="Q68" s="59"/>
      <c r="R68" s="59"/>
      <c r="S68" s="59"/>
    </row>
    <row r="69" spans="2:19" ht="12.75" customHeight="1" x14ac:dyDescent="0.2">
      <c r="B69" s="802" t="s">
        <v>180</v>
      </c>
      <c r="C69" s="821" t="s">
        <v>181</v>
      </c>
      <c r="D69" s="823" t="s">
        <v>182</v>
      </c>
      <c r="E69" s="824"/>
      <c r="F69" s="824"/>
      <c r="G69" s="73">
        <f>+O43</f>
        <v>192000</v>
      </c>
      <c r="H69" s="74">
        <f>+G69</f>
        <v>192000</v>
      </c>
      <c r="I69" s="63"/>
      <c r="J69" s="75" t="s">
        <v>231</v>
      </c>
      <c r="K69" s="58"/>
      <c r="L69" s="58"/>
      <c r="M69" s="135" t="s">
        <v>232</v>
      </c>
      <c r="N69" s="58" t="s">
        <v>233</v>
      </c>
      <c r="O69" s="65">
        <v>0</v>
      </c>
      <c r="Q69" s="59"/>
      <c r="R69" s="59"/>
      <c r="S69" s="59"/>
    </row>
    <row r="70" spans="2:19" ht="12.75" customHeight="1" x14ac:dyDescent="0.2">
      <c r="B70" s="803"/>
      <c r="C70" s="822"/>
      <c r="D70" s="782" t="s">
        <v>184</v>
      </c>
      <c r="E70" s="783"/>
      <c r="F70" s="783"/>
      <c r="G70" s="77">
        <v>54061</v>
      </c>
      <c r="H70" s="78">
        <f t="shared" ref="H70:H76" si="5">+G70</f>
        <v>54061</v>
      </c>
      <c r="I70" s="63"/>
      <c r="J70" s="347" t="s">
        <v>984</v>
      </c>
      <c r="K70" s="68" t="s">
        <v>985</v>
      </c>
      <c r="L70" s="68"/>
      <c r="M70" s="135" t="s">
        <v>232</v>
      </c>
      <c r="N70" s="135" t="s">
        <v>670</v>
      </c>
      <c r="O70" s="65">
        <v>0</v>
      </c>
      <c r="Q70" s="59"/>
      <c r="R70" s="59"/>
      <c r="S70" s="59"/>
    </row>
    <row r="71" spans="2:19" ht="12.75" customHeight="1" x14ac:dyDescent="0.2">
      <c r="B71" s="803"/>
      <c r="C71" s="822"/>
      <c r="D71" s="819" t="s">
        <v>185</v>
      </c>
      <c r="E71" s="820"/>
      <c r="F71" s="820"/>
      <c r="G71" s="80">
        <f>O40</f>
        <v>360</v>
      </c>
      <c r="H71" s="78">
        <f t="shared" si="5"/>
        <v>360</v>
      </c>
      <c r="I71" s="63"/>
      <c r="J71" s="347" t="s">
        <v>986</v>
      </c>
      <c r="K71" s="68"/>
      <c r="L71" s="68"/>
      <c r="M71" s="135" t="s">
        <v>232</v>
      </c>
      <c r="N71" s="135" t="s">
        <v>439</v>
      </c>
      <c r="O71" s="65">
        <v>0</v>
      </c>
    </row>
    <row r="72" spans="2:19" x14ac:dyDescent="0.2">
      <c r="B72" s="803"/>
      <c r="C72" s="822"/>
      <c r="D72" s="782" t="s">
        <v>186</v>
      </c>
      <c r="E72" s="783"/>
      <c r="F72" s="783"/>
      <c r="G72" s="81">
        <v>0</v>
      </c>
      <c r="H72" s="78">
        <f t="shared" si="5"/>
        <v>0</v>
      </c>
      <c r="I72" s="63"/>
      <c r="J72" s="347" t="s">
        <v>987</v>
      </c>
      <c r="K72" s="183" t="s">
        <v>985</v>
      </c>
      <c r="L72" s="39"/>
      <c r="M72" s="39" t="s">
        <v>232</v>
      </c>
      <c r="N72" s="39" t="s">
        <v>670</v>
      </c>
      <c r="O72" s="65">
        <v>0</v>
      </c>
    </row>
    <row r="73" spans="2:19" ht="12.75" customHeight="1" x14ac:dyDescent="0.2">
      <c r="B73" s="803"/>
      <c r="C73" s="822"/>
      <c r="D73" s="784" t="s">
        <v>188</v>
      </c>
      <c r="E73" s="783"/>
      <c r="F73" s="783"/>
      <c r="G73" s="80">
        <v>0</v>
      </c>
      <c r="H73" s="78">
        <f t="shared" si="5"/>
        <v>0</v>
      </c>
      <c r="I73" s="63"/>
      <c r="J73" s="348">
        <v>927297740</v>
      </c>
      <c r="K73" s="39"/>
      <c r="L73" s="39"/>
      <c r="M73" s="135" t="s">
        <v>232</v>
      </c>
      <c r="N73" s="135" t="s">
        <v>670</v>
      </c>
      <c r="O73" s="65">
        <v>0</v>
      </c>
    </row>
    <row r="74" spans="2:19" ht="14.25" customHeight="1" x14ac:dyDescent="0.2">
      <c r="B74" s="803"/>
      <c r="C74" s="822"/>
      <c r="D74" s="782" t="s">
        <v>190</v>
      </c>
      <c r="E74" s="783"/>
      <c r="F74" s="783"/>
      <c r="G74" s="84">
        <v>0</v>
      </c>
      <c r="H74" s="78">
        <f t="shared" si="5"/>
        <v>0</v>
      </c>
      <c r="I74" s="63"/>
      <c r="J74" s="64">
        <v>927297736</v>
      </c>
      <c r="K74" s="39"/>
      <c r="L74" s="39"/>
      <c r="M74" s="135" t="s">
        <v>232</v>
      </c>
      <c r="N74" s="135" t="s">
        <v>670</v>
      </c>
      <c r="O74" s="65">
        <v>0</v>
      </c>
    </row>
    <row r="75" spans="2:19" x14ac:dyDescent="0.2">
      <c r="B75" s="803"/>
      <c r="C75" s="822"/>
      <c r="D75" s="782" t="s">
        <v>191</v>
      </c>
      <c r="E75" s="783"/>
      <c r="F75" s="783"/>
      <c r="G75" s="81">
        <v>0</v>
      </c>
      <c r="H75" s="78">
        <f t="shared" si="5"/>
        <v>0</v>
      </c>
      <c r="I75" s="58"/>
      <c r="J75" s="82" t="s">
        <v>187</v>
      </c>
      <c r="K75" s="71"/>
      <c r="L75" s="71"/>
      <c r="M75" s="71"/>
      <c r="N75" s="71"/>
      <c r="O75" s="72"/>
    </row>
    <row r="76" spans="2:19" x14ac:dyDescent="0.2">
      <c r="B76" s="803"/>
      <c r="C76" s="88" t="s">
        <v>192</v>
      </c>
      <c r="D76" s="813" t="s">
        <v>193</v>
      </c>
      <c r="E76" s="814"/>
      <c r="F76" s="814"/>
      <c r="G76" s="80">
        <v>0</v>
      </c>
      <c r="H76" s="78">
        <f t="shared" si="5"/>
        <v>0</v>
      </c>
      <c r="I76" s="58"/>
      <c r="J76" s="75" t="s">
        <v>189</v>
      </c>
      <c r="K76" s="50"/>
      <c r="L76" s="50"/>
      <c r="M76" s="50"/>
      <c r="N76" s="50"/>
      <c r="O76" s="83">
        <v>0</v>
      </c>
    </row>
    <row r="77" spans="2:19" ht="13.5" customHeight="1" thickBot="1" x14ac:dyDescent="0.25">
      <c r="B77" s="803"/>
      <c r="C77" s="88" t="s">
        <v>194</v>
      </c>
      <c r="D77" s="815" t="s">
        <v>195</v>
      </c>
      <c r="E77" s="815"/>
      <c r="F77" s="815"/>
      <c r="G77" s="89">
        <v>0</v>
      </c>
      <c r="H77" s="90">
        <f>+G77</f>
        <v>0</v>
      </c>
      <c r="I77" s="63"/>
      <c r="J77" s="67"/>
      <c r="K77" s="68"/>
      <c r="L77" s="68"/>
      <c r="M77" s="91"/>
      <c r="N77" s="91"/>
      <c r="O77" s="92"/>
    </row>
    <row r="78" spans="2:19" ht="13.5" thickBot="1" x14ac:dyDescent="0.25">
      <c r="B78" s="803"/>
      <c r="C78" s="93"/>
      <c r="D78" s="94"/>
      <c r="E78" s="816" t="s">
        <v>117</v>
      </c>
      <c r="F78" s="817"/>
      <c r="G78" s="95">
        <f>SUM(G69:G77)</f>
        <v>246421</v>
      </c>
      <c r="H78" s="96">
        <f>IF(SUM(G69:G75)&lt;150000,SUM(G69:G75),150000)+IF(+G76&lt;20000,+G76,20000)</f>
        <v>150000</v>
      </c>
      <c r="I78" s="63"/>
      <c r="J78" s="140"/>
      <c r="K78" s="141"/>
      <c r="L78" s="141"/>
      <c r="M78" s="142"/>
      <c r="N78" s="142"/>
      <c r="O78" s="143"/>
    </row>
    <row r="79" spans="2:19" ht="12.75" customHeight="1" x14ac:dyDescent="0.2">
      <c r="B79" s="803"/>
      <c r="C79" s="100" t="s">
        <v>196</v>
      </c>
      <c r="D79" s="782" t="s">
        <v>187</v>
      </c>
      <c r="E79" s="783"/>
      <c r="F79" s="818"/>
      <c r="G79" s="73">
        <f>+O42</f>
        <v>0</v>
      </c>
      <c r="H79" s="101">
        <f>+IF(+G79&lt;25000,+G79,25000)</f>
        <v>0</v>
      </c>
      <c r="I79" s="87"/>
    </row>
    <row r="80" spans="2:19" x14ac:dyDescent="0.2">
      <c r="B80" s="803"/>
      <c r="C80" s="100" t="s">
        <v>197</v>
      </c>
      <c r="D80" s="784" t="s">
        <v>198</v>
      </c>
      <c r="E80" s="785"/>
      <c r="F80" s="786"/>
      <c r="G80" s="102"/>
      <c r="H80" s="103">
        <f>+IF(+G80&lt;40000,+G80,40000)</f>
        <v>0</v>
      </c>
      <c r="I80" s="63"/>
    </row>
    <row r="81" spans="2:12" x14ac:dyDescent="0.2">
      <c r="B81" s="803"/>
      <c r="C81" s="100" t="s">
        <v>199</v>
      </c>
      <c r="D81" s="784" t="s">
        <v>200</v>
      </c>
      <c r="E81" s="785"/>
      <c r="F81" s="786"/>
      <c r="G81" s="81"/>
      <c r="H81" s="104">
        <v>0</v>
      </c>
      <c r="I81" s="63"/>
      <c r="K81" s="106"/>
    </row>
    <row r="82" spans="2:12" x14ac:dyDescent="0.2">
      <c r="B82" s="803"/>
      <c r="C82" s="100" t="s">
        <v>201</v>
      </c>
      <c r="D82" s="784" t="s">
        <v>202</v>
      </c>
      <c r="E82" s="785"/>
      <c r="F82" s="786"/>
      <c r="G82" s="81"/>
      <c r="H82" s="104">
        <v>0</v>
      </c>
      <c r="I82" s="63"/>
    </row>
    <row r="83" spans="2:12" ht="13.5" thickBot="1" x14ac:dyDescent="0.25">
      <c r="B83" s="804"/>
      <c r="C83" s="100" t="s">
        <v>203</v>
      </c>
      <c r="D83" s="784" t="s">
        <v>204</v>
      </c>
      <c r="E83" s="785"/>
      <c r="F83" s="786"/>
      <c r="G83" s="102"/>
      <c r="H83" s="103">
        <f>+IF(+G83&lt;100000,+G83,10000)</f>
        <v>0</v>
      </c>
      <c r="I83" s="63"/>
    </row>
    <row r="84" spans="2:12" ht="13.5" thickBot="1" x14ac:dyDescent="0.25">
      <c r="B84" s="787" t="s">
        <v>205</v>
      </c>
      <c r="C84" s="788"/>
      <c r="D84" s="788"/>
      <c r="E84" s="788"/>
      <c r="F84" s="788"/>
      <c r="G84" s="107">
        <f>SUM(G79:G83)</f>
        <v>0</v>
      </c>
      <c r="H84" s="108">
        <f>SUM(H78:H83)</f>
        <v>150000</v>
      </c>
    </row>
    <row r="85" spans="2:12" ht="13.5" thickBot="1" x14ac:dyDescent="0.25"/>
    <row r="86" spans="2:12" ht="13.5" thickBot="1" x14ac:dyDescent="0.25">
      <c r="B86" s="789" t="s">
        <v>206</v>
      </c>
      <c r="C86" s="790"/>
      <c r="D86" s="790"/>
      <c r="E86" s="790"/>
      <c r="F86" s="791"/>
      <c r="G86" s="1055">
        <f>ROUND(+G65-H84,-1)</f>
        <v>456510</v>
      </c>
      <c r="H86" s="1056"/>
      <c r="J86" s="251">
        <f>C37+D37+E37+F37</f>
        <v>226602</v>
      </c>
      <c r="K86" s="16" t="s">
        <v>235</v>
      </c>
    </row>
    <row r="87" spans="2:12" x14ac:dyDescent="0.2">
      <c r="B87" s="110"/>
      <c r="F87" s="105"/>
      <c r="J87" s="251">
        <f>G37+H37+I37</f>
        <v>153429</v>
      </c>
      <c r="K87" s="16" t="s">
        <v>236</v>
      </c>
    </row>
    <row r="88" spans="2:12" x14ac:dyDescent="0.2">
      <c r="C88" s="793" t="s">
        <v>207</v>
      </c>
      <c r="D88" s="794"/>
      <c r="E88" s="111" t="s">
        <v>208</v>
      </c>
      <c r="F88" s="111" t="s">
        <v>209</v>
      </c>
      <c r="G88" s="111" t="s">
        <v>210</v>
      </c>
      <c r="H88" s="111" t="s">
        <v>211</v>
      </c>
      <c r="J88" s="251">
        <f>J37+K37+L37</f>
        <v>165101</v>
      </c>
      <c r="K88" s="47" t="s">
        <v>237</v>
      </c>
    </row>
    <row r="89" spans="2:12" x14ac:dyDescent="0.2">
      <c r="C89" s="795" t="str">
        <f>IF(I6="M","0          - 250000","0          -  250000")</f>
        <v>0          - 250000</v>
      </c>
      <c r="D89" s="796"/>
      <c r="E89" s="112">
        <v>0</v>
      </c>
      <c r="F89" s="113">
        <f>IF(I6="M",(IF(G86&lt;250000,G86,250000)),(IF(G86&lt;250000,G86,250000)))</f>
        <v>250000</v>
      </c>
      <c r="G89" s="113">
        <f>G86-F89</f>
        <v>206510</v>
      </c>
      <c r="H89" s="113">
        <f>E89*F89</f>
        <v>0</v>
      </c>
      <c r="J89" s="16">
        <f>M37+N37</f>
        <v>103874</v>
      </c>
      <c r="K89" s="1" t="s">
        <v>238</v>
      </c>
      <c r="L89" s="16">
        <f>+J89/2</f>
        <v>51937</v>
      </c>
    </row>
    <row r="90" spans="2:12" x14ac:dyDescent="0.2">
      <c r="C90" s="795" t="str">
        <f>IF(I6="M","250001 - 500000","250001-500000")</f>
        <v>250001 - 500000</v>
      </c>
      <c r="D90" s="796"/>
      <c r="E90" s="112">
        <v>0.05</v>
      </c>
      <c r="F90" s="113">
        <f>IF(I6="M",(IF(G89&lt;250000,G89,250000)),(IF(G89&lt;250000,G89,250000)))</f>
        <v>206510</v>
      </c>
      <c r="G90" s="113">
        <f>G89-F90</f>
        <v>0</v>
      </c>
      <c r="H90" s="114">
        <f>ROUND(E90*F90,0.1)</f>
        <v>10326</v>
      </c>
      <c r="J90" s="115">
        <f>SUM(J86:J89)</f>
        <v>649006</v>
      </c>
    </row>
    <row r="91" spans="2:12" x14ac:dyDescent="0.2">
      <c r="C91" s="797" t="s">
        <v>212</v>
      </c>
      <c r="D91" s="798"/>
      <c r="E91" s="112">
        <v>0.2</v>
      </c>
      <c r="F91" s="113">
        <f>IF(G90&lt;500000,G90,500000)</f>
        <v>0</v>
      </c>
      <c r="G91" s="113">
        <f>G90-F91</f>
        <v>0</v>
      </c>
      <c r="H91" s="114">
        <f>ROUND(E91*F91,0.1)</f>
        <v>0</v>
      </c>
      <c r="J91" s="16">
        <f>+G86</f>
        <v>456510</v>
      </c>
    </row>
    <row r="92" spans="2:12" x14ac:dyDescent="0.2">
      <c r="C92" s="795" t="s">
        <v>213</v>
      </c>
      <c r="D92" s="796"/>
      <c r="E92" s="112">
        <v>0.3</v>
      </c>
      <c r="F92" s="113">
        <f>G91</f>
        <v>0</v>
      </c>
      <c r="G92" s="113">
        <f>G91-F92</f>
        <v>0</v>
      </c>
      <c r="H92" s="114">
        <f>ROUND(E92*F92,0.1)</f>
        <v>0</v>
      </c>
      <c r="J92" s="16">
        <f>+J90-J91</f>
        <v>192496</v>
      </c>
      <c r="K92" s="1"/>
    </row>
    <row r="93" spans="2:12" ht="12.75" customHeight="1" thickBot="1" x14ac:dyDescent="0.25">
      <c r="B93" s="116"/>
      <c r="C93" s="117"/>
      <c r="D93" s="47"/>
      <c r="E93" s="47"/>
      <c r="F93" s="47"/>
      <c r="J93" s="87"/>
      <c r="K93" s="118"/>
    </row>
    <row r="94" spans="2:12" ht="14.25" customHeight="1" thickBot="1" x14ac:dyDescent="0.25">
      <c r="B94" s="799" t="s">
        <v>239</v>
      </c>
      <c r="C94" s="800"/>
      <c r="D94" s="800"/>
      <c r="E94" s="800"/>
      <c r="F94" s="801"/>
      <c r="G94" s="771">
        <f>H89+H90+H91+H92</f>
        <v>10326</v>
      </c>
      <c r="H94" s="772"/>
    </row>
    <row r="95" spans="2:12" ht="14.25" customHeight="1" thickBot="1" x14ac:dyDescent="0.25">
      <c r="B95" s="119" t="s">
        <v>215</v>
      </c>
      <c r="C95" s="120"/>
      <c r="D95" s="120"/>
      <c r="E95" s="120"/>
      <c r="F95" s="120"/>
      <c r="G95" s="1158">
        <f>IF((G65&lt;500000),5000,0)</f>
        <v>0</v>
      </c>
      <c r="H95" s="1159">
        <f>IF(H93&lt;200000,0,IF(H93&lt;220000,((H93-200000)*10%),IF(H93&lt;=500000,2000,IF(H93&gt;=500000,0))))</f>
        <v>0</v>
      </c>
    </row>
    <row r="96" spans="2:12" ht="14.25" customHeight="1" thickBot="1" x14ac:dyDescent="0.25">
      <c r="B96" s="122" t="s">
        <v>216</v>
      </c>
      <c r="C96" s="123"/>
      <c r="D96" s="123"/>
      <c r="E96" s="123"/>
      <c r="F96" s="123"/>
      <c r="G96" s="771">
        <f>IF((G94-G95)&lt;0,0,(G94-G95))</f>
        <v>10326</v>
      </c>
      <c r="H96" s="772"/>
    </row>
    <row r="97" spans="2:8" ht="14.25" customHeight="1" thickBot="1" x14ac:dyDescent="0.25">
      <c r="B97" s="773" t="s">
        <v>240</v>
      </c>
      <c r="C97" s="774"/>
      <c r="D97" s="774"/>
      <c r="E97" s="774"/>
      <c r="F97" s="775"/>
      <c r="G97" s="776">
        <f>ROUND((IF(G96&gt;0,(G96*4%),0)),0)</f>
        <v>413</v>
      </c>
      <c r="H97" s="777"/>
    </row>
    <row r="98" spans="2:8" ht="14.25" customHeight="1" thickBot="1" x14ac:dyDescent="0.25">
      <c r="B98" s="778" t="s">
        <v>218</v>
      </c>
      <c r="C98" s="779"/>
      <c r="D98" s="779"/>
      <c r="E98" s="779"/>
      <c r="F98" s="779"/>
      <c r="G98" s="780">
        <f>+G96+G97</f>
        <v>10739</v>
      </c>
      <c r="H98" s="781"/>
    </row>
    <row r="99" spans="2:8" ht="13.5" thickBot="1" x14ac:dyDescent="0.25">
      <c r="B99" s="765" t="s">
        <v>219</v>
      </c>
      <c r="C99" s="766"/>
      <c r="D99" s="766"/>
      <c r="E99" s="766"/>
      <c r="F99" s="766"/>
      <c r="G99" s="767">
        <f>O38</f>
        <v>10746</v>
      </c>
      <c r="H99" s="768"/>
    </row>
    <row r="100" spans="2:8" ht="13.5" thickBot="1" x14ac:dyDescent="0.25">
      <c r="B100" s="765" t="str">
        <f>IF(G100&gt;0,"TAX PAYABLE","TAX REFUND")</f>
        <v>TAX REFUND</v>
      </c>
      <c r="C100" s="766"/>
      <c r="D100" s="766"/>
      <c r="E100" s="766"/>
      <c r="F100" s="766"/>
      <c r="G100" s="767">
        <f>+G98-G99</f>
        <v>-7</v>
      </c>
      <c r="H100" s="768"/>
    </row>
    <row r="101" spans="2:8" x14ac:dyDescent="0.2">
      <c r="C101" s="39"/>
      <c r="D101" s="126"/>
      <c r="E101" s="126"/>
      <c r="F101" s="39"/>
      <c r="G101" s="39"/>
      <c r="H101" s="39"/>
    </row>
    <row r="102" spans="2:8" x14ac:dyDescent="0.2">
      <c r="C102" s="39"/>
      <c r="D102" s="126"/>
      <c r="E102" s="126"/>
      <c r="F102" s="39"/>
      <c r="G102" s="39"/>
      <c r="H102" s="39"/>
    </row>
    <row r="103" spans="2:8" x14ac:dyDescent="0.2">
      <c r="C103" s="39"/>
      <c r="D103" s="39"/>
      <c r="E103" s="39"/>
      <c r="F103" s="39"/>
      <c r="G103" s="39"/>
      <c r="H103" s="39"/>
    </row>
    <row r="104" spans="2:8" x14ac:dyDescent="0.2">
      <c r="C104" s="39"/>
      <c r="D104" s="39"/>
      <c r="E104" s="39"/>
      <c r="F104" s="39"/>
      <c r="G104" s="39"/>
      <c r="H104" s="39"/>
    </row>
    <row r="105" spans="2:8" x14ac:dyDescent="0.2">
      <c r="C105" s="39"/>
      <c r="D105" s="39"/>
      <c r="E105" s="39"/>
      <c r="F105" s="39"/>
      <c r="G105" s="39"/>
      <c r="H105" s="39"/>
    </row>
  </sheetData>
  <mergeCells count="92">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8:A48"/>
    <mergeCell ref="A5:C5"/>
    <mergeCell ref="D5:F5"/>
    <mergeCell ref="G5:H5"/>
    <mergeCell ref="I5:O5"/>
    <mergeCell ref="A6:C6"/>
    <mergeCell ref="D6:F6"/>
    <mergeCell ref="G6:H6"/>
    <mergeCell ref="J6:O6"/>
    <mergeCell ref="L7:O7"/>
    <mergeCell ref="A8:B8"/>
    <mergeCell ref="A21:A33"/>
    <mergeCell ref="A35:B35"/>
    <mergeCell ref="A36:B36"/>
    <mergeCell ref="A49:B49"/>
    <mergeCell ref="A50:B50"/>
    <mergeCell ref="B53:F53"/>
    <mergeCell ref="G53:H53"/>
    <mergeCell ref="B55:B58"/>
    <mergeCell ref="C55:C58"/>
    <mergeCell ref="D55:F55"/>
    <mergeCell ref="G55:H55"/>
    <mergeCell ref="D56:F56"/>
    <mergeCell ref="G56:H56"/>
    <mergeCell ref="B65:F65"/>
    <mergeCell ref="G65:H65"/>
    <mergeCell ref="J56:L56"/>
    <mergeCell ref="M56:O56"/>
    <mergeCell ref="D58:F58"/>
    <mergeCell ref="G58:H58"/>
    <mergeCell ref="B60:F60"/>
    <mergeCell ref="G60:H60"/>
    <mergeCell ref="J60:O60"/>
    <mergeCell ref="B62:F62"/>
    <mergeCell ref="G62:H62"/>
    <mergeCell ref="C63:F63"/>
    <mergeCell ref="G63:H63"/>
    <mergeCell ref="J63:O63"/>
    <mergeCell ref="D81:F81"/>
    <mergeCell ref="J68:K68"/>
    <mergeCell ref="B69:B83"/>
    <mergeCell ref="C69:C75"/>
    <mergeCell ref="D69:F69"/>
    <mergeCell ref="D70:F70"/>
    <mergeCell ref="D71:F71"/>
    <mergeCell ref="D72:F72"/>
    <mergeCell ref="D73:F73"/>
    <mergeCell ref="D74:F74"/>
    <mergeCell ref="D75:F75"/>
    <mergeCell ref="D76:F76"/>
    <mergeCell ref="D77:F77"/>
    <mergeCell ref="E78:F78"/>
    <mergeCell ref="D79:F79"/>
    <mergeCell ref="D80:F80"/>
    <mergeCell ref="G94:H94"/>
    <mergeCell ref="D82:F82"/>
    <mergeCell ref="D83:F83"/>
    <mergeCell ref="B84:F84"/>
    <mergeCell ref="B86:F86"/>
    <mergeCell ref="G86:H86"/>
    <mergeCell ref="C88:D88"/>
    <mergeCell ref="C89:D89"/>
    <mergeCell ref="C90:D90"/>
    <mergeCell ref="C91:D91"/>
    <mergeCell ref="C92:D92"/>
    <mergeCell ref="B94:F94"/>
    <mergeCell ref="B99:F99"/>
    <mergeCell ref="G99:H99"/>
    <mergeCell ref="B100:F100"/>
    <mergeCell ref="G100:H100"/>
    <mergeCell ref="G95:H95"/>
    <mergeCell ref="G96:H96"/>
    <mergeCell ref="B97:F97"/>
    <mergeCell ref="G97:H97"/>
    <mergeCell ref="B98:F98"/>
    <mergeCell ref="G98:H98"/>
  </mergeCells>
  <conditionalFormatting sqref="B100:F100 B91:F91 B94:F98">
    <cfRule type="cellIs" dxfId="333" priority="1" stopIfTrue="1" operator="equal">
      <formula>"TAX PAYABLE"</formula>
    </cfRule>
    <cfRule type="cellIs" dxfId="332" priority="2" stopIfTrue="1" operator="equal">
      <formula>"TAX REFUND"</formula>
    </cfRule>
  </conditionalFormatting>
  <conditionalFormatting sqref="G91:H91">
    <cfRule type="cellIs" dxfId="331" priority="3" stopIfTrue="1" operator="lessThan">
      <formula>0</formula>
    </cfRule>
    <cfRule type="cellIs" dxfId="330" priority="4" stopIfTrue="1" operator="greaterThan">
      <formula>0</formula>
    </cfRule>
  </conditionalFormatting>
  <conditionalFormatting sqref="G100:H100">
    <cfRule type="cellIs" dxfId="329" priority="5" stopIfTrue="1" operator="greaterThan">
      <formula>0</formula>
    </cfRule>
    <cfRule type="cellIs" dxfId="328" priority="6"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$Q$8:$Q$9</formula1>
    </dataValidation>
  </dataValidations>
  <pageMargins left="0.75" right="0.75" top="1" bottom="1" header="0.5" footer="0.5"/>
  <pageSetup orientation="portrait" verticalDpi="0" r:id="rId1"/>
  <headerFooter alignWithMargins="0"/>
  <legacyDrawing r:id="rId2"/>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4"/>
  <sheetViews>
    <sheetView workbookViewId="0">
      <selection activeCell="G74" sqref="G74"/>
    </sheetView>
  </sheetViews>
  <sheetFormatPr defaultRowHeight="12.75" x14ac:dyDescent="0.2"/>
  <cols>
    <col min="1" max="1" width="5" style="16" customWidth="1"/>
    <col min="2" max="2" width="18.5703125" style="37" customWidth="1"/>
    <col min="3" max="3" width="8.28515625" style="16" customWidth="1"/>
    <col min="4" max="4" width="6.7109375" style="16" bestFit="1" customWidth="1"/>
    <col min="5" max="5" width="8.140625" style="16" customWidth="1"/>
    <col min="6" max="6" width="8.7109375" style="16" customWidth="1"/>
    <col min="7" max="7" width="9.140625" style="16"/>
    <col min="8" max="8" width="8.5703125" style="16" customWidth="1"/>
    <col min="9" max="14" width="7.7109375" style="16" customWidth="1"/>
    <col min="15" max="15" width="8.42578125" style="16" customWidth="1"/>
    <col min="16" max="20" width="9.140625" style="16"/>
    <col min="21" max="21" width="12.42578125" style="16" customWidth="1"/>
    <col min="22" max="22" width="9.140625" style="16"/>
    <col min="23" max="23" width="12" style="16" customWidth="1"/>
    <col min="24" max="256" width="9.140625" style="16"/>
    <col min="257" max="257" width="5" style="16" customWidth="1"/>
    <col min="258" max="258" width="18.5703125" style="16" customWidth="1"/>
    <col min="259" max="259" width="8.28515625" style="16" customWidth="1"/>
    <col min="260" max="260" width="6.7109375" style="16" bestFit="1" customWidth="1"/>
    <col min="261" max="261" width="8.140625" style="16" customWidth="1"/>
    <col min="262" max="262" width="8.7109375" style="16" customWidth="1"/>
    <col min="263" max="263" width="9.140625" style="16"/>
    <col min="264" max="264" width="8.5703125" style="16" customWidth="1"/>
    <col min="265" max="270" width="7.7109375" style="16" customWidth="1"/>
    <col min="271" max="271" width="8.42578125" style="16" customWidth="1"/>
    <col min="272" max="276" width="9.140625" style="16"/>
    <col min="277" max="277" width="12.42578125" style="16" customWidth="1"/>
    <col min="278" max="278" width="9.140625" style="16"/>
    <col min="279" max="279" width="12" style="16" customWidth="1"/>
    <col min="280" max="512" width="9.140625" style="16"/>
    <col min="513" max="513" width="5" style="16" customWidth="1"/>
    <col min="514" max="514" width="18.5703125" style="16" customWidth="1"/>
    <col min="515" max="515" width="8.28515625" style="16" customWidth="1"/>
    <col min="516" max="516" width="6.7109375" style="16" bestFit="1" customWidth="1"/>
    <col min="517" max="517" width="8.140625" style="16" customWidth="1"/>
    <col min="518" max="518" width="8.7109375" style="16" customWidth="1"/>
    <col min="519" max="519" width="9.140625" style="16"/>
    <col min="520" max="520" width="8.5703125" style="16" customWidth="1"/>
    <col min="521" max="526" width="7.7109375" style="16" customWidth="1"/>
    <col min="527" max="527" width="8.42578125" style="16" customWidth="1"/>
    <col min="528" max="532" width="9.140625" style="16"/>
    <col min="533" max="533" width="12.42578125" style="16" customWidth="1"/>
    <col min="534" max="534" width="9.140625" style="16"/>
    <col min="535" max="535" width="12" style="16" customWidth="1"/>
    <col min="536" max="768" width="9.140625" style="16"/>
    <col min="769" max="769" width="5" style="16" customWidth="1"/>
    <col min="770" max="770" width="18.5703125" style="16" customWidth="1"/>
    <col min="771" max="771" width="8.28515625" style="16" customWidth="1"/>
    <col min="772" max="772" width="6.7109375" style="16" bestFit="1" customWidth="1"/>
    <col min="773" max="773" width="8.140625" style="16" customWidth="1"/>
    <col min="774" max="774" width="8.7109375" style="16" customWidth="1"/>
    <col min="775" max="775" width="9.140625" style="16"/>
    <col min="776" max="776" width="8.5703125" style="16" customWidth="1"/>
    <col min="777" max="782" width="7.7109375" style="16" customWidth="1"/>
    <col min="783" max="783" width="8.42578125" style="16" customWidth="1"/>
    <col min="784" max="788" width="9.140625" style="16"/>
    <col min="789" max="789" width="12.42578125" style="16" customWidth="1"/>
    <col min="790" max="790" width="9.140625" style="16"/>
    <col min="791" max="791" width="12" style="16" customWidth="1"/>
    <col min="792" max="1024" width="9.140625" style="16"/>
    <col min="1025" max="1025" width="5" style="16" customWidth="1"/>
    <col min="1026" max="1026" width="18.5703125" style="16" customWidth="1"/>
    <col min="1027" max="1027" width="8.28515625" style="16" customWidth="1"/>
    <col min="1028" max="1028" width="6.7109375" style="16" bestFit="1" customWidth="1"/>
    <col min="1029" max="1029" width="8.140625" style="16" customWidth="1"/>
    <col min="1030" max="1030" width="8.7109375" style="16" customWidth="1"/>
    <col min="1031" max="1031" width="9.140625" style="16"/>
    <col min="1032" max="1032" width="8.5703125" style="16" customWidth="1"/>
    <col min="1033" max="1038" width="7.7109375" style="16" customWidth="1"/>
    <col min="1039" max="1039" width="8.42578125" style="16" customWidth="1"/>
    <col min="1040" max="1044" width="9.140625" style="16"/>
    <col min="1045" max="1045" width="12.42578125" style="16" customWidth="1"/>
    <col min="1046" max="1046" width="9.140625" style="16"/>
    <col min="1047" max="1047" width="12" style="16" customWidth="1"/>
    <col min="1048" max="1280" width="9.140625" style="16"/>
    <col min="1281" max="1281" width="5" style="16" customWidth="1"/>
    <col min="1282" max="1282" width="18.5703125" style="16" customWidth="1"/>
    <col min="1283" max="1283" width="8.28515625" style="16" customWidth="1"/>
    <col min="1284" max="1284" width="6.7109375" style="16" bestFit="1" customWidth="1"/>
    <col min="1285" max="1285" width="8.140625" style="16" customWidth="1"/>
    <col min="1286" max="1286" width="8.7109375" style="16" customWidth="1"/>
    <col min="1287" max="1287" width="9.140625" style="16"/>
    <col min="1288" max="1288" width="8.5703125" style="16" customWidth="1"/>
    <col min="1289" max="1294" width="7.7109375" style="16" customWidth="1"/>
    <col min="1295" max="1295" width="8.42578125" style="16" customWidth="1"/>
    <col min="1296" max="1300" width="9.140625" style="16"/>
    <col min="1301" max="1301" width="12.42578125" style="16" customWidth="1"/>
    <col min="1302" max="1302" width="9.140625" style="16"/>
    <col min="1303" max="1303" width="12" style="16" customWidth="1"/>
    <col min="1304" max="1536" width="9.140625" style="16"/>
    <col min="1537" max="1537" width="5" style="16" customWidth="1"/>
    <col min="1538" max="1538" width="18.5703125" style="16" customWidth="1"/>
    <col min="1539" max="1539" width="8.28515625" style="16" customWidth="1"/>
    <col min="1540" max="1540" width="6.7109375" style="16" bestFit="1" customWidth="1"/>
    <col min="1541" max="1541" width="8.140625" style="16" customWidth="1"/>
    <col min="1542" max="1542" width="8.7109375" style="16" customWidth="1"/>
    <col min="1543" max="1543" width="9.140625" style="16"/>
    <col min="1544" max="1544" width="8.5703125" style="16" customWidth="1"/>
    <col min="1545" max="1550" width="7.7109375" style="16" customWidth="1"/>
    <col min="1551" max="1551" width="8.42578125" style="16" customWidth="1"/>
    <col min="1552" max="1556" width="9.140625" style="16"/>
    <col min="1557" max="1557" width="12.42578125" style="16" customWidth="1"/>
    <col min="1558" max="1558" width="9.140625" style="16"/>
    <col min="1559" max="1559" width="12" style="16" customWidth="1"/>
    <col min="1560" max="1792" width="9.140625" style="16"/>
    <col min="1793" max="1793" width="5" style="16" customWidth="1"/>
    <col min="1794" max="1794" width="18.5703125" style="16" customWidth="1"/>
    <col min="1795" max="1795" width="8.28515625" style="16" customWidth="1"/>
    <col min="1796" max="1796" width="6.7109375" style="16" bestFit="1" customWidth="1"/>
    <col min="1797" max="1797" width="8.140625" style="16" customWidth="1"/>
    <col min="1798" max="1798" width="8.7109375" style="16" customWidth="1"/>
    <col min="1799" max="1799" width="9.140625" style="16"/>
    <col min="1800" max="1800" width="8.5703125" style="16" customWidth="1"/>
    <col min="1801" max="1806" width="7.7109375" style="16" customWidth="1"/>
    <col min="1807" max="1807" width="8.42578125" style="16" customWidth="1"/>
    <col min="1808" max="1812" width="9.140625" style="16"/>
    <col min="1813" max="1813" width="12.42578125" style="16" customWidth="1"/>
    <col min="1814" max="1814" width="9.140625" style="16"/>
    <col min="1815" max="1815" width="12" style="16" customWidth="1"/>
    <col min="1816" max="2048" width="9.140625" style="16"/>
    <col min="2049" max="2049" width="5" style="16" customWidth="1"/>
    <col min="2050" max="2050" width="18.5703125" style="16" customWidth="1"/>
    <col min="2051" max="2051" width="8.28515625" style="16" customWidth="1"/>
    <col min="2052" max="2052" width="6.7109375" style="16" bestFit="1" customWidth="1"/>
    <col min="2053" max="2053" width="8.140625" style="16" customWidth="1"/>
    <col min="2054" max="2054" width="8.7109375" style="16" customWidth="1"/>
    <col min="2055" max="2055" width="9.140625" style="16"/>
    <col min="2056" max="2056" width="8.5703125" style="16" customWidth="1"/>
    <col min="2057" max="2062" width="7.7109375" style="16" customWidth="1"/>
    <col min="2063" max="2063" width="8.42578125" style="16" customWidth="1"/>
    <col min="2064" max="2068" width="9.140625" style="16"/>
    <col min="2069" max="2069" width="12.42578125" style="16" customWidth="1"/>
    <col min="2070" max="2070" width="9.140625" style="16"/>
    <col min="2071" max="2071" width="12" style="16" customWidth="1"/>
    <col min="2072" max="2304" width="9.140625" style="16"/>
    <col min="2305" max="2305" width="5" style="16" customWidth="1"/>
    <col min="2306" max="2306" width="18.5703125" style="16" customWidth="1"/>
    <col min="2307" max="2307" width="8.28515625" style="16" customWidth="1"/>
    <col min="2308" max="2308" width="6.7109375" style="16" bestFit="1" customWidth="1"/>
    <col min="2309" max="2309" width="8.140625" style="16" customWidth="1"/>
    <col min="2310" max="2310" width="8.7109375" style="16" customWidth="1"/>
    <col min="2311" max="2311" width="9.140625" style="16"/>
    <col min="2312" max="2312" width="8.5703125" style="16" customWidth="1"/>
    <col min="2313" max="2318" width="7.7109375" style="16" customWidth="1"/>
    <col min="2319" max="2319" width="8.42578125" style="16" customWidth="1"/>
    <col min="2320" max="2324" width="9.140625" style="16"/>
    <col min="2325" max="2325" width="12.42578125" style="16" customWidth="1"/>
    <col min="2326" max="2326" width="9.140625" style="16"/>
    <col min="2327" max="2327" width="12" style="16" customWidth="1"/>
    <col min="2328" max="2560" width="9.140625" style="16"/>
    <col min="2561" max="2561" width="5" style="16" customWidth="1"/>
    <col min="2562" max="2562" width="18.5703125" style="16" customWidth="1"/>
    <col min="2563" max="2563" width="8.28515625" style="16" customWidth="1"/>
    <col min="2564" max="2564" width="6.7109375" style="16" bestFit="1" customWidth="1"/>
    <col min="2565" max="2565" width="8.140625" style="16" customWidth="1"/>
    <col min="2566" max="2566" width="8.7109375" style="16" customWidth="1"/>
    <col min="2567" max="2567" width="9.140625" style="16"/>
    <col min="2568" max="2568" width="8.5703125" style="16" customWidth="1"/>
    <col min="2569" max="2574" width="7.7109375" style="16" customWidth="1"/>
    <col min="2575" max="2575" width="8.42578125" style="16" customWidth="1"/>
    <col min="2576" max="2580" width="9.140625" style="16"/>
    <col min="2581" max="2581" width="12.42578125" style="16" customWidth="1"/>
    <col min="2582" max="2582" width="9.140625" style="16"/>
    <col min="2583" max="2583" width="12" style="16" customWidth="1"/>
    <col min="2584" max="2816" width="9.140625" style="16"/>
    <col min="2817" max="2817" width="5" style="16" customWidth="1"/>
    <col min="2818" max="2818" width="18.5703125" style="16" customWidth="1"/>
    <col min="2819" max="2819" width="8.28515625" style="16" customWidth="1"/>
    <col min="2820" max="2820" width="6.7109375" style="16" bestFit="1" customWidth="1"/>
    <col min="2821" max="2821" width="8.140625" style="16" customWidth="1"/>
    <col min="2822" max="2822" width="8.7109375" style="16" customWidth="1"/>
    <col min="2823" max="2823" width="9.140625" style="16"/>
    <col min="2824" max="2824" width="8.5703125" style="16" customWidth="1"/>
    <col min="2825" max="2830" width="7.7109375" style="16" customWidth="1"/>
    <col min="2831" max="2831" width="8.42578125" style="16" customWidth="1"/>
    <col min="2832" max="2836" width="9.140625" style="16"/>
    <col min="2837" max="2837" width="12.42578125" style="16" customWidth="1"/>
    <col min="2838" max="2838" width="9.140625" style="16"/>
    <col min="2839" max="2839" width="12" style="16" customWidth="1"/>
    <col min="2840" max="3072" width="9.140625" style="16"/>
    <col min="3073" max="3073" width="5" style="16" customWidth="1"/>
    <col min="3074" max="3074" width="18.5703125" style="16" customWidth="1"/>
    <col min="3075" max="3075" width="8.28515625" style="16" customWidth="1"/>
    <col min="3076" max="3076" width="6.7109375" style="16" bestFit="1" customWidth="1"/>
    <col min="3077" max="3077" width="8.140625" style="16" customWidth="1"/>
    <col min="3078" max="3078" width="8.7109375" style="16" customWidth="1"/>
    <col min="3079" max="3079" width="9.140625" style="16"/>
    <col min="3080" max="3080" width="8.5703125" style="16" customWidth="1"/>
    <col min="3081" max="3086" width="7.7109375" style="16" customWidth="1"/>
    <col min="3087" max="3087" width="8.42578125" style="16" customWidth="1"/>
    <col min="3088" max="3092" width="9.140625" style="16"/>
    <col min="3093" max="3093" width="12.42578125" style="16" customWidth="1"/>
    <col min="3094" max="3094" width="9.140625" style="16"/>
    <col min="3095" max="3095" width="12" style="16" customWidth="1"/>
    <col min="3096" max="3328" width="9.140625" style="16"/>
    <col min="3329" max="3329" width="5" style="16" customWidth="1"/>
    <col min="3330" max="3330" width="18.5703125" style="16" customWidth="1"/>
    <col min="3331" max="3331" width="8.28515625" style="16" customWidth="1"/>
    <col min="3332" max="3332" width="6.7109375" style="16" bestFit="1" customWidth="1"/>
    <col min="3333" max="3333" width="8.140625" style="16" customWidth="1"/>
    <col min="3334" max="3334" width="8.7109375" style="16" customWidth="1"/>
    <col min="3335" max="3335" width="9.140625" style="16"/>
    <col min="3336" max="3336" width="8.5703125" style="16" customWidth="1"/>
    <col min="3337" max="3342" width="7.7109375" style="16" customWidth="1"/>
    <col min="3343" max="3343" width="8.42578125" style="16" customWidth="1"/>
    <col min="3344" max="3348" width="9.140625" style="16"/>
    <col min="3349" max="3349" width="12.42578125" style="16" customWidth="1"/>
    <col min="3350" max="3350" width="9.140625" style="16"/>
    <col min="3351" max="3351" width="12" style="16" customWidth="1"/>
    <col min="3352" max="3584" width="9.140625" style="16"/>
    <col min="3585" max="3585" width="5" style="16" customWidth="1"/>
    <col min="3586" max="3586" width="18.5703125" style="16" customWidth="1"/>
    <col min="3587" max="3587" width="8.28515625" style="16" customWidth="1"/>
    <col min="3588" max="3588" width="6.7109375" style="16" bestFit="1" customWidth="1"/>
    <col min="3589" max="3589" width="8.140625" style="16" customWidth="1"/>
    <col min="3590" max="3590" width="8.7109375" style="16" customWidth="1"/>
    <col min="3591" max="3591" width="9.140625" style="16"/>
    <col min="3592" max="3592" width="8.5703125" style="16" customWidth="1"/>
    <col min="3593" max="3598" width="7.7109375" style="16" customWidth="1"/>
    <col min="3599" max="3599" width="8.42578125" style="16" customWidth="1"/>
    <col min="3600" max="3604" width="9.140625" style="16"/>
    <col min="3605" max="3605" width="12.42578125" style="16" customWidth="1"/>
    <col min="3606" max="3606" width="9.140625" style="16"/>
    <col min="3607" max="3607" width="12" style="16" customWidth="1"/>
    <col min="3608" max="3840" width="9.140625" style="16"/>
    <col min="3841" max="3841" width="5" style="16" customWidth="1"/>
    <col min="3842" max="3842" width="18.5703125" style="16" customWidth="1"/>
    <col min="3843" max="3843" width="8.28515625" style="16" customWidth="1"/>
    <col min="3844" max="3844" width="6.7109375" style="16" bestFit="1" customWidth="1"/>
    <col min="3845" max="3845" width="8.140625" style="16" customWidth="1"/>
    <col min="3846" max="3846" width="8.7109375" style="16" customWidth="1"/>
    <col min="3847" max="3847" width="9.140625" style="16"/>
    <col min="3848" max="3848" width="8.5703125" style="16" customWidth="1"/>
    <col min="3849" max="3854" width="7.7109375" style="16" customWidth="1"/>
    <col min="3855" max="3855" width="8.42578125" style="16" customWidth="1"/>
    <col min="3856" max="3860" width="9.140625" style="16"/>
    <col min="3861" max="3861" width="12.42578125" style="16" customWidth="1"/>
    <col min="3862" max="3862" width="9.140625" style="16"/>
    <col min="3863" max="3863" width="12" style="16" customWidth="1"/>
    <col min="3864" max="4096" width="9.140625" style="16"/>
    <col min="4097" max="4097" width="5" style="16" customWidth="1"/>
    <col min="4098" max="4098" width="18.5703125" style="16" customWidth="1"/>
    <col min="4099" max="4099" width="8.28515625" style="16" customWidth="1"/>
    <col min="4100" max="4100" width="6.7109375" style="16" bestFit="1" customWidth="1"/>
    <col min="4101" max="4101" width="8.140625" style="16" customWidth="1"/>
    <col min="4102" max="4102" width="8.7109375" style="16" customWidth="1"/>
    <col min="4103" max="4103" width="9.140625" style="16"/>
    <col min="4104" max="4104" width="8.5703125" style="16" customWidth="1"/>
    <col min="4105" max="4110" width="7.7109375" style="16" customWidth="1"/>
    <col min="4111" max="4111" width="8.42578125" style="16" customWidth="1"/>
    <col min="4112" max="4116" width="9.140625" style="16"/>
    <col min="4117" max="4117" width="12.42578125" style="16" customWidth="1"/>
    <col min="4118" max="4118" width="9.140625" style="16"/>
    <col min="4119" max="4119" width="12" style="16" customWidth="1"/>
    <col min="4120" max="4352" width="9.140625" style="16"/>
    <col min="4353" max="4353" width="5" style="16" customWidth="1"/>
    <col min="4354" max="4354" width="18.5703125" style="16" customWidth="1"/>
    <col min="4355" max="4355" width="8.28515625" style="16" customWidth="1"/>
    <col min="4356" max="4356" width="6.7109375" style="16" bestFit="1" customWidth="1"/>
    <col min="4357" max="4357" width="8.140625" style="16" customWidth="1"/>
    <col min="4358" max="4358" width="8.7109375" style="16" customWidth="1"/>
    <col min="4359" max="4359" width="9.140625" style="16"/>
    <col min="4360" max="4360" width="8.5703125" style="16" customWidth="1"/>
    <col min="4361" max="4366" width="7.7109375" style="16" customWidth="1"/>
    <col min="4367" max="4367" width="8.42578125" style="16" customWidth="1"/>
    <col min="4368" max="4372" width="9.140625" style="16"/>
    <col min="4373" max="4373" width="12.42578125" style="16" customWidth="1"/>
    <col min="4374" max="4374" width="9.140625" style="16"/>
    <col min="4375" max="4375" width="12" style="16" customWidth="1"/>
    <col min="4376" max="4608" width="9.140625" style="16"/>
    <col min="4609" max="4609" width="5" style="16" customWidth="1"/>
    <col min="4610" max="4610" width="18.5703125" style="16" customWidth="1"/>
    <col min="4611" max="4611" width="8.28515625" style="16" customWidth="1"/>
    <col min="4612" max="4612" width="6.7109375" style="16" bestFit="1" customWidth="1"/>
    <col min="4613" max="4613" width="8.140625" style="16" customWidth="1"/>
    <col min="4614" max="4614" width="8.7109375" style="16" customWidth="1"/>
    <col min="4615" max="4615" width="9.140625" style="16"/>
    <col min="4616" max="4616" width="8.5703125" style="16" customWidth="1"/>
    <col min="4617" max="4622" width="7.7109375" style="16" customWidth="1"/>
    <col min="4623" max="4623" width="8.42578125" style="16" customWidth="1"/>
    <col min="4624" max="4628" width="9.140625" style="16"/>
    <col min="4629" max="4629" width="12.42578125" style="16" customWidth="1"/>
    <col min="4630" max="4630" width="9.140625" style="16"/>
    <col min="4631" max="4631" width="12" style="16" customWidth="1"/>
    <col min="4632" max="4864" width="9.140625" style="16"/>
    <col min="4865" max="4865" width="5" style="16" customWidth="1"/>
    <col min="4866" max="4866" width="18.5703125" style="16" customWidth="1"/>
    <col min="4867" max="4867" width="8.28515625" style="16" customWidth="1"/>
    <col min="4868" max="4868" width="6.7109375" style="16" bestFit="1" customWidth="1"/>
    <col min="4869" max="4869" width="8.140625" style="16" customWidth="1"/>
    <col min="4870" max="4870" width="8.7109375" style="16" customWidth="1"/>
    <col min="4871" max="4871" width="9.140625" style="16"/>
    <col min="4872" max="4872" width="8.5703125" style="16" customWidth="1"/>
    <col min="4873" max="4878" width="7.7109375" style="16" customWidth="1"/>
    <col min="4879" max="4879" width="8.42578125" style="16" customWidth="1"/>
    <col min="4880" max="4884" width="9.140625" style="16"/>
    <col min="4885" max="4885" width="12.42578125" style="16" customWidth="1"/>
    <col min="4886" max="4886" width="9.140625" style="16"/>
    <col min="4887" max="4887" width="12" style="16" customWidth="1"/>
    <col min="4888" max="5120" width="9.140625" style="16"/>
    <col min="5121" max="5121" width="5" style="16" customWidth="1"/>
    <col min="5122" max="5122" width="18.5703125" style="16" customWidth="1"/>
    <col min="5123" max="5123" width="8.28515625" style="16" customWidth="1"/>
    <col min="5124" max="5124" width="6.7109375" style="16" bestFit="1" customWidth="1"/>
    <col min="5125" max="5125" width="8.140625" style="16" customWidth="1"/>
    <col min="5126" max="5126" width="8.7109375" style="16" customWidth="1"/>
    <col min="5127" max="5127" width="9.140625" style="16"/>
    <col min="5128" max="5128" width="8.5703125" style="16" customWidth="1"/>
    <col min="5129" max="5134" width="7.7109375" style="16" customWidth="1"/>
    <col min="5135" max="5135" width="8.42578125" style="16" customWidth="1"/>
    <col min="5136" max="5140" width="9.140625" style="16"/>
    <col min="5141" max="5141" width="12.42578125" style="16" customWidth="1"/>
    <col min="5142" max="5142" width="9.140625" style="16"/>
    <col min="5143" max="5143" width="12" style="16" customWidth="1"/>
    <col min="5144" max="5376" width="9.140625" style="16"/>
    <col min="5377" max="5377" width="5" style="16" customWidth="1"/>
    <col min="5378" max="5378" width="18.5703125" style="16" customWidth="1"/>
    <col min="5379" max="5379" width="8.28515625" style="16" customWidth="1"/>
    <col min="5380" max="5380" width="6.7109375" style="16" bestFit="1" customWidth="1"/>
    <col min="5381" max="5381" width="8.140625" style="16" customWidth="1"/>
    <col min="5382" max="5382" width="8.7109375" style="16" customWidth="1"/>
    <col min="5383" max="5383" width="9.140625" style="16"/>
    <col min="5384" max="5384" width="8.5703125" style="16" customWidth="1"/>
    <col min="5385" max="5390" width="7.7109375" style="16" customWidth="1"/>
    <col min="5391" max="5391" width="8.42578125" style="16" customWidth="1"/>
    <col min="5392" max="5396" width="9.140625" style="16"/>
    <col min="5397" max="5397" width="12.42578125" style="16" customWidth="1"/>
    <col min="5398" max="5398" width="9.140625" style="16"/>
    <col min="5399" max="5399" width="12" style="16" customWidth="1"/>
    <col min="5400" max="5632" width="9.140625" style="16"/>
    <col min="5633" max="5633" width="5" style="16" customWidth="1"/>
    <col min="5634" max="5634" width="18.5703125" style="16" customWidth="1"/>
    <col min="5635" max="5635" width="8.28515625" style="16" customWidth="1"/>
    <col min="5636" max="5636" width="6.7109375" style="16" bestFit="1" customWidth="1"/>
    <col min="5637" max="5637" width="8.140625" style="16" customWidth="1"/>
    <col min="5638" max="5638" width="8.7109375" style="16" customWidth="1"/>
    <col min="5639" max="5639" width="9.140625" style="16"/>
    <col min="5640" max="5640" width="8.5703125" style="16" customWidth="1"/>
    <col min="5641" max="5646" width="7.7109375" style="16" customWidth="1"/>
    <col min="5647" max="5647" width="8.42578125" style="16" customWidth="1"/>
    <col min="5648" max="5652" width="9.140625" style="16"/>
    <col min="5653" max="5653" width="12.42578125" style="16" customWidth="1"/>
    <col min="5654" max="5654" width="9.140625" style="16"/>
    <col min="5655" max="5655" width="12" style="16" customWidth="1"/>
    <col min="5656" max="5888" width="9.140625" style="16"/>
    <col min="5889" max="5889" width="5" style="16" customWidth="1"/>
    <col min="5890" max="5890" width="18.5703125" style="16" customWidth="1"/>
    <col min="5891" max="5891" width="8.28515625" style="16" customWidth="1"/>
    <col min="5892" max="5892" width="6.7109375" style="16" bestFit="1" customWidth="1"/>
    <col min="5893" max="5893" width="8.140625" style="16" customWidth="1"/>
    <col min="5894" max="5894" width="8.7109375" style="16" customWidth="1"/>
    <col min="5895" max="5895" width="9.140625" style="16"/>
    <col min="5896" max="5896" width="8.5703125" style="16" customWidth="1"/>
    <col min="5897" max="5902" width="7.7109375" style="16" customWidth="1"/>
    <col min="5903" max="5903" width="8.42578125" style="16" customWidth="1"/>
    <col min="5904" max="5908" width="9.140625" style="16"/>
    <col min="5909" max="5909" width="12.42578125" style="16" customWidth="1"/>
    <col min="5910" max="5910" width="9.140625" style="16"/>
    <col min="5911" max="5911" width="12" style="16" customWidth="1"/>
    <col min="5912" max="6144" width="9.140625" style="16"/>
    <col min="6145" max="6145" width="5" style="16" customWidth="1"/>
    <col min="6146" max="6146" width="18.5703125" style="16" customWidth="1"/>
    <col min="6147" max="6147" width="8.28515625" style="16" customWidth="1"/>
    <col min="6148" max="6148" width="6.7109375" style="16" bestFit="1" customWidth="1"/>
    <col min="6149" max="6149" width="8.140625" style="16" customWidth="1"/>
    <col min="6150" max="6150" width="8.7109375" style="16" customWidth="1"/>
    <col min="6151" max="6151" width="9.140625" style="16"/>
    <col min="6152" max="6152" width="8.5703125" style="16" customWidth="1"/>
    <col min="6153" max="6158" width="7.7109375" style="16" customWidth="1"/>
    <col min="6159" max="6159" width="8.42578125" style="16" customWidth="1"/>
    <col min="6160" max="6164" width="9.140625" style="16"/>
    <col min="6165" max="6165" width="12.42578125" style="16" customWidth="1"/>
    <col min="6166" max="6166" width="9.140625" style="16"/>
    <col min="6167" max="6167" width="12" style="16" customWidth="1"/>
    <col min="6168" max="6400" width="9.140625" style="16"/>
    <col min="6401" max="6401" width="5" style="16" customWidth="1"/>
    <col min="6402" max="6402" width="18.5703125" style="16" customWidth="1"/>
    <col min="6403" max="6403" width="8.28515625" style="16" customWidth="1"/>
    <col min="6404" max="6404" width="6.7109375" style="16" bestFit="1" customWidth="1"/>
    <col min="6405" max="6405" width="8.140625" style="16" customWidth="1"/>
    <col min="6406" max="6406" width="8.7109375" style="16" customWidth="1"/>
    <col min="6407" max="6407" width="9.140625" style="16"/>
    <col min="6408" max="6408" width="8.5703125" style="16" customWidth="1"/>
    <col min="6409" max="6414" width="7.7109375" style="16" customWidth="1"/>
    <col min="6415" max="6415" width="8.42578125" style="16" customWidth="1"/>
    <col min="6416" max="6420" width="9.140625" style="16"/>
    <col min="6421" max="6421" width="12.42578125" style="16" customWidth="1"/>
    <col min="6422" max="6422" width="9.140625" style="16"/>
    <col min="6423" max="6423" width="12" style="16" customWidth="1"/>
    <col min="6424" max="6656" width="9.140625" style="16"/>
    <col min="6657" max="6657" width="5" style="16" customWidth="1"/>
    <col min="6658" max="6658" width="18.5703125" style="16" customWidth="1"/>
    <col min="6659" max="6659" width="8.28515625" style="16" customWidth="1"/>
    <col min="6660" max="6660" width="6.7109375" style="16" bestFit="1" customWidth="1"/>
    <col min="6661" max="6661" width="8.140625" style="16" customWidth="1"/>
    <col min="6662" max="6662" width="8.7109375" style="16" customWidth="1"/>
    <col min="6663" max="6663" width="9.140625" style="16"/>
    <col min="6664" max="6664" width="8.5703125" style="16" customWidth="1"/>
    <col min="6665" max="6670" width="7.7109375" style="16" customWidth="1"/>
    <col min="6671" max="6671" width="8.42578125" style="16" customWidth="1"/>
    <col min="6672" max="6676" width="9.140625" style="16"/>
    <col min="6677" max="6677" width="12.42578125" style="16" customWidth="1"/>
    <col min="6678" max="6678" width="9.140625" style="16"/>
    <col min="6679" max="6679" width="12" style="16" customWidth="1"/>
    <col min="6680" max="6912" width="9.140625" style="16"/>
    <col min="6913" max="6913" width="5" style="16" customWidth="1"/>
    <col min="6914" max="6914" width="18.5703125" style="16" customWidth="1"/>
    <col min="6915" max="6915" width="8.28515625" style="16" customWidth="1"/>
    <col min="6916" max="6916" width="6.7109375" style="16" bestFit="1" customWidth="1"/>
    <col min="6917" max="6917" width="8.140625" style="16" customWidth="1"/>
    <col min="6918" max="6918" width="8.7109375" style="16" customWidth="1"/>
    <col min="6919" max="6919" width="9.140625" style="16"/>
    <col min="6920" max="6920" width="8.5703125" style="16" customWidth="1"/>
    <col min="6921" max="6926" width="7.7109375" style="16" customWidth="1"/>
    <col min="6927" max="6927" width="8.42578125" style="16" customWidth="1"/>
    <col min="6928" max="6932" width="9.140625" style="16"/>
    <col min="6933" max="6933" width="12.42578125" style="16" customWidth="1"/>
    <col min="6934" max="6934" width="9.140625" style="16"/>
    <col min="6935" max="6935" width="12" style="16" customWidth="1"/>
    <col min="6936" max="7168" width="9.140625" style="16"/>
    <col min="7169" max="7169" width="5" style="16" customWidth="1"/>
    <col min="7170" max="7170" width="18.5703125" style="16" customWidth="1"/>
    <col min="7171" max="7171" width="8.28515625" style="16" customWidth="1"/>
    <col min="7172" max="7172" width="6.7109375" style="16" bestFit="1" customWidth="1"/>
    <col min="7173" max="7173" width="8.140625" style="16" customWidth="1"/>
    <col min="7174" max="7174" width="8.7109375" style="16" customWidth="1"/>
    <col min="7175" max="7175" width="9.140625" style="16"/>
    <col min="7176" max="7176" width="8.5703125" style="16" customWidth="1"/>
    <col min="7177" max="7182" width="7.7109375" style="16" customWidth="1"/>
    <col min="7183" max="7183" width="8.42578125" style="16" customWidth="1"/>
    <col min="7184" max="7188" width="9.140625" style="16"/>
    <col min="7189" max="7189" width="12.42578125" style="16" customWidth="1"/>
    <col min="7190" max="7190" width="9.140625" style="16"/>
    <col min="7191" max="7191" width="12" style="16" customWidth="1"/>
    <col min="7192" max="7424" width="9.140625" style="16"/>
    <col min="7425" max="7425" width="5" style="16" customWidth="1"/>
    <col min="7426" max="7426" width="18.5703125" style="16" customWidth="1"/>
    <col min="7427" max="7427" width="8.28515625" style="16" customWidth="1"/>
    <col min="7428" max="7428" width="6.7109375" style="16" bestFit="1" customWidth="1"/>
    <col min="7429" max="7429" width="8.140625" style="16" customWidth="1"/>
    <col min="7430" max="7430" width="8.7109375" style="16" customWidth="1"/>
    <col min="7431" max="7431" width="9.140625" style="16"/>
    <col min="7432" max="7432" width="8.5703125" style="16" customWidth="1"/>
    <col min="7433" max="7438" width="7.7109375" style="16" customWidth="1"/>
    <col min="7439" max="7439" width="8.42578125" style="16" customWidth="1"/>
    <col min="7440" max="7444" width="9.140625" style="16"/>
    <col min="7445" max="7445" width="12.42578125" style="16" customWidth="1"/>
    <col min="7446" max="7446" width="9.140625" style="16"/>
    <col min="7447" max="7447" width="12" style="16" customWidth="1"/>
    <col min="7448" max="7680" width="9.140625" style="16"/>
    <col min="7681" max="7681" width="5" style="16" customWidth="1"/>
    <col min="7682" max="7682" width="18.5703125" style="16" customWidth="1"/>
    <col min="7683" max="7683" width="8.28515625" style="16" customWidth="1"/>
    <col min="7684" max="7684" width="6.7109375" style="16" bestFit="1" customWidth="1"/>
    <col min="7685" max="7685" width="8.140625" style="16" customWidth="1"/>
    <col min="7686" max="7686" width="8.7109375" style="16" customWidth="1"/>
    <col min="7687" max="7687" width="9.140625" style="16"/>
    <col min="7688" max="7688" width="8.5703125" style="16" customWidth="1"/>
    <col min="7689" max="7694" width="7.7109375" style="16" customWidth="1"/>
    <col min="7695" max="7695" width="8.42578125" style="16" customWidth="1"/>
    <col min="7696" max="7700" width="9.140625" style="16"/>
    <col min="7701" max="7701" width="12.42578125" style="16" customWidth="1"/>
    <col min="7702" max="7702" width="9.140625" style="16"/>
    <col min="7703" max="7703" width="12" style="16" customWidth="1"/>
    <col min="7704" max="7936" width="9.140625" style="16"/>
    <col min="7937" max="7937" width="5" style="16" customWidth="1"/>
    <col min="7938" max="7938" width="18.5703125" style="16" customWidth="1"/>
    <col min="7939" max="7939" width="8.28515625" style="16" customWidth="1"/>
    <col min="7940" max="7940" width="6.7109375" style="16" bestFit="1" customWidth="1"/>
    <col min="7941" max="7941" width="8.140625" style="16" customWidth="1"/>
    <col min="7942" max="7942" width="8.7109375" style="16" customWidth="1"/>
    <col min="7943" max="7943" width="9.140625" style="16"/>
    <col min="7944" max="7944" width="8.5703125" style="16" customWidth="1"/>
    <col min="7945" max="7950" width="7.7109375" style="16" customWidth="1"/>
    <col min="7951" max="7951" width="8.42578125" style="16" customWidth="1"/>
    <col min="7952" max="7956" width="9.140625" style="16"/>
    <col min="7957" max="7957" width="12.42578125" style="16" customWidth="1"/>
    <col min="7958" max="7958" width="9.140625" style="16"/>
    <col min="7959" max="7959" width="12" style="16" customWidth="1"/>
    <col min="7960" max="8192" width="9.140625" style="16"/>
    <col min="8193" max="8193" width="5" style="16" customWidth="1"/>
    <col min="8194" max="8194" width="18.5703125" style="16" customWidth="1"/>
    <col min="8195" max="8195" width="8.28515625" style="16" customWidth="1"/>
    <col min="8196" max="8196" width="6.7109375" style="16" bestFit="1" customWidth="1"/>
    <col min="8197" max="8197" width="8.140625" style="16" customWidth="1"/>
    <col min="8198" max="8198" width="8.7109375" style="16" customWidth="1"/>
    <col min="8199" max="8199" width="9.140625" style="16"/>
    <col min="8200" max="8200" width="8.5703125" style="16" customWidth="1"/>
    <col min="8201" max="8206" width="7.7109375" style="16" customWidth="1"/>
    <col min="8207" max="8207" width="8.42578125" style="16" customWidth="1"/>
    <col min="8208" max="8212" width="9.140625" style="16"/>
    <col min="8213" max="8213" width="12.42578125" style="16" customWidth="1"/>
    <col min="8214" max="8214" width="9.140625" style="16"/>
    <col min="8215" max="8215" width="12" style="16" customWidth="1"/>
    <col min="8216" max="8448" width="9.140625" style="16"/>
    <col min="8449" max="8449" width="5" style="16" customWidth="1"/>
    <col min="8450" max="8450" width="18.5703125" style="16" customWidth="1"/>
    <col min="8451" max="8451" width="8.28515625" style="16" customWidth="1"/>
    <col min="8452" max="8452" width="6.7109375" style="16" bestFit="1" customWidth="1"/>
    <col min="8453" max="8453" width="8.140625" style="16" customWidth="1"/>
    <col min="8454" max="8454" width="8.7109375" style="16" customWidth="1"/>
    <col min="8455" max="8455" width="9.140625" style="16"/>
    <col min="8456" max="8456" width="8.5703125" style="16" customWidth="1"/>
    <col min="8457" max="8462" width="7.7109375" style="16" customWidth="1"/>
    <col min="8463" max="8463" width="8.42578125" style="16" customWidth="1"/>
    <col min="8464" max="8468" width="9.140625" style="16"/>
    <col min="8469" max="8469" width="12.42578125" style="16" customWidth="1"/>
    <col min="8470" max="8470" width="9.140625" style="16"/>
    <col min="8471" max="8471" width="12" style="16" customWidth="1"/>
    <col min="8472" max="8704" width="9.140625" style="16"/>
    <col min="8705" max="8705" width="5" style="16" customWidth="1"/>
    <col min="8706" max="8706" width="18.5703125" style="16" customWidth="1"/>
    <col min="8707" max="8707" width="8.28515625" style="16" customWidth="1"/>
    <col min="8708" max="8708" width="6.7109375" style="16" bestFit="1" customWidth="1"/>
    <col min="8709" max="8709" width="8.140625" style="16" customWidth="1"/>
    <col min="8710" max="8710" width="8.7109375" style="16" customWidth="1"/>
    <col min="8711" max="8711" width="9.140625" style="16"/>
    <col min="8712" max="8712" width="8.5703125" style="16" customWidth="1"/>
    <col min="8713" max="8718" width="7.7109375" style="16" customWidth="1"/>
    <col min="8719" max="8719" width="8.42578125" style="16" customWidth="1"/>
    <col min="8720" max="8724" width="9.140625" style="16"/>
    <col min="8725" max="8725" width="12.42578125" style="16" customWidth="1"/>
    <col min="8726" max="8726" width="9.140625" style="16"/>
    <col min="8727" max="8727" width="12" style="16" customWidth="1"/>
    <col min="8728" max="8960" width="9.140625" style="16"/>
    <col min="8961" max="8961" width="5" style="16" customWidth="1"/>
    <col min="8962" max="8962" width="18.5703125" style="16" customWidth="1"/>
    <col min="8963" max="8963" width="8.28515625" style="16" customWidth="1"/>
    <col min="8964" max="8964" width="6.7109375" style="16" bestFit="1" customWidth="1"/>
    <col min="8965" max="8965" width="8.140625" style="16" customWidth="1"/>
    <col min="8966" max="8966" width="8.7109375" style="16" customWidth="1"/>
    <col min="8967" max="8967" width="9.140625" style="16"/>
    <col min="8968" max="8968" width="8.5703125" style="16" customWidth="1"/>
    <col min="8969" max="8974" width="7.7109375" style="16" customWidth="1"/>
    <col min="8975" max="8975" width="8.42578125" style="16" customWidth="1"/>
    <col min="8976" max="8980" width="9.140625" style="16"/>
    <col min="8981" max="8981" width="12.42578125" style="16" customWidth="1"/>
    <col min="8982" max="8982" width="9.140625" style="16"/>
    <col min="8983" max="8983" width="12" style="16" customWidth="1"/>
    <col min="8984" max="9216" width="9.140625" style="16"/>
    <col min="9217" max="9217" width="5" style="16" customWidth="1"/>
    <col min="9218" max="9218" width="18.5703125" style="16" customWidth="1"/>
    <col min="9219" max="9219" width="8.28515625" style="16" customWidth="1"/>
    <col min="9220" max="9220" width="6.7109375" style="16" bestFit="1" customWidth="1"/>
    <col min="9221" max="9221" width="8.140625" style="16" customWidth="1"/>
    <col min="9222" max="9222" width="8.7109375" style="16" customWidth="1"/>
    <col min="9223" max="9223" width="9.140625" style="16"/>
    <col min="9224" max="9224" width="8.5703125" style="16" customWidth="1"/>
    <col min="9225" max="9230" width="7.7109375" style="16" customWidth="1"/>
    <col min="9231" max="9231" width="8.42578125" style="16" customWidth="1"/>
    <col min="9232" max="9236" width="9.140625" style="16"/>
    <col min="9237" max="9237" width="12.42578125" style="16" customWidth="1"/>
    <col min="9238" max="9238" width="9.140625" style="16"/>
    <col min="9239" max="9239" width="12" style="16" customWidth="1"/>
    <col min="9240" max="9472" width="9.140625" style="16"/>
    <col min="9473" max="9473" width="5" style="16" customWidth="1"/>
    <col min="9474" max="9474" width="18.5703125" style="16" customWidth="1"/>
    <col min="9475" max="9475" width="8.28515625" style="16" customWidth="1"/>
    <col min="9476" max="9476" width="6.7109375" style="16" bestFit="1" customWidth="1"/>
    <col min="9477" max="9477" width="8.140625" style="16" customWidth="1"/>
    <col min="9478" max="9478" width="8.7109375" style="16" customWidth="1"/>
    <col min="9479" max="9479" width="9.140625" style="16"/>
    <col min="9480" max="9480" width="8.5703125" style="16" customWidth="1"/>
    <col min="9481" max="9486" width="7.7109375" style="16" customWidth="1"/>
    <col min="9487" max="9487" width="8.42578125" style="16" customWidth="1"/>
    <col min="9488" max="9492" width="9.140625" style="16"/>
    <col min="9493" max="9493" width="12.42578125" style="16" customWidth="1"/>
    <col min="9494" max="9494" width="9.140625" style="16"/>
    <col min="9495" max="9495" width="12" style="16" customWidth="1"/>
    <col min="9496" max="9728" width="9.140625" style="16"/>
    <col min="9729" max="9729" width="5" style="16" customWidth="1"/>
    <col min="9730" max="9730" width="18.5703125" style="16" customWidth="1"/>
    <col min="9731" max="9731" width="8.28515625" style="16" customWidth="1"/>
    <col min="9732" max="9732" width="6.7109375" style="16" bestFit="1" customWidth="1"/>
    <col min="9733" max="9733" width="8.140625" style="16" customWidth="1"/>
    <col min="9734" max="9734" width="8.7109375" style="16" customWidth="1"/>
    <col min="9735" max="9735" width="9.140625" style="16"/>
    <col min="9736" max="9736" width="8.5703125" style="16" customWidth="1"/>
    <col min="9737" max="9742" width="7.7109375" style="16" customWidth="1"/>
    <col min="9743" max="9743" width="8.42578125" style="16" customWidth="1"/>
    <col min="9744" max="9748" width="9.140625" style="16"/>
    <col min="9749" max="9749" width="12.42578125" style="16" customWidth="1"/>
    <col min="9750" max="9750" width="9.140625" style="16"/>
    <col min="9751" max="9751" width="12" style="16" customWidth="1"/>
    <col min="9752" max="9984" width="9.140625" style="16"/>
    <col min="9985" max="9985" width="5" style="16" customWidth="1"/>
    <col min="9986" max="9986" width="18.5703125" style="16" customWidth="1"/>
    <col min="9987" max="9987" width="8.28515625" style="16" customWidth="1"/>
    <col min="9988" max="9988" width="6.7109375" style="16" bestFit="1" customWidth="1"/>
    <col min="9989" max="9989" width="8.140625" style="16" customWidth="1"/>
    <col min="9990" max="9990" width="8.7109375" style="16" customWidth="1"/>
    <col min="9991" max="9991" width="9.140625" style="16"/>
    <col min="9992" max="9992" width="8.5703125" style="16" customWidth="1"/>
    <col min="9993" max="9998" width="7.7109375" style="16" customWidth="1"/>
    <col min="9999" max="9999" width="8.42578125" style="16" customWidth="1"/>
    <col min="10000" max="10004" width="9.140625" style="16"/>
    <col min="10005" max="10005" width="12.42578125" style="16" customWidth="1"/>
    <col min="10006" max="10006" width="9.140625" style="16"/>
    <col min="10007" max="10007" width="12" style="16" customWidth="1"/>
    <col min="10008" max="10240" width="9.140625" style="16"/>
    <col min="10241" max="10241" width="5" style="16" customWidth="1"/>
    <col min="10242" max="10242" width="18.5703125" style="16" customWidth="1"/>
    <col min="10243" max="10243" width="8.28515625" style="16" customWidth="1"/>
    <col min="10244" max="10244" width="6.7109375" style="16" bestFit="1" customWidth="1"/>
    <col min="10245" max="10245" width="8.140625" style="16" customWidth="1"/>
    <col min="10246" max="10246" width="8.7109375" style="16" customWidth="1"/>
    <col min="10247" max="10247" width="9.140625" style="16"/>
    <col min="10248" max="10248" width="8.5703125" style="16" customWidth="1"/>
    <col min="10249" max="10254" width="7.7109375" style="16" customWidth="1"/>
    <col min="10255" max="10255" width="8.42578125" style="16" customWidth="1"/>
    <col min="10256" max="10260" width="9.140625" style="16"/>
    <col min="10261" max="10261" width="12.42578125" style="16" customWidth="1"/>
    <col min="10262" max="10262" width="9.140625" style="16"/>
    <col min="10263" max="10263" width="12" style="16" customWidth="1"/>
    <col min="10264" max="10496" width="9.140625" style="16"/>
    <col min="10497" max="10497" width="5" style="16" customWidth="1"/>
    <col min="10498" max="10498" width="18.5703125" style="16" customWidth="1"/>
    <col min="10499" max="10499" width="8.28515625" style="16" customWidth="1"/>
    <col min="10500" max="10500" width="6.7109375" style="16" bestFit="1" customWidth="1"/>
    <col min="10501" max="10501" width="8.140625" style="16" customWidth="1"/>
    <col min="10502" max="10502" width="8.7109375" style="16" customWidth="1"/>
    <col min="10503" max="10503" width="9.140625" style="16"/>
    <col min="10504" max="10504" width="8.5703125" style="16" customWidth="1"/>
    <col min="10505" max="10510" width="7.7109375" style="16" customWidth="1"/>
    <col min="10511" max="10511" width="8.42578125" style="16" customWidth="1"/>
    <col min="10512" max="10516" width="9.140625" style="16"/>
    <col min="10517" max="10517" width="12.42578125" style="16" customWidth="1"/>
    <col min="10518" max="10518" width="9.140625" style="16"/>
    <col min="10519" max="10519" width="12" style="16" customWidth="1"/>
    <col min="10520" max="10752" width="9.140625" style="16"/>
    <col min="10753" max="10753" width="5" style="16" customWidth="1"/>
    <col min="10754" max="10754" width="18.5703125" style="16" customWidth="1"/>
    <col min="10755" max="10755" width="8.28515625" style="16" customWidth="1"/>
    <col min="10756" max="10756" width="6.7109375" style="16" bestFit="1" customWidth="1"/>
    <col min="10757" max="10757" width="8.140625" style="16" customWidth="1"/>
    <col min="10758" max="10758" width="8.7109375" style="16" customWidth="1"/>
    <col min="10759" max="10759" width="9.140625" style="16"/>
    <col min="10760" max="10760" width="8.5703125" style="16" customWidth="1"/>
    <col min="10761" max="10766" width="7.7109375" style="16" customWidth="1"/>
    <col min="10767" max="10767" width="8.42578125" style="16" customWidth="1"/>
    <col min="10768" max="10772" width="9.140625" style="16"/>
    <col min="10773" max="10773" width="12.42578125" style="16" customWidth="1"/>
    <col min="10774" max="10774" width="9.140625" style="16"/>
    <col min="10775" max="10775" width="12" style="16" customWidth="1"/>
    <col min="10776" max="11008" width="9.140625" style="16"/>
    <col min="11009" max="11009" width="5" style="16" customWidth="1"/>
    <col min="11010" max="11010" width="18.5703125" style="16" customWidth="1"/>
    <col min="11011" max="11011" width="8.28515625" style="16" customWidth="1"/>
    <col min="11012" max="11012" width="6.7109375" style="16" bestFit="1" customWidth="1"/>
    <col min="11013" max="11013" width="8.140625" style="16" customWidth="1"/>
    <col min="11014" max="11014" width="8.7109375" style="16" customWidth="1"/>
    <col min="11015" max="11015" width="9.140625" style="16"/>
    <col min="11016" max="11016" width="8.5703125" style="16" customWidth="1"/>
    <col min="11017" max="11022" width="7.7109375" style="16" customWidth="1"/>
    <col min="11023" max="11023" width="8.42578125" style="16" customWidth="1"/>
    <col min="11024" max="11028" width="9.140625" style="16"/>
    <col min="11029" max="11029" width="12.42578125" style="16" customWidth="1"/>
    <col min="11030" max="11030" width="9.140625" style="16"/>
    <col min="11031" max="11031" width="12" style="16" customWidth="1"/>
    <col min="11032" max="11264" width="9.140625" style="16"/>
    <col min="11265" max="11265" width="5" style="16" customWidth="1"/>
    <col min="11266" max="11266" width="18.5703125" style="16" customWidth="1"/>
    <col min="11267" max="11267" width="8.28515625" style="16" customWidth="1"/>
    <col min="11268" max="11268" width="6.7109375" style="16" bestFit="1" customWidth="1"/>
    <col min="11269" max="11269" width="8.140625" style="16" customWidth="1"/>
    <col min="11270" max="11270" width="8.7109375" style="16" customWidth="1"/>
    <col min="11271" max="11271" width="9.140625" style="16"/>
    <col min="11272" max="11272" width="8.5703125" style="16" customWidth="1"/>
    <col min="11273" max="11278" width="7.7109375" style="16" customWidth="1"/>
    <col min="11279" max="11279" width="8.42578125" style="16" customWidth="1"/>
    <col min="11280" max="11284" width="9.140625" style="16"/>
    <col min="11285" max="11285" width="12.42578125" style="16" customWidth="1"/>
    <col min="11286" max="11286" width="9.140625" style="16"/>
    <col min="11287" max="11287" width="12" style="16" customWidth="1"/>
    <col min="11288" max="11520" width="9.140625" style="16"/>
    <col min="11521" max="11521" width="5" style="16" customWidth="1"/>
    <col min="11522" max="11522" width="18.5703125" style="16" customWidth="1"/>
    <col min="11523" max="11523" width="8.28515625" style="16" customWidth="1"/>
    <col min="11524" max="11524" width="6.7109375" style="16" bestFit="1" customWidth="1"/>
    <col min="11525" max="11525" width="8.140625" style="16" customWidth="1"/>
    <col min="11526" max="11526" width="8.7109375" style="16" customWidth="1"/>
    <col min="11527" max="11527" width="9.140625" style="16"/>
    <col min="11528" max="11528" width="8.5703125" style="16" customWidth="1"/>
    <col min="11529" max="11534" width="7.7109375" style="16" customWidth="1"/>
    <col min="11535" max="11535" width="8.42578125" style="16" customWidth="1"/>
    <col min="11536" max="11540" width="9.140625" style="16"/>
    <col min="11541" max="11541" width="12.42578125" style="16" customWidth="1"/>
    <col min="11542" max="11542" width="9.140625" style="16"/>
    <col min="11543" max="11543" width="12" style="16" customWidth="1"/>
    <col min="11544" max="11776" width="9.140625" style="16"/>
    <col min="11777" max="11777" width="5" style="16" customWidth="1"/>
    <col min="11778" max="11778" width="18.5703125" style="16" customWidth="1"/>
    <col min="11779" max="11779" width="8.28515625" style="16" customWidth="1"/>
    <col min="11780" max="11780" width="6.7109375" style="16" bestFit="1" customWidth="1"/>
    <col min="11781" max="11781" width="8.140625" style="16" customWidth="1"/>
    <col min="11782" max="11782" width="8.7109375" style="16" customWidth="1"/>
    <col min="11783" max="11783" width="9.140625" style="16"/>
    <col min="11784" max="11784" width="8.5703125" style="16" customWidth="1"/>
    <col min="11785" max="11790" width="7.7109375" style="16" customWidth="1"/>
    <col min="11791" max="11791" width="8.42578125" style="16" customWidth="1"/>
    <col min="11792" max="11796" width="9.140625" style="16"/>
    <col min="11797" max="11797" width="12.42578125" style="16" customWidth="1"/>
    <col min="11798" max="11798" width="9.140625" style="16"/>
    <col min="11799" max="11799" width="12" style="16" customWidth="1"/>
    <col min="11800" max="12032" width="9.140625" style="16"/>
    <col min="12033" max="12033" width="5" style="16" customWidth="1"/>
    <col min="12034" max="12034" width="18.5703125" style="16" customWidth="1"/>
    <col min="12035" max="12035" width="8.28515625" style="16" customWidth="1"/>
    <col min="12036" max="12036" width="6.7109375" style="16" bestFit="1" customWidth="1"/>
    <col min="12037" max="12037" width="8.140625" style="16" customWidth="1"/>
    <col min="12038" max="12038" width="8.7109375" style="16" customWidth="1"/>
    <col min="12039" max="12039" width="9.140625" style="16"/>
    <col min="12040" max="12040" width="8.5703125" style="16" customWidth="1"/>
    <col min="12041" max="12046" width="7.7109375" style="16" customWidth="1"/>
    <col min="12047" max="12047" width="8.42578125" style="16" customWidth="1"/>
    <col min="12048" max="12052" width="9.140625" style="16"/>
    <col min="12053" max="12053" width="12.42578125" style="16" customWidth="1"/>
    <col min="12054" max="12054" width="9.140625" style="16"/>
    <col min="12055" max="12055" width="12" style="16" customWidth="1"/>
    <col min="12056" max="12288" width="9.140625" style="16"/>
    <col min="12289" max="12289" width="5" style="16" customWidth="1"/>
    <col min="12290" max="12290" width="18.5703125" style="16" customWidth="1"/>
    <col min="12291" max="12291" width="8.28515625" style="16" customWidth="1"/>
    <col min="12292" max="12292" width="6.7109375" style="16" bestFit="1" customWidth="1"/>
    <col min="12293" max="12293" width="8.140625" style="16" customWidth="1"/>
    <col min="12294" max="12294" width="8.7109375" style="16" customWidth="1"/>
    <col min="12295" max="12295" width="9.140625" style="16"/>
    <col min="12296" max="12296" width="8.5703125" style="16" customWidth="1"/>
    <col min="12297" max="12302" width="7.7109375" style="16" customWidth="1"/>
    <col min="12303" max="12303" width="8.42578125" style="16" customWidth="1"/>
    <col min="12304" max="12308" width="9.140625" style="16"/>
    <col min="12309" max="12309" width="12.42578125" style="16" customWidth="1"/>
    <col min="12310" max="12310" width="9.140625" style="16"/>
    <col min="12311" max="12311" width="12" style="16" customWidth="1"/>
    <col min="12312" max="12544" width="9.140625" style="16"/>
    <col min="12545" max="12545" width="5" style="16" customWidth="1"/>
    <col min="12546" max="12546" width="18.5703125" style="16" customWidth="1"/>
    <col min="12547" max="12547" width="8.28515625" style="16" customWidth="1"/>
    <col min="12548" max="12548" width="6.7109375" style="16" bestFit="1" customWidth="1"/>
    <col min="12549" max="12549" width="8.140625" style="16" customWidth="1"/>
    <col min="12550" max="12550" width="8.7109375" style="16" customWidth="1"/>
    <col min="12551" max="12551" width="9.140625" style="16"/>
    <col min="12552" max="12552" width="8.5703125" style="16" customWidth="1"/>
    <col min="12553" max="12558" width="7.7109375" style="16" customWidth="1"/>
    <col min="12559" max="12559" width="8.42578125" style="16" customWidth="1"/>
    <col min="12560" max="12564" width="9.140625" style="16"/>
    <col min="12565" max="12565" width="12.42578125" style="16" customWidth="1"/>
    <col min="12566" max="12566" width="9.140625" style="16"/>
    <col min="12567" max="12567" width="12" style="16" customWidth="1"/>
    <col min="12568" max="12800" width="9.140625" style="16"/>
    <col min="12801" max="12801" width="5" style="16" customWidth="1"/>
    <col min="12802" max="12802" width="18.5703125" style="16" customWidth="1"/>
    <col min="12803" max="12803" width="8.28515625" style="16" customWidth="1"/>
    <col min="12804" max="12804" width="6.7109375" style="16" bestFit="1" customWidth="1"/>
    <col min="12805" max="12805" width="8.140625" style="16" customWidth="1"/>
    <col min="12806" max="12806" width="8.7109375" style="16" customWidth="1"/>
    <col min="12807" max="12807" width="9.140625" style="16"/>
    <col min="12808" max="12808" width="8.5703125" style="16" customWidth="1"/>
    <col min="12809" max="12814" width="7.7109375" style="16" customWidth="1"/>
    <col min="12815" max="12815" width="8.42578125" style="16" customWidth="1"/>
    <col min="12816" max="12820" width="9.140625" style="16"/>
    <col min="12821" max="12821" width="12.42578125" style="16" customWidth="1"/>
    <col min="12822" max="12822" width="9.140625" style="16"/>
    <col min="12823" max="12823" width="12" style="16" customWidth="1"/>
    <col min="12824" max="13056" width="9.140625" style="16"/>
    <col min="13057" max="13057" width="5" style="16" customWidth="1"/>
    <col min="13058" max="13058" width="18.5703125" style="16" customWidth="1"/>
    <col min="13059" max="13059" width="8.28515625" style="16" customWidth="1"/>
    <col min="13060" max="13060" width="6.7109375" style="16" bestFit="1" customWidth="1"/>
    <col min="13061" max="13061" width="8.140625" style="16" customWidth="1"/>
    <col min="13062" max="13062" width="8.7109375" style="16" customWidth="1"/>
    <col min="13063" max="13063" width="9.140625" style="16"/>
    <col min="13064" max="13064" width="8.5703125" style="16" customWidth="1"/>
    <col min="13065" max="13070" width="7.7109375" style="16" customWidth="1"/>
    <col min="13071" max="13071" width="8.42578125" style="16" customWidth="1"/>
    <col min="13072" max="13076" width="9.140625" style="16"/>
    <col min="13077" max="13077" width="12.42578125" style="16" customWidth="1"/>
    <col min="13078" max="13078" width="9.140625" style="16"/>
    <col min="13079" max="13079" width="12" style="16" customWidth="1"/>
    <col min="13080" max="13312" width="9.140625" style="16"/>
    <col min="13313" max="13313" width="5" style="16" customWidth="1"/>
    <col min="13314" max="13314" width="18.5703125" style="16" customWidth="1"/>
    <col min="13315" max="13315" width="8.28515625" style="16" customWidth="1"/>
    <col min="13316" max="13316" width="6.7109375" style="16" bestFit="1" customWidth="1"/>
    <col min="13317" max="13317" width="8.140625" style="16" customWidth="1"/>
    <col min="13318" max="13318" width="8.7109375" style="16" customWidth="1"/>
    <col min="13319" max="13319" width="9.140625" style="16"/>
    <col min="13320" max="13320" width="8.5703125" style="16" customWidth="1"/>
    <col min="13321" max="13326" width="7.7109375" style="16" customWidth="1"/>
    <col min="13327" max="13327" width="8.42578125" style="16" customWidth="1"/>
    <col min="13328" max="13332" width="9.140625" style="16"/>
    <col min="13333" max="13333" width="12.42578125" style="16" customWidth="1"/>
    <col min="13334" max="13334" width="9.140625" style="16"/>
    <col min="13335" max="13335" width="12" style="16" customWidth="1"/>
    <col min="13336" max="13568" width="9.140625" style="16"/>
    <col min="13569" max="13569" width="5" style="16" customWidth="1"/>
    <col min="13570" max="13570" width="18.5703125" style="16" customWidth="1"/>
    <col min="13571" max="13571" width="8.28515625" style="16" customWidth="1"/>
    <col min="13572" max="13572" width="6.7109375" style="16" bestFit="1" customWidth="1"/>
    <col min="13573" max="13573" width="8.140625" style="16" customWidth="1"/>
    <col min="13574" max="13574" width="8.7109375" style="16" customWidth="1"/>
    <col min="13575" max="13575" width="9.140625" style="16"/>
    <col min="13576" max="13576" width="8.5703125" style="16" customWidth="1"/>
    <col min="13577" max="13582" width="7.7109375" style="16" customWidth="1"/>
    <col min="13583" max="13583" width="8.42578125" style="16" customWidth="1"/>
    <col min="13584" max="13588" width="9.140625" style="16"/>
    <col min="13589" max="13589" width="12.42578125" style="16" customWidth="1"/>
    <col min="13590" max="13590" width="9.140625" style="16"/>
    <col min="13591" max="13591" width="12" style="16" customWidth="1"/>
    <col min="13592" max="13824" width="9.140625" style="16"/>
    <col min="13825" max="13825" width="5" style="16" customWidth="1"/>
    <col min="13826" max="13826" width="18.5703125" style="16" customWidth="1"/>
    <col min="13827" max="13827" width="8.28515625" style="16" customWidth="1"/>
    <col min="13828" max="13828" width="6.7109375" style="16" bestFit="1" customWidth="1"/>
    <col min="13829" max="13829" width="8.140625" style="16" customWidth="1"/>
    <col min="13830" max="13830" width="8.7109375" style="16" customWidth="1"/>
    <col min="13831" max="13831" width="9.140625" style="16"/>
    <col min="13832" max="13832" width="8.5703125" style="16" customWidth="1"/>
    <col min="13833" max="13838" width="7.7109375" style="16" customWidth="1"/>
    <col min="13839" max="13839" width="8.42578125" style="16" customWidth="1"/>
    <col min="13840" max="13844" width="9.140625" style="16"/>
    <col min="13845" max="13845" width="12.42578125" style="16" customWidth="1"/>
    <col min="13846" max="13846" width="9.140625" style="16"/>
    <col min="13847" max="13847" width="12" style="16" customWidth="1"/>
    <col min="13848" max="14080" width="9.140625" style="16"/>
    <col min="14081" max="14081" width="5" style="16" customWidth="1"/>
    <col min="14082" max="14082" width="18.5703125" style="16" customWidth="1"/>
    <col min="14083" max="14083" width="8.28515625" style="16" customWidth="1"/>
    <col min="14084" max="14084" width="6.7109375" style="16" bestFit="1" customWidth="1"/>
    <col min="14085" max="14085" width="8.140625" style="16" customWidth="1"/>
    <col min="14086" max="14086" width="8.7109375" style="16" customWidth="1"/>
    <col min="14087" max="14087" width="9.140625" style="16"/>
    <col min="14088" max="14088" width="8.5703125" style="16" customWidth="1"/>
    <col min="14089" max="14094" width="7.7109375" style="16" customWidth="1"/>
    <col min="14095" max="14095" width="8.42578125" style="16" customWidth="1"/>
    <col min="14096" max="14100" width="9.140625" style="16"/>
    <col min="14101" max="14101" width="12.42578125" style="16" customWidth="1"/>
    <col min="14102" max="14102" width="9.140625" style="16"/>
    <col min="14103" max="14103" width="12" style="16" customWidth="1"/>
    <col min="14104" max="14336" width="9.140625" style="16"/>
    <col min="14337" max="14337" width="5" style="16" customWidth="1"/>
    <col min="14338" max="14338" width="18.5703125" style="16" customWidth="1"/>
    <col min="14339" max="14339" width="8.28515625" style="16" customWidth="1"/>
    <col min="14340" max="14340" width="6.7109375" style="16" bestFit="1" customWidth="1"/>
    <col min="14341" max="14341" width="8.140625" style="16" customWidth="1"/>
    <col min="14342" max="14342" width="8.7109375" style="16" customWidth="1"/>
    <col min="14343" max="14343" width="9.140625" style="16"/>
    <col min="14344" max="14344" width="8.5703125" style="16" customWidth="1"/>
    <col min="14345" max="14350" width="7.7109375" style="16" customWidth="1"/>
    <col min="14351" max="14351" width="8.42578125" style="16" customWidth="1"/>
    <col min="14352" max="14356" width="9.140625" style="16"/>
    <col min="14357" max="14357" width="12.42578125" style="16" customWidth="1"/>
    <col min="14358" max="14358" width="9.140625" style="16"/>
    <col min="14359" max="14359" width="12" style="16" customWidth="1"/>
    <col min="14360" max="14592" width="9.140625" style="16"/>
    <col min="14593" max="14593" width="5" style="16" customWidth="1"/>
    <col min="14594" max="14594" width="18.5703125" style="16" customWidth="1"/>
    <col min="14595" max="14595" width="8.28515625" style="16" customWidth="1"/>
    <col min="14596" max="14596" width="6.7109375" style="16" bestFit="1" customWidth="1"/>
    <col min="14597" max="14597" width="8.140625" style="16" customWidth="1"/>
    <col min="14598" max="14598" width="8.7109375" style="16" customWidth="1"/>
    <col min="14599" max="14599" width="9.140625" style="16"/>
    <col min="14600" max="14600" width="8.5703125" style="16" customWidth="1"/>
    <col min="14601" max="14606" width="7.7109375" style="16" customWidth="1"/>
    <col min="14607" max="14607" width="8.42578125" style="16" customWidth="1"/>
    <col min="14608" max="14612" width="9.140625" style="16"/>
    <col min="14613" max="14613" width="12.42578125" style="16" customWidth="1"/>
    <col min="14614" max="14614" width="9.140625" style="16"/>
    <col min="14615" max="14615" width="12" style="16" customWidth="1"/>
    <col min="14616" max="14848" width="9.140625" style="16"/>
    <col min="14849" max="14849" width="5" style="16" customWidth="1"/>
    <col min="14850" max="14850" width="18.5703125" style="16" customWidth="1"/>
    <col min="14851" max="14851" width="8.28515625" style="16" customWidth="1"/>
    <col min="14852" max="14852" width="6.7109375" style="16" bestFit="1" customWidth="1"/>
    <col min="14853" max="14853" width="8.140625" style="16" customWidth="1"/>
    <col min="14854" max="14854" width="8.7109375" style="16" customWidth="1"/>
    <col min="14855" max="14855" width="9.140625" style="16"/>
    <col min="14856" max="14856" width="8.5703125" style="16" customWidth="1"/>
    <col min="14857" max="14862" width="7.7109375" style="16" customWidth="1"/>
    <col min="14863" max="14863" width="8.42578125" style="16" customWidth="1"/>
    <col min="14864" max="14868" width="9.140625" style="16"/>
    <col min="14869" max="14869" width="12.42578125" style="16" customWidth="1"/>
    <col min="14870" max="14870" width="9.140625" style="16"/>
    <col min="14871" max="14871" width="12" style="16" customWidth="1"/>
    <col min="14872" max="15104" width="9.140625" style="16"/>
    <col min="15105" max="15105" width="5" style="16" customWidth="1"/>
    <col min="15106" max="15106" width="18.5703125" style="16" customWidth="1"/>
    <col min="15107" max="15107" width="8.28515625" style="16" customWidth="1"/>
    <col min="15108" max="15108" width="6.7109375" style="16" bestFit="1" customWidth="1"/>
    <col min="15109" max="15109" width="8.140625" style="16" customWidth="1"/>
    <col min="15110" max="15110" width="8.7109375" style="16" customWidth="1"/>
    <col min="15111" max="15111" width="9.140625" style="16"/>
    <col min="15112" max="15112" width="8.5703125" style="16" customWidth="1"/>
    <col min="15113" max="15118" width="7.7109375" style="16" customWidth="1"/>
    <col min="15119" max="15119" width="8.42578125" style="16" customWidth="1"/>
    <col min="15120" max="15124" width="9.140625" style="16"/>
    <col min="15125" max="15125" width="12.42578125" style="16" customWidth="1"/>
    <col min="15126" max="15126" width="9.140625" style="16"/>
    <col min="15127" max="15127" width="12" style="16" customWidth="1"/>
    <col min="15128" max="15360" width="9.140625" style="16"/>
    <col min="15361" max="15361" width="5" style="16" customWidth="1"/>
    <col min="15362" max="15362" width="18.5703125" style="16" customWidth="1"/>
    <col min="15363" max="15363" width="8.28515625" style="16" customWidth="1"/>
    <col min="15364" max="15364" width="6.7109375" style="16" bestFit="1" customWidth="1"/>
    <col min="15365" max="15365" width="8.140625" style="16" customWidth="1"/>
    <col min="15366" max="15366" width="8.7109375" style="16" customWidth="1"/>
    <col min="15367" max="15367" width="9.140625" style="16"/>
    <col min="15368" max="15368" width="8.5703125" style="16" customWidth="1"/>
    <col min="15369" max="15374" width="7.7109375" style="16" customWidth="1"/>
    <col min="15375" max="15375" width="8.42578125" style="16" customWidth="1"/>
    <col min="15376" max="15380" width="9.140625" style="16"/>
    <col min="15381" max="15381" width="12.42578125" style="16" customWidth="1"/>
    <col min="15382" max="15382" width="9.140625" style="16"/>
    <col min="15383" max="15383" width="12" style="16" customWidth="1"/>
    <col min="15384" max="15616" width="9.140625" style="16"/>
    <col min="15617" max="15617" width="5" style="16" customWidth="1"/>
    <col min="15618" max="15618" width="18.5703125" style="16" customWidth="1"/>
    <col min="15619" max="15619" width="8.28515625" style="16" customWidth="1"/>
    <col min="15620" max="15620" width="6.7109375" style="16" bestFit="1" customWidth="1"/>
    <col min="15621" max="15621" width="8.140625" style="16" customWidth="1"/>
    <col min="15622" max="15622" width="8.7109375" style="16" customWidth="1"/>
    <col min="15623" max="15623" width="9.140625" style="16"/>
    <col min="15624" max="15624" width="8.5703125" style="16" customWidth="1"/>
    <col min="15625" max="15630" width="7.7109375" style="16" customWidth="1"/>
    <col min="15631" max="15631" width="8.42578125" style="16" customWidth="1"/>
    <col min="15632" max="15636" width="9.140625" style="16"/>
    <col min="15637" max="15637" width="12.42578125" style="16" customWidth="1"/>
    <col min="15638" max="15638" width="9.140625" style="16"/>
    <col min="15639" max="15639" width="12" style="16" customWidth="1"/>
    <col min="15640" max="15872" width="9.140625" style="16"/>
    <col min="15873" max="15873" width="5" style="16" customWidth="1"/>
    <col min="15874" max="15874" width="18.5703125" style="16" customWidth="1"/>
    <col min="15875" max="15875" width="8.28515625" style="16" customWidth="1"/>
    <col min="15876" max="15876" width="6.7109375" style="16" bestFit="1" customWidth="1"/>
    <col min="15877" max="15877" width="8.140625" style="16" customWidth="1"/>
    <col min="15878" max="15878" width="8.7109375" style="16" customWidth="1"/>
    <col min="15879" max="15879" width="9.140625" style="16"/>
    <col min="15880" max="15880" width="8.5703125" style="16" customWidth="1"/>
    <col min="15881" max="15886" width="7.7109375" style="16" customWidth="1"/>
    <col min="15887" max="15887" width="8.42578125" style="16" customWidth="1"/>
    <col min="15888" max="15892" width="9.140625" style="16"/>
    <col min="15893" max="15893" width="12.42578125" style="16" customWidth="1"/>
    <col min="15894" max="15894" width="9.140625" style="16"/>
    <col min="15895" max="15895" width="12" style="16" customWidth="1"/>
    <col min="15896" max="16128" width="9.140625" style="16"/>
    <col min="16129" max="16129" width="5" style="16" customWidth="1"/>
    <col min="16130" max="16130" width="18.5703125" style="16" customWidth="1"/>
    <col min="16131" max="16131" width="8.28515625" style="16" customWidth="1"/>
    <col min="16132" max="16132" width="6.7109375" style="16" bestFit="1" customWidth="1"/>
    <col min="16133" max="16133" width="8.140625" style="16" customWidth="1"/>
    <col min="16134" max="16134" width="8.7109375" style="16" customWidth="1"/>
    <col min="16135" max="16135" width="9.140625" style="16"/>
    <col min="16136" max="16136" width="8.5703125" style="16" customWidth="1"/>
    <col min="16137" max="16142" width="7.7109375" style="16" customWidth="1"/>
    <col min="16143" max="16143" width="8.42578125" style="16" customWidth="1"/>
    <col min="16144" max="16148" width="9.140625" style="16"/>
    <col min="16149" max="16149" width="12.42578125" style="16" customWidth="1"/>
    <col min="16150" max="16150" width="9.140625" style="16"/>
    <col min="16151" max="16151" width="12" style="16" customWidth="1"/>
    <col min="16152" max="16384" width="9.140625" style="16"/>
  </cols>
  <sheetData>
    <row r="1" spans="1:17" s="1" customFormat="1" x14ac:dyDescent="0.2">
      <c r="A1" s="867" t="s">
        <v>449</v>
      </c>
      <c r="B1" s="868"/>
      <c r="C1" s="868"/>
      <c r="D1" s="869"/>
      <c r="E1" s="868"/>
      <c r="F1" s="868"/>
      <c r="G1" s="867" t="s">
        <v>102</v>
      </c>
      <c r="H1" s="869"/>
      <c r="I1" s="869" t="s">
        <v>962</v>
      </c>
      <c r="J1" s="868"/>
      <c r="K1" s="868"/>
      <c r="L1" s="870"/>
      <c r="M1" s="870"/>
      <c r="N1" s="870"/>
      <c r="O1" s="870"/>
    </row>
    <row r="2" spans="1:17" s="1" customFormat="1" x14ac:dyDescent="0.2">
      <c r="A2" s="867" t="s">
        <v>103</v>
      </c>
      <c r="B2" s="868"/>
      <c r="C2" s="868"/>
      <c r="D2" s="869"/>
      <c r="E2" s="868"/>
      <c r="F2" s="868"/>
      <c r="G2" s="867" t="s">
        <v>104</v>
      </c>
      <c r="H2" s="869"/>
      <c r="I2" s="869" t="s">
        <v>105</v>
      </c>
      <c r="J2" s="868"/>
      <c r="K2" s="868"/>
      <c r="L2" s="870"/>
      <c r="M2" s="870"/>
      <c r="N2" s="870"/>
      <c r="O2" s="870"/>
    </row>
    <row r="3" spans="1:17" s="1" customFormat="1" x14ac:dyDescent="0.2">
      <c r="A3" s="867" t="s">
        <v>106</v>
      </c>
      <c r="B3" s="868"/>
      <c r="C3" s="868"/>
      <c r="D3" s="883" t="s">
        <v>988</v>
      </c>
      <c r="E3" s="868"/>
      <c r="F3" s="868"/>
      <c r="G3" s="867" t="s">
        <v>107</v>
      </c>
      <c r="H3" s="869"/>
      <c r="I3" s="869" t="s">
        <v>108</v>
      </c>
      <c r="J3" s="868"/>
      <c r="K3" s="868"/>
      <c r="L3" s="870"/>
      <c r="M3" s="870"/>
      <c r="N3" s="870"/>
      <c r="O3" s="870"/>
    </row>
    <row r="4" spans="1:17" s="1" customFormat="1" x14ac:dyDescent="0.2">
      <c r="A4" s="867" t="s">
        <v>109</v>
      </c>
      <c r="B4" s="868"/>
      <c r="C4" s="868"/>
      <c r="D4" s="869"/>
      <c r="E4" s="868"/>
      <c r="F4" s="868"/>
      <c r="G4" s="867" t="s">
        <v>110</v>
      </c>
      <c r="H4" s="869"/>
      <c r="I4" s="869" t="s">
        <v>989</v>
      </c>
      <c r="J4" s="868"/>
      <c r="K4" s="868"/>
      <c r="L4" s="870"/>
      <c r="M4" s="870"/>
      <c r="N4" s="870"/>
      <c r="O4" s="870"/>
    </row>
    <row r="5" spans="1:17" s="1" customFormat="1" x14ac:dyDescent="0.2">
      <c r="A5" s="867" t="s">
        <v>278</v>
      </c>
      <c r="B5" s="868"/>
      <c r="C5" s="868"/>
      <c r="D5" s="869" t="s">
        <v>990</v>
      </c>
      <c r="E5" s="868"/>
      <c r="F5" s="868"/>
      <c r="G5" s="867"/>
      <c r="H5" s="868"/>
      <c r="I5" s="869" t="s">
        <v>113</v>
      </c>
      <c r="J5" s="868"/>
      <c r="K5" s="868"/>
      <c r="L5" s="870"/>
      <c r="M5" s="870"/>
      <c r="N5" s="870"/>
      <c r="O5" s="870"/>
    </row>
    <row r="6" spans="1:17" s="1" customFormat="1" x14ac:dyDescent="0.2">
      <c r="A6" s="871" t="s">
        <v>114</v>
      </c>
      <c r="B6" s="872"/>
      <c r="C6" s="872"/>
      <c r="D6" s="868" t="s">
        <v>963</v>
      </c>
      <c r="E6" s="868"/>
      <c r="F6" s="868"/>
      <c r="G6" s="871" t="s">
        <v>115</v>
      </c>
      <c r="H6" s="871"/>
      <c r="I6" s="2" t="s">
        <v>116</v>
      </c>
      <c r="J6" s="888"/>
      <c r="K6" s="888"/>
      <c r="L6" s="888"/>
      <c r="M6" s="888"/>
      <c r="N6" s="888"/>
      <c r="O6" s="889"/>
    </row>
    <row r="7" spans="1:17" s="1" customFormat="1" ht="13.5" thickBot="1" x14ac:dyDescent="0.25">
      <c r="A7" s="3"/>
      <c r="B7" s="4"/>
      <c r="C7" s="5"/>
      <c r="D7" s="6"/>
      <c r="E7" s="6"/>
      <c r="F7" s="6"/>
      <c r="G7" s="6"/>
      <c r="H7" s="6"/>
      <c r="I7" s="6"/>
      <c r="J7" s="7"/>
      <c r="K7" s="8"/>
      <c r="L7" s="875" t="s">
        <v>223</v>
      </c>
      <c r="M7" s="875"/>
      <c r="N7" s="875"/>
      <c r="O7" s="875"/>
    </row>
    <row r="8" spans="1:17" s="11" customFormat="1" x14ac:dyDescent="0.2">
      <c r="A8" s="876" t="str">
        <f>I1</f>
        <v>Mr. N. P. Wankhede</v>
      </c>
      <c r="B8" s="877"/>
      <c r="C8" s="9">
        <v>43160</v>
      </c>
      <c r="D8" s="9">
        <v>43191</v>
      </c>
      <c r="E8" s="9">
        <v>43221</v>
      </c>
      <c r="F8" s="9">
        <v>43252</v>
      </c>
      <c r="G8" s="9">
        <v>43282</v>
      </c>
      <c r="H8" s="9">
        <v>43313</v>
      </c>
      <c r="I8" s="9">
        <v>43344</v>
      </c>
      <c r="J8" s="9">
        <v>43374</v>
      </c>
      <c r="K8" s="9">
        <v>43405</v>
      </c>
      <c r="L8" s="9">
        <v>43435</v>
      </c>
      <c r="M8" s="9">
        <v>43466</v>
      </c>
      <c r="N8" s="9">
        <v>43497</v>
      </c>
      <c r="O8" s="10" t="s">
        <v>117</v>
      </c>
      <c r="Q8" s="11" t="s">
        <v>116</v>
      </c>
    </row>
    <row r="9" spans="1:17" ht="15" x14ac:dyDescent="0.2">
      <c r="A9" s="12"/>
      <c r="B9" s="13" t="s">
        <v>118</v>
      </c>
      <c r="C9" s="14">
        <v>98700</v>
      </c>
      <c r="D9" s="14">
        <v>98700</v>
      </c>
      <c r="E9" s="14">
        <v>98700</v>
      </c>
      <c r="F9" s="14">
        <v>98700</v>
      </c>
      <c r="G9" s="14">
        <v>101700</v>
      </c>
      <c r="H9" s="14">
        <v>101700</v>
      </c>
      <c r="I9" s="14">
        <v>101700</v>
      </c>
      <c r="J9" s="14">
        <v>101700</v>
      </c>
      <c r="K9" s="14">
        <v>101700</v>
      </c>
      <c r="L9" s="14">
        <v>101700</v>
      </c>
      <c r="M9" s="14">
        <v>101700</v>
      </c>
      <c r="N9" s="14">
        <v>101700</v>
      </c>
      <c r="O9" s="15">
        <f>SUM(C9:N9)</f>
        <v>1208400</v>
      </c>
      <c r="Q9" s="16" t="s">
        <v>222</v>
      </c>
    </row>
    <row r="10" spans="1:17"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7" ht="15" x14ac:dyDescent="0.2">
      <c r="A11" s="12"/>
      <c r="B11" s="13" t="s">
        <v>120</v>
      </c>
      <c r="C11" s="17">
        <v>4935</v>
      </c>
      <c r="D11" s="17">
        <v>6909</v>
      </c>
      <c r="E11" s="17">
        <v>6909</v>
      </c>
      <c r="F11" s="17">
        <v>6909</v>
      </c>
      <c r="G11" s="17">
        <v>7119</v>
      </c>
      <c r="H11" s="17">
        <v>7119</v>
      </c>
      <c r="I11" s="17">
        <v>7119</v>
      </c>
      <c r="J11" s="17">
        <v>9153</v>
      </c>
      <c r="K11" s="17">
        <v>9153</v>
      </c>
      <c r="L11" s="17">
        <v>9153</v>
      </c>
      <c r="M11" s="17">
        <v>9153</v>
      </c>
      <c r="N11" s="17">
        <v>9153</v>
      </c>
      <c r="O11" s="18">
        <f>SUM(C11:N11)</f>
        <v>92784</v>
      </c>
    </row>
    <row r="12" spans="1:17" ht="14.25" hidden="1" customHeight="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7" ht="13.5" hidden="1" customHeight="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7" ht="15" x14ac:dyDescent="0.2">
      <c r="A14" s="12"/>
      <c r="B14" s="13" t="s">
        <v>123</v>
      </c>
      <c r="C14" s="17">
        <v>7560</v>
      </c>
      <c r="D14" s="17">
        <v>7704</v>
      </c>
      <c r="E14" s="17">
        <v>7704</v>
      </c>
      <c r="F14" s="17">
        <v>7704</v>
      </c>
      <c r="G14" s="17">
        <v>7704</v>
      </c>
      <c r="H14" s="17">
        <v>7704</v>
      </c>
      <c r="I14" s="17">
        <v>7704</v>
      </c>
      <c r="J14" s="17">
        <v>7848</v>
      </c>
      <c r="K14" s="17">
        <v>7848</v>
      </c>
      <c r="L14" s="17">
        <v>7848</v>
      </c>
      <c r="M14" s="17">
        <v>7848</v>
      </c>
      <c r="N14" s="17">
        <v>7848</v>
      </c>
      <c r="O14" s="18">
        <f t="shared" si="0"/>
        <v>93024</v>
      </c>
    </row>
    <row r="15" spans="1:17" ht="15"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7" ht="15" customHeight="1" x14ac:dyDescent="0.2">
      <c r="A16" s="12"/>
      <c r="B16" s="13" t="s">
        <v>224</v>
      </c>
      <c r="C16" s="17">
        <v>0</v>
      </c>
      <c r="D16" s="17">
        <v>0</v>
      </c>
      <c r="E16" s="17">
        <v>0</v>
      </c>
      <c r="F16" s="17">
        <v>0</v>
      </c>
      <c r="G16" s="17">
        <v>0</v>
      </c>
      <c r="H16" s="17">
        <v>0</v>
      </c>
      <c r="I16" s="17">
        <v>0</v>
      </c>
      <c r="J16" s="17">
        <v>0</v>
      </c>
      <c r="K16" s="17">
        <v>0</v>
      </c>
      <c r="L16" s="17">
        <v>0</v>
      </c>
      <c r="M16" s="17">
        <v>0</v>
      </c>
      <c r="N16" s="17">
        <v>0</v>
      </c>
      <c r="O16" s="18">
        <f t="shared" si="0"/>
        <v>0</v>
      </c>
    </row>
    <row r="17" spans="1:15" ht="14.25" hidden="1" customHeight="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6.5" hidden="1" customHeight="1" x14ac:dyDescent="0.2">
      <c r="A18" s="12"/>
      <c r="B18" s="13" t="s">
        <v>609</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23688</v>
      </c>
      <c r="D19" s="17">
        <v>23688</v>
      </c>
      <c r="E19" s="17">
        <v>23688</v>
      </c>
      <c r="F19" s="17">
        <v>23688</v>
      </c>
      <c r="G19" s="17">
        <v>24408</v>
      </c>
      <c r="H19" s="17">
        <v>24408</v>
      </c>
      <c r="I19" s="17">
        <v>24408</v>
      </c>
      <c r="J19" s="17">
        <v>24408</v>
      </c>
      <c r="K19" s="17">
        <v>24408</v>
      </c>
      <c r="L19" s="17">
        <v>24408</v>
      </c>
      <c r="M19" s="17">
        <v>24408</v>
      </c>
      <c r="N19" s="17">
        <v>24408</v>
      </c>
      <c r="O19" s="18">
        <f t="shared" si="0"/>
        <v>290016</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78"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79"/>
      <c r="B22" s="19" t="s">
        <v>132</v>
      </c>
      <c r="C22" s="17">
        <v>0</v>
      </c>
      <c r="D22" s="17">
        <v>0</v>
      </c>
      <c r="E22" s="17">
        <v>0</v>
      </c>
      <c r="F22" s="17">
        <v>0</v>
      </c>
      <c r="G22" s="17">
        <v>0</v>
      </c>
      <c r="H22" s="17">
        <v>0</v>
      </c>
      <c r="I22" s="17">
        <v>0</v>
      </c>
      <c r="J22" s="17">
        <v>0</v>
      </c>
      <c r="K22" s="17">
        <v>0</v>
      </c>
      <c r="L22" s="17">
        <v>0</v>
      </c>
      <c r="M22" s="17">
        <v>0</v>
      </c>
      <c r="N22" s="17">
        <v>0</v>
      </c>
      <c r="O22" s="18">
        <f t="shared" si="0"/>
        <v>0</v>
      </c>
    </row>
    <row r="23" spans="1:15" ht="15" hidden="1" customHeight="1" x14ac:dyDescent="0.2">
      <c r="A23" s="879"/>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79"/>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79"/>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79"/>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79"/>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79"/>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79"/>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79"/>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79"/>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79"/>
      <c r="B32" s="21" t="s">
        <v>252</v>
      </c>
      <c r="C32" s="17">
        <v>0</v>
      </c>
      <c r="D32" s="17">
        <v>0</v>
      </c>
      <c r="E32" s="17">
        <v>0</v>
      </c>
      <c r="F32" s="17">
        <v>0</v>
      </c>
      <c r="G32" s="17">
        <v>0</v>
      </c>
      <c r="H32" s="17">
        <v>0</v>
      </c>
      <c r="I32" s="17">
        <v>0</v>
      </c>
      <c r="J32" s="17">
        <v>0</v>
      </c>
      <c r="K32" s="17">
        <v>0</v>
      </c>
      <c r="L32" s="17">
        <v>0</v>
      </c>
      <c r="M32" s="17">
        <v>36951</v>
      </c>
      <c r="N32" s="17">
        <v>0</v>
      </c>
      <c r="O32" s="18">
        <f t="shared" si="0"/>
        <v>36951</v>
      </c>
    </row>
    <row r="33" spans="1:16" ht="15" hidden="1" customHeight="1" x14ac:dyDescent="0.2">
      <c r="A33" s="880"/>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219"/>
      <c r="B34" s="220" t="s">
        <v>143</v>
      </c>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865" t="s">
        <v>145</v>
      </c>
      <c r="B35" s="866"/>
      <c r="C35" s="17">
        <v>0</v>
      </c>
      <c r="D35" s="17">
        <v>432</v>
      </c>
      <c r="E35" s="17">
        <v>0</v>
      </c>
      <c r="F35" s="17">
        <v>0</v>
      </c>
      <c r="G35" s="17">
        <v>0</v>
      </c>
      <c r="H35" s="17">
        <v>0</v>
      </c>
      <c r="I35" s="17">
        <v>0</v>
      </c>
      <c r="J35" s="17">
        <v>432</v>
      </c>
      <c r="K35" s="17">
        <v>0</v>
      </c>
      <c r="L35" s="17">
        <v>0</v>
      </c>
      <c r="M35" s="17">
        <v>0</v>
      </c>
      <c r="N35" s="17">
        <v>0</v>
      </c>
      <c r="O35" s="18">
        <f t="shared" si="0"/>
        <v>864</v>
      </c>
    </row>
    <row r="36" spans="1:16" ht="15" customHeight="1" x14ac:dyDescent="0.2">
      <c r="A36" s="865" t="s">
        <v>146</v>
      </c>
      <c r="B36" s="866"/>
      <c r="C36" s="17">
        <v>0</v>
      </c>
      <c r="D36" s="17">
        <v>5922</v>
      </c>
      <c r="E36" s="17">
        <v>0</v>
      </c>
      <c r="F36" s="17">
        <v>0</v>
      </c>
      <c r="G36" s="17">
        <v>0</v>
      </c>
      <c r="H36" s="17">
        <v>0</v>
      </c>
      <c r="I36" s="17">
        <v>0</v>
      </c>
      <c r="J36" s="17">
        <v>6102</v>
      </c>
      <c r="K36" s="17">
        <v>0</v>
      </c>
      <c r="L36" s="17">
        <v>0</v>
      </c>
      <c r="M36" s="17">
        <v>0</v>
      </c>
      <c r="N36" s="17">
        <v>0</v>
      </c>
      <c r="O36" s="18">
        <f t="shared" si="0"/>
        <v>12024</v>
      </c>
    </row>
    <row r="37" spans="1:16" ht="15" customHeight="1" x14ac:dyDescent="0.2">
      <c r="A37" s="22"/>
      <c r="B37" s="23" t="s">
        <v>147</v>
      </c>
      <c r="C37" s="24">
        <f t="shared" ref="C37:N37" si="1">SUM(C9:C36)</f>
        <v>134883</v>
      </c>
      <c r="D37" s="24">
        <f t="shared" si="1"/>
        <v>143355</v>
      </c>
      <c r="E37" s="24">
        <f t="shared" si="1"/>
        <v>137001</v>
      </c>
      <c r="F37" s="24">
        <f t="shared" si="1"/>
        <v>137001</v>
      </c>
      <c r="G37" s="24">
        <f t="shared" si="1"/>
        <v>140931</v>
      </c>
      <c r="H37" s="24">
        <f t="shared" si="1"/>
        <v>140931</v>
      </c>
      <c r="I37" s="24">
        <f t="shared" si="1"/>
        <v>140931</v>
      </c>
      <c r="J37" s="24">
        <f t="shared" si="1"/>
        <v>149643</v>
      </c>
      <c r="K37" s="24">
        <f t="shared" si="1"/>
        <v>143109</v>
      </c>
      <c r="L37" s="24">
        <f t="shared" si="1"/>
        <v>143109</v>
      </c>
      <c r="M37" s="24">
        <f t="shared" si="1"/>
        <v>180060</v>
      </c>
      <c r="N37" s="24">
        <f t="shared" si="1"/>
        <v>143109</v>
      </c>
      <c r="O37" s="25">
        <f>SUM(C37:N37)</f>
        <v>1734063</v>
      </c>
    </row>
    <row r="38" spans="1:16" ht="15" customHeight="1" x14ac:dyDescent="0.2">
      <c r="A38" s="853" t="s">
        <v>148</v>
      </c>
      <c r="B38" s="27" t="s">
        <v>149</v>
      </c>
      <c r="C38" s="28">
        <v>17600</v>
      </c>
      <c r="D38" s="28">
        <v>10000</v>
      </c>
      <c r="E38" s="28">
        <v>10000</v>
      </c>
      <c r="F38" s="28">
        <v>10000</v>
      </c>
      <c r="G38" s="28">
        <v>19600</v>
      </c>
      <c r="H38" s="28">
        <v>19600</v>
      </c>
      <c r="I38" s="28">
        <v>19600</v>
      </c>
      <c r="J38" s="28">
        <v>19600</v>
      </c>
      <c r="K38" s="28">
        <v>26000</v>
      </c>
      <c r="L38" s="28">
        <v>26740</v>
      </c>
      <c r="M38" s="28">
        <v>26740</v>
      </c>
      <c r="N38" s="28">
        <v>14250</v>
      </c>
      <c r="O38" s="18">
        <f>SUM(C38:N38)</f>
        <v>219730</v>
      </c>
      <c r="P38" s="29"/>
    </row>
    <row r="39" spans="1:16" ht="15" x14ac:dyDescent="0.2">
      <c r="A39" s="854"/>
      <c r="B39" s="27" t="s">
        <v>150</v>
      </c>
      <c r="C39" s="28">
        <v>0</v>
      </c>
      <c r="D39" s="28">
        <v>0</v>
      </c>
      <c r="E39" s="28">
        <v>0</v>
      </c>
      <c r="F39" s="28">
        <v>0</v>
      </c>
      <c r="G39" s="28">
        <v>0</v>
      </c>
      <c r="H39" s="28">
        <v>0</v>
      </c>
      <c r="I39" s="28">
        <v>0</v>
      </c>
      <c r="J39" s="28">
        <v>0</v>
      </c>
      <c r="K39" s="28">
        <v>0</v>
      </c>
      <c r="L39" s="28">
        <v>0</v>
      </c>
      <c r="M39" s="28">
        <v>0</v>
      </c>
      <c r="N39" s="28">
        <v>0</v>
      </c>
      <c r="O39" s="18">
        <f>SUM(C39:N39)</f>
        <v>0</v>
      </c>
    </row>
    <row r="40" spans="1:16" ht="15" x14ac:dyDescent="0.2">
      <c r="A40" s="854"/>
      <c r="B40" s="27" t="s">
        <v>151</v>
      </c>
      <c r="C40" s="28">
        <v>60</v>
      </c>
      <c r="D40" s="28">
        <v>60</v>
      </c>
      <c r="E40" s="28">
        <v>60</v>
      </c>
      <c r="F40" s="28">
        <v>60</v>
      </c>
      <c r="G40" s="28">
        <v>60</v>
      </c>
      <c r="H40" s="28">
        <v>60</v>
      </c>
      <c r="I40" s="28">
        <v>60</v>
      </c>
      <c r="J40" s="28">
        <v>60</v>
      </c>
      <c r="K40" s="28">
        <v>60</v>
      </c>
      <c r="L40" s="28">
        <v>60</v>
      </c>
      <c r="M40" s="28">
        <v>60</v>
      </c>
      <c r="N40" s="28">
        <v>60</v>
      </c>
      <c r="O40" s="18">
        <f t="shared" ref="O40:O50" si="2">SUM(C40:N40)</f>
        <v>720</v>
      </c>
    </row>
    <row r="41" spans="1:16" ht="15" x14ac:dyDescent="0.2">
      <c r="A41" s="854"/>
      <c r="B41" s="27" t="s">
        <v>152</v>
      </c>
      <c r="C41" s="28">
        <v>0</v>
      </c>
      <c r="D41" s="28">
        <v>0</v>
      </c>
      <c r="E41" s="28">
        <v>0</v>
      </c>
      <c r="F41" s="28">
        <v>0</v>
      </c>
      <c r="G41" s="28">
        <v>0</v>
      </c>
      <c r="H41" s="28">
        <v>0</v>
      </c>
      <c r="I41" s="28">
        <v>0</v>
      </c>
      <c r="J41" s="28">
        <v>0</v>
      </c>
      <c r="K41" s="28">
        <v>0</v>
      </c>
      <c r="L41" s="28">
        <v>0</v>
      </c>
      <c r="M41" s="28">
        <v>0</v>
      </c>
      <c r="N41" s="28">
        <v>0</v>
      </c>
      <c r="O41" s="18">
        <f t="shared" si="2"/>
        <v>0</v>
      </c>
    </row>
    <row r="42" spans="1:16" ht="15" x14ac:dyDescent="0.2">
      <c r="A42" s="854"/>
      <c r="B42" s="27" t="s">
        <v>153</v>
      </c>
      <c r="C42" s="28">
        <v>650</v>
      </c>
      <c r="D42" s="28">
        <v>650</v>
      </c>
      <c r="E42" s="28">
        <v>650</v>
      </c>
      <c r="F42" s="28">
        <v>650</v>
      </c>
      <c r="G42" s="28">
        <v>650</v>
      </c>
      <c r="H42" s="28">
        <v>650</v>
      </c>
      <c r="I42" s="28">
        <v>650</v>
      </c>
      <c r="J42" s="28">
        <v>650</v>
      </c>
      <c r="K42" s="28">
        <v>650</v>
      </c>
      <c r="L42" s="28">
        <v>650</v>
      </c>
      <c r="M42" s="28">
        <v>650</v>
      </c>
      <c r="N42" s="28">
        <v>650</v>
      </c>
      <c r="O42" s="18">
        <f t="shared" si="2"/>
        <v>7800</v>
      </c>
    </row>
    <row r="43" spans="1:16" ht="15" x14ac:dyDescent="0.2">
      <c r="A43" s="854"/>
      <c r="B43" s="27" t="s">
        <v>154</v>
      </c>
      <c r="C43" s="28">
        <v>5800</v>
      </c>
      <c r="D43" s="28">
        <v>5800</v>
      </c>
      <c r="E43" s="28">
        <v>5800</v>
      </c>
      <c r="F43" s="28">
        <v>5800</v>
      </c>
      <c r="G43" s="28">
        <v>5800</v>
      </c>
      <c r="H43" s="28">
        <v>5800</v>
      </c>
      <c r="I43" s="28">
        <v>5800</v>
      </c>
      <c r="J43" s="28">
        <v>5800</v>
      </c>
      <c r="K43" s="28">
        <v>5800</v>
      </c>
      <c r="L43" s="28">
        <v>5800</v>
      </c>
      <c r="M43" s="28">
        <v>5800</v>
      </c>
      <c r="N43" s="28">
        <v>5800</v>
      </c>
      <c r="O43" s="18">
        <f t="shared" si="2"/>
        <v>69600</v>
      </c>
    </row>
    <row r="44" spans="1:16" ht="15" x14ac:dyDescent="0.2">
      <c r="A44" s="854"/>
      <c r="B44" s="27" t="s">
        <v>155</v>
      </c>
      <c r="C44" s="28">
        <v>200</v>
      </c>
      <c r="D44" s="28">
        <v>200</v>
      </c>
      <c r="E44" s="28">
        <v>200</v>
      </c>
      <c r="F44" s="28">
        <v>200</v>
      </c>
      <c r="G44" s="28">
        <v>200</v>
      </c>
      <c r="H44" s="28">
        <v>200</v>
      </c>
      <c r="I44" s="28">
        <v>200</v>
      </c>
      <c r="J44" s="28">
        <v>200</v>
      </c>
      <c r="K44" s="28">
        <v>200</v>
      </c>
      <c r="L44" s="28">
        <v>200</v>
      </c>
      <c r="M44" s="28">
        <v>200</v>
      </c>
      <c r="N44" s="28">
        <v>300</v>
      </c>
      <c r="O44" s="18">
        <f t="shared" si="2"/>
        <v>2500</v>
      </c>
    </row>
    <row r="45" spans="1:16" ht="15" x14ac:dyDescent="0.2">
      <c r="A45" s="854"/>
      <c r="B45" s="27" t="s">
        <v>156</v>
      </c>
      <c r="C45" s="28">
        <v>0</v>
      </c>
      <c r="D45" s="28">
        <v>0</v>
      </c>
      <c r="E45" s="28">
        <v>0</v>
      </c>
      <c r="F45" s="28">
        <v>0</v>
      </c>
      <c r="G45" s="28">
        <v>0</v>
      </c>
      <c r="H45" s="28">
        <v>0</v>
      </c>
      <c r="I45" s="28">
        <v>0</v>
      </c>
      <c r="J45" s="28">
        <v>0</v>
      </c>
      <c r="K45" s="28">
        <v>0</v>
      </c>
      <c r="L45" s="28">
        <v>0</v>
      </c>
      <c r="M45" s="28">
        <v>0</v>
      </c>
      <c r="N45" s="28">
        <v>0</v>
      </c>
      <c r="O45" s="18">
        <f t="shared" si="2"/>
        <v>0</v>
      </c>
    </row>
    <row r="46" spans="1:16" ht="15" x14ac:dyDescent="0.2">
      <c r="A46" s="854"/>
      <c r="B46" s="27" t="s">
        <v>157</v>
      </c>
      <c r="C46" s="28">
        <v>2500</v>
      </c>
      <c r="D46" s="28">
        <v>2500</v>
      </c>
      <c r="E46" s="28">
        <v>2500</v>
      </c>
      <c r="F46" s="28">
        <v>2500</v>
      </c>
      <c r="G46" s="28">
        <v>2500</v>
      </c>
      <c r="H46" s="28">
        <v>2500</v>
      </c>
      <c r="I46" s="28">
        <v>2500</v>
      </c>
      <c r="J46" s="28">
        <v>2500</v>
      </c>
      <c r="K46" s="28">
        <v>0</v>
      </c>
      <c r="L46" s="28">
        <v>0</v>
      </c>
      <c r="M46" s="28">
        <v>0</v>
      </c>
      <c r="N46" s="28">
        <v>0</v>
      </c>
      <c r="O46" s="18">
        <f t="shared" si="2"/>
        <v>20000</v>
      </c>
    </row>
    <row r="47" spans="1:16" ht="28.5" customHeight="1" x14ac:dyDescent="0.2">
      <c r="A47" s="855"/>
      <c r="B47" s="30" t="s">
        <v>158</v>
      </c>
      <c r="C47" s="28">
        <v>0</v>
      </c>
      <c r="D47" s="28">
        <v>0</v>
      </c>
      <c r="E47" s="28">
        <v>0</v>
      </c>
      <c r="F47" s="28">
        <v>0</v>
      </c>
      <c r="G47" s="28">
        <v>0</v>
      </c>
      <c r="H47" s="28">
        <v>0</v>
      </c>
      <c r="I47" s="28">
        <v>0</v>
      </c>
      <c r="J47" s="28">
        <v>0</v>
      </c>
      <c r="K47" s="28">
        <v>0</v>
      </c>
      <c r="L47" s="28">
        <v>0</v>
      </c>
      <c r="M47" s="28">
        <v>0</v>
      </c>
      <c r="N47" s="28">
        <v>0</v>
      </c>
      <c r="O47" s="31">
        <f t="shared" si="2"/>
        <v>0</v>
      </c>
    </row>
    <row r="48" spans="1:16" x14ac:dyDescent="0.2">
      <c r="A48" s="856"/>
      <c r="B48" s="306" t="s">
        <v>991</v>
      </c>
      <c r="C48" s="28">
        <v>1350</v>
      </c>
      <c r="D48" s="28">
        <v>1350</v>
      </c>
      <c r="E48" s="28">
        <v>0</v>
      </c>
      <c r="F48" s="28">
        <v>0</v>
      </c>
      <c r="G48" s="28">
        <v>0</v>
      </c>
      <c r="H48" s="28">
        <v>0</v>
      </c>
      <c r="I48" s="28">
        <v>0</v>
      </c>
      <c r="J48" s="28">
        <v>1000</v>
      </c>
      <c r="K48" s="28">
        <v>0</v>
      </c>
      <c r="L48" s="28">
        <v>0</v>
      </c>
      <c r="M48" s="28">
        <v>0</v>
      </c>
      <c r="N48" s="28">
        <v>0</v>
      </c>
      <c r="O48" s="31">
        <f t="shared" si="2"/>
        <v>3700</v>
      </c>
    </row>
    <row r="49" spans="1:19" ht="15" x14ac:dyDescent="0.2">
      <c r="A49" s="857" t="s">
        <v>160</v>
      </c>
      <c r="B49" s="858"/>
      <c r="C49" s="33">
        <f t="shared" ref="C49:N49" si="3">SUM(C38:C48)</f>
        <v>28160</v>
      </c>
      <c r="D49" s="33">
        <f t="shared" si="3"/>
        <v>20560</v>
      </c>
      <c r="E49" s="33">
        <f t="shared" si="3"/>
        <v>19210</v>
      </c>
      <c r="F49" s="33">
        <f t="shared" si="3"/>
        <v>19210</v>
      </c>
      <c r="G49" s="33">
        <f t="shared" si="3"/>
        <v>28810</v>
      </c>
      <c r="H49" s="33">
        <f t="shared" si="3"/>
        <v>28810</v>
      </c>
      <c r="I49" s="33">
        <f t="shared" si="3"/>
        <v>28810</v>
      </c>
      <c r="J49" s="33">
        <f t="shared" si="3"/>
        <v>29810</v>
      </c>
      <c r="K49" s="33">
        <f t="shared" si="3"/>
        <v>32710</v>
      </c>
      <c r="L49" s="33">
        <f t="shared" si="3"/>
        <v>33450</v>
      </c>
      <c r="M49" s="33">
        <f t="shared" si="3"/>
        <v>33450</v>
      </c>
      <c r="N49" s="33">
        <f t="shared" si="3"/>
        <v>21060</v>
      </c>
      <c r="O49" s="34">
        <f t="shared" si="2"/>
        <v>324050</v>
      </c>
    </row>
    <row r="50" spans="1:19" ht="15.75" thickBot="1" x14ac:dyDescent="0.25">
      <c r="A50" s="859" t="s">
        <v>161</v>
      </c>
      <c r="B50" s="860"/>
      <c r="C50" s="35">
        <f t="shared" ref="C50:N50" si="4">C37-C49</f>
        <v>106723</v>
      </c>
      <c r="D50" s="35">
        <f t="shared" si="4"/>
        <v>122795</v>
      </c>
      <c r="E50" s="35">
        <f t="shared" si="4"/>
        <v>117791</v>
      </c>
      <c r="F50" s="35">
        <f t="shared" si="4"/>
        <v>117791</v>
      </c>
      <c r="G50" s="35">
        <f t="shared" si="4"/>
        <v>112121</v>
      </c>
      <c r="H50" s="35">
        <f t="shared" si="4"/>
        <v>112121</v>
      </c>
      <c r="I50" s="35">
        <f t="shared" si="4"/>
        <v>112121</v>
      </c>
      <c r="J50" s="35">
        <f t="shared" si="4"/>
        <v>119833</v>
      </c>
      <c r="K50" s="35">
        <f t="shared" si="4"/>
        <v>110399</v>
      </c>
      <c r="L50" s="35">
        <f t="shared" si="4"/>
        <v>109659</v>
      </c>
      <c r="M50" s="35">
        <f t="shared" si="4"/>
        <v>146610</v>
      </c>
      <c r="N50" s="35">
        <f t="shared" si="4"/>
        <v>122049</v>
      </c>
      <c r="O50" s="36">
        <f t="shared" si="2"/>
        <v>1410013</v>
      </c>
    </row>
    <row r="51" spans="1:19" x14ac:dyDescent="0.2">
      <c r="J51" s="300">
        <f>+J37-SUM(J22:J36)</f>
        <v>143109</v>
      </c>
      <c r="Q51" s="38"/>
    </row>
    <row r="52" spans="1:19" ht="13.5" thickBot="1" x14ac:dyDescent="0.25">
      <c r="J52" s="38">
        <f>+J51-J49</f>
        <v>113299</v>
      </c>
    </row>
    <row r="53" spans="1:19" ht="13.5" thickBot="1" x14ac:dyDescent="0.25">
      <c r="B53" s="789" t="s">
        <v>162</v>
      </c>
      <c r="C53" s="861"/>
      <c r="D53" s="861"/>
      <c r="E53" s="861"/>
      <c r="F53" s="862"/>
      <c r="G53" s="863">
        <f>O37</f>
        <v>1734063</v>
      </c>
      <c r="H53" s="864"/>
    </row>
    <row r="54" spans="1:19" ht="13.5" thickBot="1" x14ac:dyDescent="0.25"/>
    <row r="55" spans="1:19" x14ac:dyDescent="0.2">
      <c r="B55" s="830" t="s">
        <v>163</v>
      </c>
      <c r="C55" s="833" t="s">
        <v>164</v>
      </c>
      <c r="D55" s="836" t="s">
        <v>229</v>
      </c>
      <c r="E55" s="837"/>
      <c r="F55" s="838"/>
      <c r="G55" s="839">
        <v>40000</v>
      </c>
      <c r="H55" s="840"/>
    </row>
    <row r="56" spans="1:19" x14ac:dyDescent="0.2">
      <c r="B56" s="831"/>
      <c r="C56" s="834"/>
      <c r="D56" s="841" t="s">
        <v>166</v>
      </c>
      <c r="E56" s="842"/>
      <c r="F56" s="843"/>
      <c r="G56" s="844">
        <f>+O44</f>
        <v>2500</v>
      </c>
      <c r="H56" s="845"/>
      <c r="I56" s="39"/>
      <c r="J56" s="846"/>
      <c r="K56" s="846"/>
      <c r="L56" s="846"/>
      <c r="M56" s="847"/>
      <c r="N56" s="847"/>
      <c r="O56" s="847"/>
    </row>
    <row r="57" spans="1:19" ht="13.5" thickBot="1" x14ac:dyDescent="0.25">
      <c r="B57" s="832"/>
      <c r="C57" s="835"/>
      <c r="D57" s="848" t="s">
        <v>992</v>
      </c>
      <c r="E57" s="849"/>
      <c r="F57" s="850"/>
      <c r="G57" s="851">
        <f>IF(O16&gt;15000,15000,+O16)</f>
        <v>0</v>
      </c>
      <c r="H57" s="852"/>
      <c r="J57" s="47"/>
      <c r="K57" s="47"/>
      <c r="L57" s="47"/>
      <c r="M57" s="47"/>
      <c r="N57" s="47"/>
      <c r="O57" s="47"/>
    </row>
    <row r="58" spans="1:19" ht="13.5" thickBot="1" x14ac:dyDescent="0.25">
      <c r="B58" s="48"/>
      <c r="J58" s="47"/>
      <c r="K58" s="47"/>
      <c r="L58" s="47"/>
      <c r="M58" s="47"/>
      <c r="N58" s="47"/>
      <c r="O58" s="47"/>
    </row>
    <row r="59" spans="1:19" ht="13.5" thickBot="1" x14ac:dyDescent="0.25">
      <c r="B59" s="789" t="s">
        <v>168</v>
      </c>
      <c r="C59" s="790"/>
      <c r="D59" s="790"/>
      <c r="E59" s="790"/>
      <c r="F59" s="791"/>
      <c r="G59" s="825">
        <f>+G53-SUM(G55:H57)</f>
        <v>1691563</v>
      </c>
      <c r="H59" s="826"/>
      <c r="J59" s="827" t="s">
        <v>169</v>
      </c>
      <c r="K59" s="828"/>
      <c r="L59" s="828"/>
      <c r="M59" s="828"/>
      <c r="N59" s="828"/>
      <c r="O59" s="829"/>
    </row>
    <row r="60" spans="1:19" ht="13.5" thickBot="1" x14ac:dyDescent="0.25">
      <c r="B60" s="49"/>
      <c r="C60" s="50"/>
      <c r="D60" s="50"/>
      <c r="E60" s="50"/>
      <c r="F60" s="50"/>
      <c r="G60" s="45"/>
      <c r="H60" s="50"/>
      <c r="J60" s="129"/>
      <c r="K60" s="130"/>
      <c r="L60" s="130"/>
      <c r="M60" s="130"/>
      <c r="N60" s="130"/>
      <c r="O60" s="131"/>
    </row>
    <row r="61" spans="1:19" ht="13.5" thickBot="1" x14ac:dyDescent="0.25">
      <c r="B61" s="789" t="s">
        <v>170</v>
      </c>
      <c r="C61" s="790"/>
      <c r="D61" s="790"/>
      <c r="E61" s="790"/>
      <c r="F61" s="791"/>
      <c r="G61" s="805"/>
      <c r="H61" s="791"/>
      <c r="J61" s="129"/>
      <c r="K61" s="130"/>
      <c r="L61" s="130"/>
      <c r="M61" s="130"/>
      <c r="N61" s="130"/>
      <c r="O61" s="131"/>
    </row>
    <row r="62" spans="1:19" ht="12.75" customHeight="1" x14ac:dyDescent="0.2">
      <c r="B62" s="57" t="s">
        <v>171</v>
      </c>
      <c r="C62" s="806" t="s">
        <v>172</v>
      </c>
      <c r="D62" s="807"/>
      <c r="E62" s="807"/>
      <c r="F62" s="808"/>
      <c r="G62" s="809">
        <v>204523</v>
      </c>
      <c r="H62" s="809"/>
      <c r="I62" s="58"/>
      <c r="J62" s="810" t="s">
        <v>173</v>
      </c>
      <c r="K62" s="811"/>
      <c r="L62" s="811"/>
      <c r="M62" s="811"/>
      <c r="N62" s="811"/>
      <c r="O62" s="812"/>
      <c r="Q62" s="59"/>
      <c r="R62" s="59"/>
      <c r="S62" s="59"/>
    </row>
    <row r="63" spans="1:19" ht="13.5" thickBot="1" x14ac:dyDescent="0.25">
      <c r="D63" s="37"/>
      <c r="I63" s="58"/>
      <c r="J63" s="60" t="s">
        <v>993</v>
      </c>
      <c r="K63" s="132"/>
      <c r="L63" s="132"/>
      <c r="M63" s="133"/>
      <c r="N63" s="133"/>
      <c r="O63" s="134"/>
      <c r="Q63" s="59"/>
      <c r="R63" s="59"/>
      <c r="S63" s="59"/>
    </row>
    <row r="64" spans="1:19" ht="13.5" thickBot="1" x14ac:dyDescent="0.25">
      <c r="B64" s="789" t="s">
        <v>175</v>
      </c>
      <c r="C64" s="790"/>
      <c r="D64" s="790"/>
      <c r="E64" s="790"/>
      <c r="F64" s="791"/>
      <c r="G64" s="805">
        <f>+G59-G62</f>
        <v>1487040</v>
      </c>
      <c r="H64" s="791"/>
      <c r="I64" s="63"/>
      <c r="J64" s="64"/>
      <c r="K64" s="39"/>
      <c r="L64" s="39"/>
      <c r="M64" s="39"/>
      <c r="N64" s="39"/>
      <c r="O64" s="65"/>
      <c r="Q64" s="59"/>
      <c r="R64" s="59"/>
      <c r="S64" s="59"/>
    </row>
    <row r="65" spans="2:19" ht="12.75" customHeight="1" x14ac:dyDescent="0.2">
      <c r="B65" s="48"/>
      <c r="C65" s="48"/>
      <c r="I65" s="63"/>
      <c r="J65" s="64"/>
      <c r="K65" s="39"/>
      <c r="L65" s="39"/>
      <c r="M65" s="39"/>
      <c r="N65" s="39"/>
      <c r="O65" s="65"/>
      <c r="Q65" s="59"/>
      <c r="R65" s="59"/>
      <c r="S65" s="59"/>
    </row>
    <row r="66" spans="2:19" x14ac:dyDescent="0.2">
      <c r="B66" s="66" t="s">
        <v>176</v>
      </c>
      <c r="C66" s="48"/>
      <c r="I66" s="63"/>
      <c r="J66" s="67"/>
      <c r="K66" s="68"/>
      <c r="L66" s="68"/>
      <c r="M66" s="68"/>
      <c r="N66" s="68"/>
      <c r="O66" s="69"/>
      <c r="Q66" s="59"/>
      <c r="R66" s="59"/>
      <c r="S66" s="59"/>
    </row>
    <row r="67" spans="2:19" ht="31.5" customHeight="1" thickBot="1" x14ac:dyDescent="0.25">
      <c r="B67" s="66"/>
      <c r="C67" s="48"/>
      <c r="G67" s="70" t="s">
        <v>177</v>
      </c>
      <c r="H67" s="70" t="s">
        <v>178</v>
      </c>
      <c r="I67" s="63"/>
      <c r="J67" s="810" t="s">
        <v>179</v>
      </c>
      <c r="K67" s="811"/>
      <c r="L67" s="71"/>
      <c r="M67" s="71"/>
      <c r="N67" s="71"/>
      <c r="O67" s="72"/>
      <c r="Q67" s="59"/>
      <c r="R67" s="59"/>
      <c r="S67" s="59"/>
    </row>
    <row r="68" spans="2:19" ht="12.75" customHeight="1" x14ac:dyDescent="0.2">
      <c r="B68" s="802" t="s">
        <v>180</v>
      </c>
      <c r="C68" s="821" t="s">
        <v>181</v>
      </c>
      <c r="D68" s="823" t="s">
        <v>182</v>
      </c>
      <c r="E68" s="824"/>
      <c r="F68" s="824"/>
      <c r="G68" s="73">
        <f>+O43</f>
        <v>69600</v>
      </c>
      <c r="H68" s="74">
        <f>+G68</f>
        <v>69600</v>
      </c>
      <c r="I68" s="63"/>
      <c r="J68" s="75" t="s">
        <v>231</v>
      </c>
      <c r="K68" s="58"/>
      <c r="L68" s="58"/>
      <c r="M68" s="58"/>
      <c r="N68" s="58"/>
      <c r="O68" s="76">
        <f>O47</f>
        <v>0</v>
      </c>
      <c r="Q68" s="59"/>
      <c r="R68" s="59"/>
      <c r="S68" s="59"/>
    </row>
    <row r="69" spans="2:19" ht="12.75" customHeight="1" x14ac:dyDescent="0.2">
      <c r="B69" s="803"/>
      <c r="C69" s="822"/>
      <c r="D69" s="782" t="s">
        <v>184</v>
      </c>
      <c r="E69" s="783"/>
      <c r="F69" s="783"/>
      <c r="G69" s="77">
        <v>42238</v>
      </c>
      <c r="H69" s="78">
        <f t="shared" ref="H69:H75" si="5">+G69</f>
        <v>42238</v>
      </c>
      <c r="I69" s="63"/>
      <c r="J69" s="79"/>
      <c r="K69" s="68"/>
      <c r="L69" s="68"/>
      <c r="M69" s="68"/>
      <c r="N69" s="68"/>
      <c r="O69" s="69"/>
      <c r="Q69" s="59"/>
      <c r="R69" s="59"/>
      <c r="S69" s="59"/>
    </row>
    <row r="70" spans="2:19" ht="12.75" customHeight="1" x14ac:dyDescent="0.2">
      <c r="B70" s="803"/>
      <c r="C70" s="822"/>
      <c r="D70" s="819" t="s">
        <v>185</v>
      </c>
      <c r="E70" s="820"/>
      <c r="F70" s="820"/>
      <c r="G70" s="80">
        <f>O40</f>
        <v>720</v>
      </c>
      <c r="H70" s="78">
        <f t="shared" si="5"/>
        <v>720</v>
      </c>
      <c r="I70" s="63"/>
      <c r="J70" s="67"/>
      <c r="K70" s="68"/>
      <c r="L70" s="68"/>
      <c r="M70" s="68"/>
      <c r="N70" s="68"/>
      <c r="O70" s="69"/>
    </row>
    <row r="71" spans="2:19" x14ac:dyDescent="0.2">
      <c r="B71" s="803"/>
      <c r="C71" s="822"/>
      <c r="D71" s="782" t="s">
        <v>186</v>
      </c>
      <c r="E71" s="783"/>
      <c r="F71" s="783"/>
      <c r="G71" s="81">
        <v>0</v>
      </c>
      <c r="H71" s="78">
        <f t="shared" si="5"/>
        <v>0</v>
      </c>
      <c r="I71" s="63"/>
      <c r="J71" s="82" t="s">
        <v>187</v>
      </c>
      <c r="K71" s="71"/>
      <c r="L71" s="71"/>
      <c r="M71" s="71"/>
      <c r="N71" s="71"/>
      <c r="O71" s="72"/>
    </row>
    <row r="72" spans="2:19" ht="12.75" customHeight="1" x14ac:dyDescent="0.2">
      <c r="B72" s="803"/>
      <c r="C72" s="822"/>
      <c r="D72" s="784" t="s">
        <v>188</v>
      </c>
      <c r="E72" s="783"/>
      <c r="F72" s="783"/>
      <c r="G72" s="80">
        <v>0</v>
      </c>
      <c r="H72" s="78">
        <f t="shared" si="5"/>
        <v>0</v>
      </c>
      <c r="I72" s="63"/>
      <c r="J72" s="75" t="s">
        <v>189</v>
      </c>
      <c r="K72" s="50"/>
      <c r="L72" s="50"/>
      <c r="M72" s="50"/>
      <c r="N72" s="50"/>
      <c r="O72" s="83">
        <v>7800</v>
      </c>
    </row>
    <row r="73" spans="2:19" ht="14.25" customHeight="1" x14ac:dyDescent="0.2">
      <c r="B73" s="803"/>
      <c r="C73" s="822"/>
      <c r="D73" s="782" t="s">
        <v>190</v>
      </c>
      <c r="E73" s="783"/>
      <c r="F73" s="783"/>
      <c r="G73" s="84">
        <v>0</v>
      </c>
      <c r="H73" s="78">
        <f t="shared" si="5"/>
        <v>0</v>
      </c>
      <c r="I73" s="63"/>
      <c r="J73" s="64"/>
      <c r="K73" s="39"/>
      <c r="L73" s="39"/>
      <c r="M73" s="39"/>
      <c r="N73" s="39"/>
      <c r="O73" s="65"/>
    </row>
    <row r="74" spans="2:19" x14ac:dyDescent="0.2">
      <c r="B74" s="803"/>
      <c r="C74" s="822"/>
      <c r="D74" s="782" t="s">
        <v>191</v>
      </c>
      <c r="E74" s="783"/>
      <c r="F74" s="783"/>
      <c r="G74" s="81">
        <v>91265</v>
      </c>
      <c r="H74" s="78">
        <f t="shared" si="5"/>
        <v>91265</v>
      </c>
      <c r="I74" s="58"/>
      <c r="J74" s="150"/>
      <c r="K74" s="50"/>
      <c r="L74" s="50"/>
      <c r="M74" s="50"/>
      <c r="N74" s="50"/>
      <c r="O74" s="83"/>
    </row>
    <row r="75" spans="2:19" x14ac:dyDescent="0.2">
      <c r="B75" s="803"/>
      <c r="C75" s="88" t="s">
        <v>192</v>
      </c>
      <c r="D75" s="813" t="s">
        <v>193</v>
      </c>
      <c r="E75" s="814"/>
      <c r="F75" s="814"/>
      <c r="G75" s="80">
        <v>0</v>
      </c>
      <c r="H75" s="78">
        <f t="shared" si="5"/>
        <v>0</v>
      </c>
      <c r="I75" s="58"/>
      <c r="J75" s="79"/>
      <c r="K75" s="39"/>
      <c r="L75" s="39"/>
      <c r="M75" s="39"/>
      <c r="N75" s="39"/>
      <c r="O75" s="65"/>
    </row>
    <row r="76" spans="2:19" ht="13.5" customHeight="1" thickBot="1" x14ac:dyDescent="0.25">
      <c r="B76" s="803"/>
      <c r="C76" s="88" t="s">
        <v>194</v>
      </c>
      <c r="D76" s="815" t="s">
        <v>195</v>
      </c>
      <c r="E76" s="815"/>
      <c r="F76" s="815"/>
      <c r="G76" s="89">
        <v>0</v>
      </c>
      <c r="H76" s="90">
        <f>+G76</f>
        <v>0</v>
      </c>
      <c r="I76" s="63"/>
      <c r="J76" s="67"/>
      <c r="K76" s="68"/>
      <c r="L76" s="68"/>
      <c r="M76" s="91"/>
      <c r="N76" s="91"/>
      <c r="O76" s="92"/>
    </row>
    <row r="77" spans="2:19" ht="13.5" thickBot="1" x14ac:dyDescent="0.25">
      <c r="B77" s="803"/>
      <c r="C77" s="93"/>
      <c r="D77" s="94"/>
      <c r="E77" s="816" t="s">
        <v>117</v>
      </c>
      <c r="F77" s="817"/>
      <c r="G77" s="95">
        <f>SUM(G68:G76)</f>
        <v>203823</v>
      </c>
      <c r="H77" s="96">
        <f>IF(SUM(G68:G74)&lt;150000,SUM(G68:G74),150000)+IF(+G75&lt;20000,+G75,20000)</f>
        <v>150000</v>
      </c>
      <c r="I77" s="63"/>
      <c r="J77" s="140"/>
      <c r="K77" s="141"/>
      <c r="L77" s="141"/>
      <c r="M77" s="142"/>
      <c r="N77" s="142"/>
      <c r="O77" s="143"/>
    </row>
    <row r="78" spans="2:19" ht="12.75" customHeight="1" x14ac:dyDescent="0.2">
      <c r="B78" s="803"/>
      <c r="C78" s="100" t="s">
        <v>196</v>
      </c>
      <c r="D78" s="782" t="s">
        <v>187</v>
      </c>
      <c r="E78" s="783"/>
      <c r="F78" s="818"/>
      <c r="G78" s="73">
        <f>+O42</f>
        <v>7800</v>
      </c>
      <c r="H78" s="221">
        <f>+IF(+G78&lt;25000,+G78,25000)</f>
        <v>7800</v>
      </c>
      <c r="I78" s="87"/>
    </row>
    <row r="79" spans="2:19" x14ac:dyDescent="0.2">
      <c r="B79" s="803"/>
      <c r="C79" s="100" t="s">
        <v>197</v>
      </c>
      <c r="D79" s="784" t="s">
        <v>198</v>
      </c>
      <c r="E79" s="785"/>
      <c r="F79" s="786"/>
      <c r="G79" s="102"/>
      <c r="H79" s="222">
        <f>+IF(+G79&lt;40000,+G79,40000)</f>
        <v>0</v>
      </c>
      <c r="I79" s="63"/>
      <c r="J79" s="106"/>
    </row>
    <row r="80" spans="2:19" x14ac:dyDescent="0.2">
      <c r="B80" s="803"/>
      <c r="C80" s="100" t="s">
        <v>199</v>
      </c>
      <c r="D80" s="784" t="s">
        <v>200</v>
      </c>
      <c r="E80" s="785"/>
      <c r="F80" s="786"/>
      <c r="G80" s="81"/>
      <c r="H80" s="104">
        <v>0</v>
      </c>
      <c r="I80" s="63"/>
    </row>
    <row r="81" spans="2:11" x14ac:dyDescent="0.2">
      <c r="B81" s="803"/>
      <c r="C81" s="100" t="s">
        <v>201</v>
      </c>
      <c r="D81" s="784" t="s">
        <v>202</v>
      </c>
      <c r="E81" s="785"/>
      <c r="F81" s="786"/>
      <c r="G81" s="81"/>
      <c r="H81" s="104">
        <v>0</v>
      </c>
      <c r="I81" s="63"/>
    </row>
    <row r="82" spans="2:11" ht="13.5" thickBot="1" x14ac:dyDescent="0.25">
      <c r="B82" s="804"/>
      <c r="C82" s="100" t="s">
        <v>203</v>
      </c>
      <c r="D82" s="784" t="s">
        <v>204</v>
      </c>
      <c r="E82" s="785"/>
      <c r="F82" s="786"/>
      <c r="G82" s="102"/>
      <c r="H82" s="222">
        <f>+IF(+G82&lt;100000,+G82,10000)</f>
        <v>0</v>
      </c>
      <c r="I82" s="63"/>
    </row>
    <row r="83" spans="2:11" ht="13.5" thickBot="1" x14ac:dyDescent="0.25">
      <c r="B83" s="787" t="s">
        <v>205</v>
      </c>
      <c r="C83" s="788"/>
      <c r="D83" s="788"/>
      <c r="E83" s="788"/>
      <c r="F83" s="788"/>
      <c r="G83" s="107">
        <f>SUM(G78:G82)</f>
        <v>7800</v>
      </c>
      <c r="H83" s="108">
        <f>SUM(H77:H82)</f>
        <v>157800</v>
      </c>
    </row>
    <row r="84" spans="2:11" ht="13.5" thickBot="1" x14ac:dyDescent="0.25"/>
    <row r="85" spans="2:11" ht="13.5" thickBot="1" x14ac:dyDescent="0.25">
      <c r="B85" s="789" t="s">
        <v>206</v>
      </c>
      <c r="C85" s="790"/>
      <c r="D85" s="790"/>
      <c r="E85" s="790"/>
      <c r="F85" s="791"/>
      <c r="G85" s="1055">
        <f>ROUND(+G64-H83,-1)</f>
        <v>1329240</v>
      </c>
      <c r="H85" s="1056"/>
      <c r="J85" s="109">
        <f>C37+D37+E37+F37</f>
        <v>552240</v>
      </c>
      <c r="K85" s="16" t="s">
        <v>235</v>
      </c>
    </row>
    <row r="86" spans="2:11" x14ac:dyDescent="0.2">
      <c r="B86" s="110"/>
      <c r="F86" s="105"/>
      <c r="J86" s="109">
        <f>G37+H37+I37</f>
        <v>422793</v>
      </c>
      <c r="K86" s="16" t="s">
        <v>236</v>
      </c>
    </row>
    <row r="87" spans="2:11" x14ac:dyDescent="0.2">
      <c r="C87" s="793" t="s">
        <v>207</v>
      </c>
      <c r="D87" s="794"/>
      <c r="E87" s="111" t="s">
        <v>208</v>
      </c>
      <c r="F87" s="111" t="s">
        <v>209</v>
      </c>
      <c r="G87" s="111" t="s">
        <v>210</v>
      </c>
      <c r="H87" s="111" t="s">
        <v>211</v>
      </c>
      <c r="J87" s="109">
        <f>J37+K37+L37</f>
        <v>435861</v>
      </c>
      <c r="K87" s="47" t="s">
        <v>237</v>
      </c>
    </row>
    <row r="88" spans="2:11" x14ac:dyDescent="0.2">
      <c r="C88" s="795" t="str">
        <f>IF(I6="M","0          - 250000","0          -  250000")</f>
        <v>0          - 250000</v>
      </c>
      <c r="D88" s="796"/>
      <c r="E88" s="112">
        <v>0</v>
      </c>
      <c r="F88" s="113">
        <f>IF(I6="M",(IF(G85&lt;250000,G85,250000)),(IF(G85&lt;250000,G85,250000)))</f>
        <v>250000</v>
      </c>
      <c r="G88" s="113">
        <f>G85-F88</f>
        <v>1079240</v>
      </c>
      <c r="H88" s="113">
        <f>E88*F88</f>
        <v>0</v>
      </c>
      <c r="J88" s="16">
        <f>M37+N37</f>
        <v>323169</v>
      </c>
      <c r="K88" s="1" t="s">
        <v>238</v>
      </c>
    </row>
    <row r="89" spans="2:11" x14ac:dyDescent="0.2">
      <c r="C89" s="795" t="str">
        <f>IF(I6="M","250001 - 500000","250001-500000")</f>
        <v>250001 - 500000</v>
      </c>
      <c r="D89" s="796"/>
      <c r="E89" s="112">
        <v>0.05</v>
      </c>
      <c r="F89" s="113">
        <f>IF(I6="M",(IF(G88&lt;250000,G88,250000)),(IF(G88&lt;250000,G88,250000)))</f>
        <v>250000</v>
      </c>
      <c r="G89" s="113">
        <f>G88-F89</f>
        <v>829240</v>
      </c>
      <c r="H89" s="114">
        <f>ROUND(E89*F89,0.1)</f>
        <v>12500</v>
      </c>
      <c r="J89" s="115">
        <f>SUM(J85:J88)</f>
        <v>1734063</v>
      </c>
    </row>
    <row r="90" spans="2:11" x14ac:dyDescent="0.2">
      <c r="C90" s="797" t="s">
        <v>212</v>
      </c>
      <c r="D90" s="798"/>
      <c r="E90" s="112">
        <v>0.2</v>
      </c>
      <c r="F90" s="113">
        <f>IF(G89&lt;500000,G89,500000)</f>
        <v>500000</v>
      </c>
      <c r="G90" s="113">
        <f>G89-F90</f>
        <v>329240</v>
      </c>
      <c r="H90" s="114">
        <f>ROUND(E90*F90,0.1)</f>
        <v>100000</v>
      </c>
      <c r="J90" s="16">
        <f>+G85</f>
        <v>1329240</v>
      </c>
    </row>
    <row r="91" spans="2:11" x14ac:dyDescent="0.2">
      <c r="C91" s="795" t="s">
        <v>213</v>
      </c>
      <c r="D91" s="796"/>
      <c r="E91" s="112">
        <v>0.3</v>
      </c>
      <c r="F91" s="113">
        <f>G90</f>
        <v>329240</v>
      </c>
      <c r="G91" s="113">
        <f>G90-F91</f>
        <v>0</v>
      </c>
      <c r="H91" s="114">
        <f>ROUND(E91*F91,0.1)</f>
        <v>98772</v>
      </c>
      <c r="J91" s="16">
        <f>+J89-J90</f>
        <v>404823</v>
      </c>
      <c r="K91" s="1"/>
    </row>
    <row r="92" spans="2:11" ht="12.75" customHeight="1" thickBot="1" x14ac:dyDescent="0.25">
      <c r="B92" s="116"/>
      <c r="C92" s="117"/>
      <c r="D92" s="47"/>
      <c r="E92" s="47"/>
      <c r="F92" s="47"/>
      <c r="J92" s="87"/>
      <c r="K92" s="118"/>
    </row>
    <row r="93" spans="2:11" ht="14.25" customHeight="1" thickBot="1" x14ac:dyDescent="0.25">
      <c r="B93" s="799" t="s">
        <v>239</v>
      </c>
      <c r="C93" s="800"/>
      <c r="D93" s="800"/>
      <c r="E93" s="800"/>
      <c r="F93" s="801"/>
      <c r="G93" s="771">
        <f>H88+H89+H90+H91</f>
        <v>211272</v>
      </c>
      <c r="H93" s="772"/>
    </row>
    <row r="94" spans="2:11" ht="14.25" customHeight="1" thickBot="1" x14ac:dyDescent="0.25">
      <c r="B94" s="119" t="s">
        <v>215</v>
      </c>
      <c r="C94" s="120"/>
      <c r="D94" s="120"/>
      <c r="E94" s="120"/>
      <c r="F94" s="120"/>
      <c r="G94" s="884">
        <f>IF((G64&lt;500000),5000,0)</f>
        <v>0</v>
      </c>
      <c r="H94" s="885">
        <f>IF(H92&lt;200000,0,IF(H92&lt;220000,((H92-200000)*10%),IF(H92&lt;=500000,2000,IF(H92&gt;=500000,0))))</f>
        <v>0</v>
      </c>
    </row>
    <row r="95" spans="2:11" ht="14.25" customHeight="1" thickBot="1" x14ac:dyDescent="0.25">
      <c r="B95" s="122" t="s">
        <v>216</v>
      </c>
      <c r="C95" s="123"/>
      <c r="D95" s="123"/>
      <c r="E95" s="123"/>
      <c r="F95" s="123"/>
      <c r="G95" s="771">
        <f>IF((G93-G94)&lt;0,0,(G93-G94))</f>
        <v>211272</v>
      </c>
      <c r="H95" s="772"/>
    </row>
    <row r="96" spans="2:11" ht="14.25" customHeight="1" thickBot="1" x14ac:dyDescent="0.25">
      <c r="B96" s="773" t="s">
        <v>240</v>
      </c>
      <c r="C96" s="774"/>
      <c r="D96" s="774"/>
      <c r="E96" s="774"/>
      <c r="F96" s="775"/>
      <c r="G96" s="776">
        <f>ROUND((IF(G95&gt;0,(G95*4%),0)),0)</f>
        <v>8451</v>
      </c>
      <c r="H96" s="777"/>
    </row>
    <row r="97" spans="2:8" ht="14.25" customHeight="1" thickBot="1" x14ac:dyDescent="0.25">
      <c r="B97" s="778" t="s">
        <v>218</v>
      </c>
      <c r="C97" s="779"/>
      <c r="D97" s="779"/>
      <c r="E97" s="779"/>
      <c r="F97" s="779"/>
      <c r="G97" s="780">
        <f>+G95+G96</f>
        <v>219723</v>
      </c>
      <c r="H97" s="781"/>
    </row>
    <row r="98" spans="2:8" ht="13.5" thickBot="1" x14ac:dyDescent="0.25">
      <c r="B98" s="765" t="s">
        <v>219</v>
      </c>
      <c r="C98" s="766"/>
      <c r="D98" s="766"/>
      <c r="E98" s="766"/>
      <c r="F98" s="766"/>
      <c r="G98" s="767">
        <f>O38</f>
        <v>219730</v>
      </c>
      <c r="H98" s="768"/>
    </row>
    <row r="99" spans="2:8" ht="13.5" thickBot="1" x14ac:dyDescent="0.25">
      <c r="B99" s="765" t="str">
        <f>IF(G99&gt;0,"TAX PAYABLE","TAX REFUND")</f>
        <v>TAX REFUND</v>
      </c>
      <c r="C99" s="766"/>
      <c r="D99" s="766"/>
      <c r="E99" s="766"/>
      <c r="F99" s="766"/>
      <c r="G99" s="767">
        <f>+G97-G98</f>
        <v>-7</v>
      </c>
      <c r="H99" s="768"/>
    </row>
    <row r="100" spans="2:8" x14ac:dyDescent="0.2">
      <c r="C100" s="39"/>
      <c r="D100" s="126"/>
      <c r="E100" s="126"/>
      <c r="F100" s="39"/>
      <c r="G100" s="39"/>
      <c r="H100" s="39"/>
    </row>
    <row r="101" spans="2:8" x14ac:dyDescent="0.2">
      <c r="C101" s="39"/>
      <c r="D101" s="126"/>
      <c r="E101" s="126"/>
      <c r="F101" s="39"/>
      <c r="G101" s="39"/>
      <c r="H101" s="39"/>
    </row>
    <row r="102" spans="2:8" x14ac:dyDescent="0.2">
      <c r="C102" s="39"/>
      <c r="D102" s="39"/>
      <c r="E102" s="39"/>
      <c r="F102" s="39"/>
      <c r="G102" s="39"/>
      <c r="H102" s="39"/>
    </row>
    <row r="103" spans="2:8" x14ac:dyDescent="0.2">
      <c r="C103" s="39"/>
      <c r="D103" s="39"/>
      <c r="E103" s="39"/>
      <c r="F103" s="39"/>
      <c r="G103" s="39"/>
      <c r="H103" s="39"/>
    </row>
    <row r="104" spans="2:8" x14ac:dyDescent="0.2">
      <c r="C104" s="39"/>
      <c r="D104" s="39"/>
      <c r="E104" s="39"/>
      <c r="F104" s="39"/>
      <c r="G104" s="39"/>
      <c r="H104" s="39"/>
    </row>
  </sheetData>
  <mergeCells count="92">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8:A48"/>
    <mergeCell ref="A5:C5"/>
    <mergeCell ref="D5:F5"/>
    <mergeCell ref="G5:H5"/>
    <mergeCell ref="I5:O5"/>
    <mergeCell ref="A6:C6"/>
    <mergeCell ref="D6:F6"/>
    <mergeCell ref="G6:H6"/>
    <mergeCell ref="J6:O6"/>
    <mergeCell ref="L7:O7"/>
    <mergeCell ref="A8:B8"/>
    <mergeCell ref="A21:A33"/>
    <mergeCell ref="A35:B35"/>
    <mergeCell ref="A36:B36"/>
    <mergeCell ref="A49:B49"/>
    <mergeCell ref="A50:B50"/>
    <mergeCell ref="B53:F53"/>
    <mergeCell ref="G53:H53"/>
    <mergeCell ref="B55:B57"/>
    <mergeCell ref="C55:C57"/>
    <mergeCell ref="D55:F55"/>
    <mergeCell ref="G55:H55"/>
    <mergeCell ref="D56:F56"/>
    <mergeCell ref="G56:H56"/>
    <mergeCell ref="B64:F64"/>
    <mergeCell ref="G64:H64"/>
    <mergeCell ref="J56:L56"/>
    <mergeCell ref="M56:O56"/>
    <mergeCell ref="D57:F57"/>
    <mergeCell ref="G57:H57"/>
    <mergeCell ref="B59:F59"/>
    <mergeCell ref="G59:H59"/>
    <mergeCell ref="J59:O59"/>
    <mergeCell ref="B61:F61"/>
    <mergeCell ref="G61:H61"/>
    <mergeCell ref="C62:F62"/>
    <mergeCell ref="G62:H62"/>
    <mergeCell ref="J62:O62"/>
    <mergeCell ref="D80:F80"/>
    <mergeCell ref="J67:K67"/>
    <mergeCell ref="B68:B82"/>
    <mergeCell ref="C68:C74"/>
    <mergeCell ref="D68:F68"/>
    <mergeCell ref="D69:F69"/>
    <mergeCell ref="D70:F70"/>
    <mergeCell ref="D71:F71"/>
    <mergeCell ref="D72:F72"/>
    <mergeCell ref="D73:F73"/>
    <mergeCell ref="D74:F74"/>
    <mergeCell ref="D75:F75"/>
    <mergeCell ref="D76:F76"/>
    <mergeCell ref="E77:F77"/>
    <mergeCell ref="D78:F78"/>
    <mergeCell ref="D79:F79"/>
    <mergeCell ref="G93:H93"/>
    <mergeCell ref="D81:F81"/>
    <mergeCell ref="D82:F82"/>
    <mergeCell ref="B83:F83"/>
    <mergeCell ref="B85:F85"/>
    <mergeCell ref="G85:H85"/>
    <mergeCell ref="C87:D87"/>
    <mergeCell ref="C88:D88"/>
    <mergeCell ref="C89:D89"/>
    <mergeCell ref="C90:D90"/>
    <mergeCell ref="C91:D91"/>
    <mergeCell ref="B93:F93"/>
    <mergeCell ref="B98:F98"/>
    <mergeCell ref="G98:H98"/>
    <mergeCell ref="B99:F99"/>
    <mergeCell ref="G99:H99"/>
    <mergeCell ref="G94:H94"/>
    <mergeCell ref="G95:H95"/>
    <mergeCell ref="B96:F96"/>
    <mergeCell ref="G96:H96"/>
    <mergeCell ref="B97:F97"/>
    <mergeCell ref="G97:H97"/>
  </mergeCells>
  <conditionalFormatting sqref="B99:F99 B90:F90 B93:F97">
    <cfRule type="cellIs" dxfId="327" priority="1" stopIfTrue="1" operator="equal">
      <formula>"TAX PAYABLE"</formula>
    </cfRule>
    <cfRule type="cellIs" dxfId="326" priority="2" stopIfTrue="1" operator="equal">
      <formula>"TAX REFUND"</formula>
    </cfRule>
  </conditionalFormatting>
  <conditionalFormatting sqref="G90:H90">
    <cfRule type="cellIs" dxfId="325" priority="3" stopIfTrue="1" operator="lessThan">
      <formula>0</formula>
    </cfRule>
    <cfRule type="cellIs" dxfId="324" priority="4" stopIfTrue="1" operator="greaterThan">
      <formula>0</formula>
    </cfRule>
  </conditionalFormatting>
  <conditionalFormatting sqref="G99:H99">
    <cfRule type="cellIs" dxfId="323" priority="5" stopIfTrue="1" operator="greaterThan">
      <formula>0</formula>
    </cfRule>
    <cfRule type="cellIs" dxfId="322" priority="6"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$Q$8:$Q$9</formula1>
    </dataValidation>
  </dataValidations>
  <pageMargins left="0.75" right="0.75" top="1" bottom="1" header="0.5" footer="0.5"/>
  <headerFooter alignWithMargins="0"/>
</worksheet>
</file>

<file path=xl/worksheets/sheet1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V107"/>
  <sheetViews>
    <sheetView topLeftCell="A65" workbookViewId="0">
      <selection activeCell="P35" sqref="P35"/>
    </sheetView>
  </sheetViews>
  <sheetFormatPr defaultRowHeight="12.75" x14ac:dyDescent="0.2"/>
  <cols>
    <col min="1" max="1" width="5" style="16" customWidth="1"/>
    <col min="2" max="2" width="19.42578125" style="37" customWidth="1"/>
    <col min="3" max="3" width="8.5703125" style="16" customWidth="1"/>
    <col min="4" max="14" width="7.85546875" style="16" customWidth="1"/>
    <col min="15" max="15" width="7.140625" style="16" bestFit="1"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9.42578125" style="16" customWidth="1"/>
    <col min="259" max="259" width="8.5703125" style="16" customWidth="1"/>
    <col min="260" max="270" width="7.85546875" style="16" customWidth="1"/>
    <col min="271" max="271" width="7.140625" style="16" bestFit="1"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9.42578125" style="16" customWidth="1"/>
    <col min="515" max="515" width="8.5703125" style="16" customWidth="1"/>
    <col min="516" max="526" width="7.85546875" style="16" customWidth="1"/>
    <col min="527" max="527" width="7.140625" style="16" bestFit="1"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9.42578125" style="16" customWidth="1"/>
    <col min="771" max="771" width="8.5703125" style="16" customWidth="1"/>
    <col min="772" max="782" width="7.85546875" style="16" customWidth="1"/>
    <col min="783" max="783" width="7.140625" style="16" bestFit="1"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9.42578125" style="16" customWidth="1"/>
    <col min="1027" max="1027" width="8.5703125" style="16" customWidth="1"/>
    <col min="1028" max="1038" width="7.85546875" style="16" customWidth="1"/>
    <col min="1039" max="1039" width="7.140625" style="16" bestFit="1"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9.42578125" style="16" customWidth="1"/>
    <col min="1283" max="1283" width="8.5703125" style="16" customWidth="1"/>
    <col min="1284" max="1294" width="7.85546875" style="16" customWidth="1"/>
    <col min="1295" max="1295" width="7.140625" style="16" bestFit="1"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9.42578125" style="16" customWidth="1"/>
    <col min="1539" max="1539" width="8.5703125" style="16" customWidth="1"/>
    <col min="1540" max="1550" width="7.85546875" style="16" customWidth="1"/>
    <col min="1551" max="1551" width="7.140625" style="16" bestFit="1"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9.42578125" style="16" customWidth="1"/>
    <col min="1795" max="1795" width="8.5703125" style="16" customWidth="1"/>
    <col min="1796" max="1806" width="7.85546875" style="16" customWidth="1"/>
    <col min="1807" max="1807" width="7.140625" style="16" bestFit="1"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9.42578125" style="16" customWidth="1"/>
    <col min="2051" max="2051" width="8.5703125" style="16" customWidth="1"/>
    <col min="2052" max="2062" width="7.85546875" style="16" customWidth="1"/>
    <col min="2063" max="2063" width="7.140625" style="16" bestFit="1"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9.42578125" style="16" customWidth="1"/>
    <col min="2307" max="2307" width="8.5703125" style="16" customWidth="1"/>
    <col min="2308" max="2318" width="7.85546875" style="16" customWidth="1"/>
    <col min="2319" max="2319" width="7.140625" style="16" bestFit="1"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9.42578125" style="16" customWidth="1"/>
    <col min="2563" max="2563" width="8.5703125" style="16" customWidth="1"/>
    <col min="2564" max="2574" width="7.85546875" style="16" customWidth="1"/>
    <col min="2575" max="2575" width="7.140625" style="16" bestFit="1"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9.42578125" style="16" customWidth="1"/>
    <col min="2819" max="2819" width="8.5703125" style="16" customWidth="1"/>
    <col min="2820" max="2830" width="7.85546875" style="16" customWidth="1"/>
    <col min="2831" max="2831" width="7.140625" style="16" bestFit="1"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9.42578125" style="16" customWidth="1"/>
    <col min="3075" max="3075" width="8.5703125" style="16" customWidth="1"/>
    <col min="3076" max="3086" width="7.85546875" style="16" customWidth="1"/>
    <col min="3087" max="3087" width="7.140625" style="16" bestFit="1"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9.42578125" style="16" customWidth="1"/>
    <col min="3331" max="3331" width="8.5703125" style="16" customWidth="1"/>
    <col min="3332" max="3342" width="7.85546875" style="16" customWidth="1"/>
    <col min="3343" max="3343" width="7.140625" style="16" bestFit="1"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9.42578125" style="16" customWidth="1"/>
    <col min="3587" max="3587" width="8.5703125" style="16" customWidth="1"/>
    <col min="3588" max="3598" width="7.85546875" style="16" customWidth="1"/>
    <col min="3599" max="3599" width="7.140625" style="16" bestFit="1"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9.42578125" style="16" customWidth="1"/>
    <col min="3843" max="3843" width="8.5703125" style="16" customWidth="1"/>
    <col min="3844" max="3854" width="7.85546875" style="16" customWidth="1"/>
    <col min="3855" max="3855" width="7.140625" style="16" bestFit="1"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9.42578125" style="16" customWidth="1"/>
    <col min="4099" max="4099" width="8.5703125" style="16" customWidth="1"/>
    <col min="4100" max="4110" width="7.85546875" style="16" customWidth="1"/>
    <col min="4111" max="4111" width="7.140625" style="16" bestFit="1"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9.42578125" style="16" customWidth="1"/>
    <col min="4355" max="4355" width="8.5703125" style="16" customWidth="1"/>
    <col min="4356" max="4366" width="7.85546875" style="16" customWidth="1"/>
    <col min="4367" max="4367" width="7.140625" style="16" bestFit="1"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9.42578125" style="16" customWidth="1"/>
    <col min="4611" max="4611" width="8.5703125" style="16" customWidth="1"/>
    <col min="4612" max="4622" width="7.85546875" style="16" customWidth="1"/>
    <col min="4623" max="4623" width="7.140625" style="16" bestFit="1"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9.42578125" style="16" customWidth="1"/>
    <col min="4867" max="4867" width="8.5703125" style="16" customWidth="1"/>
    <col min="4868" max="4878" width="7.85546875" style="16" customWidth="1"/>
    <col min="4879" max="4879" width="7.140625" style="16" bestFit="1"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9.42578125" style="16" customWidth="1"/>
    <col min="5123" max="5123" width="8.5703125" style="16" customWidth="1"/>
    <col min="5124" max="5134" width="7.85546875" style="16" customWidth="1"/>
    <col min="5135" max="5135" width="7.140625" style="16" bestFit="1"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9.42578125" style="16" customWidth="1"/>
    <col min="5379" max="5379" width="8.5703125" style="16" customWidth="1"/>
    <col min="5380" max="5390" width="7.85546875" style="16" customWidth="1"/>
    <col min="5391" max="5391" width="7.140625" style="16" bestFit="1"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9.42578125" style="16" customWidth="1"/>
    <col min="5635" max="5635" width="8.5703125" style="16" customWidth="1"/>
    <col min="5636" max="5646" width="7.85546875" style="16" customWidth="1"/>
    <col min="5647" max="5647" width="7.140625" style="16" bestFit="1"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9.42578125" style="16" customWidth="1"/>
    <col min="5891" max="5891" width="8.5703125" style="16" customWidth="1"/>
    <col min="5892" max="5902" width="7.85546875" style="16" customWidth="1"/>
    <col min="5903" max="5903" width="7.140625" style="16" bestFit="1"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9.42578125" style="16" customWidth="1"/>
    <col min="6147" max="6147" width="8.5703125" style="16" customWidth="1"/>
    <col min="6148" max="6158" width="7.85546875" style="16" customWidth="1"/>
    <col min="6159" max="6159" width="7.140625" style="16" bestFit="1"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9.42578125" style="16" customWidth="1"/>
    <col min="6403" max="6403" width="8.5703125" style="16" customWidth="1"/>
    <col min="6404" max="6414" width="7.85546875" style="16" customWidth="1"/>
    <col min="6415" max="6415" width="7.140625" style="16" bestFit="1"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9.42578125" style="16" customWidth="1"/>
    <col min="6659" max="6659" width="8.5703125" style="16" customWidth="1"/>
    <col min="6660" max="6670" width="7.85546875" style="16" customWidth="1"/>
    <col min="6671" max="6671" width="7.140625" style="16" bestFit="1"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9.42578125" style="16" customWidth="1"/>
    <col min="6915" max="6915" width="8.5703125" style="16" customWidth="1"/>
    <col min="6916" max="6926" width="7.85546875" style="16" customWidth="1"/>
    <col min="6927" max="6927" width="7.140625" style="16" bestFit="1"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9.42578125" style="16" customWidth="1"/>
    <col min="7171" max="7171" width="8.5703125" style="16" customWidth="1"/>
    <col min="7172" max="7182" width="7.85546875" style="16" customWidth="1"/>
    <col min="7183" max="7183" width="7.140625" style="16" bestFit="1"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9.42578125" style="16" customWidth="1"/>
    <col min="7427" max="7427" width="8.5703125" style="16" customWidth="1"/>
    <col min="7428" max="7438" width="7.85546875" style="16" customWidth="1"/>
    <col min="7439" max="7439" width="7.140625" style="16" bestFit="1"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9.42578125" style="16" customWidth="1"/>
    <col min="7683" max="7683" width="8.5703125" style="16" customWidth="1"/>
    <col min="7684" max="7694" width="7.85546875" style="16" customWidth="1"/>
    <col min="7695" max="7695" width="7.140625" style="16" bestFit="1"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9.42578125" style="16" customWidth="1"/>
    <col min="7939" max="7939" width="8.5703125" style="16" customWidth="1"/>
    <col min="7940" max="7950" width="7.85546875" style="16" customWidth="1"/>
    <col min="7951" max="7951" width="7.140625" style="16" bestFit="1"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9.42578125" style="16" customWidth="1"/>
    <col min="8195" max="8195" width="8.5703125" style="16" customWidth="1"/>
    <col min="8196" max="8206" width="7.85546875" style="16" customWidth="1"/>
    <col min="8207" max="8207" width="7.140625" style="16" bestFit="1"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9.42578125" style="16" customWidth="1"/>
    <col min="8451" max="8451" width="8.5703125" style="16" customWidth="1"/>
    <col min="8452" max="8462" width="7.85546875" style="16" customWidth="1"/>
    <col min="8463" max="8463" width="7.140625" style="16" bestFit="1"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9.42578125" style="16" customWidth="1"/>
    <col min="8707" max="8707" width="8.5703125" style="16" customWidth="1"/>
    <col min="8708" max="8718" width="7.85546875" style="16" customWidth="1"/>
    <col min="8719" max="8719" width="7.140625" style="16" bestFit="1"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9.42578125" style="16" customWidth="1"/>
    <col min="8963" max="8963" width="8.5703125" style="16" customWidth="1"/>
    <col min="8964" max="8974" width="7.85546875" style="16" customWidth="1"/>
    <col min="8975" max="8975" width="7.140625" style="16" bestFit="1"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9.42578125" style="16" customWidth="1"/>
    <col min="9219" max="9219" width="8.5703125" style="16" customWidth="1"/>
    <col min="9220" max="9230" width="7.85546875" style="16" customWidth="1"/>
    <col min="9231" max="9231" width="7.140625" style="16" bestFit="1"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9.42578125" style="16" customWidth="1"/>
    <col min="9475" max="9475" width="8.5703125" style="16" customWidth="1"/>
    <col min="9476" max="9486" width="7.85546875" style="16" customWidth="1"/>
    <col min="9487" max="9487" width="7.140625" style="16" bestFit="1"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9.42578125" style="16" customWidth="1"/>
    <col min="9731" max="9731" width="8.5703125" style="16" customWidth="1"/>
    <col min="9732" max="9742" width="7.85546875" style="16" customWidth="1"/>
    <col min="9743" max="9743" width="7.140625" style="16" bestFit="1"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9.42578125" style="16" customWidth="1"/>
    <col min="9987" max="9987" width="8.5703125" style="16" customWidth="1"/>
    <col min="9988" max="9998" width="7.85546875" style="16" customWidth="1"/>
    <col min="9999" max="9999" width="7.140625" style="16" bestFit="1"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9.42578125" style="16" customWidth="1"/>
    <col min="10243" max="10243" width="8.5703125" style="16" customWidth="1"/>
    <col min="10244" max="10254" width="7.85546875" style="16" customWidth="1"/>
    <col min="10255" max="10255" width="7.140625" style="16" bestFit="1"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9.42578125" style="16" customWidth="1"/>
    <col min="10499" max="10499" width="8.5703125" style="16" customWidth="1"/>
    <col min="10500" max="10510" width="7.85546875" style="16" customWidth="1"/>
    <col min="10511" max="10511" width="7.140625" style="16" bestFit="1"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9.42578125" style="16" customWidth="1"/>
    <col min="10755" max="10755" width="8.5703125" style="16" customWidth="1"/>
    <col min="10756" max="10766" width="7.85546875" style="16" customWidth="1"/>
    <col min="10767" max="10767" width="7.140625" style="16" bestFit="1"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9.42578125" style="16" customWidth="1"/>
    <col min="11011" max="11011" width="8.5703125" style="16" customWidth="1"/>
    <col min="11012" max="11022" width="7.85546875" style="16" customWidth="1"/>
    <col min="11023" max="11023" width="7.140625" style="16" bestFit="1"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9.42578125" style="16" customWidth="1"/>
    <col min="11267" max="11267" width="8.5703125" style="16" customWidth="1"/>
    <col min="11268" max="11278" width="7.85546875" style="16" customWidth="1"/>
    <col min="11279" max="11279" width="7.140625" style="16" bestFit="1"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9.42578125" style="16" customWidth="1"/>
    <col min="11523" max="11523" width="8.5703125" style="16" customWidth="1"/>
    <col min="11524" max="11534" width="7.85546875" style="16" customWidth="1"/>
    <col min="11535" max="11535" width="7.140625" style="16" bestFit="1"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9.42578125" style="16" customWidth="1"/>
    <col min="11779" max="11779" width="8.5703125" style="16" customWidth="1"/>
    <col min="11780" max="11790" width="7.85546875" style="16" customWidth="1"/>
    <col min="11791" max="11791" width="7.140625" style="16" bestFit="1"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9.42578125" style="16" customWidth="1"/>
    <col min="12035" max="12035" width="8.5703125" style="16" customWidth="1"/>
    <col min="12036" max="12046" width="7.85546875" style="16" customWidth="1"/>
    <col min="12047" max="12047" width="7.140625" style="16" bestFit="1"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9.42578125" style="16" customWidth="1"/>
    <col min="12291" max="12291" width="8.5703125" style="16" customWidth="1"/>
    <col min="12292" max="12302" width="7.85546875" style="16" customWidth="1"/>
    <col min="12303" max="12303" width="7.140625" style="16" bestFit="1"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9.42578125" style="16" customWidth="1"/>
    <col min="12547" max="12547" width="8.5703125" style="16" customWidth="1"/>
    <col min="12548" max="12558" width="7.85546875" style="16" customWidth="1"/>
    <col min="12559" max="12559" width="7.140625" style="16" bestFit="1"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9.42578125" style="16" customWidth="1"/>
    <col min="12803" max="12803" width="8.5703125" style="16" customWidth="1"/>
    <col min="12804" max="12814" width="7.85546875" style="16" customWidth="1"/>
    <col min="12815" max="12815" width="7.140625" style="16" bestFit="1"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9.42578125" style="16" customWidth="1"/>
    <col min="13059" max="13059" width="8.5703125" style="16" customWidth="1"/>
    <col min="13060" max="13070" width="7.85546875" style="16" customWidth="1"/>
    <col min="13071" max="13071" width="7.140625" style="16" bestFit="1"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9.42578125" style="16" customWidth="1"/>
    <col min="13315" max="13315" width="8.5703125" style="16" customWidth="1"/>
    <col min="13316" max="13326" width="7.85546875" style="16" customWidth="1"/>
    <col min="13327" max="13327" width="7.140625" style="16" bestFit="1"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9.42578125" style="16" customWidth="1"/>
    <col min="13571" max="13571" width="8.5703125" style="16" customWidth="1"/>
    <col min="13572" max="13582" width="7.85546875" style="16" customWidth="1"/>
    <col min="13583" max="13583" width="7.140625" style="16" bestFit="1"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9.42578125" style="16" customWidth="1"/>
    <col min="13827" max="13827" width="8.5703125" style="16" customWidth="1"/>
    <col min="13828" max="13838" width="7.85546875" style="16" customWidth="1"/>
    <col min="13839" max="13839" width="7.140625" style="16" bestFit="1"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9.42578125" style="16" customWidth="1"/>
    <col min="14083" max="14083" width="8.5703125" style="16" customWidth="1"/>
    <col min="14084" max="14094" width="7.85546875" style="16" customWidth="1"/>
    <col min="14095" max="14095" width="7.140625" style="16" bestFit="1"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9.42578125" style="16" customWidth="1"/>
    <col min="14339" max="14339" width="8.5703125" style="16" customWidth="1"/>
    <col min="14340" max="14350" width="7.85546875" style="16" customWidth="1"/>
    <col min="14351" max="14351" width="7.140625" style="16" bestFit="1"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9.42578125" style="16" customWidth="1"/>
    <col min="14595" max="14595" width="8.5703125" style="16" customWidth="1"/>
    <col min="14596" max="14606" width="7.85546875" style="16" customWidth="1"/>
    <col min="14607" max="14607" width="7.140625" style="16" bestFit="1"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9.42578125" style="16" customWidth="1"/>
    <col min="14851" max="14851" width="8.5703125" style="16" customWidth="1"/>
    <col min="14852" max="14862" width="7.85546875" style="16" customWidth="1"/>
    <col min="14863" max="14863" width="7.140625" style="16" bestFit="1"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9.42578125" style="16" customWidth="1"/>
    <col min="15107" max="15107" width="8.5703125" style="16" customWidth="1"/>
    <col min="15108" max="15118" width="7.85546875" style="16" customWidth="1"/>
    <col min="15119" max="15119" width="7.140625" style="16" bestFit="1"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9.42578125" style="16" customWidth="1"/>
    <col min="15363" max="15363" width="8.5703125" style="16" customWidth="1"/>
    <col min="15364" max="15374" width="7.85546875" style="16" customWidth="1"/>
    <col min="15375" max="15375" width="7.140625" style="16" bestFit="1"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9.42578125" style="16" customWidth="1"/>
    <col min="15619" max="15619" width="8.5703125" style="16" customWidth="1"/>
    <col min="15620" max="15630" width="7.85546875" style="16" customWidth="1"/>
    <col min="15631" max="15631" width="7.140625" style="16" bestFit="1"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9.42578125" style="16" customWidth="1"/>
    <col min="15875" max="15875" width="8.5703125" style="16" customWidth="1"/>
    <col min="15876" max="15886" width="7.85546875" style="16" customWidth="1"/>
    <col min="15887" max="15887" width="7.140625" style="16" bestFit="1"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9.42578125" style="16" customWidth="1"/>
    <col min="16131" max="16131" width="8.5703125" style="16" customWidth="1"/>
    <col min="16132" max="16142" width="7.85546875" style="16" customWidth="1"/>
    <col min="16143" max="16143" width="7.140625" style="16" bestFit="1"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22" s="1" customFormat="1" x14ac:dyDescent="0.2">
      <c r="A1" s="867" t="s">
        <v>449</v>
      </c>
      <c r="B1" s="868"/>
      <c r="C1" s="868"/>
      <c r="D1" s="869"/>
      <c r="E1" s="868"/>
      <c r="F1" s="868"/>
      <c r="G1" s="867" t="s">
        <v>102</v>
      </c>
      <c r="H1" s="869"/>
      <c r="I1" s="869" t="s">
        <v>907</v>
      </c>
      <c r="J1" s="868"/>
      <c r="K1" s="868"/>
      <c r="L1" s="870"/>
      <c r="M1" s="870"/>
      <c r="N1" s="870"/>
      <c r="O1" s="870"/>
    </row>
    <row r="2" spans="1:22" s="1" customFormat="1" x14ac:dyDescent="0.2">
      <c r="A2" s="867" t="s">
        <v>103</v>
      </c>
      <c r="B2" s="868"/>
      <c r="C2" s="868"/>
      <c r="D2" s="869"/>
      <c r="E2" s="868"/>
      <c r="F2" s="868"/>
      <c r="G2" s="867" t="s">
        <v>104</v>
      </c>
      <c r="H2" s="869"/>
      <c r="I2" s="869" t="s">
        <v>105</v>
      </c>
      <c r="J2" s="868"/>
      <c r="K2" s="868"/>
      <c r="L2" s="870"/>
      <c r="M2" s="870"/>
      <c r="N2" s="870"/>
      <c r="O2" s="870"/>
    </row>
    <row r="3" spans="1:22" s="1" customFormat="1" x14ac:dyDescent="0.2">
      <c r="A3" s="867" t="s">
        <v>106</v>
      </c>
      <c r="B3" s="868"/>
      <c r="C3" s="868"/>
      <c r="D3" s="881">
        <v>24086</v>
      </c>
      <c r="E3" s="882"/>
      <c r="F3" s="882"/>
      <c r="G3" s="867" t="s">
        <v>107</v>
      </c>
      <c r="H3" s="869"/>
      <c r="I3" s="869" t="s">
        <v>108</v>
      </c>
      <c r="J3" s="868"/>
      <c r="K3" s="868"/>
      <c r="L3" s="870"/>
      <c r="M3" s="870"/>
      <c r="N3" s="870"/>
      <c r="O3" s="870"/>
    </row>
    <row r="4" spans="1:22" s="1" customFormat="1" x14ac:dyDescent="0.2">
      <c r="A4" s="867" t="s">
        <v>109</v>
      </c>
      <c r="B4" s="868"/>
      <c r="C4" s="868"/>
      <c r="D4" s="869"/>
      <c r="E4" s="868"/>
      <c r="F4" s="868"/>
      <c r="G4" s="867" t="s">
        <v>110</v>
      </c>
      <c r="H4" s="869"/>
      <c r="I4" s="869" t="s">
        <v>272</v>
      </c>
      <c r="J4" s="868"/>
      <c r="K4" s="868"/>
      <c r="L4" s="870"/>
      <c r="M4" s="870"/>
      <c r="N4" s="870"/>
      <c r="O4" s="870"/>
    </row>
    <row r="5" spans="1:22" s="1" customFormat="1" x14ac:dyDescent="0.2">
      <c r="A5" s="867" t="s">
        <v>443</v>
      </c>
      <c r="B5" s="868"/>
      <c r="C5" s="868"/>
      <c r="D5" s="869" t="s">
        <v>908</v>
      </c>
      <c r="E5" s="868"/>
      <c r="F5" s="868"/>
      <c r="G5" s="867"/>
      <c r="H5" s="868"/>
      <c r="I5" s="869" t="s">
        <v>113</v>
      </c>
      <c r="J5" s="868"/>
      <c r="K5" s="868"/>
      <c r="L5" s="870"/>
      <c r="M5" s="870"/>
      <c r="N5" s="870"/>
      <c r="O5" s="870"/>
    </row>
    <row r="6" spans="1:22" s="1" customFormat="1" x14ac:dyDescent="0.2">
      <c r="A6" s="871" t="s">
        <v>114</v>
      </c>
      <c r="B6" s="872"/>
      <c r="C6" s="872"/>
      <c r="D6" s="868" t="s">
        <v>909</v>
      </c>
      <c r="E6" s="868"/>
      <c r="F6" s="868"/>
      <c r="G6" s="871" t="s">
        <v>115</v>
      </c>
      <c r="H6" s="871"/>
      <c r="I6" s="2" t="s">
        <v>116</v>
      </c>
      <c r="J6" s="888"/>
      <c r="K6" s="888"/>
      <c r="L6" s="888"/>
      <c r="M6" s="888"/>
      <c r="N6" s="888"/>
      <c r="O6" s="889"/>
    </row>
    <row r="7" spans="1:22" s="1" customFormat="1" ht="13.5" thickBot="1" x14ac:dyDescent="0.25">
      <c r="A7" s="3"/>
      <c r="B7" s="4"/>
      <c r="C7" s="5"/>
      <c r="D7" s="6"/>
      <c r="E7" s="6"/>
      <c r="F7" s="6"/>
      <c r="G7" s="6"/>
      <c r="H7" s="6"/>
      <c r="I7" s="6"/>
      <c r="J7" s="7"/>
      <c r="K7" s="8"/>
      <c r="L7" s="875" t="s">
        <v>223</v>
      </c>
      <c r="M7" s="875"/>
      <c r="N7" s="875"/>
      <c r="O7" s="875"/>
    </row>
    <row r="8" spans="1:22" s="11" customFormat="1" x14ac:dyDescent="0.2">
      <c r="A8" s="876" t="str">
        <f>I1</f>
        <v>Mr. L.S. Mahapadi</v>
      </c>
      <c r="B8" s="877"/>
      <c r="C8" s="9">
        <v>43160</v>
      </c>
      <c r="D8" s="9">
        <v>43191</v>
      </c>
      <c r="E8" s="9">
        <v>43221</v>
      </c>
      <c r="F8" s="9">
        <v>43252</v>
      </c>
      <c r="G8" s="9">
        <v>43282</v>
      </c>
      <c r="H8" s="9">
        <v>43313</v>
      </c>
      <c r="I8" s="9">
        <v>43344</v>
      </c>
      <c r="J8" s="9">
        <v>43374</v>
      </c>
      <c r="K8" s="9">
        <v>43405</v>
      </c>
      <c r="L8" s="9">
        <v>43435</v>
      </c>
      <c r="M8" s="9">
        <v>43466</v>
      </c>
      <c r="N8" s="9">
        <v>43497</v>
      </c>
      <c r="O8" s="10" t="s">
        <v>117</v>
      </c>
    </row>
    <row r="9" spans="1:22" ht="15" x14ac:dyDescent="0.2">
      <c r="A9" s="12"/>
      <c r="B9" s="13" t="s">
        <v>118</v>
      </c>
      <c r="C9" s="14">
        <v>34000</v>
      </c>
      <c r="D9" s="14">
        <v>34000</v>
      </c>
      <c r="E9" s="14">
        <v>34000</v>
      </c>
      <c r="F9" s="14">
        <v>34000</v>
      </c>
      <c r="G9" s="14">
        <v>35000</v>
      </c>
      <c r="H9" s="14">
        <v>35000</v>
      </c>
      <c r="I9" s="14">
        <v>35000</v>
      </c>
      <c r="J9" s="14">
        <v>35000</v>
      </c>
      <c r="K9" s="14">
        <v>35000</v>
      </c>
      <c r="L9" s="14">
        <v>35000</v>
      </c>
      <c r="M9" s="14">
        <v>35000</v>
      </c>
      <c r="N9" s="14">
        <v>35000</v>
      </c>
      <c r="O9" s="15">
        <f>SUM(C9:N9)</f>
        <v>416000</v>
      </c>
    </row>
    <row r="10" spans="1:22"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22" ht="15" x14ac:dyDescent="0.2">
      <c r="A11" s="12"/>
      <c r="B11" s="13" t="s">
        <v>120</v>
      </c>
      <c r="C11" s="17">
        <v>1700</v>
      </c>
      <c r="D11" s="17">
        <v>2380</v>
      </c>
      <c r="E11" s="17">
        <v>2380</v>
      </c>
      <c r="F11" s="17">
        <v>2380</v>
      </c>
      <c r="G11" s="17">
        <v>2450</v>
      </c>
      <c r="H11" s="17">
        <v>2450</v>
      </c>
      <c r="I11" s="17">
        <v>2450</v>
      </c>
      <c r="J11" s="17">
        <v>3150</v>
      </c>
      <c r="K11" s="17">
        <v>3150</v>
      </c>
      <c r="L11" s="17">
        <v>3150</v>
      </c>
      <c r="M11" s="17">
        <v>3150</v>
      </c>
      <c r="N11" s="17">
        <v>3150</v>
      </c>
      <c r="O11" s="18">
        <f>SUM(C11:N11)</f>
        <v>31940</v>
      </c>
    </row>
    <row r="12" spans="1:22"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22"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22" ht="15" x14ac:dyDescent="0.2">
      <c r="A14" s="12"/>
      <c r="B14" s="13" t="s">
        <v>123</v>
      </c>
      <c r="C14" s="17">
        <v>3780</v>
      </c>
      <c r="D14" s="17">
        <v>3852</v>
      </c>
      <c r="E14" s="17">
        <v>3852</v>
      </c>
      <c r="F14" s="17">
        <v>3852</v>
      </c>
      <c r="G14" s="17">
        <v>3852</v>
      </c>
      <c r="H14" s="17">
        <v>3852</v>
      </c>
      <c r="I14" s="17">
        <v>3852</v>
      </c>
      <c r="J14" s="17">
        <v>3924</v>
      </c>
      <c r="K14" s="17">
        <v>3924</v>
      </c>
      <c r="L14" s="17">
        <v>3924</v>
      </c>
      <c r="M14" s="17">
        <v>3924</v>
      </c>
      <c r="N14" s="17">
        <v>3924</v>
      </c>
      <c r="O14" s="18">
        <f t="shared" si="0"/>
        <v>46512</v>
      </c>
    </row>
    <row r="15" spans="1:22"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22" ht="15" x14ac:dyDescent="0.2">
      <c r="A16" s="12"/>
      <c r="B16" s="13" t="s">
        <v>125</v>
      </c>
      <c r="C16" s="17">
        <v>0</v>
      </c>
      <c r="D16" s="17">
        <v>0</v>
      </c>
      <c r="E16" s="17">
        <v>0</v>
      </c>
      <c r="F16" s="17">
        <v>0</v>
      </c>
      <c r="G16" s="17">
        <v>5000</v>
      </c>
      <c r="H16" s="17">
        <v>0</v>
      </c>
      <c r="I16" s="17">
        <v>0</v>
      </c>
      <c r="J16" s="17">
        <v>0</v>
      </c>
      <c r="K16" s="17">
        <v>0</v>
      </c>
      <c r="L16" s="17">
        <v>0</v>
      </c>
      <c r="M16" s="17">
        <v>0</v>
      </c>
      <c r="N16" s="17">
        <v>0</v>
      </c>
      <c r="O16" s="18">
        <f t="shared" si="0"/>
        <v>5000</v>
      </c>
      <c r="V16" s="16">
        <v>7</v>
      </c>
    </row>
    <row r="17" spans="1:22"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22"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22" ht="15" x14ac:dyDescent="0.2">
      <c r="A19" s="12"/>
      <c r="B19" s="13" t="s">
        <v>128</v>
      </c>
      <c r="C19" s="17">
        <v>8160</v>
      </c>
      <c r="D19" s="17">
        <v>8160</v>
      </c>
      <c r="E19" s="17">
        <v>8160</v>
      </c>
      <c r="F19" s="17">
        <v>8160</v>
      </c>
      <c r="G19" s="17">
        <v>8400</v>
      </c>
      <c r="H19" s="17">
        <v>8400</v>
      </c>
      <c r="I19" s="17">
        <v>8400</v>
      </c>
      <c r="J19" s="17">
        <v>8400</v>
      </c>
      <c r="K19" s="17">
        <v>8400</v>
      </c>
      <c r="L19" s="17">
        <v>8400</v>
      </c>
      <c r="M19" s="17">
        <v>8400</v>
      </c>
      <c r="N19" s="17">
        <v>8400</v>
      </c>
      <c r="O19" s="18">
        <f t="shared" si="0"/>
        <v>99840</v>
      </c>
    </row>
    <row r="20" spans="1:22"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22" ht="15" hidden="1" customHeight="1" x14ac:dyDescent="0.2">
      <c r="A21" s="878"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22" ht="15" customHeight="1" x14ac:dyDescent="0.2">
      <c r="A22" s="879"/>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22" ht="15" hidden="1" customHeight="1" x14ac:dyDescent="0.2">
      <c r="A23" s="879"/>
      <c r="B23" s="19" t="s">
        <v>133</v>
      </c>
      <c r="C23" s="17">
        <v>0</v>
      </c>
      <c r="D23" s="17">
        <v>0</v>
      </c>
      <c r="E23" s="17">
        <v>0</v>
      </c>
      <c r="F23" s="17">
        <v>0</v>
      </c>
      <c r="G23" s="17">
        <v>0</v>
      </c>
      <c r="H23" s="17">
        <v>0</v>
      </c>
      <c r="I23" s="17">
        <v>0</v>
      </c>
      <c r="J23" s="17">
        <v>0</v>
      </c>
      <c r="K23" s="17">
        <v>0</v>
      </c>
      <c r="L23" s="17">
        <v>0</v>
      </c>
      <c r="M23" s="17">
        <v>0</v>
      </c>
      <c r="N23" s="17">
        <v>0</v>
      </c>
      <c r="O23" s="18">
        <f t="shared" si="0"/>
        <v>0</v>
      </c>
    </row>
    <row r="24" spans="1:22" ht="15" hidden="1" customHeight="1" x14ac:dyDescent="0.2">
      <c r="A24" s="879"/>
      <c r="B24" s="19" t="s">
        <v>134</v>
      </c>
      <c r="C24" s="17">
        <v>0</v>
      </c>
      <c r="D24" s="17">
        <v>0</v>
      </c>
      <c r="E24" s="17">
        <v>0</v>
      </c>
      <c r="F24" s="17">
        <v>0</v>
      </c>
      <c r="G24" s="17">
        <v>0</v>
      </c>
      <c r="H24" s="17">
        <v>0</v>
      </c>
      <c r="I24" s="17">
        <v>0</v>
      </c>
      <c r="J24" s="17">
        <v>0</v>
      </c>
      <c r="K24" s="17">
        <v>0</v>
      </c>
      <c r="L24" s="17">
        <v>0</v>
      </c>
      <c r="M24" s="17">
        <v>0</v>
      </c>
      <c r="N24" s="17">
        <v>0</v>
      </c>
      <c r="O24" s="18">
        <f t="shared" si="0"/>
        <v>0</v>
      </c>
    </row>
    <row r="25" spans="1:22" ht="15" hidden="1" customHeight="1" x14ac:dyDescent="0.2">
      <c r="A25" s="879"/>
      <c r="B25" s="19" t="s">
        <v>135</v>
      </c>
      <c r="C25" s="17">
        <v>0</v>
      </c>
      <c r="D25" s="17">
        <v>0</v>
      </c>
      <c r="E25" s="17">
        <v>0</v>
      </c>
      <c r="F25" s="17">
        <v>0</v>
      </c>
      <c r="G25" s="17">
        <v>0</v>
      </c>
      <c r="H25" s="17">
        <v>0</v>
      </c>
      <c r="I25" s="17">
        <v>0</v>
      </c>
      <c r="J25" s="17">
        <v>0</v>
      </c>
      <c r="K25" s="17">
        <v>0</v>
      </c>
      <c r="L25" s="17">
        <v>0</v>
      </c>
      <c r="M25" s="17">
        <v>0</v>
      </c>
      <c r="N25" s="17">
        <v>0</v>
      </c>
      <c r="O25" s="18">
        <f t="shared" si="0"/>
        <v>0</v>
      </c>
    </row>
    <row r="26" spans="1:22" ht="15" hidden="1" customHeight="1" x14ac:dyDescent="0.2">
      <c r="A26" s="879"/>
      <c r="B26" s="19" t="s">
        <v>136</v>
      </c>
      <c r="C26" s="17">
        <v>0</v>
      </c>
      <c r="D26" s="17">
        <v>0</v>
      </c>
      <c r="E26" s="17">
        <v>0</v>
      </c>
      <c r="F26" s="17">
        <v>0</v>
      </c>
      <c r="G26" s="17">
        <v>0</v>
      </c>
      <c r="H26" s="17">
        <v>0</v>
      </c>
      <c r="I26" s="17">
        <v>0</v>
      </c>
      <c r="J26" s="17">
        <v>0</v>
      </c>
      <c r="K26" s="17">
        <v>0</v>
      </c>
      <c r="L26" s="17">
        <v>0</v>
      </c>
      <c r="M26" s="17">
        <v>0</v>
      </c>
      <c r="N26" s="17">
        <v>0</v>
      </c>
      <c r="O26" s="18">
        <f t="shared" si="0"/>
        <v>0</v>
      </c>
      <c r="V26" s="16">
        <v>14</v>
      </c>
    </row>
    <row r="27" spans="1:22" ht="15" hidden="1" customHeight="1" x14ac:dyDescent="0.2">
      <c r="A27" s="879"/>
      <c r="B27" s="19" t="s">
        <v>137</v>
      </c>
      <c r="C27" s="17">
        <v>0</v>
      </c>
      <c r="D27" s="17">
        <v>0</v>
      </c>
      <c r="E27" s="17">
        <v>0</v>
      </c>
      <c r="F27" s="17">
        <v>0</v>
      </c>
      <c r="G27" s="17">
        <v>0</v>
      </c>
      <c r="H27" s="17">
        <v>0</v>
      </c>
      <c r="I27" s="17">
        <v>0</v>
      </c>
      <c r="J27" s="17">
        <v>0</v>
      </c>
      <c r="K27" s="17">
        <v>0</v>
      </c>
      <c r="L27" s="17">
        <v>0</v>
      </c>
      <c r="M27" s="17">
        <v>0</v>
      </c>
      <c r="N27" s="17">
        <v>0</v>
      </c>
      <c r="O27" s="18">
        <f t="shared" si="0"/>
        <v>0</v>
      </c>
    </row>
    <row r="28" spans="1:22" ht="15" hidden="1" customHeight="1" x14ac:dyDescent="0.2">
      <c r="A28" s="879"/>
      <c r="B28" s="19" t="s">
        <v>138</v>
      </c>
      <c r="C28" s="17">
        <v>0</v>
      </c>
      <c r="D28" s="17">
        <v>0</v>
      </c>
      <c r="E28" s="17">
        <v>0</v>
      </c>
      <c r="F28" s="17">
        <v>0</v>
      </c>
      <c r="G28" s="17">
        <v>0</v>
      </c>
      <c r="H28" s="17">
        <v>0</v>
      </c>
      <c r="I28" s="17">
        <v>0</v>
      </c>
      <c r="J28" s="17">
        <v>0</v>
      </c>
      <c r="K28" s="17">
        <v>0</v>
      </c>
      <c r="L28" s="17">
        <v>0</v>
      </c>
      <c r="M28" s="17">
        <v>0</v>
      </c>
      <c r="N28" s="17">
        <v>0</v>
      </c>
      <c r="O28" s="18">
        <f t="shared" si="0"/>
        <v>0</v>
      </c>
      <c r="V28" s="16">
        <v>21</v>
      </c>
    </row>
    <row r="29" spans="1:22" ht="15" hidden="1" customHeight="1" x14ac:dyDescent="0.2">
      <c r="A29" s="879"/>
      <c r="B29" s="19" t="s">
        <v>139</v>
      </c>
      <c r="C29" s="17">
        <v>0</v>
      </c>
      <c r="D29" s="17">
        <v>0</v>
      </c>
      <c r="E29" s="17">
        <v>0</v>
      </c>
      <c r="F29" s="17">
        <v>0</v>
      </c>
      <c r="G29" s="17">
        <v>0</v>
      </c>
      <c r="H29" s="17">
        <v>0</v>
      </c>
      <c r="I29" s="17">
        <v>0</v>
      </c>
      <c r="J29" s="17">
        <v>0</v>
      </c>
      <c r="K29" s="17">
        <v>0</v>
      </c>
      <c r="L29" s="17">
        <v>0</v>
      </c>
      <c r="M29" s="17">
        <v>0</v>
      </c>
      <c r="N29" s="17">
        <v>0</v>
      </c>
      <c r="O29" s="18">
        <f t="shared" si="0"/>
        <v>0</v>
      </c>
      <c r="V29" s="16">
        <v>19.758064516129</v>
      </c>
    </row>
    <row r="30" spans="1:22" ht="15" hidden="1" customHeight="1" x14ac:dyDescent="0.2">
      <c r="A30" s="879"/>
      <c r="B30" s="19" t="s">
        <v>140</v>
      </c>
      <c r="C30" s="17">
        <v>0</v>
      </c>
      <c r="D30" s="17">
        <v>0</v>
      </c>
      <c r="E30" s="17">
        <v>0</v>
      </c>
      <c r="F30" s="17">
        <v>0</v>
      </c>
      <c r="G30" s="17">
        <v>0</v>
      </c>
      <c r="H30" s="17">
        <v>0</v>
      </c>
      <c r="I30" s="17">
        <v>0</v>
      </c>
      <c r="J30" s="17">
        <v>0</v>
      </c>
      <c r="K30" s="17">
        <v>0</v>
      </c>
      <c r="L30" s="17">
        <v>0</v>
      </c>
      <c r="M30" s="17">
        <v>0</v>
      </c>
      <c r="N30" s="17">
        <v>0</v>
      </c>
      <c r="O30" s="18">
        <f t="shared" si="0"/>
        <v>0</v>
      </c>
      <c r="V30" s="16">
        <v>20.7741935483871</v>
      </c>
    </row>
    <row r="31" spans="1:22" ht="15" hidden="1" customHeight="1" x14ac:dyDescent="0.2">
      <c r="A31" s="879"/>
      <c r="B31" s="19" t="s">
        <v>225</v>
      </c>
      <c r="C31" s="17">
        <v>0</v>
      </c>
      <c r="D31" s="17">
        <v>0</v>
      </c>
      <c r="E31" s="17">
        <v>0</v>
      </c>
      <c r="F31" s="17">
        <v>0</v>
      </c>
      <c r="G31" s="17">
        <v>0</v>
      </c>
      <c r="H31" s="17">
        <v>0</v>
      </c>
      <c r="I31" s="17">
        <v>0</v>
      </c>
      <c r="J31" s="17">
        <v>0</v>
      </c>
      <c r="K31" s="17">
        <v>0</v>
      </c>
      <c r="L31" s="17">
        <v>0</v>
      </c>
      <c r="M31" s="17">
        <v>0</v>
      </c>
      <c r="N31" s="17">
        <v>0</v>
      </c>
      <c r="O31" s="18">
        <f t="shared" si="0"/>
        <v>0</v>
      </c>
      <c r="V31" s="16">
        <v>21.790322580645199</v>
      </c>
    </row>
    <row r="32" spans="1:22" ht="15" customHeight="1" x14ac:dyDescent="0.2">
      <c r="A32" s="879"/>
      <c r="B32" s="344" t="s">
        <v>143</v>
      </c>
      <c r="C32" s="17">
        <v>0</v>
      </c>
      <c r="D32" s="17">
        <v>0</v>
      </c>
      <c r="E32" s="17">
        <v>0</v>
      </c>
      <c r="F32" s="17">
        <v>0</v>
      </c>
      <c r="G32" s="17">
        <v>0</v>
      </c>
      <c r="H32" s="17">
        <v>0</v>
      </c>
      <c r="I32" s="17">
        <v>0</v>
      </c>
      <c r="J32" s="17">
        <v>0</v>
      </c>
      <c r="K32" s="17">
        <v>0</v>
      </c>
      <c r="L32" s="17">
        <v>0</v>
      </c>
      <c r="M32" s="17">
        <v>0</v>
      </c>
      <c r="N32" s="17">
        <v>0</v>
      </c>
      <c r="O32" s="18">
        <f t="shared" si="0"/>
        <v>0</v>
      </c>
    </row>
    <row r="33" spans="1:16" ht="15" hidden="1" customHeight="1" x14ac:dyDescent="0.2">
      <c r="A33" s="880"/>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865" t="s">
        <v>142</v>
      </c>
      <c r="B34" s="866"/>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865" t="s">
        <v>145</v>
      </c>
      <c r="B35" s="866"/>
      <c r="C35" s="17">
        <v>0</v>
      </c>
      <c r="D35" s="17">
        <v>216</v>
      </c>
      <c r="E35" s="17">
        <v>0</v>
      </c>
      <c r="F35" s="17">
        <v>0</v>
      </c>
      <c r="G35" s="17">
        <v>0</v>
      </c>
      <c r="H35" s="17">
        <v>0</v>
      </c>
      <c r="I35" s="17">
        <v>0</v>
      </c>
      <c r="J35" s="17">
        <v>216</v>
      </c>
      <c r="K35" s="17">
        <v>0</v>
      </c>
      <c r="L35" s="17">
        <v>0</v>
      </c>
      <c r="M35" s="17">
        <v>0</v>
      </c>
      <c r="N35" s="17">
        <v>0</v>
      </c>
      <c r="O35" s="18">
        <f t="shared" si="0"/>
        <v>432</v>
      </c>
    </row>
    <row r="36" spans="1:16" ht="15" customHeight="1" x14ac:dyDescent="0.2">
      <c r="A36" s="865" t="s">
        <v>146</v>
      </c>
      <c r="B36" s="866"/>
      <c r="C36" s="17">
        <v>0</v>
      </c>
      <c r="D36" s="17">
        <v>2040</v>
      </c>
      <c r="E36" s="17">
        <v>0</v>
      </c>
      <c r="F36" s="17">
        <v>0</v>
      </c>
      <c r="G36" s="17">
        <v>0</v>
      </c>
      <c r="H36" s="17">
        <v>0</v>
      </c>
      <c r="I36" s="17">
        <v>0</v>
      </c>
      <c r="J36" s="17">
        <v>2100</v>
      </c>
      <c r="K36" s="17">
        <v>0</v>
      </c>
      <c r="L36" s="17">
        <v>0</v>
      </c>
      <c r="M36" s="17">
        <v>0</v>
      </c>
      <c r="N36" s="17">
        <v>0</v>
      </c>
      <c r="O36" s="18">
        <f t="shared" si="0"/>
        <v>4140</v>
      </c>
    </row>
    <row r="37" spans="1:16" ht="15" customHeight="1" x14ac:dyDescent="0.2">
      <c r="A37" s="22"/>
      <c r="B37" s="23" t="s">
        <v>147</v>
      </c>
      <c r="C37" s="24">
        <f t="shared" ref="C37:N37" si="1">SUM(C9:C36)</f>
        <v>47640</v>
      </c>
      <c r="D37" s="24">
        <f t="shared" si="1"/>
        <v>50648</v>
      </c>
      <c r="E37" s="24">
        <f t="shared" si="1"/>
        <v>48392</v>
      </c>
      <c r="F37" s="24">
        <f t="shared" si="1"/>
        <v>48392</v>
      </c>
      <c r="G37" s="24">
        <f t="shared" si="1"/>
        <v>54702</v>
      </c>
      <c r="H37" s="24">
        <f t="shared" si="1"/>
        <v>49702</v>
      </c>
      <c r="I37" s="24">
        <f t="shared" si="1"/>
        <v>49702</v>
      </c>
      <c r="J37" s="24">
        <f t="shared" si="1"/>
        <v>59698</v>
      </c>
      <c r="K37" s="24">
        <f t="shared" si="1"/>
        <v>50474</v>
      </c>
      <c r="L37" s="24">
        <f t="shared" si="1"/>
        <v>50474</v>
      </c>
      <c r="M37" s="24">
        <f t="shared" si="1"/>
        <v>50474</v>
      </c>
      <c r="N37" s="24">
        <f t="shared" si="1"/>
        <v>50474</v>
      </c>
      <c r="O37" s="25">
        <f>SUM(C37:N37)</f>
        <v>610772</v>
      </c>
    </row>
    <row r="38" spans="1:16" ht="15" customHeight="1" x14ac:dyDescent="0.2">
      <c r="A38" s="853" t="s">
        <v>148</v>
      </c>
      <c r="B38" s="27" t="s">
        <v>149</v>
      </c>
      <c r="C38" s="28">
        <v>500</v>
      </c>
      <c r="D38" s="28">
        <v>0</v>
      </c>
      <c r="E38" s="28">
        <v>0</v>
      </c>
      <c r="F38" s="28">
        <v>0</v>
      </c>
      <c r="G38" s="28">
        <v>0</v>
      </c>
      <c r="H38" s="28">
        <v>0</v>
      </c>
      <c r="I38" s="28">
        <v>0</v>
      </c>
      <c r="J38" s="28">
        <v>0</v>
      </c>
      <c r="K38" s="28">
        <v>2000</v>
      </c>
      <c r="L38" s="28">
        <v>2000</v>
      </c>
      <c r="M38" s="28">
        <v>2000</v>
      </c>
      <c r="N38" s="28">
        <v>970</v>
      </c>
      <c r="O38" s="18">
        <f>SUM(C38:N38)</f>
        <v>7470</v>
      </c>
      <c r="P38" s="29"/>
    </row>
    <row r="39" spans="1:16" ht="15" x14ac:dyDescent="0.2">
      <c r="A39" s="854"/>
      <c r="B39" s="27" t="s">
        <v>150</v>
      </c>
      <c r="C39" s="28">
        <v>0</v>
      </c>
      <c r="D39" s="28">
        <v>0</v>
      </c>
      <c r="E39" s="28">
        <v>0</v>
      </c>
      <c r="F39" s="28">
        <v>0</v>
      </c>
      <c r="G39" s="28">
        <v>0</v>
      </c>
      <c r="H39" s="28">
        <v>0</v>
      </c>
      <c r="I39" s="28">
        <v>0</v>
      </c>
      <c r="J39" s="28">
        <v>0</v>
      </c>
      <c r="K39" s="28">
        <v>0</v>
      </c>
      <c r="L39" s="28">
        <v>0</v>
      </c>
      <c r="M39" s="28">
        <v>0</v>
      </c>
      <c r="N39" s="28">
        <v>0</v>
      </c>
      <c r="O39" s="18">
        <f>SUM(C39:N39)</f>
        <v>0</v>
      </c>
    </row>
    <row r="40" spans="1:16" ht="15" x14ac:dyDescent="0.2">
      <c r="A40" s="854"/>
      <c r="B40" s="27" t="s">
        <v>151</v>
      </c>
      <c r="C40" s="28">
        <v>30</v>
      </c>
      <c r="D40" s="28">
        <v>30</v>
      </c>
      <c r="E40" s="28">
        <v>30</v>
      </c>
      <c r="F40" s="28">
        <v>30</v>
      </c>
      <c r="G40" s="28">
        <v>30</v>
      </c>
      <c r="H40" s="28">
        <v>30</v>
      </c>
      <c r="I40" s="28">
        <v>30</v>
      </c>
      <c r="J40" s="28">
        <v>30</v>
      </c>
      <c r="K40" s="28">
        <v>30</v>
      </c>
      <c r="L40" s="28">
        <v>30</v>
      </c>
      <c r="M40" s="28">
        <v>30</v>
      </c>
      <c r="N40" s="28">
        <v>30</v>
      </c>
      <c r="O40" s="18">
        <f t="shared" ref="O40:O50" si="2">SUM(C40:N40)</f>
        <v>360</v>
      </c>
    </row>
    <row r="41" spans="1:16" ht="15" x14ac:dyDescent="0.2">
      <c r="A41" s="854"/>
      <c r="B41" s="27" t="s">
        <v>152</v>
      </c>
      <c r="C41" s="28">
        <v>0</v>
      </c>
      <c r="D41" s="28">
        <v>0</v>
      </c>
      <c r="E41" s="28">
        <v>0</v>
      </c>
      <c r="F41" s="28">
        <v>0</v>
      </c>
      <c r="G41" s="28">
        <v>0</v>
      </c>
      <c r="H41" s="28">
        <v>0</v>
      </c>
      <c r="I41" s="28">
        <v>0</v>
      </c>
      <c r="J41" s="28">
        <v>0</v>
      </c>
      <c r="K41" s="28">
        <v>0</v>
      </c>
      <c r="L41" s="28">
        <v>0</v>
      </c>
      <c r="M41" s="28">
        <v>0</v>
      </c>
      <c r="N41" s="28">
        <v>0</v>
      </c>
      <c r="O41" s="18">
        <f t="shared" si="2"/>
        <v>0</v>
      </c>
    </row>
    <row r="42" spans="1:16" ht="15" x14ac:dyDescent="0.2">
      <c r="A42" s="854"/>
      <c r="B42" s="27" t="s">
        <v>153</v>
      </c>
      <c r="C42" s="28">
        <v>0</v>
      </c>
      <c r="D42" s="28">
        <v>0</v>
      </c>
      <c r="E42" s="28">
        <v>0</v>
      </c>
      <c r="F42" s="28">
        <v>0</v>
      </c>
      <c r="G42" s="28">
        <v>0</v>
      </c>
      <c r="H42" s="28">
        <v>0</v>
      </c>
      <c r="I42" s="28">
        <v>0</v>
      </c>
      <c r="J42" s="28">
        <v>0</v>
      </c>
      <c r="K42" s="28">
        <v>0</v>
      </c>
      <c r="L42" s="28">
        <v>0</v>
      </c>
      <c r="M42" s="28">
        <v>0</v>
      </c>
      <c r="N42" s="28">
        <v>0</v>
      </c>
      <c r="O42" s="18">
        <f t="shared" si="2"/>
        <v>0</v>
      </c>
    </row>
    <row r="43" spans="1:16" ht="15" x14ac:dyDescent="0.2">
      <c r="A43" s="854"/>
      <c r="B43" s="27" t="s">
        <v>154</v>
      </c>
      <c r="C43" s="28">
        <v>10000</v>
      </c>
      <c r="D43" s="28">
        <v>10000</v>
      </c>
      <c r="E43" s="28">
        <v>10000</v>
      </c>
      <c r="F43" s="28">
        <v>10000</v>
      </c>
      <c r="G43" s="28">
        <v>10000</v>
      </c>
      <c r="H43" s="28">
        <v>10000</v>
      </c>
      <c r="I43" s="28">
        <v>10000</v>
      </c>
      <c r="J43" s="28">
        <v>10000</v>
      </c>
      <c r="K43" s="28">
        <v>10000</v>
      </c>
      <c r="L43" s="28">
        <v>10000</v>
      </c>
      <c r="M43" s="28">
        <v>10000</v>
      </c>
      <c r="N43" s="28">
        <v>10000</v>
      </c>
      <c r="O43" s="18">
        <f t="shared" si="2"/>
        <v>120000</v>
      </c>
    </row>
    <row r="44" spans="1:16" ht="15" x14ac:dyDescent="0.2">
      <c r="A44" s="854"/>
      <c r="B44" s="27" t="s">
        <v>155</v>
      </c>
      <c r="C44" s="28">
        <v>200</v>
      </c>
      <c r="D44" s="28">
        <v>200</v>
      </c>
      <c r="E44" s="28">
        <v>200</v>
      </c>
      <c r="F44" s="28">
        <v>200</v>
      </c>
      <c r="G44" s="28">
        <v>200</v>
      </c>
      <c r="H44" s="28">
        <v>200</v>
      </c>
      <c r="I44" s="28">
        <v>200</v>
      </c>
      <c r="J44" s="28">
        <v>200</v>
      </c>
      <c r="K44" s="28">
        <v>200</v>
      </c>
      <c r="L44" s="28">
        <v>200</v>
      </c>
      <c r="M44" s="28">
        <v>200</v>
      </c>
      <c r="N44" s="28">
        <v>300</v>
      </c>
      <c r="O44" s="18">
        <f t="shared" si="2"/>
        <v>2500</v>
      </c>
    </row>
    <row r="45" spans="1:16" ht="30" x14ac:dyDescent="0.2">
      <c r="A45" s="854"/>
      <c r="B45" s="27" t="s">
        <v>371</v>
      </c>
      <c r="C45" s="28">
        <v>0</v>
      </c>
      <c r="D45" s="28">
        <v>0</v>
      </c>
      <c r="E45" s="28">
        <v>0</v>
      </c>
      <c r="F45" s="28">
        <v>0</v>
      </c>
      <c r="G45" s="28">
        <v>0</v>
      </c>
      <c r="H45" s="28">
        <v>0</v>
      </c>
      <c r="I45" s="28">
        <v>0</v>
      </c>
      <c r="J45" s="28">
        <v>0</v>
      </c>
      <c r="K45" s="28">
        <v>0</v>
      </c>
      <c r="L45" s="28">
        <v>0</v>
      </c>
      <c r="M45" s="28">
        <v>0</v>
      </c>
      <c r="N45" s="28">
        <v>0</v>
      </c>
      <c r="O45" s="18">
        <f t="shared" si="2"/>
        <v>0</v>
      </c>
    </row>
    <row r="46" spans="1:16" ht="15" x14ac:dyDescent="0.2">
      <c r="A46" s="854"/>
      <c r="B46" s="27" t="s">
        <v>157</v>
      </c>
      <c r="C46" s="28">
        <v>5500</v>
      </c>
      <c r="D46" s="28">
        <v>5500</v>
      </c>
      <c r="E46" s="28">
        <v>5500</v>
      </c>
      <c r="F46" s="28">
        <v>5500</v>
      </c>
      <c r="G46" s="28">
        <v>5500</v>
      </c>
      <c r="H46" s="28">
        <v>5500</v>
      </c>
      <c r="I46" s="28">
        <v>5500</v>
      </c>
      <c r="J46" s="28">
        <v>5500</v>
      </c>
      <c r="K46" s="28">
        <v>5500</v>
      </c>
      <c r="L46" s="28">
        <v>5500</v>
      </c>
      <c r="M46" s="28">
        <v>5500</v>
      </c>
      <c r="N46" s="28">
        <v>5500</v>
      </c>
      <c r="O46" s="18">
        <f t="shared" si="2"/>
        <v>66000</v>
      </c>
    </row>
    <row r="47" spans="1:16" ht="28.5" customHeight="1" x14ac:dyDescent="0.2">
      <c r="A47" s="855"/>
      <c r="B47" s="30" t="s">
        <v>158</v>
      </c>
      <c r="C47" s="28">
        <v>0</v>
      </c>
      <c r="D47" s="28">
        <v>0</v>
      </c>
      <c r="E47" s="28">
        <v>0</v>
      </c>
      <c r="F47" s="28">
        <v>0</v>
      </c>
      <c r="G47" s="28">
        <v>0</v>
      </c>
      <c r="H47" s="28">
        <v>0</v>
      </c>
      <c r="I47" s="28">
        <v>0</v>
      </c>
      <c r="J47" s="28">
        <v>0</v>
      </c>
      <c r="K47" s="28">
        <v>0</v>
      </c>
      <c r="L47" s="28">
        <v>0</v>
      </c>
      <c r="M47" s="28">
        <v>0</v>
      </c>
      <c r="N47" s="28">
        <v>0</v>
      </c>
      <c r="O47" s="31">
        <f t="shared" si="2"/>
        <v>0</v>
      </c>
    </row>
    <row r="48" spans="1:16" ht="45" x14ac:dyDescent="0.2">
      <c r="A48" s="856"/>
      <c r="B48" s="127" t="s">
        <v>910</v>
      </c>
      <c r="C48" s="28">
        <v>1000</v>
      </c>
      <c r="D48" s="28">
        <v>0</v>
      </c>
      <c r="E48" s="28">
        <v>0</v>
      </c>
      <c r="F48" s="28">
        <v>0</v>
      </c>
      <c r="G48" s="28">
        <v>0</v>
      </c>
      <c r="H48" s="28">
        <v>0</v>
      </c>
      <c r="I48" s="28">
        <v>1000</v>
      </c>
      <c r="J48" s="28">
        <v>1000</v>
      </c>
      <c r="K48" s="28">
        <v>0</v>
      </c>
      <c r="L48" s="28">
        <v>0</v>
      </c>
      <c r="M48" s="28">
        <v>0</v>
      </c>
      <c r="N48" s="28">
        <v>0</v>
      </c>
      <c r="O48" s="31">
        <f t="shared" si="2"/>
        <v>3000</v>
      </c>
    </row>
    <row r="49" spans="1:18" ht="15" x14ac:dyDescent="0.2">
      <c r="A49" s="857" t="s">
        <v>160</v>
      </c>
      <c r="B49" s="858"/>
      <c r="C49" s="33">
        <f t="shared" ref="C49:N49" si="3">SUM(C38:C48)</f>
        <v>17230</v>
      </c>
      <c r="D49" s="33">
        <f t="shared" si="3"/>
        <v>15730</v>
      </c>
      <c r="E49" s="33">
        <f t="shared" si="3"/>
        <v>15730</v>
      </c>
      <c r="F49" s="33">
        <f t="shared" si="3"/>
        <v>15730</v>
      </c>
      <c r="G49" s="33">
        <f t="shared" si="3"/>
        <v>15730</v>
      </c>
      <c r="H49" s="33">
        <f t="shared" si="3"/>
        <v>15730</v>
      </c>
      <c r="I49" s="33">
        <f t="shared" si="3"/>
        <v>16730</v>
      </c>
      <c r="J49" s="33">
        <f t="shared" si="3"/>
        <v>16730</v>
      </c>
      <c r="K49" s="33">
        <f t="shared" si="3"/>
        <v>17730</v>
      </c>
      <c r="L49" s="33">
        <f t="shared" si="3"/>
        <v>17730</v>
      </c>
      <c r="M49" s="33">
        <f t="shared" si="3"/>
        <v>17730</v>
      </c>
      <c r="N49" s="33">
        <f t="shared" si="3"/>
        <v>16800</v>
      </c>
      <c r="O49" s="34">
        <f t="shared" si="2"/>
        <v>199330</v>
      </c>
    </row>
    <row r="50" spans="1:18" ht="15.75" thickBot="1" x14ac:dyDescent="0.25">
      <c r="A50" s="859" t="s">
        <v>161</v>
      </c>
      <c r="B50" s="860"/>
      <c r="C50" s="35">
        <f t="shared" ref="C50:N50" si="4">C37-C49</f>
        <v>30410</v>
      </c>
      <c r="D50" s="35">
        <f t="shared" si="4"/>
        <v>34918</v>
      </c>
      <c r="E50" s="35">
        <f t="shared" si="4"/>
        <v>32662</v>
      </c>
      <c r="F50" s="35">
        <f t="shared" si="4"/>
        <v>32662</v>
      </c>
      <c r="G50" s="35">
        <f t="shared" si="4"/>
        <v>38972</v>
      </c>
      <c r="H50" s="35">
        <f t="shared" si="4"/>
        <v>33972</v>
      </c>
      <c r="I50" s="35">
        <f t="shared" si="4"/>
        <v>32972</v>
      </c>
      <c r="J50" s="35">
        <f t="shared" si="4"/>
        <v>42968</v>
      </c>
      <c r="K50" s="35">
        <f t="shared" si="4"/>
        <v>32744</v>
      </c>
      <c r="L50" s="35">
        <f t="shared" si="4"/>
        <v>32744</v>
      </c>
      <c r="M50" s="35">
        <f t="shared" si="4"/>
        <v>32744</v>
      </c>
      <c r="N50" s="35">
        <f t="shared" si="4"/>
        <v>33674</v>
      </c>
      <c r="O50" s="36">
        <f t="shared" si="2"/>
        <v>411442</v>
      </c>
      <c r="Q50" s="16">
        <f>18255+17655+15000+4084+18566+18686+20375*2+20000+3930+3454+21310*2+7500+21310+2000+20410+20278</f>
        <v>274498</v>
      </c>
    </row>
    <row r="51" spans="1:18" x14ac:dyDescent="0.2">
      <c r="C51" s="38"/>
      <c r="J51" s="300">
        <f>+J37-SUM(J22:J36)</f>
        <v>50474</v>
      </c>
      <c r="Q51" s="38"/>
    </row>
    <row r="52" spans="1:18" ht="13.5" thickBot="1" x14ac:dyDescent="0.25">
      <c r="J52" s="38">
        <f>+J51-J49</f>
        <v>33744</v>
      </c>
    </row>
    <row r="53" spans="1:18" ht="13.5" thickBot="1" x14ac:dyDescent="0.25">
      <c r="B53" s="789" t="s">
        <v>162</v>
      </c>
      <c r="C53" s="861"/>
      <c r="D53" s="861"/>
      <c r="E53" s="861"/>
      <c r="F53" s="862"/>
      <c r="G53" s="863">
        <f>O37</f>
        <v>610772</v>
      </c>
      <c r="H53" s="864"/>
    </row>
    <row r="54" spans="1:18" ht="13.5" thickBot="1" x14ac:dyDescent="0.25"/>
    <row r="55" spans="1:18" x14ac:dyDescent="0.2">
      <c r="B55" s="830" t="s">
        <v>163</v>
      </c>
      <c r="C55" s="833" t="s">
        <v>164</v>
      </c>
      <c r="D55" s="836" t="s">
        <v>811</v>
      </c>
      <c r="E55" s="837"/>
      <c r="F55" s="838"/>
      <c r="G55" s="839">
        <v>40000</v>
      </c>
      <c r="H55" s="840"/>
    </row>
    <row r="56" spans="1:18" x14ac:dyDescent="0.2">
      <c r="B56" s="831"/>
      <c r="C56" s="834"/>
      <c r="D56" s="841" t="s">
        <v>166</v>
      </c>
      <c r="E56" s="842"/>
      <c r="F56" s="843"/>
      <c r="G56" s="844">
        <f>+O44</f>
        <v>2500</v>
      </c>
      <c r="H56" s="845"/>
      <c r="I56" s="39"/>
      <c r="J56" s="846"/>
      <c r="K56" s="846"/>
      <c r="L56" s="846"/>
      <c r="M56" s="847"/>
      <c r="N56" s="847"/>
      <c r="O56" s="847"/>
    </row>
    <row r="57" spans="1:18" ht="13.5" thickBot="1" x14ac:dyDescent="0.25">
      <c r="B57" s="832"/>
      <c r="C57" s="835"/>
      <c r="D57" s="848" t="s">
        <v>243</v>
      </c>
      <c r="E57" s="849"/>
      <c r="F57" s="850"/>
      <c r="G57" s="851">
        <f>IF(O18&gt;15000,15000,+O18)</f>
        <v>0</v>
      </c>
      <c r="H57" s="852"/>
      <c r="J57" s="47"/>
      <c r="K57" s="47"/>
      <c r="L57" s="47"/>
      <c r="M57" s="47"/>
      <c r="N57" s="47"/>
      <c r="O57" s="47"/>
    </row>
    <row r="58" spans="1:18" ht="13.5" thickBot="1" x14ac:dyDescent="0.25">
      <c r="B58" s="48"/>
      <c r="J58" s="47"/>
      <c r="K58" s="47"/>
      <c r="L58" s="47"/>
      <c r="M58" s="47"/>
      <c r="N58" s="47"/>
      <c r="O58" s="47"/>
    </row>
    <row r="59" spans="1:18" ht="13.5" thickBot="1" x14ac:dyDescent="0.25">
      <c r="B59" s="789" t="s">
        <v>168</v>
      </c>
      <c r="C59" s="790"/>
      <c r="D59" s="790"/>
      <c r="E59" s="790"/>
      <c r="F59" s="791"/>
      <c r="G59" s="825">
        <f>+G53-SUM(G55:H57)</f>
        <v>568272</v>
      </c>
      <c r="H59" s="826"/>
      <c r="J59" s="827" t="s">
        <v>169</v>
      </c>
      <c r="K59" s="828"/>
      <c r="L59" s="828"/>
      <c r="M59" s="828"/>
      <c r="N59" s="828"/>
      <c r="O59" s="829"/>
    </row>
    <row r="60" spans="1:18" ht="13.5" thickBot="1" x14ac:dyDescent="0.25">
      <c r="B60" s="49"/>
      <c r="C60" s="50"/>
      <c r="D60" s="50"/>
      <c r="E60" s="50"/>
      <c r="F60" s="50"/>
      <c r="G60" s="45"/>
      <c r="H60" s="50"/>
      <c r="J60" s="129"/>
      <c r="K60" s="130"/>
      <c r="L60" s="130"/>
      <c r="M60" s="130"/>
      <c r="N60" s="130"/>
      <c r="O60" s="131"/>
    </row>
    <row r="61" spans="1:18" ht="13.5" thickBot="1" x14ac:dyDescent="0.25">
      <c r="B61" s="789" t="s">
        <v>170</v>
      </c>
      <c r="C61" s="790"/>
      <c r="D61" s="790"/>
      <c r="E61" s="790"/>
      <c r="F61" s="791"/>
      <c r="G61" s="805"/>
      <c r="H61" s="791"/>
      <c r="J61" s="129"/>
      <c r="K61" s="130"/>
      <c r="L61" s="130"/>
      <c r="M61" s="130"/>
      <c r="N61" s="130"/>
      <c r="O61" s="131"/>
    </row>
    <row r="62" spans="1:18" ht="12.75" customHeight="1" x14ac:dyDescent="0.2">
      <c r="B62" s="57" t="s">
        <v>171</v>
      </c>
      <c r="C62" s="806" t="s">
        <v>172</v>
      </c>
      <c r="D62" s="807"/>
      <c r="E62" s="807"/>
      <c r="F62" s="808"/>
      <c r="G62" s="809">
        <v>24780</v>
      </c>
      <c r="H62" s="809"/>
      <c r="I62" s="58"/>
      <c r="J62" s="810" t="s">
        <v>173</v>
      </c>
      <c r="K62" s="811"/>
      <c r="L62" s="811"/>
      <c r="M62" s="811"/>
      <c r="N62" s="811"/>
      <c r="O62" s="812"/>
      <c r="Q62" s="59"/>
      <c r="R62" s="59"/>
    </row>
    <row r="63" spans="1:18" ht="13.5" thickBot="1" x14ac:dyDescent="0.25">
      <c r="D63" s="37"/>
      <c r="I63" s="58"/>
      <c r="J63" s="60" t="s">
        <v>911</v>
      </c>
      <c r="K63" s="132"/>
      <c r="L63" s="132"/>
      <c r="M63" s="133"/>
      <c r="N63" s="133"/>
      <c r="O63" s="134"/>
      <c r="Q63" s="59"/>
      <c r="R63" s="59"/>
    </row>
    <row r="64" spans="1:18" ht="13.5" thickBot="1" x14ac:dyDescent="0.25">
      <c r="B64" s="789" t="s">
        <v>175</v>
      </c>
      <c r="C64" s="790"/>
      <c r="D64" s="790"/>
      <c r="E64" s="790"/>
      <c r="F64" s="791"/>
      <c r="G64" s="805">
        <f>+G59-G62</f>
        <v>543492</v>
      </c>
      <c r="H64" s="791"/>
      <c r="I64" s="63"/>
      <c r="J64" s="64"/>
      <c r="K64" s="39"/>
      <c r="L64" s="39"/>
      <c r="M64" s="39"/>
      <c r="N64" s="39"/>
      <c r="O64" s="65"/>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6.25" customHeight="1" thickBot="1" x14ac:dyDescent="0.25">
      <c r="B67" s="66"/>
      <c r="C67" s="48"/>
      <c r="G67" s="70" t="s">
        <v>177</v>
      </c>
      <c r="H67" s="70" t="s">
        <v>178</v>
      </c>
      <c r="I67" s="63"/>
      <c r="J67" s="810" t="s">
        <v>179</v>
      </c>
      <c r="K67" s="811"/>
      <c r="L67" s="71"/>
      <c r="M67" s="71"/>
      <c r="N67" s="71"/>
      <c r="O67" s="72"/>
      <c r="Q67" s="59"/>
      <c r="R67" s="59"/>
    </row>
    <row r="68" spans="2:18" ht="12.75" customHeight="1" x14ac:dyDescent="0.2">
      <c r="B68" s="802" t="s">
        <v>180</v>
      </c>
      <c r="C68" s="821" t="s">
        <v>181</v>
      </c>
      <c r="D68" s="823" t="s">
        <v>182</v>
      </c>
      <c r="E68" s="824"/>
      <c r="F68" s="824"/>
      <c r="G68" s="73">
        <f>+O43</f>
        <v>120000</v>
      </c>
      <c r="H68" s="74">
        <f t="shared" ref="H68:H76" si="5">+G68</f>
        <v>120000</v>
      </c>
      <c r="I68" s="63"/>
      <c r="J68" s="181" t="s">
        <v>912</v>
      </c>
      <c r="K68" s="58"/>
      <c r="L68" s="58"/>
      <c r="M68" s="135" t="s">
        <v>232</v>
      </c>
      <c r="N68" s="135" t="s">
        <v>233</v>
      </c>
      <c r="O68" s="76">
        <f>510*12</f>
        <v>6120</v>
      </c>
      <c r="Q68" s="59"/>
      <c r="R68" s="59"/>
    </row>
    <row r="69" spans="2:18" ht="12.75" customHeight="1" x14ac:dyDescent="0.2">
      <c r="B69" s="803"/>
      <c r="C69" s="822"/>
      <c r="D69" s="782" t="s">
        <v>184</v>
      </c>
      <c r="E69" s="783"/>
      <c r="F69" s="783"/>
      <c r="G69" s="77">
        <f>+O47+510*12</f>
        <v>6120</v>
      </c>
      <c r="H69" s="78">
        <f t="shared" si="5"/>
        <v>6120</v>
      </c>
      <c r="I69" s="63"/>
      <c r="J69" s="79"/>
      <c r="K69" s="68"/>
      <c r="L69" s="68"/>
      <c r="M69" s="68"/>
      <c r="N69" s="68"/>
      <c r="O69" s="69"/>
      <c r="Q69" s="59"/>
      <c r="R69" s="59"/>
    </row>
    <row r="70" spans="2:18" ht="12.75" customHeight="1" x14ac:dyDescent="0.2">
      <c r="B70" s="803"/>
      <c r="C70" s="822"/>
      <c r="D70" s="819" t="s">
        <v>185</v>
      </c>
      <c r="E70" s="820"/>
      <c r="F70" s="820"/>
      <c r="G70" s="80">
        <f>O40</f>
        <v>360</v>
      </c>
      <c r="H70" s="78">
        <f t="shared" si="5"/>
        <v>360</v>
      </c>
      <c r="I70" s="63"/>
      <c r="J70" s="67"/>
      <c r="K70" s="68"/>
      <c r="L70" s="68"/>
      <c r="M70" s="68"/>
      <c r="N70" s="68"/>
      <c r="O70" s="69"/>
    </row>
    <row r="71" spans="2:18" x14ac:dyDescent="0.2">
      <c r="B71" s="803"/>
      <c r="C71" s="822"/>
      <c r="D71" s="782" t="s">
        <v>913</v>
      </c>
      <c r="E71" s="783"/>
      <c r="F71" s="783"/>
      <c r="G71" s="81">
        <v>0</v>
      </c>
      <c r="H71" s="78">
        <f t="shared" si="5"/>
        <v>0</v>
      </c>
      <c r="I71" s="63"/>
      <c r="J71" s="82" t="s">
        <v>187</v>
      </c>
      <c r="K71" s="71"/>
      <c r="L71" s="71"/>
      <c r="M71" s="71"/>
      <c r="N71" s="71"/>
      <c r="O71" s="72"/>
    </row>
    <row r="72" spans="2:18" ht="12.75" customHeight="1" x14ac:dyDescent="0.2">
      <c r="B72" s="803"/>
      <c r="C72" s="822"/>
      <c r="D72" s="784" t="s">
        <v>188</v>
      </c>
      <c r="E72" s="783"/>
      <c r="F72" s="783"/>
      <c r="G72" s="80">
        <v>0</v>
      </c>
      <c r="H72" s="78">
        <f t="shared" si="5"/>
        <v>0</v>
      </c>
      <c r="I72" s="63"/>
      <c r="J72" s="75" t="s">
        <v>189</v>
      </c>
      <c r="K72" s="50"/>
      <c r="L72" s="50"/>
      <c r="M72" s="50"/>
      <c r="N72" s="50"/>
      <c r="O72" s="83">
        <v>0</v>
      </c>
    </row>
    <row r="73" spans="2:18" ht="14.25" customHeight="1" x14ac:dyDescent="0.2">
      <c r="B73" s="803"/>
      <c r="C73" s="822"/>
      <c r="D73" s="782" t="s">
        <v>190</v>
      </c>
      <c r="E73" s="783"/>
      <c r="F73" s="783"/>
      <c r="G73" s="84">
        <v>0</v>
      </c>
      <c r="H73" s="78">
        <f t="shared" si="5"/>
        <v>0</v>
      </c>
      <c r="I73" s="63"/>
      <c r="J73" s="64"/>
      <c r="K73" s="39"/>
      <c r="L73" s="39"/>
      <c r="M73" s="39"/>
      <c r="N73" s="39"/>
      <c r="O73" s="65"/>
    </row>
    <row r="74" spans="2:18" x14ac:dyDescent="0.2">
      <c r="B74" s="803"/>
      <c r="C74" s="822"/>
      <c r="D74" s="782" t="s">
        <v>191</v>
      </c>
      <c r="E74" s="783"/>
      <c r="F74" s="783"/>
      <c r="G74" s="81">
        <v>28255</v>
      </c>
      <c r="H74" s="78">
        <f t="shared" si="5"/>
        <v>28255</v>
      </c>
      <c r="I74" s="58"/>
      <c r="J74" s="150"/>
      <c r="K74" s="50"/>
      <c r="L74" s="50"/>
      <c r="M74" s="50"/>
      <c r="N74" s="50"/>
      <c r="O74" s="83"/>
    </row>
    <row r="75" spans="2:18" x14ac:dyDescent="0.2">
      <c r="B75" s="803"/>
      <c r="C75" s="88" t="s">
        <v>192</v>
      </c>
      <c r="D75" s="813" t="s">
        <v>193</v>
      </c>
      <c r="E75" s="814"/>
      <c r="F75" s="814"/>
      <c r="G75" s="80">
        <v>0</v>
      </c>
      <c r="H75" s="78">
        <f t="shared" si="5"/>
        <v>0</v>
      </c>
      <c r="I75" s="58"/>
      <c r="J75" s="79"/>
      <c r="K75" s="39"/>
      <c r="L75" s="39"/>
      <c r="M75" s="39"/>
      <c r="N75" s="39"/>
      <c r="O75" s="65"/>
    </row>
    <row r="76" spans="2:18" ht="13.5" customHeight="1" thickBot="1" x14ac:dyDescent="0.25">
      <c r="B76" s="803"/>
      <c r="C76" s="88" t="s">
        <v>194</v>
      </c>
      <c r="D76" s="815" t="s">
        <v>195</v>
      </c>
      <c r="E76" s="815"/>
      <c r="F76" s="815"/>
      <c r="G76" s="89">
        <v>0</v>
      </c>
      <c r="H76" s="90">
        <f t="shared" si="5"/>
        <v>0</v>
      </c>
      <c r="I76" s="63"/>
      <c r="J76" s="67"/>
      <c r="K76" s="68"/>
      <c r="L76" s="68"/>
      <c r="M76" s="91"/>
      <c r="N76" s="91"/>
      <c r="O76" s="92"/>
    </row>
    <row r="77" spans="2:18" ht="13.5" thickBot="1" x14ac:dyDescent="0.25">
      <c r="B77" s="803"/>
      <c r="C77" s="93"/>
      <c r="D77" s="94"/>
      <c r="E77" s="816" t="s">
        <v>117</v>
      </c>
      <c r="F77" s="817"/>
      <c r="G77" s="95">
        <f>SUM(G68:G76)</f>
        <v>154735</v>
      </c>
      <c r="H77" s="96">
        <f>IF(SUM(G68:G74)&lt;150000,SUM(G68:G74),150000)+IF(+G75&lt;20000,+G75,20000)</f>
        <v>150000</v>
      </c>
      <c r="I77" s="63"/>
      <c r="J77" s="140"/>
      <c r="K77" s="141"/>
      <c r="L77" s="141"/>
      <c r="M77" s="142"/>
      <c r="N77" s="142"/>
      <c r="O77" s="143"/>
    </row>
    <row r="78" spans="2:18" ht="12.75" customHeight="1" x14ac:dyDescent="0.2">
      <c r="B78" s="803"/>
      <c r="C78" s="100" t="s">
        <v>196</v>
      </c>
      <c r="D78" s="782" t="s">
        <v>187</v>
      </c>
      <c r="E78" s="783"/>
      <c r="F78" s="818"/>
      <c r="G78" s="73">
        <f>+O42</f>
        <v>0</v>
      </c>
      <c r="H78" s="101">
        <f>+IF(+G78&lt;25000,+G78,25000)</f>
        <v>0</v>
      </c>
      <c r="I78" s="87"/>
    </row>
    <row r="79" spans="2:18" x14ac:dyDescent="0.2">
      <c r="B79" s="803"/>
      <c r="C79" s="100" t="s">
        <v>197</v>
      </c>
      <c r="D79" s="784" t="s">
        <v>198</v>
      </c>
      <c r="E79" s="785"/>
      <c r="F79" s="786"/>
      <c r="G79" s="102"/>
      <c r="H79" s="103">
        <f>+IF(+G79&lt;40000,+G79,40000)</f>
        <v>0</v>
      </c>
      <c r="I79" s="63"/>
    </row>
    <row r="80" spans="2:18" ht="15" x14ac:dyDescent="0.25">
      <c r="B80" s="803"/>
      <c r="C80" s="100" t="s">
        <v>199</v>
      </c>
      <c r="D80" s="784" t="s">
        <v>200</v>
      </c>
      <c r="E80" s="785"/>
      <c r="F80" s="786"/>
      <c r="G80" s="81"/>
      <c r="H80" s="104">
        <v>0</v>
      </c>
      <c r="I80" s="63"/>
      <c r="J80" s="264"/>
      <c r="K80" s="264"/>
      <c r="L80" s="264"/>
    </row>
    <row r="81" spans="2:12" x14ac:dyDescent="0.2">
      <c r="B81" s="803"/>
      <c r="C81" s="100" t="s">
        <v>201</v>
      </c>
      <c r="D81" s="784" t="s">
        <v>202</v>
      </c>
      <c r="E81" s="785"/>
      <c r="F81" s="786"/>
      <c r="G81" s="81"/>
      <c r="H81" s="104">
        <v>0</v>
      </c>
      <c r="I81" s="63"/>
    </row>
    <row r="82" spans="2:12" ht="13.5" thickBot="1" x14ac:dyDescent="0.25">
      <c r="B82" s="804"/>
      <c r="C82" s="100" t="s">
        <v>203</v>
      </c>
      <c r="D82" s="784" t="s">
        <v>204</v>
      </c>
      <c r="E82" s="785"/>
      <c r="F82" s="786"/>
      <c r="G82" s="102"/>
      <c r="H82" s="103">
        <f>+IF(+G82&lt;100000,+G82,10000)</f>
        <v>0</v>
      </c>
      <c r="I82" s="63"/>
      <c r="J82" s="106"/>
    </row>
    <row r="83" spans="2:12" ht="13.5" thickBot="1" x14ac:dyDescent="0.25">
      <c r="B83" s="787" t="s">
        <v>205</v>
      </c>
      <c r="C83" s="788"/>
      <c r="D83" s="788"/>
      <c r="E83" s="788"/>
      <c r="F83" s="788"/>
      <c r="G83" s="107">
        <f>SUM(G78:G82)</f>
        <v>0</v>
      </c>
      <c r="H83" s="108">
        <f>SUM(H77:H82)</f>
        <v>150000</v>
      </c>
    </row>
    <row r="84" spans="2:12" ht="13.5" thickBot="1" x14ac:dyDescent="0.25"/>
    <row r="85" spans="2:12" ht="13.5" thickBot="1" x14ac:dyDescent="0.25">
      <c r="B85" s="789" t="s">
        <v>206</v>
      </c>
      <c r="C85" s="790"/>
      <c r="D85" s="790"/>
      <c r="E85" s="790"/>
      <c r="F85" s="791"/>
      <c r="G85" s="792">
        <f>+G64-H83</f>
        <v>393492</v>
      </c>
      <c r="H85" s="791"/>
      <c r="J85" s="109">
        <f>C37+D37+E37+F37</f>
        <v>195072</v>
      </c>
      <c r="K85" s="16" t="s">
        <v>235</v>
      </c>
      <c r="L85" s="87"/>
    </row>
    <row r="86" spans="2:12" x14ac:dyDescent="0.2">
      <c r="B86" s="110"/>
      <c r="F86" s="105"/>
      <c r="J86" s="109">
        <f>G37+H37+I37</f>
        <v>154106</v>
      </c>
      <c r="K86" s="16" t="s">
        <v>236</v>
      </c>
      <c r="L86" s="87"/>
    </row>
    <row r="87" spans="2:12" x14ac:dyDescent="0.2">
      <c r="C87" s="793" t="s">
        <v>207</v>
      </c>
      <c r="D87" s="794"/>
      <c r="E87" s="111" t="s">
        <v>208</v>
      </c>
      <c r="F87" s="111" t="s">
        <v>209</v>
      </c>
      <c r="G87" s="111" t="s">
        <v>210</v>
      </c>
      <c r="H87" s="111" t="s">
        <v>211</v>
      </c>
      <c r="J87" s="206">
        <f>J37+K37+L37</f>
        <v>160646</v>
      </c>
      <c r="K87" s="47" t="s">
        <v>237</v>
      </c>
      <c r="L87" s="87"/>
    </row>
    <row r="88" spans="2:12" x14ac:dyDescent="0.2">
      <c r="C88" s="795" t="str">
        <f>IF(I6="M","0          - 250000","0          -  250000")</f>
        <v>0          - 250000</v>
      </c>
      <c r="D88" s="796"/>
      <c r="E88" s="112">
        <v>0</v>
      </c>
      <c r="F88" s="113">
        <f>IF(I6="M",(IF(G85&lt;250000,G85,250000)),(IF(G85&lt;250000,G85,250000)))</f>
        <v>250000</v>
      </c>
      <c r="G88" s="113">
        <f>G85-F88</f>
        <v>143492</v>
      </c>
      <c r="H88" s="113">
        <f>E88*F88</f>
        <v>0</v>
      </c>
      <c r="J88" s="207">
        <f>M37+N37</f>
        <v>100948</v>
      </c>
      <c r="K88" s="1" t="s">
        <v>238</v>
      </c>
      <c r="L88" s="87"/>
    </row>
    <row r="89" spans="2:12" x14ac:dyDescent="0.2">
      <c r="C89" s="795" t="str">
        <f>IF(I6="M","250001 - 500000","250001-500000")</f>
        <v>250001 - 500000</v>
      </c>
      <c r="D89" s="796"/>
      <c r="E89" s="112">
        <v>0.05</v>
      </c>
      <c r="F89" s="113">
        <f>IF(I6="M",(IF(G88&lt;250000,G88,250000)),(IF(G88&lt;250000,G88,250000)))</f>
        <v>143492</v>
      </c>
      <c r="G89" s="113">
        <f>G88-F89</f>
        <v>0</v>
      </c>
      <c r="H89" s="114">
        <f>ROUND(E89*F89,0.1)</f>
        <v>7175</v>
      </c>
      <c r="J89" s="115">
        <f>SUM(J85:J88)</f>
        <v>610772</v>
      </c>
      <c r="L89" s="87"/>
    </row>
    <row r="90" spans="2:12" x14ac:dyDescent="0.2">
      <c r="C90" s="797" t="s">
        <v>212</v>
      </c>
      <c r="D90" s="798"/>
      <c r="E90" s="112">
        <v>0.2</v>
      </c>
      <c r="F90" s="113">
        <f>IF(G89&lt;500000,G89,500000)</f>
        <v>0</v>
      </c>
      <c r="G90" s="113">
        <f>G89-F90</f>
        <v>0</v>
      </c>
      <c r="H90" s="114">
        <f>ROUND(E90*F90,0.1)</f>
        <v>0</v>
      </c>
      <c r="J90" s="16">
        <f>+G85</f>
        <v>393492</v>
      </c>
      <c r="L90" s="87"/>
    </row>
    <row r="91" spans="2:12" x14ac:dyDescent="0.2">
      <c r="C91" s="795" t="s">
        <v>213</v>
      </c>
      <c r="D91" s="796"/>
      <c r="E91" s="112">
        <v>0.3</v>
      </c>
      <c r="F91" s="113">
        <f>G90</f>
        <v>0</v>
      </c>
      <c r="G91" s="113">
        <f>G90-F91</f>
        <v>0</v>
      </c>
      <c r="H91" s="114">
        <f>ROUND(E91*F91,0.1)</f>
        <v>0</v>
      </c>
      <c r="J91" s="16">
        <f>+J89-J90</f>
        <v>217280</v>
      </c>
      <c r="L91" s="87"/>
    </row>
    <row r="92" spans="2:12" ht="12.75" customHeight="1" thickBot="1" x14ac:dyDescent="0.25">
      <c r="B92" s="116"/>
      <c r="C92" s="117"/>
      <c r="D92" s="47"/>
      <c r="E92" s="47"/>
      <c r="F92" s="47"/>
    </row>
    <row r="93" spans="2:12" ht="13.5" thickBot="1" x14ac:dyDescent="0.25">
      <c r="B93" s="799" t="s">
        <v>239</v>
      </c>
      <c r="C93" s="800"/>
      <c r="D93" s="800"/>
      <c r="E93" s="800"/>
      <c r="F93" s="801"/>
      <c r="G93" s="771">
        <f>H88+H89+H90+H91</f>
        <v>7175</v>
      </c>
      <c r="H93" s="772"/>
    </row>
    <row r="94" spans="2:12" ht="13.5" thickBot="1" x14ac:dyDescent="0.25">
      <c r="B94" s="119" t="s">
        <v>215</v>
      </c>
      <c r="C94" s="120"/>
      <c r="D94" s="120"/>
      <c r="E94" s="120"/>
      <c r="F94" s="120"/>
      <c r="G94" s="895">
        <f>IF((G64&lt;500000),5000,0)</f>
        <v>0</v>
      </c>
      <c r="H94" s="896">
        <f>IF(H92&lt;200000,0,IF(H92&lt;220000,((H92-200000)*10%),IF(H92&lt;=500000,2000,IF(H92&gt;=500000,0))))</f>
        <v>0</v>
      </c>
      <c r="J94" s="1"/>
      <c r="K94" s="121"/>
      <c r="L94" s="121"/>
    </row>
    <row r="95" spans="2:12" ht="13.5" thickBot="1" x14ac:dyDescent="0.25">
      <c r="B95" s="122" t="s">
        <v>216</v>
      </c>
      <c r="C95" s="123"/>
      <c r="D95" s="123"/>
      <c r="E95" s="123"/>
      <c r="F95" s="123"/>
      <c r="G95" s="897">
        <f>IF((G93-G94)&lt;0,0,(G93-G94))</f>
        <v>7175</v>
      </c>
      <c r="H95" s="898"/>
      <c r="I95" s="37"/>
    </row>
    <row r="96" spans="2:12" ht="13.5" thickBot="1" x14ac:dyDescent="0.25">
      <c r="B96" s="773" t="s">
        <v>240</v>
      </c>
      <c r="C96" s="774"/>
      <c r="D96" s="774"/>
      <c r="E96" s="774"/>
      <c r="F96" s="775"/>
      <c r="G96" s="899">
        <f>ROUND((IF(G95&gt;0,(G95*4%),0)),0)</f>
        <v>287</v>
      </c>
      <c r="H96" s="900"/>
      <c r="I96" s="37"/>
    </row>
    <row r="97" spans="2:9" ht="13.5" thickBot="1" x14ac:dyDescent="0.25">
      <c r="B97" s="778" t="s">
        <v>218</v>
      </c>
      <c r="C97" s="779"/>
      <c r="D97" s="779"/>
      <c r="E97" s="779"/>
      <c r="F97" s="779"/>
      <c r="G97" s="901">
        <f>G95+G96</f>
        <v>7462</v>
      </c>
      <c r="H97" s="902"/>
      <c r="I97" s="121"/>
    </row>
    <row r="98" spans="2:9" ht="13.5" thickBot="1" x14ac:dyDescent="0.25">
      <c r="B98" s="765" t="s">
        <v>219</v>
      </c>
      <c r="C98" s="766"/>
      <c r="D98" s="766"/>
      <c r="E98" s="766"/>
      <c r="F98" s="766"/>
      <c r="G98" s="893">
        <f>O38</f>
        <v>7470</v>
      </c>
      <c r="H98" s="894"/>
      <c r="I98" s="121"/>
    </row>
    <row r="99" spans="2:9" ht="13.5" thickBot="1" x14ac:dyDescent="0.25">
      <c r="B99" s="765" t="str">
        <f>IF(G99&gt;0,"TAX PAYABLE","TAX REFUND")</f>
        <v>TAX REFUND</v>
      </c>
      <c r="C99" s="766"/>
      <c r="D99" s="766"/>
      <c r="E99" s="766"/>
      <c r="F99" s="766"/>
      <c r="G99" s="893">
        <f>+G97-G98</f>
        <v>-8</v>
      </c>
      <c r="H99" s="894"/>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0:F90 B99:F99 B93:F97">
    <cfRule type="cellIs" dxfId="321" priority="1" stopIfTrue="1" operator="equal">
      <formula>"TAX PAYABLE"</formula>
    </cfRule>
    <cfRule type="cellIs" dxfId="320" priority="2" stopIfTrue="1" operator="equal">
      <formula>"TAX REFUND"</formula>
    </cfRule>
  </conditionalFormatting>
  <conditionalFormatting sqref="G90:H90">
    <cfRule type="cellIs" dxfId="319" priority="3" stopIfTrue="1" operator="lessThan">
      <formula>0</formula>
    </cfRule>
    <cfRule type="cellIs" dxfId="318" priority="4" stopIfTrue="1" operator="greaterThan">
      <formula>0</formula>
    </cfRule>
  </conditionalFormatting>
  <conditionalFormatting sqref="G99:H99">
    <cfRule type="cellIs" dxfId="317" priority="5" stopIfTrue="1" operator="greaterThan">
      <formula>0</formula>
    </cfRule>
    <cfRule type="cellIs" dxfId="316" priority="6"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legacyDrawing r:id="rId2"/>
</worksheet>
</file>

<file path=xl/worksheets/sheet1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V108"/>
  <sheetViews>
    <sheetView topLeftCell="A59" workbookViewId="0">
      <selection activeCell="J56" sqref="J56"/>
    </sheetView>
  </sheetViews>
  <sheetFormatPr defaultRowHeight="12.75" x14ac:dyDescent="0.2"/>
  <cols>
    <col min="1" max="1" width="5" style="16" customWidth="1"/>
    <col min="2" max="2" width="19.42578125" style="37" customWidth="1"/>
    <col min="3" max="3" width="8.42578125" style="16" customWidth="1"/>
    <col min="4" max="4" width="7.5703125" style="16" customWidth="1"/>
    <col min="5" max="5" width="8.5703125" style="16" bestFit="1" customWidth="1"/>
    <col min="6" max="8" width="8.42578125" style="16" customWidth="1"/>
    <col min="9" max="15" width="7.8554687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9.42578125" style="16" customWidth="1"/>
    <col min="259" max="259" width="8.42578125" style="16" customWidth="1"/>
    <col min="260" max="260" width="7.5703125" style="16" customWidth="1"/>
    <col min="261" max="261" width="8.5703125" style="16" bestFit="1" customWidth="1"/>
    <col min="262" max="264" width="8.42578125" style="16" customWidth="1"/>
    <col min="265" max="271" width="7.8554687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9.42578125" style="16" customWidth="1"/>
    <col min="515" max="515" width="8.42578125" style="16" customWidth="1"/>
    <col min="516" max="516" width="7.5703125" style="16" customWidth="1"/>
    <col min="517" max="517" width="8.5703125" style="16" bestFit="1" customWidth="1"/>
    <col min="518" max="520" width="8.42578125" style="16" customWidth="1"/>
    <col min="521" max="527" width="7.8554687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9.42578125" style="16" customWidth="1"/>
    <col min="771" max="771" width="8.42578125" style="16" customWidth="1"/>
    <col min="772" max="772" width="7.5703125" style="16" customWidth="1"/>
    <col min="773" max="773" width="8.5703125" style="16" bestFit="1" customWidth="1"/>
    <col min="774" max="776" width="8.42578125" style="16" customWidth="1"/>
    <col min="777" max="783" width="7.8554687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9.42578125" style="16" customWidth="1"/>
    <col min="1027" max="1027" width="8.42578125" style="16" customWidth="1"/>
    <col min="1028" max="1028" width="7.5703125" style="16" customWidth="1"/>
    <col min="1029" max="1029" width="8.5703125" style="16" bestFit="1" customWidth="1"/>
    <col min="1030" max="1032" width="8.42578125" style="16" customWidth="1"/>
    <col min="1033" max="1039" width="7.8554687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9.42578125" style="16" customWidth="1"/>
    <col min="1283" max="1283" width="8.42578125" style="16" customWidth="1"/>
    <col min="1284" max="1284" width="7.5703125" style="16" customWidth="1"/>
    <col min="1285" max="1285" width="8.5703125" style="16" bestFit="1" customWidth="1"/>
    <col min="1286" max="1288" width="8.42578125" style="16" customWidth="1"/>
    <col min="1289" max="1295" width="7.8554687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9.42578125" style="16" customWidth="1"/>
    <col min="1539" max="1539" width="8.42578125" style="16" customWidth="1"/>
    <col min="1540" max="1540" width="7.5703125" style="16" customWidth="1"/>
    <col min="1541" max="1541" width="8.5703125" style="16" bestFit="1" customWidth="1"/>
    <col min="1542" max="1544" width="8.42578125" style="16" customWidth="1"/>
    <col min="1545" max="1551" width="7.8554687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9.42578125" style="16" customWidth="1"/>
    <col min="1795" max="1795" width="8.42578125" style="16" customWidth="1"/>
    <col min="1796" max="1796" width="7.5703125" style="16" customWidth="1"/>
    <col min="1797" max="1797" width="8.5703125" style="16" bestFit="1" customWidth="1"/>
    <col min="1798" max="1800" width="8.42578125" style="16" customWidth="1"/>
    <col min="1801" max="1807" width="7.8554687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9.42578125" style="16" customWidth="1"/>
    <col min="2051" max="2051" width="8.42578125" style="16" customWidth="1"/>
    <col min="2052" max="2052" width="7.5703125" style="16" customWidth="1"/>
    <col min="2053" max="2053" width="8.5703125" style="16" bestFit="1" customWidth="1"/>
    <col min="2054" max="2056" width="8.42578125" style="16" customWidth="1"/>
    <col min="2057" max="2063" width="7.8554687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9.42578125" style="16" customWidth="1"/>
    <col min="2307" max="2307" width="8.42578125" style="16" customWidth="1"/>
    <col min="2308" max="2308" width="7.5703125" style="16" customWidth="1"/>
    <col min="2309" max="2309" width="8.5703125" style="16" bestFit="1" customWidth="1"/>
    <col min="2310" max="2312" width="8.42578125" style="16" customWidth="1"/>
    <col min="2313" max="2319" width="7.8554687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9.42578125" style="16" customWidth="1"/>
    <col min="2563" max="2563" width="8.42578125" style="16" customWidth="1"/>
    <col min="2564" max="2564" width="7.5703125" style="16" customWidth="1"/>
    <col min="2565" max="2565" width="8.5703125" style="16" bestFit="1" customWidth="1"/>
    <col min="2566" max="2568" width="8.42578125" style="16" customWidth="1"/>
    <col min="2569" max="2575" width="7.8554687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9.42578125" style="16" customWidth="1"/>
    <col min="2819" max="2819" width="8.42578125" style="16" customWidth="1"/>
    <col min="2820" max="2820" width="7.5703125" style="16" customWidth="1"/>
    <col min="2821" max="2821" width="8.5703125" style="16" bestFit="1" customWidth="1"/>
    <col min="2822" max="2824" width="8.42578125" style="16" customWidth="1"/>
    <col min="2825" max="2831" width="7.8554687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9.42578125" style="16" customWidth="1"/>
    <col min="3075" max="3075" width="8.42578125" style="16" customWidth="1"/>
    <col min="3076" max="3076" width="7.5703125" style="16" customWidth="1"/>
    <col min="3077" max="3077" width="8.5703125" style="16" bestFit="1" customWidth="1"/>
    <col min="3078" max="3080" width="8.42578125" style="16" customWidth="1"/>
    <col min="3081" max="3087" width="7.8554687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9.42578125" style="16" customWidth="1"/>
    <col min="3331" max="3331" width="8.42578125" style="16" customWidth="1"/>
    <col min="3332" max="3332" width="7.5703125" style="16" customWidth="1"/>
    <col min="3333" max="3333" width="8.5703125" style="16" bestFit="1" customWidth="1"/>
    <col min="3334" max="3336" width="8.42578125" style="16" customWidth="1"/>
    <col min="3337" max="3343" width="7.8554687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9.42578125" style="16" customWidth="1"/>
    <col min="3587" max="3587" width="8.42578125" style="16" customWidth="1"/>
    <col min="3588" max="3588" width="7.5703125" style="16" customWidth="1"/>
    <col min="3589" max="3589" width="8.5703125" style="16" bestFit="1" customWidth="1"/>
    <col min="3590" max="3592" width="8.42578125" style="16" customWidth="1"/>
    <col min="3593" max="3599" width="7.8554687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9.42578125" style="16" customWidth="1"/>
    <col min="3843" max="3843" width="8.42578125" style="16" customWidth="1"/>
    <col min="3844" max="3844" width="7.5703125" style="16" customWidth="1"/>
    <col min="3845" max="3845" width="8.5703125" style="16" bestFit="1" customWidth="1"/>
    <col min="3846" max="3848" width="8.42578125" style="16" customWidth="1"/>
    <col min="3849" max="3855" width="7.8554687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9.42578125" style="16" customWidth="1"/>
    <col min="4099" max="4099" width="8.42578125" style="16" customWidth="1"/>
    <col min="4100" max="4100" width="7.5703125" style="16" customWidth="1"/>
    <col min="4101" max="4101" width="8.5703125" style="16" bestFit="1" customWidth="1"/>
    <col min="4102" max="4104" width="8.42578125" style="16" customWidth="1"/>
    <col min="4105" max="4111" width="7.8554687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9.42578125" style="16" customWidth="1"/>
    <col min="4355" max="4355" width="8.42578125" style="16" customWidth="1"/>
    <col min="4356" max="4356" width="7.5703125" style="16" customWidth="1"/>
    <col min="4357" max="4357" width="8.5703125" style="16" bestFit="1" customWidth="1"/>
    <col min="4358" max="4360" width="8.42578125" style="16" customWidth="1"/>
    <col min="4361" max="4367" width="7.8554687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9.42578125" style="16" customWidth="1"/>
    <col min="4611" max="4611" width="8.42578125" style="16" customWidth="1"/>
    <col min="4612" max="4612" width="7.5703125" style="16" customWidth="1"/>
    <col min="4613" max="4613" width="8.5703125" style="16" bestFit="1" customWidth="1"/>
    <col min="4614" max="4616" width="8.42578125" style="16" customWidth="1"/>
    <col min="4617" max="4623" width="7.8554687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9.42578125" style="16" customWidth="1"/>
    <col min="4867" max="4867" width="8.42578125" style="16" customWidth="1"/>
    <col min="4868" max="4868" width="7.5703125" style="16" customWidth="1"/>
    <col min="4869" max="4869" width="8.5703125" style="16" bestFit="1" customWidth="1"/>
    <col min="4870" max="4872" width="8.42578125" style="16" customWidth="1"/>
    <col min="4873" max="4879" width="7.8554687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9.42578125" style="16" customWidth="1"/>
    <col min="5123" max="5123" width="8.42578125" style="16" customWidth="1"/>
    <col min="5124" max="5124" width="7.5703125" style="16" customWidth="1"/>
    <col min="5125" max="5125" width="8.5703125" style="16" bestFit="1" customWidth="1"/>
    <col min="5126" max="5128" width="8.42578125" style="16" customWidth="1"/>
    <col min="5129" max="5135" width="7.8554687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9.42578125" style="16" customWidth="1"/>
    <col min="5379" max="5379" width="8.42578125" style="16" customWidth="1"/>
    <col min="5380" max="5380" width="7.5703125" style="16" customWidth="1"/>
    <col min="5381" max="5381" width="8.5703125" style="16" bestFit="1" customWidth="1"/>
    <col min="5382" max="5384" width="8.42578125" style="16" customWidth="1"/>
    <col min="5385" max="5391" width="7.8554687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9.42578125" style="16" customWidth="1"/>
    <col min="5635" max="5635" width="8.42578125" style="16" customWidth="1"/>
    <col min="5636" max="5636" width="7.5703125" style="16" customWidth="1"/>
    <col min="5637" max="5637" width="8.5703125" style="16" bestFit="1" customWidth="1"/>
    <col min="5638" max="5640" width="8.42578125" style="16" customWidth="1"/>
    <col min="5641" max="5647" width="7.8554687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9.42578125" style="16" customWidth="1"/>
    <col min="5891" max="5891" width="8.42578125" style="16" customWidth="1"/>
    <col min="5892" max="5892" width="7.5703125" style="16" customWidth="1"/>
    <col min="5893" max="5893" width="8.5703125" style="16" bestFit="1" customWidth="1"/>
    <col min="5894" max="5896" width="8.42578125" style="16" customWidth="1"/>
    <col min="5897" max="5903" width="7.8554687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9.42578125" style="16" customWidth="1"/>
    <col min="6147" max="6147" width="8.42578125" style="16" customWidth="1"/>
    <col min="6148" max="6148" width="7.5703125" style="16" customWidth="1"/>
    <col min="6149" max="6149" width="8.5703125" style="16" bestFit="1" customWidth="1"/>
    <col min="6150" max="6152" width="8.42578125" style="16" customWidth="1"/>
    <col min="6153" max="6159" width="7.8554687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9.42578125" style="16" customWidth="1"/>
    <col min="6403" max="6403" width="8.42578125" style="16" customWidth="1"/>
    <col min="6404" max="6404" width="7.5703125" style="16" customWidth="1"/>
    <col min="6405" max="6405" width="8.5703125" style="16" bestFit="1" customWidth="1"/>
    <col min="6406" max="6408" width="8.42578125" style="16" customWidth="1"/>
    <col min="6409" max="6415" width="7.8554687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9.42578125" style="16" customWidth="1"/>
    <col min="6659" max="6659" width="8.42578125" style="16" customWidth="1"/>
    <col min="6660" max="6660" width="7.5703125" style="16" customWidth="1"/>
    <col min="6661" max="6661" width="8.5703125" style="16" bestFit="1" customWidth="1"/>
    <col min="6662" max="6664" width="8.42578125" style="16" customWidth="1"/>
    <col min="6665" max="6671" width="7.8554687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9.42578125" style="16" customWidth="1"/>
    <col min="6915" max="6915" width="8.42578125" style="16" customWidth="1"/>
    <col min="6916" max="6916" width="7.5703125" style="16" customWidth="1"/>
    <col min="6917" max="6917" width="8.5703125" style="16" bestFit="1" customWidth="1"/>
    <col min="6918" max="6920" width="8.42578125" style="16" customWidth="1"/>
    <col min="6921" max="6927" width="7.8554687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9.42578125" style="16" customWidth="1"/>
    <col min="7171" max="7171" width="8.42578125" style="16" customWidth="1"/>
    <col min="7172" max="7172" width="7.5703125" style="16" customWidth="1"/>
    <col min="7173" max="7173" width="8.5703125" style="16" bestFit="1" customWidth="1"/>
    <col min="7174" max="7176" width="8.42578125" style="16" customWidth="1"/>
    <col min="7177" max="7183" width="7.8554687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9.42578125" style="16" customWidth="1"/>
    <col min="7427" max="7427" width="8.42578125" style="16" customWidth="1"/>
    <col min="7428" max="7428" width="7.5703125" style="16" customWidth="1"/>
    <col min="7429" max="7429" width="8.5703125" style="16" bestFit="1" customWidth="1"/>
    <col min="7430" max="7432" width="8.42578125" style="16" customWidth="1"/>
    <col min="7433" max="7439" width="7.8554687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9.42578125" style="16" customWidth="1"/>
    <col min="7683" max="7683" width="8.42578125" style="16" customWidth="1"/>
    <col min="7684" max="7684" width="7.5703125" style="16" customWidth="1"/>
    <col min="7685" max="7685" width="8.5703125" style="16" bestFit="1" customWidth="1"/>
    <col min="7686" max="7688" width="8.42578125" style="16" customWidth="1"/>
    <col min="7689" max="7695" width="7.8554687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9.42578125" style="16" customWidth="1"/>
    <col min="7939" max="7939" width="8.42578125" style="16" customWidth="1"/>
    <col min="7940" max="7940" width="7.5703125" style="16" customWidth="1"/>
    <col min="7941" max="7941" width="8.5703125" style="16" bestFit="1" customWidth="1"/>
    <col min="7942" max="7944" width="8.42578125" style="16" customWidth="1"/>
    <col min="7945" max="7951" width="7.8554687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9.42578125" style="16" customWidth="1"/>
    <col min="8195" max="8195" width="8.42578125" style="16" customWidth="1"/>
    <col min="8196" max="8196" width="7.5703125" style="16" customWidth="1"/>
    <col min="8197" max="8197" width="8.5703125" style="16" bestFit="1" customWidth="1"/>
    <col min="8198" max="8200" width="8.42578125" style="16" customWidth="1"/>
    <col min="8201" max="8207" width="7.8554687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9.42578125" style="16" customWidth="1"/>
    <col min="8451" max="8451" width="8.42578125" style="16" customWidth="1"/>
    <col min="8452" max="8452" width="7.5703125" style="16" customWidth="1"/>
    <col min="8453" max="8453" width="8.5703125" style="16" bestFit="1" customWidth="1"/>
    <col min="8454" max="8456" width="8.42578125" style="16" customWidth="1"/>
    <col min="8457" max="8463" width="7.8554687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9.42578125" style="16" customWidth="1"/>
    <col min="8707" max="8707" width="8.42578125" style="16" customWidth="1"/>
    <col min="8708" max="8708" width="7.5703125" style="16" customWidth="1"/>
    <col min="8709" max="8709" width="8.5703125" style="16" bestFit="1" customWidth="1"/>
    <col min="8710" max="8712" width="8.42578125" style="16" customWidth="1"/>
    <col min="8713" max="8719" width="7.8554687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9.42578125" style="16" customWidth="1"/>
    <col min="8963" max="8963" width="8.42578125" style="16" customWidth="1"/>
    <col min="8964" max="8964" width="7.5703125" style="16" customWidth="1"/>
    <col min="8965" max="8965" width="8.5703125" style="16" bestFit="1" customWidth="1"/>
    <col min="8966" max="8968" width="8.42578125" style="16" customWidth="1"/>
    <col min="8969" max="8975" width="7.8554687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9.42578125" style="16" customWidth="1"/>
    <col min="9219" max="9219" width="8.42578125" style="16" customWidth="1"/>
    <col min="9220" max="9220" width="7.5703125" style="16" customWidth="1"/>
    <col min="9221" max="9221" width="8.5703125" style="16" bestFit="1" customWidth="1"/>
    <col min="9222" max="9224" width="8.42578125" style="16" customWidth="1"/>
    <col min="9225" max="9231" width="7.8554687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9.42578125" style="16" customWidth="1"/>
    <col min="9475" max="9475" width="8.42578125" style="16" customWidth="1"/>
    <col min="9476" max="9476" width="7.5703125" style="16" customWidth="1"/>
    <col min="9477" max="9477" width="8.5703125" style="16" bestFit="1" customWidth="1"/>
    <col min="9478" max="9480" width="8.42578125" style="16" customWidth="1"/>
    <col min="9481" max="9487" width="7.8554687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9.42578125" style="16" customWidth="1"/>
    <col min="9731" max="9731" width="8.42578125" style="16" customWidth="1"/>
    <col min="9732" max="9732" width="7.5703125" style="16" customWidth="1"/>
    <col min="9733" max="9733" width="8.5703125" style="16" bestFit="1" customWidth="1"/>
    <col min="9734" max="9736" width="8.42578125" style="16" customWidth="1"/>
    <col min="9737" max="9743" width="7.8554687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9.42578125" style="16" customWidth="1"/>
    <col min="9987" max="9987" width="8.42578125" style="16" customWidth="1"/>
    <col min="9988" max="9988" width="7.5703125" style="16" customWidth="1"/>
    <col min="9989" max="9989" width="8.5703125" style="16" bestFit="1" customWidth="1"/>
    <col min="9990" max="9992" width="8.42578125" style="16" customWidth="1"/>
    <col min="9993" max="9999" width="7.8554687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9.42578125" style="16" customWidth="1"/>
    <col min="10243" max="10243" width="8.42578125" style="16" customWidth="1"/>
    <col min="10244" max="10244" width="7.5703125" style="16" customWidth="1"/>
    <col min="10245" max="10245" width="8.5703125" style="16" bestFit="1" customWidth="1"/>
    <col min="10246" max="10248" width="8.42578125" style="16" customWidth="1"/>
    <col min="10249" max="10255" width="7.8554687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9.42578125" style="16" customWidth="1"/>
    <col min="10499" max="10499" width="8.42578125" style="16" customWidth="1"/>
    <col min="10500" max="10500" width="7.5703125" style="16" customWidth="1"/>
    <col min="10501" max="10501" width="8.5703125" style="16" bestFit="1" customWidth="1"/>
    <col min="10502" max="10504" width="8.42578125" style="16" customWidth="1"/>
    <col min="10505" max="10511" width="7.8554687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9.42578125" style="16" customWidth="1"/>
    <col min="10755" max="10755" width="8.42578125" style="16" customWidth="1"/>
    <col min="10756" max="10756" width="7.5703125" style="16" customWidth="1"/>
    <col min="10757" max="10757" width="8.5703125" style="16" bestFit="1" customWidth="1"/>
    <col min="10758" max="10760" width="8.42578125" style="16" customWidth="1"/>
    <col min="10761" max="10767" width="7.8554687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9.42578125" style="16" customWidth="1"/>
    <col min="11011" max="11011" width="8.42578125" style="16" customWidth="1"/>
    <col min="11012" max="11012" width="7.5703125" style="16" customWidth="1"/>
    <col min="11013" max="11013" width="8.5703125" style="16" bestFit="1" customWidth="1"/>
    <col min="11014" max="11016" width="8.42578125" style="16" customWidth="1"/>
    <col min="11017" max="11023" width="7.8554687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9.42578125" style="16" customWidth="1"/>
    <col min="11267" max="11267" width="8.42578125" style="16" customWidth="1"/>
    <col min="11268" max="11268" width="7.5703125" style="16" customWidth="1"/>
    <col min="11269" max="11269" width="8.5703125" style="16" bestFit="1" customWidth="1"/>
    <col min="11270" max="11272" width="8.42578125" style="16" customWidth="1"/>
    <col min="11273" max="11279" width="7.8554687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9.42578125" style="16" customWidth="1"/>
    <col min="11523" max="11523" width="8.42578125" style="16" customWidth="1"/>
    <col min="11524" max="11524" width="7.5703125" style="16" customWidth="1"/>
    <col min="11525" max="11525" width="8.5703125" style="16" bestFit="1" customWidth="1"/>
    <col min="11526" max="11528" width="8.42578125" style="16" customWidth="1"/>
    <col min="11529" max="11535" width="7.8554687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9.42578125" style="16" customWidth="1"/>
    <col min="11779" max="11779" width="8.42578125" style="16" customWidth="1"/>
    <col min="11780" max="11780" width="7.5703125" style="16" customWidth="1"/>
    <col min="11781" max="11781" width="8.5703125" style="16" bestFit="1" customWidth="1"/>
    <col min="11782" max="11784" width="8.42578125" style="16" customWidth="1"/>
    <col min="11785" max="11791" width="7.8554687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9.42578125" style="16" customWidth="1"/>
    <col min="12035" max="12035" width="8.42578125" style="16" customWidth="1"/>
    <col min="12036" max="12036" width="7.5703125" style="16" customWidth="1"/>
    <col min="12037" max="12037" width="8.5703125" style="16" bestFit="1" customWidth="1"/>
    <col min="12038" max="12040" width="8.42578125" style="16" customWidth="1"/>
    <col min="12041" max="12047" width="7.8554687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9.42578125" style="16" customWidth="1"/>
    <col min="12291" max="12291" width="8.42578125" style="16" customWidth="1"/>
    <col min="12292" max="12292" width="7.5703125" style="16" customWidth="1"/>
    <col min="12293" max="12293" width="8.5703125" style="16" bestFit="1" customWidth="1"/>
    <col min="12294" max="12296" width="8.42578125" style="16" customWidth="1"/>
    <col min="12297" max="12303" width="7.8554687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9.42578125" style="16" customWidth="1"/>
    <col min="12547" max="12547" width="8.42578125" style="16" customWidth="1"/>
    <col min="12548" max="12548" width="7.5703125" style="16" customWidth="1"/>
    <col min="12549" max="12549" width="8.5703125" style="16" bestFit="1" customWidth="1"/>
    <col min="12550" max="12552" width="8.42578125" style="16" customWidth="1"/>
    <col min="12553" max="12559" width="7.8554687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9.42578125" style="16" customWidth="1"/>
    <col min="12803" max="12803" width="8.42578125" style="16" customWidth="1"/>
    <col min="12804" max="12804" width="7.5703125" style="16" customWidth="1"/>
    <col min="12805" max="12805" width="8.5703125" style="16" bestFit="1" customWidth="1"/>
    <col min="12806" max="12808" width="8.42578125" style="16" customWidth="1"/>
    <col min="12809" max="12815" width="7.8554687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9.42578125" style="16" customWidth="1"/>
    <col min="13059" max="13059" width="8.42578125" style="16" customWidth="1"/>
    <col min="13060" max="13060" width="7.5703125" style="16" customWidth="1"/>
    <col min="13061" max="13061" width="8.5703125" style="16" bestFit="1" customWidth="1"/>
    <col min="13062" max="13064" width="8.42578125" style="16" customWidth="1"/>
    <col min="13065" max="13071" width="7.8554687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9.42578125" style="16" customWidth="1"/>
    <col min="13315" max="13315" width="8.42578125" style="16" customWidth="1"/>
    <col min="13316" max="13316" width="7.5703125" style="16" customWidth="1"/>
    <col min="13317" max="13317" width="8.5703125" style="16" bestFit="1" customWidth="1"/>
    <col min="13318" max="13320" width="8.42578125" style="16" customWidth="1"/>
    <col min="13321" max="13327" width="7.8554687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9.42578125" style="16" customWidth="1"/>
    <col min="13571" max="13571" width="8.42578125" style="16" customWidth="1"/>
    <col min="13572" max="13572" width="7.5703125" style="16" customWidth="1"/>
    <col min="13573" max="13573" width="8.5703125" style="16" bestFit="1" customWidth="1"/>
    <col min="13574" max="13576" width="8.42578125" style="16" customWidth="1"/>
    <col min="13577" max="13583" width="7.8554687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9.42578125" style="16" customWidth="1"/>
    <col min="13827" max="13827" width="8.42578125" style="16" customWidth="1"/>
    <col min="13828" max="13828" width="7.5703125" style="16" customWidth="1"/>
    <col min="13829" max="13829" width="8.5703125" style="16" bestFit="1" customWidth="1"/>
    <col min="13830" max="13832" width="8.42578125" style="16" customWidth="1"/>
    <col min="13833" max="13839" width="7.8554687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9.42578125" style="16" customWidth="1"/>
    <col min="14083" max="14083" width="8.42578125" style="16" customWidth="1"/>
    <col min="14084" max="14084" width="7.5703125" style="16" customWidth="1"/>
    <col min="14085" max="14085" width="8.5703125" style="16" bestFit="1" customWidth="1"/>
    <col min="14086" max="14088" width="8.42578125" style="16" customWidth="1"/>
    <col min="14089" max="14095" width="7.8554687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9.42578125" style="16" customWidth="1"/>
    <col min="14339" max="14339" width="8.42578125" style="16" customWidth="1"/>
    <col min="14340" max="14340" width="7.5703125" style="16" customWidth="1"/>
    <col min="14341" max="14341" width="8.5703125" style="16" bestFit="1" customWidth="1"/>
    <col min="14342" max="14344" width="8.42578125" style="16" customWidth="1"/>
    <col min="14345" max="14351" width="7.8554687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9.42578125" style="16" customWidth="1"/>
    <col min="14595" max="14595" width="8.42578125" style="16" customWidth="1"/>
    <col min="14596" max="14596" width="7.5703125" style="16" customWidth="1"/>
    <col min="14597" max="14597" width="8.5703125" style="16" bestFit="1" customWidth="1"/>
    <col min="14598" max="14600" width="8.42578125" style="16" customWidth="1"/>
    <col min="14601" max="14607" width="7.8554687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9.42578125" style="16" customWidth="1"/>
    <col min="14851" max="14851" width="8.42578125" style="16" customWidth="1"/>
    <col min="14852" max="14852" width="7.5703125" style="16" customWidth="1"/>
    <col min="14853" max="14853" width="8.5703125" style="16" bestFit="1" customWidth="1"/>
    <col min="14854" max="14856" width="8.42578125" style="16" customWidth="1"/>
    <col min="14857" max="14863" width="7.8554687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9.42578125" style="16" customWidth="1"/>
    <col min="15107" max="15107" width="8.42578125" style="16" customWidth="1"/>
    <col min="15108" max="15108" width="7.5703125" style="16" customWidth="1"/>
    <col min="15109" max="15109" width="8.5703125" style="16" bestFit="1" customWidth="1"/>
    <col min="15110" max="15112" width="8.42578125" style="16" customWidth="1"/>
    <col min="15113" max="15119" width="7.8554687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9.42578125" style="16" customWidth="1"/>
    <col min="15363" max="15363" width="8.42578125" style="16" customWidth="1"/>
    <col min="15364" max="15364" width="7.5703125" style="16" customWidth="1"/>
    <col min="15365" max="15365" width="8.5703125" style="16" bestFit="1" customWidth="1"/>
    <col min="15366" max="15368" width="8.42578125" style="16" customWidth="1"/>
    <col min="15369" max="15375" width="7.8554687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9.42578125" style="16" customWidth="1"/>
    <col min="15619" max="15619" width="8.42578125" style="16" customWidth="1"/>
    <col min="15620" max="15620" width="7.5703125" style="16" customWidth="1"/>
    <col min="15621" max="15621" width="8.5703125" style="16" bestFit="1" customWidth="1"/>
    <col min="15622" max="15624" width="8.42578125" style="16" customWidth="1"/>
    <col min="15625" max="15631" width="7.8554687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9.42578125" style="16" customWidth="1"/>
    <col min="15875" max="15875" width="8.42578125" style="16" customWidth="1"/>
    <col min="15876" max="15876" width="7.5703125" style="16" customWidth="1"/>
    <col min="15877" max="15877" width="8.5703125" style="16" bestFit="1" customWidth="1"/>
    <col min="15878" max="15880" width="8.42578125" style="16" customWidth="1"/>
    <col min="15881" max="15887" width="7.8554687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9.42578125" style="16" customWidth="1"/>
    <col min="16131" max="16131" width="8.42578125" style="16" customWidth="1"/>
    <col min="16132" max="16132" width="7.5703125" style="16" customWidth="1"/>
    <col min="16133" max="16133" width="8.5703125" style="16" bestFit="1" customWidth="1"/>
    <col min="16134" max="16136" width="8.42578125" style="16" customWidth="1"/>
    <col min="16137" max="16143" width="7.8554687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22" s="1" customFormat="1" ht="12.75" customHeight="1" x14ac:dyDescent="0.2">
      <c r="A1" s="867" t="s">
        <v>449</v>
      </c>
      <c r="B1" s="868"/>
      <c r="C1" s="868"/>
      <c r="D1" s="869"/>
      <c r="E1" s="868"/>
      <c r="F1" s="868"/>
      <c r="G1" s="867" t="s">
        <v>102</v>
      </c>
      <c r="H1" s="869"/>
      <c r="I1" s="869" t="s">
        <v>1001</v>
      </c>
      <c r="J1" s="868"/>
      <c r="K1" s="868"/>
      <c r="L1" s="870"/>
      <c r="M1" s="870"/>
      <c r="N1" s="870"/>
      <c r="O1" s="870"/>
    </row>
    <row r="2" spans="1:22" s="1" customFormat="1" ht="12.75" customHeight="1" x14ac:dyDescent="0.2">
      <c r="A2" s="867" t="s">
        <v>103</v>
      </c>
      <c r="B2" s="868"/>
      <c r="C2" s="868"/>
      <c r="D2" s="869"/>
      <c r="E2" s="868"/>
      <c r="F2" s="868"/>
      <c r="G2" s="867" t="s">
        <v>104</v>
      </c>
      <c r="H2" s="869"/>
      <c r="I2" s="869" t="s">
        <v>105</v>
      </c>
      <c r="J2" s="868"/>
      <c r="K2" s="868"/>
      <c r="L2" s="870"/>
      <c r="M2" s="870"/>
      <c r="N2" s="870"/>
      <c r="O2" s="870"/>
    </row>
    <row r="3" spans="1:22" s="1" customFormat="1" ht="12.75" customHeight="1" x14ac:dyDescent="0.2">
      <c r="A3" s="867" t="s">
        <v>106</v>
      </c>
      <c r="B3" s="868"/>
      <c r="C3" s="868"/>
      <c r="D3" s="881">
        <v>27931</v>
      </c>
      <c r="E3" s="882"/>
      <c r="F3" s="882"/>
      <c r="G3" s="867" t="s">
        <v>107</v>
      </c>
      <c r="H3" s="869"/>
      <c r="I3" s="869" t="s">
        <v>108</v>
      </c>
      <c r="J3" s="868"/>
      <c r="K3" s="868"/>
      <c r="L3" s="870"/>
      <c r="M3" s="870"/>
      <c r="N3" s="870"/>
      <c r="O3" s="870"/>
    </row>
    <row r="4" spans="1:22" s="1" customFormat="1" x14ac:dyDescent="0.2">
      <c r="A4" s="867" t="s">
        <v>109</v>
      </c>
      <c r="B4" s="868"/>
      <c r="C4" s="868"/>
      <c r="D4" s="869"/>
      <c r="E4" s="868"/>
      <c r="F4" s="868"/>
      <c r="G4" s="867" t="s">
        <v>110</v>
      </c>
      <c r="H4" s="869"/>
      <c r="I4" s="869" t="s">
        <v>1002</v>
      </c>
      <c r="J4" s="868"/>
      <c r="K4" s="868"/>
      <c r="L4" s="870"/>
      <c r="M4" s="870"/>
      <c r="N4" s="870"/>
      <c r="O4" s="870"/>
    </row>
    <row r="5" spans="1:22" s="1" customFormat="1" ht="12.75" customHeight="1" x14ac:dyDescent="0.2">
      <c r="A5" s="867" t="s">
        <v>443</v>
      </c>
      <c r="B5" s="868"/>
      <c r="C5" s="868"/>
      <c r="D5" s="869" t="s">
        <v>1003</v>
      </c>
      <c r="E5" s="868"/>
      <c r="F5" s="868"/>
      <c r="G5" s="867"/>
      <c r="H5" s="868"/>
      <c r="I5" s="869" t="s">
        <v>113</v>
      </c>
      <c r="J5" s="868"/>
      <c r="K5" s="868"/>
      <c r="L5" s="870"/>
      <c r="M5" s="870"/>
      <c r="N5" s="870"/>
      <c r="O5" s="870"/>
    </row>
    <row r="6" spans="1:22" s="1" customFormat="1" x14ac:dyDescent="0.2">
      <c r="A6" s="871" t="s">
        <v>114</v>
      </c>
      <c r="B6" s="872"/>
      <c r="C6" s="872"/>
      <c r="D6" s="868" t="s">
        <v>965</v>
      </c>
      <c r="E6" s="868"/>
      <c r="F6" s="868"/>
      <c r="G6" s="871" t="s">
        <v>115</v>
      </c>
      <c r="H6" s="871"/>
      <c r="I6" s="2" t="s">
        <v>116</v>
      </c>
      <c r="J6" s="888"/>
      <c r="K6" s="888"/>
      <c r="L6" s="888"/>
      <c r="M6" s="888"/>
      <c r="N6" s="888"/>
      <c r="O6" s="889"/>
    </row>
    <row r="7" spans="1:22" s="1" customFormat="1" ht="13.5" thickBot="1" x14ac:dyDescent="0.25">
      <c r="A7" s="3"/>
      <c r="B7" s="4"/>
      <c r="C7" s="5"/>
      <c r="D7" s="6"/>
      <c r="E7" s="6"/>
      <c r="F7" s="6"/>
      <c r="G7" s="6"/>
      <c r="H7" s="6"/>
      <c r="I7" s="6"/>
      <c r="J7" s="7"/>
      <c r="K7" s="8"/>
      <c r="L7" s="875" t="s">
        <v>223</v>
      </c>
      <c r="M7" s="875"/>
      <c r="N7" s="875"/>
      <c r="O7" s="875"/>
    </row>
    <row r="8" spans="1:22" s="11" customFormat="1" x14ac:dyDescent="0.2">
      <c r="A8" s="876" t="str">
        <f>I1</f>
        <v>Mr. JAGDISH GANGADHAR RAJGURU</v>
      </c>
      <c r="B8" s="877"/>
      <c r="C8" s="9">
        <v>43160</v>
      </c>
      <c r="D8" s="9">
        <v>43191</v>
      </c>
      <c r="E8" s="9">
        <v>43221</v>
      </c>
      <c r="F8" s="9">
        <v>43252</v>
      </c>
      <c r="G8" s="9">
        <v>43282</v>
      </c>
      <c r="H8" s="9">
        <v>43313</v>
      </c>
      <c r="I8" s="9">
        <v>43344</v>
      </c>
      <c r="J8" s="9">
        <v>43374</v>
      </c>
      <c r="K8" s="9">
        <v>43405</v>
      </c>
      <c r="L8" s="9">
        <v>43435</v>
      </c>
      <c r="M8" s="9">
        <v>43466</v>
      </c>
      <c r="N8" s="9">
        <v>43497</v>
      </c>
      <c r="O8" s="10" t="s">
        <v>117</v>
      </c>
    </row>
    <row r="9" spans="1:22" ht="15" x14ac:dyDescent="0.2">
      <c r="A9" s="12"/>
      <c r="B9" s="13" t="s">
        <v>118</v>
      </c>
      <c r="C9" s="14">
        <v>28400</v>
      </c>
      <c r="D9" s="14">
        <v>28400</v>
      </c>
      <c r="E9" s="14">
        <v>28400</v>
      </c>
      <c r="F9" s="14">
        <v>28400</v>
      </c>
      <c r="G9" s="14">
        <v>29300</v>
      </c>
      <c r="H9" s="14">
        <v>29300</v>
      </c>
      <c r="I9" s="14">
        <v>29300</v>
      </c>
      <c r="J9" s="14">
        <v>29300</v>
      </c>
      <c r="K9" s="14">
        <v>29300</v>
      </c>
      <c r="L9" s="14">
        <v>29300</v>
      </c>
      <c r="M9" s="14">
        <v>29300</v>
      </c>
      <c r="N9" s="14">
        <v>29300</v>
      </c>
      <c r="O9" s="15">
        <f>SUM(C9:N9)</f>
        <v>348000</v>
      </c>
    </row>
    <row r="10" spans="1:22"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22" ht="15" x14ac:dyDescent="0.2">
      <c r="A11" s="12"/>
      <c r="B11" s="13" t="s">
        <v>120</v>
      </c>
      <c r="C11" s="17">
        <v>1420</v>
      </c>
      <c r="D11" s="17">
        <v>1988</v>
      </c>
      <c r="E11" s="17">
        <v>1988</v>
      </c>
      <c r="F11" s="17">
        <v>1988</v>
      </c>
      <c r="G11" s="17">
        <v>2051</v>
      </c>
      <c r="H11" s="17">
        <v>2051</v>
      </c>
      <c r="I11" s="17">
        <v>2051</v>
      </c>
      <c r="J11" s="17">
        <v>2637</v>
      </c>
      <c r="K11" s="17">
        <v>2637</v>
      </c>
      <c r="L11" s="17">
        <v>2637</v>
      </c>
      <c r="M11" s="17">
        <v>2637</v>
      </c>
      <c r="N11" s="17">
        <v>2637</v>
      </c>
      <c r="O11" s="18">
        <f>SUM(C11:N11)</f>
        <v>26722</v>
      </c>
    </row>
    <row r="12" spans="1:22"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22"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7" si="0">SUM(C13:N13)</f>
        <v>0</v>
      </c>
    </row>
    <row r="14" spans="1:22" ht="15" x14ac:dyDescent="0.2">
      <c r="A14" s="12"/>
      <c r="B14" s="13" t="s">
        <v>123</v>
      </c>
      <c r="C14" s="17">
        <v>3780</v>
      </c>
      <c r="D14" s="17">
        <v>3852</v>
      </c>
      <c r="E14" s="17">
        <v>3852</v>
      </c>
      <c r="F14" s="17">
        <v>3852</v>
      </c>
      <c r="G14" s="17">
        <v>3852</v>
      </c>
      <c r="H14" s="17">
        <v>3852</v>
      </c>
      <c r="I14" s="17">
        <v>3852</v>
      </c>
      <c r="J14" s="17">
        <v>3924</v>
      </c>
      <c r="K14" s="17">
        <v>3924</v>
      </c>
      <c r="L14" s="17">
        <v>3924</v>
      </c>
      <c r="M14" s="17">
        <v>3924</v>
      </c>
      <c r="N14" s="17">
        <v>3924</v>
      </c>
      <c r="O14" s="18">
        <f>SUM(C14:N14)</f>
        <v>46512</v>
      </c>
    </row>
    <row r="15" spans="1:22"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22" ht="15" x14ac:dyDescent="0.2">
      <c r="A16" s="12"/>
      <c r="B16" s="13" t="s">
        <v>125</v>
      </c>
      <c r="C16" s="17">
        <v>0</v>
      </c>
      <c r="D16" s="17">
        <v>0</v>
      </c>
      <c r="E16" s="17">
        <v>0</v>
      </c>
      <c r="F16" s="17">
        <v>0</v>
      </c>
      <c r="G16" s="17">
        <v>5000</v>
      </c>
      <c r="H16" s="17">
        <v>0</v>
      </c>
      <c r="I16" s="17">
        <v>0</v>
      </c>
      <c r="J16" s="17">
        <v>0</v>
      </c>
      <c r="K16" s="17">
        <v>0</v>
      </c>
      <c r="L16" s="17">
        <v>0</v>
      </c>
      <c r="M16" s="17">
        <v>0</v>
      </c>
      <c r="N16" s="17">
        <v>0</v>
      </c>
      <c r="O16" s="18">
        <f t="shared" si="0"/>
        <v>5000</v>
      </c>
      <c r="V16" s="16">
        <v>7</v>
      </c>
    </row>
    <row r="17" spans="1:22"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22"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22" ht="15" x14ac:dyDescent="0.2">
      <c r="A19" s="12"/>
      <c r="B19" s="13" t="s">
        <v>128</v>
      </c>
      <c r="C19" s="17">
        <v>6816</v>
      </c>
      <c r="D19" s="17">
        <v>6816</v>
      </c>
      <c r="E19" s="17">
        <v>6816</v>
      </c>
      <c r="F19" s="17">
        <v>6816</v>
      </c>
      <c r="G19" s="17">
        <v>7032</v>
      </c>
      <c r="H19" s="17">
        <v>7032</v>
      </c>
      <c r="I19" s="17">
        <v>7032</v>
      </c>
      <c r="J19" s="17">
        <v>7032</v>
      </c>
      <c r="K19" s="17">
        <v>7032</v>
      </c>
      <c r="L19" s="17">
        <v>7032</v>
      </c>
      <c r="M19" s="17">
        <v>7032</v>
      </c>
      <c r="N19" s="17">
        <v>7032</v>
      </c>
      <c r="O19" s="18">
        <f t="shared" si="0"/>
        <v>83520</v>
      </c>
    </row>
    <row r="20" spans="1:22"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22" ht="15" hidden="1" customHeight="1" x14ac:dyDescent="0.2">
      <c r="A21" s="878"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22" ht="15" customHeight="1" x14ac:dyDescent="0.2">
      <c r="A22" s="879"/>
      <c r="B22" s="19" t="s">
        <v>132</v>
      </c>
      <c r="C22" s="17">
        <v>0</v>
      </c>
      <c r="D22" s="17">
        <v>0</v>
      </c>
      <c r="E22" s="17">
        <v>0</v>
      </c>
      <c r="F22" s="17">
        <v>0</v>
      </c>
      <c r="G22" s="17">
        <v>0</v>
      </c>
      <c r="H22" s="17">
        <v>0</v>
      </c>
      <c r="I22" s="17">
        <v>0</v>
      </c>
      <c r="J22" s="17">
        <v>0</v>
      </c>
      <c r="K22" s="17">
        <v>0</v>
      </c>
      <c r="L22" s="17">
        <v>0</v>
      </c>
      <c r="M22" s="17">
        <v>0</v>
      </c>
      <c r="N22" s="17">
        <v>0</v>
      </c>
      <c r="O22" s="18">
        <f t="shared" si="0"/>
        <v>0</v>
      </c>
    </row>
    <row r="23" spans="1:22" ht="15" hidden="1" customHeight="1" x14ac:dyDescent="0.2">
      <c r="A23" s="879"/>
      <c r="B23" s="19" t="s">
        <v>133</v>
      </c>
      <c r="C23" s="17">
        <v>0</v>
      </c>
      <c r="D23" s="17">
        <v>0</v>
      </c>
      <c r="E23" s="17">
        <v>0</v>
      </c>
      <c r="F23" s="17">
        <v>0</v>
      </c>
      <c r="G23" s="17">
        <v>0</v>
      </c>
      <c r="H23" s="17">
        <v>0</v>
      </c>
      <c r="I23" s="17">
        <v>0</v>
      </c>
      <c r="J23" s="17">
        <v>0</v>
      </c>
      <c r="K23" s="17">
        <v>0</v>
      </c>
      <c r="L23" s="17">
        <v>0</v>
      </c>
      <c r="M23" s="17">
        <v>0</v>
      </c>
      <c r="N23" s="17">
        <v>0</v>
      </c>
      <c r="O23" s="18">
        <f t="shared" si="0"/>
        <v>0</v>
      </c>
    </row>
    <row r="24" spans="1:22" ht="15" hidden="1" customHeight="1" x14ac:dyDescent="0.2">
      <c r="A24" s="879"/>
      <c r="B24" s="19" t="s">
        <v>134</v>
      </c>
      <c r="C24" s="17">
        <v>0</v>
      </c>
      <c r="D24" s="17">
        <v>0</v>
      </c>
      <c r="E24" s="17">
        <v>0</v>
      </c>
      <c r="F24" s="17">
        <v>0</v>
      </c>
      <c r="G24" s="17">
        <v>0</v>
      </c>
      <c r="H24" s="17">
        <v>0</v>
      </c>
      <c r="I24" s="17">
        <v>0</v>
      </c>
      <c r="J24" s="17">
        <v>0</v>
      </c>
      <c r="K24" s="17">
        <v>0</v>
      </c>
      <c r="L24" s="17">
        <v>0</v>
      </c>
      <c r="M24" s="17">
        <v>0</v>
      </c>
      <c r="N24" s="17">
        <v>0</v>
      </c>
      <c r="O24" s="18">
        <f t="shared" si="0"/>
        <v>0</v>
      </c>
    </row>
    <row r="25" spans="1:22" ht="15" hidden="1" customHeight="1" x14ac:dyDescent="0.2">
      <c r="A25" s="879"/>
      <c r="B25" s="19" t="s">
        <v>135</v>
      </c>
      <c r="C25" s="17">
        <v>0</v>
      </c>
      <c r="D25" s="17">
        <v>0</v>
      </c>
      <c r="E25" s="17">
        <v>0</v>
      </c>
      <c r="F25" s="17">
        <v>0</v>
      </c>
      <c r="G25" s="17">
        <v>0</v>
      </c>
      <c r="H25" s="17">
        <v>0</v>
      </c>
      <c r="I25" s="17">
        <v>0</v>
      </c>
      <c r="J25" s="17">
        <v>0</v>
      </c>
      <c r="K25" s="17">
        <v>0</v>
      </c>
      <c r="L25" s="17">
        <v>0</v>
      </c>
      <c r="M25" s="17">
        <v>0</v>
      </c>
      <c r="N25" s="17">
        <v>0</v>
      </c>
      <c r="O25" s="18">
        <f t="shared" si="0"/>
        <v>0</v>
      </c>
    </row>
    <row r="26" spans="1:22" ht="15" hidden="1" customHeight="1" x14ac:dyDescent="0.2">
      <c r="A26" s="879"/>
      <c r="B26" s="19" t="s">
        <v>136</v>
      </c>
      <c r="C26" s="17">
        <v>0</v>
      </c>
      <c r="D26" s="17">
        <v>0</v>
      </c>
      <c r="E26" s="17">
        <v>0</v>
      </c>
      <c r="F26" s="17">
        <v>0</v>
      </c>
      <c r="G26" s="17">
        <v>0</v>
      </c>
      <c r="H26" s="17">
        <v>0</v>
      </c>
      <c r="I26" s="17">
        <v>0</v>
      </c>
      <c r="J26" s="17">
        <v>0</v>
      </c>
      <c r="K26" s="17">
        <v>0</v>
      </c>
      <c r="L26" s="17">
        <v>0</v>
      </c>
      <c r="M26" s="17">
        <v>0</v>
      </c>
      <c r="N26" s="17">
        <v>0</v>
      </c>
      <c r="O26" s="18">
        <f t="shared" si="0"/>
        <v>0</v>
      </c>
      <c r="V26" s="16">
        <v>14</v>
      </c>
    </row>
    <row r="27" spans="1:22" ht="15" hidden="1" customHeight="1" x14ac:dyDescent="0.2">
      <c r="A27" s="879"/>
      <c r="B27" s="19" t="s">
        <v>137</v>
      </c>
      <c r="C27" s="17">
        <v>0</v>
      </c>
      <c r="D27" s="17">
        <v>0</v>
      </c>
      <c r="E27" s="17">
        <v>0</v>
      </c>
      <c r="F27" s="17">
        <v>0</v>
      </c>
      <c r="G27" s="17">
        <v>0</v>
      </c>
      <c r="H27" s="17">
        <v>0</v>
      </c>
      <c r="I27" s="17">
        <v>0</v>
      </c>
      <c r="J27" s="17">
        <v>0</v>
      </c>
      <c r="K27" s="17">
        <v>0</v>
      </c>
      <c r="L27" s="17">
        <v>0</v>
      </c>
      <c r="M27" s="17">
        <v>0</v>
      </c>
      <c r="N27" s="17">
        <v>0</v>
      </c>
      <c r="O27" s="18">
        <f t="shared" si="0"/>
        <v>0</v>
      </c>
    </row>
    <row r="28" spans="1:22" ht="15" hidden="1" customHeight="1" x14ac:dyDescent="0.2">
      <c r="A28" s="879"/>
      <c r="B28" s="19" t="s">
        <v>138</v>
      </c>
      <c r="C28" s="17">
        <v>0</v>
      </c>
      <c r="D28" s="17">
        <v>0</v>
      </c>
      <c r="E28" s="17">
        <v>0</v>
      </c>
      <c r="F28" s="17">
        <v>0</v>
      </c>
      <c r="G28" s="17">
        <v>0</v>
      </c>
      <c r="H28" s="17">
        <v>0</v>
      </c>
      <c r="I28" s="17">
        <v>0</v>
      </c>
      <c r="J28" s="17">
        <v>0</v>
      </c>
      <c r="K28" s="17">
        <v>0</v>
      </c>
      <c r="L28" s="17">
        <v>0</v>
      </c>
      <c r="M28" s="17">
        <v>0</v>
      </c>
      <c r="N28" s="17">
        <v>0</v>
      </c>
      <c r="O28" s="18">
        <f t="shared" si="0"/>
        <v>0</v>
      </c>
      <c r="V28" s="16">
        <v>21</v>
      </c>
    </row>
    <row r="29" spans="1:22" ht="15" hidden="1" customHeight="1" x14ac:dyDescent="0.2">
      <c r="A29" s="879"/>
      <c r="B29" s="19" t="s">
        <v>139</v>
      </c>
      <c r="C29" s="17">
        <v>0</v>
      </c>
      <c r="D29" s="17">
        <v>0</v>
      </c>
      <c r="E29" s="17">
        <v>0</v>
      </c>
      <c r="F29" s="17">
        <v>0</v>
      </c>
      <c r="G29" s="17">
        <v>0</v>
      </c>
      <c r="H29" s="17">
        <v>0</v>
      </c>
      <c r="I29" s="17">
        <v>0</v>
      </c>
      <c r="J29" s="17">
        <v>0</v>
      </c>
      <c r="K29" s="17">
        <v>0</v>
      </c>
      <c r="L29" s="17">
        <v>0</v>
      </c>
      <c r="M29" s="17">
        <v>0</v>
      </c>
      <c r="N29" s="17">
        <v>0</v>
      </c>
      <c r="O29" s="18">
        <f t="shared" si="0"/>
        <v>0</v>
      </c>
      <c r="V29" s="16">
        <v>19.758064516129</v>
      </c>
    </row>
    <row r="30" spans="1:22" ht="15" hidden="1" customHeight="1" x14ac:dyDescent="0.2">
      <c r="A30" s="879"/>
      <c r="B30" s="19" t="s">
        <v>140</v>
      </c>
      <c r="C30" s="17">
        <v>0</v>
      </c>
      <c r="D30" s="17">
        <v>0</v>
      </c>
      <c r="E30" s="17">
        <v>0</v>
      </c>
      <c r="F30" s="17">
        <v>0</v>
      </c>
      <c r="G30" s="17">
        <v>0</v>
      </c>
      <c r="H30" s="17">
        <v>0</v>
      </c>
      <c r="I30" s="17">
        <v>0</v>
      </c>
      <c r="J30" s="17">
        <v>0</v>
      </c>
      <c r="K30" s="17">
        <v>0</v>
      </c>
      <c r="L30" s="17">
        <v>0</v>
      </c>
      <c r="M30" s="17">
        <v>0</v>
      </c>
      <c r="N30" s="17">
        <v>0</v>
      </c>
      <c r="O30" s="18">
        <f t="shared" si="0"/>
        <v>0</v>
      </c>
      <c r="V30" s="16">
        <v>20.7741935483871</v>
      </c>
    </row>
    <row r="31" spans="1:22" ht="15" hidden="1" customHeight="1" x14ac:dyDescent="0.2">
      <c r="A31" s="879"/>
      <c r="B31" s="19" t="s">
        <v>225</v>
      </c>
      <c r="C31" s="17">
        <v>0</v>
      </c>
      <c r="D31" s="17">
        <v>0</v>
      </c>
      <c r="E31" s="17">
        <v>0</v>
      </c>
      <c r="F31" s="17">
        <v>0</v>
      </c>
      <c r="G31" s="17">
        <v>0</v>
      </c>
      <c r="H31" s="17">
        <v>0</v>
      </c>
      <c r="I31" s="17">
        <v>0</v>
      </c>
      <c r="J31" s="17">
        <v>0</v>
      </c>
      <c r="K31" s="17">
        <v>0</v>
      </c>
      <c r="L31" s="17">
        <v>0</v>
      </c>
      <c r="M31" s="17">
        <v>0</v>
      </c>
      <c r="N31" s="17">
        <v>0</v>
      </c>
      <c r="O31" s="18">
        <f t="shared" si="0"/>
        <v>0</v>
      </c>
      <c r="V31" s="16">
        <v>21.790322580645199</v>
      </c>
    </row>
    <row r="32" spans="1:22" ht="15" customHeight="1" x14ac:dyDescent="0.2">
      <c r="A32" s="879"/>
      <c r="B32" s="21" t="s">
        <v>246</v>
      </c>
      <c r="C32" s="17">
        <v>0</v>
      </c>
      <c r="D32" s="17">
        <v>0</v>
      </c>
      <c r="E32" s="17">
        <v>0</v>
      </c>
      <c r="F32" s="17">
        <v>0</v>
      </c>
      <c r="G32" s="17">
        <v>0</v>
      </c>
      <c r="H32" s="17">
        <v>0</v>
      </c>
      <c r="I32" s="17">
        <v>0</v>
      </c>
      <c r="J32" s="17">
        <v>0</v>
      </c>
      <c r="K32" s="17">
        <v>0</v>
      </c>
      <c r="L32" s="17">
        <v>0</v>
      </c>
      <c r="M32" s="17">
        <v>0</v>
      </c>
      <c r="N32" s="17">
        <v>0</v>
      </c>
      <c r="O32" s="18">
        <f t="shared" si="0"/>
        <v>0</v>
      </c>
    </row>
    <row r="33" spans="1:16" ht="15" hidden="1" customHeight="1" x14ac:dyDescent="0.2">
      <c r="A33" s="880"/>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865" t="s">
        <v>142</v>
      </c>
      <c r="B34" s="866"/>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215"/>
      <c r="B35" s="216" t="s">
        <v>143</v>
      </c>
      <c r="C35" s="17">
        <v>0</v>
      </c>
      <c r="D35" s="17">
        <v>0</v>
      </c>
      <c r="E35" s="17">
        <v>0</v>
      </c>
      <c r="F35" s="17">
        <v>0</v>
      </c>
      <c r="G35" s="17">
        <v>0</v>
      </c>
      <c r="H35" s="17">
        <v>6624</v>
      </c>
      <c r="I35" s="17">
        <v>6624</v>
      </c>
      <c r="J35" s="17">
        <v>6624</v>
      </c>
      <c r="K35" s="17">
        <v>6624</v>
      </c>
      <c r="L35" s="17">
        <v>6626</v>
      </c>
      <c r="M35" s="17">
        <v>0</v>
      </c>
      <c r="N35" s="17">
        <v>0</v>
      </c>
      <c r="O35" s="18">
        <f t="shared" si="0"/>
        <v>33122</v>
      </c>
    </row>
    <row r="36" spans="1:16" ht="15" customHeight="1" x14ac:dyDescent="0.2">
      <c r="A36" s="865" t="s">
        <v>145</v>
      </c>
      <c r="B36" s="866"/>
      <c r="C36" s="17">
        <v>0</v>
      </c>
      <c r="D36" s="17">
        <v>216</v>
      </c>
      <c r="E36" s="17">
        <v>0</v>
      </c>
      <c r="F36" s="17">
        <v>0</v>
      </c>
      <c r="G36" s="17">
        <v>0</v>
      </c>
      <c r="H36" s="17">
        <v>0</v>
      </c>
      <c r="I36" s="17">
        <v>0</v>
      </c>
      <c r="J36" s="17">
        <v>216</v>
      </c>
      <c r="K36" s="17">
        <v>0</v>
      </c>
      <c r="L36" s="17">
        <v>0</v>
      </c>
      <c r="M36" s="17">
        <v>0</v>
      </c>
      <c r="N36" s="17">
        <v>0</v>
      </c>
      <c r="O36" s="18">
        <f t="shared" si="0"/>
        <v>432</v>
      </c>
    </row>
    <row r="37" spans="1:16" ht="15" customHeight="1" x14ac:dyDescent="0.2">
      <c r="A37" s="865" t="s">
        <v>146</v>
      </c>
      <c r="B37" s="866"/>
      <c r="C37" s="17">
        <v>0</v>
      </c>
      <c r="D37" s="17">
        <v>1704</v>
      </c>
      <c r="E37" s="17">
        <v>0</v>
      </c>
      <c r="F37" s="17">
        <v>0</v>
      </c>
      <c r="G37" s="17">
        <v>0</v>
      </c>
      <c r="H37" s="17">
        <v>0</v>
      </c>
      <c r="I37" s="17">
        <v>0</v>
      </c>
      <c r="J37" s="17">
        <v>1758</v>
      </c>
      <c r="K37" s="17">
        <v>0</v>
      </c>
      <c r="L37" s="17">
        <v>0</v>
      </c>
      <c r="M37" s="17">
        <v>0</v>
      </c>
      <c r="N37" s="17">
        <v>0</v>
      </c>
      <c r="O37" s="18">
        <f t="shared" si="0"/>
        <v>3462</v>
      </c>
    </row>
    <row r="38" spans="1:16" ht="15" customHeight="1" x14ac:dyDescent="0.2">
      <c r="A38" s="22"/>
      <c r="B38" s="23" t="s">
        <v>147</v>
      </c>
      <c r="C38" s="24">
        <f t="shared" ref="C38:N38" si="1">SUM(C9:C37)</f>
        <v>40416</v>
      </c>
      <c r="D38" s="24">
        <f t="shared" si="1"/>
        <v>42976</v>
      </c>
      <c r="E38" s="24">
        <f t="shared" si="1"/>
        <v>41056</v>
      </c>
      <c r="F38" s="24">
        <f t="shared" si="1"/>
        <v>41056</v>
      </c>
      <c r="G38" s="24">
        <f t="shared" si="1"/>
        <v>47235</v>
      </c>
      <c r="H38" s="24">
        <f t="shared" si="1"/>
        <v>48859</v>
      </c>
      <c r="I38" s="24">
        <f t="shared" si="1"/>
        <v>48859</v>
      </c>
      <c r="J38" s="24">
        <f t="shared" si="1"/>
        <v>51491</v>
      </c>
      <c r="K38" s="24">
        <f t="shared" si="1"/>
        <v>49517</v>
      </c>
      <c r="L38" s="24">
        <f t="shared" si="1"/>
        <v>49519</v>
      </c>
      <c r="M38" s="24">
        <f t="shared" si="1"/>
        <v>42893</v>
      </c>
      <c r="N38" s="24">
        <f t="shared" si="1"/>
        <v>42893</v>
      </c>
      <c r="O38" s="25">
        <f>SUM(C38:N38)</f>
        <v>546770</v>
      </c>
    </row>
    <row r="39" spans="1:16" ht="15" customHeight="1" x14ac:dyDescent="0.25">
      <c r="A39" s="853" t="s">
        <v>148</v>
      </c>
      <c r="B39" s="27" t="s">
        <v>149</v>
      </c>
      <c r="C39" s="147">
        <v>0</v>
      </c>
      <c r="D39" s="147">
        <v>0</v>
      </c>
      <c r="E39" s="147">
        <v>0</v>
      </c>
      <c r="F39" s="147">
        <v>0</v>
      </c>
      <c r="G39" s="147">
        <v>0</v>
      </c>
      <c r="H39" s="147">
        <v>0</v>
      </c>
      <c r="I39" s="147">
        <v>0</v>
      </c>
      <c r="J39" s="147">
        <v>0</v>
      </c>
      <c r="K39" s="147">
        <v>3000</v>
      </c>
      <c r="L39" s="147">
        <v>2692</v>
      </c>
      <c r="M39" s="147">
        <v>2692</v>
      </c>
      <c r="N39">
        <v>2797</v>
      </c>
      <c r="O39" s="18">
        <f>SUM(C39:N39)</f>
        <v>11181</v>
      </c>
      <c r="P39" s="29"/>
    </row>
    <row r="40" spans="1:16" ht="15" x14ac:dyDescent="0.2">
      <c r="A40" s="854"/>
      <c r="B40" s="27" t="s">
        <v>150</v>
      </c>
      <c r="C40" s="147">
        <v>0</v>
      </c>
      <c r="D40" s="147">
        <v>0</v>
      </c>
      <c r="E40" s="147">
        <v>0</v>
      </c>
      <c r="F40" s="147">
        <v>0</v>
      </c>
      <c r="G40" s="147">
        <v>0</v>
      </c>
      <c r="H40" s="147">
        <v>0</v>
      </c>
      <c r="I40" s="147">
        <v>0</v>
      </c>
      <c r="J40" s="147">
        <v>0</v>
      </c>
      <c r="K40" s="147">
        <v>0</v>
      </c>
      <c r="L40" s="147">
        <v>0</v>
      </c>
      <c r="M40" s="147">
        <v>0</v>
      </c>
      <c r="N40" s="147">
        <v>0</v>
      </c>
      <c r="O40" s="18">
        <f>SUM(C40:N40)</f>
        <v>0</v>
      </c>
    </row>
    <row r="41" spans="1:16" ht="15" x14ac:dyDescent="0.2">
      <c r="A41" s="854"/>
      <c r="B41" s="27" t="s">
        <v>151</v>
      </c>
      <c r="C41" s="147">
        <v>30</v>
      </c>
      <c r="D41" s="147">
        <v>30</v>
      </c>
      <c r="E41" s="147">
        <v>30</v>
      </c>
      <c r="F41" s="147">
        <v>30</v>
      </c>
      <c r="G41" s="147">
        <v>30</v>
      </c>
      <c r="H41" s="147">
        <v>30</v>
      </c>
      <c r="I41" s="147">
        <v>30</v>
      </c>
      <c r="J41" s="147">
        <v>30</v>
      </c>
      <c r="K41" s="147">
        <v>30</v>
      </c>
      <c r="L41" s="147">
        <v>30</v>
      </c>
      <c r="M41" s="147">
        <v>30</v>
      </c>
      <c r="N41" s="147">
        <v>30</v>
      </c>
      <c r="O41" s="18">
        <f t="shared" ref="O41:O51" si="2">SUM(C41:N41)</f>
        <v>360</v>
      </c>
    </row>
    <row r="42" spans="1:16" ht="15" x14ac:dyDescent="0.2">
      <c r="A42" s="854"/>
      <c r="B42" s="27" t="s">
        <v>152</v>
      </c>
      <c r="C42" s="147">
        <v>0</v>
      </c>
      <c r="D42" s="147">
        <v>0</v>
      </c>
      <c r="E42" s="147">
        <v>0</v>
      </c>
      <c r="F42" s="147">
        <v>0</v>
      </c>
      <c r="G42" s="147">
        <v>0</v>
      </c>
      <c r="H42" s="147">
        <v>0</v>
      </c>
      <c r="I42" s="147">
        <v>0</v>
      </c>
      <c r="J42" s="147">
        <v>0</v>
      </c>
      <c r="K42" s="147">
        <v>0</v>
      </c>
      <c r="L42" s="147">
        <v>0</v>
      </c>
      <c r="M42" s="147">
        <v>0</v>
      </c>
      <c r="N42" s="147">
        <v>0</v>
      </c>
      <c r="O42" s="18">
        <f t="shared" si="2"/>
        <v>0</v>
      </c>
    </row>
    <row r="43" spans="1:16" ht="15" x14ac:dyDescent="0.2">
      <c r="A43" s="854"/>
      <c r="B43" s="27" t="s">
        <v>153</v>
      </c>
      <c r="C43" s="147">
        <v>250</v>
      </c>
      <c r="D43" s="147">
        <v>250</v>
      </c>
      <c r="E43" s="147">
        <v>250</v>
      </c>
      <c r="F43" s="147">
        <v>250</v>
      </c>
      <c r="G43" s="147">
        <v>250</v>
      </c>
      <c r="H43" s="147">
        <v>250</v>
      </c>
      <c r="I43" s="147">
        <v>250</v>
      </c>
      <c r="J43" s="147">
        <v>250</v>
      </c>
      <c r="K43" s="147">
        <v>250</v>
      </c>
      <c r="L43" s="147">
        <v>250</v>
      </c>
      <c r="M43" s="147">
        <v>250</v>
      </c>
      <c r="N43" s="147">
        <v>250</v>
      </c>
      <c r="O43" s="18">
        <f t="shared" si="2"/>
        <v>3000</v>
      </c>
    </row>
    <row r="44" spans="1:16" ht="15" x14ac:dyDescent="0.2">
      <c r="A44" s="854"/>
      <c r="B44" s="27" t="s">
        <v>154</v>
      </c>
      <c r="C44" s="147">
        <v>3000</v>
      </c>
      <c r="D44" s="147">
        <v>3000</v>
      </c>
      <c r="E44" s="147">
        <v>3000</v>
      </c>
      <c r="F44" s="147">
        <v>3000</v>
      </c>
      <c r="G44" s="147">
        <v>3000</v>
      </c>
      <c r="H44" s="147">
        <v>3000</v>
      </c>
      <c r="I44" s="147">
        <v>3000</v>
      </c>
      <c r="J44" s="147">
        <v>3000</v>
      </c>
      <c r="K44" s="147">
        <v>3000</v>
      </c>
      <c r="L44" s="147">
        <v>3000</v>
      </c>
      <c r="M44" s="147">
        <v>3000</v>
      </c>
      <c r="N44" s="147">
        <v>3000</v>
      </c>
      <c r="O44" s="18">
        <f>SUM(C44:N44)</f>
        <v>36000</v>
      </c>
    </row>
    <row r="45" spans="1:16" ht="15" x14ac:dyDescent="0.2">
      <c r="A45" s="854"/>
      <c r="B45" s="27" t="s">
        <v>155</v>
      </c>
      <c r="C45" s="147">
        <v>200</v>
      </c>
      <c r="D45" s="147">
        <v>200</v>
      </c>
      <c r="E45" s="147">
        <v>200</v>
      </c>
      <c r="F45" s="147">
        <v>200</v>
      </c>
      <c r="G45" s="147">
        <v>200</v>
      </c>
      <c r="H45" s="147">
        <v>200</v>
      </c>
      <c r="I45" s="147">
        <v>200</v>
      </c>
      <c r="J45" s="147">
        <v>200</v>
      </c>
      <c r="K45" s="147">
        <v>200</v>
      </c>
      <c r="L45" s="147">
        <v>200</v>
      </c>
      <c r="M45" s="147">
        <v>200</v>
      </c>
      <c r="N45" s="147">
        <v>300</v>
      </c>
      <c r="O45" s="18">
        <f t="shared" si="2"/>
        <v>2500</v>
      </c>
    </row>
    <row r="46" spans="1:16" ht="30" x14ac:dyDescent="0.2">
      <c r="A46" s="854"/>
      <c r="B46" s="27" t="s">
        <v>371</v>
      </c>
      <c r="C46" s="147">
        <v>0</v>
      </c>
      <c r="D46" s="147">
        <v>0</v>
      </c>
      <c r="E46" s="147">
        <v>0</v>
      </c>
      <c r="F46" s="147">
        <v>0</v>
      </c>
      <c r="G46" s="147">
        <v>0</v>
      </c>
      <c r="H46" s="147">
        <v>0</v>
      </c>
      <c r="I46" s="147">
        <v>0</v>
      </c>
      <c r="J46" s="147">
        <v>0</v>
      </c>
      <c r="K46" s="147">
        <v>0</v>
      </c>
      <c r="L46" s="147">
        <v>0</v>
      </c>
      <c r="M46" s="147">
        <v>0</v>
      </c>
      <c r="N46" s="147">
        <v>0</v>
      </c>
      <c r="O46" s="18">
        <f t="shared" si="2"/>
        <v>0</v>
      </c>
    </row>
    <row r="47" spans="1:16" ht="15" x14ac:dyDescent="0.2">
      <c r="A47" s="854"/>
      <c r="B47" s="27" t="s">
        <v>1004</v>
      </c>
      <c r="C47" s="147">
        <v>0</v>
      </c>
      <c r="D47" s="147">
        <v>0</v>
      </c>
      <c r="E47" s="147">
        <v>0</v>
      </c>
      <c r="F47" s="147">
        <v>0</v>
      </c>
      <c r="G47" s="147">
        <v>0</v>
      </c>
      <c r="H47" s="147">
        <v>0</v>
      </c>
      <c r="I47" s="147">
        <v>0</v>
      </c>
      <c r="J47" s="147">
        <v>0</v>
      </c>
      <c r="K47" s="147">
        <v>0</v>
      </c>
      <c r="L47" s="147">
        <v>0</v>
      </c>
      <c r="M47" s="147">
        <v>0</v>
      </c>
      <c r="N47" s="147">
        <v>0</v>
      </c>
      <c r="O47" s="18">
        <f t="shared" si="2"/>
        <v>0</v>
      </c>
    </row>
    <row r="48" spans="1:16" ht="28.5" customHeight="1" x14ac:dyDescent="0.2">
      <c r="A48" s="855"/>
      <c r="B48" s="30" t="s">
        <v>158</v>
      </c>
      <c r="C48" s="147">
        <v>0</v>
      </c>
      <c r="D48" s="147">
        <v>0</v>
      </c>
      <c r="E48" s="147">
        <v>0</v>
      </c>
      <c r="F48" s="147">
        <v>0</v>
      </c>
      <c r="G48" s="147">
        <v>0</v>
      </c>
      <c r="H48" s="147">
        <v>0</v>
      </c>
      <c r="I48" s="147">
        <v>0</v>
      </c>
      <c r="J48" s="147">
        <v>0</v>
      </c>
      <c r="K48" s="147">
        <v>0</v>
      </c>
      <c r="L48" s="147">
        <v>0</v>
      </c>
      <c r="M48" s="147">
        <v>0</v>
      </c>
      <c r="N48" s="147">
        <v>0</v>
      </c>
      <c r="O48" s="31">
        <f t="shared" si="2"/>
        <v>0</v>
      </c>
    </row>
    <row r="49" spans="1:18" ht="45" x14ac:dyDescent="0.2">
      <c r="A49" s="856"/>
      <c r="B49" s="127" t="s">
        <v>910</v>
      </c>
      <c r="C49" s="147">
        <v>0</v>
      </c>
      <c r="D49" s="147">
        <v>0</v>
      </c>
      <c r="E49" s="147">
        <v>0</v>
      </c>
      <c r="F49" s="147">
        <v>0</v>
      </c>
      <c r="G49" s="147">
        <v>0</v>
      </c>
      <c r="H49" s="147">
        <v>0</v>
      </c>
      <c r="I49" s="147">
        <v>0</v>
      </c>
      <c r="J49" s="147">
        <v>0</v>
      </c>
      <c r="K49" s="147">
        <v>0</v>
      </c>
      <c r="L49" s="147">
        <v>0</v>
      </c>
      <c r="M49" s="147">
        <v>0</v>
      </c>
      <c r="N49" s="147">
        <v>0</v>
      </c>
      <c r="O49" s="31">
        <f t="shared" si="2"/>
        <v>0</v>
      </c>
    </row>
    <row r="50" spans="1:18" ht="15" x14ac:dyDescent="0.2">
      <c r="A50" s="857" t="s">
        <v>160</v>
      </c>
      <c r="B50" s="858"/>
      <c r="C50" s="33">
        <f t="shared" ref="C50:N50" si="3">SUM(C39:C49)</f>
        <v>3480</v>
      </c>
      <c r="D50" s="33">
        <f t="shared" si="3"/>
        <v>3480</v>
      </c>
      <c r="E50" s="33">
        <f t="shared" si="3"/>
        <v>3480</v>
      </c>
      <c r="F50" s="33">
        <f t="shared" si="3"/>
        <v>3480</v>
      </c>
      <c r="G50" s="33">
        <f t="shared" si="3"/>
        <v>3480</v>
      </c>
      <c r="H50" s="33">
        <f t="shared" si="3"/>
        <v>3480</v>
      </c>
      <c r="I50" s="33">
        <f t="shared" si="3"/>
        <v>3480</v>
      </c>
      <c r="J50" s="33">
        <f t="shared" si="3"/>
        <v>3480</v>
      </c>
      <c r="K50" s="33">
        <f t="shared" si="3"/>
        <v>6480</v>
      </c>
      <c r="L50" s="33">
        <f t="shared" si="3"/>
        <v>6172</v>
      </c>
      <c r="M50" s="33">
        <f t="shared" si="3"/>
        <v>6172</v>
      </c>
      <c r="N50" s="33">
        <f t="shared" si="3"/>
        <v>6377</v>
      </c>
      <c r="O50" s="34">
        <f t="shared" si="2"/>
        <v>53041</v>
      </c>
    </row>
    <row r="51" spans="1:18" ht="15.75" thickBot="1" x14ac:dyDescent="0.25">
      <c r="A51" s="859" t="s">
        <v>161</v>
      </c>
      <c r="B51" s="860"/>
      <c r="C51" s="35">
        <f t="shared" ref="C51:N51" si="4">C38-C50</f>
        <v>36936</v>
      </c>
      <c r="D51" s="35">
        <f t="shared" si="4"/>
        <v>39496</v>
      </c>
      <c r="E51" s="35">
        <f t="shared" si="4"/>
        <v>37576</v>
      </c>
      <c r="F51" s="35">
        <f t="shared" si="4"/>
        <v>37576</v>
      </c>
      <c r="G51" s="35">
        <f t="shared" si="4"/>
        <v>43755</v>
      </c>
      <c r="H51" s="35">
        <f t="shared" si="4"/>
        <v>45379</v>
      </c>
      <c r="I51" s="35">
        <f t="shared" si="4"/>
        <v>45379</v>
      </c>
      <c r="J51" s="35">
        <f t="shared" si="4"/>
        <v>48011</v>
      </c>
      <c r="K51" s="35">
        <f t="shared" si="4"/>
        <v>43037</v>
      </c>
      <c r="L51" s="35">
        <f t="shared" si="4"/>
        <v>43347</v>
      </c>
      <c r="M51" s="35">
        <f t="shared" si="4"/>
        <v>36721</v>
      </c>
      <c r="N51" s="35">
        <f t="shared" si="4"/>
        <v>36516</v>
      </c>
      <c r="O51" s="36">
        <f t="shared" si="2"/>
        <v>493729</v>
      </c>
    </row>
    <row r="52" spans="1:18" x14ac:dyDescent="0.2">
      <c r="C52" s="38"/>
      <c r="J52" s="300">
        <f>+J38-SUM(J22:J37)</f>
        <v>42893</v>
      </c>
      <c r="Q52" s="38"/>
    </row>
    <row r="53" spans="1:18" ht="13.5" thickBot="1" x14ac:dyDescent="0.25">
      <c r="J53" s="38">
        <f>+J52-J50</f>
        <v>39413</v>
      </c>
    </row>
    <row r="54" spans="1:18" ht="13.5" thickBot="1" x14ac:dyDescent="0.25">
      <c r="B54" s="789" t="s">
        <v>162</v>
      </c>
      <c r="C54" s="861"/>
      <c r="D54" s="861"/>
      <c r="E54" s="861"/>
      <c r="F54" s="862"/>
      <c r="G54" s="863">
        <f>O38</f>
        <v>546770</v>
      </c>
      <c r="H54" s="864"/>
    </row>
    <row r="55" spans="1:18" ht="13.5" thickBot="1" x14ac:dyDescent="0.25"/>
    <row r="56" spans="1:18" x14ac:dyDescent="0.2">
      <c r="B56" s="830" t="s">
        <v>163</v>
      </c>
      <c r="C56" s="833" t="s">
        <v>164</v>
      </c>
      <c r="D56" s="836" t="s">
        <v>229</v>
      </c>
      <c r="E56" s="837"/>
      <c r="F56" s="838"/>
      <c r="G56" s="839">
        <v>40000</v>
      </c>
      <c r="H56" s="840"/>
    </row>
    <row r="57" spans="1:18" x14ac:dyDescent="0.2">
      <c r="B57" s="831"/>
      <c r="C57" s="834"/>
      <c r="D57" s="841" t="s">
        <v>166</v>
      </c>
      <c r="E57" s="842"/>
      <c r="F57" s="843"/>
      <c r="G57" s="844">
        <f>+O45</f>
        <v>2500</v>
      </c>
      <c r="H57" s="845"/>
      <c r="I57" s="39"/>
      <c r="J57" s="846"/>
      <c r="K57" s="846"/>
      <c r="L57" s="846"/>
      <c r="M57" s="847"/>
      <c r="N57" s="847"/>
      <c r="O57" s="847"/>
    </row>
    <row r="58" spans="1:18" ht="13.5" thickBot="1" x14ac:dyDescent="0.25">
      <c r="B58" s="832"/>
      <c r="C58" s="835"/>
      <c r="D58" s="848" t="s">
        <v>243</v>
      </c>
      <c r="E58" s="849"/>
      <c r="F58" s="850"/>
      <c r="G58" s="851">
        <f>IF(O18&gt;15000,15000,+O18)</f>
        <v>0</v>
      </c>
      <c r="H58" s="852"/>
      <c r="J58" s="47"/>
      <c r="K58" s="47"/>
      <c r="L58" s="47"/>
      <c r="M58" s="47"/>
      <c r="N58" s="47"/>
      <c r="O58" s="47"/>
    </row>
    <row r="59" spans="1:18" ht="13.5" thickBot="1" x14ac:dyDescent="0.25">
      <c r="B59" s="48"/>
      <c r="J59" s="47"/>
      <c r="K59" s="47"/>
      <c r="L59" s="47"/>
      <c r="M59" s="47"/>
      <c r="N59" s="47"/>
      <c r="O59" s="47"/>
    </row>
    <row r="60" spans="1:18" ht="13.5" thickBot="1" x14ac:dyDescent="0.25">
      <c r="B60" s="789" t="s">
        <v>168</v>
      </c>
      <c r="C60" s="790"/>
      <c r="D60" s="790"/>
      <c r="E60" s="790"/>
      <c r="F60" s="791"/>
      <c r="G60" s="825">
        <f>+G54-SUM(G56:H58)</f>
        <v>504270</v>
      </c>
      <c r="H60" s="826"/>
      <c r="J60" s="827" t="s">
        <v>169</v>
      </c>
      <c r="K60" s="828"/>
      <c r="L60" s="828"/>
      <c r="M60" s="828"/>
      <c r="N60" s="828"/>
      <c r="O60" s="829"/>
    </row>
    <row r="61" spans="1:18" ht="13.5" thickBot="1" x14ac:dyDescent="0.25">
      <c r="B61" s="49"/>
      <c r="C61" s="50"/>
      <c r="D61" s="50"/>
      <c r="E61" s="50"/>
      <c r="F61" s="50"/>
      <c r="G61" s="45"/>
      <c r="H61" s="50"/>
      <c r="J61" s="129"/>
      <c r="K61" s="130"/>
      <c r="L61" s="130"/>
      <c r="M61" s="130"/>
      <c r="N61" s="130"/>
      <c r="O61" s="131"/>
    </row>
    <row r="62" spans="1:18" ht="13.5" thickBot="1" x14ac:dyDescent="0.25">
      <c r="B62" s="789" t="s">
        <v>170</v>
      </c>
      <c r="C62" s="790"/>
      <c r="D62" s="790"/>
      <c r="E62" s="790"/>
      <c r="F62" s="791"/>
      <c r="G62" s="805"/>
      <c r="H62" s="791"/>
      <c r="J62" s="129"/>
      <c r="K62" s="130"/>
      <c r="L62" s="130"/>
      <c r="M62" s="130"/>
      <c r="N62" s="130"/>
      <c r="O62" s="131"/>
    </row>
    <row r="63" spans="1:18" ht="12.75" customHeight="1" x14ac:dyDescent="0.2">
      <c r="B63" s="57" t="s">
        <v>171</v>
      </c>
      <c r="C63" s="806" t="s">
        <v>172</v>
      </c>
      <c r="D63" s="807"/>
      <c r="E63" s="807"/>
      <c r="F63" s="808"/>
      <c r="G63" s="809">
        <v>0</v>
      </c>
      <c r="H63" s="809"/>
      <c r="I63" s="58"/>
      <c r="J63" s="810" t="s">
        <v>173</v>
      </c>
      <c r="K63" s="811"/>
      <c r="L63" s="811"/>
      <c r="M63" s="811"/>
      <c r="N63" s="811"/>
      <c r="O63" s="812"/>
      <c r="Q63" s="59"/>
      <c r="R63" s="59"/>
    </row>
    <row r="64" spans="1:18" ht="13.5" thickBot="1" x14ac:dyDescent="0.25">
      <c r="D64" s="37"/>
      <c r="I64" s="58"/>
      <c r="J64" s="60"/>
      <c r="K64" s="132"/>
      <c r="L64" s="132"/>
      <c r="M64" s="133"/>
      <c r="N64" s="133"/>
      <c r="O64" s="134"/>
      <c r="Q64" s="59"/>
      <c r="R64" s="59"/>
    </row>
    <row r="65" spans="2:18" ht="13.5" thickBot="1" x14ac:dyDescent="0.25">
      <c r="B65" s="789" t="s">
        <v>175</v>
      </c>
      <c r="C65" s="790"/>
      <c r="D65" s="790"/>
      <c r="E65" s="790"/>
      <c r="F65" s="791"/>
      <c r="G65" s="805">
        <f>+G60-G63</f>
        <v>504270</v>
      </c>
      <c r="H65" s="791"/>
      <c r="I65" s="63"/>
      <c r="J65" s="64"/>
      <c r="K65" s="39"/>
      <c r="L65" s="39"/>
      <c r="M65" s="39"/>
      <c r="N65" s="39"/>
      <c r="O65" s="65"/>
      <c r="Q65" s="59"/>
      <c r="R65" s="59"/>
    </row>
    <row r="66" spans="2:18" ht="12.75" customHeight="1" x14ac:dyDescent="0.2">
      <c r="B66" s="48"/>
      <c r="C66" s="48"/>
      <c r="I66" s="63"/>
      <c r="J66" s="64"/>
      <c r="K66" s="39"/>
      <c r="L66" s="39"/>
      <c r="M66" s="39"/>
      <c r="N66" s="39"/>
      <c r="O66" s="65"/>
      <c r="Q66" s="59"/>
      <c r="R66" s="59"/>
    </row>
    <row r="67" spans="2:18" x14ac:dyDescent="0.2">
      <c r="B67" s="66" t="s">
        <v>176</v>
      </c>
      <c r="C67" s="48"/>
      <c r="I67" s="63"/>
      <c r="J67" s="67"/>
      <c r="K67" s="68"/>
      <c r="L67" s="68"/>
      <c r="M67" s="68"/>
      <c r="N67" s="68"/>
      <c r="O67" s="69"/>
      <c r="Q67" s="59"/>
      <c r="R67" s="59"/>
    </row>
    <row r="68" spans="2:18" ht="26.25" customHeight="1" thickBot="1" x14ac:dyDescent="0.25">
      <c r="B68" s="66"/>
      <c r="C68" s="48"/>
      <c r="G68" s="70" t="s">
        <v>177</v>
      </c>
      <c r="H68" s="70" t="s">
        <v>178</v>
      </c>
      <c r="I68" s="63"/>
      <c r="J68" s="810" t="s">
        <v>179</v>
      </c>
      <c r="K68" s="811"/>
      <c r="L68" s="71"/>
      <c r="M68" s="71"/>
      <c r="N68" s="71"/>
      <c r="O68" s="72"/>
      <c r="Q68" s="59"/>
      <c r="R68" s="59"/>
    </row>
    <row r="69" spans="2:18" ht="12.75" customHeight="1" x14ac:dyDescent="0.2">
      <c r="B69" s="802" t="s">
        <v>180</v>
      </c>
      <c r="C69" s="821" t="s">
        <v>181</v>
      </c>
      <c r="D69" s="823" t="s">
        <v>182</v>
      </c>
      <c r="E69" s="824"/>
      <c r="F69" s="824"/>
      <c r="G69" s="73">
        <f>+O44</f>
        <v>36000</v>
      </c>
      <c r="H69" s="74">
        <f t="shared" ref="H69:H77" si="5">+G69</f>
        <v>36000</v>
      </c>
      <c r="I69" s="63"/>
      <c r="J69" s="181" t="s">
        <v>912</v>
      </c>
      <c r="K69" s="58"/>
      <c r="L69" s="58"/>
      <c r="M69" s="135" t="s">
        <v>232</v>
      </c>
      <c r="N69" s="135" t="s">
        <v>233</v>
      </c>
      <c r="O69" s="76">
        <v>0</v>
      </c>
      <c r="Q69" s="59"/>
      <c r="R69" s="59"/>
    </row>
    <row r="70" spans="2:18" ht="12.75" customHeight="1" x14ac:dyDescent="0.2">
      <c r="B70" s="803"/>
      <c r="C70" s="822"/>
      <c r="D70" s="782" t="s">
        <v>184</v>
      </c>
      <c r="E70" s="783"/>
      <c r="F70" s="783"/>
      <c r="G70" s="77">
        <v>0</v>
      </c>
      <c r="H70" s="78">
        <f t="shared" si="5"/>
        <v>0</v>
      </c>
      <c r="I70" s="63"/>
      <c r="J70" s="79"/>
      <c r="K70" s="68"/>
      <c r="L70" s="68"/>
      <c r="M70" s="68"/>
      <c r="N70" s="68"/>
      <c r="O70" s="69"/>
      <c r="Q70" s="59"/>
      <c r="R70" s="59"/>
    </row>
    <row r="71" spans="2:18" ht="12.75" customHeight="1" x14ac:dyDescent="0.2">
      <c r="B71" s="803"/>
      <c r="C71" s="822"/>
      <c r="D71" s="819" t="s">
        <v>185</v>
      </c>
      <c r="E71" s="820"/>
      <c r="F71" s="820"/>
      <c r="G71" s="80">
        <f>O41</f>
        <v>360</v>
      </c>
      <c r="H71" s="78">
        <f t="shared" si="5"/>
        <v>360</v>
      </c>
      <c r="I71" s="63"/>
      <c r="J71" s="67"/>
      <c r="K71" s="68"/>
      <c r="L71" s="68"/>
      <c r="M71" s="68"/>
      <c r="N71" s="68"/>
      <c r="O71" s="69"/>
    </row>
    <row r="72" spans="2:18" x14ac:dyDescent="0.2">
      <c r="B72" s="803"/>
      <c r="C72" s="822"/>
      <c r="D72" s="782" t="s">
        <v>186</v>
      </c>
      <c r="E72" s="783"/>
      <c r="F72" s="783"/>
      <c r="G72" s="81">
        <v>0</v>
      </c>
      <c r="H72" s="78">
        <f t="shared" si="5"/>
        <v>0</v>
      </c>
      <c r="I72" s="63"/>
      <c r="J72" s="82" t="s">
        <v>187</v>
      </c>
      <c r="K72" s="71"/>
      <c r="L72" s="71"/>
      <c r="M72" s="71"/>
      <c r="N72" s="71"/>
      <c r="O72" s="72"/>
    </row>
    <row r="73" spans="2:18" ht="12.75" customHeight="1" x14ac:dyDescent="0.2">
      <c r="B73" s="803"/>
      <c r="C73" s="822"/>
      <c r="D73" s="784" t="s">
        <v>188</v>
      </c>
      <c r="E73" s="783"/>
      <c r="F73" s="783"/>
      <c r="G73" s="80">
        <v>0</v>
      </c>
      <c r="H73" s="78">
        <f t="shared" si="5"/>
        <v>0</v>
      </c>
      <c r="I73" s="63"/>
      <c r="J73" s="75" t="s">
        <v>189</v>
      </c>
      <c r="K73" s="50"/>
      <c r="L73" s="50"/>
      <c r="M73" s="50"/>
      <c r="N73" s="50"/>
      <c r="O73" s="83">
        <f>O43</f>
        <v>3000</v>
      </c>
    </row>
    <row r="74" spans="2:18" ht="14.25" customHeight="1" x14ac:dyDescent="0.2">
      <c r="B74" s="803"/>
      <c r="C74" s="822"/>
      <c r="D74" s="782" t="s">
        <v>190</v>
      </c>
      <c r="E74" s="783"/>
      <c r="F74" s="783"/>
      <c r="G74" s="84">
        <v>0</v>
      </c>
      <c r="H74" s="78">
        <f t="shared" si="5"/>
        <v>0</v>
      </c>
      <c r="I74" s="63"/>
      <c r="J74" s="64"/>
      <c r="K74" s="39"/>
      <c r="L74" s="39"/>
      <c r="M74" s="39"/>
      <c r="N74" s="39"/>
      <c r="O74" s="65"/>
    </row>
    <row r="75" spans="2:18" x14ac:dyDescent="0.2">
      <c r="B75" s="803"/>
      <c r="C75" s="822"/>
      <c r="D75" s="782" t="s">
        <v>191</v>
      </c>
      <c r="E75" s="783"/>
      <c r="F75" s="783"/>
      <c r="G75" s="81">
        <v>0</v>
      </c>
      <c r="H75" s="78">
        <f t="shared" si="5"/>
        <v>0</v>
      </c>
      <c r="I75" s="58"/>
      <c r="J75" s="150"/>
      <c r="K75" s="50"/>
      <c r="L75" s="50"/>
      <c r="M75" s="50"/>
      <c r="N75" s="50"/>
      <c r="O75" s="83"/>
    </row>
    <row r="76" spans="2:18" x14ac:dyDescent="0.2">
      <c r="B76" s="803"/>
      <c r="C76" s="88" t="s">
        <v>192</v>
      </c>
      <c r="D76" s="813" t="s">
        <v>193</v>
      </c>
      <c r="E76" s="814"/>
      <c r="F76" s="814"/>
      <c r="G76" s="80">
        <v>0</v>
      </c>
      <c r="H76" s="78">
        <f t="shared" si="5"/>
        <v>0</v>
      </c>
      <c r="I76" s="58"/>
      <c r="J76" s="79"/>
      <c r="K76" s="39"/>
      <c r="L76" s="39"/>
      <c r="M76" s="39"/>
      <c r="N76" s="39"/>
      <c r="O76" s="65"/>
    </row>
    <row r="77" spans="2:18" ht="13.5" customHeight="1" thickBot="1" x14ac:dyDescent="0.25">
      <c r="B77" s="803"/>
      <c r="C77" s="88" t="s">
        <v>194</v>
      </c>
      <c r="D77" s="815" t="s">
        <v>195</v>
      </c>
      <c r="E77" s="815"/>
      <c r="F77" s="815"/>
      <c r="G77" s="89">
        <v>0</v>
      </c>
      <c r="H77" s="90">
        <f t="shared" si="5"/>
        <v>0</v>
      </c>
      <c r="I77" s="63"/>
      <c r="J77" s="67"/>
      <c r="K77" s="68"/>
      <c r="L77" s="68"/>
      <c r="M77" s="91"/>
      <c r="N77" s="91"/>
      <c r="O77" s="92"/>
    </row>
    <row r="78" spans="2:18" ht="13.5" thickBot="1" x14ac:dyDescent="0.25">
      <c r="B78" s="803"/>
      <c r="C78" s="93"/>
      <c r="D78" s="94"/>
      <c r="E78" s="816" t="s">
        <v>117</v>
      </c>
      <c r="F78" s="817"/>
      <c r="G78" s="95">
        <f>SUM(G69:G77)</f>
        <v>36360</v>
      </c>
      <c r="H78" s="96">
        <f>IF(SUM(G69:G75)&lt;150000,SUM(G69:G75),150000)+IF(+G76&lt;20000,+G76,20000)</f>
        <v>36360</v>
      </c>
      <c r="I78" s="63"/>
      <c r="J78" s="140"/>
      <c r="K78" s="141"/>
      <c r="L78" s="141"/>
      <c r="M78" s="142"/>
      <c r="N78" s="142"/>
      <c r="O78" s="143"/>
    </row>
    <row r="79" spans="2:18" ht="12.75" customHeight="1" x14ac:dyDescent="0.2">
      <c r="B79" s="803"/>
      <c r="C79" s="100" t="s">
        <v>196</v>
      </c>
      <c r="D79" s="782" t="s">
        <v>187</v>
      </c>
      <c r="E79" s="783"/>
      <c r="F79" s="818"/>
      <c r="G79" s="73">
        <f>+O43</f>
        <v>3000</v>
      </c>
      <c r="H79" s="101">
        <f>+IF(+G79&lt;25000,+G79,25000)</f>
        <v>3000</v>
      </c>
      <c r="I79" s="87"/>
    </row>
    <row r="80" spans="2:18" x14ac:dyDescent="0.2">
      <c r="B80" s="803"/>
      <c r="C80" s="100" t="s">
        <v>197</v>
      </c>
      <c r="D80" s="784" t="s">
        <v>198</v>
      </c>
      <c r="E80" s="785"/>
      <c r="F80" s="786"/>
      <c r="G80" s="102"/>
      <c r="H80" s="103">
        <f>+IF(+G80&lt;40000,+G80,40000)</f>
        <v>0</v>
      </c>
      <c r="I80" s="63"/>
    </row>
    <row r="81" spans="2:12" ht="15" x14ac:dyDescent="0.25">
      <c r="B81" s="803"/>
      <c r="C81" s="100" t="s">
        <v>199</v>
      </c>
      <c r="D81" s="784" t="s">
        <v>200</v>
      </c>
      <c r="E81" s="785"/>
      <c r="F81" s="786"/>
      <c r="G81" s="81"/>
      <c r="H81" s="104">
        <v>0</v>
      </c>
      <c r="I81" s="63"/>
      <c r="J81" s="264"/>
      <c r="K81" s="264"/>
      <c r="L81" s="264"/>
    </row>
    <row r="82" spans="2:12" x14ac:dyDescent="0.2">
      <c r="B82" s="803"/>
      <c r="C82" s="100" t="s">
        <v>201</v>
      </c>
      <c r="D82" s="784" t="s">
        <v>202</v>
      </c>
      <c r="E82" s="785"/>
      <c r="F82" s="786"/>
      <c r="G82" s="81"/>
      <c r="H82" s="104">
        <v>0</v>
      </c>
      <c r="I82" s="63"/>
    </row>
    <row r="83" spans="2:12" ht="13.5" thickBot="1" x14ac:dyDescent="0.25">
      <c r="B83" s="804"/>
      <c r="C83" s="100" t="s">
        <v>203</v>
      </c>
      <c r="D83" s="784" t="s">
        <v>204</v>
      </c>
      <c r="E83" s="785"/>
      <c r="F83" s="786"/>
      <c r="G83" s="102"/>
      <c r="H83" s="103">
        <f>+IF(+G83&lt;100000,+G83,10000)</f>
        <v>0</v>
      </c>
      <c r="I83" s="63"/>
      <c r="J83" s="106"/>
    </row>
    <row r="84" spans="2:12" ht="13.5" thickBot="1" x14ac:dyDescent="0.25">
      <c r="B84" s="787" t="s">
        <v>205</v>
      </c>
      <c r="C84" s="788"/>
      <c r="D84" s="788"/>
      <c r="E84" s="788"/>
      <c r="F84" s="788"/>
      <c r="G84" s="107">
        <f>SUM(G79:G83)</f>
        <v>3000</v>
      </c>
      <c r="H84" s="108">
        <f>SUM(H78:H83)</f>
        <v>39360</v>
      </c>
    </row>
    <row r="85" spans="2:12" ht="13.5" thickBot="1" x14ac:dyDescent="0.25"/>
    <row r="86" spans="2:12" ht="13.5" thickBot="1" x14ac:dyDescent="0.25">
      <c r="B86" s="789" t="s">
        <v>206</v>
      </c>
      <c r="C86" s="790"/>
      <c r="D86" s="790"/>
      <c r="E86" s="790"/>
      <c r="F86" s="791"/>
      <c r="G86" s="792">
        <f>+G65-H84</f>
        <v>464910</v>
      </c>
      <c r="H86" s="791"/>
      <c r="J86" s="109">
        <f>C38+D38+E38+F38</f>
        <v>165504</v>
      </c>
      <c r="K86" s="16" t="s">
        <v>235</v>
      </c>
      <c r="L86" s="87"/>
    </row>
    <row r="87" spans="2:12" x14ac:dyDescent="0.2">
      <c r="B87" s="110"/>
      <c r="F87" s="105"/>
      <c r="J87" s="109">
        <f>G38+H38+I38</f>
        <v>144953</v>
      </c>
      <c r="K87" s="16" t="s">
        <v>236</v>
      </c>
      <c r="L87" s="87"/>
    </row>
    <row r="88" spans="2:12" x14ac:dyDescent="0.2">
      <c r="C88" s="793" t="s">
        <v>207</v>
      </c>
      <c r="D88" s="794"/>
      <c r="E88" s="111" t="s">
        <v>208</v>
      </c>
      <c r="F88" s="111" t="s">
        <v>209</v>
      </c>
      <c r="G88" s="111" t="s">
        <v>210</v>
      </c>
      <c r="H88" s="111" t="s">
        <v>211</v>
      </c>
      <c r="J88" s="206">
        <f>J38+K38+L38</f>
        <v>150527</v>
      </c>
      <c r="K88" s="47" t="s">
        <v>237</v>
      </c>
      <c r="L88" s="87"/>
    </row>
    <row r="89" spans="2:12" x14ac:dyDescent="0.2">
      <c r="C89" s="795" t="str">
        <f>IF(I6="M","0          - 250000","0          -  250000")</f>
        <v>0          - 250000</v>
      </c>
      <c r="D89" s="796"/>
      <c r="E89" s="112">
        <v>0</v>
      </c>
      <c r="F89" s="113">
        <f>IF(I6="M",(IF(G86&lt;250000,G86,250000)),(IF(G86&lt;250000,G86,250000)))</f>
        <v>250000</v>
      </c>
      <c r="G89" s="113">
        <f>G86-F89</f>
        <v>214910</v>
      </c>
      <c r="H89" s="113">
        <f>E89*F89</f>
        <v>0</v>
      </c>
      <c r="J89" s="207">
        <f>M38+N38</f>
        <v>85786</v>
      </c>
      <c r="K89" s="1" t="s">
        <v>238</v>
      </c>
      <c r="L89" s="87"/>
    </row>
    <row r="90" spans="2:12" x14ac:dyDescent="0.2">
      <c r="C90" s="795" t="str">
        <f>IF(I6="M","250001 - 500000","250001-500000")</f>
        <v>250001 - 500000</v>
      </c>
      <c r="D90" s="796"/>
      <c r="E90" s="112">
        <v>0.05</v>
      </c>
      <c r="F90" s="113">
        <f>IF(I6="M",(IF(G89&lt;250000,G89,250000)),(IF(G89&lt;250000,G89,250000)))</f>
        <v>214910</v>
      </c>
      <c r="G90" s="113">
        <f>G89-F90</f>
        <v>0</v>
      </c>
      <c r="H90" s="114">
        <f>ROUND(E90*F90,0.1)</f>
        <v>10746</v>
      </c>
      <c r="J90" s="115">
        <f>SUM(J86:J89)</f>
        <v>546770</v>
      </c>
      <c r="L90" s="87"/>
    </row>
    <row r="91" spans="2:12" x14ac:dyDescent="0.2">
      <c r="C91" s="797" t="s">
        <v>212</v>
      </c>
      <c r="D91" s="798"/>
      <c r="E91" s="112">
        <v>0.2</v>
      </c>
      <c r="F91" s="113">
        <f>IF(G90&lt;500000,G90,500000)</f>
        <v>0</v>
      </c>
      <c r="G91" s="113">
        <f>G90-F91</f>
        <v>0</v>
      </c>
      <c r="H91" s="114">
        <f>ROUND(E91*F91,0.1)</f>
        <v>0</v>
      </c>
      <c r="J91" s="16">
        <f>+G86</f>
        <v>464910</v>
      </c>
      <c r="L91" s="87"/>
    </row>
    <row r="92" spans="2:12" x14ac:dyDescent="0.2">
      <c r="C92" s="795" t="s">
        <v>213</v>
      </c>
      <c r="D92" s="796"/>
      <c r="E92" s="112">
        <v>0.3</v>
      </c>
      <c r="F92" s="113">
        <f>G91</f>
        <v>0</v>
      </c>
      <c r="G92" s="113">
        <f>G91-F92</f>
        <v>0</v>
      </c>
      <c r="H92" s="114">
        <f>ROUND(E92*F92,0.1)</f>
        <v>0</v>
      </c>
      <c r="J92" s="16">
        <f>+J90-J91</f>
        <v>81860</v>
      </c>
      <c r="L92" s="87"/>
    </row>
    <row r="93" spans="2:12" ht="12.75" customHeight="1" thickBot="1" x14ac:dyDescent="0.25">
      <c r="B93" s="116"/>
      <c r="C93" s="117"/>
      <c r="D93" s="47"/>
      <c r="E93" s="47"/>
      <c r="F93" s="47"/>
    </row>
    <row r="94" spans="2:12" ht="13.5" thickBot="1" x14ac:dyDescent="0.25">
      <c r="B94" s="799" t="s">
        <v>239</v>
      </c>
      <c r="C94" s="800"/>
      <c r="D94" s="800"/>
      <c r="E94" s="800"/>
      <c r="F94" s="801"/>
      <c r="G94" s="771">
        <f>H89+H90+H91+H92</f>
        <v>10746</v>
      </c>
      <c r="H94" s="772"/>
    </row>
    <row r="95" spans="2:12" ht="13.5" thickBot="1" x14ac:dyDescent="0.25">
      <c r="B95" s="119" t="s">
        <v>215</v>
      </c>
      <c r="C95" s="120"/>
      <c r="D95" s="120"/>
      <c r="E95" s="120"/>
      <c r="F95" s="120"/>
      <c r="G95" s="895">
        <f>IF((G65&lt;500000),5000,0)</f>
        <v>0</v>
      </c>
      <c r="H95" s="896">
        <f>IF(H93&lt;200000,0,IF(H93&lt;220000,((H93-200000)*10%),IF(H93&lt;=500000,2000,IF(H93&gt;=500000,0))))</f>
        <v>0</v>
      </c>
      <c r="J95" s="1"/>
      <c r="K95" s="121"/>
      <c r="L95" s="121"/>
    </row>
    <row r="96" spans="2:12" ht="13.5" thickBot="1" x14ac:dyDescent="0.25">
      <c r="B96" s="122" t="s">
        <v>216</v>
      </c>
      <c r="C96" s="123"/>
      <c r="D96" s="123"/>
      <c r="E96" s="123"/>
      <c r="F96" s="123"/>
      <c r="G96" s="897">
        <f>IF((G94-G95)&lt;0,0,(G94-G95))</f>
        <v>10746</v>
      </c>
      <c r="H96" s="898"/>
      <c r="I96" s="37"/>
    </row>
    <row r="97" spans="2:9" ht="13.5" thickBot="1" x14ac:dyDescent="0.25">
      <c r="B97" s="773" t="s">
        <v>240</v>
      </c>
      <c r="C97" s="774"/>
      <c r="D97" s="774"/>
      <c r="E97" s="774"/>
      <c r="F97" s="775"/>
      <c r="G97" s="899">
        <f>ROUND((IF(G96&gt;0,(G96*4%),0)),0)</f>
        <v>430</v>
      </c>
      <c r="H97" s="900"/>
      <c r="I97" s="37"/>
    </row>
    <row r="98" spans="2:9" ht="13.5" thickBot="1" x14ac:dyDescent="0.25">
      <c r="B98" s="778" t="s">
        <v>218</v>
      </c>
      <c r="C98" s="779"/>
      <c r="D98" s="779"/>
      <c r="E98" s="779"/>
      <c r="F98" s="779"/>
      <c r="G98" s="901">
        <f>G96+G97</f>
        <v>11176</v>
      </c>
      <c r="H98" s="902"/>
      <c r="I98" s="121"/>
    </row>
    <row r="99" spans="2:9" ht="13.5" thickBot="1" x14ac:dyDescent="0.25">
      <c r="B99" s="765" t="s">
        <v>219</v>
      </c>
      <c r="C99" s="766"/>
      <c r="D99" s="766"/>
      <c r="E99" s="766"/>
      <c r="F99" s="766"/>
      <c r="G99" s="893">
        <f>O39</f>
        <v>11181</v>
      </c>
      <c r="H99" s="894"/>
      <c r="I99" s="121"/>
    </row>
    <row r="100" spans="2:9" ht="13.5" thickBot="1" x14ac:dyDescent="0.25">
      <c r="B100" s="765" t="str">
        <f>IF(G100&gt;0,"TAX PAYABLE","TAX REFUND")</f>
        <v>TAX REFUND</v>
      </c>
      <c r="C100" s="766"/>
      <c r="D100" s="766"/>
      <c r="E100" s="766"/>
      <c r="F100" s="766"/>
      <c r="G100" s="893">
        <f>+G98-G99</f>
        <v>-5</v>
      </c>
      <c r="H100" s="894"/>
      <c r="I100" s="37"/>
    </row>
    <row r="101" spans="2:9" x14ac:dyDescent="0.2">
      <c r="C101" s="124"/>
      <c r="D101" s="45"/>
      <c r="E101" s="118"/>
      <c r="F101" s="118"/>
      <c r="G101" s="118"/>
      <c r="H101" s="118"/>
      <c r="I101" s="125"/>
    </row>
    <row r="102" spans="2:9" x14ac:dyDescent="0.2">
      <c r="C102" s="47"/>
      <c r="D102" s="50"/>
      <c r="E102" s="117"/>
      <c r="F102" s="47"/>
      <c r="G102" s="47"/>
      <c r="H102" s="47"/>
      <c r="I102" s="125"/>
    </row>
    <row r="103" spans="2:9" x14ac:dyDescent="0.2">
      <c r="C103" s="39"/>
      <c r="D103" s="126"/>
      <c r="E103" s="126"/>
      <c r="F103" s="126"/>
      <c r="G103" s="39"/>
      <c r="H103" s="39"/>
      <c r="I103" s="37"/>
    </row>
    <row r="104" spans="2:9" x14ac:dyDescent="0.2">
      <c r="C104" s="39"/>
      <c r="D104" s="126"/>
      <c r="E104" s="126"/>
      <c r="F104" s="39"/>
      <c r="G104" s="39"/>
      <c r="H104" s="39"/>
      <c r="I104" s="37"/>
    </row>
    <row r="105" spans="2:9" x14ac:dyDescent="0.2">
      <c r="C105" s="39"/>
      <c r="D105" s="126"/>
      <c r="E105" s="126"/>
      <c r="F105" s="39"/>
      <c r="G105" s="39"/>
      <c r="H105" s="39"/>
      <c r="I105" s="37"/>
    </row>
    <row r="106" spans="2:9" x14ac:dyDescent="0.2">
      <c r="C106" s="39"/>
      <c r="D106" s="39"/>
      <c r="E106" s="39"/>
      <c r="F106" s="39"/>
      <c r="G106" s="39"/>
      <c r="H106" s="39"/>
      <c r="I106" s="37"/>
    </row>
    <row r="107" spans="2:9" x14ac:dyDescent="0.2">
      <c r="C107" s="39"/>
      <c r="D107" s="39"/>
      <c r="E107" s="39"/>
      <c r="F107" s="39"/>
      <c r="G107" s="39"/>
      <c r="H107" s="39"/>
    </row>
    <row r="108" spans="2:9" x14ac:dyDescent="0.2">
      <c r="C108" s="39"/>
      <c r="D108" s="39"/>
      <c r="E108" s="39"/>
      <c r="F108" s="39"/>
      <c r="G108" s="39"/>
      <c r="H108"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7:B37"/>
    <mergeCell ref="A5:C5"/>
    <mergeCell ref="D5:F5"/>
    <mergeCell ref="G5:H5"/>
    <mergeCell ref="I5:O5"/>
    <mergeCell ref="A6:C6"/>
    <mergeCell ref="D6:F6"/>
    <mergeCell ref="G6:H6"/>
    <mergeCell ref="J6:O6"/>
    <mergeCell ref="L7:O7"/>
    <mergeCell ref="A8:B8"/>
    <mergeCell ref="A21:A33"/>
    <mergeCell ref="A34:B34"/>
    <mergeCell ref="A36:B36"/>
    <mergeCell ref="A39:A49"/>
    <mergeCell ref="A50:B50"/>
    <mergeCell ref="A51:B51"/>
    <mergeCell ref="B54:F54"/>
    <mergeCell ref="G54:H54"/>
    <mergeCell ref="B60:F60"/>
    <mergeCell ref="G60:H60"/>
    <mergeCell ref="J60:O60"/>
    <mergeCell ref="B56:B58"/>
    <mergeCell ref="C56:C58"/>
    <mergeCell ref="D56:F56"/>
    <mergeCell ref="G56:H56"/>
    <mergeCell ref="D57:F57"/>
    <mergeCell ref="G57:H57"/>
    <mergeCell ref="J57:L57"/>
    <mergeCell ref="M57:O57"/>
    <mergeCell ref="D58:F58"/>
    <mergeCell ref="G58:H58"/>
    <mergeCell ref="J63:O63"/>
    <mergeCell ref="D81:F81"/>
    <mergeCell ref="J68:K68"/>
    <mergeCell ref="B65:F65"/>
    <mergeCell ref="G65:H65"/>
    <mergeCell ref="D76:F76"/>
    <mergeCell ref="D77:F77"/>
    <mergeCell ref="E78:F78"/>
    <mergeCell ref="D79:F79"/>
    <mergeCell ref="D80:F80"/>
    <mergeCell ref="D71:F71"/>
    <mergeCell ref="D72:F72"/>
    <mergeCell ref="C69:C75"/>
    <mergeCell ref="D69:F69"/>
    <mergeCell ref="D70:F70"/>
    <mergeCell ref="D74:F74"/>
    <mergeCell ref="G62:H62"/>
    <mergeCell ref="C63:F63"/>
    <mergeCell ref="G63:H63"/>
    <mergeCell ref="B62:F62"/>
    <mergeCell ref="D73:F73"/>
    <mergeCell ref="D75:F75"/>
    <mergeCell ref="G94:H94"/>
    <mergeCell ref="D82:F82"/>
    <mergeCell ref="D83:F83"/>
    <mergeCell ref="B84:F84"/>
    <mergeCell ref="B86:F86"/>
    <mergeCell ref="G86:H86"/>
    <mergeCell ref="C88:D88"/>
    <mergeCell ref="C89:D89"/>
    <mergeCell ref="C90:D90"/>
    <mergeCell ref="C91:D91"/>
    <mergeCell ref="C92:D92"/>
    <mergeCell ref="B94:F94"/>
    <mergeCell ref="B69:B83"/>
    <mergeCell ref="B100:F100"/>
    <mergeCell ref="G100:H100"/>
    <mergeCell ref="G95:H95"/>
    <mergeCell ref="G96:H96"/>
    <mergeCell ref="B97:F97"/>
    <mergeCell ref="G97:H97"/>
    <mergeCell ref="B98:F98"/>
    <mergeCell ref="G98:H98"/>
    <mergeCell ref="B99:F99"/>
    <mergeCell ref="G99:H99"/>
  </mergeCells>
  <conditionalFormatting sqref="B91:F91 B100:F100 B94:F98">
    <cfRule type="cellIs" dxfId="315" priority="1" stopIfTrue="1" operator="equal">
      <formula>"TAX PAYABLE"</formula>
    </cfRule>
    <cfRule type="cellIs" dxfId="314" priority="2" stopIfTrue="1" operator="equal">
      <formula>"TAX REFUND"</formula>
    </cfRule>
  </conditionalFormatting>
  <conditionalFormatting sqref="G91:H91">
    <cfRule type="cellIs" dxfId="313" priority="3" stopIfTrue="1" operator="lessThan">
      <formula>0</formula>
    </cfRule>
    <cfRule type="cellIs" dxfId="312" priority="4" stopIfTrue="1" operator="greaterThan">
      <formula>0</formula>
    </cfRule>
  </conditionalFormatting>
  <conditionalFormatting sqref="G100:H100">
    <cfRule type="cellIs" dxfId="311" priority="5" stopIfTrue="1" operator="greaterThan">
      <formula>0</formula>
    </cfRule>
    <cfRule type="cellIs" dxfId="310" priority="6"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5" right="0.75" top="1" bottom="1" header="0.5" footer="0.5"/>
  <headerFooter alignWithMargins="0"/>
  <legacyDrawing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03"/>
  <sheetViews>
    <sheetView topLeftCell="A59" workbookViewId="0">
      <selection activeCell="H52" sqref="H52"/>
    </sheetView>
  </sheetViews>
  <sheetFormatPr defaultColWidth="8.85546875" defaultRowHeight="12.75" x14ac:dyDescent="0.2"/>
  <cols>
    <col min="1" max="1" width="8.85546875" style="16" customWidth="1"/>
    <col min="2" max="2" width="18.28515625" style="37" customWidth="1"/>
    <col min="3" max="3" width="8.85546875" style="16" customWidth="1"/>
    <col min="4" max="4" width="7.140625" style="16" customWidth="1"/>
    <col min="5" max="5" width="8.42578125" style="16" customWidth="1"/>
    <col min="6" max="6" width="9.28515625" style="16" customWidth="1"/>
    <col min="7" max="15" width="8.140625" style="16" customWidth="1"/>
    <col min="16" max="256" width="8.85546875" style="16"/>
    <col min="257" max="257" width="8.85546875" style="16" customWidth="1"/>
    <col min="258" max="258" width="18.28515625" style="16" customWidth="1"/>
    <col min="259" max="259" width="8.85546875" style="16" customWidth="1"/>
    <col min="260" max="260" width="7.140625" style="16" customWidth="1"/>
    <col min="261" max="261" width="8.42578125" style="16" customWidth="1"/>
    <col min="262" max="262" width="9.28515625" style="16" customWidth="1"/>
    <col min="263" max="271" width="8.140625" style="16" customWidth="1"/>
    <col min="272" max="512" width="8.85546875" style="16"/>
    <col min="513" max="513" width="8.85546875" style="16" customWidth="1"/>
    <col min="514" max="514" width="18.28515625" style="16" customWidth="1"/>
    <col min="515" max="515" width="8.85546875" style="16" customWidth="1"/>
    <col min="516" max="516" width="7.140625" style="16" customWidth="1"/>
    <col min="517" max="517" width="8.42578125" style="16" customWidth="1"/>
    <col min="518" max="518" width="9.28515625" style="16" customWidth="1"/>
    <col min="519" max="527" width="8.140625" style="16" customWidth="1"/>
    <col min="528" max="768" width="8.85546875" style="16"/>
    <col min="769" max="769" width="8.85546875" style="16" customWidth="1"/>
    <col min="770" max="770" width="18.28515625" style="16" customWidth="1"/>
    <col min="771" max="771" width="8.85546875" style="16" customWidth="1"/>
    <col min="772" max="772" width="7.140625" style="16" customWidth="1"/>
    <col min="773" max="773" width="8.42578125" style="16" customWidth="1"/>
    <col min="774" max="774" width="9.28515625" style="16" customWidth="1"/>
    <col min="775" max="783" width="8.140625" style="16" customWidth="1"/>
    <col min="784" max="1024" width="8.85546875" style="16"/>
    <col min="1025" max="1025" width="8.85546875" style="16" customWidth="1"/>
    <col min="1026" max="1026" width="18.28515625" style="16" customWidth="1"/>
    <col min="1027" max="1027" width="8.85546875" style="16" customWidth="1"/>
    <col min="1028" max="1028" width="7.140625" style="16" customWidth="1"/>
    <col min="1029" max="1029" width="8.42578125" style="16" customWidth="1"/>
    <col min="1030" max="1030" width="9.28515625" style="16" customWidth="1"/>
    <col min="1031" max="1039" width="8.140625" style="16" customWidth="1"/>
    <col min="1040" max="1280" width="8.85546875" style="16"/>
    <col min="1281" max="1281" width="8.85546875" style="16" customWidth="1"/>
    <col min="1282" max="1282" width="18.28515625" style="16" customWidth="1"/>
    <col min="1283" max="1283" width="8.85546875" style="16" customWidth="1"/>
    <col min="1284" max="1284" width="7.140625" style="16" customWidth="1"/>
    <col min="1285" max="1285" width="8.42578125" style="16" customWidth="1"/>
    <col min="1286" max="1286" width="9.28515625" style="16" customWidth="1"/>
    <col min="1287" max="1295" width="8.140625" style="16" customWidth="1"/>
    <col min="1296" max="1536" width="8.85546875" style="16"/>
    <col min="1537" max="1537" width="8.85546875" style="16" customWidth="1"/>
    <col min="1538" max="1538" width="18.28515625" style="16" customWidth="1"/>
    <col min="1539" max="1539" width="8.85546875" style="16" customWidth="1"/>
    <col min="1540" max="1540" width="7.140625" style="16" customWidth="1"/>
    <col min="1541" max="1541" width="8.42578125" style="16" customWidth="1"/>
    <col min="1542" max="1542" width="9.28515625" style="16" customWidth="1"/>
    <col min="1543" max="1551" width="8.140625" style="16" customWidth="1"/>
    <col min="1552" max="1792" width="8.85546875" style="16"/>
    <col min="1793" max="1793" width="8.85546875" style="16" customWidth="1"/>
    <col min="1794" max="1794" width="18.28515625" style="16" customWidth="1"/>
    <col min="1795" max="1795" width="8.85546875" style="16" customWidth="1"/>
    <col min="1796" max="1796" width="7.140625" style="16" customWidth="1"/>
    <col min="1797" max="1797" width="8.42578125" style="16" customWidth="1"/>
    <col min="1798" max="1798" width="9.28515625" style="16" customWidth="1"/>
    <col min="1799" max="1807" width="8.140625" style="16" customWidth="1"/>
    <col min="1808" max="2048" width="8.85546875" style="16"/>
    <col min="2049" max="2049" width="8.85546875" style="16" customWidth="1"/>
    <col min="2050" max="2050" width="18.28515625" style="16" customWidth="1"/>
    <col min="2051" max="2051" width="8.85546875" style="16" customWidth="1"/>
    <col min="2052" max="2052" width="7.140625" style="16" customWidth="1"/>
    <col min="2053" max="2053" width="8.42578125" style="16" customWidth="1"/>
    <col min="2054" max="2054" width="9.28515625" style="16" customWidth="1"/>
    <col min="2055" max="2063" width="8.140625" style="16" customWidth="1"/>
    <col min="2064" max="2304" width="8.85546875" style="16"/>
    <col min="2305" max="2305" width="8.85546875" style="16" customWidth="1"/>
    <col min="2306" max="2306" width="18.28515625" style="16" customWidth="1"/>
    <col min="2307" max="2307" width="8.85546875" style="16" customWidth="1"/>
    <col min="2308" max="2308" width="7.140625" style="16" customWidth="1"/>
    <col min="2309" max="2309" width="8.42578125" style="16" customWidth="1"/>
    <col min="2310" max="2310" width="9.28515625" style="16" customWidth="1"/>
    <col min="2311" max="2319" width="8.140625" style="16" customWidth="1"/>
    <col min="2320" max="2560" width="8.85546875" style="16"/>
    <col min="2561" max="2561" width="8.85546875" style="16" customWidth="1"/>
    <col min="2562" max="2562" width="18.28515625" style="16" customWidth="1"/>
    <col min="2563" max="2563" width="8.85546875" style="16" customWidth="1"/>
    <col min="2564" max="2564" width="7.140625" style="16" customWidth="1"/>
    <col min="2565" max="2565" width="8.42578125" style="16" customWidth="1"/>
    <col min="2566" max="2566" width="9.28515625" style="16" customWidth="1"/>
    <col min="2567" max="2575" width="8.140625" style="16" customWidth="1"/>
    <col min="2576" max="2816" width="8.85546875" style="16"/>
    <col min="2817" max="2817" width="8.85546875" style="16" customWidth="1"/>
    <col min="2818" max="2818" width="18.28515625" style="16" customWidth="1"/>
    <col min="2819" max="2819" width="8.85546875" style="16" customWidth="1"/>
    <col min="2820" max="2820" width="7.140625" style="16" customWidth="1"/>
    <col min="2821" max="2821" width="8.42578125" style="16" customWidth="1"/>
    <col min="2822" max="2822" width="9.28515625" style="16" customWidth="1"/>
    <col min="2823" max="2831" width="8.140625" style="16" customWidth="1"/>
    <col min="2832" max="3072" width="8.85546875" style="16"/>
    <col min="3073" max="3073" width="8.85546875" style="16" customWidth="1"/>
    <col min="3074" max="3074" width="18.28515625" style="16" customWidth="1"/>
    <col min="3075" max="3075" width="8.85546875" style="16" customWidth="1"/>
    <col min="3076" max="3076" width="7.140625" style="16" customWidth="1"/>
    <col min="3077" max="3077" width="8.42578125" style="16" customWidth="1"/>
    <col min="3078" max="3078" width="9.28515625" style="16" customWidth="1"/>
    <col min="3079" max="3087" width="8.140625" style="16" customWidth="1"/>
    <col min="3088" max="3328" width="8.85546875" style="16"/>
    <col min="3329" max="3329" width="8.85546875" style="16" customWidth="1"/>
    <col min="3330" max="3330" width="18.28515625" style="16" customWidth="1"/>
    <col min="3331" max="3331" width="8.85546875" style="16" customWidth="1"/>
    <col min="3332" max="3332" width="7.140625" style="16" customWidth="1"/>
    <col min="3333" max="3333" width="8.42578125" style="16" customWidth="1"/>
    <col min="3334" max="3334" width="9.28515625" style="16" customWidth="1"/>
    <col min="3335" max="3343" width="8.140625" style="16" customWidth="1"/>
    <col min="3344" max="3584" width="8.85546875" style="16"/>
    <col min="3585" max="3585" width="8.85546875" style="16" customWidth="1"/>
    <col min="3586" max="3586" width="18.28515625" style="16" customWidth="1"/>
    <col min="3587" max="3587" width="8.85546875" style="16" customWidth="1"/>
    <col min="3588" max="3588" width="7.140625" style="16" customWidth="1"/>
    <col min="3589" max="3589" width="8.42578125" style="16" customWidth="1"/>
    <col min="3590" max="3590" width="9.28515625" style="16" customWidth="1"/>
    <col min="3591" max="3599" width="8.140625" style="16" customWidth="1"/>
    <col min="3600" max="3840" width="8.85546875" style="16"/>
    <col min="3841" max="3841" width="8.85546875" style="16" customWidth="1"/>
    <col min="3842" max="3842" width="18.28515625" style="16" customWidth="1"/>
    <col min="3843" max="3843" width="8.85546875" style="16" customWidth="1"/>
    <col min="3844" max="3844" width="7.140625" style="16" customWidth="1"/>
    <col min="3845" max="3845" width="8.42578125" style="16" customWidth="1"/>
    <col min="3846" max="3846" width="9.28515625" style="16" customWidth="1"/>
    <col min="3847" max="3855" width="8.140625" style="16" customWidth="1"/>
    <col min="3856" max="4096" width="8.85546875" style="16"/>
    <col min="4097" max="4097" width="8.85546875" style="16" customWidth="1"/>
    <col min="4098" max="4098" width="18.28515625" style="16" customWidth="1"/>
    <col min="4099" max="4099" width="8.85546875" style="16" customWidth="1"/>
    <col min="4100" max="4100" width="7.140625" style="16" customWidth="1"/>
    <col min="4101" max="4101" width="8.42578125" style="16" customWidth="1"/>
    <col min="4102" max="4102" width="9.28515625" style="16" customWidth="1"/>
    <col min="4103" max="4111" width="8.140625" style="16" customWidth="1"/>
    <col min="4112" max="4352" width="8.85546875" style="16"/>
    <col min="4353" max="4353" width="8.85546875" style="16" customWidth="1"/>
    <col min="4354" max="4354" width="18.28515625" style="16" customWidth="1"/>
    <col min="4355" max="4355" width="8.85546875" style="16" customWidth="1"/>
    <col min="4356" max="4356" width="7.140625" style="16" customWidth="1"/>
    <col min="4357" max="4357" width="8.42578125" style="16" customWidth="1"/>
    <col min="4358" max="4358" width="9.28515625" style="16" customWidth="1"/>
    <col min="4359" max="4367" width="8.140625" style="16" customWidth="1"/>
    <col min="4368" max="4608" width="8.85546875" style="16"/>
    <col min="4609" max="4609" width="8.85546875" style="16" customWidth="1"/>
    <col min="4610" max="4610" width="18.28515625" style="16" customWidth="1"/>
    <col min="4611" max="4611" width="8.85546875" style="16" customWidth="1"/>
    <col min="4612" max="4612" width="7.140625" style="16" customWidth="1"/>
    <col min="4613" max="4613" width="8.42578125" style="16" customWidth="1"/>
    <col min="4614" max="4614" width="9.28515625" style="16" customWidth="1"/>
    <col min="4615" max="4623" width="8.140625" style="16" customWidth="1"/>
    <col min="4624" max="4864" width="8.85546875" style="16"/>
    <col min="4865" max="4865" width="8.85546875" style="16" customWidth="1"/>
    <col min="4866" max="4866" width="18.28515625" style="16" customWidth="1"/>
    <col min="4867" max="4867" width="8.85546875" style="16" customWidth="1"/>
    <col min="4868" max="4868" width="7.140625" style="16" customWidth="1"/>
    <col min="4869" max="4869" width="8.42578125" style="16" customWidth="1"/>
    <col min="4870" max="4870" width="9.28515625" style="16" customWidth="1"/>
    <col min="4871" max="4879" width="8.140625" style="16" customWidth="1"/>
    <col min="4880" max="5120" width="8.85546875" style="16"/>
    <col min="5121" max="5121" width="8.85546875" style="16" customWidth="1"/>
    <col min="5122" max="5122" width="18.28515625" style="16" customWidth="1"/>
    <col min="5123" max="5123" width="8.85546875" style="16" customWidth="1"/>
    <col min="5124" max="5124" width="7.140625" style="16" customWidth="1"/>
    <col min="5125" max="5125" width="8.42578125" style="16" customWidth="1"/>
    <col min="5126" max="5126" width="9.28515625" style="16" customWidth="1"/>
    <col min="5127" max="5135" width="8.140625" style="16" customWidth="1"/>
    <col min="5136" max="5376" width="8.85546875" style="16"/>
    <col min="5377" max="5377" width="8.85546875" style="16" customWidth="1"/>
    <col min="5378" max="5378" width="18.28515625" style="16" customWidth="1"/>
    <col min="5379" max="5379" width="8.85546875" style="16" customWidth="1"/>
    <col min="5380" max="5380" width="7.140625" style="16" customWidth="1"/>
    <col min="5381" max="5381" width="8.42578125" style="16" customWidth="1"/>
    <col min="5382" max="5382" width="9.28515625" style="16" customWidth="1"/>
    <col min="5383" max="5391" width="8.140625" style="16" customWidth="1"/>
    <col min="5392" max="5632" width="8.85546875" style="16"/>
    <col min="5633" max="5633" width="8.85546875" style="16" customWidth="1"/>
    <col min="5634" max="5634" width="18.28515625" style="16" customWidth="1"/>
    <col min="5635" max="5635" width="8.85546875" style="16" customWidth="1"/>
    <col min="5636" max="5636" width="7.140625" style="16" customWidth="1"/>
    <col min="5637" max="5637" width="8.42578125" style="16" customWidth="1"/>
    <col min="5638" max="5638" width="9.28515625" style="16" customWidth="1"/>
    <col min="5639" max="5647" width="8.140625" style="16" customWidth="1"/>
    <col min="5648" max="5888" width="8.85546875" style="16"/>
    <col min="5889" max="5889" width="8.85546875" style="16" customWidth="1"/>
    <col min="5890" max="5890" width="18.28515625" style="16" customWidth="1"/>
    <col min="5891" max="5891" width="8.85546875" style="16" customWidth="1"/>
    <col min="5892" max="5892" width="7.140625" style="16" customWidth="1"/>
    <col min="5893" max="5893" width="8.42578125" style="16" customWidth="1"/>
    <col min="5894" max="5894" width="9.28515625" style="16" customWidth="1"/>
    <col min="5895" max="5903" width="8.140625" style="16" customWidth="1"/>
    <col min="5904" max="6144" width="8.85546875" style="16"/>
    <col min="6145" max="6145" width="8.85546875" style="16" customWidth="1"/>
    <col min="6146" max="6146" width="18.28515625" style="16" customWidth="1"/>
    <col min="6147" max="6147" width="8.85546875" style="16" customWidth="1"/>
    <col min="6148" max="6148" width="7.140625" style="16" customWidth="1"/>
    <col min="6149" max="6149" width="8.42578125" style="16" customWidth="1"/>
    <col min="6150" max="6150" width="9.28515625" style="16" customWidth="1"/>
    <col min="6151" max="6159" width="8.140625" style="16" customWidth="1"/>
    <col min="6160" max="6400" width="8.85546875" style="16"/>
    <col min="6401" max="6401" width="8.85546875" style="16" customWidth="1"/>
    <col min="6402" max="6402" width="18.28515625" style="16" customWidth="1"/>
    <col min="6403" max="6403" width="8.85546875" style="16" customWidth="1"/>
    <col min="6404" max="6404" width="7.140625" style="16" customWidth="1"/>
    <col min="6405" max="6405" width="8.42578125" style="16" customWidth="1"/>
    <col min="6406" max="6406" width="9.28515625" style="16" customWidth="1"/>
    <col min="6407" max="6415" width="8.140625" style="16" customWidth="1"/>
    <col min="6416" max="6656" width="8.85546875" style="16"/>
    <col min="6657" max="6657" width="8.85546875" style="16" customWidth="1"/>
    <col min="6658" max="6658" width="18.28515625" style="16" customWidth="1"/>
    <col min="6659" max="6659" width="8.85546875" style="16" customWidth="1"/>
    <col min="6660" max="6660" width="7.140625" style="16" customWidth="1"/>
    <col min="6661" max="6661" width="8.42578125" style="16" customWidth="1"/>
    <col min="6662" max="6662" width="9.28515625" style="16" customWidth="1"/>
    <col min="6663" max="6671" width="8.140625" style="16" customWidth="1"/>
    <col min="6672" max="6912" width="8.85546875" style="16"/>
    <col min="6913" max="6913" width="8.85546875" style="16" customWidth="1"/>
    <col min="6914" max="6914" width="18.28515625" style="16" customWidth="1"/>
    <col min="6915" max="6915" width="8.85546875" style="16" customWidth="1"/>
    <col min="6916" max="6916" width="7.140625" style="16" customWidth="1"/>
    <col min="6917" max="6917" width="8.42578125" style="16" customWidth="1"/>
    <col min="6918" max="6918" width="9.28515625" style="16" customWidth="1"/>
    <col min="6919" max="6927" width="8.140625" style="16" customWidth="1"/>
    <col min="6928" max="7168" width="8.85546875" style="16"/>
    <col min="7169" max="7169" width="8.85546875" style="16" customWidth="1"/>
    <col min="7170" max="7170" width="18.28515625" style="16" customWidth="1"/>
    <col min="7171" max="7171" width="8.85546875" style="16" customWidth="1"/>
    <col min="7172" max="7172" width="7.140625" style="16" customWidth="1"/>
    <col min="7173" max="7173" width="8.42578125" style="16" customWidth="1"/>
    <col min="7174" max="7174" width="9.28515625" style="16" customWidth="1"/>
    <col min="7175" max="7183" width="8.140625" style="16" customWidth="1"/>
    <col min="7184" max="7424" width="8.85546875" style="16"/>
    <col min="7425" max="7425" width="8.85546875" style="16" customWidth="1"/>
    <col min="7426" max="7426" width="18.28515625" style="16" customWidth="1"/>
    <col min="7427" max="7427" width="8.85546875" style="16" customWidth="1"/>
    <col min="7428" max="7428" width="7.140625" style="16" customWidth="1"/>
    <col min="7429" max="7429" width="8.42578125" style="16" customWidth="1"/>
    <col min="7430" max="7430" width="9.28515625" style="16" customWidth="1"/>
    <col min="7431" max="7439" width="8.140625" style="16" customWidth="1"/>
    <col min="7440" max="7680" width="8.85546875" style="16"/>
    <col min="7681" max="7681" width="8.85546875" style="16" customWidth="1"/>
    <col min="7682" max="7682" width="18.28515625" style="16" customWidth="1"/>
    <col min="7683" max="7683" width="8.85546875" style="16" customWidth="1"/>
    <col min="7684" max="7684" width="7.140625" style="16" customWidth="1"/>
    <col min="7685" max="7685" width="8.42578125" style="16" customWidth="1"/>
    <col min="7686" max="7686" width="9.28515625" style="16" customWidth="1"/>
    <col min="7687" max="7695" width="8.140625" style="16" customWidth="1"/>
    <col min="7696" max="7936" width="8.85546875" style="16"/>
    <col min="7937" max="7937" width="8.85546875" style="16" customWidth="1"/>
    <col min="7938" max="7938" width="18.28515625" style="16" customWidth="1"/>
    <col min="7939" max="7939" width="8.85546875" style="16" customWidth="1"/>
    <col min="7940" max="7940" width="7.140625" style="16" customWidth="1"/>
    <col min="7941" max="7941" width="8.42578125" style="16" customWidth="1"/>
    <col min="7942" max="7942" width="9.28515625" style="16" customWidth="1"/>
    <col min="7943" max="7951" width="8.140625" style="16" customWidth="1"/>
    <col min="7952" max="8192" width="8.85546875" style="16"/>
    <col min="8193" max="8193" width="8.85546875" style="16" customWidth="1"/>
    <col min="8194" max="8194" width="18.28515625" style="16" customWidth="1"/>
    <col min="8195" max="8195" width="8.85546875" style="16" customWidth="1"/>
    <col min="8196" max="8196" width="7.140625" style="16" customWidth="1"/>
    <col min="8197" max="8197" width="8.42578125" style="16" customWidth="1"/>
    <col min="8198" max="8198" width="9.28515625" style="16" customWidth="1"/>
    <col min="8199" max="8207" width="8.140625" style="16" customWidth="1"/>
    <col min="8208" max="8448" width="8.85546875" style="16"/>
    <col min="8449" max="8449" width="8.85546875" style="16" customWidth="1"/>
    <col min="8450" max="8450" width="18.28515625" style="16" customWidth="1"/>
    <col min="8451" max="8451" width="8.85546875" style="16" customWidth="1"/>
    <col min="8452" max="8452" width="7.140625" style="16" customWidth="1"/>
    <col min="8453" max="8453" width="8.42578125" style="16" customWidth="1"/>
    <col min="8454" max="8454" width="9.28515625" style="16" customWidth="1"/>
    <col min="8455" max="8463" width="8.140625" style="16" customWidth="1"/>
    <col min="8464" max="8704" width="8.85546875" style="16"/>
    <col min="8705" max="8705" width="8.85546875" style="16" customWidth="1"/>
    <col min="8706" max="8706" width="18.28515625" style="16" customWidth="1"/>
    <col min="8707" max="8707" width="8.85546875" style="16" customWidth="1"/>
    <col min="8708" max="8708" width="7.140625" style="16" customWidth="1"/>
    <col min="8709" max="8709" width="8.42578125" style="16" customWidth="1"/>
    <col min="8710" max="8710" width="9.28515625" style="16" customWidth="1"/>
    <col min="8711" max="8719" width="8.140625" style="16" customWidth="1"/>
    <col min="8720" max="8960" width="8.85546875" style="16"/>
    <col min="8961" max="8961" width="8.85546875" style="16" customWidth="1"/>
    <col min="8962" max="8962" width="18.28515625" style="16" customWidth="1"/>
    <col min="8963" max="8963" width="8.85546875" style="16" customWidth="1"/>
    <col min="8964" max="8964" width="7.140625" style="16" customWidth="1"/>
    <col min="8965" max="8965" width="8.42578125" style="16" customWidth="1"/>
    <col min="8966" max="8966" width="9.28515625" style="16" customWidth="1"/>
    <col min="8967" max="8975" width="8.140625" style="16" customWidth="1"/>
    <col min="8976" max="9216" width="8.85546875" style="16"/>
    <col min="9217" max="9217" width="8.85546875" style="16" customWidth="1"/>
    <col min="9218" max="9218" width="18.28515625" style="16" customWidth="1"/>
    <col min="9219" max="9219" width="8.85546875" style="16" customWidth="1"/>
    <col min="9220" max="9220" width="7.140625" style="16" customWidth="1"/>
    <col min="9221" max="9221" width="8.42578125" style="16" customWidth="1"/>
    <col min="9222" max="9222" width="9.28515625" style="16" customWidth="1"/>
    <col min="9223" max="9231" width="8.140625" style="16" customWidth="1"/>
    <col min="9232" max="9472" width="8.85546875" style="16"/>
    <col min="9473" max="9473" width="8.85546875" style="16" customWidth="1"/>
    <col min="9474" max="9474" width="18.28515625" style="16" customWidth="1"/>
    <col min="9475" max="9475" width="8.85546875" style="16" customWidth="1"/>
    <col min="9476" max="9476" width="7.140625" style="16" customWidth="1"/>
    <col min="9477" max="9477" width="8.42578125" style="16" customWidth="1"/>
    <col min="9478" max="9478" width="9.28515625" style="16" customWidth="1"/>
    <col min="9479" max="9487" width="8.140625" style="16" customWidth="1"/>
    <col min="9488" max="9728" width="8.85546875" style="16"/>
    <col min="9729" max="9729" width="8.85546875" style="16" customWidth="1"/>
    <col min="9730" max="9730" width="18.28515625" style="16" customWidth="1"/>
    <col min="9731" max="9731" width="8.85546875" style="16" customWidth="1"/>
    <col min="9732" max="9732" width="7.140625" style="16" customWidth="1"/>
    <col min="9733" max="9733" width="8.42578125" style="16" customWidth="1"/>
    <col min="9734" max="9734" width="9.28515625" style="16" customWidth="1"/>
    <col min="9735" max="9743" width="8.140625" style="16" customWidth="1"/>
    <col min="9744" max="9984" width="8.85546875" style="16"/>
    <col min="9985" max="9985" width="8.85546875" style="16" customWidth="1"/>
    <col min="9986" max="9986" width="18.28515625" style="16" customWidth="1"/>
    <col min="9987" max="9987" width="8.85546875" style="16" customWidth="1"/>
    <col min="9988" max="9988" width="7.140625" style="16" customWidth="1"/>
    <col min="9989" max="9989" width="8.42578125" style="16" customWidth="1"/>
    <col min="9990" max="9990" width="9.28515625" style="16" customWidth="1"/>
    <col min="9991" max="9999" width="8.140625" style="16" customWidth="1"/>
    <col min="10000" max="10240" width="8.85546875" style="16"/>
    <col min="10241" max="10241" width="8.85546875" style="16" customWidth="1"/>
    <col min="10242" max="10242" width="18.28515625" style="16" customWidth="1"/>
    <col min="10243" max="10243" width="8.85546875" style="16" customWidth="1"/>
    <col min="10244" max="10244" width="7.140625" style="16" customWidth="1"/>
    <col min="10245" max="10245" width="8.42578125" style="16" customWidth="1"/>
    <col min="10246" max="10246" width="9.28515625" style="16" customWidth="1"/>
    <col min="10247" max="10255" width="8.140625" style="16" customWidth="1"/>
    <col min="10256" max="10496" width="8.85546875" style="16"/>
    <col min="10497" max="10497" width="8.85546875" style="16" customWidth="1"/>
    <col min="10498" max="10498" width="18.28515625" style="16" customWidth="1"/>
    <col min="10499" max="10499" width="8.85546875" style="16" customWidth="1"/>
    <col min="10500" max="10500" width="7.140625" style="16" customWidth="1"/>
    <col min="10501" max="10501" width="8.42578125" style="16" customWidth="1"/>
    <col min="10502" max="10502" width="9.28515625" style="16" customWidth="1"/>
    <col min="10503" max="10511" width="8.140625" style="16" customWidth="1"/>
    <col min="10512" max="10752" width="8.85546875" style="16"/>
    <col min="10753" max="10753" width="8.85546875" style="16" customWidth="1"/>
    <col min="10754" max="10754" width="18.28515625" style="16" customWidth="1"/>
    <col min="10755" max="10755" width="8.85546875" style="16" customWidth="1"/>
    <col min="10756" max="10756" width="7.140625" style="16" customWidth="1"/>
    <col min="10757" max="10757" width="8.42578125" style="16" customWidth="1"/>
    <col min="10758" max="10758" width="9.28515625" style="16" customWidth="1"/>
    <col min="10759" max="10767" width="8.140625" style="16" customWidth="1"/>
    <col min="10768" max="11008" width="8.85546875" style="16"/>
    <col min="11009" max="11009" width="8.85546875" style="16" customWidth="1"/>
    <col min="11010" max="11010" width="18.28515625" style="16" customWidth="1"/>
    <col min="11011" max="11011" width="8.85546875" style="16" customWidth="1"/>
    <col min="11012" max="11012" width="7.140625" style="16" customWidth="1"/>
    <col min="11013" max="11013" width="8.42578125" style="16" customWidth="1"/>
    <col min="11014" max="11014" width="9.28515625" style="16" customWidth="1"/>
    <col min="11015" max="11023" width="8.140625" style="16" customWidth="1"/>
    <col min="11024" max="11264" width="8.85546875" style="16"/>
    <col min="11265" max="11265" width="8.85546875" style="16" customWidth="1"/>
    <col min="11266" max="11266" width="18.28515625" style="16" customWidth="1"/>
    <col min="11267" max="11267" width="8.85546875" style="16" customWidth="1"/>
    <col min="11268" max="11268" width="7.140625" style="16" customWidth="1"/>
    <col min="11269" max="11269" width="8.42578125" style="16" customWidth="1"/>
    <col min="11270" max="11270" width="9.28515625" style="16" customWidth="1"/>
    <col min="11271" max="11279" width="8.140625" style="16" customWidth="1"/>
    <col min="11280" max="11520" width="8.85546875" style="16"/>
    <col min="11521" max="11521" width="8.85546875" style="16" customWidth="1"/>
    <col min="11522" max="11522" width="18.28515625" style="16" customWidth="1"/>
    <col min="11523" max="11523" width="8.85546875" style="16" customWidth="1"/>
    <col min="11524" max="11524" width="7.140625" style="16" customWidth="1"/>
    <col min="11525" max="11525" width="8.42578125" style="16" customWidth="1"/>
    <col min="11526" max="11526" width="9.28515625" style="16" customWidth="1"/>
    <col min="11527" max="11535" width="8.140625" style="16" customWidth="1"/>
    <col min="11536" max="11776" width="8.85546875" style="16"/>
    <col min="11777" max="11777" width="8.85546875" style="16" customWidth="1"/>
    <col min="11778" max="11778" width="18.28515625" style="16" customWidth="1"/>
    <col min="11779" max="11779" width="8.85546875" style="16" customWidth="1"/>
    <col min="11780" max="11780" width="7.140625" style="16" customWidth="1"/>
    <col min="11781" max="11781" width="8.42578125" style="16" customWidth="1"/>
    <col min="11782" max="11782" width="9.28515625" style="16" customWidth="1"/>
    <col min="11783" max="11791" width="8.140625" style="16" customWidth="1"/>
    <col min="11792" max="12032" width="8.85546875" style="16"/>
    <col min="12033" max="12033" width="8.85546875" style="16" customWidth="1"/>
    <col min="12034" max="12034" width="18.28515625" style="16" customWidth="1"/>
    <col min="12035" max="12035" width="8.85546875" style="16" customWidth="1"/>
    <col min="12036" max="12036" width="7.140625" style="16" customWidth="1"/>
    <col min="12037" max="12037" width="8.42578125" style="16" customWidth="1"/>
    <col min="12038" max="12038" width="9.28515625" style="16" customWidth="1"/>
    <col min="12039" max="12047" width="8.140625" style="16" customWidth="1"/>
    <col min="12048" max="12288" width="8.85546875" style="16"/>
    <col min="12289" max="12289" width="8.85546875" style="16" customWidth="1"/>
    <col min="12290" max="12290" width="18.28515625" style="16" customWidth="1"/>
    <col min="12291" max="12291" width="8.85546875" style="16" customWidth="1"/>
    <col min="12292" max="12292" width="7.140625" style="16" customWidth="1"/>
    <col min="12293" max="12293" width="8.42578125" style="16" customWidth="1"/>
    <col min="12294" max="12294" width="9.28515625" style="16" customWidth="1"/>
    <col min="12295" max="12303" width="8.140625" style="16" customWidth="1"/>
    <col min="12304" max="12544" width="8.85546875" style="16"/>
    <col min="12545" max="12545" width="8.85546875" style="16" customWidth="1"/>
    <col min="12546" max="12546" width="18.28515625" style="16" customWidth="1"/>
    <col min="12547" max="12547" width="8.85546875" style="16" customWidth="1"/>
    <col min="12548" max="12548" width="7.140625" style="16" customWidth="1"/>
    <col min="12549" max="12549" width="8.42578125" style="16" customWidth="1"/>
    <col min="12550" max="12550" width="9.28515625" style="16" customWidth="1"/>
    <col min="12551" max="12559" width="8.140625" style="16" customWidth="1"/>
    <col min="12560" max="12800" width="8.85546875" style="16"/>
    <col min="12801" max="12801" width="8.85546875" style="16" customWidth="1"/>
    <col min="12802" max="12802" width="18.28515625" style="16" customWidth="1"/>
    <col min="12803" max="12803" width="8.85546875" style="16" customWidth="1"/>
    <col min="12804" max="12804" width="7.140625" style="16" customWidth="1"/>
    <col min="12805" max="12805" width="8.42578125" style="16" customWidth="1"/>
    <col min="12806" max="12806" width="9.28515625" style="16" customWidth="1"/>
    <col min="12807" max="12815" width="8.140625" style="16" customWidth="1"/>
    <col min="12816" max="13056" width="8.85546875" style="16"/>
    <col min="13057" max="13057" width="8.85546875" style="16" customWidth="1"/>
    <col min="13058" max="13058" width="18.28515625" style="16" customWidth="1"/>
    <col min="13059" max="13059" width="8.85546875" style="16" customWidth="1"/>
    <col min="13060" max="13060" width="7.140625" style="16" customWidth="1"/>
    <col min="13061" max="13061" width="8.42578125" style="16" customWidth="1"/>
    <col min="13062" max="13062" width="9.28515625" style="16" customWidth="1"/>
    <col min="13063" max="13071" width="8.140625" style="16" customWidth="1"/>
    <col min="13072" max="13312" width="8.85546875" style="16"/>
    <col min="13313" max="13313" width="8.85546875" style="16" customWidth="1"/>
    <col min="13314" max="13314" width="18.28515625" style="16" customWidth="1"/>
    <col min="13315" max="13315" width="8.85546875" style="16" customWidth="1"/>
    <col min="13316" max="13316" width="7.140625" style="16" customWidth="1"/>
    <col min="13317" max="13317" width="8.42578125" style="16" customWidth="1"/>
    <col min="13318" max="13318" width="9.28515625" style="16" customWidth="1"/>
    <col min="13319" max="13327" width="8.140625" style="16" customWidth="1"/>
    <col min="13328" max="13568" width="8.85546875" style="16"/>
    <col min="13569" max="13569" width="8.85546875" style="16" customWidth="1"/>
    <col min="13570" max="13570" width="18.28515625" style="16" customWidth="1"/>
    <col min="13571" max="13571" width="8.85546875" style="16" customWidth="1"/>
    <col min="13572" max="13572" width="7.140625" style="16" customWidth="1"/>
    <col min="13573" max="13573" width="8.42578125" style="16" customWidth="1"/>
    <col min="13574" max="13574" width="9.28515625" style="16" customWidth="1"/>
    <col min="13575" max="13583" width="8.140625" style="16" customWidth="1"/>
    <col min="13584" max="13824" width="8.85546875" style="16"/>
    <col min="13825" max="13825" width="8.85546875" style="16" customWidth="1"/>
    <col min="13826" max="13826" width="18.28515625" style="16" customWidth="1"/>
    <col min="13827" max="13827" width="8.85546875" style="16" customWidth="1"/>
    <col min="13828" max="13828" width="7.140625" style="16" customWidth="1"/>
    <col min="13829" max="13829" width="8.42578125" style="16" customWidth="1"/>
    <col min="13830" max="13830" width="9.28515625" style="16" customWidth="1"/>
    <col min="13831" max="13839" width="8.140625" style="16" customWidth="1"/>
    <col min="13840" max="14080" width="8.85546875" style="16"/>
    <col min="14081" max="14081" width="8.85546875" style="16" customWidth="1"/>
    <col min="14082" max="14082" width="18.28515625" style="16" customWidth="1"/>
    <col min="14083" max="14083" width="8.85546875" style="16" customWidth="1"/>
    <col min="14084" max="14084" width="7.140625" style="16" customWidth="1"/>
    <col min="14085" max="14085" width="8.42578125" style="16" customWidth="1"/>
    <col min="14086" max="14086" width="9.28515625" style="16" customWidth="1"/>
    <col min="14087" max="14095" width="8.140625" style="16" customWidth="1"/>
    <col min="14096" max="14336" width="8.85546875" style="16"/>
    <col min="14337" max="14337" width="8.85546875" style="16" customWidth="1"/>
    <col min="14338" max="14338" width="18.28515625" style="16" customWidth="1"/>
    <col min="14339" max="14339" width="8.85546875" style="16" customWidth="1"/>
    <col min="14340" max="14340" width="7.140625" style="16" customWidth="1"/>
    <col min="14341" max="14341" width="8.42578125" style="16" customWidth="1"/>
    <col min="14342" max="14342" width="9.28515625" style="16" customWidth="1"/>
    <col min="14343" max="14351" width="8.140625" style="16" customWidth="1"/>
    <col min="14352" max="14592" width="8.85546875" style="16"/>
    <col min="14593" max="14593" width="8.85546875" style="16" customWidth="1"/>
    <col min="14594" max="14594" width="18.28515625" style="16" customWidth="1"/>
    <col min="14595" max="14595" width="8.85546875" style="16" customWidth="1"/>
    <col min="14596" max="14596" width="7.140625" style="16" customWidth="1"/>
    <col min="14597" max="14597" width="8.42578125" style="16" customWidth="1"/>
    <col min="14598" max="14598" width="9.28515625" style="16" customWidth="1"/>
    <col min="14599" max="14607" width="8.140625" style="16" customWidth="1"/>
    <col min="14608" max="14848" width="8.85546875" style="16"/>
    <col min="14849" max="14849" width="8.85546875" style="16" customWidth="1"/>
    <col min="14850" max="14850" width="18.28515625" style="16" customWidth="1"/>
    <col min="14851" max="14851" width="8.85546875" style="16" customWidth="1"/>
    <col min="14852" max="14852" width="7.140625" style="16" customWidth="1"/>
    <col min="14853" max="14853" width="8.42578125" style="16" customWidth="1"/>
    <col min="14854" max="14854" width="9.28515625" style="16" customWidth="1"/>
    <col min="14855" max="14863" width="8.140625" style="16" customWidth="1"/>
    <col min="14864" max="15104" width="8.85546875" style="16"/>
    <col min="15105" max="15105" width="8.85546875" style="16" customWidth="1"/>
    <col min="15106" max="15106" width="18.28515625" style="16" customWidth="1"/>
    <col min="15107" max="15107" width="8.85546875" style="16" customWidth="1"/>
    <col min="15108" max="15108" width="7.140625" style="16" customWidth="1"/>
    <col min="15109" max="15109" width="8.42578125" style="16" customWidth="1"/>
    <col min="15110" max="15110" width="9.28515625" style="16" customWidth="1"/>
    <col min="15111" max="15119" width="8.140625" style="16" customWidth="1"/>
    <col min="15120" max="15360" width="8.85546875" style="16"/>
    <col min="15361" max="15361" width="8.85546875" style="16" customWidth="1"/>
    <col min="15362" max="15362" width="18.28515625" style="16" customWidth="1"/>
    <col min="15363" max="15363" width="8.85546875" style="16" customWidth="1"/>
    <col min="15364" max="15364" width="7.140625" style="16" customWidth="1"/>
    <col min="15365" max="15365" width="8.42578125" style="16" customWidth="1"/>
    <col min="15366" max="15366" width="9.28515625" style="16" customWidth="1"/>
    <col min="15367" max="15375" width="8.140625" style="16" customWidth="1"/>
    <col min="15376" max="15616" width="8.85546875" style="16"/>
    <col min="15617" max="15617" width="8.85546875" style="16" customWidth="1"/>
    <col min="15618" max="15618" width="18.28515625" style="16" customWidth="1"/>
    <col min="15619" max="15619" width="8.85546875" style="16" customWidth="1"/>
    <col min="15620" max="15620" width="7.140625" style="16" customWidth="1"/>
    <col min="15621" max="15621" width="8.42578125" style="16" customWidth="1"/>
    <col min="15622" max="15622" width="9.28515625" style="16" customWidth="1"/>
    <col min="15623" max="15631" width="8.140625" style="16" customWidth="1"/>
    <col min="15632" max="15872" width="8.85546875" style="16"/>
    <col min="15873" max="15873" width="8.85546875" style="16" customWidth="1"/>
    <col min="15874" max="15874" width="18.28515625" style="16" customWidth="1"/>
    <col min="15875" max="15875" width="8.85546875" style="16" customWidth="1"/>
    <col min="15876" max="15876" width="7.140625" style="16" customWidth="1"/>
    <col min="15877" max="15877" width="8.42578125" style="16" customWidth="1"/>
    <col min="15878" max="15878" width="9.28515625" style="16" customWidth="1"/>
    <col min="15879" max="15887" width="8.140625" style="16" customWidth="1"/>
    <col min="15888" max="16128" width="8.85546875" style="16"/>
    <col min="16129" max="16129" width="8.85546875" style="16" customWidth="1"/>
    <col min="16130" max="16130" width="18.28515625" style="16" customWidth="1"/>
    <col min="16131" max="16131" width="8.85546875" style="16" customWidth="1"/>
    <col min="16132" max="16132" width="7.140625" style="16" customWidth="1"/>
    <col min="16133" max="16133" width="8.42578125" style="16" customWidth="1"/>
    <col min="16134" max="16134" width="9.28515625" style="16" customWidth="1"/>
    <col min="16135" max="16143" width="8.140625" style="16" customWidth="1"/>
    <col min="16144" max="16384" width="8.85546875" style="16"/>
  </cols>
  <sheetData>
    <row r="1" spans="1:17" s="1" customFormat="1" x14ac:dyDescent="0.2">
      <c r="A1" s="867" t="s">
        <v>449</v>
      </c>
      <c r="B1" s="868"/>
      <c r="C1" s="868"/>
      <c r="D1" s="881"/>
      <c r="E1" s="868"/>
      <c r="F1" s="868"/>
      <c r="G1" s="867" t="s">
        <v>102</v>
      </c>
      <c r="H1" s="869"/>
      <c r="I1" s="869" t="s">
        <v>994</v>
      </c>
      <c r="J1" s="868"/>
      <c r="K1" s="868"/>
      <c r="L1" s="870"/>
      <c r="M1" s="870"/>
      <c r="N1" s="870"/>
      <c r="O1" s="870"/>
    </row>
    <row r="2" spans="1:17" s="1" customFormat="1" x14ac:dyDescent="0.2">
      <c r="A2" s="867" t="s">
        <v>103</v>
      </c>
      <c r="B2" s="868"/>
      <c r="C2" s="868"/>
      <c r="D2" s="869"/>
      <c r="E2" s="868"/>
      <c r="F2" s="868"/>
      <c r="G2" s="867" t="s">
        <v>104</v>
      </c>
      <c r="H2" s="869"/>
      <c r="I2" s="869" t="s">
        <v>105</v>
      </c>
      <c r="J2" s="868"/>
      <c r="K2" s="868"/>
      <c r="L2" s="870"/>
      <c r="M2" s="870"/>
      <c r="N2" s="870"/>
      <c r="O2" s="870"/>
    </row>
    <row r="3" spans="1:17" s="1" customFormat="1" x14ac:dyDescent="0.2">
      <c r="A3" s="867" t="s">
        <v>106</v>
      </c>
      <c r="B3" s="868"/>
      <c r="C3" s="868"/>
      <c r="D3" s="881" t="s">
        <v>995</v>
      </c>
      <c r="E3" s="882"/>
      <c r="F3" s="882"/>
      <c r="G3" s="867" t="s">
        <v>107</v>
      </c>
      <c r="H3" s="869"/>
      <c r="I3" s="869" t="s">
        <v>108</v>
      </c>
      <c r="J3" s="868"/>
      <c r="K3" s="868"/>
      <c r="L3" s="870"/>
      <c r="M3" s="870"/>
      <c r="N3" s="870"/>
      <c r="O3" s="870"/>
      <c r="Q3" s="349"/>
    </row>
    <row r="4" spans="1:17" s="1" customFormat="1" x14ac:dyDescent="0.2">
      <c r="A4" s="867" t="s">
        <v>109</v>
      </c>
      <c r="B4" s="868"/>
      <c r="C4" s="868"/>
      <c r="D4" s="883"/>
      <c r="E4" s="868"/>
      <c r="F4" s="868"/>
      <c r="G4" s="867" t="s">
        <v>110</v>
      </c>
      <c r="H4" s="869"/>
      <c r="I4" s="869"/>
      <c r="J4" s="868"/>
      <c r="K4" s="868"/>
      <c r="L4" s="870"/>
      <c r="M4" s="870"/>
      <c r="N4" s="870"/>
      <c r="O4" s="870"/>
    </row>
    <row r="5" spans="1:17" s="1" customFormat="1" x14ac:dyDescent="0.2">
      <c r="A5" s="867" t="s">
        <v>996</v>
      </c>
      <c r="B5" s="868"/>
      <c r="C5" s="868"/>
      <c r="D5" s="869" t="s">
        <v>997</v>
      </c>
      <c r="E5" s="868"/>
      <c r="F5" s="868"/>
      <c r="G5" s="867"/>
      <c r="H5" s="868"/>
      <c r="I5" s="869" t="s">
        <v>113</v>
      </c>
      <c r="J5" s="868"/>
      <c r="K5" s="868"/>
      <c r="L5" s="870"/>
      <c r="M5" s="870"/>
      <c r="N5" s="870"/>
      <c r="O5" s="870"/>
    </row>
    <row r="6" spans="1:17" s="1" customFormat="1" x14ac:dyDescent="0.2">
      <c r="A6" s="871" t="s">
        <v>114</v>
      </c>
      <c r="B6" s="872"/>
      <c r="C6" s="872"/>
      <c r="D6" s="868" t="s">
        <v>967</v>
      </c>
      <c r="E6" s="868"/>
      <c r="F6" s="868"/>
      <c r="G6" s="871" t="s">
        <v>115</v>
      </c>
      <c r="H6" s="871"/>
      <c r="I6" s="2" t="s">
        <v>116</v>
      </c>
      <c r="J6" s="888"/>
      <c r="K6" s="888"/>
      <c r="L6" s="888"/>
      <c r="M6" s="888"/>
      <c r="N6" s="888"/>
      <c r="O6" s="889"/>
    </row>
    <row r="7" spans="1:17" s="1" customFormat="1" ht="13.5" thickBot="1" x14ac:dyDescent="0.25">
      <c r="A7" s="3"/>
      <c r="B7" s="4"/>
      <c r="C7" s="5"/>
      <c r="D7" s="6"/>
      <c r="E7" s="6"/>
      <c r="F7" s="6"/>
      <c r="G7" s="6"/>
      <c r="H7" s="6"/>
      <c r="I7" s="6"/>
      <c r="J7" s="7"/>
      <c r="K7" s="8"/>
      <c r="L7" s="875" t="s">
        <v>223</v>
      </c>
      <c r="M7" s="875"/>
      <c r="N7" s="875"/>
      <c r="O7" s="875"/>
    </row>
    <row r="8" spans="1:17" s="11" customFormat="1" x14ac:dyDescent="0.2">
      <c r="A8" s="876" t="str">
        <f>I1</f>
        <v>Mr.MOHAN P. INGLE</v>
      </c>
      <c r="B8" s="877"/>
      <c r="C8" s="9">
        <v>43160</v>
      </c>
      <c r="D8" s="9">
        <v>43191</v>
      </c>
      <c r="E8" s="9">
        <v>43221</v>
      </c>
      <c r="F8" s="9">
        <v>43252</v>
      </c>
      <c r="G8" s="9">
        <v>43282</v>
      </c>
      <c r="H8" s="9">
        <v>43313</v>
      </c>
      <c r="I8" s="9">
        <v>43344</v>
      </c>
      <c r="J8" s="9">
        <v>43374</v>
      </c>
      <c r="K8" s="9">
        <v>43405</v>
      </c>
      <c r="L8" s="9">
        <v>43435</v>
      </c>
      <c r="M8" s="9">
        <v>43466</v>
      </c>
      <c r="N8" s="9">
        <v>43497</v>
      </c>
      <c r="O8" s="10" t="s">
        <v>117</v>
      </c>
    </row>
    <row r="9" spans="1:17" ht="15" x14ac:dyDescent="0.2">
      <c r="A9" s="12"/>
      <c r="B9" s="13" t="s">
        <v>118</v>
      </c>
      <c r="C9" s="14">
        <v>95800</v>
      </c>
      <c r="D9" s="14">
        <v>95800</v>
      </c>
      <c r="E9" s="14">
        <v>95800</v>
      </c>
      <c r="F9" s="14">
        <v>95800</v>
      </c>
      <c r="G9" s="14">
        <v>98700</v>
      </c>
      <c r="H9" s="14">
        <v>98700</v>
      </c>
      <c r="I9" s="14">
        <v>98700</v>
      </c>
      <c r="J9" s="14">
        <v>98700</v>
      </c>
      <c r="K9" s="14">
        <v>104400</v>
      </c>
      <c r="L9" s="14">
        <v>104400</v>
      </c>
      <c r="M9" s="14">
        <v>104400</v>
      </c>
      <c r="N9" s="14">
        <v>104400</v>
      </c>
      <c r="O9" s="15">
        <f t="shared" ref="O9:O50" si="0">SUM(C9:N9)</f>
        <v>1195600</v>
      </c>
    </row>
    <row r="10" spans="1:17" ht="15" x14ac:dyDescent="0.2">
      <c r="A10" s="12"/>
      <c r="B10" s="13" t="s">
        <v>119</v>
      </c>
      <c r="C10" s="17">
        <v>0</v>
      </c>
      <c r="D10" s="17">
        <v>0</v>
      </c>
      <c r="E10" s="17">
        <v>0</v>
      </c>
      <c r="F10" s="17">
        <v>0</v>
      </c>
      <c r="G10" s="17">
        <v>0</v>
      </c>
      <c r="H10" s="17">
        <v>0</v>
      </c>
      <c r="I10" s="17">
        <v>0</v>
      </c>
      <c r="J10" s="17">
        <v>0</v>
      </c>
      <c r="K10" s="17">
        <v>0</v>
      </c>
      <c r="L10" s="17">
        <v>0</v>
      </c>
      <c r="M10" s="17">
        <v>0</v>
      </c>
      <c r="N10" s="17">
        <v>0</v>
      </c>
      <c r="O10" s="18">
        <f t="shared" si="0"/>
        <v>0</v>
      </c>
    </row>
    <row r="11" spans="1:17" ht="15" x14ac:dyDescent="0.2">
      <c r="A11" s="12"/>
      <c r="B11" s="13" t="s">
        <v>120</v>
      </c>
      <c r="C11" s="17">
        <v>4790</v>
      </c>
      <c r="D11" s="17">
        <v>6706</v>
      </c>
      <c r="E11" s="17">
        <v>6706</v>
      </c>
      <c r="F11" s="17">
        <v>6706</v>
      </c>
      <c r="G11" s="17">
        <v>6909</v>
      </c>
      <c r="H11" s="17">
        <v>6909</v>
      </c>
      <c r="I11" s="17">
        <v>6909</v>
      </c>
      <c r="J11" s="17">
        <v>6909</v>
      </c>
      <c r="K11" s="17">
        <f>K9*9%</f>
        <v>9396</v>
      </c>
      <c r="L11" s="17">
        <f>L9*9%</f>
        <v>9396</v>
      </c>
      <c r="M11" s="17">
        <f>M9*9%</f>
        <v>9396</v>
      </c>
      <c r="N11" s="17">
        <f>N9*9%</f>
        <v>9396</v>
      </c>
      <c r="O11" s="18">
        <f t="shared" si="0"/>
        <v>90128</v>
      </c>
    </row>
    <row r="12" spans="1:17" ht="15" x14ac:dyDescent="0.2">
      <c r="A12" s="12"/>
      <c r="B12" s="13" t="s">
        <v>121</v>
      </c>
      <c r="C12" s="17">
        <v>0</v>
      </c>
      <c r="D12" s="17">
        <v>0</v>
      </c>
      <c r="E12" s="17">
        <v>0</v>
      </c>
      <c r="F12" s="17">
        <v>0</v>
      </c>
      <c r="G12" s="17">
        <v>0</v>
      </c>
      <c r="H12" s="17">
        <v>0</v>
      </c>
      <c r="I12" s="17">
        <v>0</v>
      </c>
      <c r="J12" s="17">
        <v>0</v>
      </c>
      <c r="K12" s="17">
        <v>0</v>
      </c>
      <c r="L12" s="17">
        <v>0</v>
      </c>
      <c r="M12" s="17">
        <v>0</v>
      </c>
      <c r="N12" s="17">
        <v>0</v>
      </c>
      <c r="O12" s="18">
        <f t="shared" si="0"/>
        <v>0</v>
      </c>
    </row>
    <row r="13" spans="1:17"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si="0"/>
        <v>0</v>
      </c>
    </row>
    <row r="14" spans="1:17" ht="15" x14ac:dyDescent="0.2">
      <c r="A14" s="12"/>
      <c r="B14" s="13" t="s">
        <v>123</v>
      </c>
      <c r="C14" s="17">
        <v>7560</v>
      </c>
      <c r="D14" s="17">
        <v>7704</v>
      </c>
      <c r="E14" s="17">
        <v>7704</v>
      </c>
      <c r="F14" s="17">
        <v>7704</v>
      </c>
      <c r="G14" s="17">
        <v>7704</v>
      </c>
      <c r="H14" s="17">
        <v>7704</v>
      </c>
      <c r="I14" s="17">
        <v>7704</v>
      </c>
      <c r="J14" s="17">
        <v>7848</v>
      </c>
      <c r="K14" s="17">
        <v>7848</v>
      </c>
      <c r="L14" s="17">
        <v>7848</v>
      </c>
      <c r="M14" s="17">
        <v>7848</v>
      </c>
      <c r="N14" s="17">
        <v>7848</v>
      </c>
      <c r="O14" s="18">
        <f t="shared" si="0"/>
        <v>93024</v>
      </c>
    </row>
    <row r="15" spans="1:17"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7" ht="15" hidden="1"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127</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0</v>
      </c>
      <c r="D19" s="17">
        <v>0</v>
      </c>
      <c r="E19" s="17">
        <v>0</v>
      </c>
      <c r="F19" s="17">
        <v>0</v>
      </c>
      <c r="G19" s="17">
        <v>0</v>
      </c>
      <c r="H19" s="17">
        <v>0</v>
      </c>
      <c r="I19" s="17">
        <v>0</v>
      </c>
      <c r="J19" s="17">
        <v>0</v>
      </c>
      <c r="K19" s="17">
        <v>0</v>
      </c>
      <c r="L19" s="17">
        <v>0</v>
      </c>
      <c r="M19" s="17">
        <v>0</v>
      </c>
      <c r="N19" s="17">
        <v>0</v>
      </c>
      <c r="O19" s="18">
        <f t="shared" si="0"/>
        <v>0</v>
      </c>
    </row>
    <row r="20" spans="1:15" ht="15" customHeight="1" x14ac:dyDescent="0.2">
      <c r="A20" s="12"/>
      <c r="B20" s="13" t="s">
        <v>129</v>
      </c>
      <c r="C20" s="17">
        <v>0</v>
      </c>
      <c r="D20" s="17">
        <v>0</v>
      </c>
      <c r="E20" s="17">
        <v>0</v>
      </c>
      <c r="F20" s="17">
        <v>26250</v>
      </c>
      <c r="G20" s="17">
        <v>0</v>
      </c>
      <c r="H20" s="17">
        <v>0</v>
      </c>
      <c r="I20" s="17">
        <v>0</v>
      </c>
      <c r="J20" s="17">
        <v>0</v>
      </c>
      <c r="K20" s="17">
        <v>0</v>
      </c>
      <c r="L20" s="17">
        <v>0</v>
      </c>
      <c r="M20" s="17">
        <v>0</v>
      </c>
      <c r="N20" s="17">
        <v>0</v>
      </c>
      <c r="O20" s="18">
        <f t="shared" si="0"/>
        <v>26250</v>
      </c>
    </row>
    <row r="21" spans="1:15" ht="15" hidden="1" customHeight="1" x14ac:dyDescent="0.2">
      <c r="A21" s="878"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79"/>
      <c r="B22" s="19" t="s">
        <v>132</v>
      </c>
      <c r="C22" s="17">
        <v>0</v>
      </c>
      <c r="D22" s="17">
        <v>0</v>
      </c>
      <c r="E22" s="17">
        <v>0</v>
      </c>
      <c r="F22" s="17">
        <v>0</v>
      </c>
      <c r="G22" s="17">
        <v>0</v>
      </c>
      <c r="H22" s="17">
        <v>0</v>
      </c>
      <c r="I22" s="17">
        <v>0</v>
      </c>
      <c r="J22" s="17">
        <v>0</v>
      </c>
      <c r="K22" s="17">
        <v>0</v>
      </c>
      <c r="L22" s="17">
        <v>0</v>
      </c>
      <c r="M22" s="17">
        <v>0</v>
      </c>
      <c r="N22" s="17">
        <v>0</v>
      </c>
      <c r="O22" s="18">
        <f t="shared" si="0"/>
        <v>0</v>
      </c>
    </row>
    <row r="23" spans="1:15" ht="15" hidden="1" customHeight="1" x14ac:dyDescent="0.2">
      <c r="A23" s="879"/>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79"/>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79"/>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79"/>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79"/>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79"/>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79"/>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79"/>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79"/>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79"/>
      <c r="B32" s="21" t="s">
        <v>142</v>
      </c>
      <c r="C32" s="17">
        <v>0</v>
      </c>
      <c r="D32" s="17">
        <v>0</v>
      </c>
      <c r="E32" s="17">
        <v>0</v>
      </c>
      <c r="F32" s="17">
        <v>0</v>
      </c>
      <c r="G32" s="17">
        <v>0</v>
      </c>
      <c r="H32" s="17">
        <v>0</v>
      </c>
      <c r="I32" s="17">
        <v>0</v>
      </c>
      <c r="J32" s="17">
        <v>0</v>
      </c>
      <c r="K32" s="17">
        <v>0</v>
      </c>
      <c r="L32" s="17">
        <v>0</v>
      </c>
      <c r="M32" s="17">
        <v>0</v>
      </c>
      <c r="N32" s="17">
        <v>0</v>
      </c>
      <c r="O32" s="18">
        <f t="shared" si="0"/>
        <v>0</v>
      </c>
    </row>
    <row r="33" spans="1:16" ht="15" hidden="1" customHeight="1" x14ac:dyDescent="0.2">
      <c r="A33" s="880"/>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865" t="s">
        <v>320</v>
      </c>
      <c r="B34" s="866"/>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865" t="s">
        <v>280</v>
      </c>
      <c r="B35" s="866"/>
      <c r="C35" s="17">
        <v>0</v>
      </c>
      <c r="D35" s="17">
        <v>432</v>
      </c>
      <c r="E35" s="17">
        <v>0</v>
      </c>
      <c r="F35" s="17">
        <v>0</v>
      </c>
      <c r="G35" s="17">
        <v>0</v>
      </c>
      <c r="H35" s="17">
        <v>0</v>
      </c>
      <c r="I35" s="17">
        <v>0</v>
      </c>
      <c r="J35" s="17">
        <v>432</v>
      </c>
      <c r="K35" s="17">
        <v>0</v>
      </c>
      <c r="L35" s="17">
        <v>0</v>
      </c>
      <c r="M35" s="17">
        <v>0</v>
      </c>
      <c r="N35" s="17">
        <v>0</v>
      </c>
      <c r="O35" s="18">
        <f t="shared" si="0"/>
        <v>864</v>
      </c>
    </row>
    <row r="36" spans="1:16" ht="15" customHeight="1" x14ac:dyDescent="0.2">
      <c r="A36" s="865" t="s">
        <v>146</v>
      </c>
      <c r="B36" s="866"/>
      <c r="C36" s="17">
        <v>0</v>
      </c>
      <c r="D36" s="17">
        <v>5748</v>
      </c>
      <c r="E36" s="17">
        <v>0</v>
      </c>
      <c r="F36" s="17">
        <v>0</v>
      </c>
      <c r="G36" s="17">
        <v>0</v>
      </c>
      <c r="H36" s="17">
        <v>0</v>
      </c>
      <c r="I36" s="17">
        <v>0</v>
      </c>
      <c r="J36" s="17">
        <v>5922</v>
      </c>
      <c r="K36" s="17">
        <v>0</v>
      </c>
      <c r="L36" s="17">
        <v>0</v>
      </c>
      <c r="M36" s="17">
        <v>0</v>
      </c>
      <c r="N36" s="17">
        <v>0</v>
      </c>
      <c r="O36" s="18">
        <f t="shared" si="0"/>
        <v>11670</v>
      </c>
    </row>
    <row r="37" spans="1:16" ht="15" customHeight="1" x14ac:dyDescent="0.2">
      <c r="A37" s="22"/>
      <c r="B37" s="23" t="s">
        <v>147</v>
      </c>
      <c r="C37" s="24">
        <f>SUM(C9:C36)</f>
        <v>108150</v>
      </c>
      <c r="D37" s="24">
        <f>SUM(D9:D36)</f>
        <v>116390</v>
      </c>
      <c r="E37" s="24">
        <f>SUM(E9:E36)</f>
        <v>110210</v>
      </c>
      <c r="F37" s="24">
        <f>SUM(F9:F36)</f>
        <v>136460</v>
      </c>
      <c r="G37" s="24">
        <f>SUM(G9:G36)</f>
        <v>113313</v>
      </c>
      <c r="H37" s="24">
        <f t="shared" ref="H37:N37" si="1">SUM(H9:H36)</f>
        <v>113313</v>
      </c>
      <c r="I37" s="24">
        <f t="shared" si="1"/>
        <v>113313</v>
      </c>
      <c r="J37" s="24">
        <f t="shared" si="1"/>
        <v>119811</v>
      </c>
      <c r="K37" s="24">
        <f t="shared" si="1"/>
        <v>121644</v>
      </c>
      <c r="L37" s="24">
        <f t="shared" si="1"/>
        <v>121644</v>
      </c>
      <c r="M37" s="24">
        <f t="shared" si="1"/>
        <v>121644</v>
      </c>
      <c r="N37" s="24">
        <f t="shared" si="1"/>
        <v>121644</v>
      </c>
      <c r="O37" s="25">
        <f t="shared" si="0"/>
        <v>1417536</v>
      </c>
    </row>
    <row r="38" spans="1:16" ht="15" customHeight="1" x14ac:dyDescent="0.25">
      <c r="A38" s="853" t="s">
        <v>148</v>
      </c>
      <c r="B38" s="27" t="s">
        <v>149</v>
      </c>
      <c r="C38" s="147">
        <v>13800</v>
      </c>
      <c r="D38" s="147">
        <v>14000</v>
      </c>
      <c r="E38" s="147">
        <v>14000</v>
      </c>
      <c r="F38" s="147">
        <v>14000</v>
      </c>
      <c r="G38" s="147">
        <v>14000</v>
      </c>
      <c r="H38" s="147">
        <v>14000</v>
      </c>
      <c r="I38" s="147">
        <v>14000</v>
      </c>
      <c r="J38" s="147">
        <v>14000</v>
      </c>
      <c r="K38" s="147">
        <v>12000</v>
      </c>
      <c r="L38" s="147">
        <v>10600</v>
      </c>
      <c r="M38" s="147">
        <v>10600</v>
      </c>
      <c r="N38">
        <v>12105</v>
      </c>
      <c r="O38" s="18">
        <f t="shared" si="0"/>
        <v>157105</v>
      </c>
      <c r="P38" s="29"/>
    </row>
    <row r="39" spans="1:16" ht="15" x14ac:dyDescent="0.2">
      <c r="A39" s="854"/>
      <c r="B39" s="27" t="s">
        <v>150</v>
      </c>
      <c r="C39" s="147">
        <v>0</v>
      </c>
      <c r="D39" s="147">
        <v>0</v>
      </c>
      <c r="E39" s="147">
        <v>0</v>
      </c>
      <c r="F39" s="147">
        <v>0</v>
      </c>
      <c r="G39" s="147">
        <v>0</v>
      </c>
      <c r="H39" s="147">
        <v>0</v>
      </c>
      <c r="I39" s="147">
        <v>0</v>
      </c>
      <c r="J39" s="147">
        <v>0</v>
      </c>
      <c r="K39" s="147">
        <v>0</v>
      </c>
      <c r="L39" s="147">
        <v>0</v>
      </c>
      <c r="M39" s="147">
        <v>0</v>
      </c>
      <c r="N39" s="147">
        <v>0</v>
      </c>
      <c r="O39" s="18">
        <f t="shared" si="0"/>
        <v>0</v>
      </c>
    </row>
    <row r="40" spans="1:16" ht="15" x14ac:dyDescent="0.2">
      <c r="A40" s="854"/>
      <c r="B40" s="27" t="s">
        <v>151</v>
      </c>
      <c r="C40" s="147">
        <v>60</v>
      </c>
      <c r="D40" s="147">
        <v>60</v>
      </c>
      <c r="E40" s="147">
        <v>60</v>
      </c>
      <c r="F40" s="147">
        <v>60</v>
      </c>
      <c r="G40" s="147">
        <v>60</v>
      </c>
      <c r="H40" s="147">
        <v>60</v>
      </c>
      <c r="I40" s="147">
        <v>60</v>
      </c>
      <c r="J40" s="147">
        <v>60</v>
      </c>
      <c r="K40" s="147">
        <v>60</v>
      </c>
      <c r="L40" s="147">
        <v>60</v>
      </c>
      <c r="M40" s="147">
        <v>60</v>
      </c>
      <c r="N40" s="147">
        <v>60</v>
      </c>
      <c r="O40" s="18">
        <f t="shared" si="0"/>
        <v>720</v>
      </c>
    </row>
    <row r="41" spans="1:16" ht="15" x14ac:dyDescent="0.2">
      <c r="A41" s="854"/>
      <c r="B41" s="27" t="s">
        <v>152</v>
      </c>
      <c r="C41" s="147">
        <v>0</v>
      </c>
      <c r="D41" s="147">
        <v>0</v>
      </c>
      <c r="E41" s="147">
        <v>0</v>
      </c>
      <c r="F41" s="147">
        <v>0</v>
      </c>
      <c r="G41" s="147">
        <v>0</v>
      </c>
      <c r="H41" s="147">
        <v>0</v>
      </c>
      <c r="I41" s="147">
        <v>0</v>
      </c>
      <c r="J41" s="147">
        <v>0</v>
      </c>
      <c r="K41" s="147">
        <v>0</v>
      </c>
      <c r="L41" s="147">
        <v>0</v>
      </c>
      <c r="M41" s="147">
        <v>0</v>
      </c>
      <c r="N41" s="147">
        <v>0</v>
      </c>
      <c r="O41" s="18">
        <f t="shared" si="0"/>
        <v>0</v>
      </c>
    </row>
    <row r="42" spans="1:16" ht="15" x14ac:dyDescent="0.2">
      <c r="A42" s="854"/>
      <c r="B42" s="27" t="s">
        <v>153</v>
      </c>
      <c r="C42" s="147">
        <v>650</v>
      </c>
      <c r="D42" s="147">
        <v>650</v>
      </c>
      <c r="E42" s="147">
        <v>650</v>
      </c>
      <c r="F42" s="147">
        <v>650</v>
      </c>
      <c r="G42" s="147">
        <v>650</v>
      </c>
      <c r="H42" s="147">
        <v>650</v>
      </c>
      <c r="I42" s="147">
        <v>650</v>
      </c>
      <c r="J42" s="147">
        <v>650</v>
      </c>
      <c r="K42" s="147">
        <v>650</v>
      </c>
      <c r="L42" s="147">
        <v>650</v>
      </c>
      <c r="M42" s="147">
        <v>650</v>
      </c>
      <c r="N42" s="147">
        <v>650</v>
      </c>
      <c r="O42" s="18">
        <f t="shared" si="0"/>
        <v>7800</v>
      </c>
    </row>
    <row r="43" spans="1:16" ht="15" x14ac:dyDescent="0.2">
      <c r="A43" s="854"/>
      <c r="B43" s="27" t="s">
        <v>154</v>
      </c>
      <c r="C43" s="147">
        <v>10000</v>
      </c>
      <c r="D43" s="147">
        <v>10000</v>
      </c>
      <c r="E43" s="147">
        <v>10000</v>
      </c>
      <c r="F43" s="147">
        <v>10000</v>
      </c>
      <c r="G43" s="147">
        <v>10000</v>
      </c>
      <c r="H43" s="147">
        <v>10000</v>
      </c>
      <c r="I43" s="147">
        <v>10000</v>
      </c>
      <c r="J43" s="147">
        <v>10000</v>
      </c>
      <c r="K43" s="147">
        <v>10000</v>
      </c>
      <c r="L43" s="147">
        <v>10000</v>
      </c>
      <c r="M43" s="147">
        <v>10000</v>
      </c>
      <c r="N43" s="147">
        <v>10000</v>
      </c>
      <c r="O43" s="18">
        <f t="shared" si="0"/>
        <v>120000</v>
      </c>
    </row>
    <row r="44" spans="1:16" ht="15" x14ac:dyDescent="0.2">
      <c r="A44" s="854"/>
      <c r="B44" s="27" t="s">
        <v>155</v>
      </c>
      <c r="C44" s="147">
        <v>200</v>
      </c>
      <c r="D44" s="147">
        <v>200</v>
      </c>
      <c r="E44" s="147">
        <v>200</v>
      </c>
      <c r="F44" s="147">
        <v>200</v>
      </c>
      <c r="G44" s="147">
        <v>200</v>
      </c>
      <c r="H44" s="147">
        <v>200</v>
      </c>
      <c r="I44" s="147">
        <v>200</v>
      </c>
      <c r="J44" s="147">
        <v>200</v>
      </c>
      <c r="K44" s="147">
        <v>200</v>
      </c>
      <c r="L44" s="147">
        <v>200</v>
      </c>
      <c r="M44" s="147">
        <v>200</v>
      </c>
      <c r="N44" s="147">
        <v>300</v>
      </c>
      <c r="O44" s="18">
        <f t="shared" si="0"/>
        <v>2500</v>
      </c>
    </row>
    <row r="45" spans="1:16" ht="30" x14ac:dyDescent="0.2">
      <c r="A45" s="854"/>
      <c r="B45" s="27" t="s">
        <v>293</v>
      </c>
      <c r="C45" s="147">
        <v>713</v>
      </c>
      <c r="D45" s="147">
        <v>713</v>
      </c>
      <c r="E45" s="147">
        <v>713</v>
      </c>
      <c r="F45" s="147">
        <v>713</v>
      </c>
      <c r="G45" s="147">
        <v>713</v>
      </c>
      <c r="H45" s="147">
        <v>713</v>
      </c>
      <c r="I45" s="147">
        <v>713</v>
      </c>
      <c r="J45" s="147">
        <v>713</v>
      </c>
      <c r="K45" s="147">
        <v>713</v>
      </c>
      <c r="L45" s="147">
        <v>713</v>
      </c>
      <c r="M45" s="147">
        <v>713</v>
      </c>
      <c r="N45" s="147">
        <v>713</v>
      </c>
      <c r="O45" s="18">
        <f t="shared" si="0"/>
        <v>8556</v>
      </c>
    </row>
    <row r="46" spans="1:16" ht="15" x14ac:dyDescent="0.2">
      <c r="A46" s="854"/>
      <c r="B46" s="27" t="s">
        <v>157</v>
      </c>
      <c r="C46" s="147">
        <v>0</v>
      </c>
      <c r="D46" s="147">
        <v>0</v>
      </c>
      <c r="E46" s="147">
        <v>0</v>
      </c>
      <c r="F46" s="147">
        <v>0</v>
      </c>
      <c r="G46" s="147">
        <v>0</v>
      </c>
      <c r="H46" s="147">
        <v>0</v>
      </c>
      <c r="I46" s="147">
        <v>0</v>
      </c>
      <c r="J46" s="147">
        <v>0</v>
      </c>
      <c r="K46" s="147">
        <v>0</v>
      </c>
      <c r="L46" s="147">
        <v>0</v>
      </c>
      <c r="M46" s="147">
        <v>0</v>
      </c>
      <c r="N46" s="147">
        <v>0</v>
      </c>
      <c r="O46" s="18">
        <f t="shared" si="0"/>
        <v>0</v>
      </c>
    </row>
    <row r="47" spans="1:16" ht="28.5" customHeight="1" x14ac:dyDescent="0.2">
      <c r="A47" s="855"/>
      <c r="B47" s="30" t="s">
        <v>158</v>
      </c>
      <c r="C47" s="147">
        <v>0</v>
      </c>
      <c r="D47" s="147">
        <v>0</v>
      </c>
      <c r="E47" s="147">
        <v>0</v>
      </c>
      <c r="F47" s="147">
        <v>0</v>
      </c>
      <c r="G47" s="147">
        <v>0</v>
      </c>
      <c r="H47" s="147">
        <v>0</v>
      </c>
      <c r="I47" s="147">
        <v>0</v>
      </c>
      <c r="J47" s="147">
        <v>0</v>
      </c>
      <c r="K47" s="147">
        <v>0</v>
      </c>
      <c r="L47" s="147">
        <v>0</v>
      </c>
      <c r="M47" s="147">
        <v>0</v>
      </c>
      <c r="N47" s="147">
        <v>0</v>
      </c>
      <c r="O47" s="31">
        <f t="shared" si="0"/>
        <v>0</v>
      </c>
    </row>
    <row r="48" spans="1:16" ht="15" x14ac:dyDescent="0.2">
      <c r="A48" s="856"/>
      <c r="B48" s="127" t="s">
        <v>406</v>
      </c>
      <c r="C48" s="147">
        <v>0</v>
      </c>
      <c r="D48" s="147">
        <v>0</v>
      </c>
      <c r="E48" s="147">
        <v>0</v>
      </c>
      <c r="F48" s="147">
        <v>0</v>
      </c>
      <c r="G48" s="147">
        <v>0</v>
      </c>
      <c r="H48" s="147">
        <v>0</v>
      </c>
      <c r="I48" s="147">
        <v>0</v>
      </c>
      <c r="J48" s="147">
        <v>0</v>
      </c>
      <c r="K48" s="147">
        <v>0</v>
      </c>
      <c r="L48" s="147">
        <v>0</v>
      </c>
      <c r="M48" s="147">
        <v>0</v>
      </c>
      <c r="N48" s="147">
        <v>0</v>
      </c>
      <c r="O48" s="31">
        <f t="shared" si="0"/>
        <v>0</v>
      </c>
    </row>
    <row r="49" spans="1:22" ht="15" x14ac:dyDescent="0.2">
      <c r="A49" s="857" t="s">
        <v>160</v>
      </c>
      <c r="B49" s="858"/>
      <c r="C49" s="33">
        <f t="shared" ref="C49:N49" si="2">SUM(C38:C48)</f>
        <v>25423</v>
      </c>
      <c r="D49" s="33">
        <f t="shared" si="2"/>
        <v>25623</v>
      </c>
      <c r="E49" s="33">
        <f t="shared" si="2"/>
        <v>25623</v>
      </c>
      <c r="F49" s="33">
        <f t="shared" si="2"/>
        <v>25623</v>
      </c>
      <c r="G49" s="33">
        <f t="shared" si="2"/>
        <v>25623</v>
      </c>
      <c r="H49" s="33">
        <f t="shared" si="2"/>
        <v>25623</v>
      </c>
      <c r="I49" s="33">
        <f t="shared" si="2"/>
        <v>25623</v>
      </c>
      <c r="J49" s="33">
        <f t="shared" si="2"/>
        <v>25623</v>
      </c>
      <c r="K49" s="33">
        <f t="shared" si="2"/>
        <v>23623</v>
      </c>
      <c r="L49" s="33">
        <f t="shared" si="2"/>
        <v>22223</v>
      </c>
      <c r="M49" s="33">
        <f t="shared" si="2"/>
        <v>22223</v>
      </c>
      <c r="N49" s="33">
        <f t="shared" si="2"/>
        <v>23828</v>
      </c>
      <c r="O49" s="34">
        <f t="shared" si="0"/>
        <v>296681</v>
      </c>
    </row>
    <row r="50" spans="1:22" ht="15.75" thickBot="1" x14ac:dyDescent="0.25">
      <c r="A50" s="859" t="s">
        <v>161</v>
      </c>
      <c r="B50" s="860"/>
      <c r="C50" s="35">
        <f t="shared" ref="C50:N50" si="3">C37-C49</f>
        <v>82727</v>
      </c>
      <c r="D50" s="35">
        <f t="shared" si="3"/>
        <v>90767</v>
      </c>
      <c r="E50" s="35">
        <f t="shared" si="3"/>
        <v>84587</v>
      </c>
      <c r="F50" s="35">
        <f t="shared" si="3"/>
        <v>110837</v>
      </c>
      <c r="G50" s="35">
        <f t="shared" si="3"/>
        <v>87690</v>
      </c>
      <c r="H50" s="35">
        <f t="shared" si="3"/>
        <v>87690</v>
      </c>
      <c r="I50" s="35">
        <f t="shared" si="3"/>
        <v>87690</v>
      </c>
      <c r="J50" s="35">
        <f t="shared" si="3"/>
        <v>94188</v>
      </c>
      <c r="K50" s="35">
        <f t="shared" si="3"/>
        <v>98021</v>
      </c>
      <c r="L50" s="35">
        <f t="shared" si="3"/>
        <v>99421</v>
      </c>
      <c r="M50" s="35">
        <f t="shared" si="3"/>
        <v>99421</v>
      </c>
      <c r="N50" s="35">
        <f t="shared" si="3"/>
        <v>97816</v>
      </c>
      <c r="O50" s="36">
        <f t="shared" si="0"/>
        <v>1120855</v>
      </c>
    </row>
    <row r="51" spans="1:22" x14ac:dyDescent="0.2">
      <c r="J51" s="350"/>
      <c r="Q51" s="38">
        <f>SUM(J50:N50)</f>
        <v>488867</v>
      </c>
      <c r="T51" s="16">
        <v>1432836</v>
      </c>
    </row>
    <row r="52" spans="1:22" ht="13.5" thickBot="1" x14ac:dyDescent="0.25">
      <c r="J52" s="38"/>
      <c r="K52" s="87"/>
      <c r="L52" s="87"/>
      <c r="M52" s="87"/>
      <c r="N52" s="87"/>
    </row>
    <row r="53" spans="1:22" ht="13.5" thickBot="1" x14ac:dyDescent="0.25">
      <c r="B53" s="789" t="s">
        <v>162</v>
      </c>
      <c r="C53" s="861"/>
      <c r="D53" s="861"/>
      <c r="E53" s="861"/>
      <c r="F53" s="862"/>
      <c r="G53" s="863">
        <f>O37+15300</f>
        <v>1432836</v>
      </c>
      <c r="H53" s="864"/>
      <c r="J53" s="87"/>
      <c r="K53" s="87"/>
      <c r="L53" s="87"/>
      <c r="M53" s="87"/>
      <c r="N53" s="87"/>
      <c r="O53" s="87"/>
      <c r="P53" s="87"/>
      <c r="Q53" s="87"/>
      <c r="R53" s="87"/>
      <c r="S53" s="87"/>
      <c r="T53" s="87">
        <f>T51-G53</f>
        <v>0</v>
      </c>
      <c r="U53" s="87"/>
      <c r="V53" s="87"/>
    </row>
    <row r="54" spans="1:22" ht="13.5" thickBot="1" x14ac:dyDescent="0.25"/>
    <row r="55" spans="1:22" x14ac:dyDescent="0.2">
      <c r="B55" s="830" t="s">
        <v>163</v>
      </c>
      <c r="C55" s="833" t="s">
        <v>164</v>
      </c>
      <c r="D55" s="836" t="s">
        <v>811</v>
      </c>
      <c r="E55" s="837"/>
      <c r="F55" s="838"/>
      <c r="G55" s="839">
        <v>40000</v>
      </c>
      <c r="H55" s="840"/>
    </row>
    <row r="56" spans="1:22" x14ac:dyDescent="0.2">
      <c r="B56" s="831"/>
      <c r="C56" s="834"/>
      <c r="D56" s="841" t="s">
        <v>166</v>
      </c>
      <c r="E56" s="842"/>
      <c r="F56" s="843"/>
      <c r="G56" s="844">
        <f>+O44</f>
        <v>2500</v>
      </c>
      <c r="H56" s="845"/>
      <c r="I56" s="39"/>
      <c r="J56" s="45"/>
      <c r="K56" s="45"/>
      <c r="L56" s="45"/>
      <c r="M56" s="45"/>
      <c r="N56" s="45"/>
      <c r="O56" s="45"/>
    </row>
    <row r="57" spans="1:22" ht="13.5" thickBot="1" x14ac:dyDescent="0.25">
      <c r="B57" s="832"/>
      <c r="C57" s="835"/>
      <c r="D57" s="848" t="s">
        <v>129</v>
      </c>
      <c r="E57" s="849"/>
      <c r="F57" s="850"/>
      <c r="G57" s="851">
        <v>0</v>
      </c>
      <c r="H57" s="852"/>
      <c r="J57" s="47"/>
      <c r="K57" s="47"/>
      <c r="L57" s="47"/>
      <c r="M57" s="47"/>
      <c r="N57" s="47"/>
      <c r="O57" s="47"/>
    </row>
    <row r="58" spans="1:22" ht="13.5" thickBot="1" x14ac:dyDescent="0.25">
      <c r="B58" s="48"/>
      <c r="J58" s="47"/>
      <c r="K58" s="47"/>
      <c r="L58" s="47"/>
      <c r="M58" s="47"/>
      <c r="N58" s="47"/>
      <c r="O58" s="47"/>
    </row>
    <row r="59" spans="1:22" ht="13.5" thickBot="1" x14ac:dyDescent="0.25">
      <c r="B59" s="789" t="s">
        <v>168</v>
      </c>
      <c r="C59" s="790"/>
      <c r="D59" s="790"/>
      <c r="E59" s="790"/>
      <c r="F59" s="791"/>
      <c r="G59" s="825">
        <f>+G53-SUM(G55:H57)</f>
        <v>1390336</v>
      </c>
      <c r="H59" s="826"/>
      <c r="J59" s="827" t="s">
        <v>169</v>
      </c>
      <c r="K59" s="828"/>
      <c r="L59" s="828"/>
      <c r="M59" s="828"/>
      <c r="N59" s="828"/>
      <c r="O59" s="829"/>
    </row>
    <row r="60" spans="1:22" ht="13.5" thickBot="1" x14ac:dyDescent="0.25">
      <c r="B60" s="49"/>
      <c r="C60" s="50"/>
      <c r="D60" s="50"/>
      <c r="E60" s="50"/>
      <c r="F60" s="50"/>
      <c r="G60" s="45"/>
      <c r="H60" s="50"/>
      <c r="J60" s="129"/>
      <c r="K60" s="130"/>
      <c r="L60" s="130"/>
      <c r="M60" s="130"/>
      <c r="N60" s="130"/>
      <c r="O60" s="131"/>
    </row>
    <row r="61" spans="1:22" ht="13.5" thickBot="1" x14ac:dyDescent="0.25">
      <c r="B61" s="789" t="s">
        <v>170</v>
      </c>
      <c r="C61" s="790"/>
      <c r="D61" s="790"/>
      <c r="E61" s="790"/>
      <c r="F61" s="791"/>
      <c r="G61" s="805"/>
      <c r="H61" s="791"/>
      <c r="J61" s="129"/>
      <c r="K61" s="130"/>
      <c r="L61" s="130"/>
      <c r="M61" s="130"/>
      <c r="N61" s="130"/>
      <c r="O61" s="131"/>
    </row>
    <row r="62" spans="1:22" ht="12.75" customHeight="1" x14ac:dyDescent="0.2">
      <c r="B62" s="57" t="s">
        <v>171</v>
      </c>
      <c r="C62" s="806" t="s">
        <v>172</v>
      </c>
      <c r="D62" s="807"/>
      <c r="E62" s="807"/>
      <c r="F62" s="808"/>
      <c r="G62" s="1120">
        <v>0</v>
      </c>
      <c r="H62" s="1120"/>
      <c r="I62" s="58"/>
      <c r="J62" s="810" t="s">
        <v>173</v>
      </c>
      <c r="K62" s="811"/>
      <c r="L62" s="811"/>
      <c r="M62" s="811"/>
      <c r="N62" s="811"/>
      <c r="O62" s="812"/>
    </row>
    <row r="63" spans="1:22" ht="13.5" thickBot="1" x14ac:dyDescent="0.25">
      <c r="D63" s="37"/>
      <c r="I63" s="58"/>
      <c r="J63" s="60" t="s">
        <v>998</v>
      </c>
      <c r="K63" s="132"/>
      <c r="L63" s="132"/>
      <c r="M63" s="133"/>
      <c r="N63" s="133" t="s">
        <v>313</v>
      </c>
      <c r="O63" s="134"/>
    </row>
    <row r="64" spans="1:22" ht="13.5" thickBot="1" x14ac:dyDescent="0.25">
      <c r="B64" s="789" t="s">
        <v>175</v>
      </c>
      <c r="C64" s="790"/>
      <c r="D64" s="790"/>
      <c r="E64" s="790"/>
      <c r="F64" s="791"/>
      <c r="G64" s="805">
        <f>+G59-G62</f>
        <v>1390336</v>
      </c>
      <c r="H64" s="791"/>
      <c r="I64" s="63"/>
      <c r="J64" s="64"/>
      <c r="K64" s="39"/>
      <c r="L64" s="39"/>
      <c r="M64" s="39"/>
      <c r="N64" s="39" t="s">
        <v>999</v>
      </c>
      <c r="O64" s="65"/>
    </row>
    <row r="65" spans="2:15" ht="12.75" customHeight="1" x14ac:dyDescent="0.2">
      <c r="B65" s="48"/>
      <c r="C65" s="48"/>
      <c r="I65" s="63"/>
      <c r="J65" s="64"/>
      <c r="K65" s="39"/>
      <c r="L65" s="39"/>
      <c r="M65" s="39"/>
      <c r="N65" s="39"/>
      <c r="O65" s="65"/>
    </row>
    <row r="66" spans="2:15" ht="15" customHeight="1" x14ac:dyDescent="0.2">
      <c r="B66" s="66" t="s">
        <v>1000</v>
      </c>
      <c r="C66" s="48"/>
      <c r="I66" s="63"/>
      <c r="J66" s="67"/>
      <c r="K66" s="68"/>
      <c r="L66" s="68"/>
      <c r="M66" s="68"/>
      <c r="N66" s="68"/>
      <c r="O66" s="69"/>
    </row>
    <row r="67" spans="2:15" ht="26.25" customHeight="1" thickBot="1" x14ac:dyDescent="0.25">
      <c r="B67" s="66"/>
      <c r="C67" s="48"/>
      <c r="G67" s="70" t="s">
        <v>177</v>
      </c>
      <c r="H67" s="70" t="s">
        <v>178</v>
      </c>
      <c r="I67" s="63"/>
      <c r="J67" s="810" t="s">
        <v>179</v>
      </c>
      <c r="K67" s="811"/>
      <c r="L67" s="71"/>
      <c r="M67" s="71"/>
      <c r="N67" s="71"/>
      <c r="O67" s="72"/>
    </row>
    <row r="68" spans="2:15" ht="12.75" customHeight="1" x14ac:dyDescent="0.2">
      <c r="B68" s="802" t="s">
        <v>180</v>
      </c>
      <c r="C68" s="1117" t="s">
        <v>181</v>
      </c>
      <c r="D68" s="823" t="s">
        <v>182</v>
      </c>
      <c r="E68" s="824"/>
      <c r="F68" s="824"/>
      <c r="G68" s="73">
        <f>+O43</f>
        <v>120000</v>
      </c>
      <c r="H68" s="74">
        <f t="shared" ref="H68:H76" si="4">+G68</f>
        <v>120000</v>
      </c>
      <c r="I68" s="63"/>
      <c r="J68" s="181"/>
      <c r="K68" s="58"/>
      <c r="L68" s="45"/>
      <c r="M68" s="135"/>
      <c r="N68" s="135"/>
      <c r="O68" s="76">
        <v>0</v>
      </c>
    </row>
    <row r="69" spans="2:15" ht="12.75" customHeight="1" x14ac:dyDescent="0.2">
      <c r="B69" s="803"/>
      <c r="C69" s="1118"/>
      <c r="D69" s="782" t="s">
        <v>184</v>
      </c>
      <c r="E69" s="783"/>
      <c r="F69" s="783"/>
      <c r="G69" s="77">
        <v>0</v>
      </c>
      <c r="H69" s="78">
        <f t="shared" si="4"/>
        <v>0</v>
      </c>
      <c r="I69" s="63"/>
      <c r="J69" s="181"/>
      <c r="K69" s="135"/>
      <c r="L69" s="135"/>
      <c r="M69" s="135"/>
      <c r="N69" s="135"/>
      <c r="O69" s="136">
        <v>0</v>
      </c>
    </row>
    <row r="70" spans="2:15" ht="12.75" customHeight="1" x14ac:dyDescent="0.2">
      <c r="B70" s="803"/>
      <c r="C70" s="1118"/>
      <c r="D70" s="819" t="s">
        <v>185</v>
      </c>
      <c r="E70" s="820"/>
      <c r="F70" s="820"/>
      <c r="G70" s="80">
        <f>O40</f>
        <v>720</v>
      </c>
      <c r="H70" s="78">
        <f t="shared" si="4"/>
        <v>720</v>
      </c>
      <c r="I70" s="63"/>
      <c r="J70" s="181"/>
      <c r="K70" s="135"/>
      <c r="L70" s="135"/>
      <c r="M70" s="135"/>
      <c r="N70" s="135"/>
      <c r="O70" s="136"/>
    </row>
    <row r="71" spans="2:15" x14ac:dyDescent="0.2">
      <c r="B71" s="803"/>
      <c r="C71" s="1118"/>
      <c r="D71" s="782" t="s">
        <v>186</v>
      </c>
      <c r="E71" s="783"/>
      <c r="F71" s="783"/>
      <c r="G71" s="81">
        <v>0</v>
      </c>
      <c r="H71" s="78">
        <f t="shared" si="4"/>
        <v>0</v>
      </c>
      <c r="I71" s="63"/>
      <c r="J71" s="82" t="s">
        <v>187</v>
      </c>
      <c r="K71" s="237"/>
      <c r="L71" s="237"/>
      <c r="M71" s="237"/>
      <c r="N71" s="237"/>
      <c r="O71" s="238"/>
    </row>
    <row r="72" spans="2:15" ht="12.75" customHeight="1" x14ac:dyDescent="0.2">
      <c r="B72" s="803"/>
      <c r="C72" s="1118"/>
      <c r="D72" s="784" t="s">
        <v>188</v>
      </c>
      <c r="E72" s="783"/>
      <c r="F72" s="783"/>
      <c r="G72" s="80">
        <v>0</v>
      </c>
      <c r="H72" s="78">
        <f t="shared" si="4"/>
        <v>0</v>
      </c>
      <c r="I72" s="63"/>
      <c r="J72" s="75" t="s">
        <v>189</v>
      </c>
      <c r="K72" s="39"/>
      <c r="L72" s="39"/>
      <c r="M72" s="39"/>
      <c r="N72" s="39"/>
      <c r="O72" s="65">
        <f>O42</f>
        <v>7800</v>
      </c>
    </row>
    <row r="73" spans="2:15" ht="14.25" customHeight="1" x14ac:dyDescent="0.2">
      <c r="B73" s="803"/>
      <c r="C73" s="1118"/>
      <c r="D73" s="782" t="s">
        <v>190</v>
      </c>
      <c r="E73" s="783"/>
      <c r="F73" s="783"/>
      <c r="G73" s="84">
        <v>0</v>
      </c>
      <c r="H73" s="78">
        <f t="shared" si="4"/>
        <v>0</v>
      </c>
      <c r="I73" s="63"/>
      <c r="J73" s="64"/>
      <c r="K73" s="39"/>
      <c r="L73" s="39"/>
      <c r="M73" s="39"/>
      <c r="N73" s="39"/>
      <c r="O73" s="65"/>
    </row>
    <row r="74" spans="2:15" x14ac:dyDescent="0.2">
      <c r="B74" s="803"/>
      <c r="C74" s="1119"/>
      <c r="D74" s="782" t="s">
        <v>191</v>
      </c>
      <c r="E74" s="783"/>
      <c r="F74" s="783"/>
      <c r="G74" s="81">
        <v>15000</v>
      </c>
      <c r="H74" s="78">
        <f t="shared" si="4"/>
        <v>15000</v>
      </c>
      <c r="I74" s="58"/>
      <c r="J74" s="351"/>
      <c r="K74" s="195"/>
      <c r="L74" s="195"/>
      <c r="M74" s="195"/>
      <c r="N74" s="195"/>
      <c r="O74" s="196"/>
    </row>
    <row r="75" spans="2:15" x14ac:dyDescent="0.2">
      <c r="B75" s="803"/>
      <c r="C75" s="352" t="s">
        <v>192</v>
      </c>
      <c r="D75" s="813" t="s">
        <v>193</v>
      </c>
      <c r="E75" s="814"/>
      <c r="F75" s="814"/>
      <c r="G75" s="80">
        <v>0</v>
      </c>
      <c r="H75" s="78">
        <f t="shared" si="4"/>
        <v>0</v>
      </c>
      <c r="I75" s="58"/>
      <c r="J75" s="79"/>
      <c r="K75" s="39"/>
      <c r="L75" s="39"/>
      <c r="M75" s="39"/>
      <c r="N75" s="39"/>
      <c r="O75" s="65"/>
    </row>
    <row r="76" spans="2:15" ht="13.5" thickBot="1" x14ac:dyDescent="0.25">
      <c r="B76" s="803"/>
      <c r="C76" s="352" t="s">
        <v>194</v>
      </c>
      <c r="D76" s="815" t="s">
        <v>195</v>
      </c>
      <c r="E76" s="815"/>
      <c r="F76" s="815"/>
      <c r="G76" s="89">
        <v>0</v>
      </c>
      <c r="H76" s="90">
        <f t="shared" si="4"/>
        <v>0</v>
      </c>
      <c r="I76" s="63"/>
      <c r="J76" s="137"/>
      <c r="K76" s="68"/>
      <c r="L76" s="68"/>
      <c r="M76" s="91"/>
      <c r="N76" s="91"/>
      <c r="O76" s="92"/>
    </row>
    <row r="77" spans="2:15" ht="13.5" thickBot="1" x14ac:dyDescent="0.25">
      <c r="B77" s="803"/>
      <c r="C77" s="93"/>
      <c r="D77" s="94"/>
      <c r="E77" s="816" t="s">
        <v>117</v>
      </c>
      <c r="F77" s="817"/>
      <c r="G77" s="95">
        <f>SUM(G68:G76)</f>
        <v>135720</v>
      </c>
      <c r="H77" s="353">
        <f>IF(SUM(G68:G74)&lt;150000,SUM(G68:G74),150000)+IF(+G75&lt;20000,+G75,20000)</f>
        <v>135720</v>
      </c>
      <c r="I77" s="63"/>
      <c r="J77" s="137"/>
      <c r="K77" s="68"/>
      <c r="L77" s="68"/>
      <c r="M77" s="91"/>
      <c r="N77" s="91"/>
      <c r="O77" s="92"/>
    </row>
    <row r="78" spans="2:15" ht="12.75" customHeight="1" thickBot="1" x14ac:dyDescent="0.25">
      <c r="B78" s="803"/>
      <c r="C78" s="100" t="s">
        <v>196</v>
      </c>
      <c r="D78" s="782" t="s">
        <v>187</v>
      </c>
      <c r="E78" s="783"/>
      <c r="F78" s="818"/>
      <c r="G78" s="73">
        <f>O72</f>
        <v>7800</v>
      </c>
      <c r="H78" s="101">
        <f>+IF(+G78&lt;25000,+G78,25000)</f>
        <v>7800</v>
      </c>
      <c r="I78" s="63"/>
      <c r="J78" s="97"/>
      <c r="K78" s="98"/>
      <c r="L78" s="98"/>
      <c r="M78" s="98"/>
      <c r="N78" s="98"/>
      <c r="O78" s="99"/>
    </row>
    <row r="79" spans="2:15" x14ac:dyDescent="0.2">
      <c r="B79" s="803"/>
      <c r="C79" s="100" t="s">
        <v>197</v>
      </c>
      <c r="D79" s="784" t="s">
        <v>198</v>
      </c>
      <c r="E79" s="785"/>
      <c r="F79" s="786"/>
      <c r="G79" s="102">
        <v>0</v>
      </c>
      <c r="H79" s="103">
        <f>+IF(+G79&lt;40000,+G79,40000)</f>
        <v>0</v>
      </c>
      <c r="I79" s="63"/>
    </row>
    <row r="80" spans="2:15" ht="15" customHeight="1" x14ac:dyDescent="0.2">
      <c r="B80" s="803"/>
      <c r="C80" s="100" t="s">
        <v>199</v>
      </c>
      <c r="D80" s="784" t="s">
        <v>200</v>
      </c>
      <c r="E80" s="785"/>
      <c r="F80" s="786"/>
      <c r="G80" s="354">
        <v>118296</v>
      </c>
      <c r="H80" s="355">
        <f>+G80</f>
        <v>118296</v>
      </c>
      <c r="I80" s="63"/>
    </row>
    <row r="81" spans="2:15" x14ac:dyDescent="0.2">
      <c r="B81" s="803"/>
      <c r="C81" s="100" t="s">
        <v>201</v>
      </c>
      <c r="D81" s="784" t="s">
        <v>202</v>
      </c>
      <c r="E81" s="785"/>
      <c r="F81" s="786"/>
      <c r="G81" s="81">
        <v>0</v>
      </c>
      <c r="H81" s="104">
        <v>0</v>
      </c>
      <c r="I81" s="63"/>
      <c r="J81" s="106"/>
    </row>
    <row r="82" spans="2:15" ht="13.5" thickBot="1" x14ac:dyDescent="0.25">
      <c r="B82" s="804"/>
      <c r="C82" s="100" t="s">
        <v>203</v>
      </c>
      <c r="D82" s="784" t="s">
        <v>204</v>
      </c>
      <c r="E82" s="785"/>
      <c r="F82" s="786"/>
      <c r="G82" s="102">
        <v>0</v>
      </c>
      <c r="H82" s="103">
        <f>+IF(+G82&lt;100000,+G82,10000)</f>
        <v>0</v>
      </c>
      <c r="I82" s="63"/>
    </row>
    <row r="83" spans="2:15" ht="13.5" thickBot="1" x14ac:dyDescent="0.25">
      <c r="B83" s="787" t="s">
        <v>205</v>
      </c>
      <c r="C83" s="788"/>
      <c r="D83" s="788"/>
      <c r="E83" s="788"/>
      <c r="F83" s="788"/>
      <c r="G83" s="107">
        <f>SUM(G78:G82)</f>
        <v>126096</v>
      </c>
      <c r="H83" s="108">
        <f>SUM(H77:H82)</f>
        <v>261816</v>
      </c>
    </row>
    <row r="84" spans="2:15" ht="13.5" thickBot="1" x14ac:dyDescent="0.25"/>
    <row r="85" spans="2:15" ht="13.5" thickBot="1" x14ac:dyDescent="0.25">
      <c r="B85" s="789" t="s">
        <v>206</v>
      </c>
      <c r="C85" s="790"/>
      <c r="D85" s="790"/>
      <c r="E85" s="790"/>
      <c r="F85" s="791"/>
      <c r="G85" s="792">
        <f>+G64-H83</f>
        <v>1128520</v>
      </c>
      <c r="H85" s="791"/>
      <c r="J85" s="109">
        <f>C37+D37+E37+F37</f>
        <v>471210</v>
      </c>
      <c r="K85" s="16" t="s">
        <v>235</v>
      </c>
    </row>
    <row r="86" spans="2:15" x14ac:dyDescent="0.2">
      <c r="B86" s="110"/>
      <c r="F86" s="105"/>
      <c r="J86" s="109">
        <f>G37+H37+I37</f>
        <v>339939</v>
      </c>
      <c r="K86" s="16" t="s">
        <v>236</v>
      </c>
    </row>
    <row r="87" spans="2:15" x14ac:dyDescent="0.2">
      <c r="C87" s="793" t="s">
        <v>207</v>
      </c>
      <c r="D87" s="794"/>
      <c r="E87" s="111" t="s">
        <v>208</v>
      </c>
      <c r="F87" s="111" t="s">
        <v>209</v>
      </c>
      <c r="G87" s="111" t="s">
        <v>210</v>
      </c>
      <c r="H87" s="111" t="s">
        <v>211</v>
      </c>
      <c r="J87" s="206">
        <f>J37+K37+L37</f>
        <v>363099</v>
      </c>
      <c r="K87" s="47" t="s">
        <v>237</v>
      </c>
      <c r="O87" s="356"/>
    </row>
    <row r="88" spans="2:15" x14ac:dyDescent="0.2">
      <c r="C88" s="795" t="str">
        <f>IF(I6="M","0          - 250000","0          -  250000")</f>
        <v>0          - 250000</v>
      </c>
      <c r="D88" s="796"/>
      <c r="E88" s="112">
        <v>0</v>
      </c>
      <c r="F88" s="113">
        <f>IF(I6="M",(IF(G85&lt;250000,G85,250000)),(IF(G85&lt;250000,G85,250000)))</f>
        <v>250000</v>
      </c>
      <c r="G88" s="113">
        <f>G85-F88</f>
        <v>878520</v>
      </c>
      <c r="H88" s="113">
        <f>E88*F88</f>
        <v>0</v>
      </c>
      <c r="J88" s="207">
        <f>M37+N37</f>
        <v>243288</v>
      </c>
      <c r="K88" s="1" t="s">
        <v>238</v>
      </c>
    </row>
    <row r="89" spans="2:15" x14ac:dyDescent="0.2">
      <c r="C89" s="795" t="str">
        <f>IF(I6="M","250001 - 500000","250001-500000")</f>
        <v>250001 - 500000</v>
      </c>
      <c r="D89" s="796"/>
      <c r="E89" s="112">
        <v>0.05</v>
      </c>
      <c r="F89" s="113">
        <f>IF(I6="M",(IF(G88&lt;250000,G88,250000)),(IF(G88&lt;250000,G88,250000)))</f>
        <v>250000</v>
      </c>
      <c r="G89" s="113">
        <f>G88-F89</f>
        <v>628520</v>
      </c>
      <c r="H89" s="114">
        <f>ROUND(E89*F89,0.1)</f>
        <v>12500</v>
      </c>
      <c r="J89" s="115">
        <f>SUM(J85:J88)</f>
        <v>1417536</v>
      </c>
    </row>
    <row r="90" spans="2:15" x14ac:dyDescent="0.2">
      <c r="C90" s="797" t="s">
        <v>212</v>
      </c>
      <c r="D90" s="798"/>
      <c r="E90" s="112">
        <v>0.2</v>
      </c>
      <c r="F90" s="113">
        <f>IF(G89&lt;500000,G89,500000)</f>
        <v>500000</v>
      </c>
      <c r="G90" s="113">
        <f>G89-F90</f>
        <v>128520</v>
      </c>
      <c r="H90" s="114">
        <f>ROUND(E90*F90,0.1)</f>
        <v>100000</v>
      </c>
      <c r="J90" s="16">
        <f>+G85</f>
        <v>1128520</v>
      </c>
    </row>
    <row r="91" spans="2:15" x14ac:dyDescent="0.2">
      <c r="C91" s="795" t="s">
        <v>213</v>
      </c>
      <c r="D91" s="796"/>
      <c r="E91" s="112">
        <v>0.3</v>
      </c>
      <c r="F91" s="113">
        <f>G90</f>
        <v>128520</v>
      </c>
      <c r="G91" s="113">
        <f>G90-F91</f>
        <v>0</v>
      </c>
      <c r="H91" s="114">
        <f>ROUND(E91*F91,0.1)</f>
        <v>38556</v>
      </c>
      <c r="J91" s="16">
        <f>+J89-J90</f>
        <v>289016</v>
      </c>
    </row>
    <row r="92" spans="2:15" ht="12.75" customHeight="1" thickBot="1" x14ac:dyDescent="0.25">
      <c r="B92" s="116"/>
      <c r="C92" s="117"/>
      <c r="D92" s="47"/>
      <c r="E92" s="47"/>
      <c r="F92" s="47"/>
      <c r="K92" s="118"/>
    </row>
    <row r="93" spans="2:15" ht="13.5" thickBot="1" x14ac:dyDescent="0.25">
      <c r="B93" s="799" t="s">
        <v>239</v>
      </c>
      <c r="C93" s="800"/>
      <c r="D93" s="800"/>
      <c r="E93" s="800"/>
      <c r="F93" s="801"/>
      <c r="G93" s="771">
        <f>H88+H89+H90+H91</f>
        <v>151056</v>
      </c>
      <c r="H93" s="772"/>
    </row>
    <row r="94" spans="2:15" ht="13.5" thickBot="1" x14ac:dyDescent="0.25">
      <c r="B94" s="119" t="s">
        <v>215</v>
      </c>
      <c r="C94" s="120"/>
      <c r="D94" s="120"/>
      <c r="E94" s="120"/>
      <c r="F94" s="120"/>
      <c r="G94" s="884">
        <f>IF((G64&lt;500000),5000,0)</f>
        <v>0</v>
      </c>
      <c r="H94" s="885">
        <f>IF(H92&lt;200000,0,IF(H92&lt;220000,((H92-200000)*10%),IF(H92&lt;=500000,2000,IF(H92&gt;=500000,0))))</f>
        <v>0</v>
      </c>
      <c r="J94" s="1"/>
      <c r="K94" s="121"/>
      <c r="L94" s="121"/>
    </row>
    <row r="95" spans="2:15" ht="13.5" thickBot="1" x14ac:dyDescent="0.25">
      <c r="B95" s="122" t="s">
        <v>216</v>
      </c>
      <c r="C95" s="123"/>
      <c r="D95" s="123"/>
      <c r="E95" s="123"/>
      <c r="F95" s="123"/>
      <c r="G95" s="771">
        <f>IF((G93-G94)&lt;0,0,(G93-G94))</f>
        <v>151056</v>
      </c>
      <c r="H95" s="772"/>
      <c r="I95" s="37"/>
    </row>
    <row r="96" spans="2:15" ht="13.5" thickBot="1" x14ac:dyDescent="0.25">
      <c r="B96" s="773" t="s">
        <v>240</v>
      </c>
      <c r="C96" s="774"/>
      <c r="D96" s="774"/>
      <c r="E96" s="774"/>
      <c r="F96" s="775"/>
      <c r="G96" s="776">
        <f>ROUND((IF(G95&gt;0,(G95*4%),0)),0)</f>
        <v>6042</v>
      </c>
      <c r="H96" s="777"/>
      <c r="I96" s="37"/>
    </row>
    <row r="97" spans="2:19" ht="13.5" thickBot="1" x14ac:dyDescent="0.25">
      <c r="B97" s="778" t="s">
        <v>218</v>
      </c>
      <c r="C97" s="779"/>
      <c r="D97" s="779"/>
      <c r="E97" s="779"/>
      <c r="F97" s="779"/>
      <c r="G97" s="780">
        <f>G95+G96</f>
        <v>157098</v>
      </c>
      <c r="H97" s="781"/>
      <c r="I97" s="121"/>
    </row>
    <row r="98" spans="2:19" ht="13.5" thickBot="1" x14ac:dyDescent="0.25">
      <c r="B98" s="765" t="s">
        <v>219</v>
      </c>
      <c r="C98" s="766"/>
      <c r="D98" s="766"/>
      <c r="E98" s="766"/>
      <c r="F98" s="766"/>
      <c r="G98" s="767">
        <f>O38</f>
        <v>157105</v>
      </c>
      <c r="H98" s="768"/>
      <c r="I98" s="121"/>
    </row>
    <row r="99" spans="2:19" ht="13.5" thickBot="1" x14ac:dyDescent="0.25">
      <c r="B99" s="765" t="str">
        <f>IF(G99&gt;0,"TAX PAYABLE","TAX REFUND")</f>
        <v>TAX REFUND</v>
      </c>
      <c r="C99" s="766"/>
      <c r="D99" s="766"/>
      <c r="E99" s="766"/>
      <c r="F99" s="766"/>
      <c r="G99" s="767">
        <f>+G97-G98</f>
        <v>-7</v>
      </c>
      <c r="H99" s="768"/>
      <c r="I99" s="37"/>
    </row>
    <row r="100" spans="2:19" x14ac:dyDescent="0.2">
      <c r="C100" s="39"/>
      <c r="D100" s="39"/>
      <c r="E100" s="39"/>
      <c r="F100" s="39"/>
      <c r="G100" s="39"/>
      <c r="H100" s="39"/>
    </row>
    <row r="101" spans="2:19" x14ac:dyDescent="0.2">
      <c r="C101" s="39"/>
      <c r="D101" s="39"/>
      <c r="E101" s="39"/>
      <c r="F101" s="39"/>
      <c r="G101" s="39"/>
      <c r="H101" s="39"/>
    </row>
    <row r="102" spans="2:19" x14ac:dyDescent="0.2">
      <c r="L102" s="87"/>
      <c r="M102" s="87"/>
      <c r="N102" s="87"/>
      <c r="O102" s="87"/>
      <c r="P102" s="87"/>
      <c r="Q102" s="87"/>
      <c r="R102" s="87"/>
      <c r="S102" s="87"/>
    </row>
    <row r="103" spans="2:19" x14ac:dyDescent="0.2">
      <c r="L103" s="87"/>
      <c r="M103" s="87"/>
      <c r="N103" s="87"/>
      <c r="O103" s="87"/>
      <c r="P103" s="87"/>
      <c r="Q103" s="87"/>
      <c r="R103" s="87"/>
      <c r="S103" s="87"/>
    </row>
  </sheetData>
  <mergeCells count="91">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J59:O59"/>
    <mergeCell ref="A38:A48"/>
    <mergeCell ref="A49:B49"/>
    <mergeCell ref="A50:B50"/>
    <mergeCell ref="B53:F53"/>
    <mergeCell ref="G53:H53"/>
    <mergeCell ref="B55:B57"/>
    <mergeCell ref="C55:C57"/>
    <mergeCell ref="D55:F55"/>
    <mergeCell ref="G55:H55"/>
    <mergeCell ref="D56:F56"/>
    <mergeCell ref="B64:F64"/>
    <mergeCell ref="G64:H64"/>
    <mergeCell ref="G56:H56"/>
    <mergeCell ref="D57:F57"/>
    <mergeCell ref="G57:H57"/>
    <mergeCell ref="B59:F59"/>
    <mergeCell ref="G59:H59"/>
    <mergeCell ref="B61:F61"/>
    <mergeCell ref="G61:H61"/>
    <mergeCell ref="C62:F62"/>
    <mergeCell ref="G62:H62"/>
    <mergeCell ref="J62:O62"/>
    <mergeCell ref="D80:F80"/>
    <mergeCell ref="J67:K67"/>
    <mergeCell ref="B68:B82"/>
    <mergeCell ref="C68:C74"/>
    <mergeCell ref="D68:F68"/>
    <mergeCell ref="D69:F69"/>
    <mergeCell ref="D70:F70"/>
    <mergeCell ref="D71:F71"/>
    <mergeCell ref="D72:F72"/>
    <mergeCell ref="D73:F73"/>
    <mergeCell ref="D74:F74"/>
    <mergeCell ref="D75:F75"/>
    <mergeCell ref="D76:F76"/>
    <mergeCell ref="E77:F77"/>
    <mergeCell ref="D78:F78"/>
    <mergeCell ref="D79:F79"/>
    <mergeCell ref="G93:H93"/>
    <mergeCell ref="D81:F81"/>
    <mergeCell ref="D82:F82"/>
    <mergeCell ref="B83:F83"/>
    <mergeCell ref="B85:F85"/>
    <mergeCell ref="G85:H85"/>
    <mergeCell ref="C87:D87"/>
    <mergeCell ref="C88:D88"/>
    <mergeCell ref="C89:D89"/>
    <mergeCell ref="C90:D90"/>
    <mergeCell ref="C91:D91"/>
    <mergeCell ref="B93:F93"/>
    <mergeCell ref="B98:F98"/>
    <mergeCell ref="G98:H98"/>
    <mergeCell ref="B99:F99"/>
    <mergeCell ref="G99:H99"/>
    <mergeCell ref="G94:H94"/>
    <mergeCell ref="G95:H95"/>
    <mergeCell ref="B96:F96"/>
    <mergeCell ref="G96:H96"/>
    <mergeCell ref="B97:F97"/>
    <mergeCell ref="G97:H97"/>
  </mergeCells>
  <conditionalFormatting sqref="G99:H99">
    <cfRule type="cellIs" dxfId="309" priority="1" stopIfTrue="1" operator="greaterThan">
      <formula>0</formula>
    </cfRule>
    <cfRule type="cellIs" dxfId="308" priority="2" stopIfTrue="1" operator="lessThanOrEqual">
      <formula>0</formula>
    </cfRule>
  </conditionalFormatting>
  <conditionalFormatting sqref="B99:F99 B93:F97">
    <cfRule type="cellIs" dxfId="307" priority="3" stopIfTrue="1" operator="equal">
      <formula>"TAX PAYABLE"</formula>
    </cfRule>
    <cfRule type="cellIs" dxfId="306" priority="4" stopIfTrue="1" operator="equal">
      <formula>"TAX REFUND"</formula>
    </cfRule>
  </conditionalFormatting>
  <dataValidations disablePrompts="1"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3"/>
  <sheetViews>
    <sheetView topLeftCell="A59" workbookViewId="0">
      <selection activeCell="O37" sqref="O37"/>
    </sheetView>
  </sheetViews>
  <sheetFormatPr defaultRowHeight="12.75" x14ac:dyDescent="0.2"/>
  <cols>
    <col min="1" max="1" width="5" style="16" customWidth="1"/>
    <col min="2" max="2" width="19" style="37" customWidth="1"/>
    <col min="3" max="3" width="8.5703125" style="16" customWidth="1"/>
    <col min="4" max="4" width="7.85546875" style="16" customWidth="1"/>
    <col min="5" max="5" width="8.5703125" style="16" bestFit="1" customWidth="1"/>
    <col min="6" max="6" width="9.28515625" style="16" customWidth="1"/>
    <col min="7" max="7" width="8.140625" style="16" customWidth="1"/>
    <col min="8" max="8" width="9.7109375" style="16" bestFit="1" customWidth="1"/>
    <col min="9" max="14" width="8" style="16" customWidth="1"/>
    <col min="15" max="15" width="10.710937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9" style="16" customWidth="1"/>
    <col min="259" max="259" width="8.5703125" style="16" customWidth="1"/>
    <col min="260" max="260" width="7.85546875" style="16" customWidth="1"/>
    <col min="261" max="261" width="8.5703125" style="16" bestFit="1" customWidth="1"/>
    <col min="262" max="262" width="9.28515625" style="16" customWidth="1"/>
    <col min="263" max="263" width="8.140625" style="16" customWidth="1"/>
    <col min="264" max="264" width="9.7109375" style="16" bestFit="1" customWidth="1"/>
    <col min="265" max="270" width="8" style="16" customWidth="1"/>
    <col min="271" max="271" width="10.710937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9" style="16" customWidth="1"/>
    <col min="515" max="515" width="8.5703125" style="16" customWidth="1"/>
    <col min="516" max="516" width="7.85546875" style="16" customWidth="1"/>
    <col min="517" max="517" width="8.5703125" style="16" bestFit="1" customWidth="1"/>
    <col min="518" max="518" width="9.28515625" style="16" customWidth="1"/>
    <col min="519" max="519" width="8.140625" style="16" customWidth="1"/>
    <col min="520" max="520" width="9.7109375" style="16" bestFit="1" customWidth="1"/>
    <col min="521" max="526" width="8" style="16" customWidth="1"/>
    <col min="527" max="527" width="10.710937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9" style="16" customWidth="1"/>
    <col min="771" max="771" width="8.5703125" style="16" customWidth="1"/>
    <col min="772" max="772" width="7.85546875" style="16" customWidth="1"/>
    <col min="773" max="773" width="8.5703125" style="16" bestFit="1" customWidth="1"/>
    <col min="774" max="774" width="9.28515625" style="16" customWidth="1"/>
    <col min="775" max="775" width="8.140625" style="16" customWidth="1"/>
    <col min="776" max="776" width="9.7109375" style="16" bestFit="1" customWidth="1"/>
    <col min="777" max="782" width="8" style="16" customWidth="1"/>
    <col min="783" max="783" width="10.710937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9" style="16" customWidth="1"/>
    <col min="1027" max="1027" width="8.5703125" style="16" customWidth="1"/>
    <col min="1028" max="1028" width="7.85546875" style="16" customWidth="1"/>
    <col min="1029" max="1029" width="8.5703125" style="16" bestFit="1" customWidth="1"/>
    <col min="1030" max="1030" width="9.28515625" style="16" customWidth="1"/>
    <col min="1031" max="1031" width="8.140625" style="16" customWidth="1"/>
    <col min="1032" max="1032" width="9.7109375" style="16" bestFit="1" customWidth="1"/>
    <col min="1033" max="1038" width="8" style="16" customWidth="1"/>
    <col min="1039" max="1039" width="10.710937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9" style="16" customWidth="1"/>
    <col min="1283" max="1283" width="8.5703125" style="16" customWidth="1"/>
    <col min="1284" max="1284" width="7.85546875" style="16" customWidth="1"/>
    <col min="1285" max="1285" width="8.5703125" style="16" bestFit="1" customWidth="1"/>
    <col min="1286" max="1286" width="9.28515625" style="16" customWidth="1"/>
    <col min="1287" max="1287" width="8.140625" style="16" customWidth="1"/>
    <col min="1288" max="1288" width="9.7109375" style="16" bestFit="1" customWidth="1"/>
    <col min="1289" max="1294" width="8" style="16" customWidth="1"/>
    <col min="1295" max="1295" width="10.710937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9" style="16" customWidth="1"/>
    <col min="1539" max="1539" width="8.5703125" style="16" customWidth="1"/>
    <col min="1540" max="1540" width="7.85546875" style="16" customWidth="1"/>
    <col min="1541" max="1541" width="8.5703125" style="16" bestFit="1" customWidth="1"/>
    <col min="1542" max="1542" width="9.28515625" style="16" customWidth="1"/>
    <col min="1543" max="1543" width="8.140625" style="16" customWidth="1"/>
    <col min="1544" max="1544" width="9.7109375" style="16" bestFit="1" customWidth="1"/>
    <col min="1545" max="1550" width="8" style="16" customWidth="1"/>
    <col min="1551" max="1551" width="10.710937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9" style="16" customWidth="1"/>
    <col min="1795" max="1795" width="8.5703125" style="16" customWidth="1"/>
    <col min="1796" max="1796" width="7.85546875" style="16" customWidth="1"/>
    <col min="1797" max="1797" width="8.5703125" style="16" bestFit="1" customWidth="1"/>
    <col min="1798" max="1798" width="9.28515625" style="16" customWidth="1"/>
    <col min="1799" max="1799" width="8.140625" style="16" customWidth="1"/>
    <col min="1800" max="1800" width="9.7109375" style="16" bestFit="1" customWidth="1"/>
    <col min="1801" max="1806" width="8" style="16" customWidth="1"/>
    <col min="1807" max="1807" width="10.710937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9" style="16" customWidth="1"/>
    <col min="2051" max="2051" width="8.5703125" style="16" customWidth="1"/>
    <col min="2052" max="2052" width="7.85546875" style="16" customWidth="1"/>
    <col min="2053" max="2053" width="8.5703125" style="16" bestFit="1" customWidth="1"/>
    <col min="2054" max="2054" width="9.28515625" style="16" customWidth="1"/>
    <col min="2055" max="2055" width="8.140625" style="16" customWidth="1"/>
    <col min="2056" max="2056" width="9.7109375" style="16" bestFit="1" customWidth="1"/>
    <col min="2057" max="2062" width="8" style="16" customWidth="1"/>
    <col min="2063" max="2063" width="10.710937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9" style="16" customWidth="1"/>
    <col min="2307" max="2307" width="8.5703125" style="16" customWidth="1"/>
    <col min="2308" max="2308" width="7.85546875" style="16" customWidth="1"/>
    <col min="2309" max="2309" width="8.5703125" style="16" bestFit="1" customWidth="1"/>
    <col min="2310" max="2310" width="9.28515625" style="16" customWidth="1"/>
    <col min="2311" max="2311" width="8.140625" style="16" customWidth="1"/>
    <col min="2312" max="2312" width="9.7109375" style="16" bestFit="1" customWidth="1"/>
    <col min="2313" max="2318" width="8" style="16" customWidth="1"/>
    <col min="2319" max="2319" width="10.710937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9" style="16" customWidth="1"/>
    <col min="2563" max="2563" width="8.5703125" style="16" customWidth="1"/>
    <col min="2564" max="2564" width="7.85546875" style="16" customWidth="1"/>
    <col min="2565" max="2565" width="8.5703125" style="16" bestFit="1" customWidth="1"/>
    <col min="2566" max="2566" width="9.28515625" style="16" customWidth="1"/>
    <col min="2567" max="2567" width="8.140625" style="16" customWidth="1"/>
    <col min="2568" max="2568" width="9.7109375" style="16" bestFit="1" customWidth="1"/>
    <col min="2569" max="2574" width="8" style="16" customWidth="1"/>
    <col min="2575" max="2575" width="10.710937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9" style="16" customWidth="1"/>
    <col min="2819" max="2819" width="8.5703125" style="16" customWidth="1"/>
    <col min="2820" max="2820" width="7.85546875" style="16" customWidth="1"/>
    <col min="2821" max="2821" width="8.5703125" style="16" bestFit="1" customWidth="1"/>
    <col min="2822" max="2822" width="9.28515625" style="16" customWidth="1"/>
    <col min="2823" max="2823" width="8.140625" style="16" customWidth="1"/>
    <col min="2824" max="2824" width="9.7109375" style="16" bestFit="1" customWidth="1"/>
    <col min="2825" max="2830" width="8" style="16" customWidth="1"/>
    <col min="2831" max="2831" width="10.710937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9" style="16" customWidth="1"/>
    <col min="3075" max="3075" width="8.5703125" style="16" customWidth="1"/>
    <col min="3076" max="3076" width="7.85546875" style="16" customWidth="1"/>
    <col min="3077" max="3077" width="8.5703125" style="16" bestFit="1" customWidth="1"/>
    <col min="3078" max="3078" width="9.28515625" style="16" customWidth="1"/>
    <col min="3079" max="3079" width="8.140625" style="16" customWidth="1"/>
    <col min="3080" max="3080" width="9.7109375" style="16" bestFit="1" customWidth="1"/>
    <col min="3081" max="3086" width="8" style="16" customWidth="1"/>
    <col min="3087" max="3087" width="10.710937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9" style="16" customWidth="1"/>
    <col min="3331" max="3331" width="8.5703125" style="16" customWidth="1"/>
    <col min="3332" max="3332" width="7.85546875" style="16" customWidth="1"/>
    <col min="3333" max="3333" width="8.5703125" style="16" bestFit="1" customWidth="1"/>
    <col min="3334" max="3334" width="9.28515625" style="16" customWidth="1"/>
    <col min="3335" max="3335" width="8.140625" style="16" customWidth="1"/>
    <col min="3336" max="3336" width="9.7109375" style="16" bestFit="1" customWidth="1"/>
    <col min="3337" max="3342" width="8" style="16" customWidth="1"/>
    <col min="3343" max="3343" width="10.710937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9" style="16" customWidth="1"/>
    <col min="3587" max="3587" width="8.5703125" style="16" customWidth="1"/>
    <col min="3588" max="3588" width="7.85546875" style="16" customWidth="1"/>
    <col min="3589" max="3589" width="8.5703125" style="16" bestFit="1" customWidth="1"/>
    <col min="3590" max="3590" width="9.28515625" style="16" customWidth="1"/>
    <col min="3591" max="3591" width="8.140625" style="16" customWidth="1"/>
    <col min="3592" max="3592" width="9.7109375" style="16" bestFit="1" customWidth="1"/>
    <col min="3593" max="3598" width="8" style="16" customWidth="1"/>
    <col min="3599" max="3599" width="10.710937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9" style="16" customWidth="1"/>
    <col min="3843" max="3843" width="8.5703125" style="16" customWidth="1"/>
    <col min="3844" max="3844" width="7.85546875" style="16" customWidth="1"/>
    <col min="3845" max="3845" width="8.5703125" style="16" bestFit="1" customWidth="1"/>
    <col min="3846" max="3846" width="9.28515625" style="16" customWidth="1"/>
    <col min="3847" max="3847" width="8.140625" style="16" customWidth="1"/>
    <col min="3848" max="3848" width="9.7109375" style="16" bestFit="1" customWidth="1"/>
    <col min="3849" max="3854" width="8" style="16" customWidth="1"/>
    <col min="3855" max="3855" width="10.710937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9" style="16" customWidth="1"/>
    <col min="4099" max="4099" width="8.5703125" style="16" customWidth="1"/>
    <col min="4100" max="4100" width="7.85546875" style="16" customWidth="1"/>
    <col min="4101" max="4101" width="8.5703125" style="16" bestFit="1" customWidth="1"/>
    <col min="4102" max="4102" width="9.28515625" style="16" customWidth="1"/>
    <col min="4103" max="4103" width="8.140625" style="16" customWidth="1"/>
    <col min="4104" max="4104" width="9.7109375" style="16" bestFit="1" customWidth="1"/>
    <col min="4105" max="4110" width="8" style="16" customWidth="1"/>
    <col min="4111" max="4111" width="10.710937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9" style="16" customWidth="1"/>
    <col min="4355" max="4355" width="8.5703125" style="16" customWidth="1"/>
    <col min="4356" max="4356" width="7.85546875" style="16" customWidth="1"/>
    <col min="4357" max="4357" width="8.5703125" style="16" bestFit="1" customWidth="1"/>
    <col min="4358" max="4358" width="9.28515625" style="16" customWidth="1"/>
    <col min="4359" max="4359" width="8.140625" style="16" customWidth="1"/>
    <col min="4360" max="4360" width="9.7109375" style="16" bestFit="1" customWidth="1"/>
    <col min="4361" max="4366" width="8" style="16" customWidth="1"/>
    <col min="4367" max="4367" width="10.710937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9" style="16" customWidth="1"/>
    <col min="4611" max="4611" width="8.5703125" style="16" customWidth="1"/>
    <col min="4612" max="4612" width="7.85546875" style="16" customWidth="1"/>
    <col min="4613" max="4613" width="8.5703125" style="16" bestFit="1" customWidth="1"/>
    <col min="4614" max="4614" width="9.28515625" style="16" customWidth="1"/>
    <col min="4615" max="4615" width="8.140625" style="16" customWidth="1"/>
    <col min="4616" max="4616" width="9.7109375" style="16" bestFit="1" customWidth="1"/>
    <col min="4617" max="4622" width="8" style="16" customWidth="1"/>
    <col min="4623" max="4623" width="10.710937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9" style="16" customWidth="1"/>
    <col min="4867" max="4867" width="8.5703125" style="16" customWidth="1"/>
    <col min="4868" max="4868" width="7.85546875" style="16" customWidth="1"/>
    <col min="4869" max="4869" width="8.5703125" style="16" bestFit="1" customWidth="1"/>
    <col min="4870" max="4870" width="9.28515625" style="16" customWidth="1"/>
    <col min="4871" max="4871" width="8.140625" style="16" customWidth="1"/>
    <col min="4872" max="4872" width="9.7109375" style="16" bestFit="1" customWidth="1"/>
    <col min="4873" max="4878" width="8" style="16" customWidth="1"/>
    <col min="4879" max="4879" width="10.710937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9" style="16" customWidth="1"/>
    <col min="5123" max="5123" width="8.5703125" style="16" customWidth="1"/>
    <col min="5124" max="5124" width="7.85546875" style="16" customWidth="1"/>
    <col min="5125" max="5125" width="8.5703125" style="16" bestFit="1" customWidth="1"/>
    <col min="5126" max="5126" width="9.28515625" style="16" customWidth="1"/>
    <col min="5127" max="5127" width="8.140625" style="16" customWidth="1"/>
    <col min="5128" max="5128" width="9.7109375" style="16" bestFit="1" customWidth="1"/>
    <col min="5129" max="5134" width="8" style="16" customWidth="1"/>
    <col min="5135" max="5135" width="10.710937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9" style="16" customWidth="1"/>
    <col min="5379" max="5379" width="8.5703125" style="16" customWidth="1"/>
    <col min="5380" max="5380" width="7.85546875" style="16" customWidth="1"/>
    <col min="5381" max="5381" width="8.5703125" style="16" bestFit="1" customWidth="1"/>
    <col min="5382" max="5382" width="9.28515625" style="16" customWidth="1"/>
    <col min="5383" max="5383" width="8.140625" style="16" customWidth="1"/>
    <col min="5384" max="5384" width="9.7109375" style="16" bestFit="1" customWidth="1"/>
    <col min="5385" max="5390" width="8" style="16" customWidth="1"/>
    <col min="5391" max="5391" width="10.710937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9" style="16" customWidth="1"/>
    <col min="5635" max="5635" width="8.5703125" style="16" customWidth="1"/>
    <col min="5636" max="5636" width="7.85546875" style="16" customWidth="1"/>
    <col min="5637" max="5637" width="8.5703125" style="16" bestFit="1" customWidth="1"/>
    <col min="5638" max="5638" width="9.28515625" style="16" customWidth="1"/>
    <col min="5639" max="5639" width="8.140625" style="16" customWidth="1"/>
    <col min="5640" max="5640" width="9.7109375" style="16" bestFit="1" customWidth="1"/>
    <col min="5641" max="5646" width="8" style="16" customWidth="1"/>
    <col min="5647" max="5647" width="10.710937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9" style="16" customWidth="1"/>
    <col min="5891" max="5891" width="8.5703125" style="16" customWidth="1"/>
    <col min="5892" max="5892" width="7.85546875" style="16" customWidth="1"/>
    <col min="5893" max="5893" width="8.5703125" style="16" bestFit="1" customWidth="1"/>
    <col min="5894" max="5894" width="9.28515625" style="16" customWidth="1"/>
    <col min="5895" max="5895" width="8.140625" style="16" customWidth="1"/>
    <col min="5896" max="5896" width="9.7109375" style="16" bestFit="1" customWidth="1"/>
    <col min="5897" max="5902" width="8" style="16" customWidth="1"/>
    <col min="5903" max="5903" width="10.710937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9" style="16" customWidth="1"/>
    <col min="6147" max="6147" width="8.5703125" style="16" customWidth="1"/>
    <col min="6148" max="6148" width="7.85546875" style="16" customWidth="1"/>
    <col min="6149" max="6149" width="8.5703125" style="16" bestFit="1" customWidth="1"/>
    <col min="6150" max="6150" width="9.28515625" style="16" customWidth="1"/>
    <col min="6151" max="6151" width="8.140625" style="16" customWidth="1"/>
    <col min="6152" max="6152" width="9.7109375" style="16" bestFit="1" customWidth="1"/>
    <col min="6153" max="6158" width="8" style="16" customWidth="1"/>
    <col min="6159" max="6159" width="10.710937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9" style="16" customWidth="1"/>
    <col min="6403" max="6403" width="8.5703125" style="16" customWidth="1"/>
    <col min="6404" max="6404" width="7.85546875" style="16" customWidth="1"/>
    <col min="6405" max="6405" width="8.5703125" style="16" bestFit="1" customWidth="1"/>
    <col min="6406" max="6406" width="9.28515625" style="16" customWidth="1"/>
    <col min="6407" max="6407" width="8.140625" style="16" customWidth="1"/>
    <col min="6408" max="6408" width="9.7109375" style="16" bestFit="1" customWidth="1"/>
    <col min="6409" max="6414" width="8" style="16" customWidth="1"/>
    <col min="6415" max="6415" width="10.710937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9" style="16" customWidth="1"/>
    <col min="6659" max="6659" width="8.5703125" style="16" customWidth="1"/>
    <col min="6660" max="6660" width="7.85546875" style="16" customWidth="1"/>
    <col min="6661" max="6661" width="8.5703125" style="16" bestFit="1" customWidth="1"/>
    <col min="6662" max="6662" width="9.28515625" style="16" customWidth="1"/>
    <col min="6663" max="6663" width="8.140625" style="16" customWidth="1"/>
    <col min="6664" max="6664" width="9.7109375" style="16" bestFit="1" customWidth="1"/>
    <col min="6665" max="6670" width="8" style="16" customWidth="1"/>
    <col min="6671" max="6671" width="10.710937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9" style="16" customWidth="1"/>
    <col min="6915" max="6915" width="8.5703125" style="16" customWidth="1"/>
    <col min="6916" max="6916" width="7.85546875" style="16" customWidth="1"/>
    <col min="6917" max="6917" width="8.5703125" style="16" bestFit="1" customWidth="1"/>
    <col min="6918" max="6918" width="9.28515625" style="16" customWidth="1"/>
    <col min="6919" max="6919" width="8.140625" style="16" customWidth="1"/>
    <col min="6920" max="6920" width="9.7109375" style="16" bestFit="1" customWidth="1"/>
    <col min="6921" max="6926" width="8" style="16" customWidth="1"/>
    <col min="6927" max="6927" width="10.710937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9" style="16" customWidth="1"/>
    <col min="7171" max="7171" width="8.5703125" style="16" customWidth="1"/>
    <col min="7172" max="7172" width="7.85546875" style="16" customWidth="1"/>
    <col min="7173" max="7173" width="8.5703125" style="16" bestFit="1" customWidth="1"/>
    <col min="7174" max="7174" width="9.28515625" style="16" customWidth="1"/>
    <col min="7175" max="7175" width="8.140625" style="16" customWidth="1"/>
    <col min="7176" max="7176" width="9.7109375" style="16" bestFit="1" customWidth="1"/>
    <col min="7177" max="7182" width="8" style="16" customWidth="1"/>
    <col min="7183" max="7183" width="10.710937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9" style="16" customWidth="1"/>
    <col min="7427" max="7427" width="8.5703125" style="16" customWidth="1"/>
    <col min="7428" max="7428" width="7.85546875" style="16" customWidth="1"/>
    <col min="7429" max="7429" width="8.5703125" style="16" bestFit="1" customWidth="1"/>
    <col min="7430" max="7430" width="9.28515625" style="16" customWidth="1"/>
    <col min="7431" max="7431" width="8.140625" style="16" customWidth="1"/>
    <col min="7432" max="7432" width="9.7109375" style="16" bestFit="1" customWidth="1"/>
    <col min="7433" max="7438" width="8" style="16" customWidth="1"/>
    <col min="7439" max="7439" width="10.710937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9" style="16" customWidth="1"/>
    <col min="7683" max="7683" width="8.5703125" style="16" customWidth="1"/>
    <col min="7684" max="7684" width="7.85546875" style="16" customWidth="1"/>
    <col min="7685" max="7685" width="8.5703125" style="16" bestFit="1" customWidth="1"/>
    <col min="7686" max="7686" width="9.28515625" style="16" customWidth="1"/>
    <col min="7687" max="7687" width="8.140625" style="16" customWidth="1"/>
    <col min="7688" max="7688" width="9.7109375" style="16" bestFit="1" customWidth="1"/>
    <col min="7689" max="7694" width="8" style="16" customWidth="1"/>
    <col min="7695" max="7695" width="10.710937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9" style="16" customWidth="1"/>
    <col min="7939" max="7939" width="8.5703125" style="16" customWidth="1"/>
    <col min="7940" max="7940" width="7.85546875" style="16" customWidth="1"/>
    <col min="7941" max="7941" width="8.5703125" style="16" bestFit="1" customWidth="1"/>
    <col min="7942" max="7942" width="9.28515625" style="16" customWidth="1"/>
    <col min="7943" max="7943" width="8.140625" style="16" customWidth="1"/>
    <col min="7944" max="7944" width="9.7109375" style="16" bestFit="1" customWidth="1"/>
    <col min="7945" max="7950" width="8" style="16" customWidth="1"/>
    <col min="7951" max="7951" width="10.710937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9" style="16" customWidth="1"/>
    <col min="8195" max="8195" width="8.5703125" style="16" customWidth="1"/>
    <col min="8196" max="8196" width="7.85546875" style="16" customWidth="1"/>
    <col min="8197" max="8197" width="8.5703125" style="16" bestFit="1" customWidth="1"/>
    <col min="8198" max="8198" width="9.28515625" style="16" customWidth="1"/>
    <col min="8199" max="8199" width="8.140625" style="16" customWidth="1"/>
    <col min="8200" max="8200" width="9.7109375" style="16" bestFit="1" customWidth="1"/>
    <col min="8201" max="8206" width="8" style="16" customWidth="1"/>
    <col min="8207" max="8207" width="10.710937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9" style="16" customWidth="1"/>
    <col min="8451" max="8451" width="8.5703125" style="16" customWidth="1"/>
    <col min="8452" max="8452" width="7.85546875" style="16" customWidth="1"/>
    <col min="8453" max="8453" width="8.5703125" style="16" bestFit="1" customWidth="1"/>
    <col min="8454" max="8454" width="9.28515625" style="16" customWidth="1"/>
    <col min="8455" max="8455" width="8.140625" style="16" customWidth="1"/>
    <col min="8456" max="8456" width="9.7109375" style="16" bestFit="1" customWidth="1"/>
    <col min="8457" max="8462" width="8" style="16" customWidth="1"/>
    <col min="8463" max="8463" width="10.710937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9" style="16" customWidth="1"/>
    <col min="8707" max="8707" width="8.5703125" style="16" customWidth="1"/>
    <col min="8708" max="8708" width="7.85546875" style="16" customWidth="1"/>
    <col min="8709" max="8709" width="8.5703125" style="16" bestFit="1" customWidth="1"/>
    <col min="8710" max="8710" width="9.28515625" style="16" customWidth="1"/>
    <col min="8711" max="8711" width="8.140625" style="16" customWidth="1"/>
    <col min="8712" max="8712" width="9.7109375" style="16" bestFit="1" customWidth="1"/>
    <col min="8713" max="8718" width="8" style="16" customWidth="1"/>
    <col min="8719" max="8719" width="10.710937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9" style="16" customWidth="1"/>
    <col min="8963" max="8963" width="8.5703125" style="16" customWidth="1"/>
    <col min="8964" max="8964" width="7.85546875" style="16" customWidth="1"/>
    <col min="8965" max="8965" width="8.5703125" style="16" bestFit="1" customWidth="1"/>
    <col min="8966" max="8966" width="9.28515625" style="16" customWidth="1"/>
    <col min="8967" max="8967" width="8.140625" style="16" customWidth="1"/>
    <col min="8968" max="8968" width="9.7109375" style="16" bestFit="1" customWidth="1"/>
    <col min="8969" max="8974" width="8" style="16" customWidth="1"/>
    <col min="8975" max="8975" width="10.710937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9" style="16" customWidth="1"/>
    <col min="9219" max="9219" width="8.5703125" style="16" customWidth="1"/>
    <col min="9220" max="9220" width="7.85546875" style="16" customWidth="1"/>
    <col min="9221" max="9221" width="8.5703125" style="16" bestFit="1" customWidth="1"/>
    <col min="9222" max="9222" width="9.28515625" style="16" customWidth="1"/>
    <col min="9223" max="9223" width="8.140625" style="16" customWidth="1"/>
    <col min="9224" max="9224" width="9.7109375" style="16" bestFit="1" customWidth="1"/>
    <col min="9225" max="9230" width="8" style="16" customWidth="1"/>
    <col min="9231" max="9231" width="10.710937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9" style="16" customWidth="1"/>
    <col min="9475" max="9475" width="8.5703125" style="16" customWidth="1"/>
    <col min="9476" max="9476" width="7.85546875" style="16" customWidth="1"/>
    <col min="9477" max="9477" width="8.5703125" style="16" bestFit="1" customWidth="1"/>
    <col min="9478" max="9478" width="9.28515625" style="16" customWidth="1"/>
    <col min="9479" max="9479" width="8.140625" style="16" customWidth="1"/>
    <col min="9480" max="9480" width="9.7109375" style="16" bestFit="1" customWidth="1"/>
    <col min="9481" max="9486" width="8" style="16" customWidth="1"/>
    <col min="9487" max="9487" width="10.710937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9" style="16" customWidth="1"/>
    <col min="9731" max="9731" width="8.5703125" style="16" customWidth="1"/>
    <col min="9732" max="9732" width="7.85546875" style="16" customWidth="1"/>
    <col min="9733" max="9733" width="8.5703125" style="16" bestFit="1" customWidth="1"/>
    <col min="9734" max="9734" width="9.28515625" style="16" customWidth="1"/>
    <col min="9735" max="9735" width="8.140625" style="16" customWidth="1"/>
    <col min="9736" max="9736" width="9.7109375" style="16" bestFit="1" customWidth="1"/>
    <col min="9737" max="9742" width="8" style="16" customWidth="1"/>
    <col min="9743" max="9743" width="10.710937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9" style="16" customWidth="1"/>
    <col min="9987" max="9987" width="8.5703125" style="16" customWidth="1"/>
    <col min="9988" max="9988" width="7.85546875" style="16" customWidth="1"/>
    <col min="9989" max="9989" width="8.5703125" style="16" bestFit="1" customWidth="1"/>
    <col min="9990" max="9990" width="9.28515625" style="16" customWidth="1"/>
    <col min="9991" max="9991" width="8.140625" style="16" customWidth="1"/>
    <col min="9992" max="9992" width="9.7109375" style="16" bestFit="1" customWidth="1"/>
    <col min="9993" max="9998" width="8" style="16" customWidth="1"/>
    <col min="9999" max="9999" width="10.710937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9" style="16" customWidth="1"/>
    <col min="10243" max="10243" width="8.5703125" style="16" customWidth="1"/>
    <col min="10244" max="10244" width="7.85546875" style="16" customWidth="1"/>
    <col min="10245" max="10245" width="8.5703125" style="16" bestFit="1" customWidth="1"/>
    <col min="10246" max="10246" width="9.28515625" style="16" customWidth="1"/>
    <col min="10247" max="10247" width="8.140625" style="16" customWidth="1"/>
    <col min="10248" max="10248" width="9.7109375" style="16" bestFit="1" customWidth="1"/>
    <col min="10249" max="10254" width="8" style="16" customWidth="1"/>
    <col min="10255" max="10255" width="10.710937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9" style="16" customWidth="1"/>
    <col min="10499" max="10499" width="8.5703125" style="16" customWidth="1"/>
    <col min="10500" max="10500" width="7.85546875" style="16" customWidth="1"/>
    <col min="10501" max="10501" width="8.5703125" style="16" bestFit="1" customWidth="1"/>
    <col min="10502" max="10502" width="9.28515625" style="16" customWidth="1"/>
    <col min="10503" max="10503" width="8.140625" style="16" customWidth="1"/>
    <col min="10504" max="10504" width="9.7109375" style="16" bestFit="1" customWidth="1"/>
    <col min="10505" max="10510" width="8" style="16" customWidth="1"/>
    <col min="10511" max="10511" width="10.710937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9" style="16" customWidth="1"/>
    <col min="10755" max="10755" width="8.5703125" style="16" customWidth="1"/>
    <col min="10756" max="10756" width="7.85546875" style="16" customWidth="1"/>
    <col min="10757" max="10757" width="8.5703125" style="16" bestFit="1" customWidth="1"/>
    <col min="10758" max="10758" width="9.28515625" style="16" customWidth="1"/>
    <col min="10759" max="10759" width="8.140625" style="16" customWidth="1"/>
    <col min="10760" max="10760" width="9.7109375" style="16" bestFit="1" customWidth="1"/>
    <col min="10761" max="10766" width="8" style="16" customWidth="1"/>
    <col min="10767" max="10767" width="10.710937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9" style="16" customWidth="1"/>
    <col min="11011" max="11011" width="8.5703125" style="16" customWidth="1"/>
    <col min="11012" max="11012" width="7.85546875" style="16" customWidth="1"/>
    <col min="11013" max="11013" width="8.5703125" style="16" bestFit="1" customWidth="1"/>
    <col min="11014" max="11014" width="9.28515625" style="16" customWidth="1"/>
    <col min="11015" max="11015" width="8.140625" style="16" customWidth="1"/>
    <col min="11016" max="11016" width="9.7109375" style="16" bestFit="1" customWidth="1"/>
    <col min="11017" max="11022" width="8" style="16" customWidth="1"/>
    <col min="11023" max="11023" width="10.710937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9" style="16" customWidth="1"/>
    <col min="11267" max="11267" width="8.5703125" style="16" customWidth="1"/>
    <col min="11268" max="11268" width="7.85546875" style="16" customWidth="1"/>
    <col min="11269" max="11269" width="8.5703125" style="16" bestFit="1" customWidth="1"/>
    <col min="11270" max="11270" width="9.28515625" style="16" customWidth="1"/>
    <col min="11271" max="11271" width="8.140625" style="16" customWidth="1"/>
    <col min="11272" max="11272" width="9.7109375" style="16" bestFit="1" customWidth="1"/>
    <col min="11273" max="11278" width="8" style="16" customWidth="1"/>
    <col min="11279" max="11279" width="10.710937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9" style="16" customWidth="1"/>
    <col min="11523" max="11523" width="8.5703125" style="16" customWidth="1"/>
    <col min="11524" max="11524" width="7.85546875" style="16" customWidth="1"/>
    <col min="11525" max="11525" width="8.5703125" style="16" bestFit="1" customWidth="1"/>
    <col min="11526" max="11526" width="9.28515625" style="16" customWidth="1"/>
    <col min="11527" max="11527" width="8.140625" style="16" customWidth="1"/>
    <col min="11528" max="11528" width="9.7109375" style="16" bestFit="1" customWidth="1"/>
    <col min="11529" max="11534" width="8" style="16" customWidth="1"/>
    <col min="11535" max="11535" width="10.710937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9" style="16" customWidth="1"/>
    <col min="11779" max="11779" width="8.5703125" style="16" customWidth="1"/>
    <col min="11780" max="11780" width="7.85546875" style="16" customWidth="1"/>
    <col min="11781" max="11781" width="8.5703125" style="16" bestFit="1" customWidth="1"/>
    <col min="11782" max="11782" width="9.28515625" style="16" customWidth="1"/>
    <col min="11783" max="11783" width="8.140625" style="16" customWidth="1"/>
    <col min="11784" max="11784" width="9.7109375" style="16" bestFit="1" customWidth="1"/>
    <col min="11785" max="11790" width="8" style="16" customWidth="1"/>
    <col min="11791" max="11791" width="10.710937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9" style="16" customWidth="1"/>
    <col min="12035" max="12035" width="8.5703125" style="16" customWidth="1"/>
    <col min="12036" max="12036" width="7.85546875" style="16" customWidth="1"/>
    <col min="12037" max="12037" width="8.5703125" style="16" bestFit="1" customWidth="1"/>
    <col min="12038" max="12038" width="9.28515625" style="16" customWidth="1"/>
    <col min="12039" max="12039" width="8.140625" style="16" customWidth="1"/>
    <col min="12040" max="12040" width="9.7109375" style="16" bestFit="1" customWidth="1"/>
    <col min="12041" max="12046" width="8" style="16" customWidth="1"/>
    <col min="12047" max="12047" width="10.710937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9" style="16" customWidth="1"/>
    <col min="12291" max="12291" width="8.5703125" style="16" customWidth="1"/>
    <col min="12292" max="12292" width="7.85546875" style="16" customWidth="1"/>
    <col min="12293" max="12293" width="8.5703125" style="16" bestFit="1" customWidth="1"/>
    <col min="12294" max="12294" width="9.28515625" style="16" customWidth="1"/>
    <col min="12295" max="12295" width="8.140625" style="16" customWidth="1"/>
    <col min="12296" max="12296" width="9.7109375" style="16" bestFit="1" customWidth="1"/>
    <col min="12297" max="12302" width="8" style="16" customWidth="1"/>
    <col min="12303" max="12303" width="10.710937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9" style="16" customWidth="1"/>
    <col min="12547" max="12547" width="8.5703125" style="16" customWidth="1"/>
    <col min="12548" max="12548" width="7.85546875" style="16" customWidth="1"/>
    <col min="12549" max="12549" width="8.5703125" style="16" bestFit="1" customWidth="1"/>
    <col min="12550" max="12550" width="9.28515625" style="16" customWidth="1"/>
    <col min="12551" max="12551" width="8.140625" style="16" customWidth="1"/>
    <col min="12552" max="12552" width="9.7109375" style="16" bestFit="1" customWidth="1"/>
    <col min="12553" max="12558" width="8" style="16" customWidth="1"/>
    <col min="12559" max="12559" width="10.710937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9" style="16" customWidth="1"/>
    <col min="12803" max="12803" width="8.5703125" style="16" customWidth="1"/>
    <col min="12804" max="12804" width="7.85546875" style="16" customWidth="1"/>
    <col min="12805" max="12805" width="8.5703125" style="16" bestFit="1" customWidth="1"/>
    <col min="12806" max="12806" width="9.28515625" style="16" customWidth="1"/>
    <col min="12807" max="12807" width="8.140625" style="16" customWidth="1"/>
    <col min="12808" max="12808" width="9.7109375" style="16" bestFit="1" customWidth="1"/>
    <col min="12809" max="12814" width="8" style="16" customWidth="1"/>
    <col min="12815" max="12815" width="10.710937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9" style="16" customWidth="1"/>
    <col min="13059" max="13059" width="8.5703125" style="16" customWidth="1"/>
    <col min="13060" max="13060" width="7.85546875" style="16" customWidth="1"/>
    <col min="13061" max="13061" width="8.5703125" style="16" bestFit="1" customWidth="1"/>
    <col min="13062" max="13062" width="9.28515625" style="16" customWidth="1"/>
    <col min="13063" max="13063" width="8.140625" style="16" customWidth="1"/>
    <col min="13064" max="13064" width="9.7109375" style="16" bestFit="1" customWidth="1"/>
    <col min="13065" max="13070" width="8" style="16" customWidth="1"/>
    <col min="13071" max="13071" width="10.710937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9" style="16" customWidth="1"/>
    <col min="13315" max="13315" width="8.5703125" style="16" customWidth="1"/>
    <col min="13316" max="13316" width="7.85546875" style="16" customWidth="1"/>
    <col min="13317" max="13317" width="8.5703125" style="16" bestFit="1" customWidth="1"/>
    <col min="13318" max="13318" width="9.28515625" style="16" customWidth="1"/>
    <col min="13319" max="13319" width="8.140625" style="16" customWidth="1"/>
    <col min="13320" max="13320" width="9.7109375" style="16" bestFit="1" customWidth="1"/>
    <col min="13321" max="13326" width="8" style="16" customWidth="1"/>
    <col min="13327" max="13327" width="10.710937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9" style="16" customWidth="1"/>
    <col min="13571" max="13571" width="8.5703125" style="16" customWidth="1"/>
    <col min="13572" max="13572" width="7.85546875" style="16" customWidth="1"/>
    <col min="13573" max="13573" width="8.5703125" style="16" bestFit="1" customWidth="1"/>
    <col min="13574" max="13574" width="9.28515625" style="16" customWidth="1"/>
    <col min="13575" max="13575" width="8.140625" style="16" customWidth="1"/>
    <col min="13576" max="13576" width="9.7109375" style="16" bestFit="1" customWidth="1"/>
    <col min="13577" max="13582" width="8" style="16" customWidth="1"/>
    <col min="13583" max="13583" width="10.710937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9" style="16" customWidth="1"/>
    <col min="13827" max="13827" width="8.5703125" style="16" customWidth="1"/>
    <col min="13828" max="13828" width="7.85546875" style="16" customWidth="1"/>
    <col min="13829" max="13829" width="8.5703125" style="16" bestFit="1" customWidth="1"/>
    <col min="13830" max="13830" width="9.28515625" style="16" customWidth="1"/>
    <col min="13831" max="13831" width="8.140625" style="16" customWidth="1"/>
    <col min="13832" max="13832" width="9.7109375" style="16" bestFit="1" customWidth="1"/>
    <col min="13833" max="13838" width="8" style="16" customWidth="1"/>
    <col min="13839" max="13839" width="10.710937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9" style="16" customWidth="1"/>
    <col min="14083" max="14083" width="8.5703125" style="16" customWidth="1"/>
    <col min="14084" max="14084" width="7.85546875" style="16" customWidth="1"/>
    <col min="14085" max="14085" width="8.5703125" style="16" bestFit="1" customWidth="1"/>
    <col min="14086" max="14086" width="9.28515625" style="16" customWidth="1"/>
    <col min="14087" max="14087" width="8.140625" style="16" customWidth="1"/>
    <col min="14088" max="14088" width="9.7109375" style="16" bestFit="1" customWidth="1"/>
    <col min="14089" max="14094" width="8" style="16" customWidth="1"/>
    <col min="14095" max="14095" width="10.710937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9" style="16" customWidth="1"/>
    <col min="14339" max="14339" width="8.5703125" style="16" customWidth="1"/>
    <col min="14340" max="14340" width="7.85546875" style="16" customWidth="1"/>
    <col min="14341" max="14341" width="8.5703125" style="16" bestFit="1" customWidth="1"/>
    <col min="14342" max="14342" width="9.28515625" style="16" customWidth="1"/>
    <col min="14343" max="14343" width="8.140625" style="16" customWidth="1"/>
    <col min="14344" max="14344" width="9.7109375" style="16" bestFit="1" customWidth="1"/>
    <col min="14345" max="14350" width="8" style="16" customWidth="1"/>
    <col min="14351" max="14351" width="10.710937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9" style="16" customWidth="1"/>
    <col min="14595" max="14595" width="8.5703125" style="16" customWidth="1"/>
    <col min="14596" max="14596" width="7.85546875" style="16" customWidth="1"/>
    <col min="14597" max="14597" width="8.5703125" style="16" bestFit="1" customWidth="1"/>
    <col min="14598" max="14598" width="9.28515625" style="16" customWidth="1"/>
    <col min="14599" max="14599" width="8.140625" style="16" customWidth="1"/>
    <col min="14600" max="14600" width="9.7109375" style="16" bestFit="1" customWidth="1"/>
    <col min="14601" max="14606" width="8" style="16" customWidth="1"/>
    <col min="14607" max="14607" width="10.710937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9" style="16" customWidth="1"/>
    <col min="14851" max="14851" width="8.5703125" style="16" customWidth="1"/>
    <col min="14852" max="14852" width="7.85546875" style="16" customWidth="1"/>
    <col min="14853" max="14853" width="8.5703125" style="16" bestFit="1" customWidth="1"/>
    <col min="14854" max="14854" width="9.28515625" style="16" customWidth="1"/>
    <col min="14855" max="14855" width="8.140625" style="16" customWidth="1"/>
    <col min="14856" max="14856" width="9.7109375" style="16" bestFit="1" customWidth="1"/>
    <col min="14857" max="14862" width="8" style="16" customWidth="1"/>
    <col min="14863" max="14863" width="10.710937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9" style="16" customWidth="1"/>
    <col min="15107" max="15107" width="8.5703125" style="16" customWidth="1"/>
    <col min="15108" max="15108" width="7.85546875" style="16" customWidth="1"/>
    <col min="15109" max="15109" width="8.5703125" style="16" bestFit="1" customWidth="1"/>
    <col min="15110" max="15110" width="9.28515625" style="16" customWidth="1"/>
    <col min="15111" max="15111" width="8.140625" style="16" customWidth="1"/>
    <col min="15112" max="15112" width="9.7109375" style="16" bestFit="1" customWidth="1"/>
    <col min="15113" max="15118" width="8" style="16" customWidth="1"/>
    <col min="15119" max="15119" width="10.710937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9" style="16" customWidth="1"/>
    <col min="15363" max="15363" width="8.5703125" style="16" customWidth="1"/>
    <col min="15364" max="15364" width="7.85546875" style="16" customWidth="1"/>
    <col min="15365" max="15365" width="8.5703125" style="16" bestFit="1" customWidth="1"/>
    <col min="15366" max="15366" width="9.28515625" style="16" customWidth="1"/>
    <col min="15367" max="15367" width="8.140625" style="16" customWidth="1"/>
    <col min="15368" max="15368" width="9.7109375" style="16" bestFit="1" customWidth="1"/>
    <col min="15369" max="15374" width="8" style="16" customWidth="1"/>
    <col min="15375" max="15375" width="10.710937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9" style="16" customWidth="1"/>
    <col min="15619" max="15619" width="8.5703125" style="16" customWidth="1"/>
    <col min="15620" max="15620" width="7.85546875" style="16" customWidth="1"/>
    <col min="15621" max="15621" width="8.5703125" style="16" bestFit="1" customWidth="1"/>
    <col min="15622" max="15622" width="9.28515625" style="16" customWidth="1"/>
    <col min="15623" max="15623" width="8.140625" style="16" customWidth="1"/>
    <col min="15624" max="15624" width="9.7109375" style="16" bestFit="1" customWidth="1"/>
    <col min="15625" max="15630" width="8" style="16" customWidth="1"/>
    <col min="15631" max="15631" width="10.710937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9" style="16" customWidth="1"/>
    <col min="15875" max="15875" width="8.5703125" style="16" customWidth="1"/>
    <col min="15876" max="15876" width="7.85546875" style="16" customWidth="1"/>
    <col min="15877" max="15877" width="8.5703125" style="16" bestFit="1" customWidth="1"/>
    <col min="15878" max="15878" width="9.28515625" style="16" customWidth="1"/>
    <col min="15879" max="15879" width="8.140625" style="16" customWidth="1"/>
    <col min="15880" max="15880" width="9.7109375" style="16" bestFit="1" customWidth="1"/>
    <col min="15881" max="15886" width="8" style="16" customWidth="1"/>
    <col min="15887" max="15887" width="10.710937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9" style="16" customWidth="1"/>
    <col min="16131" max="16131" width="8.5703125" style="16" customWidth="1"/>
    <col min="16132" max="16132" width="7.85546875" style="16" customWidth="1"/>
    <col min="16133" max="16133" width="8.5703125" style="16" bestFit="1" customWidth="1"/>
    <col min="16134" max="16134" width="9.28515625" style="16" customWidth="1"/>
    <col min="16135" max="16135" width="8.140625" style="16" customWidth="1"/>
    <col min="16136" max="16136" width="9.7109375" style="16" bestFit="1" customWidth="1"/>
    <col min="16137" max="16142" width="8" style="16" customWidth="1"/>
    <col min="16143" max="16143" width="10.710937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67" t="s">
        <v>100</v>
      </c>
      <c r="B1" s="868"/>
      <c r="C1" s="868"/>
      <c r="D1" s="869">
        <v>261</v>
      </c>
      <c r="E1" s="868"/>
      <c r="F1" s="868"/>
      <c r="G1" s="867" t="s">
        <v>102</v>
      </c>
      <c r="H1" s="869"/>
      <c r="I1" s="869" t="s">
        <v>1144</v>
      </c>
      <c r="J1" s="868"/>
      <c r="K1" s="868"/>
      <c r="L1" s="870"/>
      <c r="M1" s="870"/>
      <c r="N1" s="870"/>
      <c r="O1" s="870"/>
    </row>
    <row r="2" spans="1:15" s="1" customFormat="1" x14ac:dyDescent="0.2">
      <c r="A2" s="867" t="s">
        <v>103</v>
      </c>
      <c r="B2" s="868"/>
      <c r="C2" s="868"/>
      <c r="D2" s="869"/>
      <c r="E2" s="868"/>
      <c r="F2" s="868"/>
      <c r="G2" s="867" t="s">
        <v>104</v>
      </c>
      <c r="H2" s="869"/>
      <c r="I2" s="869" t="s">
        <v>1145</v>
      </c>
      <c r="J2" s="868"/>
      <c r="K2" s="868"/>
      <c r="L2" s="870"/>
      <c r="M2" s="870"/>
      <c r="N2" s="870"/>
      <c r="O2" s="870"/>
    </row>
    <row r="3" spans="1:15" s="1" customFormat="1" x14ac:dyDescent="0.2">
      <c r="A3" s="867" t="s">
        <v>106</v>
      </c>
      <c r="B3" s="868"/>
      <c r="C3" s="868"/>
      <c r="D3" s="890">
        <v>24248</v>
      </c>
      <c r="E3" s="891"/>
      <c r="F3" s="891"/>
      <c r="G3" s="867" t="s">
        <v>107</v>
      </c>
      <c r="H3" s="869"/>
      <c r="I3" s="869" t="s">
        <v>108</v>
      </c>
      <c r="J3" s="868"/>
      <c r="K3" s="868"/>
      <c r="L3" s="870"/>
      <c r="M3" s="870"/>
      <c r="N3" s="870"/>
      <c r="O3" s="870"/>
    </row>
    <row r="4" spans="1:15" s="1" customFormat="1" x14ac:dyDescent="0.2">
      <c r="A4" s="867" t="s">
        <v>109</v>
      </c>
      <c r="B4" s="868"/>
      <c r="C4" s="868"/>
      <c r="D4" s="869"/>
      <c r="E4" s="868"/>
      <c r="F4" s="868"/>
      <c r="G4" s="867" t="s">
        <v>110</v>
      </c>
      <c r="H4" s="869"/>
      <c r="I4" s="869" t="s">
        <v>684</v>
      </c>
      <c r="J4" s="868"/>
      <c r="K4" s="868"/>
      <c r="L4" s="870"/>
      <c r="M4" s="870"/>
      <c r="N4" s="870"/>
      <c r="O4" s="870"/>
    </row>
    <row r="5" spans="1:15" s="1" customFormat="1" x14ac:dyDescent="0.2">
      <c r="A5" s="867" t="s">
        <v>112</v>
      </c>
      <c r="B5" s="868"/>
      <c r="C5" s="868"/>
      <c r="D5" s="883"/>
      <c r="E5" s="868"/>
      <c r="F5" s="868"/>
      <c r="G5" s="867"/>
      <c r="H5" s="868"/>
      <c r="I5" s="869" t="s">
        <v>113</v>
      </c>
      <c r="J5" s="868"/>
      <c r="K5" s="868"/>
      <c r="L5" s="870"/>
      <c r="M5" s="870"/>
      <c r="N5" s="870"/>
      <c r="O5" s="870"/>
    </row>
    <row r="6" spans="1:15" s="1" customFormat="1" x14ac:dyDescent="0.2">
      <c r="A6" s="871" t="s">
        <v>114</v>
      </c>
      <c r="B6" s="872"/>
      <c r="C6" s="872"/>
      <c r="D6" s="868" t="s">
        <v>969</v>
      </c>
      <c r="E6" s="868"/>
      <c r="F6" s="868"/>
      <c r="G6" s="871" t="s">
        <v>115</v>
      </c>
      <c r="H6" s="871"/>
      <c r="I6" s="2" t="s">
        <v>116</v>
      </c>
      <c r="J6" s="873"/>
      <c r="K6" s="873"/>
      <c r="L6" s="873"/>
      <c r="M6" s="873"/>
      <c r="N6" s="873"/>
      <c r="O6" s="874"/>
    </row>
    <row r="7" spans="1:15" s="1" customFormat="1" ht="13.5" thickBot="1" x14ac:dyDescent="0.25">
      <c r="A7" s="3"/>
      <c r="B7" s="4"/>
      <c r="C7" s="1061" t="s">
        <v>724</v>
      </c>
      <c r="D7" s="1062"/>
      <c r="E7" s="1062"/>
      <c r="F7" s="1062"/>
      <c r="G7" s="1063"/>
      <c r="H7" s="6"/>
      <c r="I7" s="6"/>
      <c r="J7" s="7"/>
      <c r="K7" s="8"/>
      <c r="L7" s="875"/>
      <c r="M7" s="875"/>
      <c r="N7" s="875"/>
      <c r="O7" s="875"/>
    </row>
    <row r="8" spans="1:15" s="11" customFormat="1" x14ac:dyDescent="0.2">
      <c r="A8" s="876" t="str">
        <f>I1</f>
        <v>Mr. Rajendra B. Gawde</v>
      </c>
      <c r="B8" s="877"/>
      <c r="C8" s="9">
        <v>43160</v>
      </c>
      <c r="D8" s="9">
        <v>43191</v>
      </c>
      <c r="E8" s="9">
        <v>43221</v>
      </c>
      <c r="F8" s="9">
        <v>43252</v>
      </c>
      <c r="G8" s="9">
        <v>43282</v>
      </c>
      <c r="H8" s="9">
        <v>43313</v>
      </c>
      <c r="I8" s="9">
        <v>43344</v>
      </c>
      <c r="J8" s="9">
        <v>43374</v>
      </c>
      <c r="K8" s="9">
        <v>43405</v>
      </c>
      <c r="L8" s="9">
        <v>43435</v>
      </c>
      <c r="M8" s="9">
        <v>43466</v>
      </c>
      <c r="N8" s="9">
        <v>43497</v>
      </c>
      <c r="O8" s="10" t="s">
        <v>117</v>
      </c>
    </row>
    <row r="9" spans="1:15" ht="15" customHeight="1" x14ac:dyDescent="0.2">
      <c r="A9" s="12"/>
      <c r="B9" s="13" t="s">
        <v>118</v>
      </c>
      <c r="C9" s="14">
        <v>68000</v>
      </c>
      <c r="D9" s="14">
        <v>68000</v>
      </c>
      <c r="E9" s="14">
        <v>68000</v>
      </c>
      <c r="F9" s="14">
        <v>68000</v>
      </c>
      <c r="G9" s="14">
        <v>70000</v>
      </c>
      <c r="H9" s="14">
        <v>70000</v>
      </c>
      <c r="I9" s="14">
        <v>70000</v>
      </c>
      <c r="J9" s="14">
        <v>70000</v>
      </c>
      <c r="K9" s="14">
        <v>70000</v>
      </c>
      <c r="L9" s="14">
        <v>70000</v>
      </c>
      <c r="M9" s="14">
        <v>70000</v>
      </c>
      <c r="N9" s="14">
        <v>70000</v>
      </c>
      <c r="O9" s="15">
        <f>SUM(C9:N9)</f>
        <v>832000</v>
      </c>
    </row>
    <row r="10" spans="1:15" ht="15" customHeight="1"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customHeight="1" x14ac:dyDescent="0.2">
      <c r="A11" s="12"/>
      <c r="B11" s="13" t="s">
        <v>120</v>
      </c>
      <c r="C11" s="17">
        <v>3400</v>
      </c>
      <c r="D11" s="17">
        <v>4760</v>
      </c>
      <c r="E11" s="17">
        <v>4760</v>
      </c>
      <c r="F11" s="17">
        <v>4760</v>
      </c>
      <c r="G11" s="17">
        <v>4900</v>
      </c>
      <c r="H11" s="17">
        <v>4900</v>
      </c>
      <c r="I11" s="17">
        <v>4900</v>
      </c>
      <c r="J11" s="17">
        <v>6300</v>
      </c>
      <c r="K11" s="17">
        <v>6300</v>
      </c>
      <c r="L11" s="17">
        <v>6300</v>
      </c>
      <c r="M11" s="17">
        <v>6300</v>
      </c>
      <c r="N11" s="17">
        <v>6300</v>
      </c>
      <c r="O11" s="18">
        <f>SUM(C11:N11)</f>
        <v>63880</v>
      </c>
    </row>
    <row r="12" spans="1:15" ht="15" customHeight="1" x14ac:dyDescent="0.2">
      <c r="A12" s="12"/>
      <c r="B12" s="13" t="s">
        <v>710</v>
      </c>
      <c r="C12" s="17">
        <v>0</v>
      </c>
      <c r="D12" s="17">
        <v>0</v>
      </c>
      <c r="E12" s="17">
        <v>0</v>
      </c>
      <c r="F12" s="17">
        <v>0</v>
      </c>
      <c r="G12" s="17">
        <v>0</v>
      </c>
      <c r="H12" s="17">
        <v>0</v>
      </c>
      <c r="I12" s="17">
        <v>0</v>
      </c>
      <c r="J12" s="17">
        <v>0</v>
      </c>
      <c r="K12" s="17">
        <v>0</v>
      </c>
      <c r="L12" s="17">
        <v>0</v>
      </c>
      <c r="M12" s="17">
        <v>0</v>
      </c>
      <c r="N12" s="17">
        <v>0</v>
      </c>
      <c r="O12" s="18">
        <f>SUM(C12:N12)</f>
        <v>0</v>
      </c>
    </row>
    <row r="13" spans="1:15" ht="15" hidden="1" customHeight="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customHeight="1" x14ac:dyDescent="0.2">
      <c r="A14" s="12"/>
      <c r="B14" s="13" t="s">
        <v>123</v>
      </c>
      <c r="C14" s="17">
        <v>3780</v>
      </c>
      <c r="D14" s="17">
        <v>3852</v>
      </c>
      <c r="E14" s="17">
        <v>3852</v>
      </c>
      <c r="F14" s="17">
        <v>3852</v>
      </c>
      <c r="G14" s="17">
        <v>3852</v>
      </c>
      <c r="H14" s="17">
        <v>3852</v>
      </c>
      <c r="I14" s="17">
        <v>3852</v>
      </c>
      <c r="J14" s="17">
        <v>3924</v>
      </c>
      <c r="K14" s="17">
        <v>3924</v>
      </c>
      <c r="L14" s="17">
        <v>3924</v>
      </c>
      <c r="M14" s="17">
        <v>3924</v>
      </c>
      <c r="N14" s="17">
        <v>3924</v>
      </c>
      <c r="O14" s="18">
        <f t="shared" si="0"/>
        <v>46512</v>
      </c>
    </row>
    <row r="15" spans="1:15" ht="15" customHeight="1" x14ac:dyDescent="0.2">
      <c r="A15" s="12"/>
      <c r="B15" s="13" t="s">
        <v>725</v>
      </c>
      <c r="C15" s="17">
        <v>0</v>
      </c>
      <c r="D15" s="17">
        <v>0</v>
      </c>
      <c r="E15" s="17">
        <v>0</v>
      </c>
      <c r="F15" s="17">
        <v>0</v>
      </c>
      <c r="G15" s="17">
        <v>0</v>
      </c>
      <c r="H15" s="17">
        <v>0</v>
      </c>
      <c r="I15" s="17">
        <v>0</v>
      </c>
      <c r="J15" s="17">
        <v>0</v>
      </c>
      <c r="K15" s="17">
        <v>0</v>
      </c>
      <c r="L15" s="17">
        <v>0</v>
      </c>
      <c r="M15" s="17">
        <v>0</v>
      </c>
      <c r="N15" s="17">
        <v>0</v>
      </c>
      <c r="O15" s="18">
        <f t="shared" si="0"/>
        <v>0</v>
      </c>
    </row>
    <row r="16" spans="1:15" ht="15" hidden="1" customHeight="1" x14ac:dyDescent="0.2">
      <c r="A16" s="12"/>
      <c r="B16" s="13" t="s">
        <v>405</v>
      </c>
      <c r="C16" s="17">
        <v>0</v>
      </c>
      <c r="D16" s="17">
        <v>0</v>
      </c>
      <c r="E16" s="17">
        <v>0</v>
      </c>
      <c r="F16" s="17">
        <v>0</v>
      </c>
      <c r="G16" s="17">
        <v>0</v>
      </c>
      <c r="H16" s="17">
        <v>0</v>
      </c>
      <c r="I16" s="17">
        <v>0</v>
      </c>
      <c r="J16" s="17">
        <v>0</v>
      </c>
      <c r="K16" s="17">
        <v>0</v>
      </c>
      <c r="L16" s="17">
        <v>0</v>
      </c>
      <c r="M16" s="17">
        <v>0</v>
      </c>
      <c r="N16" s="17">
        <v>0</v>
      </c>
      <c r="O16" s="18">
        <f t="shared" si="0"/>
        <v>0</v>
      </c>
    </row>
    <row r="17" spans="1:15" ht="15" hidden="1" customHeight="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customHeight="1"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15" ht="15" customHeight="1" x14ac:dyDescent="0.2">
      <c r="A19" s="12"/>
      <c r="B19" s="13" t="s">
        <v>128</v>
      </c>
      <c r="C19" s="17">
        <v>16320</v>
      </c>
      <c r="D19" s="17">
        <v>16320</v>
      </c>
      <c r="E19" s="17">
        <v>16320</v>
      </c>
      <c r="F19" s="17">
        <v>16320</v>
      </c>
      <c r="G19" s="17">
        <v>16800</v>
      </c>
      <c r="H19" s="17">
        <v>16800</v>
      </c>
      <c r="I19" s="17">
        <v>16800</v>
      </c>
      <c r="J19" s="17">
        <v>16800</v>
      </c>
      <c r="K19" s="17">
        <v>16800</v>
      </c>
      <c r="L19" s="17">
        <v>16800</v>
      </c>
      <c r="M19" s="17">
        <v>16800</v>
      </c>
      <c r="N19" s="17">
        <v>16800</v>
      </c>
      <c r="O19" s="18">
        <f t="shared" si="0"/>
        <v>199680</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78"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79"/>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5" ht="15" hidden="1" customHeight="1" x14ac:dyDescent="0.2">
      <c r="A23" s="879"/>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79"/>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79"/>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79"/>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79"/>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79"/>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79"/>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79"/>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79"/>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79"/>
      <c r="B32" s="21" t="s">
        <v>142</v>
      </c>
      <c r="C32" s="17">
        <v>0</v>
      </c>
      <c r="D32" s="17">
        <v>0</v>
      </c>
      <c r="E32" s="17">
        <v>46170</v>
      </c>
      <c r="F32" s="17">
        <v>0</v>
      </c>
      <c r="G32" s="17">
        <v>0</v>
      </c>
      <c r="H32" s="17">
        <v>0</v>
      </c>
      <c r="I32" s="17">
        <v>0</v>
      </c>
      <c r="J32" s="17">
        <v>0</v>
      </c>
      <c r="K32" s="17">
        <v>0</v>
      </c>
      <c r="L32" s="17">
        <v>0</v>
      </c>
      <c r="M32" s="17">
        <v>0</v>
      </c>
      <c r="N32" s="17">
        <v>0</v>
      </c>
      <c r="O32" s="18">
        <f t="shared" si="0"/>
        <v>46170</v>
      </c>
    </row>
    <row r="33" spans="1:16" ht="15" hidden="1" customHeight="1" x14ac:dyDescent="0.2">
      <c r="A33" s="880"/>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219"/>
      <c r="B34" s="220" t="s">
        <v>144</v>
      </c>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865" t="s">
        <v>145</v>
      </c>
      <c r="B35" s="866"/>
      <c r="C35" s="17">
        <v>0</v>
      </c>
      <c r="D35" s="17">
        <v>216</v>
      </c>
      <c r="E35" s="17">
        <v>0</v>
      </c>
      <c r="F35" s="17">
        <v>0</v>
      </c>
      <c r="G35" s="17">
        <v>0</v>
      </c>
      <c r="H35" s="17">
        <v>0</v>
      </c>
      <c r="I35" s="17">
        <v>0</v>
      </c>
      <c r="J35" s="17">
        <v>216</v>
      </c>
      <c r="K35" s="17">
        <v>0</v>
      </c>
      <c r="L35" s="17">
        <v>0</v>
      </c>
      <c r="M35" s="17">
        <v>0</v>
      </c>
      <c r="N35" s="17">
        <v>0</v>
      </c>
      <c r="O35" s="18">
        <f t="shared" si="0"/>
        <v>432</v>
      </c>
    </row>
    <row r="36" spans="1:16" ht="15" customHeight="1" x14ac:dyDescent="0.2">
      <c r="A36" s="865" t="s">
        <v>146</v>
      </c>
      <c r="B36" s="866"/>
      <c r="C36" s="17">
        <v>0</v>
      </c>
      <c r="D36" s="17">
        <v>4080</v>
      </c>
      <c r="E36" s="17">
        <v>0</v>
      </c>
      <c r="F36" s="17">
        <v>0</v>
      </c>
      <c r="G36" s="17">
        <v>0</v>
      </c>
      <c r="H36" s="17">
        <v>0</v>
      </c>
      <c r="I36" s="17">
        <v>0</v>
      </c>
      <c r="J36" s="17">
        <v>4200</v>
      </c>
      <c r="K36" s="17">
        <v>0</v>
      </c>
      <c r="L36" s="17">
        <v>0</v>
      </c>
      <c r="M36" s="17">
        <v>0</v>
      </c>
      <c r="N36" s="17">
        <v>0</v>
      </c>
      <c r="O36" s="18">
        <f t="shared" si="0"/>
        <v>8280</v>
      </c>
    </row>
    <row r="37" spans="1:16" ht="15" customHeight="1" x14ac:dyDescent="0.2">
      <c r="A37" s="22"/>
      <c r="B37" s="23" t="s">
        <v>147</v>
      </c>
      <c r="C37" s="24">
        <f t="shared" ref="C37:N37" si="1">SUM(C9:C36)</f>
        <v>91500</v>
      </c>
      <c r="D37" s="24">
        <f t="shared" si="1"/>
        <v>97228</v>
      </c>
      <c r="E37" s="24">
        <f t="shared" si="1"/>
        <v>139102</v>
      </c>
      <c r="F37" s="24">
        <f t="shared" si="1"/>
        <v>92932</v>
      </c>
      <c r="G37" s="24">
        <f t="shared" si="1"/>
        <v>95552</v>
      </c>
      <c r="H37" s="24">
        <f t="shared" si="1"/>
        <v>95552</v>
      </c>
      <c r="I37" s="24">
        <f t="shared" si="1"/>
        <v>95552</v>
      </c>
      <c r="J37" s="24">
        <f t="shared" si="1"/>
        <v>108348</v>
      </c>
      <c r="K37" s="24">
        <f t="shared" si="1"/>
        <v>97024</v>
      </c>
      <c r="L37" s="24">
        <f t="shared" si="1"/>
        <v>97024</v>
      </c>
      <c r="M37" s="24">
        <f t="shared" si="1"/>
        <v>97024</v>
      </c>
      <c r="N37" s="24">
        <f t="shared" si="1"/>
        <v>97024</v>
      </c>
      <c r="O37" s="25">
        <f>SUM(C37:N37)</f>
        <v>1203862</v>
      </c>
    </row>
    <row r="38" spans="1:16" ht="15" customHeight="1" x14ac:dyDescent="0.25">
      <c r="A38" s="853" t="s">
        <v>148</v>
      </c>
      <c r="B38" s="27" t="s">
        <v>149</v>
      </c>
      <c r="C38" s="28">
        <v>8300</v>
      </c>
      <c r="D38" s="28">
        <v>9000</v>
      </c>
      <c r="E38" s="28">
        <v>13617</v>
      </c>
      <c r="F38" s="28">
        <v>9000</v>
      </c>
      <c r="G38" s="28">
        <v>9000</v>
      </c>
      <c r="H38" s="28">
        <v>9000</v>
      </c>
      <c r="I38" s="28">
        <v>9000</v>
      </c>
      <c r="J38" s="28">
        <v>9000</v>
      </c>
      <c r="K38" s="28">
        <v>11000</v>
      </c>
      <c r="L38" s="28">
        <v>10835</v>
      </c>
      <c r="M38" s="28">
        <v>10835</v>
      </c>
      <c r="N38">
        <v>11995</v>
      </c>
      <c r="O38" s="18">
        <f>SUM(C38:N38)</f>
        <v>120582</v>
      </c>
      <c r="P38" s="284" t="s">
        <v>524</v>
      </c>
    </row>
    <row r="39" spans="1:16" ht="15" customHeight="1" x14ac:dyDescent="0.2">
      <c r="A39" s="854"/>
      <c r="B39" s="27" t="s">
        <v>150</v>
      </c>
      <c r="C39" s="28">
        <v>0</v>
      </c>
      <c r="D39" s="28">
        <v>0</v>
      </c>
      <c r="E39" s="28">
        <v>0</v>
      </c>
      <c r="F39" s="28">
        <v>0</v>
      </c>
      <c r="G39" s="28">
        <v>0</v>
      </c>
      <c r="H39" s="28">
        <v>0</v>
      </c>
      <c r="I39" s="28">
        <v>0</v>
      </c>
      <c r="J39" s="28">
        <v>0</v>
      </c>
      <c r="K39" s="28">
        <v>0</v>
      </c>
      <c r="L39" s="28">
        <v>0</v>
      </c>
      <c r="M39" s="28">
        <v>0</v>
      </c>
      <c r="N39" s="28">
        <v>0</v>
      </c>
      <c r="O39" s="18">
        <f>SUM(C39:N39)</f>
        <v>0</v>
      </c>
    </row>
    <row r="40" spans="1:16" ht="15" customHeight="1" x14ac:dyDescent="0.2">
      <c r="A40" s="854"/>
      <c r="B40" s="27" t="s">
        <v>151</v>
      </c>
      <c r="C40" s="28">
        <v>60</v>
      </c>
      <c r="D40" s="28">
        <v>60</v>
      </c>
      <c r="E40" s="28">
        <v>60</v>
      </c>
      <c r="F40" s="28">
        <v>60</v>
      </c>
      <c r="G40" s="28">
        <v>60</v>
      </c>
      <c r="H40" s="28">
        <v>60</v>
      </c>
      <c r="I40" s="28">
        <v>60</v>
      </c>
      <c r="J40" s="28">
        <v>60</v>
      </c>
      <c r="K40" s="28">
        <v>60</v>
      </c>
      <c r="L40" s="28">
        <v>60</v>
      </c>
      <c r="M40" s="28">
        <v>60</v>
      </c>
      <c r="N40" s="28">
        <v>60</v>
      </c>
      <c r="O40" s="18">
        <f t="shared" ref="O40:O50" si="2">SUM(C40:N40)</f>
        <v>720</v>
      </c>
    </row>
    <row r="41" spans="1:16" ht="15" customHeight="1" x14ac:dyDescent="0.2">
      <c r="A41" s="854"/>
      <c r="B41" s="27" t="s">
        <v>152</v>
      </c>
      <c r="C41" s="28">
        <v>0</v>
      </c>
      <c r="D41" s="28">
        <v>0</v>
      </c>
      <c r="E41" s="28">
        <v>0</v>
      </c>
      <c r="F41" s="28">
        <v>0</v>
      </c>
      <c r="G41" s="28">
        <v>0</v>
      </c>
      <c r="H41" s="28">
        <v>0</v>
      </c>
      <c r="I41" s="28">
        <v>0</v>
      </c>
      <c r="J41" s="28">
        <v>0</v>
      </c>
      <c r="K41" s="28">
        <v>0</v>
      </c>
      <c r="L41" s="28">
        <v>0</v>
      </c>
      <c r="M41" s="28">
        <v>0</v>
      </c>
      <c r="N41" s="28">
        <v>0</v>
      </c>
      <c r="O41" s="18">
        <f t="shared" si="2"/>
        <v>0</v>
      </c>
    </row>
    <row r="42" spans="1:16" ht="15" customHeight="1" x14ac:dyDescent="0.2">
      <c r="A42" s="854"/>
      <c r="B42" s="27" t="s">
        <v>153</v>
      </c>
      <c r="C42" s="28">
        <v>0</v>
      </c>
      <c r="D42" s="28">
        <v>0</v>
      </c>
      <c r="E42" s="28">
        <v>0</v>
      </c>
      <c r="F42" s="28">
        <v>0</v>
      </c>
      <c r="G42" s="28">
        <v>0</v>
      </c>
      <c r="H42" s="28">
        <v>0</v>
      </c>
      <c r="I42" s="28">
        <v>0</v>
      </c>
      <c r="J42" s="28">
        <v>0</v>
      </c>
      <c r="K42" s="28">
        <v>0</v>
      </c>
      <c r="L42" s="28">
        <v>0</v>
      </c>
      <c r="M42" s="28">
        <v>0</v>
      </c>
      <c r="N42" s="28">
        <v>0</v>
      </c>
      <c r="O42" s="18">
        <f t="shared" si="2"/>
        <v>0</v>
      </c>
    </row>
    <row r="43" spans="1:16" ht="15" customHeight="1" x14ac:dyDescent="0.2">
      <c r="A43" s="854"/>
      <c r="B43" s="27" t="s">
        <v>154</v>
      </c>
      <c r="C43" s="28">
        <v>15000</v>
      </c>
      <c r="D43" s="28">
        <v>15000</v>
      </c>
      <c r="E43" s="28">
        <v>15000</v>
      </c>
      <c r="F43" s="28">
        <v>15000</v>
      </c>
      <c r="G43" s="28">
        <v>15000</v>
      </c>
      <c r="H43" s="28">
        <v>15000</v>
      </c>
      <c r="I43" s="28">
        <v>15000</v>
      </c>
      <c r="J43" s="28">
        <v>15000</v>
      </c>
      <c r="K43" s="28">
        <v>15000</v>
      </c>
      <c r="L43" s="28">
        <v>15000</v>
      </c>
      <c r="M43" s="28">
        <v>15000</v>
      </c>
      <c r="N43" s="28">
        <v>15000</v>
      </c>
      <c r="O43" s="18">
        <f t="shared" si="2"/>
        <v>180000</v>
      </c>
    </row>
    <row r="44" spans="1:16" ht="15" customHeight="1" x14ac:dyDescent="0.2">
      <c r="A44" s="854"/>
      <c r="B44" s="27" t="s">
        <v>155</v>
      </c>
      <c r="C44" s="28">
        <v>200</v>
      </c>
      <c r="D44" s="28">
        <v>200</v>
      </c>
      <c r="E44" s="28">
        <v>200</v>
      </c>
      <c r="F44" s="28">
        <v>200</v>
      </c>
      <c r="G44" s="28">
        <v>200</v>
      </c>
      <c r="H44" s="28">
        <v>200</v>
      </c>
      <c r="I44" s="28">
        <v>200</v>
      </c>
      <c r="J44" s="28">
        <v>200</v>
      </c>
      <c r="K44" s="28">
        <v>200</v>
      </c>
      <c r="L44" s="28">
        <v>200</v>
      </c>
      <c r="M44" s="28">
        <v>200</v>
      </c>
      <c r="N44" s="28">
        <v>200</v>
      </c>
      <c r="O44" s="18">
        <f t="shared" si="2"/>
        <v>2400</v>
      </c>
    </row>
    <row r="45" spans="1:16" ht="15" customHeight="1" x14ac:dyDescent="0.2">
      <c r="A45" s="854"/>
      <c r="B45" s="27" t="s">
        <v>156</v>
      </c>
      <c r="C45" s="28">
        <v>0</v>
      </c>
      <c r="D45" s="28">
        <v>0</v>
      </c>
      <c r="E45" s="28">
        <v>0</v>
      </c>
      <c r="F45" s="28">
        <v>0</v>
      </c>
      <c r="G45" s="28">
        <v>0</v>
      </c>
      <c r="H45" s="28">
        <v>0</v>
      </c>
      <c r="I45" s="28">
        <v>0</v>
      </c>
      <c r="J45" s="28">
        <v>0</v>
      </c>
      <c r="K45" s="28">
        <v>0</v>
      </c>
      <c r="L45" s="28">
        <v>0</v>
      </c>
      <c r="M45" s="28">
        <v>0</v>
      </c>
      <c r="N45" s="28">
        <v>0</v>
      </c>
      <c r="O45" s="18">
        <f t="shared" si="2"/>
        <v>0</v>
      </c>
    </row>
    <row r="46" spans="1:16" ht="15" customHeight="1" x14ac:dyDescent="0.2">
      <c r="A46" s="854"/>
      <c r="B46" s="27" t="s">
        <v>157</v>
      </c>
      <c r="C46" s="28">
        <v>0</v>
      </c>
      <c r="D46" s="28">
        <v>0</v>
      </c>
      <c r="E46" s="28">
        <v>0</v>
      </c>
      <c r="F46" s="28">
        <v>0</v>
      </c>
      <c r="G46" s="28">
        <v>0</v>
      </c>
      <c r="H46" s="28">
        <v>0</v>
      </c>
      <c r="I46" s="28">
        <v>0</v>
      </c>
      <c r="J46" s="28">
        <v>0</v>
      </c>
      <c r="K46" s="28">
        <v>0</v>
      </c>
      <c r="L46" s="28">
        <v>0</v>
      </c>
      <c r="M46" s="28">
        <v>0</v>
      </c>
      <c r="N46" s="28">
        <v>0</v>
      </c>
      <c r="O46" s="18">
        <f t="shared" si="2"/>
        <v>0</v>
      </c>
    </row>
    <row r="47" spans="1:16" ht="30" customHeight="1" x14ac:dyDescent="0.2">
      <c r="A47" s="855"/>
      <c r="B47" s="30" t="s">
        <v>158</v>
      </c>
      <c r="C47" s="28">
        <v>0</v>
      </c>
      <c r="D47" s="28">
        <v>0</v>
      </c>
      <c r="E47" s="28">
        <v>0</v>
      </c>
      <c r="F47" s="28">
        <v>0</v>
      </c>
      <c r="G47" s="28">
        <v>0</v>
      </c>
      <c r="H47" s="28">
        <v>0</v>
      </c>
      <c r="I47" s="28">
        <v>0</v>
      </c>
      <c r="J47" s="28">
        <v>0</v>
      </c>
      <c r="K47" s="28">
        <v>0</v>
      </c>
      <c r="L47" s="28">
        <v>0</v>
      </c>
      <c r="M47" s="28">
        <v>0</v>
      </c>
      <c r="N47" s="28">
        <v>0</v>
      </c>
      <c r="O47" s="31">
        <f t="shared" si="2"/>
        <v>0</v>
      </c>
    </row>
    <row r="48" spans="1:16" ht="15" x14ac:dyDescent="0.2">
      <c r="A48" s="856"/>
      <c r="B48" s="127" t="s">
        <v>726</v>
      </c>
      <c r="C48" s="28">
        <v>0</v>
      </c>
      <c r="D48" s="28">
        <v>0</v>
      </c>
      <c r="E48" s="28">
        <v>0</v>
      </c>
      <c r="F48" s="28">
        <v>0</v>
      </c>
      <c r="G48" s="28">
        <v>0</v>
      </c>
      <c r="H48" s="28">
        <v>0</v>
      </c>
      <c r="I48" s="28">
        <v>0</v>
      </c>
      <c r="J48" s="28">
        <v>0</v>
      </c>
      <c r="K48" s="28">
        <v>0</v>
      </c>
      <c r="L48" s="28">
        <v>0</v>
      </c>
      <c r="M48" s="28">
        <v>0</v>
      </c>
      <c r="N48" s="28">
        <v>0</v>
      </c>
      <c r="O48" s="31">
        <f t="shared" si="2"/>
        <v>0</v>
      </c>
    </row>
    <row r="49" spans="1:18" ht="15" customHeight="1" x14ac:dyDescent="0.2">
      <c r="A49" s="857" t="s">
        <v>160</v>
      </c>
      <c r="B49" s="858"/>
      <c r="C49" s="33">
        <f t="shared" ref="C49:N49" si="3">SUM(C38:C48)</f>
        <v>23560</v>
      </c>
      <c r="D49" s="33">
        <f t="shared" si="3"/>
        <v>24260</v>
      </c>
      <c r="E49" s="33">
        <f t="shared" si="3"/>
        <v>28877</v>
      </c>
      <c r="F49" s="33">
        <f t="shared" si="3"/>
        <v>24260</v>
      </c>
      <c r="G49" s="33">
        <f t="shared" si="3"/>
        <v>24260</v>
      </c>
      <c r="H49" s="33">
        <f t="shared" si="3"/>
        <v>24260</v>
      </c>
      <c r="I49" s="33">
        <f t="shared" si="3"/>
        <v>24260</v>
      </c>
      <c r="J49" s="33">
        <f t="shared" si="3"/>
        <v>24260</v>
      </c>
      <c r="K49" s="33">
        <f t="shared" si="3"/>
        <v>26260</v>
      </c>
      <c r="L49" s="33">
        <f t="shared" si="3"/>
        <v>26095</v>
      </c>
      <c r="M49" s="33">
        <f t="shared" si="3"/>
        <v>26095</v>
      </c>
      <c r="N49" s="33">
        <f t="shared" si="3"/>
        <v>27255</v>
      </c>
      <c r="O49" s="34">
        <f t="shared" si="2"/>
        <v>303702</v>
      </c>
    </row>
    <row r="50" spans="1:18" ht="15" customHeight="1" thickBot="1" x14ac:dyDescent="0.25">
      <c r="A50" s="859" t="s">
        <v>161</v>
      </c>
      <c r="B50" s="860"/>
      <c r="C50" s="35">
        <f t="shared" ref="C50:N50" si="4">C37-C49</f>
        <v>67940</v>
      </c>
      <c r="D50" s="35">
        <f t="shared" si="4"/>
        <v>72968</v>
      </c>
      <c r="E50" s="35">
        <f t="shared" si="4"/>
        <v>110225</v>
      </c>
      <c r="F50" s="35">
        <f t="shared" si="4"/>
        <v>68672</v>
      </c>
      <c r="G50" s="35">
        <f t="shared" si="4"/>
        <v>71292</v>
      </c>
      <c r="H50" s="35">
        <f t="shared" si="4"/>
        <v>71292</v>
      </c>
      <c r="I50" s="35">
        <f t="shared" si="4"/>
        <v>71292</v>
      </c>
      <c r="J50" s="35">
        <f t="shared" si="4"/>
        <v>84088</v>
      </c>
      <c r="K50" s="35">
        <f t="shared" si="4"/>
        <v>70764</v>
      </c>
      <c r="L50" s="35">
        <f t="shared" si="4"/>
        <v>70929</v>
      </c>
      <c r="M50" s="35">
        <f t="shared" si="4"/>
        <v>70929</v>
      </c>
      <c r="N50" s="35">
        <f t="shared" si="4"/>
        <v>69769</v>
      </c>
      <c r="O50" s="36">
        <f t="shared" si="2"/>
        <v>900160</v>
      </c>
      <c r="Q50" s="16">
        <f>14148+15790+770+631+15317+16560+16560+17946+6662+17846</f>
        <v>122230</v>
      </c>
    </row>
    <row r="51" spans="1:18" x14ac:dyDescent="0.2">
      <c r="J51" s="300">
        <f>+J37-SUM(J22:J36)</f>
        <v>97024</v>
      </c>
    </row>
    <row r="52" spans="1:18" ht="13.5" thickBot="1" x14ac:dyDescent="0.25">
      <c r="J52" s="38">
        <f>+J51-J49</f>
        <v>72764</v>
      </c>
    </row>
    <row r="53" spans="1:18" ht="13.5" thickBot="1" x14ac:dyDescent="0.25">
      <c r="B53" s="789" t="s">
        <v>162</v>
      </c>
      <c r="C53" s="861"/>
      <c r="D53" s="861"/>
      <c r="E53" s="861"/>
      <c r="F53" s="862"/>
      <c r="G53" s="863">
        <f>O37</f>
        <v>1203862</v>
      </c>
      <c r="H53" s="864"/>
      <c r="M53" s="16">
        <f>18146+6662</f>
        <v>24808</v>
      </c>
    </row>
    <row r="54" spans="1:18" ht="13.5" thickBot="1" x14ac:dyDescent="0.25">
      <c r="M54" s="16">
        <f>+M53-200</f>
        <v>24608</v>
      </c>
    </row>
    <row r="55" spans="1:18" x14ac:dyDescent="0.2">
      <c r="B55" s="830" t="s">
        <v>163</v>
      </c>
      <c r="C55" s="833" t="s">
        <v>164</v>
      </c>
      <c r="D55" s="836" t="s">
        <v>229</v>
      </c>
      <c r="E55" s="837"/>
      <c r="F55" s="838"/>
      <c r="G55" s="839">
        <v>40000</v>
      </c>
      <c r="H55" s="840"/>
    </row>
    <row r="56" spans="1:18" x14ac:dyDescent="0.2">
      <c r="B56" s="831"/>
      <c r="C56" s="834"/>
      <c r="D56" s="841" t="s">
        <v>166</v>
      </c>
      <c r="E56" s="842"/>
      <c r="F56" s="843"/>
      <c r="G56" s="844">
        <f>+O44</f>
        <v>2400</v>
      </c>
      <c r="H56" s="845"/>
      <c r="I56" s="39"/>
      <c r="J56" s="846"/>
      <c r="K56" s="846"/>
      <c r="L56" s="846"/>
      <c r="M56" s="847"/>
      <c r="N56" s="847"/>
      <c r="O56" s="847"/>
    </row>
    <row r="57" spans="1:18" ht="13.5" thickBot="1" x14ac:dyDescent="0.25">
      <c r="B57" s="832"/>
      <c r="C57" s="835"/>
      <c r="D57" s="848" t="s">
        <v>129</v>
      </c>
      <c r="E57" s="849"/>
      <c r="F57" s="850"/>
      <c r="G57" s="851">
        <v>0</v>
      </c>
      <c r="H57" s="852"/>
      <c r="J57" s="47"/>
      <c r="K57" s="47"/>
      <c r="L57" s="47"/>
      <c r="M57" s="47"/>
      <c r="N57" s="47"/>
      <c r="O57" s="47"/>
    </row>
    <row r="58" spans="1:18" ht="13.5" thickBot="1" x14ac:dyDescent="0.25">
      <c r="B58" s="48"/>
      <c r="J58" s="47"/>
      <c r="K58" s="47"/>
      <c r="L58" s="47"/>
      <c r="M58" s="47"/>
      <c r="N58" s="47"/>
      <c r="O58" s="47"/>
    </row>
    <row r="59" spans="1:18" ht="13.5" thickBot="1" x14ac:dyDescent="0.25">
      <c r="B59" s="789" t="s">
        <v>168</v>
      </c>
      <c r="C59" s="790"/>
      <c r="D59" s="790"/>
      <c r="E59" s="790"/>
      <c r="F59" s="791"/>
      <c r="G59" s="825">
        <f>+G53-SUM(G55:H57)</f>
        <v>1161462</v>
      </c>
      <c r="H59" s="826"/>
      <c r="J59" s="827" t="s">
        <v>169</v>
      </c>
      <c r="K59" s="828"/>
      <c r="L59" s="828"/>
      <c r="M59" s="828"/>
      <c r="N59" s="828"/>
      <c r="O59" s="829"/>
    </row>
    <row r="60" spans="1:18" ht="13.5" thickBot="1" x14ac:dyDescent="0.25">
      <c r="B60" s="49"/>
      <c r="C60" s="50"/>
      <c r="D60" s="50"/>
      <c r="E60" s="50"/>
      <c r="F60" s="50"/>
      <c r="G60" s="45"/>
      <c r="H60" s="50"/>
      <c r="J60" s="129"/>
      <c r="K60" s="130"/>
      <c r="L60" s="130"/>
      <c r="M60" s="130"/>
      <c r="N60" s="130"/>
      <c r="O60" s="131"/>
    </row>
    <row r="61" spans="1:18" ht="13.5" thickBot="1" x14ac:dyDescent="0.25">
      <c r="B61" s="789" t="s">
        <v>170</v>
      </c>
      <c r="C61" s="790"/>
      <c r="D61" s="790"/>
      <c r="E61" s="790"/>
      <c r="F61" s="791"/>
      <c r="G61" s="805"/>
      <c r="H61" s="791"/>
      <c r="J61" s="129"/>
      <c r="K61" s="130"/>
      <c r="L61" s="130"/>
      <c r="M61" s="130"/>
      <c r="N61" s="130"/>
      <c r="O61" s="131"/>
    </row>
    <row r="62" spans="1:18" ht="12.75" customHeight="1" x14ac:dyDescent="0.2">
      <c r="B62" s="57" t="s">
        <v>171</v>
      </c>
      <c r="C62" s="806" t="s">
        <v>172</v>
      </c>
      <c r="D62" s="807"/>
      <c r="E62" s="807"/>
      <c r="F62" s="808"/>
      <c r="G62" s="809">
        <v>0</v>
      </c>
      <c r="H62" s="809"/>
      <c r="I62" s="58"/>
      <c r="J62" s="810" t="s">
        <v>173</v>
      </c>
      <c r="K62" s="811"/>
      <c r="L62" s="811"/>
      <c r="M62" s="811"/>
      <c r="N62" s="811"/>
      <c r="O62" s="812"/>
      <c r="Q62" s="59"/>
      <c r="R62" s="59"/>
    </row>
    <row r="63" spans="1:18" ht="13.5" thickBot="1" x14ac:dyDescent="0.25">
      <c r="D63" s="37"/>
      <c r="I63" s="58"/>
      <c r="J63" s="60" t="s">
        <v>254</v>
      </c>
      <c r="K63" s="132"/>
      <c r="L63" s="132"/>
      <c r="M63" s="133"/>
      <c r="N63" s="133"/>
      <c r="O63" s="134"/>
      <c r="Q63" s="59"/>
      <c r="R63" s="59"/>
    </row>
    <row r="64" spans="1:18" ht="13.5" thickBot="1" x14ac:dyDescent="0.25">
      <c r="B64" s="789" t="s">
        <v>175</v>
      </c>
      <c r="C64" s="790"/>
      <c r="D64" s="790"/>
      <c r="E64" s="790"/>
      <c r="F64" s="791"/>
      <c r="G64" s="805">
        <f>+G59-G62</f>
        <v>1161462</v>
      </c>
      <c r="H64" s="791"/>
      <c r="I64" s="63"/>
      <c r="J64" s="64"/>
      <c r="K64" s="39"/>
      <c r="L64" s="39"/>
      <c r="M64" s="39"/>
      <c r="N64" s="39"/>
      <c r="O64" s="65"/>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7" customHeight="1" thickBot="1" x14ac:dyDescent="0.25">
      <c r="B67" s="66"/>
      <c r="C67" s="48"/>
      <c r="G67" s="70" t="s">
        <v>177</v>
      </c>
      <c r="H67" s="70" t="s">
        <v>178</v>
      </c>
      <c r="I67" s="63"/>
      <c r="J67" s="810" t="s">
        <v>179</v>
      </c>
      <c r="K67" s="811"/>
      <c r="L67" s="71"/>
      <c r="M67" s="71"/>
      <c r="N67" s="71"/>
      <c r="O67" s="72"/>
      <c r="Q67" s="59"/>
      <c r="R67" s="59"/>
    </row>
    <row r="68" spans="2:18" ht="12.75" customHeight="1" x14ac:dyDescent="0.2">
      <c r="B68" s="802" t="s">
        <v>180</v>
      </c>
      <c r="C68" s="821" t="s">
        <v>181</v>
      </c>
      <c r="D68" s="823" t="s">
        <v>182</v>
      </c>
      <c r="E68" s="824"/>
      <c r="F68" s="824"/>
      <c r="G68" s="73">
        <f>+O43</f>
        <v>180000</v>
      </c>
      <c r="H68" s="74">
        <f>+G68</f>
        <v>180000</v>
      </c>
      <c r="I68" s="63"/>
      <c r="J68" s="75"/>
      <c r="K68" s="58"/>
      <c r="L68" s="58"/>
      <c r="M68" s="135"/>
      <c r="N68" s="58"/>
      <c r="O68" s="76"/>
      <c r="Q68" s="59"/>
      <c r="R68" s="59"/>
    </row>
    <row r="69" spans="2:18" ht="12.75" customHeight="1" x14ac:dyDescent="0.2">
      <c r="B69" s="803"/>
      <c r="C69" s="822"/>
      <c r="D69" s="782" t="s">
        <v>184</v>
      </c>
      <c r="E69" s="783"/>
      <c r="F69" s="783"/>
      <c r="G69" s="77">
        <v>0</v>
      </c>
      <c r="H69" s="78">
        <f t="shared" ref="H69:H75" si="5">+G69</f>
        <v>0</v>
      </c>
      <c r="I69" s="63"/>
      <c r="J69" s="79"/>
      <c r="K69" s="68"/>
      <c r="L69" s="68"/>
      <c r="M69" s="68"/>
      <c r="N69" s="68"/>
      <c r="O69" s="69"/>
      <c r="Q69" s="59"/>
      <c r="R69" s="59"/>
    </row>
    <row r="70" spans="2:18" ht="12.75" customHeight="1" x14ac:dyDescent="0.2">
      <c r="B70" s="803"/>
      <c r="C70" s="822"/>
      <c r="D70" s="819" t="s">
        <v>185</v>
      </c>
      <c r="E70" s="820"/>
      <c r="F70" s="820"/>
      <c r="G70" s="80">
        <f>O40</f>
        <v>720</v>
      </c>
      <c r="H70" s="78">
        <f t="shared" si="5"/>
        <v>720</v>
      </c>
      <c r="I70" s="63"/>
      <c r="J70" s="67"/>
      <c r="K70" s="68"/>
      <c r="L70" s="68"/>
      <c r="M70" s="68"/>
      <c r="N70" s="68"/>
      <c r="O70" s="69"/>
    </row>
    <row r="71" spans="2:18" x14ac:dyDescent="0.2">
      <c r="B71" s="803"/>
      <c r="C71" s="822"/>
      <c r="D71" s="782" t="s">
        <v>186</v>
      </c>
      <c r="E71" s="783"/>
      <c r="F71" s="783"/>
      <c r="G71" s="81">
        <v>0</v>
      </c>
      <c r="H71" s="78">
        <f t="shared" si="5"/>
        <v>0</v>
      </c>
      <c r="I71" s="63"/>
      <c r="J71" s="82" t="s">
        <v>187</v>
      </c>
      <c r="K71" s="71"/>
      <c r="L71" s="71"/>
      <c r="M71" s="71"/>
      <c r="N71" s="71"/>
      <c r="O71" s="72"/>
    </row>
    <row r="72" spans="2:18" ht="12.75" customHeight="1" x14ac:dyDescent="0.2">
      <c r="B72" s="803"/>
      <c r="C72" s="822"/>
      <c r="D72" s="784" t="s">
        <v>188</v>
      </c>
      <c r="E72" s="783"/>
      <c r="F72" s="783"/>
      <c r="G72" s="80">
        <v>0</v>
      </c>
      <c r="H72" s="78">
        <f t="shared" si="5"/>
        <v>0</v>
      </c>
      <c r="I72" s="63"/>
      <c r="J72" s="75" t="s">
        <v>189</v>
      </c>
      <c r="K72" s="50"/>
      <c r="L72" s="50"/>
      <c r="M72" s="50"/>
      <c r="N72" s="50"/>
      <c r="O72" s="83">
        <v>0</v>
      </c>
    </row>
    <row r="73" spans="2:18" ht="14.25" customHeight="1" x14ac:dyDescent="0.2">
      <c r="B73" s="803"/>
      <c r="C73" s="822"/>
      <c r="D73" s="784" t="s">
        <v>270</v>
      </c>
      <c r="E73" s="783"/>
      <c r="F73" s="783"/>
      <c r="G73" s="84">
        <v>0</v>
      </c>
      <c r="H73" s="78">
        <f t="shared" si="5"/>
        <v>0</v>
      </c>
      <c r="I73" s="63"/>
      <c r="J73" s="64"/>
      <c r="K73" s="39"/>
      <c r="L73" s="39"/>
      <c r="M73" s="39"/>
      <c r="N73" s="39"/>
      <c r="O73" s="65"/>
    </row>
    <row r="74" spans="2:18" x14ac:dyDescent="0.2">
      <c r="B74" s="803"/>
      <c r="C74" s="822"/>
      <c r="D74" s="782" t="s">
        <v>191</v>
      </c>
      <c r="E74" s="783"/>
      <c r="F74" s="783"/>
      <c r="G74" s="81">
        <v>0</v>
      </c>
      <c r="H74" s="78">
        <f t="shared" si="5"/>
        <v>0</v>
      </c>
      <c r="I74" s="58"/>
      <c r="J74" s="150"/>
      <c r="K74" s="50"/>
      <c r="L74" s="50"/>
      <c r="M74" s="50"/>
      <c r="N74" s="50"/>
      <c r="O74" s="83"/>
    </row>
    <row r="75" spans="2:18" x14ac:dyDescent="0.2">
      <c r="B75" s="803"/>
      <c r="C75" s="88" t="s">
        <v>192</v>
      </c>
      <c r="D75" s="813" t="s">
        <v>193</v>
      </c>
      <c r="E75" s="814"/>
      <c r="F75" s="814"/>
      <c r="G75" s="80">
        <v>0</v>
      </c>
      <c r="H75" s="78">
        <f t="shared" si="5"/>
        <v>0</v>
      </c>
      <c r="I75" s="58"/>
      <c r="J75" s="79"/>
      <c r="K75" s="39"/>
      <c r="L75" s="39"/>
      <c r="M75" s="39"/>
      <c r="N75" s="39"/>
      <c r="O75" s="65"/>
    </row>
    <row r="76" spans="2:18" ht="13.5" customHeight="1" thickBot="1" x14ac:dyDescent="0.25">
      <c r="B76" s="803"/>
      <c r="C76" s="88" t="s">
        <v>194</v>
      </c>
      <c r="D76" s="815" t="s">
        <v>195</v>
      </c>
      <c r="E76" s="815"/>
      <c r="F76" s="815"/>
      <c r="G76" s="89">
        <v>0</v>
      </c>
      <c r="H76" s="90">
        <f>+G76</f>
        <v>0</v>
      </c>
      <c r="I76" s="63"/>
      <c r="J76" s="67"/>
      <c r="K76" s="68"/>
      <c r="L76" s="68"/>
      <c r="M76" s="91"/>
      <c r="N76" s="91"/>
      <c r="O76" s="92"/>
    </row>
    <row r="77" spans="2:18" ht="13.5" thickBot="1" x14ac:dyDescent="0.25">
      <c r="B77" s="803"/>
      <c r="C77" s="93"/>
      <c r="D77" s="94"/>
      <c r="E77" s="816" t="s">
        <v>117</v>
      </c>
      <c r="F77" s="817"/>
      <c r="G77" s="95">
        <f>SUM(G68:G76)</f>
        <v>180720</v>
      </c>
      <c r="H77" s="96">
        <f>IF(SUM(G68:G74)&lt;150000,SUM(G68:G74),150000)+IF(+G75&lt;20000,+G75,20000)</f>
        <v>150000</v>
      </c>
      <c r="I77" s="63"/>
      <c r="J77" s="140"/>
      <c r="K77" s="141"/>
      <c r="L77" s="141"/>
      <c r="M77" s="142"/>
      <c r="N77" s="142"/>
      <c r="O77" s="143"/>
    </row>
    <row r="78" spans="2:18" ht="12.75" customHeight="1" x14ac:dyDescent="0.2">
      <c r="B78" s="803"/>
      <c r="C78" s="100" t="s">
        <v>196</v>
      </c>
      <c r="D78" s="782" t="s">
        <v>187</v>
      </c>
      <c r="E78" s="783"/>
      <c r="F78" s="818"/>
      <c r="G78" s="73">
        <f>+O42</f>
        <v>0</v>
      </c>
      <c r="H78" s="221">
        <f>+IF(+G78&lt;25000,+G78,25000)</f>
        <v>0</v>
      </c>
      <c r="I78" s="87"/>
    </row>
    <row r="79" spans="2:18" x14ac:dyDescent="0.2">
      <c r="B79" s="803"/>
      <c r="C79" s="100" t="s">
        <v>197</v>
      </c>
      <c r="D79" s="784" t="s">
        <v>198</v>
      </c>
      <c r="E79" s="785"/>
      <c r="F79" s="786"/>
      <c r="G79" s="102"/>
      <c r="H79" s="222">
        <f>+IF(+G79&lt;40000,+G79,40000)</f>
        <v>0</v>
      </c>
      <c r="I79" s="63"/>
    </row>
    <row r="80" spans="2:18" x14ac:dyDescent="0.2">
      <c r="B80" s="803"/>
      <c r="C80" s="100" t="s">
        <v>199</v>
      </c>
      <c r="D80" s="784" t="s">
        <v>200</v>
      </c>
      <c r="E80" s="785"/>
      <c r="F80" s="786"/>
      <c r="G80" s="81"/>
      <c r="H80" s="104">
        <v>0</v>
      </c>
      <c r="I80" s="63"/>
    </row>
    <row r="81" spans="2:13" x14ac:dyDescent="0.2">
      <c r="B81" s="803"/>
      <c r="C81" s="100" t="s">
        <v>201</v>
      </c>
      <c r="D81" s="784" t="s">
        <v>202</v>
      </c>
      <c r="E81" s="785"/>
      <c r="F81" s="786"/>
      <c r="G81" s="81"/>
      <c r="H81" s="104">
        <v>0</v>
      </c>
      <c r="I81" s="63"/>
    </row>
    <row r="82" spans="2:13" ht="13.5" thickBot="1" x14ac:dyDescent="0.25">
      <c r="B82" s="804"/>
      <c r="C82" s="100" t="s">
        <v>203</v>
      </c>
      <c r="D82" s="784" t="s">
        <v>204</v>
      </c>
      <c r="E82" s="785"/>
      <c r="F82" s="786"/>
      <c r="G82" s="102"/>
      <c r="H82" s="222">
        <f>+IF(+G82&lt;100000,+G82,10000)</f>
        <v>0</v>
      </c>
      <c r="I82" s="63"/>
    </row>
    <row r="83" spans="2:13" ht="13.5" thickBot="1" x14ac:dyDescent="0.25">
      <c r="B83" s="787" t="s">
        <v>205</v>
      </c>
      <c r="C83" s="788"/>
      <c r="D83" s="788"/>
      <c r="E83" s="788"/>
      <c r="F83" s="788"/>
      <c r="G83" s="107">
        <f>SUM(G78:G82)</f>
        <v>0</v>
      </c>
      <c r="H83" s="108">
        <f>SUM(H77:H82)</f>
        <v>150000</v>
      </c>
      <c r="J83" s="87"/>
      <c r="K83" s="87"/>
      <c r="L83" s="87"/>
      <c r="M83" s="87"/>
    </row>
    <row r="84" spans="2:13" ht="13.5" thickBot="1" x14ac:dyDescent="0.25"/>
    <row r="85" spans="2:13" ht="13.5" thickBot="1" x14ac:dyDescent="0.25">
      <c r="B85" s="789" t="s">
        <v>206</v>
      </c>
      <c r="C85" s="790"/>
      <c r="D85" s="790"/>
      <c r="E85" s="790"/>
      <c r="F85" s="791"/>
      <c r="G85" s="1055">
        <f>ROUND(+G64-H83,-1)</f>
        <v>1011460</v>
      </c>
      <c r="H85" s="1056"/>
      <c r="J85" s="87"/>
      <c r="K85" s="87"/>
      <c r="L85" s="87"/>
      <c r="M85" s="87"/>
    </row>
    <row r="86" spans="2:13" x14ac:dyDescent="0.2">
      <c r="B86" s="110"/>
      <c r="F86" s="105"/>
      <c r="J86" s="87"/>
      <c r="K86" s="87"/>
      <c r="L86" s="87"/>
      <c r="M86" s="87"/>
    </row>
    <row r="87" spans="2:13" x14ac:dyDescent="0.2">
      <c r="C87" s="793" t="s">
        <v>207</v>
      </c>
      <c r="D87" s="794"/>
      <c r="E87" s="111" t="s">
        <v>208</v>
      </c>
      <c r="F87" s="111" t="s">
        <v>209</v>
      </c>
      <c r="G87" s="111" t="s">
        <v>210</v>
      </c>
      <c r="H87" s="111" t="s">
        <v>211</v>
      </c>
      <c r="J87" s="87"/>
      <c r="K87" s="47"/>
      <c r="L87" s="87"/>
      <c r="M87" s="87"/>
    </row>
    <row r="88" spans="2:13" x14ac:dyDescent="0.2">
      <c r="C88" s="795" t="str">
        <f>IF(I6="M","0          - 250000","0          -  250000")</f>
        <v>0          - 250000</v>
      </c>
      <c r="D88" s="796"/>
      <c r="E88" s="112">
        <v>0</v>
      </c>
      <c r="F88" s="113">
        <f>IF(I6="M",(IF(G85&lt;250000,G85,250000)),(IF(G85&lt;250000,G85,250000)))</f>
        <v>250000</v>
      </c>
      <c r="G88" s="113">
        <f>G85-F88</f>
        <v>761460</v>
      </c>
      <c r="H88" s="113">
        <f>E88*F88</f>
        <v>0</v>
      </c>
      <c r="J88" s="87"/>
      <c r="K88" s="157"/>
      <c r="L88" s="87"/>
      <c r="M88" s="87"/>
    </row>
    <row r="89" spans="2:13" x14ac:dyDescent="0.2">
      <c r="C89" s="795" t="str">
        <f>IF(I6="M","250001 - 500000","250001-500000")</f>
        <v>250001 - 500000</v>
      </c>
      <c r="D89" s="796"/>
      <c r="E89" s="112">
        <v>0.05</v>
      </c>
      <c r="F89" s="113">
        <f>IF(I6="M",(IF(G88&lt;250000,G88,250000)),(IF(G88&lt;250000,G88,250000)))</f>
        <v>250000</v>
      </c>
      <c r="G89" s="113">
        <f>G88-F89</f>
        <v>511460</v>
      </c>
      <c r="H89" s="114">
        <f>ROUND(E89*F89,0.1)</f>
        <v>12500</v>
      </c>
      <c r="J89" s="87"/>
      <c r="K89" s="87"/>
      <c r="L89" s="87"/>
      <c r="M89" s="87"/>
    </row>
    <row r="90" spans="2:13" x14ac:dyDescent="0.2">
      <c r="C90" s="797" t="s">
        <v>212</v>
      </c>
      <c r="D90" s="798"/>
      <c r="E90" s="112">
        <v>0.2</v>
      </c>
      <c r="F90" s="113">
        <f>IF(G89&lt;500000,G89,500000)</f>
        <v>500000</v>
      </c>
      <c r="G90" s="113">
        <f>G89-F90</f>
        <v>11460</v>
      </c>
      <c r="H90" s="114">
        <f>ROUND(E90*F90,0.1)</f>
        <v>100000</v>
      </c>
      <c r="J90" s="87"/>
      <c r="K90" s="87"/>
      <c r="L90" s="87"/>
      <c r="M90" s="87"/>
    </row>
    <row r="91" spans="2:13" x14ac:dyDescent="0.2">
      <c r="C91" s="795" t="s">
        <v>213</v>
      </c>
      <c r="D91" s="796"/>
      <c r="E91" s="112">
        <v>0.3</v>
      </c>
      <c r="F91" s="113">
        <f>G90</f>
        <v>11460</v>
      </c>
      <c r="G91" s="113">
        <f>G90-F91</f>
        <v>0</v>
      </c>
      <c r="H91" s="114">
        <f>ROUND(E91*F91,0.1)</f>
        <v>3438</v>
      </c>
      <c r="J91" s="87"/>
      <c r="K91" s="157"/>
      <c r="L91" s="87"/>
      <c r="M91" s="87"/>
    </row>
    <row r="92" spans="2:13" ht="12.75" customHeight="1" thickBot="1" x14ac:dyDescent="0.25">
      <c r="B92" s="116"/>
      <c r="C92" s="117"/>
      <c r="D92" s="47"/>
      <c r="E92" s="47"/>
      <c r="F92" s="47"/>
      <c r="J92" s="87"/>
      <c r="K92" s="118"/>
      <c r="L92" s="87"/>
      <c r="M92" s="87"/>
    </row>
    <row r="93" spans="2:13" ht="14.25" customHeight="1" thickBot="1" x14ac:dyDescent="0.25">
      <c r="B93" s="799" t="s">
        <v>239</v>
      </c>
      <c r="C93" s="800"/>
      <c r="D93" s="800"/>
      <c r="E93" s="800"/>
      <c r="F93" s="801"/>
      <c r="G93" s="771">
        <f>H88+H89+H90+H91</f>
        <v>115938</v>
      </c>
      <c r="H93" s="772"/>
      <c r="J93" s="87"/>
      <c r="K93" s="87"/>
      <c r="L93" s="87"/>
      <c r="M93" s="87"/>
    </row>
    <row r="94" spans="2:13" ht="14.25" customHeight="1" thickBot="1" x14ac:dyDescent="0.25">
      <c r="B94" s="119" t="s">
        <v>215</v>
      </c>
      <c r="C94" s="120"/>
      <c r="D94" s="120"/>
      <c r="E94" s="120"/>
      <c r="F94" s="120"/>
      <c r="G94" s="884">
        <f>IF((G64&lt;500000),5000,0)</f>
        <v>0</v>
      </c>
      <c r="H94" s="885">
        <f>IF(H92&lt;200000,0,IF(H92&lt;220000,((H92-200000)*10%),IF(H92&lt;=500000,2000,IF(H92&gt;=500000,0))))</f>
        <v>0</v>
      </c>
    </row>
    <row r="95" spans="2:13" ht="14.25" customHeight="1" thickBot="1" x14ac:dyDescent="0.25">
      <c r="B95" s="122" t="s">
        <v>216</v>
      </c>
      <c r="C95" s="123"/>
      <c r="D95" s="123"/>
      <c r="E95" s="123"/>
      <c r="F95" s="123"/>
      <c r="G95" s="771">
        <f>IF((G93-G94)&lt;0,0,(G93-G94))</f>
        <v>115938</v>
      </c>
      <c r="H95" s="772"/>
    </row>
    <row r="96" spans="2:13" ht="14.25" customHeight="1" thickBot="1" x14ac:dyDescent="0.25">
      <c r="B96" s="773" t="s">
        <v>240</v>
      </c>
      <c r="C96" s="774"/>
      <c r="D96" s="774"/>
      <c r="E96" s="774"/>
      <c r="F96" s="775"/>
      <c r="G96" s="776">
        <f>ROUND((IF(G95&gt;0,(G95*4%),0)),0)</f>
        <v>4638</v>
      </c>
      <c r="H96" s="777"/>
    </row>
    <row r="97" spans="2:8" ht="14.25" customHeight="1" thickBot="1" x14ac:dyDescent="0.25">
      <c r="B97" s="778" t="s">
        <v>218</v>
      </c>
      <c r="C97" s="779"/>
      <c r="D97" s="779"/>
      <c r="E97" s="779"/>
      <c r="F97" s="779"/>
      <c r="G97" s="780">
        <f>+G95+G96</f>
        <v>120576</v>
      </c>
      <c r="H97" s="781"/>
    </row>
    <row r="98" spans="2:8" ht="13.5" thickBot="1" x14ac:dyDescent="0.25">
      <c r="B98" s="765" t="s">
        <v>219</v>
      </c>
      <c r="C98" s="766"/>
      <c r="D98" s="766"/>
      <c r="E98" s="766"/>
      <c r="F98" s="766"/>
      <c r="G98" s="767">
        <f>O38</f>
        <v>120582</v>
      </c>
      <c r="H98" s="768"/>
    </row>
    <row r="99" spans="2:8" ht="13.5" thickBot="1" x14ac:dyDescent="0.25">
      <c r="B99" s="765" t="str">
        <f>IF(G99&gt;0,"TAX PAYABLE","TAX REFUND")</f>
        <v>TAX REFUND</v>
      </c>
      <c r="C99" s="766"/>
      <c r="D99" s="766"/>
      <c r="E99" s="766"/>
      <c r="F99" s="766"/>
      <c r="G99" s="767">
        <f>+G97-G98</f>
        <v>-6</v>
      </c>
      <c r="H99" s="768"/>
    </row>
    <row r="100" spans="2:8" x14ac:dyDescent="0.2">
      <c r="C100" s="39"/>
      <c r="D100" s="126"/>
      <c r="E100" s="126"/>
      <c r="F100" s="39"/>
      <c r="G100" s="39"/>
      <c r="H100" s="39"/>
    </row>
    <row r="101" spans="2:8" x14ac:dyDescent="0.2">
      <c r="C101" s="39"/>
      <c r="D101" s="39"/>
      <c r="E101" s="39"/>
      <c r="F101" s="39"/>
      <c r="G101" s="39"/>
      <c r="H101" s="39"/>
    </row>
    <row r="102" spans="2:8" x14ac:dyDescent="0.2">
      <c r="C102" s="39"/>
      <c r="D102" s="39"/>
      <c r="E102" s="39"/>
      <c r="F102" s="39"/>
      <c r="G102" s="39"/>
      <c r="H102" s="39"/>
    </row>
    <row r="103" spans="2:8" x14ac:dyDescent="0.2">
      <c r="C103" s="39"/>
      <c r="D103" s="39"/>
      <c r="E103" s="39"/>
      <c r="F103" s="39"/>
      <c r="G103" s="39"/>
      <c r="H103"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C7:G7"/>
    <mergeCell ref="L7:O7"/>
    <mergeCell ref="A8:B8"/>
    <mergeCell ref="A21:A33"/>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9:F99 B90:F90 B93:F97">
    <cfRule type="cellIs" dxfId="305" priority="1" stopIfTrue="1" operator="equal">
      <formula>"TAX PAYABLE"</formula>
    </cfRule>
    <cfRule type="cellIs" dxfId="304" priority="2" stopIfTrue="1" operator="equal">
      <formula>"TAX REFUND"</formula>
    </cfRule>
  </conditionalFormatting>
  <conditionalFormatting sqref="G90:H90">
    <cfRule type="cellIs" dxfId="303" priority="3" stopIfTrue="1" operator="lessThan">
      <formula>0</formula>
    </cfRule>
    <cfRule type="cellIs" dxfId="302" priority="4" stopIfTrue="1" operator="greaterThan">
      <formula>0</formula>
    </cfRule>
  </conditionalFormatting>
  <conditionalFormatting sqref="G99:H99">
    <cfRule type="cellIs" dxfId="301" priority="5" stopIfTrue="1" operator="greaterThan">
      <formula>0</formula>
    </cfRule>
    <cfRule type="cellIs" dxfId="300" priority="6" stopIfTrue="1" operator="lessThanOrEqual">
      <formula>0</formula>
    </cfRule>
  </conditionalFormatting>
  <pageMargins left="0.75" right="0.75" top="1" bottom="1" header="0.5" footer="0.5"/>
  <headerFooter alignWithMargins="0"/>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06"/>
  <sheetViews>
    <sheetView topLeftCell="A65" workbookViewId="0">
      <selection activeCell="D6" sqref="D6:F6"/>
    </sheetView>
  </sheetViews>
  <sheetFormatPr defaultRowHeight="12.75" x14ac:dyDescent="0.2"/>
  <cols>
    <col min="1" max="1" width="5" style="16" customWidth="1"/>
    <col min="2" max="2" width="18" style="37" customWidth="1"/>
    <col min="3" max="3" width="9.28515625" style="16" customWidth="1"/>
    <col min="4" max="4" width="7.5703125" style="16" customWidth="1"/>
    <col min="5" max="5" width="8.5703125" style="16" bestFit="1" customWidth="1"/>
    <col min="6" max="6" width="9.28515625" style="16" bestFit="1" customWidth="1"/>
    <col min="7" max="7" width="8.42578125" style="16" bestFit="1" customWidth="1"/>
    <col min="8" max="8" width="9.7109375" style="16" bestFit="1" customWidth="1"/>
    <col min="9" max="9" width="10.140625" style="16" customWidth="1"/>
    <col min="10" max="10" width="9.7109375" style="16" customWidth="1"/>
    <col min="11" max="11" width="9.28515625" style="16" customWidth="1"/>
    <col min="12" max="12" width="9.42578125" style="16" customWidth="1"/>
    <col min="13" max="13" width="8.5703125" style="16" customWidth="1"/>
    <col min="14" max="14" width="8.140625" style="16" customWidth="1"/>
    <col min="15" max="15" width="11.140625" style="16" customWidth="1"/>
    <col min="16" max="20" width="9.140625" style="16"/>
    <col min="21" max="21" width="12.42578125" style="16" customWidth="1"/>
    <col min="22" max="22" width="9.140625" style="16"/>
    <col min="23" max="23" width="12" style="16" customWidth="1"/>
    <col min="24" max="256" width="9.140625" style="16"/>
    <col min="257" max="257" width="5" style="16" customWidth="1"/>
    <col min="258" max="258" width="18" style="16" customWidth="1"/>
    <col min="259" max="259" width="9.28515625" style="16" customWidth="1"/>
    <col min="260" max="260" width="7.5703125" style="16" customWidth="1"/>
    <col min="261" max="261" width="8.5703125" style="16" bestFit="1" customWidth="1"/>
    <col min="262" max="262" width="9.28515625" style="16" bestFit="1" customWidth="1"/>
    <col min="263" max="263" width="8.42578125" style="16" bestFit="1" customWidth="1"/>
    <col min="264" max="264" width="9.7109375" style="16" bestFit="1" customWidth="1"/>
    <col min="265" max="265" width="10.140625" style="16" customWidth="1"/>
    <col min="266" max="266" width="9.7109375" style="16" customWidth="1"/>
    <col min="267" max="267" width="9.28515625" style="16" customWidth="1"/>
    <col min="268" max="268" width="9.42578125" style="16" customWidth="1"/>
    <col min="269" max="269" width="8.5703125" style="16" customWidth="1"/>
    <col min="270" max="270" width="8.140625" style="16" customWidth="1"/>
    <col min="271" max="271" width="11.140625" style="16" customWidth="1"/>
    <col min="272" max="276" width="9.140625" style="16"/>
    <col min="277" max="277" width="12.42578125" style="16" customWidth="1"/>
    <col min="278" max="278" width="9.140625" style="16"/>
    <col min="279" max="279" width="12" style="16" customWidth="1"/>
    <col min="280" max="512" width="9.140625" style="16"/>
    <col min="513" max="513" width="5" style="16" customWidth="1"/>
    <col min="514" max="514" width="18" style="16" customWidth="1"/>
    <col min="515" max="515" width="9.28515625" style="16" customWidth="1"/>
    <col min="516" max="516" width="7.5703125" style="16" customWidth="1"/>
    <col min="517" max="517" width="8.5703125" style="16" bestFit="1" customWidth="1"/>
    <col min="518" max="518" width="9.28515625" style="16" bestFit="1" customWidth="1"/>
    <col min="519" max="519" width="8.42578125" style="16" bestFit="1" customWidth="1"/>
    <col min="520" max="520" width="9.7109375" style="16" bestFit="1" customWidth="1"/>
    <col min="521" max="521" width="10.140625" style="16" customWidth="1"/>
    <col min="522" max="522" width="9.7109375" style="16" customWidth="1"/>
    <col min="523" max="523" width="9.28515625" style="16" customWidth="1"/>
    <col min="524" max="524" width="9.42578125" style="16" customWidth="1"/>
    <col min="525" max="525" width="8.5703125" style="16" customWidth="1"/>
    <col min="526" max="526" width="8.140625" style="16" customWidth="1"/>
    <col min="527" max="527" width="11.140625" style="16" customWidth="1"/>
    <col min="528" max="532" width="9.140625" style="16"/>
    <col min="533" max="533" width="12.42578125" style="16" customWidth="1"/>
    <col min="534" max="534" width="9.140625" style="16"/>
    <col min="535" max="535" width="12" style="16" customWidth="1"/>
    <col min="536" max="768" width="9.140625" style="16"/>
    <col min="769" max="769" width="5" style="16" customWidth="1"/>
    <col min="770" max="770" width="18" style="16" customWidth="1"/>
    <col min="771" max="771" width="9.28515625" style="16" customWidth="1"/>
    <col min="772" max="772" width="7.5703125" style="16" customWidth="1"/>
    <col min="773" max="773" width="8.5703125" style="16" bestFit="1" customWidth="1"/>
    <col min="774" max="774" width="9.28515625" style="16" bestFit="1" customWidth="1"/>
    <col min="775" max="775" width="8.42578125" style="16" bestFit="1" customWidth="1"/>
    <col min="776" max="776" width="9.7109375" style="16" bestFit="1" customWidth="1"/>
    <col min="777" max="777" width="10.140625" style="16" customWidth="1"/>
    <col min="778" max="778" width="9.7109375" style="16" customWidth="1"/>
    <col min="779" max="779" width="9.28515625" style="16" customWidth="1"/>
    <col min="780" max="780" width="9.42578125" style="16" customWidth="1"/>
    <col min="781" max="781" width="8.5703125" style="16" customWidth="1"/>
    <col min="782" max="782" width="8.140625" style="16" customWidth="1"/>
    <col min="783" max="783" width="11.140625" style="16" customWidth="1"/>
    <col min="784" max="788" width="9.140625" style="16"/>
    <col min="789" max="789" width="12.42578125" style="16" customWidth="1"/>
    <col min="790" max="790" width="9.140625" style="16"/>
    <col min="791" max="791" width="12" style="16" customWidth="1"/>
    <col min="792" max="1024" width="9.140625" style="16"/>
    <col min="1025" max="1025" width="5" style="16" customWidth="1"/>
    <col min="1026" max="1026" width="18" style="16" customWidth="1"/>
    <col min="1027" max="1027" width="9.28515625" style="16" customWidth="1"/>
    <col min="1028" max="1028" width="7.5703125" style="16" customWidth="1"/>
    <col min="1029" max="1029" width="8.5703125" style="16" bestFit="1" customWidth="1"/>
    <col min="1030" max="1030" width="9.28515625" style="16" bestFit="1" customWidth="1"/>
    <col min="1031" max="1031" width="8.42578125" style="16" bestFit="1" customWidth="1"/>
    <col min="1032" max="1032" width="9.7109375" style="16" bestFit="1" customWidth="1"/>
    <col min="1033" max="1033" width="10.140625" style="16" customWidth="1"/>
    <col min="1034" max="1034" width="9.7109375" style="16" customWidth="1"/>
    <col min="1035" max="1035" width="9.28515625" style="16" customWidth="1"/>
    <col min="1036" max="1036" width="9.42578125" style="16" customWidth="1"/>
    <col min="1037" max="1037" width="8.5703125" style="16" customWidth="1"/>
    <col min="1038" max="1038" width="8.140625" style="16" customWidth="1"/>
    <col min="1039" max="1039" width="11.140625" style="16" customWidth="1"/>
    <col min="1040" max="1044" width="9.140625" style="16"/>
    <col min="1045" max="1045" width="12.42578125" style="16" customWidth="1"/>
    <col min="1046" max="1046" width="9.140625" style="16"/>
    <col min="1047" max="1047" width="12" style="16" customWidth="1"/>
    <col min="1048" max="1280" width="9.140625" style="16"/>
    <col min="1281" max="1281" width="5" style="16" customWidth="1"/>
    <col min="1282" max="1282" width="18" style="16" customWidth="1"/>
    <col min="1283" max="1283" width="9.28515625" style="16" customWidth="1"/>
    <col min="1284" max="1284" width="7.5703125" style="16" customWidth="1"/>
    <col min="1285" max="1285" width="8.5703125" style="16" bestFit="1" customWidth="1"/>
    <col min="1286" max="1286" width="9.28515625" style="16" bestFit="1" customWidth="1"/>
    <col min="1287" max="1287" width="8.42578125" style="16" bestFit="1" customWidth="1"/>
    <col min="1288" max="1288" width="9.7109375" style="16" bestFit="1" customWidth="1"/>
    <col min="1289" max="1289" width="10.140625" style="16" customWidth="1"/>
    <col min="1290" max="1290" width="9.7109375" style="16" customWidth="1"/>
    <col min="1291" max="1291" width="9.28515625" style="16" customWidth="1"/>
    <col min="1292" max="1292" width="9.42578125" style="16" customWidth="1"/>
    <col min="1293" max="1293" width="8.5703125" style="16" customWidth="1"/>
    <col min="1294" max="1294" width="8.140625" style="16" customWidth="1"/>
    <col min="1295" max="1295" width="11.140625" style="16" customWidth="1"/>
    <col min="1296" max="1300" width="9.140625" style="16"/>
    <col min="1301" max="1301" width="12.42578125" style="16" customWidth="1"/>
    <col min="1302" max="1302" width="9.140625" style="16"/>
    <col min="1303" max="1303" width="12" style="16" customWidth="1"/>
    <col min="1304" max="1536" width="9.140625" style="16"/>
    <col min="1537" max="1537" width="5" style="16" customWidth="1"/>
    <col min="1538" max="1538" width="18" style="16" customWidth="1"/>
    <col min="1539" max="1539" width="9.28515625" style="16" customWidth="1"/>
    <col min="1540" max="1540" width="7.5703125" style="16" customWidth="1"/>
    <col min="1541" max="1541" width="8.5703125" style="16" bestFit="1" customWidth="1"/>
    <col min="1542" max="1542" width="9.28515625" style="16" bestFit="1" customWidth="1"/>
    <col min="1543" max="1543" width="8.42578125" style="16" bestFit="1" customWidth="1"/>
    <col min="1544" max="1544" width="9.7109375" style="16" bestFit="1" customWidth="1"/>
    <col min="1545" max="1545" width="10.140625" style="16" customWidth="1"/>
    <col min="1546" max="1546" width="9.7109375" style="16" customWidth="1"/>
    <col min="1547" max="1547" width="9.28515625" style="16" customWidth="1"/>
    <col min="1548" max="1548" width="9.42578125" style="16" customWidth="1"/>
    <col min="1549" max="1549" width="8.5703125" style="16" customWidth="1"/>
    <col min="1550" max="1550" width="8.140625" style="16" customWidth="1"/>
    <col min="1551" max="1551" width="11.140625" style="16" customWidth="1"/>
    <col min="1552" max="1556" width="9.140625" style="16"/>
    <col min="1557" max="1557" width="12.42578125" style="16" customWidth="1"/>
    <col min="1558" max="1558" width="9.140625" style="16"/>
    <col min="1559" max="1559" width="12" style="16" customWidth="1"/>
    <col min="1560" max="1792" width="9.140625" style="16"/>
    <col min="1793" max="1793" width="5" style="16" customWidth="1"/>
    <col min="1794" max="1794" width="18" style="16" customWidth="1"/>
    <col min="1795" max="1795" width="9.28515625" style="16" customWidth="1"/>
    <col min="1796" max="1796" width="7.5703125" style="16" customWidth="1"/>
    <col min="1797" max="1797" width="8.5703125" style="16" bestFit="1" customWidth="1"/>
    <col min="1798" max="1798" width="9.28515625" style="16" bestFit="1" customWidth="1"/>
    <col min="1799" max="1799" width="8.42578125" style="16" bestFit="1" customWidth="1"/>
    <col min="1800" max="1800" width="9.7109375" style="16" bestFit="1" customWidth="1"/>
    <col min="1801" max="1801" width="10.140625" style="16" customWidth="1"/>
    <col min="1802" max="1802" width="9.7109375" style="16" customWidth="1"/>
    <col min="1803" max="1803" width="9.28515625" style="16" customWidth="1"/>
    <col min="1804" max="1804" width="9.42578125" style="16" customWidth="1"/>
    <col min="1805" max="1805" width="8.5703125" style="16" customWidth="1"/>
    <col min="1806" max="1806" width="8.140625" style="16" customWidth="1"/>
    <col min="1807" max="1807" width="11.140625" style="16" customWidth="1"/>
    <col min="1808" max="1812" width="9.140625" style="16"/>
    <col min="1813" max="1813" width="12.42578125" style="16" customWidth="1"/>
    <col min="1814" max="1814" width="9.140625" style="16"/>
    <col min="1815" max="1815" width="12" style="16" customWidth="1"/>
    <col min="1816" max="2048" width="9.140625" style="16"/>
    <col min="2049" max="2049" width="5" style="16" customWidth="1"/>
    <col min="2050" max="2050" width="18" style="16" customWidth="1"/>
    <col min="2051" max="2051" width="9.28515625" style="16" customWidth="1"/>
    <col min="2052" max="2052" width="7.5703125" style="16" customWidth="1"/>
    <col min="2053" max="2053" width="8.5703125" style="16" bestFit="1" customWidth="1"/>
    <col min="2054" max="2054" width="9.28515625" style="16" bestFit="1" customWidth="1"/>
    <col min="2055" max="2055" width="8.42578125" style="16" bestFit="1" customWidth="1"/>
    <col min="2056" max="2056" width="9.7109375" style="16" bestFit="1" customWidth="1"/>
    <col min="2057" max="2057" width="10.140625" style="16" customWidth="1"/>
    <col min="2058" max="2058" width="9.7109375" style="16" customWidth="1"/>
    <col min="2059" max="2059" width="9.28515625" style="16" customWidth="1"/>
    <col min="2060" max="2060" width="9.42578125" style="16" customWidth="1"/>
    <col min="2061" max="2061" width="8.5703125" style="16" customWidth="1"/>
    <col min="2062" max="2062" width="8.140625" style="16" customWidth="1"/>
    <col min="2063" max="2063" width="11.140625" style="16" customWidth="1"/>
    <col min="2064" max="2068" width="9.140625" style="16"/>
    <col min="2069" max="2069" width="12.42578125" style="16" customWidth="1"/>
    <col min="2070" max="2070" width="9.140625" style="16"/>
    <col min="2071" max="2071" width="12" style="16" customWidth="1"/>
    <col min="2072" max="2304" width="9.140625" style="16"/>
    <col min="2305" max="2305" width="5" style="16" customWidth="1"/>
    <col min="2306" max="2306" width="18" style="16" customWidth="1"/>
    <col min="2307" max="2307" width="9.28515625" style="16" customWidth="1"/>
    <col min="2308" max="2308" width="7.5703125" style="16" customWidth="1"/>
    <col min="2309" max="2309" width="8.5703125" style="16" bestFit="1" customWidth="1"/>
    <col min="2310" max="2310" width="9.28515625" style="16" bestFit="1" customWidth="1"/>
    <col min="2311" max="2311" width="8.42578125" style="16" bestFit="1" customWidth="1"/>
    <col min="2312" max="2312" width="9.7109375" style="16" bestFit="1" customWidth="1"/>
    <col min="2313" max="2313" width="10.140625" style="16" customWidth="1"/>
    <col min="2314" max="2314" width="9.7109375" style="16" customWidth="1"/>
    <col min="2315" max="2315" width="9.28515625" style="16" customWidth="1"/>
    <col min="2316" max="2316" width="9.42578125" style="16" customWidth="1"/>
    <col min="2317" max="2317" width="8.5703125" style="16" customWidth="1"/>
    <col min="2318" max="2318" width="8.140625" style="16" customWidth="1"/>
    <col min="2319" max="2319" width="11.140625" style="16" customWidth="1"/>
    <col min="2320" max="2324" width="9.140625" style="16"/>
    <col min="2325" max="2325" width="12.42578125" style="16" customWidth="1"/>
    <col min="2326" max="2326" width="9.140625" style="16"/>
    <col min="2327" max="2327" width="12" style="16" customWidth="1"/>
    <col min="2328" max="2560" width="9.140625" style="16"/>
    <col min="2561" max="2561" width="5" style="16" customWidth="1"/>
    <col min="2562" max="2562" width="18" style="16" customWidth="1"/>
    <col min="2563" max="2563" width="9.28515625" style="16" customWidth="1"/>
    <col min="2564" max="2564" width="7.5703125" style="16" customWidth="1"/>
    <col min="2565" max="2565" width="8.5703125" style="16" bestFit="1" customWidth="1"/>
    <col min="2566" max="2566" width="9.28515625" style="16" bestFit="1" customWidth="1"/>
    <col min="2567" max="2567" width="8.42578125" style="16" bestFit="1" customWidth="1"/>
    <col min="2568" max="2568" width="9.7109375" style="16" bestFit="1" customWidth="1"/>
    <col min="2569" max="2569" width="10.140625" style="16" customWidth="1"/>
    <col min="2570" max="2570" width="9.7109375" style="16" customWidth="1"/>
    <col min="2571" max="2571" width="9.28515625" style="16" customWidth="1"/>
    <col min="2572" max="2572" width="9.42578125" style="16" customWidth="1"/>
    <col min="2573" max="2573" width="8.5703125" style="16" customWidth="1"/>
    <col min="2574" max="2574" width="8.140625" style="16" customWidth="1"/>
    <col min="2575" max="2575" width="11.140625" style="16" customWidth="1"/>
    <col min="2576" max="2580" width="9.140625" style="16"/>
    <col min="2581" max="2581" width="12.42578125" style="16" customWidth="1"/>
    <col min="2582" max="2582" width="9.140625" style="16"/>
    <col min="2583" max="2583" width="12" style="16" customWidth="1"/>
    <col min="2584" max="2816" width="9.140625" style="16"/>
    <col min="2817" max="2817" width="5" style="16" customWidth="1"/>
    <col min="2818" max="2818" width="18" style="16" customWidth="1"/>
    <col min="2819" max="2819" width="9.28515625" style="16" customWidth="1"/>
    <col min="2820" max="2820" width="7.5703125" style="16" customWidth="1"/>
    <col min="2821" max="2821" width="8.5703125" style="16" bestFit="1" customWidth="1"/>
    <col min="2822" max="2822" width="9.28515625" style="16" bestFit="1" customWidth="1"/>
    <col min="2823" max="2823" width="8.42578125" style="16" bestFit="1" customWidth="1"/>
    <col min="2824" max="2824" width="9.7109375" style="16" bestFit="1" customWidth="1"/>
    <col min="2825" max="2825" width="10.140625" style="16" customWidth="1"/>
    <col min="2826" max="2826" width="9.7109375" style="16" customWidth="1"/>
    <col min="2827" max="2827" width="9.28515625" style="16" customWidth="1"/>
    <col min="2828" max="2828" width="9.42578125" style="16" customWidth="1"/>
    <col min="2829" max="2829" width="8.5703125" style="16" customWidth="1"/>
    <col min="2830" max="2830" width="8.140625" style="16" customWidth="1"/>
    <col min="2831" max="2831" width="11.140625" style="16" customWidth="1"/>
    <col min="2832" max="2836" width="9.140625" style="16"/>
    <col min="2837" max="2837" width="12.42578125" style="16" customWidth="1"/>
    <col min="2838" max="2838" width="9.140625" style="16"/>
    <col min="2839" max="2839" width="12" style="16" customWidth="1"/>
    <col min="2840" max="3072" width="9.140625" style="16"/>
    <col min="3073" max="3073" width="5" style="16" customWidth="1"/>
    <col min="3074" max="3074" width="18" style="16" customWidth="1"/>
    <col min="3075" max="3075" width="9.28515625" style="16" customWidth="1"/>
    <col min="3076" max="3076" width="7.5703125" style="16" customWidth="1"/>
    <col min="3077" max="3077" width="8.5703125" style="16" bestFit="1" customWidth="1"/>
    <col min="3078" max="3078" width="9.28515625" style="16" bestFit="1" customWidth="1"/>
    <col min="3079" max="3079" width="8.42578125" style="16" bestFit="1" customWidth="1"/>
    <col min="3080" max="3080" width="9.7109375" style="16" bestFit="1" customWidth="1"/>
    <col min="3081" max="3081" width="10.140625" style="16" customWidth="1"/>
    <col min="3082" max="3082" width="9.7109375" style="16" customWidth="1"/>
    <col min="3083" max="3083" width="9.28515625" style="16" customWidth="1"/>
    <col min="3084" max="3084" width="9.42578125" style="16" customWidth="1"/>
    <col min="3085" max="3085" width="8.5703125" style="16" customWidth="1"/>
    <col min="3086" max="3086" width="8.140625" style="16" customWidth="1"/>
    <col min="3087" max="3087" width="11.140625" style="16" customWidth="1"/>
    <col min="3088" max="3092" width="9.140625" style="16"/>
    <col min="3093" max="3093" width="12.42578125" style="16" customWidth="1"/>
    <col min="3094" max="3094" width="9.140625" style="16"/>
    <col min="3095" max="3095" width="12" style="16" customWidth="1"/>
    <col min="3096" max="3328" width="9.140625" style="16"/>
    <col min="3329" max="3329" width="5" style="16" customWidth="1"/>
    <col min="3330" max="3330" width="18" style="16" customWidth="1"/>
    <col min="3331" max="3331" width="9.28515625" style="16" customWidth="1"/>
    <col min="3332" max="3332" width="7.5703125" style="16" customWidth="1"/>
    <col min="3333" max="3333" width="8.5703125" style="16" bestFit="1" customWidth="1"/>
    <col min="3334" max="3334" width="9.28515625" style="16" bestFit="1" customWidth="1"/>
    <col min="3335" max="3335" width="8.42578125" style="16" bestFit="1" customWidth="1"/>
    <col min="3336" max="3336" width="9.7109375" style="16" bestFit="1" customWidth="1"/>
    <col min="3337" max="3337" width="10.140625" style="16" customWidth="1"/>
    <col min="3338" max="3338" width="9.7109375" style="16" customWidth="1"/>
    <col min="3339" max="3339" width="9.28515625" style="16" customWidth="1"/>
    <col min="3340" max="3340" width="9.42578125" style="16" customWidth="1"/>
    <col min="3341" max="3341" width="8.5703125" style="16" customWidth="1"/>
    <col min="3342" max="3342" width="8.140625" style="16" customWidth="1"/>
    <col min="3343" max="3343" width="11.140625" style="16" customWidth="1"/>
    <col min="3344" max="3348" width="9.140625" style="16"/>
    <col min="3349" max="3349" width="12.42578125" style="16" customWidth="1"/>
    <col min="3350" max="3350" width="9.140625" style="16"/>
    <col min="3351" max="3351" width="12" style="16" customWidth="1"/>
    <col min="3352" max="3584" width="9.140625" style="16"/>
    <col min="3585" max="3585" width="5" style="16" customWidth="1"/>
    <col min="3586" max="3586" width="18" style="16" customWidth="1"/>
    <col min="3587" max="3587" width="9.28515625" style="16" customWidth="1"/>
    <col min="3588" max="3588" width="7.5703125" style="16" customWidth="1"/>
    <col min="3589" max="3589" width="8.5703125" style="16" bestFit="1" customWidth="1"/>
    <col min="3590" max="3590" width="9.28515625" style="16" bestFit="1" customWidth="1"/>
    <col min="3591" max="3591" width="8.42578125" style="16" bestFit="1" customWidth="1"/>
    <col min="3592" max="3592" width="9.7109375" style="16" bestFit="1" customWidth="1"/>
    <col min="3593" max="3593" width="10.140625" style="16" customWidth="1"/>
    <col min="3594" max="3594" width="9.7109375" style="16" customWidth="1"/>
    <col min="3595" max="3595" width="9.28515625" style="16" customWidth="1"/>
    <col min="3596" max="3596" width="9.42578125" style="16" customWidth="1"/>
    <col min="3597" max="3597" width="8.5703125" style="16" customWidth="1"/>
    <col min="3598" max="3598" width="8.140625" style="16" customWidth="1"/>
    <col min="3599" max="3599" width="11.140625" style="16" customWidth="1"/>
    <col min="3600" max="3604" width="9.140625" style="16"/>
    <col min="3605" max="3605" width="12.42578125" style="16" customWidth="1"/>
    <col min="3606" max="3606" width="9.140625" style="16"/>
    <col min="3607" max="3607" width="12" style="16" customWidth="1"/>
    <col min="3608" max="3840" width="9.140625" style="16"/>
    <col min="3841" max="3841" width="5" style="16" customWidth="1"/>
    <col min="3842" max="3842" width="18" style="16" customWidth="1"/>
    <col min="3843" max="3843" width="9.28515625" style="16" customWidth="1"/>
    <col min="3844" max="3844" width="7.5703125" style="16" customWidth="1"/>
    <col min="3845" max="3845" width="8.5703125" style="16" bestFit="1" customWidth="1"/>
    <col min="3846" max="3846" width="9.28515625" style="16" bestFit="1" customWidth="1"/>
    <col min="3847" max="3847" width="8.42578125" style="16" bestFit="1" customWidth="1"/>
    <col min="3848" max="3848" width="9.7109375" style="16" bestFit="1" customWidth="1"/>
    <col min="3849" max="3849" width="10.140625" style="16" customWidth="1"/>
    <col min="3850" max="3850" width="9.7109375" style="16" customWidth="1"/>
    <col min="3851" max="3851" width="9.28515625" style="16" customWidth="1"/>
    <col min="3852" max="3852" width="9.42578125" style="16" customWidth="1"/>
    <col min="3853" max="3853" width="8.5703125" style="16" customWidth="1"/>
    <col min="3854" max="3854" width="8.140625" style="16" customWidth="1"/>
    <col min="3855" max="3855" width="11.140625" style="16" customWidth="1"/>
    <col min="3856" max="3860" width="9.140625" style="16"/>
    <col min="3861" max="3861" width="12.42578125" style="16" customWidth="1"/>
    <col min="3862" max="3862" width="9.140625" style="16"/>
    <col min="3863" max="3863" width="12" style="16" customWidth="1"/>
    <col min="3864" max="4096" width="9.140625" style="16"/>
    <col min="4097" max="4097" width="5" style="16" customWidth="1"/>
    <col min="4098" max="4098" width="18" style="16" customWidth="1"/>
    <col min="4099" max="4099" width="9.28515625" style="16" customWidth="1"/>
    <col min="4100" max="4100" width="7.5703125" style="16" customWidth="1"/>
    <col min="4101" max="4101" width="8.5703125" style="16" bestFit="1" customWidth="1"/>
    <col min="4102" max="4102" width="9.28515625" style="16" bestFit="1" customWidth="1"/>
    <col min="4103" max="4103" width="8.42578125" style="16" bestFit="1" customWidth="1"/>
    <col min="4104" max="4104" width="9.7109375" style="16" bestFit="1" customWidth="1"/>
    <col min="4105" max="4105" width="10.140625" style="16" customWidth="1"/>
    <col min="4106" max="4106" width="9.7109375" style="16" customWidth="1"/>
    <col min="4107" max="4107" width="9.28515625" style="16" customWidth="1"/>
    <col min="4108" max="4108" width="9.42578125" style="16" customWidth="1"/>
    <col min="4109" max="4109" width="8.5703125" style="16" customWidth="1"/>
    <col min="4110" max="4110" width="8.140625" style="16" customWidth="1"/>
    <col min="4111" max="4111" width="11.140625" style="16" customWidth="1"/>
    <col min="4112" max="4116" width="9.140625" style="16"/>
    <col min="4117" max="4117" width="12.42578125" style="16" customWidth="1"/>
    <col min="4118" max="4118" width="9.140625" style="16"/>
    <col min="4119" max="4119" width="12" style="16" customWidth="1"/>
    <col min="4120" max="4352" width="9.140625" style="16"/>
    <col min="4353" max="4353" width="5" style="16" customWidth="1"/>
    <col min="4354" max="4354" width="18" style="16" customWidth="1"/>
    <col min="4355" max="4355" width="9.28515625" style="16" customWidth="1"/>
    <col min="4356" max="4356" width="7.5703125" style="16" customWidth="1"/>
    <col min="4357" max="4357" width="8.5703125" style="16" bestFit="1" customWidth="1"/>
    <col min="4358" max="4358" width="9.28515625" style="16" bestFit="1" customWidth="1"/>
    <col min="4359" max="4359" width="8.42578125" style="16" bestFit="1" customWidth="1"/>
    <col min="4360" max="4360" width="9.7109375" style="16" bestFit="1" customWidth="1"/>
    <col min="4361" max="4361" width="10.140625" style="16" customWidth="1"/>
    <col min="4362" max="4362" width="9.7109375" style="16" customWidth="1"/>
    <col min="4363" max="4363" width="9.28515625" style="16" customWidth="1"/>
    <col min="4364" max="4364" width="9.42578125" style="16" customWidth="1"/>
    <col min="4365" max="4365" width="8.5703125" style="16" customWidth="1"/>
    <col min="4366" max="4366" width="8.140625" style="16" customWidth="1"/>
    <col min="4367" max="4367" width="11.140625" style="16" customWidth="1"/>
    <col min="4368" max="4372" width="9.140625" style="16"/>
    <col min="4373" max="4373" width="12.42578125" style="16" customWidth="1"/>
    <col min="4374" max="4374" width="9.140625" style="16"/>
    <col min="4375" max="4375" width="12" style="16" customWidth="1"/>
    <col min="4376" max="4608" width="9.140625" style="16"/>
    <col min="4609" max="4609" width="5" style="16" customWidth="1"/>
    <col min="4610" max="4610" width="18" style="16" customWidth="1"/>
    <col min="4611" max="4611" width="9.28515625" style="16" customWidth="1"/>
    <col min="4612" max="4612" width="7.5703125" style="16" customWidth="1"/>
    <col min="4613" max="4613" width="8.5703125" style="16" bestFit="1" customWidth="1"/>
    <col min="4614" max="4614" width="9.28515625" style="16" bestFit="1" customWidth="1"/>
    <col min="4615" max="4615" width="8.42578125" style="16" bestFit="1" customWidth="1"/>
    <col min="4616" max="4616" width="9.7109375" style="16" bestFit="1" customWidth="1"/>
    <col min="4617" max="4617" width="10.140625" style="16" customWidth="1"/>
    <col min="4618" max="4618" width="9.7109375" style="16" customWidth="1"/>
    <col min="4619" max="4619" width="9.28515625" style="16" customWidth="1"/>
    <col min="4620" max="4620" width="9.42578125" style="16" customWidth="1"/>
    <col min="4621" max="4621" width="8.5703125" style="16" customWidth="1"/>
    <col min="4622" max="4622" width="8.140625" style="16" customWidth="1"/>
    <col min="4623" max="4623" width="11.140625" style="16" customWidth="1"/>
    <col min="4624" max="4628" width="9.140625" style="16"/>
    <col min="4629" max="4629" width="12.42578125" style="16" customWidth="1"/>
    <col min="4630" max="4630" width="9.140625" style="16"/>
    <col min="4631" max="4631" width="12" style="16" customWidth="1"/>
    <col min="4632" max="4864" width="9.140625" style="16"/>
    <col min="4865" max="4865" width="5" style="16" customWidth="1"/>
    <col min="4866" max="4866" width="18" style="16" customWidth="1"/>
    <col min="4867" max="4867" width="9.28515625" style="16" customWidth="1"/>
    <col min="4868" max="4868" width="7.5703125" style="16" customWidth="1"/>
    <col min="4869" max="4869" width="8.5703125" style="16" bestFit="1" customWidth="1"/>
    <col min="4870" max="4870" width="9.28515625" style="16" bestFit="1" customWidth="1"/>
    <col min="4871" max="4871" width="8.42578125" style="16" bestFit="1" customWidth="1"/>
    <col min="4872" max="4872" width="9.7109375" style="16" bestFit="1" customWidth="1"/>
    <col min="4873" max="4873" width="10.140625" style="16" customWidth="1"/>
    <col min="4874" max="4874" width="9.7109375" style="16" customWidth="1"/>
    <col min="4875" max="4875" width="9.28515625" style="16" customWidth="1"/>
    <col min="4876" max="4876" width="9.42578125" style="16" customWidth="1"/>
    <col min="4877" max="4877" width="8.5703125" style="16" customWidth="1"/>
    <col min="4878" max="4878" width="8.140625" style="16" customWidth="1"/>
    <col min="4879" max="4879" width="11.140625" style="16" customWidth="1"/>
    <col min="4880" max="4884" width="9.140625" style="16"/>
    <col min="4885" max="4885" width="12.42578125" style="16" customWidth="1"/>
    <col min="4886" max="4886" width="9.140625" style="16"/>
    <col min="4887" max="4887" width="12" style="16" customWidth="1"/>
    <col min="4888" max="5120" width="9.140625" style="16"/>
    <col min="5121" max="5121" width="5" style="16" customWidth="1"/>
    <col min="5122" max="5122" width="18" style="16" customWidth="1"/>
    <col min="5123" max="5123" width="9.28515625" style="16" customWidth="1"/>
    <col min="5124" max="5124" width="7.5703125" style="16" customWidth="1"/>
    <col min="5125" max="5125" width="8.5703125" style="16" bestFit="1" customWidth="1"/>
    <col min="5126" max="5126" width="9.28515625" style="16" bestFit="1" customWidth="1"/>
    <col min="5127" max="5127" width="8.42578125" style="16" bestFit="1" customWidth="1"/>
    <col min="5128" max="5128" width="9.7109375" style="16" bestFit="1" customWidth="1"/>
    <col min="5129" max="5129" width="10.140625" style="16" customWidth="1"/>
    <col min="5130" max="5130" width="9.7109375" style="16" customWidth="1"/>
    <col min="5131" max="5131" width="9.28515625" style="16" customWidth="1"/>
    <col min="5132" max="5132" width="9.42578125" style="16" customWidth="1"/>
    <col min="5133" max="5133" width="8.5703125" style="16" customWidth="1"/>
    <col min="5134" max="5134" width="8.140625" style="16" customWidth="1"/>
    <col min="5135" max="5135" width="11.140625" style="16" customWidth="1"/>
    <col min="5136" max="5140" width="9.140625" style="16"/>
    <col min="5141" max="5141" width="12.42578125" style="16" customWidth="1"/>
    <col min="5142" max="5142" width="9.140625" style="16"/>
    <col min="5143" max="5143" width="12" style="16" customWidth="1"/>
    <col min="5144" max="5376" width="9.140625" style="16"/>
    <col min="5377" max="5377" width="5" style="16" customWidth="1"/>
    <col min="5378" max="5378" width="18" style="16" customWidth="1"/>
    <col min="5379" max="5379" width="9.28515625" style="16" customWidth="1"/>
    <col min="5380" max="5380" width="7.5703125" style="16" customWidth="1"/>
    <col min="5381" max="5381" width="8.5703125" style="16" bestFit="1" customWidth="1"/>
    <col min="5382" max="5382" width="9.28515625" style="16" bestFit="1" customWidth="1"/>
    <col min="5383" max="5383" width="8.42578125" style="16" bestFit="1" customWidth="1"/>
    <col min="5384" max="5384" width="9.7109375" style="16" bestFit="1" customWidth="1"/>
    <col min="5385" max="5385" width="10.140625" style="16" customWidth="1"/>
    <col min="5386" max="5386" width="9.7109375" style="16" customWidth="1"/>
    <col min="5387" max="5387" width="9.28515625" style="16" customWidth="1"/>
    <col min="5388" max="5388" width="9.42578125" style="16" customWidth="1"/>
    <col min="5389" max="5389" width="8.5703125" style="16" customWidth="1"/>
    <col min="5390" max="5390" width="8.140625" style="16" customWidth="1"/>
    <col min="5391" max="5391" width="11.140625" style="16" customWidth="1"/>
    <col min="5392" max="5396" width="9.140625" style="16"/>
    <col min="5397" max="5397" width="12.42578125" style="16" customWidth="1"/>
    <col min="5398" max="5398" width="9.140625" style="16"/>
    <col min="5399" max="5399" width="12" style="16" customWidth="1"/>
    <col min="5400" max="5632" width="9.140625" style="16"/>
    <col min="5633" max="5633" width="5" style="16" customWidth="1"/>
    <col min="5634" max="5634" width="18" style="16" customWidth="1"/>
    <col min="5635" max="5635" width="9.28515625" style="16" customWidth="1"/>
    <col min="5636" max="5636" width="7.5703125" style="16" customWidth="1"/>
    <col min="5637" max="5637" width="8.5703125" style="16" bestFit="1" customWidth="1"/>
    <col min="5638" max="5638" width="9.28515625" style="16" bestFit="1" customWidth="1"/>
    <col min="5639" max="5639" width="8.42578125" style="16" bestFit="1" customWidth="1"/>
    <col min="5640" max="5640" width="9.7109375" style="16" bestFit="1" customWidth="1"/>
    <col min="5641" max="5641" width="10.140625" style="16" customWidth="1"/>
    <col min="5642" max="5642" width="9.7109375" style="16" customWidth="1"/>
    <col min="5643" max="5643" width="9.28515625" style="16" customWidth="1"/>
    <col min="5644" max="5644" width="9.42578125" style="16" customWidth="1"/>
    <col min="5645" max="5645" width="8.5703125" style="16" customWidth="1"/>
    <col min="5646" max="5646" width="8.140625" style="16" customWidth="1"/>
    <col min="5647" max="5647" width="11.140625" style="16" customWidth="1"/>
    <col min="5648" max="5652" width="9.140625" style="16"/>
    <col min="5653" max="5653" width="12.42578125" style="16" customWidth="1"/>
    <col min="5654" max="5654" width="9.140625" style="16"/>
    <col min="5655" max="5655" width="12" style="16" customWidth="1"/>
    <col min="5656" max="5888" width="9.140625" style="16"/>
    <col min="5889" max="5889" width="5" style="16" customWidth="1"/>
    <col min="5890" max="5890" width="18" style="16" customWidth="1"/>
    <col min="5891" max="5891" width="9.28515625" style="16" customWidth="1"/>
    <col min="5892" max="5892" width="7.5703125" style="16" customWidth="1"/>
    <col min="5893" max="5893" width="8.5703125" style="16" bestFit="1" customWidth="1"/>
    <col min="5894" max="5894" width="9.28515625" style="16" bestFit="1" customWidth="1"/>
    <col min="5895" max="5895" width="8.42578125" style="16" bestFit="1" customWidth="1"/>
    <col min="5896" max="5896" width="9.7109375" style="16" bestFit="1" customWidth="1"/>
    <col min="5897" max="5897" width="10.140625" style="16" customWidth="1"/>
    <col min="5898" max="5898" width="9.7109375" style="16" customWidth="1"/>
    <col min="5899" max="5899" width="9.28515625" style="16" customWidth="1"/>
    <col min="5900" max="5900" width="9.42578125" style="16" customWidth="1"/>
    <col min="5901" max="5901" width="8.5703125" style="16" customWidth="1"/>
    <col min="5902" max="5902" width="8.140625" style="16" customWidth="1"/>
    <col min="5903" max="5903" width="11.140625" style="16" customWidth="1"/>
    <col min="5904" max="5908" width="9.140625" style="16"/>
    <col min="5909" max="5909" width="12.42578125" style="16" customWidth="1"/>
    <col min="5910" max="5910" width="9.140625" style="16"/>
    <col min="5911" max="5911" width="12" style="16" customWidth="1"/>
    <col min="5912" max="6144" width="9.140625" style="16"/>
    <col min="6145" max="6145" width="5" style="16" customWidth="1"/>
    <col min="6146" max="6146" width="18" style="16" customWidth="1"/>
    <col min="6147" max="6147" width="9.28515625" style="16" customWidth="1"/>
    <col min="6148" max="6148" width="7.5703125" style="16" customWidth="1"/>
    <col min="6149" max="6149" width="8.5703125" style="16" bestFit="1" customWidth="1"/>
    <col min="6150" max="6150" width="9.28515625" style="16" bestFit="1" customWidth="1"/>
    <col min="6151" max="6151" width="8.42578125" style="16" bestFit="1" customWidth="1"/>
    <col min="6152" max="6152" width="9.7109375" style="16" bestFit="1" customWidth="1"/>
    <col min="6153" max="6153" width="10.140625" style="16" customWidth="1"/>
    <col min="6154" max="6154" width="9.7109375" style="16" customWidth="1"/>
    <col min="6155" max="6155" width="9.28515625" style="16" customWidth="1"/>
    <col min="6156" max="6156" width="9.42578125" style="16" customWidth="1"/>
    <col min="6157" max="6157" width="8.5703125" style="16" customWidth="1"/>
    <col min="6158" max="6158" width="8.140625" style="16" customWidth="1"/>
    <col min="6159" max="6159" width="11.140625" style="16" customWidth="1"/>
    <col min="6160" max="6164" width="9.140625" style="16"/>
    <col min="6165" max="6165" width="12.42578125" style="16" customWidth="1"/>
    <col min="6166" max="6166" width="9.140625" style="16"/>
    <col min="6167" max="6167" width="12" style="16" customWidth="1"/>
    <col min="6168" max="6400" width="9.140625" style="16"/>
    <col min="6401" max="6401" width="5" style="16" customWidth="1"/>
    <col min="6402" max="6402" width="18" style="16" customWidth="1"/>
    <col min="6403" max="6403" width="9.28515625" style="16" customWidth="1"/>
    <col min="6404" max="6404" width="7.5703125" style="16" customWidth="1"/>
    <col min="6405" max="6405" width="8.5703125" style="16" bestFit="1" customWidth="1"/>
    <col min="6406" max="6406" width="9.28515625" style="16" bestFit="1" customWidth="1"/>
    <col min="6407" max="6407" width="8.42578125" style="16" bestFit="1" customWidth="1"/>
    <col min="6408" max="6408" width="9.7109375" style="16" bestFit="1" customWidth="1"/>
    <col min="6409" max="6409" width="10.140625" style="16" customWidth="1"/>
    <col min="6410" max="6410" width="9.7109375" style="16" customWidth="1"/>
    <col min="6411" max="6411" width="9.28515625" style="16" customWidth="1"/>
    <col min="6412" max="6412" width="9.42578125" style="16" customWidth="1"/>
    <col min="6413" max="6413" width="8.5703125" style="16" customWidth="1"/>
    <col min="6414" max="6414" width="8.140625" style="16" customWidth="1"/>
    <col min="6415" max="6415" width="11.140625" style="16" customWidth="1"/>
    <col min="6416" max="6420" width="9.140625" style="16"/>
    <col min="6421" max="6421" width="12.42578125" style="16" customWidth="1"/>
    <col min="6422" max="6422" width="9.140625" style="16"/>
    <col min="6423" max="6423" width="12" style="16" customWidth="1"/>
    <col min="6424" max="6656" width="9.140625" style="16"/>
    <col min="6657" max="6657" width="5" style="16" customWidth="1"/>
    <col min="6658" max="6658" width="18" style="16" customWidth="1"/>
    <col min="6659" max="6659" width="9.28515625" style="16" customWidth="1"/>
    <col min="6660" max="6660" width="7.5703125" style="16" customWidth="1"/>
    <col min="6661" max="6661" width="8.5703125" style="16" bestFit="1" customWidth="1"/>
    <col min="6662" max="6662" width="9.28515625" style="16" bestFit="1" customWidth="1"/>
    <col min="6663" max="6663" width="8.42578125" style="16" bestFit="1" customWidth="1"/>
    <col min="6664" max="6664" width="9.7109375" style="16" bestFit="1" customWidth="1"/>
    <col min="6665" max="6665" width="10.140625" style="16" customWidth="1"/>
    <col min="6666" max="6666" width="9.7109375" style="16" customWidth="1"/>
    <col min="6667" max="6667" width="9.28515625" style="16" customWidth="1"/>
    <col min="6668" max="6668" width="9.42578125" style="16" customWidth="1"/>
    <col min="6669" max="6669" width="8.5703125" style="16" customWidth="1"/>
    <col min="6670" max="6670" width="8.140625" style="16" customWidth="1"/>
    <col min="6671" max="6671" width="11.140625" style="16" customWidth="1"/>
    <col min="6672" max="6676" width="9.140625" style="16"/>
    <col min="6677" max="6677" width="12.42578125" style="16" customWidth="1"/>
    <col min="6678" max="6678" width="9.140625" style="16"/>
    <col min="6679" max="6679" width="12" style="16" customWidth="1"/>
    <col min="6680" max="6912" width="9.140625" style="16"/>
    <col min="6913" max="6913" width="5" style="16" customWidth="1"/>
    <col min="6914" max="6914" width="18" style="16" customWidth="1"/>
    <col min="6915" max="6915" width="9.28515625" style="16" customWidth="1"/>
    <col min="6916" max="6916" width="7.5703125" style="16" customWidth="1"/>
    <col min="6917" max="6917" width="8.5703125" style="16" bestFit="1" customWidth="1"/>
    <col min="6918" max="6918" width="9.28515625" style="16" bestFit="1" customWidth="1"/>
    <col min="6919" max="6919" width="8.42578125" style="16" bestFit="1" customWidth="1"/>
    <col min="6920" max="6920" width="9.7109375" style="16" bestFit="1" customWidth="1"/>
    <col min="6921" max="6921" width="10.140625" style="16" customWidth="1"/>
    <col min="6922" max="6922" width="9.7109375" style="16" customWidth="1"/>
    <col min="6923" max="6923" width="9.28515625" style="16" customWidth="1"/>
    <col min="6924" max="6924" width="9.42578125" style="16" customWidth="1"/>
    <col min="6925" max="6925" width="8.5703125" style="16" customWidth="1"/>
    <col min="6926" max="6926" width="8.140625" style="16" customWidth="1"/>
    <col min="6927" max="6927" width="11.140625" style="16" customWidth="1"/>
    <col min="6928" max="6932" width="9.140625" style="16"/>
    <col min="6933" max="6933" width="12.42578125" style="16" customWidth="1"/>
    <col min="6934" max="6934" width="9.140625" style="16"/>
    <col min="6935" max="6935" width="12" style="16" customWidth="1"/>
    <col min="6936" max="7168" width="9.140625" style="16"/>
    <col min="7169" max="7169" width="5" style="16" customWidth="1"/>
    <col min="7170" max="7170" width="18" style="16" customWidth="1"/>
    <col min="7171" max="7171" width="9.28515625" style="16" customWidth="1"/>
    <col min="7172" max="7172" width="7.5703125" style="16" customWidth="1"/>
    <col min="7173" max="7173" width="8.5703125" style="16" bestFit="1" customWidth="1"/>
    <col min="7174" max="7174" width="9.28515625" style="16" bestFit="1" customWidth="1"/>
    <col min="7175" max="7175" width="8.42578125" style="16" bestFit="1" customWidth="1"/>
    <col min="7176" max="7176" width="9.7109375" style="16" bestFit="1" customWidth="1"/>
    <col min="7177" max="7177" width="10.140625" style="16" customWidth="1"/>
    <col min="7178" max="7178" width="9.7109375" style="16" customWidth="1"/>
    <col min="7179" max="7179" width="9.28515625" style="16" customWidth="1"/>
    <col min="7180" max="7180" width="9.42578125" style="16" customWidth="1"/>
    <col min="7181" max="7181" width="8.5703125" style="16" customWidth="1"/>
    <col min="7182" max="7182" width="8.140625" style="16" customWidth="1"/>
    <col min="7183" max="7183" width="11.140625" style="16" customWidth="1"/>
    <col min="7184" max="7188" width="9.140625" style="16"/>
    <col min="7189" max="7189" width="12.42578125" style="16" customWidth="1"/>
    <col min="7190" max="7190" width="9.140625" style="16"/>
    <col min="7191" max="7191" width="12" style="16" customWidth="1"/>
    <col min="7192" max="7424" width="9.140625" style="16"/>
    <col min="7425" max="7425" width="5" style="16" customWidth="1"/>
    <col min="7426" max="7426" width="18" style="16" customWidth="1"/>
    <col min="7427" max="7427" width="9.28515625" style="16" customWidth="1"/>
    <col min="7428" max="7428" width="7.5703125" style="16" customWidth="1"/>
    <col min="7429" max="7429" width="8.5703125" style="16" bestFit="1" customWidth="1"/>
    <col min="7430" max="7430" width="9.28515625" style="16" bestFit="1" customWidth="1"/>
    <col min="7431" max="7431" width="8.42578125" style="16" bestFit="1" customWidth="1"/>
    <col min="7432" max="7432" width="9.7109375" style="16" bestFit="1" customWidth="1"/>
    <col min="7433" max="7433" width="10.140625" style="16" customWidth="1"/>
    <col min="7434" max="7434" width="9.7109375" style="16" customWidth="1"/>
    <col min="7435" max="7435" width="9.28515625" style="16" customWidth="1"/>
    <col min="7436" max="7436" width="9.42578125" style="16" customWidth="1"/>
    <col min="7437" max="7437" width="8.5703125" style="16" customWidth="1"/>
    <col min="7438" max="7438" width="8.140625" style="16" customWidth="1"/>
    <col min="7439" max="7439" width="11.140625" style="16" customWidth="1"/>
    <col min="7440" max="7444" width="9.140625" style="16"/>
    <col min="7445" max="7445" width="12.42578125" style="16" customWidth="1"/>
    <col min="7446" max="7446" width="9.140625" style="16"/>
    <col min="7447" max="7447" width="12" style="16" customWidth="1"/>
    <col min="7448" max="7680" width="9.140625" style="16"/>
    <col min="7681" max="7681" width="5" style="16" customWidth="1"/>
    <col min="7682" max="7682" width="18" style="16" customWidth="1"/>
    <col min="7683" max="7683" width="9.28515625" style="16" customWidth="1"/>
    <col min="7684" max="7684" width="7.5703125" style="16" customWidth="1"/>
    <col min="7685" max="7685" width="8.5703125" style="16" bestFit="1" customWidth="1"/>
    <col min="7686" max="7686" width="9.28515625" style="16" bestFit="1" customWidth="1"/>
    <col min="7687" max="7687" width="8.42578125" style="16" bestFit="1" customWidth="1"/>
    <col min="7688" max="7688" width="9.7109375" style="16" bestFit="1" customWidth="1"/>
    <col min="7689" max="7689" width="10.140625" style="16" customWidth="1"/>
    <col min="7690" max="7690" width="9.7109375" style="16" customWidth="1"/>
    <col min="7691" max="7691" width="9.28515625" style="16" customWidth="1"/>
    <col min="7692" max="7692" width="9.42578125" style="16" customWidth="1"/>
    <col min="7693" max="7693" width="8.5703125" style="16" customWidth="1"/>
    <col min="7694" max="7694" width="8.140625" style="16" customWidth="1"/>
    <col min="7695" max="7695" width="11.140625" style="16" customWidth="1"/>
    <col min="7696" max="7700" width="9.140625" style="16"/>
    <col min="7701" max="7701" width="12.42578125" style="16" customWidth="1"/>
    <col min="7702" max="7702" width="9.140625" style="16"/>
    <col min="7703" max="7703" width="12" style="16" customWidth="1"/>
    <col min="7704" max="7936" width="9.140625" style="16"/>
    <col min="7937" max="7937" width="5" style="16" customWidth="1"/>
    <col min="7938" max="7938" width="18" style="16" customWidth="1"/>
    <col min="7939" max="7939" width="9.28515625" style="16" customWidth="1"/>
    <col min="7940" max="7940" width="7.5703125" style="16" customWidth="1"/>
    <col min="7941" max="7941" width="8.5703125" style="16" bestFit="1" customWidth="1"/>
    <col min="7942" max="7942" width="9.28515625" style="16" bestFit="1" customWidth="1"/>
    <col min="7943" max="7943" width="8.42578125" style="16" bestFit="1" customWidth="1"/>
    <col min="7944" max="7944" width="9.7109375" style="16" bestFit="1" customWidth="1"/>
    <col min="7945" max="7945" width="10.140625" style="16" customWidth="1"/>
    <col min="7946" max="7946" width="9.7109375" style="16" customWidth="1"/>
    <col min="7947" max="7947" width="9.28515625" style="16" customWidth="1"/>
    <col min="7948" max="7948" width="9.42578125" style="16" customWidth="1"/>
    <col min="7949" max="7949" width="8.5703125" style="16" customWidth="1"/>
    <col min="7950" max="7950" width="8.140625" style="16" customWidth="1"/>
    <col min="7951" max="7951" width="11.140625" style="16" customWidth="1"/>
    <col min="7952" max="7956" width="9.140625" style="16"/>
    <col min="7957" max="7957" width="12.42578125" style="16" customWidth="1"/>
    <col min="7958" max="7958" width="9.140625" style="16"/>
    <col min="7959" max="7959" width="12" style="16" customWidth="1"/>
    <col min="7960" max="8192" width="9.140625" style="16"/>
    <col min="8193" max="8193" width="5" style="16" customWidth="1"/>
    <col min="8194" max="8194" width="18" style="16" customWidth="1"/>
    <col min="8195" max="8195" width="9.28515625" style="16" customWidth="1"/>
    <col min="8196" max="8196" width="7.5703125" style="16" customWidth="1"/>
    <col min="8197" max="8197" width="8.5703125" style="16" bestFit="1" customWidth="1"/>
    <col min="8198" max="8198" width="9.28515625" style="16" bestFit="1" customWidth="1"/>
    <col min="8199" max="8199" width="8.42578125" style="16" bestFit="1" customWidth="1"/>
    <col min="8200" max="8200" width="9.7109375" style="16" bestFit="1" customWidth="1"/>
    <col min="8201" max="8201" width="10.140625" style="16" customWidth="1"/>
    <col min="8202" max="8202" width="9.7109375" style="16" customWidth="1"/>
    <col min="8203" max="8203" width="9.28515625" style="16" customWidth="1"/>
    <col min="8204" max="8204" width="9.42578125" style="16" customWidth="1"/>
    <col min="8205" max="8205" width="8.5703125" style="16" customWidth="1"/>
    <col min="8206" max="8206" width="8.140625" style="16" customWidth="1"/>
    <col min="8207" max="8207" width="11.140625" style="16" customWidth="1"/>
    <col min="8208" max="8212" width="9.140625" style="16"/>
    <col min="8213" max="8213" width="12.42578125" style="16" customWidth="1"/>
    <col min="8214" max="8214" width="9.140625" style="16"/>
    <col min="8215" max="8215" width="12" style="16" customWidth="1"/>
    <col min="8216" max="8448" width="9.140625" style="16"/>
    <col min="8449" max="8449" width="5" style="16" customWidth="1"/>
    <col min="8450" max="8450" width="18" style="16" customWidth="1"/>
    <col min="8451" max="8451" width="9.28515625" style="16" customWidth="1"/>
    <col min="8452" max="8452" width="7.5703125" style="16" customWidth="1"/>
    <col min="8453" max="8453" width="8.5703125" style="16" bestFit="1" customWidth="1"/>
    <col min="8454" max="8454" width="9.28515625" style="16" bestFit="1" customWidth="1"/>
    <col min="8455" max="8455" width="8.42578125" style="16" bestFit="1" customWidth="1"/>
    <col min="8456" max="8456" width="9.7109375" style="16" bestFit="1" customWidth="1"/>
    <col min="8457" max="8457" width="10.140625" style="16" customWidth="1"/>
    <col min="8458" max="8458" width="9.7109375" style="16" customWidth="1"/>
    <col min="8459" max="8459" width="9.28515625" style="16" customWidth="1"/>
    <col min="8460" max="8460" width="9.42578125" style="16" customWidth="1"/>
    <col min="8461" max="8461" width="8.5703125" style="16" customWidth="1"/>
    <col min="8462" max="8462" width="8.140625" style="16" customWidth="1"/>
    <col min="8463" max="8463" width="11.140625" style="16" customWidth="1"/>
    <col min="8464" max="8468" width="9.140625" style="16"/>
    <col min="8469" max="8469" width="12.42578125" style="16" customWidth="1"/>
    <col min="8470" max="8470" width="9.140625" style="16"/>
    <col min="8471" max="8471" width="12" style="16" customWidth="1"/>
    <col min="8472" max="8704" width="9.140625" style="16"/>
    <col min="8705" max="8705" width="5" style="16" customWidth="1"/>
    <col min="8706" max="8706" width="18" style="16" customWidth="1"/>
    <col min="8707" max="8707" width="9.28515625" style="16" customWidth="1"/>
    <col min="8708" max="8708" width="7.5703125" style="16" customWidth="1"/>
    <col min="8709" max="8709" width="8.5703125" style="16" bestFit="1" customWidth="1"/>
    <col min="8710" max="8710" width="9.28515625" style="16" bestFit="1" customWidth="1"/>
    <col min="8711" max="8711" width="8.42578125" style="16" bestFit="1" customWidth="1"/>
    <col min="8712" max="8712" width="9.7109375" style="16" bestFit="1" customWidth="1"/>
    <col min="8713" max="8713" width="10.140625" style="16" customWidth="1"/>
    <col min="8714" max="8714" width="9.7109375" style="16" customWidth="1"/>
    <col min="8715" max="8715" width="9.28515625" style="16" customWidth="1"/>
    <col min="8716" max="8716" width="9.42578125" style="16" customWidth="1"/>
    <col min="8717" max="8717" width="8.5703125" style="16" customWidth="1"/>
    <col min="8718" max="8718" width="8.140625" style="16" customWidth="1"/>
    <col min="8719" max="8719" width="11.140625" style="16" customWidth="1"/>
    <col min="8720" max="8724" width="9.140625" style="16"/>
    <col min="8725" max="8725" width="12.42578125" style="16" customWidth="1"/>
    <col min="8726" max="8726" width="9.140625" style="16"/>
    <col min="8727" max="8727" width="12" style="16" customWidth="1"/>
    <col min="8728" max="8960" width="9.140625" style="16"/>
    <col min="8961" max="8961" width="5" style="16" customWidth="1"/>
    <col min="8962" max="8962" width="18" style="16" customWidth="1"/>
    <col min="8963" max="8963" width="9.28515625" style="16" customWidth="1"/>
    <col min="8964" max="8964" width="7.5703125" style="16" customWidth="1"/>
    <col min="8965" max="8965" width="8.5703125" style="16" bestFit="1" customWidth="1"/>
    <col min="8966" max="8966" width="9.28515625" style="16" bestFit="1" customWidth="1"/>
    <col min="8967" max="8967" width="8.42578125" style="16" bestFit="1" customWidth="1"/>
    <col min="8968" max="8968" width="9.7109375" style="16" bestFit="1" customWidth="1"/>
    <col min="8969" max="8969" width="10.140625" style="16" customWidth="1"/>
    <col min="8970" max="8970" width="9.7109375" style="16" customWidth="1"/>
    <col min="8971" max="8971" width="9.28515625" style="16" customWidth="1"/>
    <col min="8972" max="8972" width="9.42578125" style="16" customWidth="1"/>
    <col min="8973" max="8973" width="8.5703125" style="16" customWidth="1"/>
    <col min="8974" max="8974" width="8.140625" style="16" customWidth="1"/>
    <col min="8975" max="8975" width="11.140625" style="16" customWidth="1"/>
    <col min="8976" max="8980" width="9.140625" style="16"/>
    <col min="8981" max="8981" width="12.42578125" style="16" customWidth="1"/>
    <col min="8982" max="8982" width="9.140625" style="16"/>
    <col min="8983" max="8983" width="12" style="16" customWidth="1"/>
    <col min="8984" max="9216" width="9.140625" style="16"/>
    <col min="9217" max="9217" width="5" style="16" customWidth="1"/>
    <col min="9218" max="9218" width="18" style="16" customWidth="1"/>
    <col min="9219" max="9219" width="9.28515625" style="16" customWidth="1"/>
    <col min="9220" max="9220" width="7.5703125" style="16" customWidth="1"/>
    <col min="9221" max="9221" width="8.5703125" style="16" bestFit="1" customWidth="1"/>
    <col min="9222" max="9222" width="9.28515625" style="16" bestFit="1" customWidth="1"/>
    <col min="9223" max="9223" width="8.42578125" style="16" bestFit="1" customWidth="1"/>
    <col min="9224" max="9224" width="9.7109375" style="16" bestFit="1" customWidth="1"/>
    <col min="9225" max="9225" width="10.140625" style="16" customWidth="1"/>
    <col min="9226" max="9226" width="9.7109375" style="16" customWidth="1"/>
    <col min="9227" max="9227" width="9.28515625" style="16" customWidth="1"/>
    <col min="9228" max="9228" width="9.42578125" style="16" customWidth="1"/>
    <col min="9229" max="9229" width="8.5703125" style="16" customWidth="1"/>
    <col min="9230" max="9230" width="8.140625" style="16" customWidth="1"/>
    <col min="9231" max="9231" width="11.140625" style="16" customWidth="1"/>
    <col min="9232" max="9236" width="9.140625" style="16"/>
    <col min="9237" max="9237" width="12.42578125" style="16" customWidth="1"/>
    <col min="9238" max="9238" width="9.140625" style="16"/>
    <col min="9239" max="9239" width="12" style="16" customWidth="1"/>
    <col min="9240" max="9472" width="9.140625" style="16"/>
    <col min="9473" max="9473" width="5" style="16" customWidth="1"/>
    <col min="9474" max="9474" width="18" style="16" customWidth="1"/>
    <col min="9475" max="9475" width="9.28515625" style="16" customWidth="1"/>
    <col min="9476" max="9476" width="7.5703125" style="16" customWidth="1"/>
    <col min="9477" max="9477" width="8.5703125" style="16" bestFit="1" customWidth="1"/>
    <col min="9478" max="9478" width="9.28515625" style="16" bestFit="1" customWidth="1"/>
    <col min="9479" max="9479" width="8.42578125" style="16" bestFit="1" customWidth="1"/>
    <col min="9480" max="9480" width="9.7109375" style="16" bestFit="1" customWidth="1"/>
    <col min="9481" max="9481" width="10.140625" style="16" customWidth="1"/>
    <col min="9482" max="9482" width="9.7109375" style="16" customWidth="1"/>
    <col min="9483" max="9483" width="9.28515625" style="16" customWidth="1"/>
    <col min="9484" max="9484" width="9.42578125" style="16" customWidth="1"/>
    <col min="9485" max="9485" width="8.5703125" style="16" customWidth="1"/>
    <col min="9486" max="9486" width="8.140625" style="16" customWidth="1"/>
    <col min="9487" max="9487" width="11.140625" style="16" customWidth="1"/>
    <col min="9488" max="9492" width="9.140625" style="16"/>
    <col min="9493" max="9493" width="12.42578125" style="16" customWidth="1"/>
    <col min="9494" max="9494" width="9.140625" style="16"/>
    <col min="9495" max="9495" width="12" style="16" customWidth="1"/>
    <col min="9496" max="9728" width="9.140625" style="16"/>
    <col min="9729" max="9729" width="5" style="16" customWidth="1"/>
    <col min="9730" max="9730" width="18" style="16" customWidth="1"/>
    <col min="9731" max="9731" width="9.28515625" style="16" customWidth="1"/>
    <col min="9732" max="9732" width="7.5703125" style="16" customWidth="1"/>
    <col min="9733" max="9733" width="8.5703125" style="16" bestFit="1" customWidth="1"/>
    <col min="9734" max="9734" width="9.28515625" style="16" bestFit="1" customWidth="1"/>
    <col min="9735" max="9735" width="8.42578125" style="16" bestFit="1" customWidth="1"/>
    <col min="9736" max="9736" width="9.7109375" style="16" bestFit="1" customWidth="1"/>
    <col min="9737" max="9737" width="10.140625" style="16" customWidth="1"/>
    <col min="9738" max="9738" width="9.7109375" style="16" customWidth="1"/>
    <col min="9739" max="9739" width="9.28515625" style="16" customWidth="1"/>
    <col min="9740" max="9740" width="9.42578125" style="16" customWidth="1"/>
    <col min="9741" max="9741" width="8.5703125" style="16" customWidth="1"/>
    <col min="9742" max="9742" width="8.140625" style="16" customWidth="1"/>
    <col min="9743" max="9743" width="11.140625" style="16" customWidth="1"/>
    <col min="9744" max="9748" width="9.140625" style="16"/>
    <col min="9749" max="9749" width="12.42578125" style="16" customWidth="1"/>
    <col min="9750" max="9750" width="9.140625" style="16"/>
    <col min="9751" max="9751" width="12" style="16" customWidth="1"/>
    <col min="9752" max="9984" width="9.140625" style="16"/>
    <col min="9985" max="9985" width="5" style="16" customWidth="1"/>
    <col min="9986" max="9986" width="18" style="16" customWidth="1"/>
    <col min="9987" max="9987" width="9.28515625" style="16" customWidth="1"/>
    <col min="9988" max="9988" width="7.5703125" style="16" customWidth="1"/>
    <col min="9989" max="9989" width="8.5703125" style="16" bestFit="1" customWidth="1"/>
    <col min="9990" max="9990" width="9.28515625" style="16" bestFit="1" customWidth="1"/>
    <col min="9991" max="9991" width="8.42578125" style="16" bestFit="1" customWidth="1"/>
    <col min="9992" max="9992" width="9.7109375" style="16" bestFit="1" customWidth="1"/>
    <col min="9993" max="9993" width="10.140625" style="16" customWidth="1"/>
    <col min="9994" max="9994" width="9.7109375" style="16" customWidth="1"/>
    <col min="9995" max="9995" width="9.28515625" style="16" customWidth="1"/>
    <col min="9996" max="9996" width="9.42578125" style="16" customWidth="1"/>
    <col min="9997" max="9997" width="8.5703125" style="16" customWidth="1"/>
    <col min="9998" max="9998" width="8.140625" style="16" customWidth="1"/>
    <col min="9999" max="9999" width="11.140625" style="16" customWidth="1"/>
    <col min="10000" max="10004" width="9.140625" style="16"/>
    <col min="10005" max="10005" width="12.42578125" style="16" customWidth="1"/>
    <col min="10006" max="10006" width="9.140625" style="16"/>
    <col min="10007" max="10007" width="12" style="16" customWidth="1"/>
    <col min="10008" max="10240" width="9.140625" style="16"/>
    <col min="10241" max="10241" width="5" style="16" customWidth="1"/>
    <col min="10242" max="10242" width="18" style="16" customWidth="1"/>
    <col min="10243" max="10243" width="9.28515625" style="16" customWidth="1"/>
    <col min="10244" max="10244" width="7.5703125" style="16" customWidth="1"/>
    <col min="10245" max="10245" width="8.5703125" style="16" bestFit="1" customWidth="1"/>
    <col min="10246" max="10246" width="9.28515625" style="16" bestFit="1" customWidth="1"/>
    <col min="10247" max="10247" width="8.42578125" style="16" bestFit="1" customWidth="1"/>
    <col min="10248" max="10248" width="9.7109375" style="16" bestFit="1" customWidth="1"/>
    <col min="10249" max="10249" width="10.140625" style="16" customWidth="1"/>
    <col min="10250" max="10250" width="9.7109375" style="16" customWidth="1"/>
    <col min="10251" max="10251" width="9.28515625" style="16" customWidth="1"/>
    <col min="10252" max="10252" width="9.42578125" style="16" customWidth="1"/>
    <col min="10253" max="10253" width="8.5703125" style="16" customWidth="1"/>
    <col min="10254" max="10254" width="8.140625" style="16" customWidth="1"/>
    <col min="10255" max="10255" width="11.140625" style="16" customWidth="1"/>
    <col min="10256" max="10260" width="9.140625" style="16"/>
    <col min="10261" max="10261" width="12.42578125" style="16" customWidth="1"/>
    <col min="10262" max="10262" width="9.140625" style="16"/>
    <col min="10263" max="10263" width="12" style="16" customWidth="1"/>
    <col min="10264" max="10496" width="9.140625" style="16"/>
    <col min="10497" max="10497" width="5" style="16" customWidth="1"/>
    <col min="10498" max="10498" width="18" style="16" customWidth="1"/>
    <col min="10499" max="10499" width="9.28515625" style="16" customWidth="1"/>
    <col min="10500" max="10500" width="7.5703125" style="16" customWidth="1"/>
    <col min="10501" max="10501" width="8.5703125" style="16" bestFit="1" customWidth="1"/>
    <col min="10502" max="10502" width="9.28515625" style="16" bestFit="1" customWidth="1"/>
    <col min="10503" max="10503" width="8.42578125" style="16" bestFit="1" customWidth="1"/>
    <col min="10504" max="10504" width="9.7109375" style="16" bestFit="1" customWidth="1"/>
    <col min="10505" max="10505" width="10.140625" style="16" customWidth="1"/>
    <col min="10506" max="10506" width="9.7109375" style="16" customWidth="1"/>
    <col min="10507" max="10507" width="9.28515625" style="16" customWidth="1"/>
    <col min="10508" max="10508" width="9.42578125" style="16" customWidth="1"/>
    <col min="10509" max="10509" width="8.5703125" style="16" customWidth="1"/>
    <col min="10510" max="10510" width="8.140625" style="16" customWidth="1"/>
    <col min="10511" max="10511" width="11.140625" style="16" customWidth="1"/>
    <col min="10512" max="10516" width="9.140625" style="16"/>
    <col min="10517" max="10517" width="12.42578125" style="16" customWidth="1"/>
    <col min="10518" max="10518" width="9.140625" style="16"/>
    <col min="10519" max="10519" width="12" style="16" customWidth="1"/>
    <col min="10520" max="10752" width="9.140625" style="16"/>
    <col min="10753" max="10753" width="5" style="16" customWidth="1"/>
    <col min="10754" max="10754" width="18" style="16" customWidth="1"/>
    <col min="10755" max="10755" width="9.28515625" style="16" customWidth="1"/>
    <col min="10756" max="10756" width="7.5703125" style="16" customWidth="1"/>
    <col min="10757" max="10757" width="8.5703125" style="16" bestFit="1" customWidth="1"/>
    <col min="10758" max="10758" width="9.28515625" style="16" bestFit="1" customWidth="1"/>
    <col min="10759" max="10759" width="8.42578125" style="16" bestFit="1" customWidth="1"/>
    <col min="10760" max="10760" width="9.7109375" style="16" bestFit="1" customWidth="1"/>
    <col min="10761" max="10761" width="10.140625" style="16" customWidth="1"/>
    <col min="10762" max="10762" width="9.7109375" style="16" customWidth="1"/>
    <col min="10763" max="10763" width="9.28515625" style="16" customWidth="1"/>
    <col min="10764" max="10764" width="9.42578125" style="16" customWidth="1"/>
    <col min="10765" max="10765" width="8.5703125" style="16" customWidth="1"/>
    <col min="10766" max="10766" width="8.140625" style="16" customWidth="1"/>
    <col min="10767" max="10767" width="11.140625" style="16" customWidth="1"/>
    <col min="10768" max="10772" width="9.140625" style="16"/>
    <col min="10773" max="10773" width="12.42578125" style="16" customWidth="1"/>
    <col min="10774" max="10774" width="9.140625" style="16"/>
    <col min="10775" max="10775" width="12" style="16" customWidth="1"/>
    <col min="10776" max="11008" width="9.140625" style="16"/>
    <col min="11009" max="11009" width="5" style="16" customWidth="1"/>
    <col min="11010" max="11010" width="18" style="16" customWidth="1"/>
    <col min="11011" max="11011" width="9.28515625" style="16" customWidth="1"/>
    <col min="11012" max="11012" width="7.5703125" style="16" customWidth="1"/>
    <col min="11013" max="11013" width="8.5703125" style="16" bestFit="1" customWidth="1"/>
    <col min="11014" max="11014" width="9.28515625" style="16" bestFit="1" customWidth="1"/>
    <col min="11015" max="11015" width="8.42578125" style="16" bestFit="1" customWidth="1"/>
    <col min="11016" max="11016" width="9.7109375" style="16" bestFit="1" customWidth="1"/>
    <col min="11017" max="11017" width="10.140625" style="16" customWidth="1"/>
    <col min="11018" max="11018" width="9.7109375" style="16" customWidth="1"/>
    <col min="11019" max="11019" width="9.28515625" style="16" customWidth="1"/>
    <col min="11020" max="11020" width="9.42578125" style="16" customWidth="1"/>
    <col min="11021" max="11021" width="8.5703125" style="16" customWidth="1"/>
    <col min="11022" max="11022" width="8.140625" style="16" customWidth="1"/>
    <col min="11023" max="11023" width="11.140625" style="16" customWidth="1"/>
    <col min="11024" max="11028" width="9.140625" style="16"/>
    <col min="11029" max="11029" width="12.42578125" style="16" customWidth="1"/>
    <col min="11030" max="11030" width="9.140625" style="16"/>
    <col min="11031" max="11031" width="12" style="16" customWidth="1"/>
    <col min="11032" max="11264" width="9.140625" style="16"/>
    <col min="11265" max="11265" width="5" style="16" customWidth="1"/>
    <col min="11266" max="11266" width="18" style="16" customWidth="1"/>
    <col min="11267" max="11267" width="9.28515625" style="16" customWidth="1"/>
    <col min="11268" max="11268" width="7.5703125" style="16" customWidth="1"/>
    <col min="11269" max="11269" width="8.5703125" style="16" bestFit="1" customWidth="1"/>
    <col min="11270" max="11270" width="9.28515625" style="16" bestFit="1" customWidth="1"/>
    <col min="11271" max="11271" width="8.42578125" style="16" bestFit="1" customWidth="1"/>
    <col min="11272" max="11272" width="9.7109375" style="16" bestFit="1" customWidth="1"/>
    <col min="11273" max="11273" width="10.140625" style="16" customWidth="1"/>
    <col min="11274" max="11274" width="9.7109375" style="16" customWidth="1"/>
    <col min="11275" max="11275" width="9.28515625" style="16" customWidth="1"/>
    <col min="11276" max="11276" width="9.42578125" style="16" customWidth="1"/>
    <col min="11277" max="11277" width="8.5703125" style="16" customWidth="1"/>
    <col min="11278" max="11278" width="8.140625" style="16" customWidth="1"/>
    <col min="11279" max="11279" width="11.140625" style="16" customWidth="1"/>
    <col min="11280" max="11284" width="9.140625" style="16"/>
    <col min="11285" max="11285" width="12.42578125" style="16" customWidth="1"/>
    <col min="11286" max="11286" width="9.140625" style="16"/>
    <col min="11287" max="11287" width="12" style="16" customWidth="1"/>
    <col min="11288" max="11520" width="9.140625" style="16"/>
    <col min="11521" max="11521" width="5" style="16" customWidth="1"/>
    <col min="11522" max="11522" width="18" style="16" customWidth="1"/>
    <col min="11523" max="11523" width="9.28515625" style="16" customWidth="1"/>
    <col min="11524" max="11524" width="7.5703125" style="16" customWidth="1"/>
    <col min="11525" max="11525" width="8.5703125" style="16" bestFit="1" customWidth="1"/>
    <col min="11526" max="11526" width="9.28515625" style="16" bestFit="1" customWidth="1"/>
    <col min="11527" max="11527" width="8.42578125" style="16" bestFit="1" customWidth="1"/>
    <col min="11528" max="11528" width="9.7109375" style="16" bestFit="1" customWidth="1"/>
    <col min="11529" max="11529" width="10.140625" style="16" customWidth="1"/>
    <col min="11530" max="11530" width="9.7109375" style="16" customWidth="1"/>
    <col min="11531" max="11531" width="9.28515625" style="16" customWidth="1"/>
    <col min="11532" max="11532" width="9.42578125" style="16" customWidth="1"/>
    <col min="11533" max="11533" width="8.5703125" style="16" customWidth="1"/>
    <col min="11534" max="11534" width="8.140625" style="16" customWidth="1"/>
    <col min="11535" max="11535" width="11.140625" style="16" customWidth="1"/>
    <col min="11536" max="11540" width="9.140625" style="16"/>
    <col min="11541" max="11541" width="12.42578125" style="16" customWidth="1"/>
    <col min="11542" max="11542" width="9.140625" style="16"/>
    <col min="11543" max="11543" width="12" style="16" customWidth="1"/>
    <col min="11544" max="11776" width="9.140625" style="16"/>
    <col min="11777" max="11777" width="5" style="16" customWidth="1"/>
    <col min="11778" max="11778" width="18" style="16" customWidth="1"/>
    <col min="11779" max="11779" width="9.28515625" style="16" customWidth="1"/>
    <col min="11780" max="11780" width="7.5703125" style="16" customWidth="1"/>
    <col min="11781" max="11781" width="8.5703125" style="16" bestFit="1" customWidth="1"/>
    <col min="11782" max="11782" width="9.28515625" style="16" bestFit="1" customWidth="1"/>
    <col min="11783" max="11783" width="8.42578125" style="16" bestFit="1" customWidth="1"/>
    <col min="11784" max="11784" width="9.7109375" style="16" bestFit="1" customWidth="1"/>
    <col min="11785" max="11785" width="10.140625" style="16" customWidth="1"/>
    <col min="11786" max="11786" width="9.7109375" style="16" customWidth="1"/>
    <col min="11787" max="11787" width="9.28515625" style="16" customWidth="1"/>
    <col min="11788" max="11788" width="9.42578125" style="16" customWidth="1"/>
    <col min="11789" max="11789" width="8.5703125" style="16" customWidth="1"/>
    <col min="11790" max="11790" width="8.140625" style="16" customWidth="1"/>
    <col min="11791" max="11791" width="11.140625" style="16" customWidth="1"/>
    <col min="11792" max="11796" width="9.140625" style="16"/>
    <col min="11797" max="11797" width="12.42578125" style="16" customWidth="1"/>
    <col min="11798" max="11798" width="9.140625" style="16"/>
    <col min="11799" max="11799" width="12" style="16" customWidth="1"/>
    <col min="11800" max="12032" width="9.140625" style="16"/>
    <col min="12033" max="12033" width="5" style="16" customWidth="1"/>
    <col min="12034" max="12034" width="18" style="16" customWidth="1"/>
    <col min="12035" max="12035" width="9.28515625" style="16" customWidth="1"/>
    <col min="12036" max="12036" width="7.5703125" style="16" customWidth="1"/>
    <col min="12037" max="12037" width="8.5703125" style="16" bestFit="1" customWidth="1"/>
    <col min="12038" max="12038" width="9.28515625" style="16" bestFit="1" customWidth="1"/>
    <col min="12039" max="12039" width="8.42578125" style="16" bestFit="1" customWidth="1"/>
    <col min="12040" max="12040" width="9.7109375" style="16" bestFit="1" customWidth="1"/>
    <col min="12041" max="12041" width="10.140625" style="16" customWidth="1"/>
    <col min="12042" max="12042" width="9.7109375" style="16" customWidth="1"/>
    <col min="12043" max="12043" width="9.28515625" style="16" customWidth="1"/>
    <col min="12044" max="12044" width="9.42578125" style="16" customWidth="1"/>
    <col min="12045" max="12045" width="8.5703125" style="16" customWidth="1"/>
    <col min="12046" max="12046" width="8.140625" style="16" customWidth="1"/>
    <col min="12047" max="12047" width="11.140625" style="16" customWidth="1"/>
    <col min="12048" max="12052" width="9.140625" style="16"/>
    <col min="12053" max="12053" width="12.42578125" style="16" customWidth="1"/>
    <col min="12054" max="12054" width="9.140625" style="16"/>
    <col min="12055" max="12055" width="12" style="16" customWidth="1"/>
    <col min="12056" max="12288" width="9.140625" style="16"/>
    <col min="12289" max="12289" width="5" style="16" customWidth="1"/>
    <col min="12290" max="12290" width="18" style="16" customWidth="1"/>
    <col min="12291" max="12291" width="9.28515625" style="16" customWidth="1"/>
    <col min="12292" max="12292" width="7.5703125" style="16" customWidth="1"/>
    <col min="12293" max="12293" width="8.5703125" style="16" bestFit="1" customWidth="1"/>
    <col min="12294" max="12294" width="9.28515625" style="16" bestFit="1" customWidth="1"/>
    <col min="12295" max="12295" width="8.42578125" style="16" bestFit="1" customWidth="1"/>
    <col min="12296" max="12296" width="9.7109375" style="16" bestFit="1" customWidth="1"/>
    <col min="12297" max="12297" width="10.140625" style="16" customWidth="1"/>
    <col min="12298" max="12298" width="9.7109375" style="16" customWidth="1"/>
    <col min="12299" max="12299" width="9.28515625" style="16" customWidth="1"/>
    <col min="12300" max="12300" width="9.42578125" style="16" customWidth="1"/>
    <col min="12301" max="12301" width="8.5703125" style="16" customWidth="1"/>
    <col min="12302" max="12302" width="8.140625" style="16" customWidth="1"/>
    <col min="12303" max="12303" width="11.140625" style="16" customWidth="1"/>
    <col min="12304" max="12308" width="9.140625" style="16"/>
    <col min="12309" max="12309" width="12.42578125" style="16" customWidth="1"/>
    <col min="12310" max="12310" width="9.140625" style="16"/>
    <col min="12311" max="12311" width="12" style="16" customWidth="1"/>
    <col min="12312" max="12544" width="9.140625" style="16"/>
    <col min="12545" max="12545" width="5" style="16" customWidth="1"/>
    <col min="12546" max="12546" width="18" style="16" customWidth="1"/>
    <col min="12547" max="12547" width="9.28515625" style="16" customWidth="1"/>
    <col min="12548" max="12548" width="7.5703125" style="16" customWidth="1"/>
    <col min="12549" max="12549" width="8.5703125" style="16" bestFit="1" customWidth="1"/>
    <col min="12550" max="12550" width="9.28515625" style="16" bestFit="1" customWidth="1"/>
    <col min="12551" max="12551" width="8.42578125" style="16" bestFit="1" customWidth="1"/>
    <col min="12552" max="12552" width="9.7109375" style="16" bestFit="1" customWidth="1"/>
    <col min="12553" max="12553" width="10.140625" style="16" customWidth="1"/>
    <col min="12554" max="12554" width="9.7109375" style="16" customWidth="1"/>
    <col min="12555" max="12555" width="9.28515625" style="16" customWidth="1"/>
    <col min="12556" max="12556" width="9.42578125" style="16" customWidth="1"/>
    <col min="12557" max="12557" width="8.5703125" style="16" customWidth="1"/>
    <col min="12558" max="12558" width="8.140625" style="16" customWidth="1"/>
    <col min="12559" max="12559" width="11.140625" style="16" customWidth="1"/>
    <col min="12560" max="12564" width="9.140625" style="16"/>
    <col min="12565" max="12565" width="12.42578125" style="16" customWidth="1"/>
    <col min="12566" max="12566" width="9.140625" style="16"/>
    <col min="12567" max="12567" width="12" style="16" customWidth="1"/>
    <col min="12568" max="12800" width="9.140625" style="16"/>
    <col min="12801" max="12801" width="5" style="16" customWidth="1"/>
    <col min="12802" max="12802" width="18" style="16" customWidth="1"/>
    <col min="12803" max="12803" width="9.28515625" style="16" customWidth="1"/>
    <col min="12804" max="12804" width="7.5703125" style="16" customWidth="1"/>
    <col min="12805" max="12805" width="8.5703125" style="16" bestFit="1" customWidth="1"/>
    <col min="12806" max="12806" width="9.28515625" style="16" bestFit="1" customWidth="1"/>
    <col min="12807" max="12807" width="8.42578125" style="16" bestFit="1" customWidth="1"/>
    <col min="12808" max="12808" width="9.7109375" style="16" bestFit="1" customWidth="1"/>
    <col min="12809" max="12809" width="10.140625" style="16" customWidth="1"/>
    <col min="12810" max="12810" width="9.7109375" style="16" customWidth="1"/>
    <col min="12811" max="12811" width="9.28515625" style="16" customWidth="1"/>
    <col min="12812" max="12812" width="9.42578125" style="16" customWidth="1"/>
    <col min="12813" max="12813" width="8.5703125" style="16" customWidth="1"/>
    <col min="12814" max="12814" width="8.140625" style="16" customWidth="1"/>
    <col min="12815" max="12815" width="11.140625" style="16" customWidth="1"/>
    <col min="12816" max="12820" width="9.140625" style="16"/>
    <col min="12821" max="12821" width="12.42578125" style="16" customWidth="1"/>
    <col min="12822" max="12822" width="9.140625" style="16"/>
    <col min="12823" max="12823" width="12" style="16" customWidth="1"/>
    <col min="12824" max="13056" width="9.140625" style="16"/>
    <col min="13057" max="13057" width="5" style="16" customWidth="1"/>
    <col min="13058" max="13058" width="18" style="16" customWidth="1"/>
    <col min="13059" max="13059" width="9.28515625" style="16" customWidth="1"/>
    <col min="13060" max="13060" width="7.5703125" style="16" customWidth="1"/>
    <col min="13061" max="13061" width="8.5703125" style="16" bestFit="1" customWidth="1"/>
    <col min="13062" max="13062" width="9.28515625" style="16" bestFit="1" customWidth="1"/>
    <col min="13063" max="13063" width="8.42578125" style="16" bestFit="1" customWidth="1"/>
    <col min="13064" max="13064" width="9.7109375" style="16" bestFit="1" customWidth="1"/>
    <col min="13065" max="13065" width="10.140625" style="16" customWidth="1"/>
    <col min="13066" max="13066" width="9.7109375" style="16" customWidth="1"/>
    <col min="13067" max="13067" width="9.28515625" style="16" customWidth="1"/>
    <col min="13068" max="13068" width="9.42578125" style="16" customWidth="1"/>
    <col min="13069" max="13069" width="8.5703125" style="16" customWidth="1"/>
    <col min="13070" max="13070" width="8.140625" style="16" customWidth="1"/>
    <col min="13071" max="13071" width="11.140625" style="16" customWidth="1"/>
    <col min="13072" max="13076" width="9.140625" style="16"/>
    <col min="13077" max="13077" width="12.42578125" style="16" customWidth="1"/>
    <col min="13078" max="13078" width="9.140625" style="16"/>
    <col min="13079" max="13079" width="12" style="16" customWidth="1"/>
    <col min="13080" max="13312" width="9.140625" style="16"/>
    <col min="13313" max="13313" width="5" style="16" customWidth="1"/>
    <col min="13314" max="13314" width="18" style="16" customWidth="1"/>
    <col min="13315" max="13315" width="9.28515625" style="16" customWidth="1"/>
    <col min="13316" max="13316" width="7.5703125" style="16" customWidth="1"/>
    <col min="13317" max="13317" width="8.5703125" style="16" bestFit="1" customWidth="1"/>
    <col min="13318" max="13318" width="9.28515625" style="16" bestFit="1" customWidth="1"/>
    <col min="13319" max="13319" width="8.42578125" style="16" bestFit="1" customWidth="1"/>
    <col min="13320" max="13320" width="9.7109375" style="16" bestFit="1" customWidth="1"/>
    <col min="13321" max="13321" width="10.140625" style="16" customWidth="1"/>
    <col min="13322" max="13322" width="9.7109375" style="16" customWidth="1"/>
    <col min="13323" max="13323" width="9.28515625" style="16" customWidth="1"/>
    <col min="13324" max="13324" width="9.42578125" style="16" customWidth="1"/>
    <col min="13325" max="13325" width="8.5703125" style="16" customWidth="1"/>
    <col min="13326" max="13326" width="8.140625" style="16" customWidth="1"/>
    <col min="13327" max="13327" width="11.140625" style="16" customWidth="1"/>
    <col min="13328" max="13332" width="9.140625" style="16"/>
    <col min="13333" max="13333" width="12.42578125" style="16" customWidth="1"/>
    <col min="13334" max="13334" width="9.140625" style="16"/>
    <col min="13335" max="13335" width="12" style="16" customWidth="1"/>
    <col min="13336" max="13568" width="9.140625" style="16"/>
    <col min="13569" max="13569" width="5" style="16" customWidth="1"/>
    <col min="13570" max="13570" width="18" style="16" customWidth="1"/>
    <col min="13571" max="13571" width="9.28515625" style="16" customWidth="1"/>
    <col min="13572" max="13572" width="7.5703125" style="16" customWidth="1"/>
    <col min="13573" max="13573" width="8.5703125" style="16" bestFit="1" customWidth="1"/>
    <col min="13574" max="13574" width="9.28515625" style="16" bestFit="1" customWidth="1"/>
    <col min="13575" max="13575" width="8.42578125" style="16" bestFit="1" customWidth="1"/>
    <col min="13576" max="13576" width="9.7109375" style="16" bestFit="1" customWidth="1"/>
    <col min="13577" max="13577" width="10.140625" style="16" customWidth="1"/>
    <col min="13578" max="13578" width="9.7109375" style="16" customWidth="1"/>
    <col min="13579" max="13579" width="9.28515625" style="16" customWidth="1"/>
    <col min="13580" max="13580" width="9.42578125" style="16" customWidth="1"/>
    <col min="13581" max="13581" width="8.5703125" style="16" customWidth="1"/>
    <col min="13582" max="13582" width="8.140625" style="16" customWidth="1"/>
    <col min="13583" max="13583" width="11.140625" style="16" customWidth="1"/>
    <col min="13584" max="13588" width="9.140625" style="16"/>
    <col min="13589" max="13589" width="12.42578125" style="16" customWidth="1"/>
    <col min="13590" max="13590" width="9.140625" style="16"/>
    <col min="13591" max="13591" width="12" style="16" customWidth="1"/>
    <col min="13592" max="13824" width="9.140625" style="16"/>
    <col min="13825" max="13825" width="5" style="16" customWidth="1"/>
    <col min="13826" max="13826" width="18" style="16" customWidth="1"/>
    <col min="13827" max="13827" width="9.28515625" style="16" customWidth="1"/>
    <col min="13828" max="13828" width="7.5703125" style="16" customWidth="1"/>
    <col min="13829" max="13829" width="8.5703125" style="16" bestFit="1" customWidth="1"/>
    <col min="13830" max="13830" width="9.28515625" style="16" bestFit="1" customWidth="1"/>
    <col min="13831" max="13831" width="8.42578125" style="16" bestFit="1" customWidth="1"/>
    <col min="13832" max="13832" width="9.7109375" style="16" bestFit="1" customWidth="1"/>
    <col min="13833" max="13833" width="10.140625" style="16" customWidth="1"/>
    <col min="13834" max="13834" width="9.7109375" style="16" customWidth="1"/>
    <col min="13835" max="13835" width="9.28515625" style="16" customWidth="1"/>
    <col min="13836" max="13836" width="9.42578125" style="16" customWidth="1"/>
    <col min="13837" max="13837" width="8.5703125" style="16" customWidth="1"/>
    <col min="13838" max="13838" width="8.140625" style="16" customWidth="1"/>
    <col min="13839" max="13839" width="11.140625" style="16" customWidth="1"/>
    <col min="13840" max="13844" width="9.140625" style="16"/>
    <col min="13845" max="13845" width="12.42578125" style="16" customWidth="1"/>
    <col min="13846" max="13846" width="9.140625" style="16"/>
    <col min="13847" max="13847" width="12" style="16" customWidth="1"/>
    <col min="13848" max="14080" width="9.140625" style="16"/>
    <col min="14081" max="14081" width="5" style="16" customWidth="1"/>
    <col min="14082" max="14082" width="18" style="16" customWidth="1"/>
    <col min="14083" max="14083" width="9.28515625" style="16" customWidth="1"/>
    <col min="14084" max="14084" width="7.5703125" style="16" customWidth="1"/>
    <col min="14085" max="14085" width="8.5703125" style="16" bestFit="1" customWidth="1"/>
    <col min="14086" max="14086" width="9.28515625" style="16" bestFit="1" customWidth="1"/>
    <col min="14087" max="14087" width="8.42578125" style="16" bestFit="1" customWidth="1"/>
    <col min="14088" max="14088" width="9.7109375" style="16" bestFit="1" customWidth="1"/>
    <col min="14089" max="14089" width="10.140625" style="16" customWidth="1"/>
    <col min="14090" max="14090" width="9.7109375" style="16" customWidth="1"/>
    <col min="14091" max="14091" width="9.28515625" style="16" customWidth="1"/>
    <col min="14092" max="14092" width="9.42578125" style="16" customWidth="1"/>
    <col min="14093" max="14093" width="8.5703125" style="16" customWidth="1"/>
    <col min="14094" max="14094" width="8.140625" style="16" customWidth="1"/>
    <col min="14095" max="14095" width="11.140625" style="16" customWidth="1"/>
    <col min="14096" max="14100" width="9.140625" style="16"/>
    <col min="14101" max="14101" width="12.42578125" style="16" customWidth="1"/>
    <col min="14102" max="14102" width="9.140625" style="16"/>
    <col min="14103" max="14103" width="12" style="16" customWidth="1"/>
    <col min="14104" max="14336" width="9.140625" style="16"/>
    <col min="14337" max="14337" width="5" style="16" customWidth="1"/>
    <col min="14338" max="14338" width="18" style="16" customWidth="1"/>
    <col min="14339" max="14339" width="9.28515625" style="16" customWidth="1"/>
    <col min="14340" max="14340" width="7.5703125" style="16" customWidth="1"/>
    <col min="14341" max="14341" width="8.5703125" style="16" bestFit="1" customWidth="1"/>
    <col min="14342" max="14342" width="9.28515625" style="16" bestFit="1" customWidth="1"/>
    <col min="14343" max="14343" width="8.42578125" style="16" bestFit="1" customWidth="1"/>
    <col min="14344" max="14344" width="9.7109375" style="16" bestFit="1" customWidth="1"/>
    <col min="14345" max="14345" width="10.140625" style="16" customWidth="1"/>
    <col min="14346" max="14346" width="9.7109375" style="16" customWidth="1"/>
    <col min="14347" max="14347" width="9.28515625" style="16" customWidth="1"/>
    <col min="14348" max="14348" width="9.42578125" style="16" customWidth="1"/>
    <col min="14349" max="14349" width="8.5703125" style="16" customWidth="1"/>
    <col min="14350" max="14350" width="8.140625" style="16" customWidth="1"/>
    <col min="14351" max="14351" width="11.140625" style="16" customWidth="1"/>
    <col min="14352" max="14356" width="9.140625" style="16"/>
    <col min="14357" max="14357" width="12.42578125" style="16" customWidth="1"/>
    <col min="14358" max="14358" width="9.140625" style="16"/>
    <col min="14359" max="14359" width="12" style="16" customWidth="1"/>
    <col min="14360" max="14592" width="9.140625" style="16"/>
    <col min="14593" max="14593" width="5" style="16" customWidth="1"/>
    <col min="14594" max="14594" width="18" style="16" customWidth="1"/>
    <col min="14595" max="14595" width="9.28515625" style="16" customWidth="1"/>
    <col min="14596" max="14596" width="7.5703125" style="16" customWidth="1"/>
    <col min="14597" max="14597" width="8.5703125" style="16" bestFit="1" customWidth="1"/>
    <col min="14598" max="14598" width="9.28515625" style="16" bestFit="1" customWidth="1"/>
    <col min="14599" max="14599" width="8.42578125" style="16" bestFit="1" customWidth="1"/>
    <col min="14600" max="14600" width="9.7109375" style="16" bestFit="1" customWidth="1"/>
    <col min="14601" max="14601" width="10.140625" style="16" customWidth="1"/>
    <col min="14602" max="14602" width="9.7109375" style="16" customWidth="1"/>
    <col min="14603" max="14603" width="9.28515625" style="16" customWidth="1"/>
    <col min="14604" max="14604" width="9.42578125" style="16" customWidth="1"/>
    <col min="14605" max="14605" width="8.5703125" style="16" customWidth="1"/>
    <col min="14606" max="14606" width="8.140625" style="16" customWidth="1"/>
    <col min="14607" max="14607" width="11.140625" style="16" customWidth="1"/>
    <col min="14608" max="14612" width="9.140625" style="16"/>
    <col min="14613" max="14613" width="12.42578125" style="16" customWidth="1"/>
    <col min="14614" max="14614" width="9.140625" style="16"/>
    <col min="14615" max="14615" width="12" style="16" customWidth="1"/>
    <col min="14616" max="14848" width="9.140625" style="16"/>
    <col min="14849" max="14849" width="5" style="16" customWidth="1"/>
    <col min="14850" max="14850" width="18" style="16" customWidth="1"/>
    <col min="14851" max="14851" width="9.28515625" style="16" customWidth="1"/>
    <col min="14852" max="14852" width="7.5703125" style="16" customWidth="1"/>
    <col min="14853" max="14853" width="8.5703125" style="16" bestFit="1" customWidth="1"/>
    <col min="14854" max="14854" width="9.28515625" style="16" bestFit="1" customWidth="1"/>
    <col min="14855" max="14855" width="8.42578125" style="16" bestFit="1" customWidth="1"/>
    <col min="14856" max="14856" width="9.7109375" style="16" bestFit="1" customWidth="1"/>
    <col min="14857" max="14857" width="10.140625" style="16" customWidth="1"/>
    <col min="14858" max="14858" width="9.7109375" style="16" customWidth="1"/>
    <col min="14859" max="14859" width="9.28515625" style="16" customWidth="1"/>
    <col min="14860" max="14860" width="9.42578125" style="16" customWidth="1"/>
    <col min="14861" max="14861" width="8.5703125" style="16" customWidth="1"/>
    <col min="14862" max="14862" width="8.140625" style="16" customWidth="1"/>
    <col min="14863" max="14863" width="11.140625" style="16" customWidth="1"/>
    <col min="14864" max="14868" width="9.140625" style="16"/>
    <col min="14869" max="14869" width="12.42578125" style="16" customWidth="1"/>
    <col min="14870" max="14870" width="9.140625" style="16"/>
    <col min="14871" max="14871" width="12" style="16" customWidth="1"/>
    <col min="14872" max="15104" width="9.140625" style="16"/>
    <col min="15105" max="15105" width="5" style="16" customWidth="1"/>
    <col min="15106" max="15106" width="18" style="16" customWidth="1"/>
    <col min="15107" max="15107" width="9.28515625" style="16" customWidth="1"/>
    <col min="15108" max="15108" width="7.5703125" style="16" customWidth="1"/>
    <col min="15109" max="15109" width="8.5703125" style="16" bestFit="1" customWidth="1"/>
    <col min="15110" max="15110" width="9.28515625" style="16" bestFit="1" customWidth="1"/>
    <col min="15111" max="15111" width="8.42578125" style="16" bestFit="1" customWidth="1"/>
    <col min="15112" max="15112" width="9.7109375" style="16" bestFit="1" customWidth="1"/>
    <col min="15113" max="15113" width="10.140625" style="16" customWidth="1"/>
    <col min="15114" max="15114" width="9.7109375" style="16" customWidth="1"/>
    <col min="15115" max="15115" width="9.28515625" style="16" customWidth="1"/>
    <col min="15116" max="15116" width="9.42578125" style="16" customWidth="1"/>
    <col min="15117" max="15117" width="8.5703125" style="16" customWidth="1"/>
    <col min="15118" max="15118" width="8.140625" style="16" customWidth="1"/>
    <col min="15119" max="15119" width="11.140625" style="16" customWidth="1"/>
    <col min="15120" max="15124" width="9.140625" style="16"/>
    <col min="15125" max="15125" width="12.42578125" style="16" customWidth="1"/>
    <col min="15126" max="15126" width="9.140625" style="16"/>
    <col min="15127" max="15127" width="12" style="16" customWidth="1"/>
    <col min="15128" max="15360" width="9.140625" style="16"/>
    <col min="15361" max="15361" width="5" style="16" customWidth="1"/>
    <col min="15362" max="15362" width="18" style="16" customWidth="1"/>
    <col min="15363" max="15363" width="9.28515625" style="16" customWidth="1"/>
    <col min="15364" max="15364" width="7.5703125" style="16" customWidth="1"/>
    <col min="15365" max="15365" width="8.5703125" style="16" bestFit="1" customWidth="1"/>
    <col min="15366" max="15366" width="9.28515625" style="16" bestFit="1" customWidth="1"/>
    <col min="15367" max="15367" width="8.42578125" style="16" bestFit="1" customWidth="1"/>
    <col min="15368" max="15368" width="9.7109375" style="16" bestFit="1" customWidth="1"/>
    <col min="15369" max="15369" width="10.140625" style="16" customWidth="1"/>
    <col min="15370" max="15370" width="9.7109375" style="16" customWidth="1"/>
    <col min="15371" max="15371" width="9.28515625" style="16" customWidth="1"/>
    <col min="15372" max="15372" width="9.42578125" style="16" customWidth="1"/>
    <col min="15373" max="15373" width="8.5703125" style="16" customWidth="1"/>
    <col min="15374" max="15374" width="8.140625" style="16" customWidth="1"/>
    <col min="15375" max="15375" width="11.140625" style="16" customWidth="1"/>
    <col min="15376" max="15380" width="9.140625" style="16"/>
    <col min="15381" max="15381" width="12.42578125" style="16" customWidth="1"/>
    <col min="15382" max="15382" width="9.140625" style="16"/>
    <col min="15383" max="15383" width="12" style="16" customWidth="1"/>
    <col min="15384" max="15616" width="9.140625" style="16"/>
    <col min="15617" max="15617" width="5" style="16" customWidth="1"/>
    <col min="15618" max="15618" width="18" style="16" customWidth="1"/>
    <col min="15619" max="15619" width="9.28515625" style="16" customWidth="1"/>
    <col min="15620" max="15620" width="7.5703125" style="16" customWidth="1"/>
    <col min="15621" max="15621" width="8.5703125" style="16" bestFit="1" customWidth="1"/>
    <col min="15622" max="15622" width="9.28515625" style="16" bestFit="1" customWidth="1"/>
    <col min="15623" max="15623" width="8.42578125" style="16" bestFit="1" customWidth="1"/>
    <col min="15624" max="15624" width="9.7109375" style="16" bestFit="1" customWidth="1"/>
    <col min="15625" max="15625" width="10.140625" style="16" customWidth="1"/>
    <col min="15626" max="15626" width="9.7109375" style="16" customWidth="1"/>
    <col min="15627" max="15627" width="9.28515625" style="16" customWidth="1"/>
    <col min="15628" max="15628" width="9.42578125" style="16" customWidth="1"/>
    <col min="15629" max="15629" width="8.5703125" style="16" customWidth="1"/>
    <col min="15630" max="15630" width="8.140625" style="16" customWidth="1"/>
    <col min="15631" max="15631" width="11.140625" style="16" customWidth="1"/>
    <col min="15632" max="15636" width="9.140625" style="16"/>
    <col min="15637" max="15637" width="12.42578125" style="16" customWidth="1"/>
    <col min="15638" max="15638" width="9.140625" style="16"/>
    <col min="15639" max="15639" width="12" style="16" customWidth="1"/>
    <col min="15640" max="15872" width="9.140625" style="16"/>
    <col min="15873" max="15873" width="5" style="16" customWidth="1"/>
    <col min="15874" max="15874" width="18" style="16" customWidth="1"/>
    <col min="15875" max="15875" width="9.28515625" style="16" customWidth="1"/>
    <col min="15876" max="15876" width="7.5703125" style="16" customWidth="1"/>
    <col min="15877" max="15877" width="8.5703125" style="16" bestFit="1" customWidth="1"/>
    <col min="15878" max="15878" width="9.28515625" style="16" bestFit="1" customWidth="1"/>
    <col min="15879" max="15879" width="8.42578125" style="16" bestFit="1" customWidth="1"/>
    <col min="15880" max="15880" width="9.7109375" style="16" bestFit="1" customWidth="1"/>
    <col min="15881" max="15881" width="10.140625" style="16" customWidth="1"/>
    <col min="15882" max="15882" width="9.7109375" style="16" customWidth="1"/>
    <col min="15883" max="15883" width="9.28515625" style="16" customWidth="1"/>
    <col min="15884" max="15884" width="9.42578125" style="16" customWidth="1"/>
    <col min="15885" max="15885" width="8.5703125" style="16" customWidth="1"/>
    <col min="15886" max="15886" width="8.140625" style="16" customWidth="1"/>
    <col min="15887" max="15887" width="11.140625" style="16" customWidth="1"/>
    <col min="15888" max="15892" width="9.140625" style="16"/>
    <col min="15893" max="15893" width="12.42578125" style="16" customWidth="1"/>
    <col min="15894" max="15894" width="9.140625" style="16"/>
    <col min="15895" max="15895" width="12" style="16" customWidth="1"/>
    <col min="15896" max="16128" width="9.140625" style="16"/>
    <col min="16129" max="16129" width="5" style="16" customWidth="1"/>
    <col min="16130" max="16130" width="18" style="16" customWidth="1"/>
    <col min="16131" max="16131" width="9.28515625" style="16" customWidth="1"/>
    <col min="16132" max="16132" width="7.5703125" style="16" customWidth="1"/>
    <col min="16133" max="16133" width="8.5703125" style="16" bestFit="1" customWidth="1"/>
    <col min="16134" max="16134" width="9.28515625" style="16" bestFit="1" customWidth="1"/>
    <col min="16135" max="16135" width="8.42578125" style="16" bestFit="1" customWidth="1"/>
    <col min="16136" max="16136" width="9.7109375" style="16" bestFit="1" customWidth="1"/>
    <col min="16137" max="16137" width="10.140625" style="16" customWidth="1"/>
    <col min="16138" max="16138" width="9.7109375" style="16" customWidth="1"/>
    <col min="16139" max="16139" width="9.28515625" style="16" customWidth="1"/>
    <col min="16140" max="16140" width="9.42578125" style="16" customWidth="1"/>
    <col min="16141" max="16141" width="8.5703125" style="16" customWidth="1"/>
    <col min="16142" max="16142" width="8.140625" style="16" customWidth="1"/>
    <col min="16143" max="16143" width="11.140625" style="16" customWidth="1"/>
    <col min="16144" max="16148" width="9.140625" style="16"/>
    <col min="16149" max="16149" width="12.42578125" style="16" customWidth="1"/>
    <col min="16150" max="16150" width="9.140625" style="16"/>
    <col min="16151" max="16151" width="12" style="16" customWidth="1"/>
    <col min="16152" max="16384" width="9.140625" style="16"/>
  </cols>
  <sheetData>
    <row r="1" spans="1:20" s="1" customFormat="1" x14ac:dyDescent="0.2">
      <c r="A1" s="867" t="s">
        <v>449</v>
      </c>
      <c r="B1" s="868"/>
      <c r="C1" s="868"/>
      <c r="D1" s="869"/>
      <c r="E1" s="868"/>
      <c r="F1" s="868"/>
      <c r="G1" s="867" t="s">
        <v>102</v>
      </c>
      <c r="H1" s="869"/>
      <c r="I1" s="869" t="s">
        <v>1184</v>
      </c>
      <c r="J1" s="868"/>
      <c r="K1" s="868"/>
      <c r="L1" s="870"/>
      <c r="M1" s="870"/>
      <c r="N1" s="870"/>
      <c r="O1" s="870"/>
    </row>
    <row r="2" spans="1:20" s="1" customFormat="1" x14ac:dyDescent="0.2">
      <c r="A2" s="867" t="s">
        <v>103</v>
      </c>
      <c r="B2" s="868"/>
      <c r="C2" s="868"/>
      <c r="D2" s="869"/>
      <c r="E2" s="868"/>
      <c r="F2" s="868"/>
      <c r="G2" s="867" t="s">
        <v>104</v>
      </c>
      <c r="H2" s="869"/>
      <c r="I2" s="869" t="s">
        <v>105</v>
      </c>
      <c r="J2" s="868"/>
      <c r="K2" s="868"/>
      <c r="L2" s="870"/>
      <c r="M2" s="870"/>
      <c r="N2" s="870"/>
      <c r="O2" s="870"/>
    </row>
    <row r="3" spans="1:20" s="1" customFormat="1" x14ac:dyDescent="0.2">
      <c r="A3" s="867" t="s">
        <v>106</v>
      </c>
      <c r="B3" s="868"/>
      <c r="C3" s="868"/>
      <c r="D3" s="881">
        <v>25013</v>
      </c>
      <c r="E3" s="882"/>
      <c r="F3" s="882"/>
      <c r="G3" s="867" t="s">
        <v>107</v>
      </c>
      <c r="H3" s="869"/>
      <c r="I3" s="869" t="s">
        <v>108</v>
      </c>
      <c r="J3" s="868"/>
      <c r="K3" s="868"/>
      <c r="L3" s="870"/>
      <c r="M3" s="870"/>
      <c r="N3" s="870"/>
      <c r="O3" s="870"/>
    </row>
    <row r="4" spans="1:20" s="1" customFormat="1" x14ac:dyDescent="0.2">
      <c r="A4" s="867" t="s">
        <v>109</v>
      </c>
      <c r="B4" s="868"/>
      <c r="C4" s="868"/>
      <c r="D4" s="869"/>
      <c r="E4" s="868"/>
      <c r="F4" s="868"/>
      <c r="G4" s="867" t="s">
        <v>110</v>
      </c>
      <c r="H4" s="869"/>
      <c r="I4" s="869" t="s">
        <v>419</v>
      </c>
      <c r="J4" s="868"/>
      <c r="K4" s="868"/>
      <c r="L4" s="870"/>
      <c r="M4" s="870"/>
      <c r="N4" s="870"/>
      <c r="O4" s="870"/>
    </row>
    <row r="5" spans="1:20" s="1" customFormat="1" x14ac:dyDescent="0.2">
      <c r="A5" s="867" t="s">
        <v>1210</v>
      </c>
      <c r="B5" s="868"/>
      <c r="C5" s="868"/>
      <c r="D5" s="883">
        <v>32853</v>
      </c>
      <c r="E5" s="868"/>
      <c r="F5" s="868"/>
      <c r="G5" s="867"/>
      <c r="H5" s="868"/>
      <c r="I5" s="869" t="s">
        <v>113</v>
      </c>
      <c r="J5" s="868"/>
      <c r="K5" s="868"/>
      <c r="L5" s="870"/>
      <c r="M5" s="870"/>
      <c r="N5" s="870"/>
      <c r="O5" s="870"/>
    </row>
    <row r="6" spans="1:20" s="1" customFormat="1" x14ac:dyDescent="0.2">
      <c r="A6" s="871" t="s">
        <v>114</v>
      </c>
      <c r="B6" s="872"/>
      <c r="C6" s="872"/>
      <c r="D6" s="868" t="s">
        <v>1185</v>
      </c>
      <c r="E6" s="868"/>
      <c r="F6" s="868"/>
      <c r="G6" s="871" t="s">
        <v>115</v>
      </c>
      <c r="H6" s="871"/>
      <c r="I6" s="2" t="s">
        <v>116</v>
      </c>
      <c r="J6" s="888"/>
      <c r="K6" s="888"/>
      <c r="L6" s="888"/>
      <c r="M6" s="888"/>
      <c r="N6" s="888"/>
      <c r="O6" s="889"/>
    </row>
    <row r="7" spans="1:20" s="1" customFormat="1" ht="13.5" thickBot="1" x14ac:dyDescent="0.25">
      <c r="A7" s="3"/>
      <c r="B7" s="4"/>
      <c r="C7" s="5"/>
      <c r="D7" s="6"/>
      <c r="E7" s="6"/>
      <c r="F7" s="6"/>
      <c r="G7" s="1075" t="s">
        <v>223</v>
      </c>
      <c r="H7" s="1076"/>
      <c r="I7" s="1076"/>
      <c r="J7" s="1076"/>
      <c r="K7" s="1076"/>
      <c r="L7" s="1076"/>
      <c r="M7" s="1076"/>
      <c r="N7" s="1076"/>
      <c r="O7" s="1077"/>
    </row>
    <row r="8" spans="1:20" s="11" customFormat="1" x14ac:dyDescent="0.2">
      <c r="A8" s="876" t="str">
        <f>I1</f>
        <v>Mr. D. M. Bhoir</v>
      </c>
      <c r="B8" s="877"/>
      <c r="C8" s="9">
        <v>43160</v>
      </c>
      <c r="D8" s="9">
        <v>43191</v>
      </c>
      <c r="E8" s="9">
        <v>43221</v>
      </c>
      <c r="F8" s="9">
        <v>43252</v>
      </c>
      <c r="G8" s="9">
        <v>43282</v>
      </c>
      <c r="H8" s="9">
        <v>43313</v>
      </c>
      <c r="I8" s="9">
        <v>43344</v>
      </c>
      <c r="J8" s="9">
        <v>43374</v>
      </c>
      <c r="K8" s="9">
        <v>43405</v>
      </c>
      <c r="L8" s="9">
        <v>43435</v>
      </c>
      <c r="M8" s="9">
        <v>43466</v>
      </c>
      <c r="N8" s="9">
        <v>43497</v>
      </c>
      <c r="O8" s="10" t="s">
        <v>117</v>
      </c>
      <c r="Q8" s="11" t="s">
        <v>116</v>
      </c>
    </row>
    <row r="9" spans="1:20" ht="15" x14ac:dyDescent="0.2">
      <c r="A9" s="12"/>
      <c r="B9" s="13" t="s">
        <v>118</v>
      </c>
      <c r="C9" s="14">
        <v>66000</v>
      </c>
      <c r="D9" s="14">
        <v>66000</v>
      </c>
      <c r="E9" s="14">
        <v>66000</v>
      </c>
      <c r="F9" s="14">
        <v>66000</v>
      </c>
      <c r="G9" s="14">
        <v>68000</v>
      </c>
      <c r="H9" s="14">
        <v>68000</v>
      </c>
      <c r="I9" s="14">
        <v>68000</v>
      </c>
      <c r="J9" s="14">
        <v>68000</v>
      </c>
      <c r="K9" s="14">
        <v>68000</v>
      </c>
      <c r="L9" s="14">
        <v>68000</v>
      </c>
      <c r="M9" s="14">
        <v>68000</v>
      </c>
      <c r="N9" s="14">
        <v>68000</v>
      </c>
      <c r="O9" s="15">
        <f>SUM(C9:N9)</f>
        <v>808000</v>
      </c>
      <c r="Q9" s="16" t="s">
        <v>222</v>
      </c>
    </row>
    <row r="10" spans="1:20" ht="15.75" x14ac:dyDescent="0.25">
      <c r="A10" s="12"/>
      <c r="B10" s="13" t="s">
        <v>119</v>
      </c>
      <c r="C10" s="17">
        <v>0</v>
      </c>
      <c r="D10" s="17">
        <v>0</v>
      </c>
      <c r="E10" s="17">
        <v>0</v>
      </c>
      <c r="F10" s="17">
        <v>0</v>
      </c>
      <c r="G10" s="17">
        <v>0</v>
      </c>
      <c r="H10" s="17">
        <v>0</v>
      </c>
      <c r="I10" s="17">
        <v>0</v>
      </c>
      <c r="J10" s="17">
        <v>0</v>
      </c>
      <c r="K10" s="17">
        <v>0</v>
      </c>
      <c r="L10" s="17">
        <v>0</v>
      </c>
      <c r="M10" s="17">
        <v>0</v>
      </c>
      <c r="N10" s="17">
        <v>0</v>
      </c>
      <c r="O10" s="18">
        <f>SUM(C10:N10)</f>
        <v>0</v>
      </c>
      <c r="T10" s="200"/>
    </row>
    <row r="11" spans="1:20" ht="15.75" x14ac:dyDescent="0.25">
      <c r="A11" s="12"/>
      <c r="B11" s="13" t="s">
        <v>120</v>
      </c>
      <c r="C11" s="17">
        <v>3300</v>
      </c>
      <c r="D11" s="17">
        <v>4620</v>
      </c>
      <c r="E11" s="17">
        <v>4620</v>
      </c>
      <c r="F11" s="17">
        <v>4620</v>
      </c>
      <c r="G11" s="17">
        <v>4760</v>
      </c>
      <c r="H11" s="17">
        <v>4760</v>
      </c>
      <c r="I11" s="17">
        <v>4760</v>
      </c>
      <c r="J11" s="17">
        <v>6120</v>
      </c>
      <c r="K11" s="17">
        <v>6120</v>
      </c>
      <c r="L11" s="17">
        <v>6120</v>
      </c>
      <c r="M11" s="17">
        <v>6120</v>
      </c>
      <c r="N11" s="17">
        <v>6120</v>
      </c>
      <c r="O11" s="18">
        <f>SUM(C11:N11)</f>
        <v>62040</v>
      </c>
      <c r="T11" s="200"/>
    </row>
    <row r="12" spans="1:20"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20"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9" si="0">SUM(C13:N13)</f>
        <v>0</v>
      </c>
    </row>
    <row r="14" spans="1:20" ht="15" x14ac:dyDescent="0.2">
      <c r="A14" s="12"/>
      <c r="B14" s="13" t="s">
        <v>123</v>
      </c>
      <c r="C14" s="17">
        <v>3780</v>
      </c>
      <c r="D14" s="17">
        <v>3852</v>
      </c>
      <c r="E14" s="17">
        <v>3852</v>
      </c>
      <c r="F14" s="17">
        <v>3852</v>
      </c>
      <c r="G14" s="17">
        <v>3852</v>
      </c>
      <c r="H14" s="17">
        <v>3852</v>
      </c>
      <c r="I14" s="17">
        <v>3852</v>
      </c>
      <c r="J14" s="17">
        <v>3924</v>
      </c>
      <c r="K14" s="17">
        <v>3924</v>
      </c>
      <c r="L14" s="17">
        <v>3924</v>
      </c>
      <c r="M14" s="17">
        <v>3924</v>
      </c>
      <c r="N14" s="17">
        <v>3924</v>
      </c>
      <c r="O14" s="18">
        <f t="shared" si="0"/>
        <v>46512</v>
      </c>
    </row>
    <row r="15" spans="1:20"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20" ht="15" hidden="1" x14ac:dyDescent="0.2">
      <c r="A16" s="12"/>
      <c r="B16" s="13" t="s">
        <v>405</v>
      </c>
      <c r="C16" s="17">
        <v>0</v>
      </c>
      <c r="D16" s="17">
        <v>0</v>
      </c>
      <c r="E16" s="17">
        <v>0</v>
      </c>
      <c r="F16" s="17">
        <v>0</v>
      </c>
      <c r="G16" s="17">
        <v>0</v>
      </c>
      <c r="H16" s="17">
        <v>0</v>
      </c>
      <c r="I16" s="17">
        <v>0</v>
      </c>
      <c r="J16" s="17">
        <v>0</v>
      </c>
      <c r="K16" s="17">
        <v>0</v>
      </c>
      <c r="L16" s="17">
        <v>0</v>
      </c>
      <c r="M16" s="17">
        <v>0</v>
      </c>
      <c r="N16" s="17">
        <v>0</v>
      </c>
      <c r="O16" s="18">
        <f t="shared" si="0"/>
        <v>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hidden="1" x14ac:dyDescent="0.2">
      <c r="A18" s="12"/>
      <c r="B18" s="13" t="s">
        <v>609</v>
      </c>
      <c r="C18" s="17">
        <v>0</v>
      </c>
      <c r="D18" s="17">
        <v>0</v>
      </c>
      <c r="E18" s="17">
        <v>0</v>
      </c>
      <c r="F18" s="17">
        <v>0</v>
      </c>
      <c r="G18" s="17">
        <v>0</v>
      </c>
      <c r="H18" s="17">
        <v>0</v>
      </c>
      <c r="I18" s="17">
        <v>0</v>
      </c>
      <c r="J18" s="17">
        <v>0</v>
      </c>
      <c r="K18" s="17">
        <v>0</v>
      </c>
      <c r="L18" s="17">
        <v>0</v>
      </c>
      <c r="M18" s="17">
        <v>0</v>
      </c>
      <c r="N18" s="17">
        <v>0</v>
      </c>
      <c r="O18" s="18">
        <f t="shared" si="0"/>
        <v>0</v>
      </c>
    </row>
    <row r="19" spans="1:15" ht="25.5" x14ac:dyDescent="0.2">
      <c r="A19" s="12"/>
      <c r="B19" s="340" t="s">
        <v>252</v>
      </c>
      <c r="C19" s="17">
        <v>0</v>
      </c>
      <c r="D19" s="17">
        <v>0</v>
      </c>
      <c r="E19" s="17">
        <v>0</v>
      </c>
      <c r="F19" s="17">
        <v>0</v>
      </c>
      <c r="G19" s="17">
        <v>0</v>
      </c>
      <c r="H19" s="17">
        <v>0</v>
      </c>
      <c r="I19" s="17">
        <v>0</v>
      </c>
      <c r="J19" s="17">
        <v>0</v>
      </c>
      <c r="K19" s="17">
        <v>0</v>
      </c>
      <c r="L19" s="17">
        <v>24707</v>
      </c>
      <c r="M19" s="17">
        <v>0</v>
      </c>
      <c r="N19" s="17">
        <v>0</v>
      </c>
      <c r="O19" s="18">
        <f t="shared" si="0"/>
        <v>24707</v>
      </c>
    </row>
    <row r="20" spans="1:15" ht="15.75" customHeight="1" x14ac:dyDescent="0.2">
      <c r="A20" s="12"/>
      <c r="B20" s="13" t="s">
        <v>128</v>
      </c>
      <c r="C20" s="17">
        <v>15840</v>
      </c>
      <c r="D20" s="17">
        <v>15840</v>
      </c>
      <c r="E20" s="17">
        <v>15840</v>
      </c>
      <c r="F20" s="17">
        <v>15840</v>
      </c>
      <c r="G20" s="17">
        <v>16320</v>
      </c>
      <c r="H20" s="17">
        <v>16320</v>
      </c>
      <c r="I20" s="17">
        <v>16320</v>
      </c>
      <c r="J20" s="17">
        <v>16320</v>
      </c>
      <c r="K20" s="17">
        <v>16320</v>
      </c>
      <c r="L20" s="17">
        <v>16320</v>
      </c>
      <c r="M20" s="17">
        <v>16320</v>
      </c>
      <c r="N20" s="17">
        <v>16320</v>
      </c>
      <c r="O20" s="18">
        <f t="shared" si="0"/>
        <v>193920</v>
      </c>
    </row>
    <row r="21" spans="1:15" ht="12.75" hidden="1" customHeight="1" x14ac:dyDescent="0.2">
      <c r="A21" s="12"/>
      <c r="B21" s="13" t="s">
        <v>129</v>
      </c>
      <c r="C21" s="17">
        <v>0</v>
      </c>
      <c r="D21" s="17">
        <v>0</v>
      </c>
      <c r="E21" s="17">
        <v>0</v>
      </c>
      <c r="F21" s="17">
        <v>0</v>
      </c>
      <c r="G21" s="17">
        <v>26250</v>
      </c>
      <c r="H21" s="17">
        <v>0</v>
      </c>
      <c r="I21" s="17">
        <v>0</v>
      </c>
      <c r="J21" s="17">
        <v>0</v>
      </c>
      <c r="K21" s="17">
        <v>0</v>
      </c>
      <c r="L21" s="17">
        <v>0</v>
      </c>
      <c r="M21" s="17">
        <v>0</v>
      </c>
      <c r="N21" s="17">
        <v>0</v>
      </c>
      <c r="O21" s="18">
        <f t="shared" si="0"/>
        <v>26250</v>
      </c>
    </row>
    <row r="22" spans="1:15" ht="0.75" hidden="1" customHeight="1" x14ac:dyDescent="0.2">
      <c r="A22" s="878" t="s">
        <v>130</v>
      </c>
      <c r="B22" s="19" t="s">
        <v>131</v>
      </c>
      <c r="C22" s="17">
        <v>0</v>
      </c>
      <c r="D22" s="17">
        <v>0</v>
      </c>
      <c r="E22" s="17">
        <v>0</v>
      </c>
      <c r="F22" s="17">
        <v>0</v>
      </c>
      <c r="G22" s="17">
        <v>0</v>
      </c>
      <c r="H22" s="17">
        <v>0</v>
      </c>
      <c r="I22" s="17">
        <v>0</v>
      </c>
      <c r="J22" s="17">
        <v>0</v>
      </c>
      <c r="K22" s="17">
        <v>0</v>
      </c>
      <c r="L22" s="17">
        <v>0</v>
      </c>
      <c r="M22" s="17">
        <v>0</v>
      </c>
      <c r="N22" s="17">
        <v>0</v>
      </c>
      <c r="O22" s="18">
        <f t="shared" si="0"/>
        <v>0</v>
      </c>
    </row>
    <row r="23" spans="1:15" ht="0.75" hidden="1" customHeight="1" x14ac:dyDescent="0.2">
      <c r="A23" s="879"/>
      <c r="B23" s="19"/>
      <c r="C23" s="17"/>
      <c r="D23" s="17"/>
      <c r="E23" s="17"/>
      <c r="F23" s="17"/>
      <c r="G23" s="17"/>
      <c r="H23" s="17"/>
      <c r="I23" s="17"/>
      <c r="J23" s="17"/>
      <c r="K23" s="17"/>
      <c r="L23" s="17"/>
      <c r="M23" s="17"/>
      <c r="N23" s="17"/>
      <c r="O23" s="18"/>
    </row>
    <row r="24" spans="1:15" ht="0.75" customHeight="1" x14ac:dyDescent="0.2">
      <c r="A24" s="879"/>
      <c r="B24" s="19"/>
      <c r="C24" s="17"/>
      <c r="D24" s="17"/>
      <c r="E24" s="17"/>
      <c r="F24" s="17"/>
      <c r="G24" s="17"/>
      <c r="H24" s="17"/>
      <c r="I24" s="17"/>
      <c r="J24" s="17"/>
      <c r="K24" s="17"/>
      <c r="L24" s="17"/>
      <c r="M24" s="17"/>
      <c r="N24" s="17"/>
      <c r="O24" s="18"/>
    </row>
    <row r="25" spans="1:15" ht="15" customHeight="1" x14ac:dyDescent="0.2">
      <c r="A25" s="879"/>
      <c r="B25" s="19" t="s">
        <v>132</v>
      </c>
      <c r="C25" s="17">
        <v>0</v>
      </c>
      <c r="D25" s="17">
        <v>0</v>
      </c>
      <c r="E25" s="17">
        <v>0</v>
      </c>
      <c r="F25" s="17">
        <v>0</v>
      </c>
      <c r="G25" s="17">
        <v>0</v>
      </c>
      <c r="H25" s="17">
        <v>0</v>
      </c>
      <c r="I25" s="17">
        <v>0</v>
      </c>
      <c r="J25" s="17">
        <v>6908</v>
      </c>
      <c r="K25" s="17">
        <v>0</v>
      </c>
      <c r="L25" s="17">
        <v>0</v>
      </c>
      <c r="M25" s="17">
        <v>0</v>
      </c>
      <c r="N25" s="17">
        <v>0</v>
      </c>
      <c r="O25" s="18">
        <f t="shared" si="0"/>
        <v>6908</v>
      </c>
    </row>
    <row r="26" spans="1:15" ht="15" hidden="1" customHeight="1" x14ac:dyDescent="0.2">
      <c r="A26" s="879"/>
      <c r="B26" s="19" t="s">
        <v>133</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79"/>
      <c r="B27" s="19" t="s">
        <v>134</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79"/>
      <c r="B28" s="19" t="s">
        <v>135</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79"/>
      <c r="B29" s="19" t="s">
        <v>136</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79"/>
      <c r="B30" s="19" t="s">
        <v>137</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79"/>
      <c r="B31" s="19" t="s">
        <v>138</v>
      </c>
      <c r="C31" s="17">
        <v>0</v>
      </c>
      <c r="D31" s="17">
        <v>0</v>
      </c>
      <c r="E31" s="17">
        <v>0</v>
      </c>
      <c r="F31" s="17">
        <v>0</v>
      </c>
      <c r="G31" s="17">
        <v>0</v>
      </c>
      <c r="H31" s="17">
        <v>0</v>
      </c>
      <c r="I31" s="17">
        <v>0</v>
      </c>
      <c r="J31" s="17">
        <v>0</v>
      </c>
      <c r="K31" s="17">
        <v>0</v>
      </c>
      <c r="L31" s="17">
        <v>0</v>
      </c>
      <c r="M31" s="17">
        <v>0</v>
      </c>
      <c r="N31" s="17">
        <v>0</v>
      </c>
      <c r="O31" s="18">
        <f t="shared" si="0"/>
        <v>0</v>
      </c>
    </row>
    <row r="32" spans="1:15" ht="15" hidden="1" customHeight="1" x14ac:dyDescent="0.2">
      <c r="A32" s="879"/>
      <c r="B32" s="19" t="s">
        <v>139</v>
      </c>
      <c r="C32" s="17">
        <v>0</v>
      </c>
      <c r="D32" s="17">
        <v>0</v>
      </c>
      <c r="E32" s="17">
        <v>0</v>
      </c>
      <c r="F32" s="17">
        <v>0</v>
      </c>
      <c r="G32" s="17">
        <v>0</v>
      </c>
      <c r="H32" s="17">
        <v>0</v>
      </c>
      <c r="I32" s="17">
        <v>0</v>
      </c>
      <c r="J32" s="17">
        <v>0</v>
      </c>
      <c r="K32" s="17">
        <v>0</v>
      </c>
      <c r="L32" s="17">
        <v>0</v>
      </c>
      <c r="M32" s="17">
        <v>0</v>
      </c>
      <c r="N32" s="17">
        <v>0</v>
      </c>
      <c r="O32" s="18">
        <f t="shared" si="0"/>
        <v>0</v>
      </c>
    </row>
    <row r="33" spans="1:17" ht="15" hidden="1" customHeight="1" x14ac:dyDescent="0.2">
      <c r="A33" s="879"/>
      <c r="B33" s="19" t="s">
        <v>140</v>
      </c>
      <c r="C33" s="17">
        <v>0</v>
      </c>
      <c r="D33" s="17">
        <v>0</v>
      </c>
      <c r="E33" s="17">
        <v>0</v>
      </c>
      <c r="F33" s="17">
        <v>0</v>
      </c>
      <c r="G33" s="17">
        <v>0</v>
      </c>
      <c r="H33" s="17">
        <v>0</v>
      </c>
      <c r="I33" s="17">
        <v>0</v>
      </c>
      <c r="J33" s="17">
        <v>0</v>
      </c>
      <c r="K33" s="17">
        <v>0</v>
      </c>
      <c r="L33" s="17">
        <v>0</v>
      </c>
      <c r="M33" s="17">
        <v>0</v>
      </c>
      <c r="N33" s="17">
        <v>0</v>
      </c>
      <c r="O33" s="18">
        <f t="shared" si="0"/>
        <v>0</v>
      </c>
    </row>
    <row r="34" spans="1:17" ht="15" hidden="1" customHeight="1" x14ac:dyDescent="0.2">
      <c r="A34" s="879"/>
      <c r="B34" s="19" t="s">
        <v>225</v>
      </c>
      <c r="C34" s="17">
        <v>0</v>
      </c>
      <c r="D34" s="17">
        <v>0</v>
      </c>
      <c r="E34" s="17">
        <v>0</v>
      </c>
      <c r="F34" s="17">
        <v>0</v>
      </c>
      <c r="G34" s="17">
        <v>0</v>
      </c>
      <c r="H34" s="17">
        <v>0</v>
      </c>
      <c r="I34" s="17">
        <v>0</v>
      </c>
      <c r="J34" s="17">
        <v>0</v>
      </c>
      <c r="K34" s="17">
        <v>0</v>
      </c>
      <c r="L34" s="17">
        <v>0</v>
      </c>
      <c r="M34" s="17">
        <v>0</v>
      </c>
      <c r="N34" s="17">
        <v>0</v>
      </c>
      <c r="O34" s="18">
        <f t="shared" si="0"/>
        <v>0</v>
      </c>
    </row>
    <row r="35" spans="1:17" ht="15" customHeight="1" x14ac:dyDescent="0.2">
      <c r="A35" s="879"/>
      <c r="B35" s="21" t="s">
        <v>142</v>
      </c>
      <c r="C35" s="17">
        <v>0</v>
      </c>
      <c r="D35" s="17">
        <v>0</v>
      </c>
      <c r="E35" s="17">
        <v>55491</v>
      </c>
      <c r="F35" s="17">
        <v>0</v>
      </c>
      <c r="G35" s="17">
        <v>0</v>
      </c>
      <c r="H35" s="17">
        <v>0</v>
      </c>
      <c r="I35" s="17">
        <v>0</v>
      </c>
      <c r="J35" s="17">
        <v>0</v>
      </c>
      <c r="K35" s="17">
        <v>0</v>
      </c>
      <c r="L35" s="17">
        <v>0</v>
      </c>
      <c r="M35" s="17">
        <v>0</v>
      </c>
      <c r="N35" s="17">
        <v>0</v>
      </c>
      <c r="O35" s="18">
        <f t="shared" si="0"/>
        <v>55491</v>
      </c>
    </row>
    <row r="36" spans="1:17" ht="19.5" hidden="1" customHeight="1" x14ac:dyDescent="0.2">
      <c r="A36" s="880"/>
      <c r="B36" s="19" t="s">
        <v>226</v>
      </c>
      <c r="C36" s="17">
        <v>0</v>
      </c>
      <c r="D36" s="17">
        <v>0</v>
      </c>
      <c r="E36" s="17">
        <v>0</v>
      </c>
      <c r="F36" s="17">
        <v>0</v>
      </c>
      <c r="G36" s="17">
        <v>0</v>
      </c>
      <c r="H36" s="17">
        <v>0</v>
      </c>
      <c r="I36" s="17">
        <v>0</v>
      </c>
      <c r="J36" s="17">
        <v>0</v>
      </c>
      <c r="K36" s="17">
        <v>0</v>
      </c>
      <c r="L36" s="17">
        <v>0</v>
      </c>
      <c r="M36" s="17">
        <v>0</v>
      </c>
      <c r="N36" s="17">
        <v>0</v>
      </c>
      <c r="O36" s="18">
        <f t="shared" si="0"/>
        <v>0</v>
      </c>
    </row>
    <row r="37" spans="1:17" ht="15" customHeight="1" x14ac:dyDescent="0.2">
      <c r="A37" s="865" t="s">
        <v>143</v>
      </c>
      <c r="B37" s="866"/>
      <c r="C37" s="17">
        <v>0</v>
      </c>
      <c r="D37" s="17">
        <v>0</v>
      </c>
      <c r="E37" s="17">
        <v>0</v>
      </c>
      <c r="F37" s="17">
        <v>0</v>
      </c>
      <c r="G37" s="17">
        <v>0</v>
      </c>
      <c r="H37" s="17">
        <v>0</v>
      </c>
      <c r="I37" s="17">
        <v>0</v>
      </c>
      <c r="J37" s="17">
        <v>0</v>
      </c>
      <c r="K37" s="17">
        <v>0</v>
      </c>
      <c r="L37" s="17">
        <v>0</v>
      </c>
      <c r="M37" s="17">
        <v>0</v>
      </c>
      <c r="N37" s="17">
        <v>0</v>
      </c>
      <c r="O37" s="18">
        <f t="shared" si="0"/>
        <v>0</v>
      </c>
    </row>
    <row r="38" spans="1:17" ht="15" customHeight="1" x14ac:dyDescent="0.2">
      <c r="A38" s="865" t="s">
        <v>145</v>
      </c>
      <c r="B38" s="866"/>
      <c r="C38" s="17">
        <v>0</v>
      </c>
      <c r="D38" s="17">
        <v>216</v>
      </c>
      <c r="E38" s="17">
        <v>0</v>
      </c>
      <c r="F38" s="17">
        <v>0</v>
      </c>
      <c r="G38" s="17">
        <v>0</v>
      </c>
      <c r="H38" s="17">
        <v>0</v>
      </c>
      <c r="I38" s="17">
        <v>0</v>
      </c>
      <c r="J38" s="17">
        <v>216</v>
      </c>
      <c r="K38" s="17">
        <v>0</v>
      </c>
      <c r="L38" s="17">
        <v>0</v>
      </c>
      <c r="M38" s="17">
        <v>0</v>
      </c>
      <c r="N38" s="17">
        <v>0</v>
      </c>
      <c r="O38" s="18">
        <f t="shared" si="0"/>
        <v>432</v>
      </c>
    </row>
    <row r="39" spans="1:17" ht="15" customHeight="1" x14ac:dyDescent="0.2">
      <c r="A39" s="865" t="s">
        <v>146</v>
      </c>
      <c r="B39" s="866"/>
      <c r="C39" s="17">
        <v>0</v>
      </c>
      <c r="D39" s="17">
        <v>3960</v>
      </c>
      <c r="E39" s="17">
        <v>0</v>
      </c>
      <c r="F39" s="17">
        <v>0</v>
      </c>
      <c r="G39" s="17">
        <v>0</v>
      </c>
      <c r="H39" s="17">
        <v>0</v>
      </c>
      <c r="I39" s="17">
        <v>0</v>
      </c>
      <c r="J39" s="17">
        <v>4080</v>
      </c>
      <c r="K39" s="17">
        <v>0</v>
      </c>
      <c r="L39" s="17">
        <v>0</v>
      </c>
      <c r="M39" s="17">
        <v>0</v>
      </c>
      <c r="N39" s="17">
        <v>0</v>
      </c>
      <c r="O39" s="18">
        <f t="shared" si="0"/>
        <v>8040</v>
      </c>
    </row>
    <row r="40" spans="1:17" ht="15" customHeight="1" x14ac:dyDescent="0.2">
      <c r="A40" s="22"/>
      <c r="B40" s="23" t="s">
        <v>147</v>
      </c>
      <c r="C40" s="24">
        <f t="shared" ref="C40:N40" si="1">SUM(C9:C39)</f>
        <v>88920</v>
      </c>
      <c r="D40" s="24">
        <f t="shared" si="1"/>
        <v>94488</v>
      </c>
      <c r="E40" s="24">
        <f t="shared" si="1"/>
        <v>145803</v>
      </c>
      <c r="F40" s="24">
        <f t="shared" si="1"/>
        <v>90312</v>
      </c>
      <c r="G40" s="24">
        <f t="shared" si="1"/>
        <v>119182</v>
      </c>
      <c r="H40" s="24">
        <f t="shared" si="1"/>
        <v>92932</v>
      </c>
      <c r="I40" s="24">
        <f t="shared" si="1"/>
        <v>92932</v>
      </c>
      <c r="J40" s="24">
        <f t="shared" si="1"/>
        <v>105568</v>
      </c>
      <c r="K40" s="24">
        <f t="shared" si="1"/>
        <v>94364</v>
      </c>
      <c r="L40" s="24">
        <f t="shared" si="1"/>
        <v>119071</v>
      </c>
      <c r="M40" s="24">
        <f t="shared" si="1"/>
        <v>94364</v>
      </c>
      <c r="N40" s="24">
        <f t="shared" si="1"/>
        <v>94364</v>
      </c>
      <c r="O40" s="25">
        <f t="shared" ref="O40:O53" si="2">SUM(C40:N40)</f>
        <v>1232300</v>
      </c>
      <c r="Q40" s="16">
        <f>44687*2+7156+46476*2+47799*2+14258+47799+6897+3454+50098*5</f>
        <v>607978</v>
      </c>
    </row>
    <row r="41" spans="1:17" ht="15" customHeight="1" x14ac:dyDescent="0.25">
      <c r="A41" s="853" t="s">
        <v>148</v>
      </c>
      <c r="B41" s="27" t="s">
        <v>149</v>
      </c>
      <c r="C41" s="28">
        <v>8100</v>
      </c>
      <c r="D41" s="28">
        <v>8500</v>
      </c>
      <c r="E41" s="28">
        <v>13549</v>
      </c>
      <c r="F41" s="28">
        <v>8000</v>
      </c>
      <c r="G41" s="28">
        <v>8000</v>
      </c>
      <c r="H41" s="28">
        <v>8000</v>
      </c>
      <c r="I41" s="28">
        <v>8000</v>
      </c>
      <c r="J41" s="28">
        <v>8000</v>
      </c>
      <c r="K41" s="28">
        <v>12500</v>
      </c>
      <c r="L41" s="28">
        <v>12500</v>
      </c>
      <c r="M41" s="28">
        <v>16515</v>
      </c>
      <c r="N41">
        <v>17760</v>
      </c>
      <c r="O41" s="18">
        <f t="shared" si="2"/>
        <v>129424</v>
      </c>
      <c r="P41" s="284"/>
    </row>
    <row r="42" spans="1:17" ht="15" x14ac:dyDescent="0.2">
      <c r="A42" s="854"/>
      <c r="B42" s="27" t="s">
        <v>150</v>
      </c>
      <c r="C42" s="28">
        <v>0</v>
      </c>
      <c r="D42" s="28">
        <v>0</v>
      </c>
      <c r="E42" s="28">
        <v>0</v>
      </c>
      <c r="F42" s="28">
        <v>0</v>
      </c>
      <c r="G42" s="28">
        <v>0</v>
      </c>
      <c r="H42" s="28">
        <v>0</v>
      </c>
      <c r="I42" s="28">
        <v>0</v>
      </c>
      <c r="J42" s="28">
        <v>0</v>
      </c>
      <c r="K42" s="28">
        <v>0</v>
      </c>
      <c r="L42" s="28">
        <v>0</v>
      </c>
      <c r="M42" s="28">
        <v>0</v>
      </c>
      <c r="N42" s="28">
        <v>0</v>
      </c>
      <c r="O42" s="18">
        <f t="shared" si="2"/>
        <v>0</v>
      </c>
    </row>
    <row r="43" spans="1:17" ht="15" x14ac:dyDescent="0.2">
      <c r="A43" s="854"/>
      <c r="B43" s="27" t="s">
        <v>151</v>
      </c>
      <c r="C43" s="28">
        <v>60</v>
      </c>
      <c r="D43" s="28">
        <v>60</v>
      </c>
      <c r="E43" s="28">
        <v>60</v>
      </c>
      <c r="F43" s="28">
        <v>60</v>
      </c>
      <c r="G43" s="28">
        <v>60</v>
      </c>
      <c r="H43" s="28">
        <v>60</v>
      </c>
      <c r="I43" s="28">
        <v>60</v>
      </c>
      <c r="J43" s="28">
        <v>60</v>
      </c>
      <c r="K43" s="28">
        <v>0</v>
      </c>
      <c r="L43" s="28">
        <v>0</v>
      </c>
      <c r="M43" s="28">
        <v>0</v>
      </c>
      <c r="N43" s="28">
        <v>0</v>
      </c>
      <c r="O43" s="18">
        <f t="shared" si="2"/>
        <v>480</v>
      </c>
    </row>
    <row r="44" spans="1:17" ht="15" x14ac:dyDescent="0.2">
      <c r="A44" s="854"/>
      <c r="B44" s="27" t="s">
        <v>152</v>
      </c>
      <c r="C44" s="28">
        <v>0</v>
      </c>
      <c r="D44" s="28">
        <v>0</v>
      </c>
      <c r="E44" s="28">
        <v>0</v>
      </c>
      <c r="F44" s="28">
        <v>0</v>
      </c>
      <c r="G44" s="28">
        <v>0</v>
      </c>
      <c r="H44" s="28">
        <v>0</v>
      </c>
      <c r="I44" s="28">
        <v>0</v>
      </c>
      <c r="J44" s="28">
        <v>0</v>
      </c>
      <c r="K44" s="28">
        <v>0</v>
      </c>
      <c r="L44" s="28">
        <v>0</v>
      </c>
      <c r="M44" s="28">
        <v>0</v>
      </c>
      <c r="N44" s="28">
        <v>0</v>
      </c>
      <c r="O44" s="18">
        <f t="shared" si="2"/>
        <v>0</v>
      </c>
    </row>
    <row r="45" spans="1:17" ht="15" x14ac:dyDescent="0.2">
      <c r="A45" s="854"/>
      <c r="B45" s="27" t="s">
        <v>153</v>
      </c>
      <c r="C45" s="28">
        <v>0</v>
      </c>
      <c r="D45" s="28">
        <v>0</v>
      </c>
      <c r="E45" s="28">
        <v>0</v>
      </c>
      <c r="F45" s="28">
        <v>0</v>
      </c>
      <c r="G45" s="28">
        <v>0</v>
      </c>
      <c r="H45" s="28">
        <v>0</v>
      </c>
      <c r="I45" s="28">
        <v>0</v>
      </c>
      <c r="J45" s="28">
        <v>0</v>
      </c>
      <c r="K45" s="28">
        <v>0</v>
      </c>
      <c r="L45" s="28">
        <v>0</v>
      </c>
      <c r="M45" s="28">
        <v>0</v>
      </c>
      <c r="N45" s="28">
        <v>0</v>
      </c>
      <c r="O45" s="18">
        <f t="shared" si="2"/>
        <v>0</v>
      </c>
    </row>
    <row r="46" spans="1:17" ht="15" x14ac:dyDescent="0.2">
      <c r="A46" s="854"/>
      <c r="B46" s="27" t="s">
        <v>154</v>
      </c>
      <c r="C46" s="28">
        <v>25000</v>
      </c>
      <c r="D46" s="28">
        <v>25000</v>
      </c>
      <c r="E46" s="28">
        <v>25000</v>
      </c>
      <c r="F46" s="28">
        <v>25000</v>
      </c>
      <c r="G46" s="28">
        <v>25000</v>
      </c>
      <c r="H46" s="28">
        <v>25000</v>
      </c>
      <c r="I46" s="28">
        <v>25000</v>
      </c>
      <c r="J46" s="28">
        <v>25000</v>
      </c>
      <c r="K46" s="28">
        <v>25000</v>
      </c>
      <c r="L46" s="28">
        <v>25000</v>
      </c>
      <c r="M46" s="28">
        <v>25000</v>
      </c>
      <c r="N46" s="28">
        <v>25000</v>
      </c>
      <c r="O46" s="18">
        <f t="shared" si="2"/>
        <v>300000</v>
      </c>
    </row>
    <row r="47" spans="1:17" ht="15" x14ac:dyDescent="0.2">
      <c r="A47" s="854"/>
      <c r="B47" s="27" t="s">
        <v>155</v>
      </c>
      <c r="C47" s="28">
        <v>200</v>
      </c>
      <c r="D47" s="28">
        <v>200</v>
      </c>
      <c r="E47" s="28">
        <v>200</v>
      </c>
      <c r="F47" s="28">
        <v>200</v>
      </c>
      <c r="G47" s="28">
        <v>200</v>
      </c>
      <c r="H47" s="28">
        <v>200</v>
      </c>
      <c r="I47" s="28">
        <v>200</v>
      </c>
      <c r="J47" s="28">
        <v>200</v>
      </c>
      <c r="K47" s="28">
        <v>200</v>
      </c>
      <c r="L47" s="28">
        <v>200</v>
      </c>
      <c r="M47" s="28">
        <v>200</v>
      </c>
      <c r="N47" s="28">
        <v>300</v>
      </c>
      <c r="O47" s="18">
        <f t="shared" si="2"/>
        <v>2500</v>
      </c>
    </row>
    <row r="48" spans="1:17" ht="30" x14ac:dyDescent="0.2">
      <c r="A48" s="854"/>
      <c r="B48" s="27" t="s">
        <v>424</v>
      </c>
      <c r="C48" s="28">
        <v>0</v>
      </c>
      <c r="D48" s="28">
        <v>0</v>
      </c>
      <c r="E48" s="28">
        <v>0</v>
      </c>
      <c r="F48" s="28">
        <v>0</v>
      </c>
      <c r="G48" s="28">
        <v>0</v>
      </c>
      <c r="H48" s="28">
        <v>0</v>
      </c>
      <c r="I48" s="28">
        <v>0</v>
      </c>
      <c r="J48" s="28">
        <v>0</v>
      </c>
      <c r="K48" s="28">
        <v>0</v>
      </c>
      <c r="L48" s="28">
        <v>0</v>
      </c>
      <c r="M48" s="28">
        <v>0</v>
      </c>
      <c r="N48" s="28">
        <v>0</v>
      </c>
      <c r="O48" s="18">
        <f t="shared" si="2"/>
        <v>0</v>
      </c>
    </row>
    <row r="49" spans="1:17" ht="15" x14ac:dyDescent="0.2">
      <c r="A49" s="854"/>
      <c r="B49" s="27" t="s">
        <v>157</v>
      </c>
      <c r="C49" s="28">
        <v>0</v>
      </c>
      <c r="D49" s="28">
        <v>0</v>
      </c>
      <c r="E49" s="28">
        <v>0</v>
      </c>
      <c r="F49" s="28">
        <v>0</v>
      </c>
      <c r="G49" s="28">
        <v>0</v>
      </c>
      <c r="H49" s="28">
        <v>0</v>
      </c>
      <c r="I49" s="28">
        <v>0</v>
      </c>
      <c r="J49" s="28">
        <v>0</v>
      </c>
      <c r="K49" s="28">
        <v>0</v>
      </c>
      <c r="L49" s="28">
        <v>0</v>
      </c>
      <c r="M49" s="28">
        <v>0</v>
      </c>
      <c r="N49" s="28">
        <v>0</v>
      </c>
      <c r="O49" s="18">
        <f t="shared" si="2"/>
        <v>0</v>
      </c>
    </row>
    <row r="50" spans="1:17" ht="28.5" customHeight="1" x14ac:dyDescent="0.2">
      <c r="A50" s="855"/>
      <c r="B50" s="30" t="s">
        <v>158</v>
      </c>
      <c r="C50" s="28">
        <v>0</v>
      </c>
      <c r="D50" s="28">
        <v>0</v>
      </c>
      <c r="E50" s="28">
        <v>0</v>
      </c>
      <c r="F50" s="28">
        <v>0</v>
      </c>
      <c r="G50" s="28">
        <v>0</v>
      </c>
      <c r="H50" s="28">
        <v>0</v>
      </c>
      <c r="I50" s="28">
        <v>0</v>
      </c>
      <c r="J50" s="28">
        <v>0</v>
      </c>
      <c r="K50" s="28">
        <v>0</v>
      </c>
      <c r="L50" s="28">
        <v>0</v>
      </c>
      <c r="M50" s="28">
        <v>0</v>
      </c>
      <c r="N50" s="28">
        <v>0</v>
      </c>
      <c r="O50" s="31">
        <f t="shared" si="2"/>
        <v>0</v>
      </c>
    </row>
    <row r="51" spans="1:17" ht="21.75" x14ac:dyDescent="0.2">
      <c r="A51" s="856"/>
      <c r="B51" s="306" t="s">
        <v>1211</v>
      </c>
      <c r="C51" s="28">
        <v>0</v>
      </c>
      <c r="D51" s="28">
        <v>0</v>
      </c>
      <c r="E51" s="28">
        <v>0</v>
      </c>
      <c r="F51" s="28">
        <v>0</v>
      </c>
      <c r="G51" s="28">
        <v>0</v>
      </c>
      <c r="H51" s="28">
        <v>0</v>
      </c>
      <c r="I51" s="28">
        <v>0</v>
      </c>
      <c r="J51" s="28">
        <v>0</v>
      </c>
      <c r="K51" s="28">
        <v>0</v>
      </c>
      <c r="L51" s="28">
        <v>0</v>
      </c>
      <c r="M51" s="28">
        <v>0</v>
      </c>
      <c r="N51" s="28">
        <v>0</v>
      </c>
      <c r="O51" s="31">
        <f t="shared" si="2"/>
        <v>0</v>
      </c>
    </row>
    <row r="52" spans="1:17" ht="15" x14ac:dyDescent="0.2">
      <c r="A52" s="857" t="s">
        <v>160</v>
      </c>
      <c r="B52" s="858"/>
      <c r="C52" s="33">
        <f t="shared" ref="C52:N52" si="3">SUM(C41:C51)</f>
        <v>33360</v>
      </c>
      <c r="D52" s="33">
        <f t="shared" si="3"/>
        <v>33760</v>
      </c>
      <c r="E52" s="33">
        <f t="shared" si="3"/>
        <v>38809</v>
      </c>
      <c r="F52" s="33">
        <f t="shared" si="3"/>
        <v>33260</v>
      </c>
      <c r="G52" s="33">
        <f t="shared" si="3"/>
        <v>33260</v>
      </c>
      <c r="H52" s="33">
        <f t="shared" si="3"/>
        <v>33260</v>
      </c>
      <c r="I52" s="33">
        <f t="shared" si="3"/>
        <v>33260</v>
      </c>
      <c r="J52" s="33">
        <f t="shared" si="3"/>
        <v>33260</v>
      </c>
      <c r="K52" s="33">
        <f t="shared" si="3"/>
        <v>37700</v>
      </c>
      <c r="L52" s="33">
        <f t="shared" si="3"/>
        <v>37700</v>
      </c>
      <c r="M52" s="33">
        <f t="shared" si="3"/>
        <v>41715</v>
      </c>
      <c r="N52" s="33">
        <f t="shared" si="3"/>
        <v>43060</v>
      </c>
      <c r="O52" s="34">
        <f t="shared" si="2"/>
        <v>432404</v>
      </c>
    </row>
    <row r="53" spans="1:17" ht="15.75" thickBot="1" x14ac:dyDescent="0.25">
      <c r="A53" s="859" t="s">
        <v>161</v>
      </c>
      <c r="B53" s="860"/>
      <c r="C53" s="35">
        <f t="shared" ref="C53:N53" si="4">C40-C52</f>
        <v>55560</v>
      </c>
      <c r="D53" s="35">
        <f t="shared" si="4"/>
        <v>60728</v>
      </c>
      <c r="E53" s="35">
        <f t="shared" si="4"/>
        <v>106994</v>
      </c>
      <c r="F53" s="35">
        <f t="shared" si="4"/>
        <v>57052</v>
      </c>
      <c r="G53" s="35">
        <f t="shared" si="4"/>
        <v>85922</v>
      </c>
      <c r="H53" s="35">
        <f t="shared" si="4"/>
        <v>59672</v>
      </c>
      <c r="I53" s="35">
        <f t="shared" si="4"/>
        <v>59672</v>
      </c>
      <c r="J53" s="35">
        <f t="shared" si="4"/>
        <v>72308</v>
      </c>
      <c r="K53" s="35">
        <f t="shared" si="4"/>
        <v>56664</v>
      </c>
      <c r="L53" s="35">
        <f t="shared" si="4"/>
        <v>81371</v>
      </c>
      <c r="M53" s="35">
        <f t="shared" si="4"/>
        <v>52649</v>
      </c>
      <c r="N53" s="35">
        <f t="shared" si="4"/>
        <v>51304</v>
      </c>
      <c r="O53" s="36">
        <f t="shared" si="2"/>
        <v>799896</v>
      </c>
      <c r="Q53" s="16">
        <f>32042+29542+7156+31221+31341+32664+33064+14258+33439+6897+3454+35138+35138+34938*2+34722</f>
        <v>429952</v>
      </c>
    </row>
    <row r="54" spans="1:17" x14ac:dyDescent="0.2">
      <c r="J54" s="229">
        <f>+J40-SUM(J25:J39)</f>
        <v>94364</v>
      </c>
      <c r="Q54" s="38"/>
    </row>
    <row r="55" spans="1:17" ht="13.5" thickBot="1" x14ac:dyDescent="0.25">
      <c r="J55" s="38">
        <f>+J54-J52</f>
        <v>61104</v>
      </c>
    </row>
    <row r="56" spans="1:17" ht="13.5" thickBot="1" x14ac:dyDescent="0.25">
      <c r="B56" s="789" t="s">
        <v>162</v>
      </c>
      <c r="C56" s="861"/>
      <c r="D56" s="861"/>
      <c r="E56" s="861"/>
      <c r="F56" s="862"/>
      <c r="G56" s="863">
        <f>O40</f>
        <v>1232300</v>
      </c>
      <c r="H56" s="864"/>
    </row>
    <row r="57" spans="1:17" ht="13.5" thickBot="1" x14ac:dyDescent="0.25"/>
    <row r="58" spans="1:17" x14ac:dyDescent="0.2">
      <c r="B58" s="830" t="s">
        <v>163</v>
      </c>
      <c r="C58" s="833" t="s">
        <v>164</v>
      </c>
      <c r="D58" s="836" t="s">
        <v>229</v>
      </c>
      <c r="E58" s="837"/>
      <c r="F58" s="838"/>
      <c r="G58" s="839">
        <v>40000</v>
      </c>
      <c r="H58" s="840"/>
    </row>
    <row r="59" spans="1:17" x14ac:dyDescent="0.2">
      <c r="B59" s="831"/>
      <c r="C59" s="834"/>
      <c r="D59" s="841" t="s">
        <v>166</v>
      </c>
      <c r="E59" s="842"/>
      <c r="F59" s="843"/>
      <c r="G59" s="844">
        <f>+O47</f>
        <v>2500</v>
      </c>
      <c r="H59" s="845"/>
      <c r="I59" s="39"/>
      <c r="J59" s="846"/>
      <c r="K59" s="846"/>
      <c r="L59" s="846"/>
      <c r="M59" s="847"/>
      <c r="N59" s="847"/>
      <c r="O59" s="847"/>
    </row>
    <row r="60" spans="1:17" ht="13.5" thickBot="1" x14ac:dyDescent="0.25">
      <c r="B60" s="832"/>
      <c r="C60" s="835"/>
      <c r="D60" s="848" t="s">
        <v>129</v>
      </c>
      <c r="E60" s="849"/>
      <c r="F60" s="850"/>
      <c r="G60" s="851">
        <v>0</v>
      </c>
      <c r="H60" s="852"/>
      <c r="J60" s="47"/>
      <c r="K60" s="47"/>
      <c r="L60" s="47"/>
      <c r="M60" s="47"/>
      <c r="N60" s="47"/>
      <c r="O60" s="47"/>
    </row>
    <row r="61" spans="1:17" ht="13.5" thickBot="1" x14ac:dyDescent="0.25">
      <c r="B61" s="48"/>
      <c r="J61" s="47"/>
      <c r="K61" s="47"/>
      <c r="L61" s="47"/>
      <c r="M61" s="47"/>
      <c r="N61" s="47"/>
      <c r="O61" s="47"/>
    </row>
    <row r="62" spans="1:17" ht="13.5" thickBot="1" x14ac:dyDescent="0.25">
      <c r="B62" s="789" t="s">
        <v>168</v>
      </c>
      <c r="C62" s="790"/>
      <c r="D62" s="790"/>
      <c r="E62" s="790"/>
      <c r="F62" s="791"/>
      <c r="G62" s="825">
        <f>+G56-SUM(G58:H60)</f>
        <v>1189800</v>
      </c>
      <c r="H62" s="826"/>
      <c r="J62" s="827" t="s">
        <v>169</v>
      </c>
      <c r="K62" s="828"/>
      <c r="L62" s="828"/>
      <c r="M62" s="828"/>
      <c r="N62" s="828"/>
      <c r="O62" s="829"/>
    </row>
    <row r="63" spans="1:17" ht="13.5" thickBot="1" x14ac:dyDescent="0.25">
      <c r="B63" s="49"/>
      <c r="C63" s="50"/>
      <c r="D63" s="50"/>
      <c r="E63" s="50"/>
      <c r="F63" s="50"/>
      <c r="G63" s="45"/>
      <c r="H63" s="50"/>
      <c r="J63" s="129"/>
      <c r="K63" s="130"/>
      <c r="L63" s="130"/>
      <c r="M63" s="130"/>
      <c r="N63" s="130"/>
      <c r="O63" s="131"/>
    </row>
    <row r="64" spans="1:17" ht="13.5" thickBot="1" x14ac:dyDescent="0.25">
      <c r="B64" s="789" t="s">
        <v>170</v>
      </c>
      <c r="C64" s="790"/>
      <c r="D64" s="790"/>
      <c r="E64" s="790"/>
      <c r="F64" s="791"/>
      <c r="G64" s="805"/>
      <c r="H64" s="791"/>
      <c r="J64" s="129"/>
      <c r="K64" s="130"/>
      <c r="L64" s="130"/>
      <c r="M64" s="130"/>
      <c r="N64" s="130"/>
      <c r="O64" s="131"/>
    </row>
    <row r="65" spans="2:19" ht="12.75" customHeight="1" x14ac:dyDescent="0.2">
      <c r="B65" s="57" t="s">
        <v>171</v>
      </c>
      <c r="C65" s="806" t="s">
        <v>172</v>
      </c>
      <c r="D65" s="807"/>
      <c r="E65" s="807"/>
      <c r="F65" s="808"/>
      <c r="G65" s="809">
        <v>0</v>
      </c>
      <c r="H65" s="809"/>
      <c r="I65" s="58"/>
      <c r="J65" s="810" t="s">
        <v>173</v>
      </c>
      <c r="K65" s="811"/>
      <c r="L65" s="811"/>
      <c r="M65" s="811"/>
      <c r="N65" s="811"/>
      <c r="O65" s="812"/>
      <c r="Q65" s="59"/>
      <c r="R65" s="59"/>
      <c r="S65" s="59"/>
    </row>
    <row r="66" spans="2:19" ht="13.5" thickBot="1" x14ac:dyDescent="0.25">
      <c r="D66" s="37"/>
      <c r="I66" s="58"/>
      <c r="J66" s="60" t="s">
        <v>254</v>
      </c>
      <c r="K66" s="132"/>
      <c r="L66" s="132"/>
      <c r="M66" s="133"/>
      <c r="N66" s="133"/>
      <c r="O66" s="134"/>
      <c r="Q66" s="59"/>
      <c r="R66" s="59"/>
      <c r="S66" s="59"/>
    </row>
    <row r="67" spans="2:19" ht="13.5" thickBot="1" x14ac:dyDescent="0.25">
      <c r="B67" s="789" t="s">
        <v>175</v>
      </c>
      <c r="C67" s="790"/>
      <c r="D67" s="790"/>
      <c r="E67" s="790"/>
      <c r="F67" s="791"/>
      <c r="G67" s="805">
        <f>+G62-G65</f>
        <v>1189800</v>
      </c>
      <c r="H67" s="791"/>
      <c r="I67" s="63"/>
      <c r="J67" s="64"/>
      <c r="K67" s="39"/>
      <c r="L67" s="39"/>
      <c r="M67" s="39"/>
      <c r="N67" s="39"/>
      <c r="O67" s="65"/>
      <c r="Q67" s="59"/>
      <c r="R67" s="59"/>
      <c r="S67" s="59"/>
    </row>
    <row r="68" spans="2:19" ht="12.75" customHeight="1" x14ac:dyDescent="0.2">
      <c r="B68" s="48"/>
      <c r="C68" s="48"/>
      <c r="I68" s="63"/>
      <c r="J68" s="64"/>
      <c r="K68" s="39"/>
      <c r="L68" s="39"/>
      <c r="M68" s="39"/>
      <c r="N68" s="39"/>
      <c r="O68" s="65"/>
      <c r="Q68" s="59"/>
      <c r="R68" s="59"/>
      <c r="S68" s="59"/>
    </row>
    <row r="69" spans="2:19" x14ac:dyDescent="0.2">
      <c r="B69" s="66" t="s">
        <v>176</v>
      </c>
      <c r="C69" s="48"/>
      <c r="I69" s="63"/>
      <c r="J69" s="67"/>
      <c r="K69" s="68"/>
      <c r="L69" s="68"/>
      <c r="M69" s="68"/>
      <c r="N69" s="68"/>
      <c r="O69" s="69"/>
      <c r="Q69" s="59"/>
      <c r="R69" s="59"/>
      <c r="S69" s="59"/>
    </row>
    <row r="70" spans="2:19" ht="24" customHeight="1" thickBot="1" x14ac:dyDescent="0.25">
      <c r="B70" s="66"/>
      <c r="C70" s="48"/>
      <c r="G70" s="70" t="s">
        <v>177</v>
      </c>
      <c r="H70" s="70" t="s">
        <v>178</v>
      </c>
      <c r="I70" s="63"/>
      <c r="J70" s="810" t="s">
        <v>179</v>
      </c>
      <c r="K70" s="811"/>
      <c r="L70" s="71"/>
      <c r="M70" s="71"/>
      <c r="N70" s="71"/>
      <c r="O70" s="72"/>
      <c r="Q70" s="59"/>
      <c r="R70" s="59"/>
      <c r="S70" s="59"/>
    </row>
    <row r="71" spans="2:19" ht="12.75" customHeight="1" x14ac:dyDescent="0.2">
      <c r="B71" s="802" t="s">
        <v>180</v>
      </c>
      <c r="C71" s="821" t="s">
        <v>181</v>
      </c>
      <c r="D71" s="823" t="s">
        <v>182</v>
      </c>
      <c r="E71" s="824"/>
      <c r="F71" s="824"/>
      <c r="G71" s="73">
        <f>+O46</f>
        <v>300000</v>
      </c>
      <c r="H71" s="74">
        <f>+G71</f>
        <v>300000</v>
      </c>
      <c r="I71" s="63"/>
      <c r="J71" s="75"/>
      <c r="K71" s="58"/>
      <c r="L71" s="58"/>
      <c r="M71" s="58"/>
      <c r="N71" s="58"/>
      <c r="O71" s="76"/>
      <c r="Q71" s="59"/>
      <c r="R71" s="59"/>
      <c r="S71" s="59"/>
    </row>
    <row r="72" spans="2:19" ht="12.75" customHeight="1" x14ac:dyDescent="0.2">
      <c r="B72" s="803"/>
      <c r="C72" s="822"/>
      <c r="D72" s="782" t="s">
        <v>1212</v>
      </c>
      <c r="E72" s="783"/>
      <c r="F72" s="783"/>
      <c r="G72" s="77">
        <v>0</v>
      </c>
      <c r="H72" s="78">
        <f t="shared" ref="H72:H78" si="5">+G72</f>
        <v>0</v>
      </c>
      <c r="I72" s="63"/>
      <c r="J72" s="79"/>
      <c r="K72" s="68"/>
      <c r="L72" s="68"/>
      <c r="M72" s="68"/>
      <c r="N72" s="68"/>
      <c r="O72" s="136"/>
      <c r="Q72" s="59"/>
      <c r="R72" s="59"/>
      <c r="S72" s="59"/>
    </row>
    <row r="73" spans="2:19" ht="12.75" customHeight="1" x14ac:dyDescent="0.2">
      <c r="B73" s="803"/>
      <c r="C73" s="822"/>
      <c r="D73" s="819" t="s">
        <v>185</v>
      </c>
      <c r="E73" s="820"/>
      <c r="F73" s="820"/>
      <c r="G73" s="80">
        <f>O43</f>
        <v>480</v>
      </c>
      <c r="H73" s="78">
        <f t="shared" si="5"/>
        <v>480</v>
      </c>
      <c r="I73" s="63"/>
      <c r="J73" s="67"/>
      <c r="K73" s="68"/>
      <c r="L73" s="68"/>
      <c r="M73" s="68"/>
      <c r="N73" s="68"/>
      <c r="O73" s="69"/>
    </row>
    <row r="74" spans="2:19" x14ac:dyDescent="0.2">
      <c r="B74" s="803"/>
      <c r="C74" s="822"/>
      <c r="D74" s="782" t="s">
        <v>186</v>
      </c>
      <c r="E74" s="783"/>
      <c r="F74" s="783"/>
      <c r="G74" s="81">
        <v>0</v>
      </c>
      <c r="H74" s="78">
        <f t="shared" si="5"/>
        <v>0</v>
      </c>
      <c r="I74" s="63"/>
      <c r="J74" s="82" t="s">
        <v>187</v>
      </c>
      <c r="K74" s="71"/>
      <c r="L74" s="71"/>
      <c r="M74" s="71"/>
      <c r="N74" s="71"/>
      <c r="O74" s="72"/>
    </row>
    <row r="75" spans="2:19" ht="12.75" customHeight="1" x14ac:dyDescent="0.2">
      <c r="B75" s="803"/>
      <c r="C75" s="822"/>
      <c r="D75" s="782" t="s">
        <v>1207</v>
      </c>
      <c r="E75" s="783"/>
      <c r="F75" s="783"/>
      <c r="G75" s="80">
        <v>0</v>
      </c>
      <c r="H75" s="78">
        <f t="shared" si="5"/>
        <v>0</v>
      </c>
      <c r="I75" s="63"/>
      <c r="J75" s="75" t="s">
        <v>189</v>
      </c>
      <c r="K75" s="50"/>
      <c r="L75" s="50"/>
      <c r="M75" s="50"/>
      <c r="N75" s="50"/>
      <c r="O75" s="83">
        <v>0</v>
      </c>
    </row>
    <row r="76" spans="2:19" ht="14.25" customHeight="1" x14ac:dyDescent="0.2">
      <c r="B76" s="803"/>
      <c r="C76" s="822"/>
      <c r="D76" s="782" t="s">
        <v>190</v>
      </c>
      <c r="E76" s="783"/>
      <c r="F76" s="783"/>
      <c r="G76" s="84">
        <v>0</v>
      </c>
      <c r="H76" s="78">
        <f t="shared" si="5"/>
        <v>0</v>
      </c>
      <c r="I76" s="63"/>
      <c r="J76" s="64"/>
      <c r="K76" s="39"/>
      <c r="L76" s="39"/>
      <c r="M76" s="39"/>
      <c r="N76" s="39"/>
      <c r="O76" s="65"/>
    </row>
    <row r="77" spans="2:19" x14ac:dyDescent="0.2">
      <c r="B77" s="803"/>
      <c r="C77" s="822"/>
      <c r="D77" s="782" t="s">
        <v>191</v>
      </c>
      <c r="E77" s="783"/>
      <c r="F77" s="783"/>
      <c r="G77" s="81">
        <v>0</v>
      </c>
      <c r="H77" s="78">
        <f t="shared" si="5"/>
        <v>0</v>
      </c>
      <c r="I77" s="58"/>
      <c r="J77" s="150"/>
      <c r="K77" s="50"/>
      <c r="L77" s="50"/>
      <c r="M77" s="50"/>
      <c r="N77" s="50"/>
      <c r="O77" s="83"/>
    </row>
    <row r="78" spans="2:19" x14ac:dyDescent="0.2">
      <c r="B78" s="803"/>
      <c r="C78" s="88" t="s">
        <v>192</v>
      </c>
      <c r="D78" s="1074" t="s">
        <v>1208</v>
      </c>
      <c r="E78" s="814"/>
      <c r="F78" s="814"/>
      <c r="G78" s="80">
        <v>0</v>
      </c>
      <c r="H78" s="78">
        <f t="shared" si="5"/>
        <v>0</v>
      </c>
      <c r="I78" s="58"/>
      <c r="J78" s="79"/>
      <c r="K78" s="39"/>
      <c r="L78" s="39"/>
      <c r="M78" s="39"/>
      <c r="N78" s="39"/>
      <c r="O78" s="65"/>
    </row>
    <row r="79" spans="2:19" ht="13.5" customHeight="1" thickBot="1" x14ac:dyDescent="0.25">
      <c r="B79" s="803"/>
      <c r="C79" s="88" t="s">
        <v>194</v>
      </c>
      <c r="D79" s="815" t="s">
        <v>195</v>
      </c>
      <c r="E79" s="815"/>
      <c r="F79" s="815"/>
      <c r="G79" s="89">
        <v>0</v>
      </c>
      <c r="H79" s="90">
        <f>+G79</f>
        <v>0</v>
      </c>
      <c r="I79" s="63"/>
      <c r="J79" s="67"/>
      <c r="K79" s="68"/>
      <c r="L79" s="68"/>
      <c r="M79" s="91"/>
      <c r="N79" s="91"/>
      <c r="O79" s="92"/>
    </row>
    <row r="80" spans="2:19" ht="13.5" thickBot="1" x14ac:dyDescent="0.25">
      <c r="B80" s="803"/>
      <c r="C80" s="93"/>
      <c r="D80" s="94"/>
      <c r="E80" s="816" t="s">
        <v>117</v>
      </c>
      <c r="F80" s="817"/>
      <c r="G80" s="95">
        <f>SUM(G71:G79)</f>
        <v>300480</v>
      </c>
      <c r="H80" s="96">
        <f>IF(SUM(G71:G77)&lt;150000,SUM(G71:G77),150000)+IF(+G78&lt;20000,+G78,20000)</f>
        <v>150000</v>
      </c>
      <c r="I80" s="63"/>
      <c r="J80" s="140"/>
      <c r="K80" s="141"/>
      <c r="L80" s="141"/>
      <c r="M80" s="142"/>
      <c r="N80" s="142"/>
      <c r="O80" s="143"/>
    </row>
    <row r="81" spans="2:13" ht="12.75" customHeight="1" x14ac:dyDescent="0.2">
      <c r="B81" s="803"/>
      <c r="C81" s="100" t="s">
        <v>196</v>
      </c>
      <c r="D81" s="782" t="s">
        <v>187</v>
      </c>
      <c r="E81" s="783"/>
      <c r="F81" s="818"/>
      <c r="G81" s="73">
        <f>+O45</f>
        <v>0</v>
      </c>
      <c r="H81" s="101">
        <f>+IF(+G81&lt;25000,+G81,25000)</f>
        <v>0</v>
      </c>
      <c r="I81" s="87"/>
    </row>
    <row r="82" spans="2:13" x14ac:dyDescent="0.2">
      <c r="B82" s="803"/>
      <c r="C82" s="100" t="s">
        <v>197</v>
      </c>
      <c r="D82" s="784" t="s">
        <v>198</v>
      </c>
      <c r="E82" s="785"/>
      <c r="F82" s="786"/>
      <c r="G82" s="102"/>
      <c r="H82" s="103">
        <f>+IF(+G82&lt;40000,+G82,40000)</f>
        <v>0</v>
      </c>
      <c r="I82" s="63"/>
    </row>
    <row r="83" spans="2:13" x14ac:dyDescent="0.2">
      <c r="B83" s="803"/>
      <c r="C83" s="100" t="s">
        <v>199</v>
      </c>
      <c r="D83" s="784" t="s">
        <v>200</v>
      </c>
      <c r="E83" s="785"/>
      <c r="F83" s="786"/>
      <c r="G83" s="81"/>
      <c r="H83" s="104">
        <v>0</v>
      </c>
      <c r="I83" s="63"/>
      <c r="J83" s="416"/>
      <c r="K83" s="416"/>
      <c r="L83" s="416"/>
      <c r="M83" s="416"/>
    </row>
    <row r="84" spans="2:13" x14ac:dyDescent="0.2">
      <c r="B84" s="803"/>
      <c r="C84" s="100" t="s">
        <v>201</v>
      </c>
      <c r="D84" s="784" t="s">
        <v>202</v>
      </c>
      <c r="E84" s="785"/>
      <c r="F84" s="786"/>
      <c r="G84" s="81"/>
      <c r="H84" s="104">
        <v>0</v>
      </c>
      <c r="I84" s="63"/>
    </row>
    <row r="85" spans="2:13" ht="13.5" thickBot="1" x14ac:dyDescent="0.25">
      <c r="B85" s="804"/>
      <c r="C85" s="100" t="s">
        <v>203</v>
      </c>
      <c r="D85" s="784" t="s">
        <v>204</v>
      </c>
      <c r="E85" s="785"/>
      <c r="F85" s="786"/>
      <c r="G85" s="102"/>
      <c r="H85" s="103">
        <f>+IF(+G85&lt;100000,+G85,10000)</f>
        <v>0</v>
      </c>
      <c r="I85" s="63"/>
    </row>
    <row r="86" spans="2:13" ht="13.5" thickBot="1" x14ac:dyDescent="0.25">
      <c r="B86" s="787" t="s">
        <v>205</v>
      </c>
      <c r="C86" s="788"/>
      <c r="D86" s="788"/>
      <c r="E86" s="788"/>
      <c r="F86" s="788"/>
      <c r="G86" s="107">
        <f>SUM(G81:G85)</f>
        <v>0</v>
      </c>
      <c r="H86" s="108">
        <f>SUM(H80:H85)</f>
        <v>150000</v>
      </c>
    </row>
    <row r="87" spans="2:13" ht="13.5" thickBot="1" x14ac:dyDescent="0.25"/>
    <row r="88" spans="2:13" ht="13.5" thickBot="1" x14ac:dyDescent="0.25">
      <c r="B88" s="789" t="s">
        <v>206</v>
      </c>
      <c r="C88" s="790"/>
      <c r="D88" s="790"/>
      <c r="E88" s="790"/>
      <c r="F88" s="791"/>
      <c r="G88" s="1055">
        <f>ROUND(+G67-H86,-1)</f>
        <v>1039800</v>
      </c>
      <c r="H88" s="1056"/>
      <c r="J88" s="109">
        <f>C40+D40+E40+F40</f>
        <v>419523</v>
      </c>
      <c r="K88" s="16" t="s">
        <v>235</v>
      </c>
    </row>
    <row r="89" spans="2:13" x14ac:dyDescent="0.2">
      <c r="B89" s="110"/>
      <c r="F89" s="105"/>
      <c r="J89" s="109">
        <f>G40+H40+I40</f>
        <v>305046</v>
      </c>
      <c r="K89" s="16" t="s">
        <v>236</v>
      </c>
    </row>
    <row r="90" spans="2:13" x14ac:dyDescent="0.2">
      <c r="C90" s="793" t="s">
        <v>207</v>
      </c>
      <c r="D90" s="794"/>
      <c r="E90" s="111" t="s">
        <v>208</v>
      </c>
      <c r="F90" s="111" t="s">
        <v>209</v>
      </c>
      <c r="G90" s="111" t="s">
        <v>210</v>
      </c>
      <c r="H90" s="111" t="s">
        <v>211</v>
      </c>
      <c r="J90" s="109">
        <f>J40+K40+L40</f>
        <v>319003</v>
      </c>
      <c r="K90" s="47" t="s">
        <v>237</v>
      </c>
      <c r="L90" s="16">
        <f>+J90/3</f>
        <v>106334.33333333333</v>
      </c>
    </row>
    <row r="91" spans="2:13" x14ac:dyDescent="0.2">
      <c r="C91" s="795" t="str">
        <f>IF(I6="M","0          - 250000","0          -  250000")</f>
        <v>0          - 250000</v>
      </c>
      <c r="D91" s="796"/>
      <c r="E91" s="112">
        <v>0</v>
      </c>
      <c r="F91" s="113">
        <f>IF(I6="M",(IF(G88&lt;250000,G88,250000)),(IF(G88&lt;250000,G88,250000)))</f>
        <v>250000</v>
      </c>
      <c r="G91" s="113">
        <f>G88-F91</f>
        <v>789800</v>
      </c>
      <c r="H91" s="113">
        <f>E91*F91</f>
        <v>0</v>
      </c>
      <c r="J91" s="16">
        <f>M40+N40</f>
        <v>188728</v>
      </c>
      <c r="K91" s="1" t="s">
        <v>238</v>
      </c>
    </row>
    <row r="92" spans="2:13" x14ac:dyDescent="0.2">
      <c r="C92" s="795" t="str">
        <f>IF(I6="M","250001 - 500000","250001-500000")</f>
        <v>250001 - 500000</v>
      </c>
      <c r="D92" s="796"/>
      <c r="E92" s="112">
        <v>0.05</v>
      </c>
      <c r="F92" s="113">
        <f>IF(I6="M",(IF(G91&lt;250000,G91,250000)),(IF(G91&lt;250000,G91,250000)))</f>
        <v>250000</v>
      </c>
      <c r="G92" s="113">
        <f>G91-F92</f>
        <v>539800</v>
      </c>
      <c r="H92" s="114">
        <f>ROUND(E92*F92,0.1)</f>
        <v>12500</v>
      </c>
      <c r="J92" s="115">
        <f>SUM(J88:J91)</f>
        <v>1232300</v>
      </c>
    </row>
    <row r="93" spans="2:13" x14ac:dyDescent="0.2">
      <c r="C93" s="797" t="s">
        <v>212</v>
      </c>
      <c r="D93" s="798"/>
      <c r="E93" s="112">
        <v>0.2</v>
      </c>
      <c r="F93" s="113">
        <f>IF(G92&lt;500000,G92,500000)</f>
        <v>500000</v>
      </c>
      <c r="G93" s="113">
        <f>G92-F93</f>
        <v>39800</v>
      </c>
      <c r="H93" s="114">
        <f>ROUND(E93*F93,0.1)</f>
        <v>100000</v>
      </c>
      <c r="J93" s="16">
        <f>+G88</f>
        <v>1039800</v>
      </c>
    </row>
    <row r="94" spans="2:13" x14ac:dyDescent="0.2">
      <c r="C94" s="795" t="s">
        <v>213</v>
      </c>
      <c r="D94" s="796"/>
      <c r="E94" s="112">
        <v>0.3</v>
      </c>
      <c r="F94" s="113">
        <f>G93</f>
        <v>39800</v>
      </c>
      <c r="G94" s="113">
        <f>G93-F94</f>
        <v>0</v>
      </c>
      <c r="H94" s="114">
        <f>ROUND(E94*F94,0.1)</f>
        <v>11940</v>
      </c>
      <c r="J94" s="16">
        <f>+J92-J93</f>
        <v>192500</v>
      </c>
    </row>
    <row r="95" spans="2:13" ht="12.75" customHeight="1" thickBot="1" x14ac:dyDescent="0.25">
      <c r="B95" s="116"/>
      <c r="C95" s="117"/>
      <c r="D95" s="47"/>
      <c r="E95" s="47"/>
      <c r="F95" s="47"/>
      <c r="J95" s="16">
        <f>ROUND(+G88/12,0.1)</f>
        <v>86650</v>
      </c>
      <c r="K95" s="223"/>
    </row>
    <row r="96" spans="2:13" ht="13.5" thickBot="1" x14ac:dyDescent="0.25">
      <c r="B96" s="799" t="s">
        <v>239</v>
      </c>
      <c r="C96" s="800"/>
      <c r="D96" s="800"/>
      <c r="E96" s="800"/>
      <c r="F96" s="801"/>
      <c r="G96" s="771">
        <f>H91+H92+H93+H94</f>
        <v>124440</v>
      </c>
      <c r="H96" s="772"/>
    </row>
    <row r="97" spans="2:10" ht="14.25" customHeight="1" thickBot="1" x14ac:dyDescent="0.25">
      <c r="B97" s="119" t="s">
        <v>215</v>
      </c>
      <c r="C97" s="120"/>
      <c r="D97" s="120"/>
      <c r="E97" s="120"/>
      <c r="F97" s="120"/>
      <c r="G97" s="884">
        <f>IF((G67&lt;500000),5000,0)</f>
        <v>0</v>
      </c>
      <c r="H97" s="885">
        <f>IF(H95&lt;200000,0,IF(H95&lt;220000,((H95-200000)*10%),IF(H95&lt;=500000,2000,IF(H95&gt;=500000,0))))</f>
        <v>0</v>
      </c>
    </row>
    <row r="98" spans="2:10" ht="13.5" thickBot="1" x14ac:dyDescent="0.25">
      <c r="B98" s="122" t="s">
        <v>216</v>
      </c>
      <c r="C98" s="123"/>
      <c r="D98" s="123"/>
      <c r="E98" s="123"/>
      <c r="F98" s="123"/>
      <c r="G98" s="771">
        <f>IF((G96-G97)&lt;0,0,(G96-G97))</f>
        <v>124440</v>
      </c>
      <c r="H98" s="772"/>
    </row>
    <row r="99" spans="2:10" ht="13.5" thickBot="1" x14ac:dyDescent="0.25">
      <c r="B99" s="773" t="s">
        <v>240</v>
      </c>
      <c r="C99" s="774"/>
      <c r="D99" s="774"/>
      <c r="E99" s="774"/>
      <c r="F99" s="775"/>
      <c r="G99" s="776">
        <f>ROUND((IF(G98&gt;0,(G98*4%),0)),0)</f>
        <v>4978</v>
      </c>
      <c r="H99" s="777"/>
      <c r="I99" s="105"/>
    </row>
    <row r="100" spans="2:10" ht="13.5" thickBot="1" x14ac:dyDescent="0.25">
      <c r="B100" s="778" t="s">
        <v>218</v>
      </c>
      <c r="C100" s="779"/>
      <c r="D100" s="779"/>
      <c r="E100" s="779"/>
      <c r="F100" s="779"/>
      <c r="G100" s="780">
        <f>+G98+G99</f>
        <v>129418</v>
      </c>
      <c r="H100" s="781"/>
    </row>
    <row r="101" spans="2:10" ht="13.5" thickBot="1" x14ac:dyDescent="0.25">
      <c r="B101" s="765" t="s">
        <v>219</v>
      </c>
      <c r="C101" s="766"/>
      <c r="D101" s="766"/>
      <c r="E101" s="766"/>
      <c r="F101" s="766"/>
      <c r="G101" s="767">
        <f>O41</f>
        <v>129424</v>
      </c>
      <c r="H101" s="768"/>
    </row>
    <row r="102" spans="2:10" ht="13.5" thickBot="1" x14ac:dyDescent="0.25">
      <c r="B102" s="765" t="str">
        <f>IF(G102&gt;0,"TAX PAYABLE","TAX REFUND")</f>
        <v>TAX REFUND</v>
      </c>
      <c r="C102" s="766"/>
      <c r="D102" s="766"/>
      <c r="E102" s="766"/>
      <c r="F102" s="766"/>
      <c r="G102" s="767">
        <f>+G100-G101</f>
        <v>-6</v>
      </c>
      <c r="H102" s="768"/>
    </row>
    <row r="103" spans="2:10" x14ac:dyDescent="0.2">
      <c r="C103" s="124"/>
      <c r="D103" s="45"/>
      <c r="E103" s="118"/>
      <c r="F103" s="118"/>
      <c r="G103" s="118"/>
      <c r="H103" s="118"/>
      <c r="I103" s="87"/>
      <c r="J103" s="87"/>
    </row>
    <row r="104" spans="2:10" x14ac:dyDescent="0.2">
      <c r="C104" s="47"/>
      <c r="D104" s="50"/>
      <c r="E104" s="117"/>
      <c r="F104" s="47"/>
      <c r="G104" s="47"/>
      <c r="H104" s="47"/>
      <c r="I104" s="87"/>
      <c r="J104" s="87"/>
    </row>
    <row r="105" spans="2:10" x14ac:dyDescent="0.2">
      <c r="C105" s="39"/>
      <c r="D105" s="39"/>
      <c r="E105" s="39"/>
      <c r="F105" s="39"/>
      <c r="G105" s="39"/>
      <c r="H105" s="39"/>
    </row>
    <row r="106" spans="2:10" x14ac:dyDescent="0.2">
      <c r="C106" s="39"/>
      <c r="D106" s="39"/>
      <c r="E106" s="39"/>
      <c r="F106" s="39"/>
      <c r="G106" s="39"/>
      <c r="H106"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9:B39"/>
    <mergeCell ref="A5:C5"/>
    <mergeCell ref="D5:F5"/>
    <mergeCell ref="G5:H5"/>
    <mergeCell ref="I5:O5"/>
    <mergeCell ref="A6:C6"/>
    <mergeCell ref="D6:F6"/>
    <mergeCell ref="G6:H6"/>
    <mergeCell ref="J6:O6"/>
    <mergeCell ref="G7:O7"/>
    <mergeCell ref="A8:B8"/>
    <mergeCell ref="A22:A36"/>
    <mergeCell ref="A37:B37"/>
    <mergeCell ref="A38:B38"/>
    <mergeCell ref="A41:A51"/>
    <mergeCell ref="A52:B52"/>
    <mergeCell ref="A53:B53"/>
    <mergeCell ref="B56:F56"/>
    <mergeCell ref="G56:H56"/>
    <mergeCell ref="B62:F62"/>
    <mergeCell ref="G62:H62"/>
    <mergeCell ref="J62:O62"/>
    <mergeCell ref="B58:B60"/>
    <mergeCell ref="C58:C60"/>
    <mergeCell ref="D58:F58"/>
    <mergeCell ref="G58:H58"/>
    <mergeCell ref="D59:F59"/>
    <mergeCell ref="G59:H59"/>
    <mergeCell ref="J59:L59"/>
    <mergeCell ref="M59:O59"/>
    <mergeCell ref="D60:F60"/>
    <mergeCell ref="G60:H60"/>
    <mergeCell ref="J65:O65"/>
    <mergeCell ref="D83:F83"/>
    <mergeCell ref="J70:K70"/>
    <mergeCell ref="B67:F67"/>
    <mergeCell ref="G67:H67"/>
    <mergeCell ref="D78:F78"/>
    <mergeCell ref="D79:F79"/>
    <mergeCell ref="E80:F80"/>
    <mergeCell ref="D81:F81"/>
    <mergeCell ref="D82:F82"/>
    <mergeCell ref="D73:F73"/>
    <mergeCell ref="D74:F74"/>
    <mergeCell ref="C71:C77"/>
    <mergeCell ref="D71:F71"/>
    <mergeCell ref="D72:F72"/>
    <mergeCell ref="D76:F76"/>
    <mergeCell ref="G64:H64"/>
    <mergeCell ref="C65:F65"/>
    <mergeCell ref="G65:H65"/>
    <mergeCell ref="B64:F64"/>
    <mergeCell ref="D75:F75"/>
    <mergeCell ref="D77:F77"/>
    <mergeCell ref="G96:H96"/>
    <mergeCell ref="D84:F84"/>
    <mergeCell ref="D85:F85"/>
    <mergeCell ref="B86:F86"/>
    <mergeCell ref="B88:F88"/>
    <mergeCell ref="G88:H88"/>
    <mergeCell ref="C90:D90"/>
    <mergeCell ref="C91:D91"/>
    <mergeCell ref="C92:D92"/>
    <mergeCell ref="C93:D93"/>
    <mergeCell ref="C94:D94"/>
    <mergeCell ref="B96:F96"/>
    <mergeCell ref="B71:B85"/>
    <mergeCell ref="B102:F102"/>
    <mergeCell ref="G102:H102"/>
    <mergeCell ref="G97:H97"/>
    <mergeCell ref="G98:H98"/>
    <mergeCell ref="B99:F99"/>
    <mergeCell ref="G99:H99"/>
    <mergeCell ref="B100:F100"/>
    <mergeCell ref="G100:H100"/>
    <mergeCell ref="B101:F101"/>
    <mergeCell ref="G101:H101"/>
  </mergeCells>
  <conditionalFormatting sqref="B93:F93 B102:F102 B96:F100">
    <cfRule type="cellIs" dxfId="299" priority="3" stopIfTrue="1" operator="equal">
      <formula>"TAX PAYABLE"</formula>
    </cfRule>
    <cfRule type="cellIs" dxfId="298" priority="4" stopIfTrue="1" operator="equal">
      <formula>"TAX REFUND"</formula>
    </cfRule>
  </conditionalFormatting>
  <conditionalFormatting sqref="G93:H93">
    <cfRule type="cellIs" dxfId="297" priority="5" stopIfTrue="1" operator="lessThan">
      <formula>0</formula>
    </cfRule>
    <cfRule type="cellIs" dxfId="296" priority="6" stopIfTrue="1" operator="greaterThan">
      <formula>0</formula>
    </cfRule>
  </conditionalFormatting>
  <conditionalFormatting sqref="G102:H102">
    <cfRule type="cellIs" dxfId="295" priority="1" stopIfTrue="1" operator="greaterThan">
      <formula>0</formula>
    </cfRule>
    <cfRule type="cellIs" dxfId="294"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$Q$8:$Q$9</formula1>
    </dataValidation>
  </dataValidations>
  <pageMargins left="0.7" right="0.7" top="0.75" bottom="0.75" header="0.3" footer="0.3"/>
  <pageSetup paperSize="5" orientation="landscape" horizontalDpi="300" verticalDpi="300" r:id="rId1"/>
  <headerFooter alignWithMargins="0"/>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7"/>
  <sheetViews>
    <sheetView topLeftCell="A62" workbookViewId="0">
      <selection activeCell="J82" sqref="J82"/>
    </sheetView>
  </sheetViews>
  <sheetFormatPr defaultRowHeight="12.75" x14ac:dyDescent="0.2"/>
  <cols>
    <col min="1" max="1" width="5" style="16" customWidth="1"/>
    <col min="2" max="2" width="18" style="37" customWidth="1"/>
    <col min="3" max="3" width="9.7109375" style="16" customWidth="1"/>
    <col min="4" max="4" width="7.5703125" style="16" customWidth="1"/>
    <col min="5" max="5" width="8.5703125" style="16" bestFit="1" customWidth="1"/>
    <col min="6" max="6" width="9.28515625" style="16" bestFit="1" customWidth="1"/>
    <col min="7" max="7" width="8.42578125" style="16" bestFit="1" customWidth="1"/>
    <col min="8" max="8" width="9.140625" style="16"/>
    <col min="9" max="9" width="9.85546875" style="16" customWidth="1"/>
    <col min="10" max="10" width="9.28515625" style="16" customWidth="1"/>
    <col min="11" max="11" width="9" style="16" customWidth="1"/>
    <col min="12" max="12" width="9.85546875" style="16" customWidth="1"/>
    <col min="13" max="13" width="8.42578125" style="16" customWidth="1"/>
    <col min="14" max="14" width="8.5703125" style="16" customWidth="1"/>
    <col min="15" max="15" width="7.140625" style="16" bestFit="1" customWidth="1"/>
    <col min="16" max="20" width="9.140625" style="16"/>
    <col min="21" max="21" width="12.42578125" style="16" customWidth="1"/>
    <col min="22" max="22" width="9.140625" style="16"/>
    <col min="23" max="23" width="12" style="16" customWidth="1"/>
    <col min="24" max="256" width="9.140625" style="16"/>
    <col min="257" max="257" width="5" style="16" customWidth="1"/>
    <col min="258" max="258" width="18" style="16" customWidth="1"/>
    <col min="259" max="259" width="9.7109375" style="16" customWidth="1"/>
    <col min="260" max="260" width="7.5703125" style="16" customWidth="1"/>
    <col min="261" max="261" width="8.5703125" style="16" bestFit="1" customWidth="1"/>
    <col min="262" max="262" width="9.28515625" style="16" bestFit="1" customWidth="1"/>
    <col min="263" max="263" width="8.42578125" style="16" bestFit="1" customWidth="1"/>
    <col min="264" max="264" width="9.140625" style="16"/>
    <col min="265" max="265" width="9.85546875" style="16" customWidth="1"/>
    <col min="266" max="266" width="9.28515625" style="16" customWidth="1"/>
    <col min="267" max="267" width="9" style="16" customWidth="1"/>
    <col min="268" max="268" width="9.85546875" style="16" customWidth="1"/>
    <col min="269" max="269" width="8.42578125" style="16" customWidth="1"/>
    <col min="270" max="270" width="8.5703125" style="16" customWidth="1"/>
    <col min="271" max="271" width="7.140625" style="16" bestFit="1" customWidth="1"/>
    <col min="272" max="276" width="9.140625" style="16"/>
    <col min="277" max="277" width="12.42578125" style="16" customWidth="1"/>
    <col min="278" max="278" width="9.140625" style="16"/>
    <col min="279" max="279" width="12" style="16" customWidth="1"/>
    <col min="280" max="512" width="9.140625" style="16"/>
    <col min="513" max="513" width="5" style="16" customWidth="1"/>
    <col min="514" max="514" width="18" style="16" customWidth="1"/>
    <col min="515" max="515" width="9.7109375" style="16" customWidth="1"/>
    <col min="516" max="516" width="7.5703125" style="16" customWidth="1"/>
    <col min="517" max="517" width="8.5703125" style="16" bestFit="1" customWidth="1"/>
    <col min="518" max="518" width="9.28515625" style="16" bestFit="1" customWidth="1"/>
    <col min="519" max="519" width="8.42578125" style="16" bestFit="1" customWidth="1"/>
    <col min="520" max="520" width="9.140625" style="16"/>
    <col min="521" max="521" width="9.85546875" style="16" customWidth="1"/>
    <col min="522" max="522" width="9.28515625" style="16" customWidth="1"/>
    <col min="523" max="523" width="9" style="16" customWidth="1"/>
    <col min="524" max="524" width="9.85546875" style="16" customWidth="1"/>
    <col min="525" max="525" width="8.42578125" style="16" customWidth="1"/>
    <col min="526" max="526" width="8.5703125" style="16" customWidth="1"/>
    <col min="527" max="527" width="7.140625" style="16" bestFit="1" customWidth="1"/>
    <col min="528" max="532" width="9.140625" style="16"/>
    <col min="533" max="533" width="12.42578125" style="16" customWidth="1"/>
    <col min="534" max="534" width="9.140625" style="16"/>
    <col min="535" max="535" width="12" style="16" customWidth="1"/>
    <col min="536" max="768" width="9.140625" style="16"/>
    <col min="769" max="769" width="5" style="16" customWidth="1"/>
    <col min="770" max="770" width="18" style="16" customWidth="1"/>
    <col min="771" max="771" width="9.7109375" style="16" customWidth="1"/>
    <col min="772" max="772" width="7.5703125" style="16" customWidth="1"/>
    <col min="773" max="773" width="8.5703125" style="16" bestFit="1" customWidth="1"/>
    <col min="774" max="774" width="9.28515625" style="16" bestFit="1" customWidth="1"/>
    <col min="775" max="775" width="8.42578125" style="16" bestFit="1" customWidth="1"/>
    <col min="776" max="776" width="9.140625" style="16"/>
    <col min="777" max="777" width="9.85546875" style="16" customWidth="1"/>
    <col min="778" max="778" width="9.28515625" style="16" customWidth="1"/>
    <col min="779" max="779" width="9" style="16" customWidth="1"/>
    <col min="780" max="780" width="9.85546875" style="16" customWidth="1"/>
    <col min="781" max="781" width="8.42578125" style="16" customWidth="1"/>
    <col min="782" max="782" width="8.5703125" style="16" customWidth="1"/>
    <col min="783" max="783" width="7.140625" style="16" bestFit="1" customWidth="1"/>
    <col min="784" max="788" width="9.140625" style="16"/>
    <col min="789" max="789" width="12.42578125" style="16" customWidth="1"/>
    <col min="790" max="790" width="9.140625" style="16"/>
    <col min="791" max="791" width="12" style="16" customWidth="1"/>
    <col min="792" max="1024" width="9.140625" style="16"/>
    <col min="1025" max="1025" width="5" style="16" customWidth="1"/>
    <col min="1026" max="1026" width="18" style="16" customWidth="1"/>
    <col min="1027" max="1027" width="9.7109375" style="16" customWidth="1"/>
    <col min="1028" max="1028" width="7.5703125" style="16" customWidth="1"/>
    <col min="1029" max="1029" width="8.5703125" style="16" bestFit="1" customWidth="1"/>
    <col min="1030" max="1030" width="9.28515625" style="16" bestFit="1" customWidth="1"/>
    <col min="1031" max="1031" width="8.42578125" style="16" bestFit="1" customWidth="1"/>
    <col min="1032" max="1032" width="9.140625" style="16"/>
    <col min="1033" max="1033" width="9.85546875" style="16" customWidth="1"/>
    <col min="1034" max="1034" width="9.28515625" style="16" customWidth="1"/>
    <col min="1035" max="1035" width="9" style="16" customWidth="1"/>
    <col min="1036" max="1036" width="9.85546875" style="16" customWidth="1"/>
    <col min="1037" max="1037" width="8.42578125" style="16" customWidth="1"/>
    <col min="1038" max="1038" width="8.5703125" style="16" customWidth="1"/>
    <col min="1039" max="1039" width="7.140625" style="16" bestFit="1" customWidth="1"/>
    <col min="1040" max="1044" width="9.140625" style="16"/>
    <col min="1045" max="1045" width="12.42578125" style="16" customWidth="1"/>
    <col min="1046" max="1046" width="9.140625" style="16"/>
    <col min="1047" max="1047" width="12" style="16" customWidth="1"/>
    <col min="1048" max="1280" width="9.140625" style="16"/>
    <col min="1281" max="1281" width="5" style="16" customWidth="1"/>
    <col min="1282" max="1282" width="18" style="16" customWidth="1"/>
    <col min="1283" max="1283" width="9.7109375" style="16" customWidth="1"/>
    <col min="1284" max="1284" width="7.5703125" style="16" customWidth="1"/>
    <col min="1285" max="1285" width="8.5703125" style="16" bestFit="1" customWidth="1"/>
    <col min="1286" max="1286" width="9.28515625" style="16" bestFit="1" customWidth="1"/>
    <col min="1287" max="1287" width="8.42578125" style="16" bestFit="1" customWidth="1"/>
    <col min="1288" max="1288" width="9.140625" style="16"/>
    <col min="1289" max="1289" width="9.85546875" style="16" customWidth="1"/>
    <col min="1290" max="1290" width="9.28515625" style="16" customWidth="1"/>
    <col min="1291" max="1291" width="9" style="16" customWidth="1"/>
    <col min="1292" max="1292" width="9.85546875" style="16" customWidth="1"/>
    <col min="1293" max="1293" width="8.42578125" style="16" customWidth="1"/>
    <col min="1294" max="1294" width="8.5703125" style="16" customWidth="1"/>
    <col min="1295" max="1295" width="7.140625" style="16" bestFit="1" customWidth="1"/>
    <col min="1296" max="1300" width="9.140625" style="16"/>
    <col min="1301" max="1301" width="12.42578125" style="16" customWidth="1"/>
    <col min="1302" max="1302" width="9.140625" style="16"/>
    <col min="1303" max="1303" width="12" style="16" customWidth="1"/>
    <col min="1304" max="1536" width="9.140625" style="16"/>
    <col min="1537" max="1537" width="5" style="16" customWidth="1"/>
    <col min="1538" max="1538" width="18" style="16" customWidth="1"/>
    <col min="1539" max="1539" width="9.7109375" style="16" customWidth="1"/>
    <col min="1540" max="1540" width="7.5703125" style="16" customWidth="1"/>
    <col min="1541" max="1541" width="8.5703125" style="16" bestFit="1" customWidth="1"/>
    <col min="1542" max="1542" width="9.28515625" style="16" bestFit="1" customWidth="1"/>
    <col min="1543" max="1543" width="8.42578125" style="16" bestFit="1" customWidth="1"/>
    <col min="1544" max="1544" width="9.140625" style="16"/>
    <col min="1545" max="1545" width="9.85546875" style="16" customWidth="1"/>
    <col min="1546" max="1546" width="9.28515625" style="16" customWidth="1"/>
    <col min="1547" max="1547" width="9" style="16" customWidth="1"/>
    <col min="1548" max="1548" width="9.85546875" style="16" customWidth="1"/>
    <col min="1549" max="1549" width="8.42578125" style="16" customWidth="1"/>
    <col min="1550" max="1550" width="8.5703125" style="16" customWidth="1"/>
    <col min="1551" max="1551" width="7.140625" style="16" bestFit="1" customWidth="1"/>
    <col min="1552" max="1556" width="9.140625" style="16"/>
    <col min="1557" max="1557" width="12.42578125" style="16" customWidth="1"/>
    <col min="1558" max="1558" width="9.140625" style="16"/>
    <col min="1559" max="1559" width="12" style="16" customWidth="1"/>
    <col min="1560" max="1792" width="9.140625" style="16"/>
    <col min="1793" max="1793" width="5" style="16" customWidth="1"/>
    <col min="1794" max="1794" width="18" style="16" customWidth="1"/>
    <col min="1795" max="1795" width="9.7109375" style="16" customWidth="1"/>
    <col min="1796" max="1796" width="7.5703125" style="16" customWidth="1"/>
    <col min="1797" max="1797" width="8.5703125" style="16" bestFit="1" customWidth="1"/>
    <col min="1798" max="1798" width="9.28515625" style="16" bestFit="1" customWidth="1"/>
    <col min="1799" max="1799" width="8.42578125" style="16" bestFit="1" customWidth="1"/>
    <col min="1800" max="1800" width="9.140625" style="16"/>
    <col min="1801" max="1801" width="9.85546875" style="16" customWidth="1"/>
    <col min="1802" max="1802" width="9.28515625" style="16" customWidth="1"/>
    <col min="1803" max="1803" width="9" style="16" customWidth="1"/>
    <col min="1804" max="1804" width="9.85546875" style="16" customWidth="1"/>
    <col min="1805" max="1805" width="8.42578125" style="16" customWidth="1"/>
    <col min="1806" max="1806" width="8.5703125" style="16" customWidth="1"/>
    <col min="1807" max="1807" width="7.140625" style="16" bestFit="1" customWidth="1"/>
    <col min="1808" max="1812" width="9.140625" style="16"/>
    <col min="1813" max="1813" width="12.42578125" style="16" customWidth="1"/>
    <col min="1814" max="1814" width="9.140625" style="16"/>
    <col min="1815" max="1815" width="12" style="16" customWidth="1"/>
    <col min="1816" max="2048" width="9.140625" style="16"/>
    <col min="2049" max="2049" width="5" style="16" customWidth="1"/>
    <col min="2050" max="2050" width="18" style="16" customWidth="1"/>
    <col min="2051" max="2051" width="9.7109375" style="16" customWidth="1"/>
    <col min="2052" max="2052" width="7.5703125" style="16" customWidth="1"/>
    <col min="2053" max="2053" width="8.5703125" style="16" bestFit="1" customWidth="1"/>
    <col min="2054" max="2054" width="9.28515625" style="16" bestFit="1" customWidth="1"/>
    <col min="2055" max="2055" width="8.42578125" style="16" bestFit="1" customWidth="1"/>
    <col min="2056" max="2056" width="9.140625" style="16"/>
    <col min="2057" max="2057" width="9.85546875" style="16" customWidth="1"/>
    <col min="2058" max="2058" width="9.28515625" style="16" customWidth="1"/>
    <col min="2059" max="2059" width="9" style="16" customWidth="1"/>
    <col min="2060" max="2060" width="9.85546875" style="16" customWidth="1"/>
    <col min="2061" max="2061" width="8.42578125" style="16" customWidth="1"/>
    <col min="2062" max="2062" width="8.5703125" style="16" customWidth="1"/>
    <col min="2063" max="2063" width="7.140625" style="16" bestFit="1" customWidth="1"/>
    <col min="2064" max="2068" width="9.140625" style="16"/>
    <col min="2069" max="2069" width="12.42578125" style="16" customWidth="1"/>
    <col min="2070" max="2070" width="9.140625" style="16"/>
    <col min="2071" max="2071" width="12" style="16" customWidth="1"/>
    <col min="2072" max="2304" width="9.140625" style="16"/>
    <col min="2305" max="2305" width="5" style="16" customWidth="1"/>
    <col min="2306" max="2306" width="18" style="16" customWidth="1"/>
    <col min="2307" max="2307" width="9.7109375" style="16" customWidth="1"/>
    <col min="2308" max="2308" width="7.5703125" style="16" customWidth="1"/>
    <col min="2309" max="2309" width="8.5703125" style="16" bestFit="1" customWidth="1"/>
    <col min="2310" max="2310" width="9.28515625" style="16" bestFit="1" customWidth="1"/>
    <col min="2311" max="2311" width="8.42578125" style="16" bestFit="1" customWidth="1"/>
    <col min="2312" max="2312" width="9.140625" style="16"/>
    <col min="2313" max="2313" width="9.85546875" style="16" customWidth="1"/>
    <col min="2314" max="2314" width="9.28515625" style="16" customWidth="1"/>
    <col min="2315" max="2315" width="9" style="16" customWidth="1"/>
    <col min="2316" max="2316" width="9.85546875" style="16" customWidth="1"/>
    <col min="2317" max="2317" width="8.42578125" style="16" customWidth="1"/>
    <col min="2318" max="2318" width="8.5703125" style="16" customWidth="1"/>
    <col min="2319" max="2319" width="7.140625" style="16" bestFit="1" customWidth="1"/>
    <col min="2320" max="2324" width="9.140625" style="16"/>
    <col min="2325" max="2325" width="12.42578125" style="16" customWidth="1"/>
    <col min="2326" max="2326" width="9.140625" style="16"/>
    <col min="2327" max="2327" width="12" style="16" customWidth="1"/>
    <col min="2328" max="2560" width="9.140625" style="16"/>
    <col min="2561" max="2561" width="5" style="16" customWidth="1"/>
    <col min="2562" max="2562" width="18" style="16" customWidth="1"/>
    <col min="2563" max="2563" width="9.7109375" style="16" customWidth="1"/>
    <col min="2564" max="2564" width="7.5703125" style="16" customWidth="1"/>
    <col min="2565" max="2565" width="8.5703125" style="16" bestFit="1" customWidth="1"/>
    <col min="2566" max="2566" width="9.28515625" style="16" bestFit="1" customWidth="1"/>
    <col min="2567" max="2567" width="8.42578125" style="16" bestFit="1" customWidth="1"/>
    <col min="2568" max="2568" width="9.140625" style="16"/>
    <col min="2569" max="2569" width="9.85546875" style="16" customWidth="1"/>
    <col min="2570" max="2570" width="9.28515625" style="16" customWidth="1"/>
    <col min="2571" max="2571" width="9" style="16" customWidth="1"/>
    <col min="2572" max="2572" width="9.85546875" style="16" customWidth="1"/>
    <col min="2573" max="2573" width="8.42578125" style="16" customWidth="1"/>
    <col min="2574" max="2574" width="8.5703125" style="16" customWidth="1"/>
    <col min="2575" max="2575" width="7.140625" style="16" bestFit="1" customWidth="1"/>
    <col min="2576" max="2580" width="9.140625" style="16"/>
    <col min="2581" max="2581" width="12.42578125" style="16" customWidth="1"/>
    <col min="2582" max="2582" width="9.140625" style="16"/>
    <col min="2583" max="2583" width="12" style="16" customWidth="1"/>
    <col min="2584" max="2816" width="9.140625" style="16"/>
    <col min="2817" max="2817" width="5" style="16" customWidth="1"/>
    <col min="2818" max="2818" width="18" style="16" customWidth="1"/>
    <col min="2819" max="2819" width="9.7109375" style="16" customWidth="1"/>
    <col min="2820" max="2820" width="7.5703125" style="16" customWidth="1"/>
    <col min="2821" max="2821" width="8.5703125" style="16" bestFit="1" customWidth="1"/>
    <col min="2822" max="2822" width="9.28515625" style="16" bestFit="1" customWidth="1"/>
    <col min="2823" max="2823" width="8.42578125" style="16" bestFit="1" customWidth="1"/>
    <col min="2824" max="2824" width="9.140625" style="16"/>
    <col min="2825" max="2825" width="9.85546875" style="16" customWidth="1"/>
    <col min="2826" max="2826" width="9.28515625" style="16" customWidth="1"/>
    <col min="2827" max="2827" width="9" style="16" customWidth="1"/>
    <col min="2828" max="2828" width="9.85546875" style="16" customWidth="1"/>
    <col min="2829" max="2829" width="8.42578125" style="16" customWidth="1"/>
    <col min="2830" max="2830" width="8.5703125" style="16" customWidth="1"/>
    <col min="2831" max="2831" width="7.140625" style="16" bestFit="1" customWidth="1"/>
    <col min="2832" max="2836" width="9.140625" style="16"/>
    <col min="2837" max="2837" width="12.42578125" style="16" customWidth="1"/>
    <col min="2838" max="2838" width="9.140625" style="16"/>
    <col min="2839" max="2839" width="12" style="16" customWidth="1"/>
    <col min="2840" max="3072" width="9.140625" style="16"/>
    <col min="3073" max="3073" width="5" style="16" customWidth="1"/>
    <col min="3074" max="3074" width="18" style="16" customWidth="1"/>
    <col min="3075" max="3075" width="9.7109375" style="16" customWidth="1"/>
    <col min="3076" max="3076" width="7.5703125" style="16" customWidth="1"/>
    <col min="3077" max="3077" width="8.5703125" style="16" bestFit="1" customWidth="1"/>
    <col min="3078" max="3078" width="9.28515625" style="16" bestFit="1" customWidth="1"/>
    <col min="3079" max="3079" width="8.42578125" style="16" bestFit="1" customWidth="1"/>
    <col min="3080" max="3080" width="9.140625" style="16"/>
    <col min="3081" max="3081" width="9.85546875" style="16" customWidth="1"/>
    <col min="3082" max="3082" width="9.28515625" style="16" customWidth="1"/>
    <col min="3083" max="3083" width="9" style="16" customWidth="1"/>
    <col min="3084" max="3084" width="9.85546875" style="16" customWidth="1"/>
    <col min="3085" max="3085" width="8.42578125" style="16" customWidth="1"/>
    <col min="3086" max="3086" width="8.5703125" style="16" customWidth="1"/>
    <col min="3087" max="3087" width="7.140625" style="16" bestFit="1" customWidth="1"/>
    <col min="3088" max="3092" width="9.140625" style="16"/>
    <col min="3093" max="3093" width="12.42578125" style="16" customWidth="1"/>
    <col min="3094" max="3094" width="9.140625" style="16"/>
    <col min="3095" max="3095" width="12" style="16" customWidth="1"/>
    <col min="3096" max="3328" width="9.140625" style="16"/>
    <col min="3329" max="3329" width="5" style="16" customWidth="1"/>
    <col min="3330" max="3330" width="18" style="16" customWidth="1"/>
    <col min="3331" max="3331" width="9.7109375" style="16" customWidth="1"/>
    <col min="3332" max="3332" width="7.5703125" style="16" customWidth="1"/>
    <col min="3333" max="3333" width="8.5703125" style="16" bestFit="1" customWidth="1"/>
    <col min="3334" max="3334" width="9.28515625" style="16" bestFit="1" customWidth="1"/>
    <col min="3335" max="3335" width="8.42578125" style="16" bestFit="1" customWidth="1"/>
    <col min="3336" max="3336" width="9.140625" style="16"/>
    <col min="3337" max="3337" width="9.85546875" style="16" customWidth="1"/>
    <col min="3338" max="3338" width="9.28515625" style="16" customWidth="1"/>
    <col min="3339" max="3339" width="9" style="16" customWidth="1"/>
    <col min="3340" max="3340" width="9.85546875" style="16" customWidth="1"/>
    <col min="3341" max="3341" width="8.42578125" style="16" customWidth="1"/>
    <col min="3342" max="3342" width="8.5703125" style="16" customWidth="1"/>
    <col min="3343" max="3343" width="7.140625" style="16" bestFit="1" customWidth="1"/>
    <col min="3344" max="3348" width="9.140625" style="16"/>
    <col min="3349" max="3349" width="12.42578125" style="16" customWidth="1"/>
    <col min="3350" max="3350" width="9.140625" style="16"/>
    <col min="3351" max="3351" width="12" style="16" customWidth="1"/>
    <col min="3352" max="3584" width="9.140625" style="16"/>
    <col min="3585" max="3585" width="5" style="16" customWidth="1"/>
    <col min="3586" max="3586" width="18" style="16" customWidth="1"/>
    <col min="3587" max="3587" width="9.7109375" style="16" customWidth="1"/>
    <col min="3588" max="3588" width="7.5703125" style="16" customWidth="1"/>
    <col min="3589" max="3589" width="8.5703125" style="16" bestFit="1" customWidth="1"/>
    <col min="3590" max="3590" width="9.28515625" style="16" bestFit="1" customWidth="1"/>
    <col min="3591" max="3591" width="8.42578125" style="16" bestFit="1" customWidth="1"/>
    <col min="3592" max="3592" width="9.140625" style="16"/>
    <col min="3593" max="3593" width="9.85546875" style="16" customWidth="1"/>
    <col min="3594" max="3594" width="9.28515625" style="16" customWidth="1"/>
    <col min="3595" max="3595" width="9" style="16" customWidth="1"/>
    <col min="3596" max="3596" width="9.85546875" style="16" customWidth="1"/>
    <col min="3597" max="3597" width="8.42578125" style="16" customWidth="1"/>
    <col min="3598" max="3598" width="8.5703125" style="16" customWidth="1"/>
    <col min="3599" max="3599" width="7.140625" style="16" bestFit="1" customWidth="1"/>
    <col min="3600" max="3604" width="9.140625" style="16"/>
    <col min="3605" max="3605" width="12.42578125" style="16" customWidth="1"/>
    <col min="3606" max="3606" width="9.140625" style="16"/>
    <col min="3607" max="3607" width="12" style="16" customWidth="1"/>
    <col min="3608" max="3840" width="9.140625" style="16"/>
    <col min="3841" max="3841" width="5" style="16" customWidth="1"/>
    <col min="3842" max="3842" width="18" style="16" customWidth="1"/>
    <col min="3843" max="3843" width="9.7109375" style="16" customWidth="1"/>
    <col min="3844" max="3844" width="7.5703125" style="16" customWidth="1"/>
    <col min="3845" max="3845" width="8.5703125" style="16" bestFit="1" customWidth="1"/>
    <col min="3846" max="3846" width="9.28515625" style="16" bestFit="1" customWidth="1"/>
    <col min="3847" max="3847" width="8.42578125" style="16" bestFit="1" customWidth="1"/>
    <col min="3848" max="3848" width="9.140625" style="16"/>
    <col min="3849" max="3849" width="9.85546875" style="16" customWidth="1"/>
    <col min="3850" max="3850" width="9.28515625" style="16" customWidth="1"/>
    <col min="3851" max="3851" width="9" style="16" customWidth="1"/>
    <col min="3852" max="3852" width="9.85546875" style="16" customWidth="1"/>
    <col min="3853" max="3853" width="8.42578125" style="16" customWidth="1"/>
    <col min="3854" max="3854" width="8.5703125" style="16" customWidth="1"/>
    <col min="3855" max="3855" width="7.140625" style="16" bestFit="1" customWidth="1"/>
    <col min="3856" max="3860" width="9.140625" style="16"/>
    <col min="3861" max="3861" width="12.42578125" style="16" customWidth="1"/>
    <col min="3862" max="3862" width="9.140625" style="16"/>
    <col min="3863" max="3863" width="12" style="16" customWidth="1"/>
    <col min="3864" max="4096" width="9.140625" style="16"/>
    <col min="4097" max="4097" width="5" style="16" customWidth="1"/>
    <col min="4098" max="4098" width="18" style="16" customWidth="1"/>
    <col min="4099" max="4099" width="9.7109375" style="16" customWidth="1"/>
    <col min="4100" max="4100" width="7.5703125" style="16" customWidth="1"/>
    <col min="4101" max="4101" width="8.5703125" style="16" bestFit="1" customWidth="1"/>
    <col min="4102" max="4102" width="9.28515625" style="16" bestFit="1" customWidth="1"/>
    <col min="4103" max="4103" width="8.42578125" style="16" bestFit="1" customWidth="1"/>
    <col min="4104" max="4104" width="9.140625" style="16"/>
    <col min="4105" max="4105" width="9.85546875" style="16" customWidth="1"/>
    <col min="4106" max="4106" width="9.28515625" style="16" customWidth="1"/>
    <col min="4107" max="4107" width="9" style="16" customWidth="1"/>
    <col min="4108" max="4108" width="9.85546875" style="16" customWidth="1"/>
    <col min="4109" max="4109" width="8.42578125" style="16" customWidth="1"/>
    <col min="4110" max="4110" width="8.5703125" style="16" customWidth="1"/>
    <col min="4111" max="4111" width="7.140625" style="16" bestFit="1" customWidth="1"/>
    <col min="4112" max="4116" width="9.140625" style="16"/>
    <col min="4117" max="4117" width="12.42578125" style="16" customWidth="1"/>
    <col min="4118" max="4118" width="9.140625" style="16"/>
    <col min="4119" max="4119" width="12" style="16" customWidth="1"/>
    <col min="4120" max="4352" width="9.140625" style="16"/>
    <col min="4353" max="4353" width="5" style="16" customWidth="1"/>
    <col min="4354" max="4354" width="18" style="16" customWidth="1"/>
    <col min="4355" max="4355" width="9.7109375" style="16" customWidth="1"/>
    <col min="4356" max="4356" width="7.5703125" style="16" customWidth="1"/>
    <col min="4357" max="4357" width="8.5703125" style="16" bestFit="1" customWidth="1"/>
    <col min="4358" max="4358" width="9.28515625" style="16" bestFit="1" customWidth="1"/>
    <col min="4359" max="4359" width="8.42578125" style="16" bestFit="1" customWidth="1"/>
    <col min="4360" max="4360" width="9.140625" style="16"/>
    <col min="4361" max="4361" width="9.85546875" style="16" customWidth="1"/>
    <col min="4362" max="4362" width="9.28515625" style="16" customWidth="1"/>
    <col min="4363" max="4363" width="9" style="16" customWidth="1"/>
    <col min="4364" max="4364" width="9.85546875" style="16" customWidth="1"/>
    <col min="4365" max="4365" width="8.42578125" style="16" customWidth="1"/>
    <col min="4366" max="4366" width="8.5703125" style="16" customWidth="1"/>
    <col min="4367" max="4367" width="7.140625" style="16" bestFit="1" customWidth="1"/>
    <col min="4368" max="4372" width="9.140625" style="16"/>
    <col min="4373" max="4373" width="12.42578125" style="16" customWidth="1"/>
    <col min="4374" max="4374" width="9.140625" style="16"/>
    <col min="4375" max="4375" width="12" style="16" customWidth="1"/>
    <col min="4376" max="4608" width="9.140625" style="16"/>
    <col min="4609" max="4609" width="5" style="16" customWidth="1"/>
    <col min="4610" max="4610" width="18" style="16" customWidth="1"/>
    <col min="4611" max="4611" width="9.7109375" style="16" customWidth="1"/>
    <col min="4612" max="4612" width="7.5703125" style="16" customWidth="1"/>
    <col min="4613" max="4613" width="8.5703125" style="16" bestFit="1" customWidth="1"/>
    <col min="4614" max="4614" width="9.28515625" style="16" bestFit="1" customWidth="1"/>
    <col min="4615" max="4615" width="8.42578125" style="16" bestFit="1" customWidth="1"/>
    <col min="4616" max="4616" width="9.140625" style="16"/>
    <col min="4617" max="4617" width="9.85546875" style="16" customWidth="1"/>
    <col min="4618" max="4618" width="9.28515625" style="16" customWidth="1"/>
    <col min="4619" max="4619" width="9" style="16" customWidth="1"/>
    <col min="4620" max="4620" width="9.85546875" style="16" customWidth="1"/>
    <col min="4621" max="4621" width="8.42578125" style="16" customWidth="1"/>
    <col min="4622" max="4622" width="8.5703125" style="16" customWidth="1"/>
    <col min="4623" max="4623" width="7.140625" style="16" bestFit="1" customWidth="1"/>
    <col min="4624" max="4628" width="9.140625" style="16"/>
    <col min="4629" max="4629" width="12.42578125" style="16" customWidth="1"/>
    <col min="4630" max="4630" width="9.140625" style="16"/>
    <col min="4631" max="4631" width="12" style="16" customWidth="1"/>
    <col min="4632" max="4864" width="9.140625" style="16"/>
    <col min="4865" max="4865" width="5" style="16" customWidth="1"/>
    <col min="4866" max="4866" width="18" style="16" customWidth="1"/>
    <col min="4867" max="4867" width="9.7109375" style="16" customWidth="1"/>
    <col min="4868" max="4868" width="7.5703125" style="16" customWidth="1"/>
    <col min="4869" max="4869" width="8.5703125" style="16" bestFit="1" customWidth="1"/>
    <col min="4870" max="4870" width="9.28515625" style="16" bestFit="1" customWidth="1"/>
    <col min="4871" max="4871" width="8.42578125" style="16" bestFit="1" customWidth="1"/>
    <col min="4872" max="4872" width="9.140625" style="16"/>
    <col min="4873" max="4873" width="9.85546875" style="16" customWidth="1"/>
    <col min="4874" max="4874" width="9.28515625" style="16" customWidth="1"/>
    <col min="4875" max="4875" width="9" style="16" customWidth="1"/>
    <col min="4876" max="4876" width="9.85546875" style="16" customWidth="1"/>
    <col min="4877" max="4877" width="8.42578125" style="16" customWidth="1"/>
    <col min="4878" max="4878" width="8.5703125" style="16" customWidth="1"/>
    <col min="4879" max="4879" width="7.140625" style="16" bestFit="1" customWidth="1"/>
    <col min="4880" max="4884" width="9.140625" style="16"/>
    <col min="4885" max="4885" width="12.42578125" style="16" customWidth="1"/>
    <col min="4886" max="4886" width="9.140625" style="16"/>
    <col min="4887" max="4887" width="12" style="16" customWidth="1"/>
    <col min="4888" max="5120" width="9.140625" style="16"/>
    <col min="5121" max="5121" width="5" style="16" customWidth="1"/>
    <col min="5122" max="5122" width="18" style="16" customWidth="1"/>
    <col min="5123" max="5123" width="9.7109375" style="16" customWidth="1"/>
    <col min="5124" max="5124" width="7.5703125" style="16" customWidth="1"/>
    <col min="5125" max="5125" width="8.5703125" style="16" bestFit="1" customWidth="1"/>
    <col min="5126" max="5126" width="9.28515625" style="16" bestFit="1" customWidth="1"/>
    <col min="5127" max="5127" width="8.42578125" style="16" bestFit="1" customWidth="1"/>
    <col min="5128" max="5128" width="9.140625" style="16"/>
    <col min="5129" max="5129" width="9.85546875" style="16" customWidth="1"/>
    <col min="5130" max="5130" width="9.28515625" style="16" customWidth="1"/>
    <col min="5131" max="5131" width="9" style="16" customWidth="1"/>
    <col min="5132" max="5132" width="9.85546875" style="16" customWidth="1"/>
    <col min="5133" max="5133" width="8.42578125" style="16" customWidth="1"/>
    <col min="5134" max="5134" width="8.5703125" style="16" customWidth="1"/>
    <col min="5135" max="5135" width="7.140625" style="16" bestFit="1" customWidth="1"/>
    <col min="5136" max="5140" width="9.140625" style="16"/>
    <col min="5141" max="5141" width="12.42578125" style="16" customWidth="1"/>
    <col min="5142" max="5142" width="9.140625" style="16"/>
    <col min="5143" max="5143" width="12" style="16" customWidth="1"/>
    <col min="5144" max="5376" width="9.140625" style="16"/>
    <col min="5377" max="5377" width="5" style="16" customWidth="1"/>
    <col min="5378" max="5378" width="18" style="16" customWidth="1"/>
    <col min="5379" max="5379" width="9.7109375" style="16" customWidth="1"/>
    <col min="5380" max="5380" width="7.5703125" style="16" customWidth="1"/>
    <col min="5381" max="5381" width="8.5703125" style="16" bestFit="1" customWidth="1"/>
    <col min="5382" max="5382" width="9.28515625" style="16" bestFit="1" customWidth="1"/>
    <col min="5383" max="5383" width="8.42578125" style="16" bestFit="1" customWidth="1"/>
    <col min="5384" max="5384" width="9.140625" style="16"/>
    <col min="5385" max="5385" width="9.85546875" style="16" customWidth="1"/>
    <col min="5386" max="5386" width="9.28515625" style="16" customWidth="1"/>
    <col min="5387" max="5387" width="9" style="16" customWidth="1"/>
    <col min="5388" max="5388" width="9.85546875" style="16" customWidth="1"/>
    <col min="5389" max="5389" width="8.42578125" style="16" customWidth="1"/>
    <col min="5390" max="5390" width="8.5703125" style="16" customWidth="1"/>
    <col min="5391" max="5391" width="7.140625" style="16" bestFit="1" customWidth="1"/>
    <col min="5392" max="5396" width="9.140625" style="16"/>
    <col min="5397" max="5397" width="12.42578125" style="16" customWidth="1"/>
    <col min="5398" max="5398" width="9.140625" style="16"/>
    <col min="5399" max="5399" width="12" style="16" customWidth="1"/>
    <col min="5400" max="5632" width="9.140625" style="16"/>
    <col min="5633" max="5633" width="5" style="16" customWidth="1"/>
    <col min="5634" max="5634" width="18" style="16" customWidth="1"/>
    <col min="5635" max="5635" width="9.7109375" style="16" customWidth="1"/>
    <col min="5636" max="5636" width="7.5703125" style="16" customWidth="1"/>
    <col min="5637" max="5637" width="8.5703125" style="16" bestFit="1" customWidth="1"/>
    <col min="5638" max="5638" width="9.28515625" style="16" bestFit="1" customWidth="1"/>
    <col min="5639" max="5639" width="8.42578125" style="16" bestFit="1" customWidth="1"/>
    <col min="5640" max="5640" width="9.140625" style="16"/>
    <col min="5641" max="5641" width="9.85546875" style="16" customWidth="1"/>
    <col min="5642" max="5642" width="9.28515625" style="16" customWidth="1"/>
    <col min="5643" max="5643" width="9" style="16" customWidth="1"/>
    <col min="5644" max="5644" width="9.85546875" style="16" customWidth="1"/>
    <col min="5645" max="5645" width="8.42578125" style="16" customWidth="1"/>
    <col min="5646" max="5646" width="8.5703125" style="16" customWidth="1"/>
    <col min="5647" max="5647" width="7.140625" style="16" bestFit="1" customWidth="1"/>
    <col min="5648" max="5652" width="9.140625" style="16"/>
    <col min="5653" max="5653" width="12.42578125" style="16" customWidth="1"/>
    <col min="5654" max="5654" width="9.140625" style="16"/>
    <col min="5655" max="5655" width="12" style="16" customWidth="1"/>
    <col min="5656" max="5888" width="9.140625" style="16"/>
    <col min="5889" max="5889" width="5" style="16" customWidth="1"/>
    <col min="5890" max="5890" width="18" style="16" customWidth="1"/>
    <col min="5891" max="5891" width="9.7109375" style="16" customWidth="1"/>
    <col min="5892" max="5892" width="7.5703125" style="16" customWidth="1"/>
    <col min="5893" max="5893" width="8.5703125" style="16" bestFit="1" customWidth="1"/>
    <col min="5894" max="5894" width="9.28515625" style="16" bestFit="1" customWidth="1"/>
    <col min="5895" max="5895" width="8.42578125" style="16" bestFit="1" customWidth="1"/>
    <col min="5896" max="5896" width="9.140625" style="16"/>
    <col min="5897" max="5897" width="9.85546875" style="16" customWidth="1"/>
    <col min="5898" max="5898" width="9.28515625" style="16" customWidth="1"/>
    <col min="5899" max="5899" width="9" style="16" customWidth="1"/>
    <col min="5900" max="5900" width="9.85546875" style="16" customWidth="1"/>
    <col min="5901" max="5901" width="8.42578125" style="16" customWidth="1"/>
    <col min="5902" max="5902" width="8.5703125" style="16" customWidth="1"/>
    <col min="5903" max="5903" width="7.140625" style="16" bestFit="1" customWidth="1"/>
    <col min="5904" max="5908" width="9.140625" style="16"/>
    <col min="5909" max="5909" width="12.42578125" style="16" customWidth="1"/>
    <col min="5910" max="5910" width="9.140625" style="16"/>
    <col min="5911" max="5911" width="12" style="16" customWidth="1"/>
    <col min="5912" max="6144" width="9.140625" style="16"/>
    <col min="6145" max="6145" width="5" style="16" customWidth="1"/>
    <col min="6146" max="6146" width="18" style="16" customWidth="1"/>
    <col min="6147" max="6147" width="9.7109375" style="16" customWidth="1"/>
    <col min="6148" max="6148" width="7.5703125" style="16" customWidth="1"/>
    <col min="6149" max="6149" width="8.5703125" style="16" bestFit="1" customWidth="1"/>
    <col min="6150" max="6150" width="9.28515625" style="16" bestFit="1" customWidth="1"/>
    <col min="6151" max="6151" width="8.42578125" style="16" bestFit="1" customWidth="1"/>
    <col min="6152" max="6152" width="9.140625" style="16"/>
    <col min="6153" max="6153" width="9.85546875" style="16" customWidth="1"/>
    <col min="6154" max="6154" width="9.28515625" style="16" customWidth="1"/>
    <col min="6155" max="6155" width="9" style="16" customWidth="1"/>
    <col min="6156" max="6156" width="9.85546875" style="16" customWidth="1"/>
    <col min="6157" max="6157" width="8.42578125" style="16" customWidth="1"/>
    <col min="6158" max="6158" width="8.5703125" style="16" customWidth="1"/>
    <col min="6159" max="6159" width="7.140625" style="16" bestFit="1" customWidth="1"/>
    <col min="6160" max="6164" width="9.140625" style="16"/>
    <col min="6165" max="6165" width="12.42578125" style="16" customWidth="1"/>
    <col min="6166" max="6166" width="9.140625" style="16"/>
    <col min="6167" max="6167" width="12" style="16" customWidth="1"/>
    <col min="6168" max="6400" width="9.140625" style="16"/>
    <col min="6401" max="6401" width="5" style="16" customWidth="1"/>
    <col min="6402" max="6402" width="18" style="16" customWidth="1"/>
    <col min="6403" max="6403" width="9.7109375" style="16" customWidth="1"/>
    <col min="6404" max="6404" width="7.5703125" style="16" customWidth="1"/>
    <col min="6405" max="6405" width="8.5703125" style="16" bestFit="1" customWidth="1"/>
    <col min="6406" max="6406" width="9.28515625" style="16" bestFit="1" customWidth="1"/>
    <col min="6407" max="6407" width="8.42578125" style="16" bestFit="1" customWidth="1"/>
    <col min="6408" max="6408" width="9.140625" style="16"/>
    <col min="6409" max="6409" width="9.85546875" style="16" customWidth="1"/>
    <col min="6410" max="6410" width="9.28515625" style="16" customWidth="1"/>
    <col min="6411" max="6411" width="9" style="16" customWidth="1"/>
    <col min="6412" max="6412" width="9.85546875" style="16" customWidth="1"/>
    <col min="6413" max="6413" width="8.42578125" style="16" customWidth="1"/>
    <col min="6414" max="6414" width="8.5703125" style="16" customWidth="1"/>
    <col min="6415" max="6415" width="7.140625" style="16" bestFit="1" customWidth="1"/>
    <col min="6416" max="6420" width="9.140625" style="16"/>
    <col min="6421" max="6421" width="12.42578125" style="16" customWidth="1"/>
    <col min="6422" max="6422" width="9.140625" style="16"/>
    <col min="6423" max="6423" width="12" style="16" customWidth="1"/>
    <col min="6424" max="6656" width="9.140625" style="16"/>
    <col min="6657" max="6657" width="5" style="16" customWidth="1"/>
    <col min="6658" max="6658" width="18" style="16" customWidth="1"/>
    <col min="6659" max="6659" width="9.7109375" style="16" customWidth="1"/>
    <col min="6660" max="6660" width="7.5703125" style="16" customWidth="1"/>
    <col min="6661" max="6661" width="8.5703125" style="16" bestFit="1" customWidth="1"/>
    <col min="6662" max="6662" width="9.28515625" style="16" bestFit="1" customWidth="1"/>
    <col min="6663" max="6663" width="8.42578125" style="16" bestFit="1" customWidth="1"/>
    <col min="6664" max="6664" width="9.140625" style="16"/>
    <col min="6665" max="6665" width="9.85546875" style="16" customWidth="1"/>
    <col min="6666" max="6666" width="9.28515625" style="16" customWidth="1"/>
    <col min="6667" max="6667" width="9" style="16" customWidth="1"/>
    <col min="6668" max="6668" width="9.85546875" style="16" customWidth="1"/>
    <col min="6669" max="6669" width="8.42578125" style="16" customWidth="1"/>
    <col min="6670" max="6670" width="8.5703125" style="16" customWidth="1"/>
    <col min="6671" max="6671" width="7.140625" style="16" bestFit="1" customWidth="1"/>
    <col min="6672" max="6676" width="9.140625" style="16"/>
    <col min="6677" max="6677" width="12.42578125" style="16" customWidth="1"/>
    <col min="6678" max="6678" width="9.140625" style="16"/>
    <col min="6679" max="6679" width="12" style="16" customWidth="1"/>
    <col min="6680" max="6912" width="9.140625" style="16"/>
    <col min="6913" max="6913" width="5" style="16" customWidth="1"/>
    <col min="6914" max="6914" width="18" style="16" customWidth="1"/>
    <col min="6915" max="6915" width="9.7109375" style="16" customWidth="1"/>
    <col min="6916" max="6916" width="7.5703125" style="16" customWidth="1"/>
    <col min="6917" max="6917" width="8.5703125" style="16" bestFit="1" customWidth="1"/>
    <col min="6918" max="6918" width="9.28515625" style="16" bestFit="1" customWidth="1"/>
    <col min="6919" max="6919" width="8.42578125" style="16" bestFit="1" customWidth="1"/>
    <col min="6920" max="6920" width="9.140625" style="16"/>
    <col min="6921" max="6921" width="9.85546875" style="16" customWidth="1"/>
    <col min="6922" max="6922" width="9.28515625" style="16" customWidth="1"/>
    <col min="6923" max="6923" width="9" style="16" customWidth="1"/>
    <col min="6924" max="6924" width="9.85546875" style="16" customWidth="1"/>
    <col min="6925" max="6925" width="8.42578125" style="16" customWidth="1"/>
    <col min="6926" max="6926" width="8.5703125" style="16" customWidth="1"/>
    <col min="6927" max="6927" width="7.140625" style="16" bestFit="1" customWidth="1"/>
    <col min="6928" max="6932" width="9.140625" style="16"/>
    <col min="6933" max="6933" width="12.42578125" style="16" customWidth="1"/>
    <col min="6934" max="6934" width="9.140625" style="16"/>
    <col min="6935" max="6935" width="12" style="16" customWidth="1"/>
    <col min="6936" max="7168" width="9.140625" style="16"/>
    <col min="7169" max="7169" width="5" style="16" customWidth="1"/>
    <col min="7170" max="7170" width="18" style="16" customWidth="1"/>
    <col min="7171" max="7171" width="9.7109375" style="16" customWidth="1"/>
    <col min="7172" max="7172" width="7.5703125" style="16" customWidth="1"/>
    <col min="7173" max="7173" width="8.5703125" style="16" bestFit="1" customWidth="1"/>
    <col min="7174" max="7174" width="9.28515625" style="16" bestFit="1" customWidth="1"/>
    <col min="7175" max="7175" width="8.42578125" style="16" bestFit="1" customWidth="1"/>
    <col min="7176" max="7176" width="9.140625" style="16"/>
    <col min="7177" max="7177" width="9.85546875" style="16" customWidth="1"/>
    <col min="7178" max="7178" width="9.28515625" style="16" customWidth="1"/>
    <col min="7179" max="7179" width="9" style="16" customWidth="1"/>
    <col min="7180" max="7180" width="9.85546875" style="16" customWidth="1"/>
    <col min="7181" max="7181" width="8.42578125" style="16" customWidth="1"/>
    <col min="7182" max="7182" width="8.5703125" style="16" customWidth="1"/>
    <col min="7183" max="7183" width="7.140625" style="16" bestFit="1" customWidth="1"/>
    <col min="7184" max="7188" width="9.140625" style="16"/>
    <col min="7189" max="7189" width="12.42578125" style="16" customWidth="1"/>
    <col min="7190" max="7190" width="9.140625" style="16"/>
    <col min="7191" max="7191" width="12" style="16" customWidth="1"/>
    <col min="7192" max="7424" width="9.140625" style="16"/>
    <col min="7425" max="7425" width="5" style="16" customWidth="1"/>
    <col min="7426" max="7426" width="18" style="16" customWidth="1"/>
    <col min="7427" max="7427" width="9.7109375" style="16" customWidth="1"/>
    <col min="7428" max="7428" width="7.5703125" style="16" customWidth="1"/>
    <col min="7429" max="7429" width="8.5703125" style="16" bestFit="1" customWidth="1"/>
    <col min="7430" max="7430" width="9.28515625" style="16" bestFit="1" customWidth="1"/>
    <col min="7431" max="7431" width="8.42578125" style="16" bestFit="1" customWidth="1"/>
    <col min="7432" max="7432" width="9.140625" style="16"/>
    <col min="7433" max="7433" width="9.85546875" style="16" customWidth="1"/>
    <col min="7434" max="7434" width="9.28515625" style="16" customWidth="1"/>
    <col min="7435" max="7435" width="9" style="16" customWidth="1"/>
    <col min="7436" max="7436" width="9.85546875" style="16" customWidth="1"/>
    <col min="7437" max="7437" width="8.42578125" style="16" customWidth="1"/>
    <col min="7438" max="7438" width="8.5703125" style="16" customWidth="1"/>
    <col min="7439" max="7439" width="7.140625" style="16" bestFit="1" customWidth="1"/>
    <col min="7440" max="7444" width="9.140625" style="16"/>
    <col min="7445" max="7445" width="12.42578125" style="16" customWidth="1"/>
    <col min="7446" max="7446" width="9.140625" style="16"/>
    <col min="7447" max="7447" width="12" style="16" customWidth="1"/>
    <col min="7448" max="7680" width="9.140625" style="16"/>
    <col min="7681" max="7681" width="5" style="16" customWidth="1"/>
    <col min="7682" max="7682" width="18" style="16" customWidth="1"/>
    <col min="7683" max="7683" width="9.7109375" style="16" customWidth="1"/>
    <col min="7684" max="7684" width="7.5703125" style="16" customWidth="1"/>
    <col min="7685" max="7685" width="8.5703125" style="16" bestFit="1" customWidth="1"/>
    <col min="7686" max="7686" width="9.28515625" style="16" bestFit="1" customWidth="1"/>
    <col min="7687" max="7687" width="8.42578125" style="16" bestFit="1" customWidth="1"/>
    <col min="7688" max="7688" width="9.140625" style="16"/>
    <col min="7689" max="7689" width="9.85546875" style="16" customWidth="1"/>
    <col min="7690" max="7690" width="9.28515625" style="16" customWidth="1"/>
    <col min="7691" max="7691" width="9" style="16" customWidth="1"/>
    <col min="7692" max="7692" width="9.85546875" style="16" customWidth="1"/>
    <col min="7693" max="7693" width="8.42578125" style="16" customWidth="1"/>
    <col min="7694" max="7694" width="8.5703125" style="16" customWidth="1"/>
    <col min="7695" max="7695" width="7.140625" style="16" bestFit="1" customWidth="1"/>
    <col min="7696" max="7700" width="9.140625" style="16"/>
    <col min="7701" max="7701" width="12.42578125" style="16" customWidth="1"/>
    <col min="7702" max="7702" width="9.140625" style="16"/>
    <col min="7703" max="7703" width="12" style="16" customWidth="1"/>
    <col min="7704" max="7936" width="9.140625" style="16"/>
    <col min="7937" max="7937" width="5" style="16" customWidth="1"/>
    <col min="7938" max="7938" width="18" style="16" customWidth="1"/>
    <col min="7939" max="7939" width="9.7109375" style="16" customWidth="1"/>
    <col min="7940" max="7940" width="7.5703125" style="16" customWidth="1"/>
    <col min="7941" max="7941" width="8.5703125" style="16" bestFit="1" customWidth="1"/>
    <col min="7942" max="7942" width="9.28515625" style="16" bestFit="1" customWidth="1"/>
    <col min="7943" max="7943" width="8.42578125" style="16" bestFit="1" customWidth="1"/>
    <col min="7944" max="7944" width="9.140625" style="16"/>
    <col min="7945" max="7945" width="9.85546875" style="16" customWidth="1"/>
    <col min="7946" max="7946" width="9.28515625" style="16" customWidth="1"/>
    <col min="7947" max="7947" width="9" style="16" customWidth="1"/>
    <col min="7948" max="7948" width="9.85546875" style="16" customWidth="1"/>
    <col min="7949" max="7949" width="8.42578125" style="16" customWidth="1"/>
    <col min="7950" max="7950" width="8.5703125" style="16" customWidth="1"/>
    <col min="7951" max="7951" width="7.140625" style="16" bestFit="1" customWidth="1"/>
    <col min="7952" max="7956" width="9.140625" style="16"/>
    <col min="7957" max="7957" width="12.42578125" style="16" customWidth="1"/>
    <col min="7958" max="7958" width="9.140625" style="16"/>
    <col min="7959" max="7959" width="12" style="16" customWidth="1"/>
    <col min="7960" max="8192" width="9.140625" style="16"/>
    <col min="8193" max="8193" width="5" style="16" customWidth="1"/>
    <col min="8194" max="8194" width="18" style="16" customWidth="1"/>
    <col min="8195" max="8195" width="9.7109375" style="16" customWidth="1"/>
    <col min="8196" max="8196" width="7.5703125" style="16" customWidth="1"/>
    <col min="8197" max="8197" width="8.5703125" style="16" bestFit="1" customWidth="1"/>
    <col min="8198" max="8198" width="9.28515625" style="16" bestFit="1" customWidth="1"/>
    <col min="8199" max="8199" width="8.42578125" style="16" bestFit="1" customWidth="1"/>
    <col min="8200" max="8200" width="9.140625" style="16"/>
    <col min="8201" max="8201" width="9.85546875" style="16" customWidth="1"/>
    <col min="8202" max="8202" width="9.28515625" style="16" customWidth="1"/>
    <col min="8203" max="8203" width="9" style="16" customWidth="1"/>
    <col min="8204" max="8204" width="9.85546875" style="16" customWidth="1"/>
    <col min="8205" max="8205" width="8.42578125" style="16" customWidth="1"/>
    <col min="8206" max="8206" width="8.5703125" style="16" customWidth="1"/>
    <col min="8207" max="8207" width="7.140625" style="16" bestFit="1" customWidth="1"/>
    <col min="8208" max="8212" width="9.140625" style="16"/>
    <col min="8213" max="8213" width="12.42578125" style="16" customWidth="1"/>
    <col min="8214" max="8214" width="9.140625" style="16"/>
    <col min="8215" max="8215" width="12" style="16" customWidth="1"/>
    <col min="8216" max="8448" width="9.140625" style="16"/>
    <col min="8449" max="8449" width="5" style="16" customWidth="1"/>
    <col min="8450" max="8450" width="18" style="16" customWidth="1"/>
    <col min="8451" max="8451" width="9.7109375" style="16" customWidth="1"/>
    <col min="8452" max="8452" width="7.5703125" style="16" customWidth="1"/>
    <col min="8453" max="8453" width="8.5703125" style="16" bestFit="1" customWidth="1"/>
    <col min="8454" max="8454" width="9.28515625" style="16" bestFit="1" customWidth="1"/>
    <col min="8455" max="8455" width="8.42578125" style="16" bestFit="1" customWidth="1"/>
    <col min="8456" max="8456" width="9.140625" style="16"/>
    <col min="8457" max="8457" width="9.85546875" style="16" customWidth="1"/>
    <col min="8458" max="8458" width="9.28515625" style="16" customWidth="1"/>
    <col min="8459" max="8459" width="9" style="16" customWidth="1"/>
    <col min="8460" max="8460" width="9.85546875" style="16" customWidth="1"/>
    <col min="8461" max="8461" width="8.42578125" style="16" customWidth="1"/>
    <col min="8462" max="8462" width="8.5703125" style="16" customWidth="1"/>
    <col min="8463" max="8463" width="7.140625" style="16" bestFit="1" customWidth="1"/>
    <col min="8464" max="8468" width="9.140625" style="16"/>
    <col min="8469" max="8469" width="12.42578125" style="16" customWidth="1"/>
    <col min="8470" max="8470" width="9.140625" style="16"/>
    <col min="8471" max="8471" width="12" style="16" customWidth="1"/>
    <col min="8472" max="8704" width="9.140625" style="16"/>
    <col min="8705" max="8705" width="5" style="16" customWidth="1"/>
    <col min="8706" max="8706" width="18" style="16" customWidth="1"/>
    <col min="8707" max="8707" width="9.7109375" style="16" customWidth="1"/>
    <col min="8708" max="8708" width="7.5703125" style="16" customWidth="1"/>
    <col min="8709" max="8709" width="8.5703125" style="16" bestFit="1" customWidth="1"/>
    <col min="8710" max="8710" width="9.28515625" style="16" bestFit="1" customWidth="1"/>
    <col min="8711" max="8711" width="8.42578125" style="16" bestFit="1" customWidth="1"/>
    <col min="8712" max="8712" width="9.140625" style="16"/>
    <col min="8713" max="8713" width="9.85546875" style="16" customWidth="1"/>
    <col min="8714" max="8714" width="9.28515625" style="16" customWidth="1"/>
    <col min="8715" max="8715" width="9" style="16" customWidth="1"/>
    <col min="8716" max="8716" width="9.85546875" style="16" customWidth="1"/>
    <col min="8717" max="8717" width="8.42578125" style="16" customWidth="1"/>
    <col min="8718" max="8718" width="8.5703125" style="16" customWidth="1"/>
    <col min="8719" max="8719" width="7.140625" style="16" bestFit="1" customWidth="1"/>
    <col min="8720" max="8724" width="9.140625" style="16"/>
    <col min="8725" max="8725" width="12.42578125" style="16" customWidth="1"/>
    <col min="8726" max="8726" width="9.140625" style="16"/>
    <col min="8727" max="8727" width="12" style="16" customWidth="1"/>
    <col min="8728" max="8960" width="9.140625" style="16"/>
    <col min="8961" max="8961" width="5" style="16" customWidth="1"/>
    <col min="8962" max="8962" width="18" style="16" customWidth="1"/>
    <col min="8963" max="8963" width="9.7109375" style="16" customWidth="1"/>
    <col min="8964" max="8964" width="7.5703125" style="16" customWidth="1"/>
    <col min="8965" max="8965" width="8.5703125" style="16" bestFit="1" customWidth="1"/>
    <col min="8966" max="8966" width="9.28515625" style="16" bestFit="1" customWidth="1"/>
    <col min="8967" max="8967" width="8.42578125" style="16" bestFit="1" customWidth="1"/>
    <col min="8968" max="8968" width="9.140625" style="16"/>
    <col min="8969" max="8969" width="9.85546875" style="16" customWidth="1"/>
    <col min="8970" max="8970" width="9.28515625" style="16" customWidth="1"/>
    <col min="8971" max="8971" width="9" style="16" customWidth="1"/>
    <col min="8972" max="8972" width="9.85546875" style="16" customWidth="1"/>
    <col min="8973" max="8973" width="8.42578125" style="16" customWidth="1"/>
    <col min="8974" max="8974" width="8.5703125" style="16" customWidth="1"/>
    <col min="8975" max="8975" width="7.140625" style="16" bestFit="1" customWidth="1"/>
    <col min="8976" max="8980" width="9.140625" style="16"/>
    <col min="8981" max="8981" width="12.42578125" style="16" customWidth="1"/>
    <col min="8982" max="8982" width="9.140625" style="16"/>
    <col min="8983" max="8983" width="12" style="16" customWidth="1"/>
    <col min="8984" max="9216" width="9.140625" style="16"/>
    <col min="9217" max="9217" width="5" style="16" customWidth="1"/>
    <col min="9218" max="9218" width="18" style="16" customWidth="1"/>
    <col min="9219" max="9219" width="9.7109375" style="16" customWidth="1"/>
    <col min="9220" max="9220" width="7.5703125" style="16" customWidth="1"/>
    <col min="9221" max="9221" width="8.5703125" style="16" bestFit="1" customWidth="1"/>
    <col min="9222" max="9222" width="9.28515625" style="16" bestFit="1" customWidth="1"/>
    <col min="9223" max="9223" width="8.42578125" style="16" bestFit="1" customWidth="1"/>
    <col min="9224" max="9224" width="9.140625" style="16"/>
    <col min="9225" max="9225" width="9.85546875" style="16" customWidth="1"/>
    <col min="9226" max="9226" width="9.28515625" style="16" customWidth="1"/>
    <col min="9227" max="9227" width="9" style="16" customWidth="1"/>
    <col min="9228" max="9228" width="9.85546875" style="16" customWidth="1"/>
    <col min="9229" max="9229" width="8.42578125" style="16" customWidth="1"/>
    <col min="9230" max="9230" width="8.5703125" style="16" customWidth="1"/>
    <col min="9231" max="9231" width="7.140625" style="16" bestFit="1" customWidth="1"/>
    <col min="9232" max="9236" width="9.140625" style="16"/>
    <col min="9237" max="9237" width="12.42578125" style="16" customWidth="1"/>
    <col min="9238" max="9238" width="9.140625" style="16"/>
    <col min="9239" max="9239" width="12" style="16" customWidth="1"/>
    <col min="9240" max="9472" width="9.140625" style="16"/>
    <col min="9473" max="9473" width="5" style="16" customWidth="1"/>
    <col min="9474" max="9474" width="18" style="16" customWidth="1"/>
    <col min="9475" max="9475" width="9.7109375" style="16" customWidth="1"/>
    <col min="9476" max="9476" width="7.5703125" style="16" customWidth="1"/>
    <col min="9477" max="9477" width="8.5703125" style="16" bestFit="1" customWidth="1"/>
    <col min="9478" max="9478" width="9.28515625" style="16" bestFit="1" customWidth="1"/>
    <col min="9479" max="9479" width="8.42578125" style="16" bestFit="1" customWidth="1"/>
    <col min="9480" max="9480" width="9.140625" style="16"/>
    <col min="9481" max="9481" width="9.85546875" style="16" customWidth="1"/>
    <col min="9482" max="9482" width="9.28515625" style="16" customWidth="1"/>
    <col min="9483" max="9483" width="9" style="16" customWidth="1"/>
    <col min="9484" max="9484" width="9.85546875" style="16" customWidth="1"/>
    <col min="9485" max="9485" width="8.42578125" style="16" customWidth="1"/>
    <col min="9486" max="9486" width="8.5703125" style="16" customWidth="1"/>
    <col min="9487" max="9487" width="7.140625" style="16" bestFit="1" customWidth="1"/>
    <col min="9488" max="9492" width="9.140625" style="16"/>
    <col min="9493" max="9493" width="12.42578125" style="16" customWidth="1"/>
    <col min="9494" max="9494" width="9.140625" style="16"/>
    <col min="9495" max="9495" width="12" style="16" customWidth="1"/>
    <col min="9496" max="9728" width="9.140625" style="16"/>
    <col min="9729" max="9729" width="5" style="16" customWidth="1"/>
    <col min="9730" max="9730" width="18" style="16" customWidth="1"/>
    <col min="9731" max="9731" width="9.7109375" style="16" customWidth="1"/>
    <col min="9732" max="9732" width="7.5703125" style="16" customWidth="1"/>
    <col min="9733" max="9733" width="8.5703125" style="16" bestFit="1" customWidth="1"/>
    <col min="9734" max="9734" width="9.28515625" style="16" bestFit="1" customWidth="1"/>
    <col min="9735" max="9735" width="8.42578125" style="16" bestFit="1" customWidth="1"/>
    <col min="9736" max="9736" width="9.140625" style="16"/>
    <col min="9737" max="9737" width="9.85546875" style="16" customWidth="1"/>
    <col min="9738" max="9738" width="9.28515625" style="16" customWidth="1"/>
    <col min="9739" max="9739" width="9" style="16" customWidth="1"/>
    <col min="9740" max="9740" width="9.85546875" style="16" customWidth="1"/>
    <col min="9741" max="9741" width="8.42578125" style="16" customWidth="1"/>
    <col min="9742" max="9742" width="8.5703125" style="16" customWidth="1"/>
    <col min="9743" max="9743" width="7.140625" style="16" bestFit="1" customWidth="1"/>
    <col min="9744" max="9748" width="9.140625" style="16"/>
    <col min="9749" max="9749" width="12.42578125" style="16" customWidth="1"/>
    <col min="9750" max="9750" width="9.140625" style="16"/>
    <col min="9751" max="9751" width="12" style="16" customWidth="1"/>
    <col min="9752" max="9984" width="9.140625" style="16"/>
    <col min="9985" max="9985" width="5" style="16" customWidth="1"/>
    <col min="9986" max="9986" width="18" style="16" customWidth="1"/>
    <col min="9987" max="9987" width="9.7109375" style="16" customWidth="1"/>
    <col min="9988" max="9988" width="7.5703125" style="16" customWidth="1"/>
    <col min="9989" max="9989" width="8.5703125" style="16" bestFit="1" customWidth="1"/>
    <col min="9990" max="9990" width="9.28515625" style="16" bestFit="1" customWidth="1"/>
    <col min="9991" max="9991" width="8.42578125" style="16" bestFit="1" customWidth="1"/>
    <col min="9992" max="9992" width="9.140625" style="16"/>
    <col min="9993" max="9993" width="9.85546875" style="16" customWidth="1"/>
    <col min="9994" max="9994" width="9.28515625" style="16" customWidth="1"/>
    <col min="9995" max="9995" width="9" style="16" customWidth="1"/>
    <col min="9996" max="9996" width="9.85546875" style="16" customWidth="1"/>
    <col min="9997" max="9997" width="8.42578125" style="16" customWidth="1"/>
    <col min="9998" max="9998" width="8.5703125" style="16" customWidth="1"/>
    <col min="9999" max="9999" width="7.140625" style="16" bestFit="1" customWidth="1"/>
    <col min="10000" max="10004" width="9.140625" style="16"/>
    <col min="10005" max="10005" width="12.42578125" style="16" customWidth="1"/>
    <col min="10006" max="10006" width="9.140625" style="16"/>
    <col min="10007" max="10007" width="12" style="16" customWidth="1"/>
    <col min="10008" max="10240" width="9.140625" style="16"/>
    <col min="10241" max="10241" width="5" style="16" customWidth="1"/>
    <col min="10242" max="10242" width="18" style="16" customWidth="1"/>
    <col min="10243" max="10243" width="9.7109375" style="16" customWidth="1"/>
    <col min="10244" max="10244" width="7.5703125" style="16" customWidth="1"/>
    <col min="10245" max="10245" width="8.5703125" style="16" bestFit="1" customWidth="1"/>
    <col min="10246" max="10246" width="9.28515625" style="16" bestFit="1" customWidth="1"/>
    <col min="10247" max="10247" width="8.42578125" style="16" bestFit="1" customWidth="1"/>
    <col min="10248" max="10248" width="9.140625" style="16"/>
    <col min="10249" max="10249" width="9.85546875" style="16" customWidth="1"/>
    <col min="10250" max="10250" width="9.28515625" style="16" customWidth="1"/>
    <col min="10251" max="10251" width="9" style="16" customWidth="1"/>
    <col min="10252" max="10252" width="9.85546875" style="16" customWidth="1"/>
    <col min="10253" max="10253" width="8.42578125" style="16" customWidth="1"/>
    <col min="10254" max="10254" width="8.5703125" style="16" customWidth="1"/>
    <col min="10255" max="10255" width="7.140625" style="16" bestFit="1" customWidth="1"/>
    <col min="10256" max="10260" width="9.140625" style="16"/>
    <col min="10261" max="10261" width="12.42578125" style="16" customWidth="1"/>
    <col min="10262" max="10262" width="9.140625" style="16"/>
    <col min="10263" max="10263" width="12" style="16" customWidth="1"/>
    <col min="10264" max="10496" width="9.140625" style="16"/>
    <col min="10497" max="10497" width="5" style="16" customWidth="1"/>
    <col min="10498" max="10498" width="18" style="16" customWidth="1"/>
    <col min="10499" max="10499" width="9.7109375" style="16" customWidth="1"/>
    <col min="10500" max="10500" width="7.5703125" style="16" customWidth="1"/>
    <col min="10501" max="10501" width="8.5703125" style="16" bestFit="1" customWidth="1"/>
    <col min="10502" max="10502" width="9.28515625" style="16" bestFit="1" customWidth="1"/>
    <col min="10503" max="10503" width="8.42578125" style="16" bestFit="1" customWidth="1"/>
    <col min="10504" max="10504" width="9.140625" style="16"/>
    <col min="10505" max="10505" width="9.85546875" style="16" customWidth="1"/>
    <col min="10506" max="10506" width="9.28515625" style="16" customWidth="1"/>
    <col min="10507" max="10507" width="9" style="16" customWidth="1"/>
    <col min="10508" max="10508" width="9.85546875" style="16" customWidth="1"/>
    <col min="10509" max="10509" width="8.42578125" style="16" customWidth="1"/>
    <col min="10510" max="10510" width="8.5703125" style="16" customWidth="1"/>
    <col min="10511" max="10511" width="7.140625" style="16" bestFit="1" customWidth="1"/>
    <col min="10512" max="10516" width="9.140625" style="16"/>
    <col min="10517" max="10517" width="12.42578125" style="16" customWidth="1"/>
    <col min="10518" max="10518" width="9.140625" style="16"/>
    <col min="10519" max="10519" width="12" style="16" customWidth="1"/>
    <col min="10520" max="10752" width="9.140625" style="16"/>
    <col min="10753" max="10753" width="5" style="16" customWidth="1"/>
    <col min="10754" max="10754" width="18" style="16" customWidth="1"/>
    <col min="10755" max="10755" width="9.7109375" style="16" customWidth="1"/>
    <col min="10756" max="10756" width="7.5703125" style="16" customWidth="1"/>
    <col min="10757" max="10757" width="8.5703125" style="16" bestFit="1" customWidth="1"/>
    <col min="10758" max="10758" width="9.28515625" style="16" bestFit="1" customWidth="1"/>
    <col min="10759" max="10759" width="8.42578125" style="16" bestFit="1" customWidth="1"/>
    <col min="10760" max="10760" width="9.140625" style="16"/>
    <col min="10761" max="10761" width="9.85546875" style="16" customWidth="1"/>
    <col min="10762" max="10762" width="9.28515625" style="16" customWidth="1"/>
    <col min="10763" max="10763" width="9" style="16" customWidth="1"/>
    <col min="10764" max="10764" width="9.85546875" style="16" customWidth="1"/>
    <col min="10765" max="10765" width="8.42578125" style="16" customWidth="1"/>
    <col min="10766" max="10766" width="8.5703125" style="16" customWidth="1"/>
    <col min="10767" max="10767" width="7.140625" style="16" bestFit="1" customWidth="1"/>
    <col min="10768" max="10772" width="9.140625" style="16"/>
    <col min="10773" max="10773" width="12.42578125" style="16" customWidth="1"/>
    <col min="10774" max="10774" width="9.140625" style="16"/>
    <col min="10775" max="10775" width="12" style="16" customWidth="1"/>
    <col min="10776" max="11008" width="9.140625" style="16"/>
    <col min="11009" max="11009" width="5" style="16" customWidth="1"/>
    <col min="11010" max="11010" width="18" style="16" customWidth="1"/>
    <col min="11011" max="11011" width="9.7109375" style="16" customWidth="1"/>
    <col min="11012" max="11012" width="7.5703125" style="16" customWidth="1"/>
    <col min="11013" max="11013" width="8.5703125" style="16" bestFit="1" customWidth="1"/>
    <col min="11014" max="11014" width="9.28515625" style="16" bestFit="1" customWidth="1"/>
    <col min="11015" max="11015" width="8.42578125" style="16" bestFit="1" customWidth="1"/>
    <col min="11016" max="11016" width="9.140625" style="16"/>
    <col min="11017" max="11017" width="9.85546875" style="16" customWidth="1"/>
    <col min="11018" max="11018" width="9.28515625" style="16" customWidth="1"/>
    <col min="11019" max="11019" width="9" style="16" customWidth="1"/>
    <col min="11020" max="11020" width="9.85546875" style="16" customWidth="1"/>
    <col min="11021" max="11021" width="8.42578125" style="16" customWidth="1"/>
    <col min="11022" max="11022" width="8.5703125" style="16" customWidth="1"/>
    <col min="11023" max="11023" width="7.140625" style="16" bestFit="1" customWidth="1"/>
    <col min="11024" max="11028" width="9.140625" style="16"/>
    <col min="11029" max="11029" width="12.42578125" style="16" customWidth="1"/>
    <col min="11030" max="11030" width="9.140625" style="16"/>
    <col min="11031" max="11031" width="12" style="16" customWidth="1"/>
    <col min="11032" max="11264" width="9.140625" style="16"/>
    <col min="11265" max="11265" width="5" style="16" customWidth="1"/>
    <col min="11266" max="11266" width="18" style="16" customWidth="1"/>
    <col min="11267" max="11267" width="9.7109375" style="16" customWidth="1"/>
    <col min="11268" max="11268" width="7.5703125" style="16" customWidth="1"/>
    <col min="11269" max="11269" width="8.5703125" style="16" bestFit="1" customWidth="1"/>
    <col min="11270" max="11270" width="9.28515625" style="16" bestFit="1" customWidth="1"/>
    <col min="11271" max="11271" width="8.42578125" style="16" bestFit="1" customWidth="1"/>
    <col min="11272" max="11272" width="9.140625" style="16"/>
    <col min="11273" max="11273" width="9.85546875" style="16" customWidth="1"/>
    <col min="11274" max="11274" width="9.28515625" style="16" customWidth="1"/>
    <col min="11275" max="11275" width="9" style="16" customWidth="1"/>
    <col min="11276" max="11276" width="9.85546875" style="16" customWidth="1"/>
    <col min="11277" max="11277" width="8.42578125" style="16" customWidth="1"/>
    <col min="11278" max="11278" width="8.5703125" style="16" customWidth="1"/>
    <col min="11279" max="11279" width="7.140625" style="16" bestFit="1" customWidth="1"/>
    <col min="11280" max="11284" width="9.140625" style="16"/>
    <col min="11285" max="11285" width="12.42578125" style="16" customWidth="1"/>
    <col min="11286" max="11286" width="9.140625" style="16"/>
    <col min="11287" max="11287" width="12" style="16" customWidth="1"/>
    <col min="11288" max="11520" width="9.140625" style="16"/>
    <col min="11521" max="11521" width="5" style="16" customWidth="1"/>
    <col min="11522" max="11522" width="18" style="16" customWidth="1"/>
    <col min="11523" max="11523" width="9.7109375" style="16" customWidth="1"/>
    <col min="11524" max="11524" width="7.5703125" style="16" customWidth="1"/>
    <col min="11525" max="11525" width="8.5703125" style="16" bestFit="1" customWidth="1"/>
    <col min="11526" max="11526" width="9.28515625" style="16" bestFit="1" customWidth="1"/>
    <col min="11527" max="11527" width="8.42578125" style="16" bestFit="1" customWidth="1"/>
    <col min="11528" max="11528" width="9.140625" style="16"/>
    <col min="11529" max="11529" width="9.85546875" style="16" customWidth="1"/>
    <col min="11530" max="11530" width="9.28515625" style="16" customWidth="1"/>
    <col min="11531" max="11531" width="9" style="16" customWidth="1"/>
    <col min="11532" max="11532" width="9.85546875" style="16" customWidth="1"/>
    <col min="11533" max="11533" width="8.42578125" style="16" customWidth="1"/>
    <col min="11534" max="11534" width="8.5703125" style="16" customWidth="1"/>
    <col min="11535" max="11535" width="7.140625" style="16" bestFit="1" customWidth="1"/>
    <col min="11536" max="11540" width="9.140625" style="16"/>
    <col min="11541" max="11541" width="12.42578125" style="16" customWidth="1"/>
    <col min="11542" max="11542" width="9.140625" style="16"/>
    <col min="11543" max="11543" width="12" style="16" customWidth="1"/>
    <col min="11544" max="11776" width="9.140625" style="16"/>
    <col min="11777" max="11777" width="5" style="16" customWidth="1"/>
    <col min="11778" max="11778" width="18" style="16" customWidth="1"/>
    <col min="11779" max="11779" width="9.7109375" style="16" customWidth="1"/>
    <col min="11780" max="11780" width="7.5703125" style="16" customWidth="1"/>
    <col min="11781" max="11781" width="8.5703125" style="16" bestFit="1" customWidth="1"/>
    <col min="11782" max="11782" width="9.28515625" style="16" bestFit="1" customWidth="1"/>
    <col min="11783" max="11783" width="8.42578125" style="16" bestFit="1" customWidth="1"/>
    <col min="11784" max="11784" width="9.140625" style="16"/>
    <col min="11785" max="11785" width="9.85546875" style="16" customWidth="1"/>
    <col min="11786" max="11786" width="9.28515625" style="16" customWidth="1"/>
    <col min="11787" max="11787" width="9" style="16" customWidth="1"/>
    <col min="11788" max="11788" width="9.85546875" style="16" customWidth="1"/>
    <col min="11789" max="11789" width="8.42578125" style="16" customWidth="1"/>
    <col min="11790" max="11790" width="8.5703125" style="16" customWidth="1"/>
    <col min="11791" max="11791" width="7.140625" style="16" bestFit="1" customWidth="1"/>
    <col min="11792" max="11796" width="9.140625" style="16"/>
    <col min="11797" max="11797" width="12.42578125" style="16" customWidth="1"/>
    <col min="11798" max="11798" width="9.140625" style="16"/>
    <col min="11799" max="11799" width="12" style="16" customWidth="1"/>
    <col min="11800" max="12032" width="9.140625" style="16"/>
    <col min="12033" max="12033" width="5" style="16" customWidth="1"/>
    <col min="12034" max="12034" width="18" style="16" customWidth="1"/>
    <col min="12035" max="12035" width="9.7109375" style="16" customWidth="1"/>
    <col min="12036" max="12036" width="7.5703125" style="16" customWidth="1"/>
    <col min="12037" max="12037" width="8.5703125" style="16" bestFit="1" customWidth="1"/>
    <col min="12038" max="12038" width="9.28515625" style="16" bestFit="1" customWidth="1"/>
    <col min="12039" max="12039" width="8.42578125" style="16" bestFit="1" customWidth="1"/>
    <col min="12040" max="12040" width="9.140625" style="16"/>
    <col min="12041" max="12041" width="9.85546875" style="16" customWidth="1"/>
    <col min="12042" max="12042" width="9.28515625" style="16" customWidth="1"/>
    <col min="12043" max="12043" width="9" style="16" customWidth="1"/>
    <col min="12044" max="12044" width="9.85546875" style="16" customWidth="1"/>
    <col min="12045" max="12045" width="8.42578125" style="16" customWidth="1"/>
    <col min="12046" max="12046" width="8.5703125" style="16" customWidth="1"/>
    <col min="12047" max="12047" width="7.140625" style="16" bestFit="1" customWidth="1"/>
    <col min="12048" max="12052" width="9.140625" style="16"/>
    <col min="12053" max="12053" width="12.42578125" style="16" customWidth="1"/>
    <col min="12054" max="12054" width="9.140625" style="16"/>
    <col min="12055" max="12055" width="12" style="16" customWidth="1"/>
    <col min="12056" max="12288" width="9.140625" style="16"/>
    <col min="12289" max="12289" width="5" style="16" customWidth="1"/>
    <col min="12290" max="12290" width="18" style="16" customWidth="1"/>
    <col min="12291" max="12291" width="9.7109375" style="16" customWidth="1"/>
    <col min="12292" max="12292" width="7.5703125" style="16" customWidth="1"/>
    <col min="12293" max="12293" width="8.5703125" style="16" bestFit="1" customWidth="1"/>
    <col min="12294" max="12294" width="9.28515625" style="16" bestFit="1" customWidth="1"/>
    <col min="12295" max="12295" width="8.42578125" style="16" bestFit="1" customWidth="1"/>
    <col min="12296" max="12296" width="9.140625" style="16"/>
    <col min="12297" max="12297" width="9.85546875" style="16" customWidth="1"/>
    <col min="12298" max="12298" width="9.28515625" style="16" customWidth="1"/>
    <col min="12299" max="12299" width="9" style="16" customWidth="1"/>
    <col min="12300" max="12300" width="9.85546875" style="16" customWidth="1"/>
    <col min="12301" max="12301" width="8.42578125" style="16" customWidth="1"/>
    <col min="12302" max="12302" width="8.5703125" style="16" customWidth="1"/>
    <col min="12303" max="12303" width="7.140625" style="16" bestFit="1" customWidth="1"/>
    <col min="12304" max="12308" width="9.140625" style="16"/>
    <col min="12309" max="12309" width="12.42578125" style="16" customWidth="1"/>
    <col min="12310" max="12310" width="9.140625" style="16"/>
    <col min="12311" max="12311" width="12" style="16" customWidth="1"/>
    <col min="12312" max="12544" width="9.140625" style="16"/>
    <col min="12545" max="12545" width="5" style="16" customWidth="1"/>
    <col min="12546" max="12546" width="18" style="16" customWidth="1"/>
    <col min="12547" max="12547" width="9.7109375" style="16" customWidth="1"/>
    <col min="12548" max="12548" width="7.5703125" style="16" customWidth="1"/>
    <col min="12549" max="12549" width="8.5703125" style="16" bestFit="1" customWidth="1"/>
    <col min="12550" max="12550" width="9.28515625" style="16" bestFit="1" customWidth="1"/>
    <col min="12551" max="12551" width="8.42578125" style="16" bestFit="1" customWidth="1"/>
    <col min="12552" max="12552" width="9.140625" style="16"/>
    <col min="12553" max="12553" width="9.85546875" style="16" customWidth="1"/>
    <col min="12554" max="12554" width="9.28515625" style="16" customWidth="1"/>
    <col min="12555" max="12555" width="9" style="16" customWidth="1"/>
    <col min="12556" max="12556" width="9.85546875" style="16" customWidth="1"/>
    <col min="12557" max="12557" width="8.42578125" style="16" customWidth="1"/>
    <col min="12558" max="12558" width="8.5703125" style="16" customWidth="1"/>
    <col min="12559" max="12559" width="7.140625" style="16" bestFit="1" customWidth="1"/>
    <col min="12560" max="12564" width="9.140625" style="16"/>
    <col min="12565" max="12565" width="12.42578125" style="16" customWidth="1"/>
    <col min="12566" max="12566" width="9.140625" style="16"/>
    <col min="12567" max="12567" width="12" style="16" customWidth="1"/>
    <col min="12568" max="12800" width="9.140625" style="16"/>
    <col min="12801" max="12801" width="5" style="16" customWidth="1"/>
    <col min="12802" max="12802" width="18" style="16" customWidth="1"/>
    <col min="12803" max="12803" width="9.7109375" style="16" customWidth="1"/>
    <col min="12804" max="12804" width="7.5703125" style="16" customWidth="1"/>
    <col min="12805" max="12805" width="8.5703125" style="16" bestFit="1" customWidth="1"/>
    <col min="12806" max="12806" width="9.28515625" style="16" bestFit="1" customWidth="1"/>
    <col min="12807" max="12807" width="8.42578125" style="16" bestFit="1" customWidth="1"/>
    <col min="12808" max="12808" width="9.140625" style="16"/>
    <col min="12809" max="12809" width="9.85546875" style="16" customWidth="1"/>
    <col min="12810" max="12810" width="9.28515625" style="16" customWidth="1"/>
    <col min="12811" max="12811" width="9" style="16" customWidth="1"/>
    <col min="12812" max="12812" width="9.85546875" style="16" customWidth="1"/>
    <col min="12813" max="12813" width="8.42578125" style="16" customWidth="1"/>
    <col min="12814" max="12814" width="8.5703125" style="16" customWidth="1"/>
    <col min="12815" max="12815" width="7.140625" style="16" bestFit="1" customWidth="1"/>
    <col min="12816" max="12820" width="9.140625" style="16"/>
    <col min="12821" max="12821" width="12.42578125" style="16" customWidth="1"/>
    <col min="12822" max="12822" width="9.140625" style="16"/>
    <col min="12823" max="12823" width="12" style="16" customWidth="1"/>
    <col min="12824" max="13056" width="9.140625" style="16"/>
    <col min="13057" max="13057" width="5" style="16" customWidth="1"/>
    <col min="13058" max="13058" width="18" style="16" customWidth="1"/>
    <col min="13059" max="13059" width="9.7109375" style="16" customWidth="1"/>
    <col min="13060" max="13060" width="7.5703125" style="16" customWidth="1"/>
    <col min="13061" max="13061" width="8.5703125" style="16" bestFit="1" customWidth="1"/>
    <col min="13062" max="13062" width="9.28515625" style="16" bestFit="1" customWidth="1"/>
    <col min="13063" max="13063" width="8.42578125" style="16" bestFit="1" customWidth="1"/>
    <col min="13064" max="13064" width="9.140625" style="16"/>
    <col min="13065" max="13065" width="9.85546875" style="16" customWidth="1"/>
    <col min="13066" max="13066" width="9.28515625" style="16" customWidth="1"/>
    <col min="13067" max="13067" width="9" style="16" customWidth="1"/>
    <col min="13068" max="13068" width="9.85546875" style="16" customWidth="1"/>
    <col min="13069" max="13069" width="8.42578125" style="16" customWidth="1"/>
    <col min="13070" max="13070" width="8.5703125" style="16" customWidth="1"/>
    <col min="13071" max="13071" width="7.140625" style="16" bestFit="1" customWidth="1"/>
    <col min="13072" max="13076" width="9.140625" style="16"/>
    <col min="13077" max="13077" width="12.42578125" style="16" customWidth="1"/>
    <col min="13078" max="13078" width="9.140625" style="16"/>
    <col min="13079" max="13079" width="12" style="16" customWidth="1"/>
    <col min="13080" max="13312" width="9.140625" style="16"/>
    <col min="13313" max="13313" width="5" style="16" customWidth="1"/>
    <col min="13314" max="13314" width="18" style="16" customWidth="1"/>
    <col min="13315" max="13315" width="9.7109375" style="16" customWidth="1"/>
    <col min="13316" max="13316" width="7.5703125" style="16" customWidth="1"/>
    <col min="13317" max="13317" width="8.5703125" style="16" bestFit="1" customWidth="1"/>
    <col min="13318" max="13318" width="9.28515625" style="16" bestFit="1" customWidth="1"/>
    <col min="13319" max="13319" width="8.42578125" style="16" bestFit="1" customWidth="1"/>
    <col min="13320" max="13320" width="9.140625" style="16"/>
    <col min="13321" max="13321" width="9.85546875" style="16" customWidth="1"/>
    <col min="13322" max="13322" width="9.28515625" style="16" customWidth="1"/>
    <col min="13323" max="13323" width="9" style="16" customWidth="1"/>
    <col min="13324" max="13324" width="9.85546875" style="16" customWidth="1"/>
    <col min="13325" max="13325" width="8.42578125" style="16" customWidth="1"/>
    <col min="13326" max="13326" width="8.5703125" style="16" customWidth="1"/>
    <col min="13327" max="13327" width="7.140625" style="16" bestFit="1" customWidth="1"/>
    <col min="13328" max="13332" width="9.140625" style="16"/>
    <col min="13333" max="13333" width="12.42578125" style="16" customWidth="1"/>
    <col min="13334" max="13334" width="9.140625" style="16"/>
    <col min="13335" max="13335" width="12" style="16" customWidth="1"/>
    <col min="13336" max="13568" width="9.140625" style="16"/>
    <col min="13569" max="13569" width="5" style="16" customWidth="1"/>
    <col min="13570" max="13570" width="18" style="16" customWidth="1"/>
    <col min="13571" max="13571" width="9.7109375" style="16" customWidth="1"/>
    <col min="13572" max="13572" width="7.5703125" style="16" customWidth="1"/>
    <col min="13573" max="13573" width="8.5703125" style="16" bestFit="1" customWidth="1"/>
    <col min="13574" max="13574" width="9.28515625" style="16" bestFit="1" customWidth="1"/>
    <col min="13575" max="13575" width="8.42578125" style="16" bestFit="1" customWidth="1"/>
    <col min="13576" max="13576" width="9.140625" style="16"/>
    <col min="13577" max="13577" width="9.85546875" style="16" customWidth="1"/>
    <col min="13578" max="13578" width="9.28515625" style="16" customWidth="1"/>
    <col min="13579" max="13579" width="9" style="16" customWidth="1"/>
    <col min="13580" max="13580" width="9.85546875" style="16" customWidth="1"/>
    <col min="13581" max="13581" width="8.42578125" style="16" customWidth="1"/>
    <col min="13582" max="13582" width="8.5703125" style="16" customWidth="1"/>
    <col min="13583" max="13583" width="7.140625" style="16" bestFit="1" customWidth="1"/>
    <col min="13584" max="13588" width="9.140625" style="16"/>
    <col min="13589" max="13589" width="12.42578125" style="16" customWidth="1"/>
    <col min="13590" max="13590" width="9.140625" style="16"/>
    <col min="13591" max="13591" width="12" style="16" customWidth="1"/>
    <col min="13592" max="13824" width="9.140625" style="16"/>
    <col min="13825" max="13825" width="5" style="16" customWidth="1"/>
    <col min="13826" max="13826" width="18" style="16" customWidth="1"/>
    <col min="13827" max="13827" width="9.7109375" style="16" customWidth="1"/>
    <col min="13828" max="13828" width="7.5703125" style="16" customWidth="1"/>
    <col min="13829" max="13829" width="8.5703125" style="16" bestFit="1" customWidth="1"/>
    <col min="13830" max="13830" width="9.28515625" style="16" bestFit="1" customWidth="1"/>
    <col min="13831" max="13831" width="8.42578125" style="16" bestFit="1" customWidth="1"/>
    <col min="13832" max="13832" width="9.140625" style="16"/>
    <col min="13833" max="13833" width="9.85546875" style="16" customWidth="1"/>
    <col min="13834" max="13834" width="9.28515625" style="16" customWidth="1"/>
    <col min="13835" max="13835" width="9" style="16" customWidth="1"/>
    <col min="13836" max="13836" width="9.85546875" style="16" customWidth="1"/>
    <col min="13837" max="13837" width="8.42578125" style="16" customWidth="1"/>
    <col min="13838" max="13838" width="8.5703125" style="16" customWidth="1"/>
    <col min="13839" max="13839" width="7.140625" style="16" bestFit="1" customWidth="1"/>
    <col min="13840" max="13844" width="9.140625" style="16"/>
    <col min="13845" max="13845" width="12.42578125" style="16" customWidth="1"/>
    <col min="13846" max="13846" width="9.140625" style="16"/>
    <col min="13847" max="13847" width="12" style="16" customWidth="1"/>
    <col min="13848" max="14080" width="9.140625" style="16"/>
    <col min="14081" max="14081" width="5" style="16" customWidth="1"/>
    <col min="14082" max="14082" width="18" style="16" customWidth="1"/>
    <col min="14083" max="14083" width="9.7109375" style="16" customWidth="1"/>
    <col min="14084" max="14084" width="7.5703125" style="16" customWidth="1"/>
    <col min="14085" max="14085" width="8.5703125" style="16" bestFit="1" customWidth="1"/>
    <col min="14086" max="14086" width="9.28515625" style="16" bestFit="1" customWidth="1"/>
    <col min="14087" max="14087" width="8.42578125" style="16" bestFit="1" customWidth="1"/>
    <col min="14088" max="14088" width="9.140625" style="16"/>
    <col min="14089" max="14089" width="9.85546875" style="16" customWidth="1"/>
    <col min="14090" max="14090" width="9.28515625" style="16" customWidth="1"/>
    <col min="14091" max="14091" width="9" style="16" customWidth="1"/>
    <col min="14092" max="14092" width="9.85546875" style="16" customWidth="1"/>
    <col min="14093" max="14093" width="8.42578125" style="16" customWidth="1"/>
    <col min="14094" max="14094" width="8.5703125" style="16" customWidth="1"/>
    <col min="14095" max="14095" width="7.140625" style="16" bestFit="1" customWidth="1"/>
    <col min="14096" max="14100" width="9.140625" style="16"/>
    <col min="14101" max="14101" width="12.42578125" style="16" customWidth="1"/>
    <col min="14102" max="14102" width="9.140625" style="16"/>
    <col min="14103" max="14103" width="12" style="16" customWidth="1"/>
    <col min="14104" max="14336" width="9.140625" style="16"/>
    <col min="14337" max="14337" width="5" style="16" customWidth="1"/>
    <col min="14338" max="14338" width="18" style="16" customWidth="1"/>
    <col min="14339" max="14339" width="9.7109375" style="16" customWidth="1"/>
    <col min="14340" max="14340" width="7.5703125" style="16" customWidth="1"/>
    <col min="14341" max="14341" width="8.5703125" style="16" bestFit="1" customWidth="1"/>
    <col min="14342" max="14342" width="9.28515625" style="16" bestFit="1" customWidth="1"/>
    <col min="14343" max="14343" width="8.42578125" style="16" bestFit="1" customWidth="1"/>
    <col min="14344" max="14344" width="9.140625" style="16"/>
    <col min="14345" max="14345" width="9.85546875" style="16" customWidth="1"/>
    <col min="14346" max="14346" width="9.28515625" style="16" customWidth="1"/>
    <col min="14347" max="14347" width="9" style="16" customWidth="1"/>
    <col min="14348" max="14348" width="9.85546875" style="16" customWidth="1"/>
    <col min="14349" max="14349" width="8.42578125" style="16" customWidth="1"/>
    <col min="14350" max="14350" width="8.5703125" style="16" customWidth="1"/>
    <col min="14351" max="14351" width="7.140625" style="16" bestFit="1" customWidth="1"/>
    <col min="14352" max="14356" width="9.140625" style="16"/>
    <col min="14357" max="14357" width="12.42578125" style="16" customWidth="1"/>
    <col min="14358" max="14358" width="9.140625" style="16"/>
    <col min="14359" max="14359" width="12" style="16" customWidth="1"/>
    <col min="14360" max="14592" width="9.140625" style="16"/>
    <col min="14593" max="14593" width="5" style="16" customWidth="1"/>
    <col min="14594" max="14594" width="18" style="16" customWidth="1"/>
    <col min="14595" max="14595" width="9.7109375" style="16" customWidth="1"/>
    <col min="14596" max="14596" width="7.5703125" style="16" customWidth="1"/>
    <col min="14597" max="14597" width="8.5703125" style="16" bestFit="1" customWidth="1"/>
    <col min="14598" max="14598" width="9.28515625" style="16" bestFit="1" customWidth="1"/>
    <col min="14599" max="14599" width="8.42578125" style="16" bestFit="1" customWidth="1"/>
    <col min="14600" max="14600" width="9.140625" style="16"/>
    <col min="14601" max="14601" width="9.85546875" style="16" customWidth="1"/>
    <col min="14602" max="14602" width="9.28515625" style="16" customWidth="1"/>
    <col min="14603" max="14603" width="9" style="16" customWidth="1"/>
    <col min="14604" max="14604" width="9.85546875" style="16" customWidth="1"/>
    <col min="14605" max="14605" width="8.42578125" style="16" customWidth="1"/>
    <col min="14606" max="14606" width="8.5703125" style="16" customWidth="1"/>
    <col min="14607" max="14607" width="7.140625" style="16" bestFit="1" customWidth="1"/>
    <col min="14608" max="14612" width="9.140625" style="16"/>
    <col min="14613" max="14613" width="12.42578125" style="16" customWidth="1"/>
    <col min="14614" max="14614" width="9.140625" style="16"/>
    <col min="14615" max="14615" width="12" style="16" customWidth="1"/>
    <col min="14616" max="14848" width="9.140625" style="16"/>
    <col min="14849" max="14849" width="5" style="16" customWidth="1"/>
    <col min="14850" max="14850" width="18" style="16" customWidth="1"/>
    <col min="14851" max="14851" width="9.7109375" style="16" customWidth="1"/>
    <col min="14852" max="14852" width="7.5703125" style="16" customWidth="1"/>
    <col min="14853" max="14853" width="8.5703125" style="16" bestFit="1" customWidth="1"/>
    <col min="14854" max="14854" width="9.28515625" style="16" bestFit="1" customWidth="1"/>
    <col min="14855" max="14855" width="8.42578125" style="16" bestFit="1" customWidth="1"/>
    <col min="14856" max="14856" width="9.140625" style="16"/>
    <col min="14857" max="14857" width="9.85546875" style="16" customWidth="1"/>
    <col min="14858" max="14858" width="9.28515625" style="16" customWidth="1"/>
    <col min="14859" max="14859" width="9" style="16" customWidth="1"/>
    <col min="14860" max="14860" width="9.85546875" style="16" customWidth="1"/>
    <col min="14861" max="14861" width="8.42578125" style="16" customWidth="1"/>
    <col min="14862" max="14862" width="8.5703125" style="16" customWidth="1"/>
    <col min="14863" max="14863" width="7.140625" style="16" bestFit="1" customWidth="1"/>
    <col min="14864" max="14868" width="9.140625" style="16"/>
    <col min="14869" max="14869" width="12.42578125" style="16" customWidth="1"/>
    <col min="14870" max="14870" width="9.140625" style="16"/>
    <col min="14871" max="14871" width="12" style="16" customWidth="1"/>
    <col min="14872" max="15104" width="9.140625" style="16"/>
    <col min="15105" max="15105" width="5" style="16" customWidth="1"/>
    <col min="15106" max="15106" width="18" style="16" customWidth="1"/>
    <col min="15107" max="15107" width="9.7109375" style="16" customWidth="1"/>
    <col min="15108" max="15108" width="7.5703125" style="16" customWidth="1"/>
    <col min="15109" max="15109" width="8.5703125" style="16" bestFit="1" customWidth="1"/>
    <col min="15110" max="15110" width="9.28515625" style="16" bestFit="1" customWidth="1"/>
    <col min="15111" max="15111" width="8.42578125" style="16" bestFit="1" customWidth="1"/>
    <col min="15112" max="15112" width="9.140625" style="16"/>
    <col min="15113" max="15113" width="9.85546875" style="16" customWidth="1"/>
    <col min="15114" max="15114" width="9.28515625" style="16" customWidth="1"/>
    <col min="15115" max="15115" width="9" style="16" customWidth="1"/>
    <col min="15116" max="15116" width="9.85546875" style="16" customWidth="1"/>
    <col min="15117" max="15117" width="8.42578125" style="16" customWidth="1"/>
    <col min="15118" max="15118" width="8.5703125" style="16" customWidth="1"/>
    <col min="15119" max="15119" width="7.140625" style="16" bestFit="1" customWidth="1"/>
    <col min="15120" max="15124" width="9.140625" style="16"/>
    <col min="15125" max="15125" width="12.42578125" style="16" customWidth="1"/>
    <col min="15126" max="15126" width="9.140625" style="16"/>
    <col min="15127" max="15127" width="12" style="16" customWidth="1"/>
    <col min="15128" max="15360" width="9.140625" style="16"/>
    <col min="15361" max="15361" width="5" style="16" customWidth="1"/>
    <col min="15362" max="15362" width="18" style="16" customWidth="1"/>
    <col min="15363" max="15363" width="9.7109375" style="16" customWidth="1"/>
    <col min="15364" max="15364" width="7.5703125" style="16" customWidth="1"/>
    <col min="15365" max="15365" width="8.5703125" style="16" bestFit="1" customWidth="1"/>
    <col min="15366" max="15366" width="9.28515625" style="16" bestFit="1" customWidth="1"/>
    <col min="15367" max="15367" width="8.42578125" style="16" bestFit="1" customWidth="1"/>
    <col min="15368" max="15368" width="9.140625" style="16"/>
    <col min="15369" max="15369" width="9.85546875" style="16" customWidth="1"/>
    <col min="15370" max="15370" width="9.28515625" style="16" customWidth="1"/>
    <col min="15371" max="15371" width="9" style="16" customWidth="1"/>
    <col min="15372" max="15372" width="9.85546875" style="16" customWidth="1"/>
    <col min="15373" max="15373" width="8.42578125" style="16" customWidth="1"/>
    <col min="15374" max="15374" width="8.5703125" style="16" customWidth="1"/>
    <col min="15375" max="15375" width="7.140625" style="16" bestFit="1" customWidth="1"/>
    <col min="15376" max="15380" width="9.140625" style="16"/>
    <col min="15381" max="15381" width="12.42578125" style="16" customWidth="1"/>
    <col min="15382" max="15382" width="9.140625" style="16"/>
    <col min="15383" max="15383" width="12" style="16" customWidth="1"/>
    <col min="15384" max="15616" width="9.140625" style="16"/>
    <col min="15617" max="15617" width="5" style="16" customWidth="1"/>
    <col min="15618" max="15618" width="18" style="16" customWidth="1"/>
    <col min="15619" max="15619" width="9.7109375" style="16" customWidth="1"/>
    <col min="15620" max="15620" width="7.5703125" style="16" customWidth="1"/>
    <col min="15621" max="15621" width="8.5703125" style="16" bestFit="1" customWidth="1"/>
    <col min="15622" max="15622" width="9.28515625" style="16" bestFit="1" customWidth="1"/>
    <col min="15623" max="15623" width="8.42578125" style="16" bestFit="1" customWidth="1"/>
    <col min="15624" max="15624" width="9.140625" style="16"/>
    <col min="15625" max="15625" width="9.85546875" style="16" customWidth="1"/>
    <col min="15626" max="15626" width="9.28515625" style="16" customWidth="1"/>
    <col min="15627" max="15627" width="9" style="16" customWidth="1"/>
    <col min="15628" max="15628" width="9.85546875" style="16" customWidth="1"/>
    <col min="15629" max="15629" width="8.42578125" style="16" customWidth="1"/>
    <col min="15630" max="15630" width="8.5703125" style="16" customWidth="1"/>
    <col min="15631" max="15631" width="7.140625" style="16" bestFit="1" customWidth="1"/>
    <col min="15632" max="15636" width="9.140625" style="16"/>
    <col min="15637" max="15637" width="12.42578125" style="16" customWidth="1"/>
    <col min="15638" max="15638" width="9.140625" style="16"/>
    <col min="15639" max="15639" width="12" style="16" customWidth="1"/>
    <col min="15640" max="15872" width="9.140625" style="16"/>
    <col min="15873" max="15873" width="5" style="16" customWidth="1"/>
    <col min="15874" max="15874" width="18" style="16" customWidth="1"/>
    <col min="15875" max="15875" width="9.7109375" style="16" customWidth="1"/>
    <col min="15876" max="15876" width="7.5703125" style="16" customWidth="1"/>
    <col min="15877" max="15877" width="8.5703125" style="16" bestFit="1" customWidth="1"/>
    <col min="15878" max="15878" width="9.28515625" style="16" bestFit="1" customWidth="1"/>
    <col min="15879" max="15879" width="8.42578125" style="16" bestFit="1" customWidth="1"/>
    <col min="15880" max="15880" width="9.140625" style="16"/>
    <col min="15881" max="15881" width="9.85546875" style="16" customWidth="1"/>
    <col min="15882" max="15882" width="9.28515625" style="16" customWidth="1"/>
    <col min="15883" max="15883" width="9" style="16" customWidth="1"/>
    <col min="15884" max="15884" width="9.85546875" style="16" customWidth="1"/>
    <col min="15885" max="15885" width="8.42578125" style="16" customWidth="1"/>
    <col min="15886" max="15886" width="8.5703125" style="16" customWidth="1"/>
    <col min="15887" max="15887" width="7.140625" style="16" bestFit="1" customWidth="1"/>
    <col min="15888" max="15892" width="9.140625" style="16"/>
    <col min="15893" max="15893" width="12.42578125" style="16" customWidth="1"/>
    <col min="15894" max="15894" width="9.140625" style="16"/>
    <col min="15895" max="15895" width="12" style="16" customWidth="1"/>
    <col min="15896" max="16128" width="9.140625" style="16"/>
    <col min="16129" max="16129" width="5" style="16" customWidth="1"/>
    <col min="16130" max="16130" width="18" style="16" customWidth="1"/>
    <col min="16131" max="16131" width="9.7109375" style="16" customWidth="1"/>
    <col min="16132" max="16132" width="7.5703125" style="16" customWidth="1"/>
    <col min="16133" max="16133" width="8.5703125" style="16" bestFit="1" customWidth="1"/>
    <col min="16134" max="16134" width="9.28515625" style="16" bestFit="1" customWidth="1"/>
    <col min="16135" max="16135" width="8.42578125" style="16" bestFit="1" customWidth="1"/>
    <col min="16136" max="16136" width="9.140625" style="16"/>
    <col min="16137" max="16137" width="9.85546875" style="16" customWidth="1"/>
    <col min="16138" max="16138" width="9.28515625" style="16" customWidth="1"/>
    <col min="16139" max="16139" width="9" style="16" customWidth="1"/>
    <col min="16140" max="16140" width="9.85546875" style="16" customWidth="1"/>
    <col min="16141" max="16141" width="8.42578125" style="16" customWidth="1"/>
    <col min="16142" max="16142" width="8.5703125" style="16" customWidth="1"/>
    <col min="16143" max="16143" width="7.140625" style="16" bestFit="1" customWidth="1"/>
    <col min="16144" max="16148" width="9.140625" style="16"/>
    <col min="16149" max="16149" width="12.42578125" style="16" customWidth="1"/>
    <col min="16150" max="16150" width="9.140625" style="16"/>
    <col min="16151" max="16151" width="12" style="16" customWidth="1"/>
    <col min="16152" max="16384" width="9.140625" style="16"/>
  </cols>
  <sheetData>
    <row r="1" spans="1:17" s="1" customFormat="1" x14ac:dyDescent="0.2">
      <c r="A1" s="867" t="s">
        <v>449</v>
      </c>
      <c r="B1" s="868"/>
      <c r="C1" s="868"/>
      <c r="D1" s="869"/>
      <c r="E1" s="868"/>
      <c r="F1" s="868"/>
      <c r="G1" s="867" t="s">
        <v>102</v>
      </c>
      <c r="H1" s="869"/>
      <c r="I1" s="869" t="s">
        <v>1186</v>
      </c>
      <c r="J1" s="868"/>
      <c r="K1" s="868"/>
      <c r="L1" s="870"/>
      <c r="M1" s="870"/>
      <c r="N1" s="870"/>
      <c r="O1" s="870"/>
    </row>
    <row r="2" spans="1:17" s="1" customFormat="1" x14ac:dyDescent="0.2">
      <c r="A2" s="867" t="s">
        <v>103</v>
      </c>
      <c r="B2" s="868"/>
      <c r="C2" s="868"/>
      <c r="D2" s="869"/>
      <c r="E2" s="868"/>
      <c r="F2" s="868"/>
      <c r="G2" s="867" t="s">
        <v>104</v>
      </c>
      <c r="H2" s="869"/>
      <c r="I2" s="869" t="s">
        <v>105</v>
      </c>
      <c r="J2" s="868"/>
      <c r="K2" s="868"/>
      <c r="L2" s="870"/>
      <c r="M2" s="870"/>
      <c r="N2" s="870"/>
      <c r="O2" s="870"/>
    </row>
    <row r="3" spans="1:17" s="1" customFormat="1" x14ac:dyDescent="0.2">
      <c r="A3" s="867" t="s">
        <v>106</v>
      </c>
      <c r="B3" s="868"/>
      <c r="C3" s="868"/>
      <c r="D3" s="881" t="s">
        <v>1213</v>
      </c>
      <c r="E3" s="882"/>
      <c r="F3" s="882"/>
      <c r="G3" s="867" t="s">
        <v>107</v>
      </c>
      <c r="H3" s="869"/>
      <c r="I3" s="869" t="s">
        <v>108</v>
      </c>
      <c r="J3" s="868"/>
      <c r="K3" s="868"/>
      <c r="L3" s="870"/>
      <c r="M3" s="870"/>
      <c r="N3" s="870"/>
      <c r="O3" s="870"/>
    </row>
    <row r="4" spans="1:17" s="1" customFormat="1" x14ac:dyDescent="0.2">
      <c r="A4" s="867" t="s">
        <v>109</v>
      </c>
      <c r="B4" s="868"/>
      <c r="C4" s="868"/>
      <c r="D4" s="869"/>
      <c r="E4" s="868"/>
      <c r="F4" s="868"/>
      <c r="G4" s="867" t="s">
        <v>110</v>
      </c>
      <c r="H4" s="869"/>
      <c r="I4" s="869" t="s">
        <v>272</v>
      </c>
      <c r="J4" s="868"/>
      <c r="K4" s="868"/>
      <c r="L4" s="870"/>
      <c r="M4" s="870"/>
      <c r="N4" s="870"/>
      <c r="O4" s="870"/>
    </row>
    <row r="5" spans="1:17" s="1" customFormat="1" x14ac:dyDescent="0.2">
      <c r="A5" s="867" t="s">
        <v>278</v>
      </c>
      <c r="B5" s="868"/>
      <c r="C5" s="868"/>
      <c r="D5" s="869" t="s">
        <v>1214</v>
      </c>
      <c r="E5" s="868"/>
      <c r="F5" s="868"/>
      <c r="G5" s="867"/>
      <c r="H5" s="868"/>
      <c r="I5" s="869" t="s">
        <v>113</v>
      </c>
      <c r="J5" s="868"/>
      <c r="K5" s="868"/>
      <c r="L5" s="870"/>
      <c r="M5" s="870"/>
      <c r="N5" s="870"/>
      <c r="O5" s="870"/>
    </row>
    <row r="6" spans="1:17" s="1" customFormat="1" x14ac:dyDescent="0.2">
      <c r="A6" s="871" t="s">
        <v>114</v>
      </c>
      <c r="B6" s="872"/>
      <c r="C6" s="872"/>
      <c r="D6" s="868" t="s">
        <v>1187</v>
      </c>
      <c r="E6" s="868"/>
      <c r="F6" s="868"/>
      <c r="G6" s="871" t="s">
        <v>115</v>
      </c>
      <c r="H6" s="871"/>
      <c r="I6" s="2" t="s">
        <v>222</v>
      </c>
      <c r="J6" s="888"/>
      <c r="K6" s="888"/>
      <c r="L6" s="888"/>
      <c r="M6" s="888"/>
      <c r="N6" s="888"/>
      <c r="O6" s="889"/>
    </row>
    <row r="7" spans="1:17" s="1" customFormat="1" ht="13.5" thickBot="1" x14ac:dyDescent="0.25">
      <c r="A7" s="3"/>
      <c r="B7" s="4"/>
      <c r="C7" s="5"/>
      <c r="D7" s="6"/>
      <c r="E7" s="6"/>
      <c r="F7" s="6"/>
      <c r="G7" s="6"/>
      <c r="H7" s="6"/>
      <c r="I7" s="6"/>
      <c r="J7" s="7"/>
      <c r="K7" s="8"/>
      <c r="L7" s="875" t="s">
        <v>223</v>
      </c>
      <c r="M7" s="875"/>
      <c r="N7" s="875"/>
      <c r="O7" s="875"/>
    </row>
    <row r="8" spans="1:17" s="11" customFormat="1" x14ac:dyDescent="0.2">
      <c r="A8" s="876" t="str">
        <f>I1</f>
        <v>Mr. G.S.Korgaonkar</v>
      </c>
      <c r="B8" s="877"/>
      <c r="C8" s="9">
        <v>43160</v>
      </c>
      <c r="D8" s="9">
        <v>43191</v>
      </c>
      <c r="E8" s="9">
        <v>43221</v>
      </c>
      <c r="F8" s="9">
        <v>43252</v>
      </c>
      <c r="G8" s="9">
        <v>43282</v>
      </c>
      <c r="H8" s="9">
        <v>43313</v>
      </c>
      <c r="I8" s="9">
        <v>43344</v>
      </c>
      <c r="J8" s="9">
        <v>43374</v>
      </c>
      <c r="K8" s="9">
        <v>43405</v>
      </c>
      <c r="L8" s="9">
        <v>43435</v>
      </c>
      <c r="M8" s="9">
        <v>43466</v>
      </c>
      <c r="N8" s="9">
        <v>43497</v>
      </c>
      <c r="O8" s="10" t="s">
        <v>117</v>
      </c>
      <c r="Q8" s="11" t="s">
        <v>116</v>
      </c>
    </row>
    <row r="9" spans="1:17" ht="15" x14ac:dyDescent="0.2">
      <c r="A9" s="12"/>
      <c r="B9" s="13" t="s">
        <v>118</v>
      </c>
      <c r="C9" s="14">
        <v>37000</v>
      </c>
      <c r="D9" s="14">
        <v>37000</v>
      </c>
      <c r="E9" s="14">
        <v>37000</v>
      </c>
      <c r="F9" s="14">
        <v>37000</v>
      </c>
      <c r="G9" s="14">
        <v>38100</v>
      </c>
      <c r="H9" s="14">
        <v>38100</v>
      </c>
      <c r="I9" s="14">
        <v>38100</v>
      </c>
      <c r="J9" s="14">
        <v>38100</v>
      </c>
      <c r="K9" s="14">
        <v>38100</v>
      </c>
      <c r="L9" s="14">
        <v>38100</v>
      </c>
      <c r="M9" s="14">
        <v>38100</v>
      </c>
      <c r="N9" s="14">
        <v>38100</v>
      </c>
      <c r="O9" s="15">
        <f>SUM(C9:N9)</f>
        <v>452800</v>
      </c>
      <c r="Q9" s="16" t="s">
        <v>222</v>
      </c>
    </row>
    <row r="10" spans="1:17"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7" ht="15" x14ac:dyDescent="0.2">
      <c r="A11" s="12"/>
      <c r="B11" s="13" t="s">
        <v>120</v>
      </c>
      <c r="C11" s="147">
        <v>1850</v>
      </c>
      <c r="D11" s="147">
        <v>2590</v>
      </c>
      <c r="E11" s="147">
        <v>2590</v>
      </c>
      <c r="F11" s="147">
        <v>2590</v>
      </c>
      <c r="G11" s="147">
        <v>2667</v>
      </c>
      <c r="H11" s="147">
        <v>2667</v>
      </c>
      <c r="I11" s="147">
        <v>2667</v>
      </c>
      <c r="J11" s="147">
        <v>3429</v>
      </c>
      <c r="K11" s="147">
        <v>3429</v>
      </c>
      <c r="L11" s="147">
        <v>3429</v>
      </c>
      <c r="M11" s="147">
        <v>3429</v>
      </c>
      <c r="N11" s="147">
        <v>3429</v>
      </c>
      <c r="O11" s="18">
        <f>SUM(C11:N11)</f>
        <v>34766</v>
      </c>
    </row>
    <row r="12" spans="1:17" ht="15" hidden="1" x14ac:dyDescent="0.2">
      <c r="A12" s="12"/>
      <c r="B12" s="13" t="s">
        <v>121</v>
      </c>
      <c r="C12" s="147">
        <v>0</v>
      </c>
      <c r="D12" s="147">
        <v>0</v>
      </c>
      <c r="E12" s="147">
        <v>0</v>
      </c>
      <c r="F12" s="147">
        <v>0</v>
      </c>
      <c r="G12" s="147">
        <v>0</v>
      </c>
      <c r="H12" s="147">
        <v>0</v>
      </c>
      <c r="I12" s="147">
        <v>0</v>
      </c>
      <c r="J12" s="147">
        <v>0</v>
      </c>
      <c r="K12" s="147">
        <v>0</v>
      </c>
      <c r="L12" s="147">
        <v>0</v>
      </c>
      <c r="M12" s="147">
        <v>0</v>
      </c>
      <c r="N12" s="147">
        <v>0</v>
      </c>
      <c r="O12" s="18">
        <f>SUM(C12:N12)</f>
        <v>0</v>
      </c>
    </row>
    <row r="13" spans="1:17" ht="15" hidden="1" x14ac:dyDescent="0.2">
      <c r="A13" s="12"/>
      <c r="B13" s="13" t="s">
        <v>122</v>
      </c>
      <c r="C13" s="147">
        <v>0</v>
      </c>
      <c r="D13" s="147">
        <v>0</v>
      </c>
      <c r="E13" s="147">
        <v>0</v>
      </c>
      <c r="F13" s="147">
        <v>0</v>
      </c>
      <c r="G13" s="147">
        <v>0</v>
      </c>
      <c r="H13" s="147">
        <v>0</v>
      </c>
      <c r="I13" s="147">
        <v>0</v>
      </c>
      <c r="J13" s="147">
        <v>0</v>
      </c>
      <c r="K13" s="147">
        <v>0</v>
      </c>
      <c r="L13" s="147">
        <v>0</v>
      </c>
      <c r="M13" s="147">
        <v>0</v>
      </c>
      <c r="N13" s="147">
        <v>0</v>
      </c>
      <c r="O13" s="18">
        <f t="shared" ref="O13:O36" si="0">SUM(C13:N13)</f>
        <v>0</v>
      </c>
    </row>
    <row r="14" spans="1:17" ht="15" x14ac:dyDescent="0.2">
      <c r="A14" s="12"/>
      <c r="B14" s="13" t="s">
        <v>123</v>
      </c>
      <c r="C14" s="147">
        <v>3780</v>
      </c>
      <c r="D14" s="147">
        <v>3852</v>
      </c>
      <c r="E14" s="147">
        <v>3852</v>
      </c>
      <c r="F14" s="147">
        <v>3852</v>
      </c>
      <c r="G14" s="147">
        <v>3852</v>
      </c>
      <c r="H14" s="147">
        <v>3852</v>
      </c>
      <c r="I14" s="147">
        <v>3852</v>
      </c>
      <c r="J14" s="147">
        <v>3924</v>
      </c>
      <c r="K14" s="147">
        <v>3924</v>
      </c>
      <c r="L14" s="147">
        <v>3924</v>
      </c>
      <c r="M14" s="147">
        <v>3924</v>
      </c>
      <c r="N14" s="147">
        <v>3924</v>
      </c>
      <c r="O14" s="18">
        <f t="shared" si="0"/>
        <v>46512</v>
      </c>
    </row>
    <row r="15" spans="1:17" ht="15" hidden="1" x14ac:dyDescent="0.2">
      <c r="A15" s="12"/>
      <c r="B15" s="13" t="s">
        <v>124</v>
      </c>
      <c r="C15" s="147">
        <v>0</v>
      </c>
      <c r="D15" s="147">
        <v>0</v>
      </c>
      <c r="E15" s="147">
        <v>0</v>
      </c>
      <c r="F15" s="147">
        <v>0</v>
      </c>
      <c r="G15" s="147">
        <v>0</v>
      </c>
      <c r="H15" s="147">
        <v>0</v>
      </c>
      <c r="I15" s="147">
        <v>0</v>
      </c>
      <c r="J15" s="147">
        <v>0</v>
      </c>
      <c r="K15" s="147">
        <v>0</v>
      </c>
      <c r="L15" s="147">
        <v>0</v>
      </c>
      <c r="M15" s="147">
        <v>0</v>
      </c>
      <c r="N15" s="147">
        <v>0</v>
      </c>
      <c r="O15" s="18">
        <f t="shared" si="0"/>
        <v>0</v>
      </c>
    </row>
    <row r="16" spans="1:17" ht="15" x14ac:dyDescent="0.2">
      <c r="A16" s="12"/>
      <c r="B16" s="13" t="s">
        <v>125</v>
      </c>
      <c r="C16" s="147">
        <v>0</v>
      </c>
      <c r="D16" s="147">
        <v>0</v>
      </c>
      <c r="E16" s="147">
        <v>0</v>
      </c>
      <c r="F16" s="147">
        <v>0</v>
      </c>
      <c r="G16" s="147">
        <v>0</v>
      </c>
      <c r="H16" s="147">
        <v>0</v>
      </c>
      <c r="I16" s="147">
        <v>0</v>
      </c>
      <c r="J16" s="147">
        <v>0</v>
      </c>
      <c r="K16" s="147">
        <v>0</v>
      </c>
      <c r="L16" s="147">
        <v>0</v>
      </c>
      <c r="M16" s="147">
        <v>0</v>
      </c>
      <c r="N16" s="147">
        <v>0</v>
      </c>
      <c r="O16" s="18">
        <f t="shared" si="0"/>
        <v>0</v>
      </c>
    </row>
    <row r="17" spans="1:15" ht="15" hidden="1" x14ac:dyDescent="0.2">
      <c r="A17" s="12"/>
      <c r="B17" s="13" t="s">
        <v>126</v>
      </c>
      <c r="C17" s="147">
        <v>0</v>
      </c>
      <c r="D17" s="147">
        <v>0</v>
      </c>
      <c r="E17" s="147">
        <v>0</v>
      </c>
      <c r="F17" s="147">
        <v>0</v>
      </c>
      <c r="G17" s="147">
        <v>0</v>
      </c>
      <c r="H17" s="147">
        <v>0</v>
      </c>
      <c r="I17" s="147">
        <v>0</v>
      </c>
      <c r="J17" s="147">
        <v>0</v>
      </c>
      <c r="K17" s="147">
        <v>0</v>
      </c>
      <c r="L17" s="147">
        <v>0</v>
      </c>
      <c r="M17" s="147">
        <v>0</v>
      </c>
      <c r="N17" s="147">
        <v>0</v>
      </c>
      <c r="O17" s="18">
        <f t="shared" si="0"/>
        <v>0</v>
      </c>
    </row>
    <row r="18" spans="1:15" ht="15" hidden="1" x14ac:dyDescent="0.2">
      <c r="A18" s="12"/>
      <c r="B18" s="13" t="s">
        <v>609</v>
      </c>
      <c r="C18" s="147">
        <v>0</v>
      </c>
      <c r="D18" s="147">
        <v>0</v>
      </c>
      <c r="E18" s="147">
        <v>0</v>
      </c>
      <c r="F18" s="147">
        <v>0</v>
      </c>
      <c r="G18" s="147">
        <v>0</v>
      </c>
      <c r="H18" s="147">
        <v>0</v>
      </c>
      <c r="I18" s="147">
        <v>0</v>
      </c>
      <c r="J18" s="147">
        <v>0</v>
      </c>
      <c r="K18" s="147">
        <v>0</v>
      </c>
      <c r="L18" s="147">
        <v>0</v>
      </c>
      <c r="M18" s="147">
        <v>0</v>
      </c>
      <c r="N18" s="147">
        <v>0</v>
      </c>
      <c r="O18" s="18">
        <f t="shared" si="0"/>
        <v>0</v>
      </c>
    </row>
    <row r="19" spans="1:15" ht="15" x14ac:dyDescent="0.2">
      <c r="A19" s="12"/>
      <c r="B19" s="13" t="s">
        <v>128</v>
      </c>
      <c r="C19" s="147">
        <v>8880</v>
      </c>
      <c r="D19" s="147">
        <v>8880</v>
      </c>
      <c r="E19" s="147">
        <v>8880</v>
      </c>
      <c r="F19" s="147">
        <v>8880</v>
      </c>
      <c r="G19" s="147">
        <v>9144</v>
      </c>
      <c r="H19" s="147">
        <v>9144</v>
      </c>
      <c r="I19" s="147">
        <v>9144</v>
      </c>
      <c r="J19" s="147">
        <v>9144</v>
      </c>
      <c r="K19" s="147">
        <v>9144</v>
      </c>
      <c r="L19" s="147">
        <v>9144</v>
      </c>
      <c r="M19" s="147">
        <v>9144</v>
      </c>
      <c r="N19" s="147">
        <v>9144</v>
      </c>
      <c r="O19" s="18">
        <f t="shared" si="0"/>
        <v>108672</v>
      </c>
    </row>
    <row r="20" spans="1:15" ht="15" customHeight="1" x14ac:dyDescent="0.2">
      <c r="A20" s="12"/>
      <c r="B20" s="13" t="s">
        <v>129</v>
      </c>
      <c r="C20" s="147">
        <v>0</v>
      </c>
      <c r="D20" s="147">
        <v>0</v>
      </c>
      <c r="E20" s="147">
        <v>0</v>
      </c>
      <c r="F20" s="147">
        <v>0</v>
      </c>
      <c r="G20" s="147">
        <v>52500</v>
      </c>
      <c r="H20" s="147">
        <v>0</v>
      </c>
      <c r="I20" s="147">
        <v>0</v>
      </c>
      <c r="J20" s="147">
        <v>0</v>
      </c>
      <c r="K20" s="147">
        <v>0</v>
      </c>
      <c r="L20" s="147">
        <v>0</v>
      </c>
      <c r="M20" s="147">
        <v>0</v>
      </c>
      <c r="N20" s="147">
        <v>0</v>
      </c>
      <c r="O20" s="18">
        <f t="shared" si="0"/>
        <v>52500</v>
      </c>
    </row>
    <row r="21" spans="1:15" ht="0.75" hidden="1" customHeight="1" x14ac:dyDescent="0.2">
      <c r="A21" s="878" t="s">
        <v>130</v>
      </c>
      <c r="B21" s="19" t="s">
        <v>131</v>
      </c>
      <c r="C21" s="28">
        <v>0</v>
      </c>
      <c r="D21" s="28">
        <v>0</v>
      </c>
      <c r="E21" s="28">
        <v>0</v>
      </c>
      <c r="F21" s="28">
        <v>0</v>
      </c>
      <c r="G21" s="28">
        <v>0</v>
      </c>
      <c r="H21" s="28">
        <v>0</v>
      </c>
      <c r="I21" s="28">
        <v>0</v>
      </c>
      <c r="J21" s="28">
        <v>0</v>
      </c>
      <c r="K21" s="28">
        <v>0</v>
      </c>
      <c r="L21" s="28">
        <v>0</v>
      </c>
      <c r="M21" s="28">
        <v>0</v>
      </c>
      <c r="N21" s="28">
        <v>0</v>
      </c>
      <c r="O21" s="18">
        <f t="shared" si="0"/>
        <v>0</v>
      </c>
    </row>
    <row r="22" spans="1:15" ht="15" customHeight="1" x14ac:dyDescent="0.2">
      <c r="A22" s="879"/>
      <c r="B22" s="19" t="s">
        <v>132</v>
      </c>
      <c r="C22" s="28">
        <v>0</v>
      </c>
      <c r="D22" s="28">
        <v>0</v>
      </c>
      <c r="E22" s="28">
        <v>0</v>
      </c>
      <c r="F22" s="28">
        <v>0</v>
      </c>
      <c r="G22" s="28">
        <v>0</v>
      </c>
      <c r="H22" s="28">
        <v>0</v>
      </c>
      <c r="I22" s="28">
        <v>0</v>
      </c>
      <c r="J22" s="28">
        <v>6908</v>
      </c>
      <c r="K22" s="28">
        <v>0</v>
      </c>
      <c r="L22" s="28">
        <v>0</v>
      </c>
      <c r="M22" s="28">
        <v>0</v>
      </c>
      <c r="N22" s="28">
        <v>0</v>
      </c>
      <c r="O22" s="18">
        <f t="shared" si="0"/>
        <v>6908</v>
      </c>
    </row>
    <row r="23" spans="1:15" ht="15" customHeight="1" x14ac:dyDescent="0.2">
      <c r="A23" s="879"/>
      <c r="B23" s="19" t="s">
        <v>133</v>
      </c>
      <c r="C23" s="28">
        <v>0</v>
      </c>
      <c r="D23" s="28">
        <v>0</v>
      </c>
      <c r="E23" s="28">
        <v>0</v>
      </c>
      <c r="F23" s="28">
        <v>0</v>
      </c>
      <c r="G23" s="28">
        <v>0</v>
      </c>
      <c r="H23" s="28">
        <v>0</v>
      </c>
      <c r="I23" s="28">
        <v>0</v>
      </c>
      <c r="J23" s="28">
        <v>0</v>
      </c>
      <c r="K23" s="28">
        <v>0</v>
      </c>
      <c r="L23" s="28">
        <v>0</v>
      </c>
      <c r="M23" s="28">
        <v>0</v>
      </c>
      <c r="N23" s="28">
        <v>0</v>
      </c>
      <c r="O23" s="18">
        <f t="shared" si="0"/>
        <v>0</v>
      </c>
    </row>
    <row r="24" spans="1:15" ht="15" hidden="1" customHeight="1" x14ac:dyDescent="0.2">
      <c r="A24" s="879"/>
      <c r="B24" s="19" t="s">
        <v>134</v>
      </c>
      <c r="C24" s="28">
        <v>0</v>
      </c>
      <c r="D24" s="28">
        <v>0</v>
      </c>
      <c r="E24" s="28">
        <v>0</v>
      </c>
      <c r="F24" s="28">
        <v>0</v>
      </c>
      <c r="G24" s="28">
        <v>0</v>
      </c>
      <c r="H24" s="28">
        <v>0</v>
      </c>
      <c r="I24" s="28">
        <v>0</v>
      </c>
      <c r="J24" s="28">
        <v>0</v>
      </c>
      <c r="K24" s="28">
        <v>0</v>
      </c>
      <c r="L24" s="28">
        <v>0</v>
      </c>
      <c r="M24" s="28">
        <v>0</v>
      </c>
      <c r="N24" s="28">
        <v>0</v>
      </c>
      <c r="O24" s="18">
        <f t="shared" si="0"/>
        <v>0</v>
      </c>
    </row>
    <row r="25" spans="1:15" ht="15" hidden="1" customHeight="1" x14ac:dyDescent="0.2">
      <c r="A25" s="879"/>
      <c r="B25" s="19" t="s">
        <v>135</v>
      </c>
      <c r="C25" s="28">
        <v>0</v>
      </c>
      <c r="D25" s="28">
        <v>0</v>
      </c>
      <c r="E25" s="28">
        <v>0</v>
      </c>
      <c r="F25" s="28">
        <v>0</v>
      </c>
      <c r="G25" s="28">
        <v>0</v>
      </c>
      <c r="H25" s="28">
        <v>0</v>
      </c>
      <c r="I25" s="28">
        <v>0</v>
      </c>
      <c r="J25" s="28">
        <v>0</v>
      </c>
      <c r="K25" s="28">
        <v>0</v>
      </c>
      <c r="L25" s="28">
        <v>0</v>
      </c>
      <c r="M25" s="28">
        <v>0</v>
      </c>
      <c r="N25" s="28">
        <v>0</v>
      </c>
      <c r="O25" s="18">
        <f t="shared" si="0"/>
        <v>0</v>
      </c>
    </row>
    <row r="26" spans="1:15" ht="15" hidden="1" customHeight="1" x14ac:dyDescent="0.2">
      <c r="A26" s="879"/>
      <c r="B26" s="19" t="s">
        <v>136</v>
      </c>
      <c r="C26" s="28">
        <v>0</v>
      </c>
      <c r="D26" s="28">
        <v>0</v>
      </c>
      <c r="E26" s="28">
        <v>0</v>
      </c>
      <c r="F26" s="28">
        <v>0</v>
      </c>
      <c r="G26" s="28">
        <v>0</v>
      </c>
      <c r="H26" s="28">
        <v>0</v>
      </c>
      <c r="I26" s="28">
        <v>0</v>
      </c>
      <c r="J26" s="28">
        <v>0</v>
      </c>
      <c r="K26" s="28">
        <v>0</v>
      </c>
      <c r="L26" s="28">
        <v>0</v>
      </c>
      <c r="M26" s="28">
        <v>0</v>
      </c>
      <c r="N26" s="28">
        <v>0</v>
      </c>
      <c r="O26" s="18">
        <f t="shared" si="0"/>
        <v>0</v>
      </c>
    </row>
    <row r="27" spans="1:15" ht="15" hidden="1" customHeight="1" x14ac:dyDescent="0.2">
      <c r="A27" s="879"/>
      <c r="B27" s="19" t="s">
        <v>137</v>
      </c>
      <c r="C27" s="28">
        <v>0</v>
      </c>
      <c r="D27" s="28">
        <v>0</v>
      </c>
      <c r="E27" s="28">
        <v>0</v>
      </c>
      <c r="F27" s="28">
        <v>0</v>
      </c>
      <c r="G27" s="28">
        <v>0</v>
      </c>
      <c r="H27" s="28">
        <v>0</v>
      </c>
      <c r="I27" s="28">
        <v>0</v>
      </c>
      <c r="J27" s="28">
        <v>0</v>
      </c>
      <c r="K27" s="28">
        <v>0</v>
      </c>
      <c r="L27" s="28">
        <v>0</v>
      </c>
      <c r="M27" s="28">
        <v>0</v>
      </c>
      <c r="N27" s="28">
        <v>0</v>
      </c>
      <c r="O27" s="18">
        <f t="shared" si="0"/>
        <v>0</v>
      </c>
    </row>
    <row r="28" spans="1:15" ht="15" hidden="1" customHeight="1" x14ac:dyDescent="0.2">
      <c r="A28" s="879"/>
      <c r="B28" s="19" t="s">
        <v>138</v>
      </c>
      <c r="C28" s="28">
        <v>0</v>
      </c>
      <c r="D28" s="28">
        <v>0</v>
      </c>
      <c r="E28" s="28">
        <v>0</v>
      </c>
      <c r="F28" s="28">
        <v>0</v>
      </c>
      <c r="G28" s="28">
        <v>0</v>
      </c>
      <c r="H28" s="28">
        <v>0</v>
      </c>
      <c r="I28" s="28">
        <v>0</v>
      </c>
      <c r="J28" s="28">
        <v>0</v>
      </c>
      <c r="K28" s="28">
        <v>0</v>
      </c>
      <c r="L28" s="28">
        <v>0</v>
      </c>
      <c r="M28" s="28">
        <v>0</v>
      </c>
      <c r="N28" s="28">
        <v>0</v>
      </c>
      <c r="O28" s="18">
        <f t="shared" si="0"/>
        <v>0</v>
      </c>
    </row>
    <row r="29" spans="1:15" ht="15" hidden="1" customHeight="1" x14ac:dyDescent="0.2">
      <c r="A29" s="879"/>
      <c r="B29" s="19" t="s">
        <v>139</v>
      </c>
      <c r="C29" s="28">
        <v>0</v>
      </c>
      <c r="D29" s="28">
        <v>0</v>
      </c>
      <c r="E29" s="28">
        <v>0</v>
      </c>
      <c r="F29" s="28">
        <v>0</v>
      </c>
      <c r="G29" s="28">
        <v>0</v>
      </c>
      <c r="H29" s="28">
        <v>0</v>
      </c>
      <c r="I29" s="28">
        <v>0</v>
      </c>
      <c r="J29" s="28">
        <v>0</v>
      </c>
      <c r="K29" s="28">
        <v>0</v>
      </c>
      <c r="L29" s="28">
        <v>0</v>
      </c>
      <c r="M29" s="28">
        <v>0</v>
      </c>
      <c r="N29" s="28">
        <v>0</v>
      </c>
      <c r="O29" s="18">
        <f t="shared" si="0"/>
        <v>0</v>
      </c>
    </row>
    <row r="30" spans="1:15" ht="15" hidden="1" customHeight="1" x14ac:dyDescent="0.2">
      <c r="A30" s="879"/>
      <c r="B30" s="19" t="s">
        <v>140</v>
      </c>
      <c r="C30" s="28">
        <v>0</v>
      </c>
      <c r="D30" s="28">
        <v>0</v>
      </c>
      <c r="E30" s="28">
        <v>0</v>
      </c>
      <c r="F30" s="28">
        <v>0</v>
      </c>
      <c r="G30" s="28">
        <v>0</v>
      </c>
      <c r="H30" s="28">
        <v>0</v>
      </c>
      <c r="I30" s="28">
        <v>0</v>
      </c>
      <c r="J30" s="28">
        <v>0</v>
      </c>
      <c r="K30" s="28">
        <v>0</v>
      </c>
      <c r="L30" s="28">
        <v>0</v>
      </c>
      <c r="M30" s="28">
        <v>0</v>
      </c>
      <c r="N30" s="28">
        <v>0</v>
      </c>
      <c r="O30" s="18">
        <f t="shared" si="0"/>
        <v>0</v>
      </c>
    </row>
    <row r="31" spans="1:15" ht="15" hidden="1" customHeight="1" x14ac:dyDescent="0.2">
      <c r="A31" s="879"/>
      <c r="B31" s="19" t="s">
        <v>225</v>
      </c>
      <c r="C31" s="28">
        <v>0</v>
      </c>
      <c r="D31" s="28">
        <v>0</v>
      </c>
      <c r="E31" s="28">
        <v>0</v>
      </c>
      <c r="F31" s="28">
        <v>0</v>
      </c>
      <c r="G31" s="28">
        <v>0</v>
      </c>
      <c r="H31" s="28">
        <v>0</v>
      </c>
      <c r="I31" s="28">
        <v>0</v>
      </c>
      <c r="J31" s="28">
        <v>0</v>
      </c>
      <c r="K31" s="28">
        <v>0</v>
      </c>
      <c r="L31" s="28">
        <v>0</v>
      </c>
      <c r="M31" s="28">
        <v>0</v>
      </c>
      <c r="N31" s="28">
        <v>0</v>
      </c>
      <c r="O31" s="18">
        <f t="shared" si="0"/>
        <v>0</v>
      </c>
    </row>
    <row r="32" spans="1:15" ht="15" customHeight="1" x14ac:dyDescent="0.2">
      <c r="A32" s="879"/>
      <c r="B32" s="21" t="s">
        <v>142</v>
      </c>
      <c r="C32" s="28">
        <v>0</v>
      </c>
      <c r="D32" s="28">
        <v>0</v>
      </c>
      <c r="E32" s="28">
        <v>0</v>
      </c>
      <c r="F32" s="28">
        <v>0</v>
      </c>
      <c r="G32" s="28">
        <v>0</v>
      </c>
      <c r="H32" s="28">
        <v>0</v>
      </c>
      <c r="I32" s="28">
        <v>0</v>
      </c>
      <c r="J32" s="28">
        <v>0</v>
      </c>
      <c r="K32" s="28">
        <v>0</v>
      </c>
      <c r="L32" s="28">
        <v>0</v>
      </c>
      <c r="M32" s="28">
        <v>0</v>
      </c>
      <c r="N32" s="28">
        <v>0</v>
      </c>
      <c r="O32" s="18">
        <f t="shared" si="0"/>
        <v>0</v>
      </c>
    </row>
    <row r="33" spans="1:16" ht="15" hidden="1" customHeight="1" x14ac:dyDescent="0.2">
      <c r="A33" s="880"/>
      <c r="B33" s="19" t="s">
        <v>226</v>
      </c>
      <c r="C33" s="28">
        <v>0</v>
      </c>
      <c r="D33" s="28">
        <v>0</v>
      </c>
      <c r="E33" s="28">
        <v>0</v>
      </c>
      <c r="F33" s="28">
        <v>0</v>
      </c>
      <c r="G33" s="28">
        <v>0</v>
      </c>
      <c r="H33" s="28">
        <v>0</v>
      </c>
      <c r="I33" s="28">
        <v>0</v>
      </c>
      <c r="J33" s="28">
        <v>0</v>
      </c>
      <c r="K33" s="28">
        <v>0</v>
      </c>
      <c r="L33" s="28">
        <v>0</v>
      </c>
      <c r="M33" s="28">
        <v>0</v>
      </c>
      <c r="N33" s="28">
        <v>0</v>
      </c>
      <c r="O33" s="18">
        <f t="shared" si="0"/>
        <v>0</v>
      </c>
    </row>
    <row r="34" spans="1:16" ht="15" customHeight="1" x14ac:dyDescent="0.2">
      <c r="A34" s="865" t="s">
        <v>143</v>
      </c>
      <c r="B34" s="866"/>
      <c r="C34" s="28">
        <v>0</v>
      </c>
      <c r="D34" s="28">
        <v>0</v>
      </c>
      <c r="E34" s="28">
        <v>0</v>
      </c>
      <c r="F34" s="28">
        <v>0</v>
      </c>
      <c r="G34" s="28">
        <v>0</v>
      </c>
      <c r="H34" s="28">
        <v>0</v>
      </c>
      <c r="I34" s="28">
        <v>0</v>
      </c>
      <c r="J34" s="28">
        <v>0</v>
      </c>
      <c r="K34" s="28">
        <v>0</v>
      </c>
      <c r="L34" s="28">
        <v>0</v>
      </c>
      <c r="M34" s="28">
        <v>0</v>
      </c>
      <c r="N34" s="28">
        <v>0</v>
      </c>
      <c r="O34" s="18">
        <f t="shared" si="0"/>
        <v>0</v>
      </c>
    </row>
    <row r="35" spans="1:16" ht="15" customHeight="1" x14ac:dyDescent="0.2">
      <c r="A35" s="865" t="s">
        <v>145</v>
      </c>
      <c r="B35" s="866"/>
      <c r="C35" s="28">
        <v>0</v>
      </c>
      <c r="D35" s="28">
        <v>216</v>
      </c>
      <c r="E35" s="28">
        <v>0</v>
      </c>
      <c r="F35" s="28">
        <v>0</v>
      </c>
      <c r="G35" s="28">
        <v>0</v>
      </c>
      <c r="H35" s="28">
        <v>0</v>
      </c>
      <c r="I35" s="28">
        <v>0</v>
      </c>
      <c r="J35" s="28">
        <v>216</v>
      </c>
      <c r="K35" s="28">
        <v>0</v>
      </c>
      <c r="L35" s="28">
        <v>0</v>
      </c>
      <c r="M35" s="28">
        <v>0</v>
      </c>
      <c r="N35" s="28">
        <v>0</v>
      </c>
      <c r="O35" s="18">
        <f t="shared" si="0"/>
        <v>432</v>
      </c>
    </row>
    <row r="36" spans="1:16" ht="15" customHeight="1" x14ac:dyDescent="0.2">
      <c r="A36" s="865" t="s">
        <v>146</v>
      </c>
      <c r="B36" s="866"/>
      <c r="C36" s="28">
        <v>0</v>
      </c>
      <c r="D36" s="28">
        <v>2220</v>
      </c>
      <c r="E36" s="28">
        <v>0</v>
      </c>
      <c r="F36" s="28">
        <v>0</v>
      </c>
      <c r="G36" s="28">
        <v>0</v>
      </c>
      <c r="H36" s="28">
        <v>0</v>
      </c>
      <c r="I36" s="28">
        <v>0</v>
      </c>
      <c r="J36" s="28">
        <v>2286</v>
      </c>
      <c r="K36" s="28">
        <v>0</v>
      </c>
      <c r="L36" s="28">
        <v>0</v>
      </c>
      <c r="M36" s="28">
        <v>0</v>
      </c>
      <c r="N36" s="28">
        <v>0</v>
      </c>
      <c r="O36" s="18">
        <f t="shared" si="0"/>
        <v>4506</v>
      </c>
    </row>
    <row r="37" spans="1:16" ht="15" customHeight="1" x14ac:dyDescent="0.2">
      <c r="A37" s="22"/>
      <c r="B37" s="23" t="s">
        <v>147</v>
      </c>
      <c r="C37" s="24">
        <f t="shared" ref="C37:N37" si="1">SUM(C9:C36)</f>
        <v>51510</v>
      </c>
      <c r="D37" s="24">
        <f t="shared" si="1"/>
        <v>54758</v>
      </c>
      <c r="E37" s="24">
        <f t="shared" si="1"/>
        <v>52322</v>
      </c>
      <c r="F37" s="24">
        <f t="shared" si="1"/>
        <v>52322</v>
      </c>
      <c r="G37" s="24">
        <f t="shared" si="1"/>
        <v>106263</v>
      </c>
      <c r="H37" s="24">
        <f t="shared" si="1"/>
        <v>53763</v>
      </c>
      <c r="I37" s="24">
        <f>SUM(I9:I36)</f>
        <v>53763</v>
      </c>
      <c r="J37" s="24">
        <f t="shared" si="1"/>
        <v>64007</v>
      </c>
      <c r="K37" s="24">
        <f t="shared" si="1"/>
        <v>54597</v>
      </c>
      <c r="L37" s="24">
        <f t="shared" si="1"/>
        <v>54597</v>
      </c>
      <c r="M37" s="24">
        <f t="shared" si="1"/>
        <v>54597</v>
      </c>
      <c r="N37" s="24">
        <f t="shared" si="1"/>
        <v>54597</v>
      </c>
      <c r="O37" s="25">
        <f t="shared" ref="O37:O50" si="2">SUM(C37:N37)</f>
        <v>707096</v>
      </c>
      <c r="P37" s="170"/>
    </row>
    <row r="38" spans="1:16" ht="15" customHeight="1" x14ac:dyDescent="0.25">
      <c r="A38" s="853" t="s">
        <v>148</v>
      </c>
      <c r="B38" s="27" t="s">
        <v>149</v>
      </c>
      <c r="C38" s="28">
        <v>1000</v>
      </c>
      <c r="D38" s="28">
        <v>0</v>
      </c>
      <c r="E38" s="28">
        <v>0</v>
      </c>
      <c r="F38" s="28">
        <v>0</v>
      </c>
      <c r="G38" s="28">
        <v>0</v>
      </c>
      <c r="H38" s="28">
        <v>0</v>
      </c>
      <c r="I38" s="28">
        <v>0</v>
      </c>
      <c r="J38" s="28">
        <v>0</v>
      </c>
      <c r="K38" s="28">
        <v>4000</v>
      </c>
      <c r="L38" s="28">
        <v>4000</v>
      </c>
      <c r="M38" s="28">
        <v>3775</v>
      </c>
      <c r="N38">
        <v>3268</v>
      </c>
      <c r="O38" s="18">
        <f>SUM(C38:N38)</f>
        <v>16043</v>
      </c>
      <c r="P38" s="284"/>
    </row>
    <row r="39" spans="1:16" ht="15" x14ac:dyDescent="0.2">
      <c r="A39" s="854"/>
      <c r="B39" s="27" t="s">
        <v>150</v>
      </c>
      <c r="C39" s="28">
        <v>0</v>
      </c>
      <c r="D39" s="28">
        <v>0</v>
      </c>
      <c r="E39" s="28">
        <v>0</v>
      </c>
      <c r="F39" s="28">
        <v>0</v>
      </c>
      <c r="G39" s="28">
        <v>0</v>
      </c>
      <c r="H39" s="28">
        <v>0</v>
      </c>
      <c r="I39" s="28">
        <v>0</v>
      </c>
      <c r="J39" s="28">
        <v>0</v>
      </c>
      <c r="K39" s="28">
        <v>0</v>
      </c>
      <c r="L39" s="28">
        <v>0</v>
      </c>
      <c r="M39" s="28">
        <v>0</v>
      </c>
      <c r="N39" s="28">
        <v>0</v>
      </c>
      <c r="O39" s="18">
        <f t="shared" si="2"/>
        <v>0</v>
      </c>
    </row>
    <row r="40" spans="1:16" ht="15" x14ac:dyDescent="0.2">
      <c r="A40" s="854"/>
      <c r="B40" s="27" t="s">
        <v>151</v>
      </c>
      <c r="C40" s="28">
        <v>30</v>
      </c>
      <c r="D40" s="28">
        <v>30</v>
      </c>
      <c r="E40" s="28">
        <v>30</v>
      </c>
      <c r="F40" s="28">
        <v>30</v>
      </c>
      <c r="G40" s="28">
        <v>30</v>
      </c>
      <c r="H40" s="28">
        <v>30</v>
      </c>
      <c r="I40" s="28">
        <v>30</v>
      </c>
      <c r="J40" s="28">
        <v>30</v>
      </c>
      <c r="K40" s="28">
        <v>30</v>
      </c>
      <c r="L40" s="28">
        <v>30</v>
      </c>
      <c r="M40" s="28">
        <v>30</v>
      </c>
      <c r="N40" s="28">
        <v>30</v>
      </c>
      <c r="O40" s="18">
        <f t="shared" si="2"/>
        <v>360</v>
      </c>
    </row>
    <row r="41" spans="1:16" ht="15" x14ac:dyDescent="0.2">
      <c r="A41" s="854"/>
      <c r="B41" s="27" t="s">
        <v>152</v>
      </c>
      <c r="C41" s="28">
        <v>0</v>
      </c>
      <c r="D41" s="28">
        <v>0</v>
      </c>
      <c r="E41" s="28">
        <v>0</v>
      </c>
      <c r="F41" s="28">
        <v>0</v>
      </c>
      <c r="G41" s="28">
        <v>0</v>
      </c>
      <c r="H41" s="28">
        <v>0</v>
      </c>
      <c r="I41" s="28">
        <v>0</v>
      </c>
      <c r="J41" s="28">
        <v>0</v>
      </c>
      <c r="K41" s="28">
        <v>0</v>
      </c>
      <c r="L41" s="28">
        <v>0</v>
      </c>
      <c r="M41" s="28">
        <v>0</v>
      </c>
      <c r="N41" s="28">
        <v>0</v>
      </c>
      <c r="O41" s="18">
        <f t="shared" si="2"/>
        <v>0</v>
      </c>
    </row>
    <row r="42" spans="1:16" ht="15" x14ac:dyDescent="0.2">
      <c r="A42" s="854"/>
      <c r="B42" s="27" t="s">
        <v>153</v>
      </c>
      <c r="C42" s="28">
        <v>250</v>
      </c>
      <c r="D42" s="28">
        <v>250</v>
      </c>
      <c r="E42" s="28">
        <v>250</v>
      </c>
      <c r="F42" s="28">
        <v>250</v>
      </c>
      <c r="G42" s="28">
        <v>250</v>
      </c>
      <c r="H42" s="28">
        <v>250</v>
      </c>
      <c r="I42" s="28">
        <v>250</v>
      </c>
      <c r="J42" s="28">
        <v>250</v>
      </c>
      <c r="K42" s="28">
        <v>250</v>
      </c>
      <c r="L42" s="28">
        <v>250</v>
      </c>
      <c r="M42" s="28">
        <v>250</v>
      </c>
      <c r="N42" s="28">
        <v>250</v>
      </c>
      <c r="O42" s="18">
        <f t="shared" si="2"/>
        <v>3000</v>
      </c>
    </row>
    <row r="43" spans="1:16" ht="15" x14ac:dyDescent="0.2">
      <c r="A43" s="854"/>
      <c r="B43" s="27" t="s">
        <v>1215</v>
      </c>
      <c r="C43" s="28">
        <v>12200</v>
      </c>
      <c r="D43" s="28">
        <v>12200</v>
      </c>
      <c r="E43" s="28">
        <v>12200</v>
      </c>
      <c r="F43" s="28">
        <v>12200</v>
      </c>
      <c r="G43" s="28">
        <v>12200</v>
      </c>
      <c r="H43" s="28">
        <v>12200</v>
      </c>
      <c r="I43" s="28">
        <v>12200</v>
      </c>
      <c r="J43" s="28">
        <v>12200</v>
      </c>
      <c r="K43" s="28">
        <v>12200</v>
      </c>
      <c r="L43" s="28">
        <v>12200</v>
      </c>
      <c r="M43" s="28">
        <v>12200</v>
      </c>
      <c r="N43" s="28">
        <v>12200</v>
      </c>
      <c r="O43" s="18">
        <f t="shared" si="2"/>
        <v>146400</v>
      </c>
    </row>
    <row r="44" spans="1:16" ht="15" x14ac:dyDescent="0.2">
      <c r="A44" s="854"/>
      <c r="B44" s="27" t="s">
        <v>155</v>
      </c>
      <c r="C44" s="28">
        <v>200</v>
      </c>
      <c r="D44" s="28">
        <v>200</v>
      </c>
      <c r="E44" s="28">
        <v>200</v>
      </c>
      <c r="F44" s="28">
        <v>200</v>
      </c>
      <c r="G44" s="28">
        <v>200</v>
      </c>
      <c r="H44" s="28">
        <v>200</v>
      </c>
      <c r="I44" s="28">
        <v>200</v>
      </c>
      <c r="J44" s="28">
        <v>200</v>
      </c>
      <c r="K44" s="28">
        <v>200</v>
      </c>
      <c r="L44" s="28">
        <v>200</v>
      </c>
      <c r="M44" s="28">
        <v>200</v>
      </c>
      <c r="N44" s="28">
        <v>300</v>
      </c>
      <c r="O44" s="18">
        <f t="shared" si="2"/>
        <v>2500</v>
      </c>
    </row>
    <row r="45" spans="1:16" ht="15" x14ac:dyDescent="0.2">
      <c r="A45" s="854"/>
      <c r="B45" s="27" t="s">
        <v>156</v>
      </c>
      <c r="C45" s="28">
        <v>0</v>
      </c>
      <c r="D45" s="28">
        <v>0</v>
      </c>
      <c r="E45" s="28">
        <v>0</v>
      </c>
      <c r="F45" s="28">
        <v>0</v>
      </c>
      <c r="G45" s="28">
        <v>0</v>
      </c>
      <c r="H45" s="28">
        <v>0</v>
      </c>
      <c r="I45" s="28">
        <v>0</v>
      </c>
      <c r="J45" s="28">
        <v>0</v>
      </c>
      <c r="K45" s="28">
        <v>0</v>
      </c>
      <c r="L45" s="28">
        <v>0</v>
      </c>
      <c r="M45" s="28">
        <v>0</v>
      </c>
      <c r="N45" s="28">
        <v>0</v>
      </c>
      <c r="O45" s="18">
        <f t="shared" si="2"/>
        <v>0</v>
      </c>
    </row>
    <row r="46" spans="1:16" ht="15" x14ac:dyDescent="0.2">
      <c r="A46" s="854"/>
      <c r="B46" s="27" t="s">
        <v>157</v>
      </c>
      <c r="C46" s="28">
        <v>0</v>
      </c>
      <c r="D46" s="28">
        <v>0</v>
      </c>
      <c r="E46" s="28">
        <v>0</v>
      </c>
      <c r="F46" s="28">
        <v>0</v>
      </c>
      <c r="G46" s="28">
        <v>0</v>
      </c>
      <c r="H46" s="28">
        <v>0</v>
      </c>
      <c r="I46" s="28">
        <v>0</v>
      </c>
      <c r="J46" s="28">
        <v>0</v>
      </c>
      <c r="K46" s="28">
        <v>0</v>
      </c>
      <c r="L46" s="28">
        <v>0</v>
      </c>
      <c r="M46" s="28">
        <v>0</v>
      </c>
      <c r="N46" s="28">
        <v>0</v>
      </c>
      <c r="O46" s="18">
        <f t="shared" si="2"/>
        <v>0</v>
      </c>
    </row>
    <row r="47" spans="1:16" ht="28.5" customHeight="1" x14ac:dyDescent="0.2">
      <c r="A47" s="855"/>
      <c r="B47" s="30" t="s">
        <v>158</v>
      </c>
      <c r="C47" s="28">
        <v>0</v>
      </c>
      <c r="D47" s="28">
        <v>0</v>
      </c>
      <c r="E47" s="28">
        <v>0</v>
      </c>
      <c r="F47" s="28">
        <v>0</v>
      </c>
      <c r="G47" s="28">
        <v>0</v>
      </c>
      <c r="H47" s="28">
        <v>0</v>
      </c>
      <c r="I47" s="28">
        <v>0</v>
      </c>
      <c r="J47" s="28">
        <v>0</v>
      </c>
      <c r="K47" s="28">
        <v>0</v>
      </c>
      <c r="L47" s="28">
        <v>0</v>
      </c>
      <c r="M47" s="28">
        <v>0</v>
      </c>
      <c r="N47" s="28">
        <v>0</v>
      </c>
      <c r="O47" s="31">
        <f t="shared" si="2"/>
        <v>0</v>
      </c>
    </row>
    <row r="48" spans="1:16" ht="15" x14ac:dyDescent="0.2">
      <c r="A48" s="856"/>
      <c r="B48" s="127" t="s">
        <v>479</v>
      </c>
      <c r="C48" s="28">
        <v>0</v>
      </c>
      <c r="D48" s="28">
        <v>0</v>
      </c>
      <c r="E48" s="28">
        <v>0</v>
      </c>
      <c r="F48" s="28">
        <v>0</v>
      </c>
      <c r="G48" s="28">
        <v>0</v>
      </c>
      <c r="H48" s="28">
        <v>0</v>
      </c>
      <c r="I48" s="28">
        <v>0</v>
      </c>
      <c r="J48" s="28">
        <v>0</v>
      </c>
      <c r="K48" s="28">
        <v>0</v>
      </c>
      <c r="L48" s="28">
        <v>0</v>
      </c>
      <c r="M48" s="28">
        <v>0</v>
      </c>
      <c r="N48" s="28">
        <v>0</v>
      </c>
      <c r="O48" s="31">
        <f t="shared" si="2"/>
        <v>0</v>
      </c>
    </row>
    <row r="49" spans="1:19" ht="15" x14ac:dyDescent="0.2">
      <c r="A49" s="857" t="s">
        <v>160</v>
      </c>
      <c r="B49" s="858"/>
      <c r="C49" s="33">
        <f t="shared" ref="C49:N49" si="3">SUM(C38:C48)</f>
        <v>13680</v>
      </c>
      <c r="D49" s="33">
        <f t="shared" si="3"/>
        <v>12680</v>
      </c>
      <c r="E49" s="33">
        <f t="shared" si="3"/>
        <v>12680</v>
      </c>
      <c r="F49" s="33">
        <f t="shared" si="3"/>
        <v>12680</v>
      </c>
      <c r="G49" s="33">
        <f t="shared" si="3"/>
        <v>12680</v>
      </c>
      <c r="H49" s="33">
        <f t="shared" si="3"/>
        <v>12680</v>
      </c>
      <c r="I49" s="33">
        <f t="shared" si="3"/>
        <v>12680</v>
      </c>
      <c r="J49" s="33">
        <f t="shared" si="3"/>
        <v>12680</v>
      </c>
      <c r="K49" s="33">
        <f t="shared" si="3"/>
        <v>16680</v>
      </c>
      <c r="L49" s="33">
        <f t="shared" si="3"/>
        <v>16680</v>
      </c>
      <c r="M49" s="33">
        <f t="shared" si="3"/>
        <v>16455</v>
      </c>
      <c r="N49" s="33">
        <f t="shared" si="3"/>
        <v>16048</v>
      </c>
      <c r="O49" s="34">
        <f t="shared" si="2"/>
        <v>168303</v>
      </c>
    </row>
    <row r="50" spans="1:19" ht="15.75" thickBot="1" x14ac:dyDescent="0.25">
      <c r="A50" s="859" t="s">
        <v>161</v>
      </c>
      <c r="B50" s="860"/>
      <c r="C50" s="35">
        <f t="shared" ref="C50:N50" si="4">C37-C49</f>
        <v>37830</v>
      </c>
      <c r="D50" s="35">
        <f t="shared" si="4"/>
        <v>42078</v>
      </c>
      <c r="E50" s="35">
        <f t="shared" si="4"/>
        <v>39642</v>
      </c>
      <c r="F50" s="35">
        <f t="shared" si="4"/>
        <v>39642</v>
      </c>
      <c r="G50" s="35">
        <f t="shared" si="4"/>
        <v>93583</v>
      </c>
      <c r="H50" s="35">
        <f t="shared" si="4"/>
        <v>41083</v>
      </c>
      <c r="I50" s="35">
        <f t="shared" si="4"/>
        <v>41083</v>
      </c>
      <c r="J50" s="35">
        <f t="shared" si="4"/>
        <v>51327</v>
      </c>
      <c r="K50" s="35">
        <f t="shared" si="4"/>
        <v>37917</v>
      </c>
      <c r="L50" s="35">
        <f t="shared" si="4"/>
        <v>37917</v>
      </c>
      <c r="M50" s="35">
        <f t="shared" si="4"/>
        <v>38142</v>
      </c>
      <c r="N50" s="35">
        <f t="shared" si="4"/>
        <v>38549</v>
      </c>
      <c r="O50" s="36">
        <f t="shared" si="2"/>
        <v>538793</v>
      </c>
    </row>
    <row r="51" spans="1:19" x14ac:dyDescent="0.2">
      <c r="J51" s="229">
        <f>+J37-SUM(J22:J36)</f>
        <v>54597</v>
      </c>
      <c r="Q51" s="38"/>
    </row>
    <row r="52" spans="1:19" ht="13.5" thickBot="1" x14ac:dyDescent="0.25">
      <c r="J52" s="38">
        <f>+J51-J49</f>
        <v>41917</v>
      </c>
    </row>
    <row r="53" spans="1:19" ht="13.5" thickBot="1" x14ac:dyDescent="0.25">
      <c r="B53" s="789" t="s">
        <v>162</v>
      </c>
      <c r="C53" s="861"/>
      <c r="D53" s="861"/>
      <c r="E53" s="861"/>
      <c r="F53" s="862"/>
      <c r="G53" s="863">
        <f>O37</f>
        <v>707096</v>
      </c>
      <c r="H53" s="864"/>
    </row>
    <row r="54" spans="1:19" ht="13.5" thickBot="1" x14ac:dyDescent="0.25"/>
    <row r="55" spans="1:19" x14ac:dyDescent="0.2">
      <c r="B55" s="830" t="s">
        <v>163</v>
      </c>
      <c r="C55" s="833" t="s">
        <v>164</v>
      </c>
      <c r="D55" s="836" t="s">
        <v>229</v>
      </c>
      <c r="E55" s="837"/>
      <c r="F55" s="838"/>
      <c r="G55" s="839">
        <v>40000</v>
      </c>
      <c r="H55" s="840"/>
    </row>
    <row r="56" spans="1:19" x14ac:dyDescent="0.2">
      <c r="B56" s="831"/>
      <c r="C56" s="834"/>
      <c r="D56" s="841" t="s">
        <v>166</v>
      </c>
      <c r="E56" s="842"/>
      <c r="F56" s="843"/>
      <c r="G56" s="844">
        <f>+O44</f>
        <v>2500</v>
      </c>
      <c r="H56" s="845"/>
      <c r="I56" s="39"/>
      <c r="J56" s="846"/>
      <c r="K56" s="846"/>
      <c r="L56" s="846"/>
      <c r="M56" s="847"/>
      <c r="N56" s="847"/>
      <c r="O56" s="847"/>
    </row>
    <row r="57" spans="1:19" ht="13.5" thickBot="1" x14ac:dyDescent="0.25">
      <c r="B57" s="832"/>
      <c r="C57" s="835"/>
      <c r="D57" s="848" t="s">
        <v>129</v>
      </c>
      <c r="E57" s="849"/>
      <c r="F57" s="850"/>
      <c r="G57" s="851">
        <v>0</v>
      </c>
      <c r="H57" s="852"/>
      <c r="J57" s="47"/>
      <c r="K57" s="47"/>
      <c r="L57" s="47"/>
      <c r="M57" s="47"/>
      <c r="N57" s="47"/>
      <c r="O57" s="47"/>
    </row>
    <row r="58" spans="1:19" ht="13.5" thickBot="1" x14ac:dyDescent="0.25">
      <c r="B58" s="48"/>
      <c r="J58" s="47"/>
      <c r="K58" s="47"/>
      <c r="L58" s="47"/>
      <c r="M58" s="47"/>
      <c r="N58" s="47"/>
      <c r="O58" s="47"/>
    </row>
    <row r="59" spans="1:19" ht="13.5" thickBot="1" x14ac:dyDescent="0.25">
      <c r="B59" s="789" t="s">
        <v>168</v>
      </c>
      <c r="C59" s="790"/>
      <c r="D59" s="790"/>
      <c r="E59" s="790"/>
      <c r="F59" s="791"/>
      <c r="G59" s="825">
        <f>+G53-SUM(G55:H57)</f>
        <v>664596</v>
      </c>
      <c r="H59" s="826"/>
      <c r="J59" s="827" t="s">
        <v>169</v>
      </c>
      <c r="K59" s="828"/>
      <c r="L59" s="828"/>
      <c r="M59" s="828"/>
      <c r="N59" s="828"/>
      <c r="O59" s="829"/>
    </row>
    <row r="60" spans="1:19" ht="13.5" thickBot="1" x14ac:dyDescent="0.25">
      <c r="B60" s="49"/>
      <c r="C60" s="50"/>
      <c r="D60" s="50"/>
      <c r="E60" s="50"/>
      <c r="F60" s="50"/>
      <c r="G60" s="45"/>
      <c r="H60" s="50"/>
      <c r="J60" s="129"/>
      <c r="K60" s="130"/>
      <c r="L60" s="130"/>
      <c r="M60" s="130"/>
      <c r="N60" s="130"/>
      <c r="O60" s="131"/>
    </row>
    <row r="61" spans="1:19" ht="13.5" thickBot="1" x14ac:dyDescent="0.25">
      <c r="B61" s="789" t="s">
        <v>170</v>
      </c>
      <c r="C61" s="790"/>
      <c r="D61" s="790"/>
      <c r="E61" s="790"/>
      <c r="F61" s="791"/>
      <c r="G61" s="805"/>
      <c r="H61" s="791"/>
      <c r="J61" s="129"/>
      <c r="K61" s="130"/>
      <c r="L61" s="130"/>
      <c r="M61" s="130"/>
      <c r="N61" s="130"/>
      <c r="O61" s="131"/>
    </row>
    <row r="62" spans="1:19" ht="12.75" customHeight="1" x14ac:dyDescent="0.2">
      <c r="B62" s="57" t="s">
        <v>171</v>
      </c>
      <c r="C62" s="806" t="s">
        <v>172</v>
      </c>
      <c r="D62" s="807"/>
      <c r="E62" s="807"/>
      <c r="F62" s="808"/>
      <c r="G62" s="809">
        <v>0</v>
      </c>
      <c r="H62" s="809"/>
      <c r="I62" s="58"/>
      <c r="J62" s="810" t="s">
        <v>173</v>
      </c>
      <c r="K62" s="811"/>
      <c r="L62" s="811"/>
      <c r="M62" s="811"/>
      <c r="N62" s="811"/>
      <c r="O62" s="812"/>
      <c r="Q62" s="59"/>
      <c r="R62" s="59"/>
      <c r="S62" s="59"/>
    </row>
    <row r="63" spans="1:19" ht="13.5" thickBot="1" x14ac:dyDescent="0.25">
      <c r="D63" s="37"/>
      <c r="I63" s="58"/>
      <c r="J63" s="60" t="s">
        <v>254</v>
      </c>
      <c r="K63" s="132"/>
      <c r="L63" s="132"/>
      <c r="M63" s="133"/>
      <c r="N63" s="133"/>
      <c r="O63" s="134"/>
      <c r="Q63" s="59"/>
      <c r="R63" s="59"/>
      <c r="S63" s="59"/>
    </row>
    <row r="64" spans="1:19" ht="13.5" thickBot="1" x14ac:dyDescent="0.25">
      <c r="B64" s="789" t="s">
        <v>175</v>
      </c>
      <c r="C64" s="790"/>
      <c r="D64" s="790"/>
      <c r="E64" s="790"/>
      <c r="F64" s="791"/>
      <c r="G64" s="805">
        <f>+G59-G62</f>
        <v>664596</v>
      </c>
      <c r="H64" s="791"/>
      <c r="I64" s="63"/>
      <c r="J64" s="64"/>
      <c r="K64" s="39"/>
      <c r="L64" s="39"/>
      <c r="M64" s="39"/>
      <c r="N64" s="39"/>
      <c r="O64" s="65"/>
      <c r="Q64" s="59"/>
      <c r="R64" s="59"/>
      <c r="S64" s="59"/>
    </row>
    <row r="65" spans="2:19" ht="12.75" customHeight="1" x14ac:dyDescent="0.2">
      <c r="B65" s="48"/>
      <c r="C65" s="48"/>
      <c r="I65" s="63"/>
      <c r="J65" s="64"/>
      <c r="K65" s="39"/>
      <c r="L65" s="39"/>
      <c r="M65" s="39"/>
      <c r="N65" s="39"/>
      <c r="O65" s="65"/>
      <c r="Q65" s="59"/>
      <c r="R65" s="59"/>
      <c r="S65" s="59"/>
    </row>
    <row r="66" spans="2:19" x14ac:dyDescent="0.2">
      <c r="B66" s="66" t="s">
        <v>176</v>
      </c>
      <c r="C66" s="48"/>
      <c r="I66" s="63"/>
      <c r="J66" s="67"/>
      <c r="K66" s="68"/>
      <c r="L66" s="68"/>
      <c r="M66" s="68"/>
      <c r="N66" s="68"/>
      <c r="O66" s="69"/>
      <c r="Q66" s="59"/>
      <c r="R66" s="59"/>
      <c r="S66" s="59"/>
    </row>
    <row r="67" spans="2:19" ht="27" customHeight="1" thickBot="1" x14ac:dyDescent="0.25">
      <c r="B67" s="66"/>
      <c r="C67" s="48"/>
      <c r="G67" s="70" t="s">
        <v>177</v>
      </c>
      <c r="H67" s="70" t="s">
        <v>178</v>
      </c>
      <c r="I67" s="63"/>
      <c r="J67" s="810" t="s">
        <v>179</v>
      </c>
      <c r="K67" s="811"/>
      <c r="L67" s="71"/>
      <c r="M67" s="71"/>
      <c r="N67" s="71"/>
      <c r="O67" s="72"/>
      <c r="Q67" s="59"/>
      <c r="R67" s="59"/>
      <c r="S67" s="59"/>
    </row>
    <row r="68" spans="2:19" ht="12.75" customHeight="1" x14ac:dyDescent="0.2">
      <c r="B68" s="802" t="s">
        <v>180</v>
      </c>
      <c r="C68" s="821" t="s">
        <v>181</v>
      </c>
      <c r="D68" s="823" t="s">
        <v>182</v>
      </c>
      <c r="E68" s="824"/>
      <c r="F68" s="824"/>
      <c r="G68" s="73">
        <f>+O43</f>
        <v>146400</v>
      </c>
      <c r="H68" s="74">
        <f>+G68</f>
        <v>146400</v>
      </c>
      <c r="I68" s="63"/>
      <c r="J68" s="75"/>
      <c r="K68" s="58"/>
      <c r="L68" s="58"/>
      <c r="M68" s="58"/>
      <c r="N68" s="58"/>
      <c r="O68" s="76"/>
      <c r="Q68" s="59"/>
      <c r="R68" s="59"/>
      <c r="S68" s="59"/>
    </row>
    <row r="69" spans="2:19" ht="12.75" customHeight="1" x14ac:dyDescent="0.2">
      <c r="B69" s="803"/>
      <c r="C69" s="822"/>
      <c r="D69" s="782" t="s">
        <v>184</v>
      </c>
      <c r="E69" s="783"/>
      <c r="F69" s="783"/>
      <c r="G69" s="77">
        <v>30000</v>
      </c>
      <c r="H69" s="78">
        <f t="shared" ref="H69:H75" si="5">+G69</f>
        <v>30000</v>
      </c>
      <c r="I69" s="63"/>
      <c r="J69" s="79"/>
      <c r="K69" s="68"/>
      <c r="L69" s="68"/>
      <c r="M69" s="68"/>
      <c r="N69" s="68"/>
      <c r="O69" s="136"/>
      <c r="Q69" s="59"/>
      <c r="R69" s="59"/>
      <c r="S69" s="59"/>
    </row>
    <row r="70" spans="2:19" ht="12.75" customHeight="1" x14ac:dyDescent="0.2">
      <c r="B70" s="803"/>
      <c r="C70" s="822"/>
      <c r="D70" s="819" t="s">
        <v>185</v>
      </c>
      <c r="E70" s="820"/>
      <c r="F70" s="820"/>
      <c r="G70" s="80">
        <f>O40</f>
        <v>360</v>
      </c>
      <c r="H70" s="78">
        <f t="shared" si="5"/>
        <v>360</v>
      </c>
      <c r="I70" s="63"/>
      <c r="J70" s="67"/>
      <c r="K70" s="68"/>
      <c r="L70" s="68"/>
      <c r="M70" s="68"/>
      <c r="N70" s="68"/>
      <c r="O70" s="69"/>
    </row>
    <row r="71" spans="2:19" ht="12.75" customHeight="1" x14ac:dyDescent="0.2">
      <c r="B71" s="803"/>
      <c r="C71" s="822"/>
      <c r="D71" s="782" t="s">
        <v>873</v>
      </c>
      <c r="E71" s="783"/>
      <c r="F71" s="783"/>
      <c r="G71" s="81">
        <v>0</v>
      </c>
      <c r="H71" s="78">
        <f t="shared" si="5"/>
        <v>0</v>
      </c>
      <c r="I71" s="63"/>
      <c r="J71" s="82" t="s">
        <v>187</v>
      </c>
      <c r="K71" s="71"/>
      <c r="L71" s="71"/>
      <c r="M71" s="71"/>
      <c r="N71" s="71"/>
      <c r="O71" s="72"/>
    </row>
    <row r="72" spans="2:19" ht="12.75" customHeight="1" x14ac:dyDescent="0.2">
      <c r="B72" s="803"/>
      <c r="C72" s="822"/>
      <c r="D72" s="784" t="s">
        <v>188</v>
      </c>
      <c r="E72" s="783"/>
      <c r="F72" s="783"/>
      <c r="G72" s="80">
        <v>0</v>
      </c>
      <c r="H72" s="78">
        <f t="shared" si="5"/>
        <v>0</v>
      </c>
      <c r="I72" s="63"/>
      <c r="J72" s="75"/>
      <c r="K72" s="50"/>
      <c r="L72" s="50"/>
      <c r="M72" s="50"/>
      <c r="N72" s="50"/>
      <c r="O72" s="83"/>
    </row>
    <row r="73" spans="2:19" ht="12.75" customHeight="1" x14ac:dyDescent="0.2">
      <c r="B73" s="803"/>
      <c r="C73" s="822"/>
      <c r="D73" s="782" t="s">
        <v>190</v>
      </c>
      <c r="E73" s="783"/>
      <c r="F73" s="783"/>
      <c r="G73" s="84">
        <v>0</v>
      </c>
      <c r="H73" s="78">
        <f t="shared" si="5"/>
        <v>0</v>
      </c>
      <c r="I73" s="63"/>
      <c r="J73" s="64"/>
      <c r="K73" s="39"/>
      <c r="L73" s="39"/>
      <c r="M73" s="39"/>
      <c r="N73" s="39"/>
      <c r="O73" s="65"/>
    </row>
    <row r="74" spans="2:19" ht="12.75" customHeight="1" x14ac:dyDescent="0.2">
      <c r="B74" s="803"/>
      <c r="C74" s="822"/>
      <c r="D74" s="782" t="s">
        <v>191</v>
      </c>
      <c r="E74" s="783"/>
      <c r="F74" s="783"/>
      <c r="G74" s="81">
        <v>0</v>
      </c>
      <c r="H74" s="78">
        <f t="shared" si="5"/>
        <v>0</v>
      </c>
      <c r="I74" s="58"/>
      <c r="J74" s="150"/>
      <c r="K74" s="50"/>
      <c r="L74" s="50"/>
      <c r="M74" s="50"/>
      <c r="N74" s="50"/>
      <c r="O74" s="83"/>
    </row>
    <row r="75" spans="2:19" ht="12.75" customHeight="1" x14ac:dyDescent="0.2">
      <c r="B75" s="803"/>
      <c r="C75" s="88" t="s">
        <v>192</v>
      </c>
      <c r="D75" s="1074" t="s">
        <v>1208</v>
      </c>
      <c r="E75" s="814"/>
      <c r="F75" s="814"/>
      <c r="G75" s="80">
        <v>0</v>
      </c>
      <c r="H75" s="78">
        <f t="shared" si="5"/>
        <v>0</v>
      </c>
      <c r="I75" s="58"/>
      <c r="J75" s="79"/>
      <c r="K75" s="39"/>
      <c r="L75" s="39"/>
      <c r="M75" s="39"/>
      <c r="N75" s="39"/>
      <c r="O75" s="65"/>
    </row>
    <row r="76" spans="2:19" ht="12.75" customHeight="1" thickBot="1" x14ac:dyDescent="0.25">
      <c r="B76" s="803"/>
      <c r="C76" s="88" t="s">
        <v>194</v>
      </c>
      <c r="D76" s="815" t="s">
        <v>195</v>
      </c>
      <c r="E76" s="815"/>
      <c r="F76" s="815"/>
      <c r="G76" s="89">
        <v>0</v>
      </c>
      <c r="H76" s="90">
        <f>+G76</f>
        <v>0</v>
      </c>
      <c r="I76" s="63"/>
      <c r="J76" s="67"/>
      <c r="K76" s="68"/>
      <c r="L76" s="68"/>
      <c r="M76" s="91"/>
      <c r="N76" s="91"/>
      <c r="O76" s="92"/>
    </row>
    <row r="77" spans="2:19" ht="12.75" customHeight="1" thickBot="1" x14ac:dyDescent="0.25">
      <c r="B77" s="803"/>
      <c r="C77" s="93"/>
      <c r="D77" s="94"/>
      <c r="E77" s="816" t="s">
        <v>117</v>
      </c>
      <c r="F77" s="817"/>
      <c r="G77" s="95">
        <f>SUM(G68:G76)</f>
        <v>176760</v>
      </c>
      <c r="H77" s="96">
        <f>IF(SUM(G68:G74)&lt;150000,SUM(G68:G74),150000)+IF(+G75&lt;20000,+G75,20000)</f>
        <v>150000</v>
      </c>
      <c r="I77" s="63"/>
      <c r="J77" s="140"/>
      <c r="K77" s="141"/>
      <c r="L77" s="141"/>
      <c r="M77" s="142"/>
      <c r="N77" s="142"/>
      <c r="O77" s="143"/>
    </row>
    <row r="78" spans="2:19" ht="12.75" customHeight="1" x14ac:dyDescent="0.2">
      <c r="B78" s="803"/>
      <c r="C78" s="100" t="s">
        <v>196</v>
      </c>
      <c r="D78" s="782" t="s">
        <v>187</v>
      </c>
      <c r="E78" s="783"/>
      <c r="F78" s="818"/>
      <c r="G78" s="73">
        <v>0</v>
      </c>
      <c r="H78" s="221">
        <f>+IF(+G78&lt;25000,+G78,25000)</f>
        <v>0</v>
      </c>
      <c r="I78" s="87"/>
    </row>
    <row r="79" spans="2:19" ht="12.75" customHeight="1" x14ac:dyDescent="0.2">
      <c r="B79" s="803"/>
      <c r="C79" s="100" t="s">
        <v>197</v>
      </c>
      <c r="D79" s="784" t="s">
        <v>198</v>
      </c>
      <c r="E79" s="785"/>
      <c r="F79" s="786"/>
      <c r="G79" s="102">
        <v>0</v>
      </c>
      <c r="H79" s="222">
        <f>+IF(+G79&lt;40000,+G79,40000)</f>
        <v>0</v>
      </c>
      <c r="I79" s="63"/>
    </row>
    <row r="80" spans="2:19" ht="12.75" customHeight="1" x14ac:dyDescent="0.2">
      <c r="B80" s="803"/>
      <c r="C80" s="100" t="s">
        <v>199</v>
      </c>
      <c r="D80" s="784" t="s">
        <v>200</v>
      </c>
      <c r="E80" s="785"/>
      <c r="F80" s="786"/>
      <c r="G80" s="81">
        <v>0</v>
      </c>
      <c r="H80" s="104">
        <v>0</v>
      </c>
      <c r="I80" s="63"/>
      <c r="J80" s="416"/>
      <c r="K80" s="416"/>
      <c r="L80" s="416"/>
      <c r="M80" s="416"/>
    </row>
    <row r="81" spans="2:13" ht="12.75" customHeight="1" x14ac:dyDescent="0.2">
      <c r="B81" s="803"/>
      <c r="C81" s="100" t="s">
        <v>201</v>
      </c>
      <c r="D81" s="784" t="s">
        <v>202</v>
      </c>
      <c r="E81" s="785"/>
      <c r="F81" s="786"/>
      <c r="G81" s="81">
        <v>0</v>
      </c>
      <c r="H81" s="104">
        <v>0</v>
      </c>
      <c r="I81" s="63"/>
    </row>
    <row r="82" spans="2:13" ht="12.75" customHeight="1" thickBot="1" x14ac:dyDescent="0.25">
      <c r="B82" s="804"/>
      <c r="C82" s="100" t="s">
        <v>203</v>
      </c>
      <c r="D82" s="784" t="s">
        <v>204</v>
      </c>
      <c r="E82" s="785"/>
      <c r="F82" s="786"/>
      <c r="G82" s="102">
        <v>0</v>
      </c>
      <c r="H82" s="222">
        <f>+IF(+G82&lt;100000,+G82,10000)</f>
        <v>0</v>
      </c>
      <c r="I82" s="63"/>
    </row>
    <row r="83" spans="2:13" ht="15" customHeight="1" thickBot="1" x14ac:dyDescent="0.25">
      <c r="B83" s="787" t="s">
        <v>205</v>
      </c>
      <c r="C83" s="788"/>
      <c r="D83" s="788"/>
      <c r="E83" s="788"/>
      <c r="F83" s="788"/>
      <c r="G83" s="107">
        <f>SUM(G78:G82)</f>
        <v>0</v>
      </c>
      <c r="H83" s="108">
        <f>SUM(H77:H82)</f>
        <v>150000</v>
      </c>
    </row>
    <row r="84" spans="2:13" ht="13.5" thickBot="1" x14ac:dyDescent="0.25">
      <c r="J84" s="87"/>
      <c r="K84" s="87"/>
      <c r="L84" s="87"/>
      <c r="M84" s="87"/>
    </row>
    <row r="85" spans="2:13" ht="13.5" thickBot="1" x14ac:dyDescent="0.25">
      <c r="B85" s="789" t="s">
        <v>206</v>
      </c>
      <c r="C85" s="790"/>
      <c r="D85" s="790"/>
      <c r="E85" s="790"/>
      <c r="F85" s="791"/>
      <c r="G85" s="1055">
        <f>ROUND(+G64-H83,-1)</f>
        <v>514600</v>
      </c>
      <c r="H85" s="1056"/>
      <c r="J85" s="109">
        <f>C37+D37+E37+F37</f>
        <v>210912</v>
      </c>
      <c r="K85" s="16" t="s">
        <v>235</v>
      </c>
      <c r="L85" s="87"/>
      <c r="M85" s="87"/>
    </row>
    <row r="86" spans="2:13" x14ac:dyDescent="0.2">
      <c r="B86" s="110"/>
      <c r="F86" s="105"/>
      <c r="J86" s="109">
        <f>G37+H37+I37</f>
        <v>213789</v>
      </c>
      <c r="K86" s="16" t="s">
        <v>236</v>
      </c>
      <c r="L86" s="87"/>
      <c r="M86" s="87"/>
    </row>
    <row r="87" spans="2:13" x14ac:dyDescent="0.2">
      <c r="C87" s="793" t="s">
        <v>207</v>
      </c>
      <c r="D87" s="794"/>
      <c r="E87" s="111" t="s">
        <v>208</v>
      </c>
      <c r="F87" s="111" t="s">
        <v>209</v>
      </c>
      <c r="G87" s="111" t="s">
        <v>210</v>
      </c>
      <c r="H87" s="111" t="s">
        <v>211</v>
      </c>
      <c r="J87" s="109">
        <f>J37+K37+L37</f>
        <v>173201</v>
      </c>
      <c r="K87" s="47" t="s">
        <v>237</v>
      </c>
      <c r="L87" s="87"/>
      <c r="M87" s="87"/>
    </row>
    <row r="88" spans="2:13" x14ac:dyDescent="0.2">
      <c r="C88" s="795" t="str">
        <f>IF(I6="M","0          - 250000","0          -  250000")</f>
        <v>0          -  250000</v>
      </c>
      <c r="D88" s="796"/>
      <c r="E88" s="112">
        <v>0</v>
      </c>
      <c r="F88" s="113">
        <f>IF(I6="M",(IF(G85&lt;250000,G85,250000)),(IF(G85&lt;250000,G85,250000)))</f>
        <v>250000</v>
      </c>
      <c r="G88" s="113">
        <f>G85-F88</f>
        <v>264600</v>
      </c>
      <c r="H88" s="113">
        <f>E88*F88</f>
        <v>0</v>
      </c>
      <c r="J88" s="16">
        <f>M37+N37</f>
        <v>109194</v>
      </c>
      <c r="K88" s="1" t="s">
        <v>238</v>
      </c>
      <c r="L88" s="87"/>
      <c r="M88" s="87"/>
    </row>
    <row r="89" spans="2:13" x14ac:dyDescent="0.2">
      <c r="C89" s="795" t="str">
        <f>IF(I6="M","250001 - 500000","250001-500000")</f>
        <v>250001-500000</v>
      </c>
      <c r="D89" s="796"/>
      <c r="E89" s="112">
        <v>0.05</v>
      </c>
      <c r="F89" s="113">
        <f>IF(I6="M",(IF(G88&lt;250000,G88,250000)),(IF(G88&lt;250000,G88,250000)))</f>
        <v>250000</v>
      </c>
      <c r="G89" s="113">
        <f>G88-F89</f>
        <v>14600</v>
      </c>
      <c r="H89" s="114">
        <f>ROUND(E89*F89,0.1)</f>
        <v>12500</v>
      </c>
      <c r="J89" s="115">
        <f>SUM(J85:J88)</f>
        <v>707096</v>
      </c>
      <c r="L89" s="87"/>
      <c r="M89" s="87"/>
    </row>
    <row r="90" spans="2:13" x14ac:dyDescent="0.2">
      <c r="C90" s="797" t="s">
        <v>212</v>
      </c>
      <c r="D90" s="798"/>
      <c r="E90" s="112">
        <v>0.2</v>
      </c>
      <c r="F90" s="113">
        <f>IF(G89&lt;500000,G89,500000)</f>
        <v>14600</v>
      </c>
      <c r="G90" s="113">
        <f>G89-F90</f>
        <v>0</v>
      </c>
      <c r="H90" s="114">
        <f>ROUND(E90*F90,0.1)</f>
        <v>2920</v>
      </c>
      <c r="J90" s="16">
        <f>+G85</f>
        <v>514600</v>
      </c>
      <c r="L90" s="87"/>
      <c r="M90" s="87"/>
    </row>
    <row r="91" spans="2:13" x14ac:dyDescent="0.2">
      <c r="C91" s="795" t="s">
        <v>213</v>
      </c>
      <c r="D91" s="796"/>
      <c r="E91" s="112">
        <v>0.3</v>
      </c>
      <c r="F91" s="113">
        <f>G90</f>
        <v>0</v>
      </c>
      <c r="G91" s="113">
        <f>G90-F91</f>
        <v>0</v>
      </c>
      <c r="H91" s="114">
        <f>ROUND(E91*F91,0.1)</f>
        <v>0</v>
      </c>
      <c r="J91" s="16">
        <f>+J89-J90</f>
        <v>192496</v>
      </c>
      <c r="L91" s="87"/>
      <c r="M91" s="87"/>
    </row>
    <row r="92" spans="2:13" ht="12.75" customHeight="1" thickBot="1" x14ac:dyDescent="0.25">
      <c r="B92" s="116"/>
      <c r="C92" s="117"/>
      <c r="D92" s="47"/>
      <c r="E92" s="47"/>
      <c r="F92" s="47"/>
      <c r="J92" s="16">
        <f>ROUND(+G85/12,0.1)</f>
        <v>42883</v>
      </c>
      <c r="K92" s="223"/>
      <c r="L92" s="87"/>
      <c r="M92" s="87"/>
    </row>
    <row r="93" spans="2:13" ht="13.5" thickBot="1" x14ac:dyDescent="0.25">
      <c r="B93" s="799" t="s">
        <v>239</v>
      </c>
      <c r="C93" s="800"/>
      <c r="D93" s="800"/>
      <c r="E93" s="800"/>
      <c r="F93" s="801"/>
      <c r="G93" s="771">
        <f>H88+H89+H90+H91</f>
        <v>15420</v>
      </c>
      <c r="H93" s="772"/>
      <c r="J93" s="87"/>
      <c r="K93" s="87"/>
      <c r="L93" s="87"/>
      <c r="M93" s="87"/>
    </row>
    <row r="94" spans="2:13" ht="13.5" thickBot="1" x14ac:dyDescent="0.25">
      <c r="B94" s="119" t="s">
        <v>215</v>
      </c>
      <c r="C94" s="120"/>
      <c r="D94" s="120"/>
      <c r="E94" s="120"/>
      <c r="F94" s="120"/>
      <c r="G94" s="884">
        <f>IF((G64&lt;500000),5000,0)</f>
        <v>0</v>
      </c>
      <c r="H94" s="885">
        <f>IF(H92&lt;200000,0,IF(H92&lt;220000,((H92-200000)*10%),IF(H92&lt;=500000,2000,IF(H92&gt;=500000,0))))</f>
        <v>0</v>
      </c>
    </row>
    <row r="95" spans="2:13" ht="13.5" thickBot="1" x14ac:dyDescent="0.25">
      <c r="B95" s="122" t="s">
        <v>216</v>
      </c>
      <c r="C95" s="123"/>
      <c r="D95" s="123"/>
      <c r="E95" s="123"/>
      <c r="F95" s="123"/>
      <c r="G95" s="771">
        <f>IF((G93-G94)&lt;0,0,(G93-G94))</f>
        <v>15420</v>
      </c>
      <c r="H95" s="772"/>
    </row>
    <row r="96" spans="2:13" ht="13.5" thickBot="1" x14ac:dyDescent="0.25">
      <c r="B96" s="773" t="s">
        <v>240</v>
      </c>
      <c r="C96" s="774"/>
      <c r="D96" s="774"/>
      <c r="E96" s="774"/>
      <c r="F96" s="775"/>
      <c r="G96" s="776">
        <f>ROUND((IF(G95&gt;0,(G95*4%),0)),0)</f>
        <v>617</v>
      </c>
      <c r="H96" s="777"/>
      <c r="I96" s="105"/>
    </row>
    <row r="97" spans="2:10" ht="13.5" thickBot="1" x14ac:dyDescent="0.25">
      <c r="B97" s="778" t="s">
        <v>218</v>
      </c>
      <c r="C97" s="779"/>
      <c r="D97" s="779"/>
      <c r="E97" s="779"/>
      <c r="F97" s="779"/>
      <c r="G97" s="780">
        <f>+G95+G96</f>
        <v>16037</v>
      </c>
      <c r="H97" s="781"/>
    </row>
    <row r="98" spans="2:10" ht="13.5" thickBot="1" x14ac:dyDescent="0.25">
      <c r="B98" s="765" t="s">
        <v>219</v>
      </c>
      <c r="C98" s="766"/>
      <c r="D98" s="766"/>
      <c r="E98" s="766"/>
      <c r="F98" s="766"/>
      <c r="G98" s="767">
        <f>O38</f>
        <v>16043</v>
      </c>
      <c r="H98" s="768"/>
    </row>
    <row r="99" spans="2:10" ht="13.5" thickBot="1" x14ac:dyDescent="0.25">
      <c r="B99" s="765" t="str">
        <f>IF(G99&gt;0,"TAX PAYABLE","TAX REFUND")</f>
        <v>TAX REFUND</v>
      </c>
      <c r="C99" s="766"/>
      <c r="D99" s="766"/>
      <c r="E99" s="766"/>
      <c r="F99" s="766"/>
      <c r="G99" s="767">
        <f>+G97-G98</f>
        <v>-6</v>
      </c>
      <c r="H99" s="768"/>
    </row>
    <row r="100" spans="2:10" x14ac:dyDescent="0.2">
      <c r="C100" s="124"/>
      <c r="D100" s="45"/>
      <c r="E100" s="118"/>
      <c r="F100" s="118"/>
      <c r="G100" s="118"/>
      <c r="H100" s="118"/>
      <c r="I100" s="87"/>
      <c r="J100" s="87"/>
    </row>
    <row r="101" spans="2:10" x14ac:dyDescent="0.2">
      <c r="C101" s="47"/>
      <c r="D101" s="50"/>
      <c r="E101" s="117"/>
      <c r="F101" s="47"/>
      <c r="G101" s="47"/>
      <c r="H101" s="47"/>
      <c r="I101" s="87"/>
      <c r="J101" s="87"/>
    </row>
    <row r="102" spans="2:10" x14ac:dyDescent="0.2">
      <c r="C102" s="39"/>
      <c r="D102" s="126"/>
      <c r="E102" s="126"/>
      <c r="F102" s="126"/>
      <c r="G102" s="39"/>
      <c r="H102" s="39"/>
    </row>
    <row r="103" spans="2:10" x14ac:dyDescent="0.2">
      <c r="C103" s="39"/>
      <c r="D103" s="126"/>
      <c r="E103" s="126"/>
      <c r="F103" s="39"/>
      <c r="G103" s="39"/>
      <c r="H103" s="39"/>
    </row>
    <row r="104" spans="2:10" x14ac:dyDescent="0.2">
      <c r="C104" s="39"/>
      <c r="D104" s="126"/>
      <c r="E104" s="126"/>
      <c r="F104" s="39"/>
      <c r="G104" s="39"/>
      <c r="H104" s="39"/>
    </row>
    <row r="105" spans="2:10" x14ac:dyDescent="0.2">
      <c r="C105" s="39"/>
      <c r="D105" s="39"/>
      <c r="E105" s="39"/>
      <c r="F105" s="39"/>
      <c r="G105" s="39"/>
      <c r="H105" s="39"/>
    </row>
    <row r="106" spans="2:10" x14ac:dyDescent="0.2">
      <c r="C106" s="39"/>
      <c r="D106" s="39"/>
      <c r="E106" s="39"/>
      <c r="F106" s="39"/>
      <c r="G106" s="39"/>
      <c r="H106" s="39"/>
    </row>
    <row r="107" spans="2:10"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89:F90 B99:F99 B92:F97">
    <cfRule type="cellIs" dxfId="293" priority="3" stopIfTrue="1" operator="equal">
      <formula>"TAX PAYABLE"</formula>
    </cfRule>
    <cfRule type="cellIs" dxfId="292" priority="4" stopIfTrue="1" operator="equal">
      <formula>"TAX REFUND"</formula>
    </cfRule>
  </conditionalFormatting>
  <conditionalFormatting sqref="G99:H99">
    <cfRule type="cellIs" dxfId="291" priority="1" stopIfTrue="1" operator="greaterThan">
      <formula>0</formula>
    </cfRule>
    <cfRule type="cellIs" dxfId="290"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$Q$8:$Q$9</formula1>
    </dataValidation>
  </dataValidations>
  <pageMargins left="0.7" right="0.7" top="0.75" bottom="0.75" header="0.3" footer="0.3"/>
  <pageSetup paperSize="5" orientation="landscape" horizontalDpi="300" verticalDpi="300" r:id="rId1"/>
  <headerFooter alignWithMargins="0"/>
</worksheet>
</file>

<file path=xl/worksheets/sheet1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107"/>
  <sheetViews>
    <sheetView topLeftCell="A59" workbookViewId="0">
      <selection activeCell="G98" sqref="G98:H98"/>
    </sheetView>
  </sheetViews>
  <sheetFormatPr defaultRowHeight="12.75" x14ac:dyDescent="0.2"/>
  <cols>
    <col min="1" max="1" width="5" style="16" customWidth="1"/>
    <col min="2" max="2" width="18" style="37" customWidth="1"/>
    <col min="3" max="3" width="10.7109375" style="16" bestFit="1" customWidth="1"/>
    <col min="4" max="4" width="7.5703125" style="16" customWidth="1"/>
    <col min="5" max="5" width="8.5703125" style="16" bestFit="1" customWidth="1"/>
    <col min="6" max="6" width="9.28515625" style="16" bestFit="1" customWidth="1"/>
    <col min="7" max="7" width="8.42578125" style="16" bestFit="1" customWidth="1"/>
    <col min="8" max="8" width="9.7109375" style="16" bestFit="1" customWidth="1"/>
    <col min="9" max="9" width="9.7109375" style="16" customWidth="1"/>
    <col min="10" max="10" width="9.28515625" style="16" customWidth="1"/>
    <col min="11" max="11" width="8.7109375" style="16" customWidth="1"/>
    <col min="12" max="12" width="9.28515625" style="16" customWidth="1"/>
    <col min="13" max="13" width="8.7109375" style="16" customWidth="1"/>
    <col min="14" max="14" width="8.42578125" style="16" customWidth="1"/>
    <col min="15" max="15" width="8.5703125" style="16" customWidth="1"/>
    <col min="16" max="20" width="9.140625" style="16"/>
    <col min="21" max="21" width="12.42578125" style="16" customWidth="1"/>
    <col min="22" max="22" width="9.140625" style="16"/>
    <col min="23" max="23" width="12" style="16" customWidth="1"/>
    <col min="24" max="256" width="9.140625" style="16"/>
    <col min="257" max="257" width="5" style="16" customWidth="1"/>
    <col min="258" max="258" width="18" style="16" customWidth="1"/>
    <col min="259" max="259" width="10.7109375" style="16" bestFit="1" customWidth="1"/>
    <col min="260" max="260" width="7.5703125" style="16" customWidth="1"/>
    <col min="261" max="261" width="8.5703125" style="16" bestFit="1" customWidth="1"/>
    <col min="262" max="262" width="9.28515625" style="16" bestFit="1" customWidth="1"/>
    <col min="263" max="263" width="8.42578125" style="16" bestFit="1" customWidth="1"/>
    <col min="264" max="264" width="9.7109375" style="16" bestFit="1" customWidth="1"/>
    <col min="265" max="265" width="9.7109375" style="16" customWidth="1"/>
    <col min="266" max="266" width="9.28515625" style="16" customWidth="1"/>
    <col min="267" max="267" width="8.7109375" style="16" customWidth="1"/>
    <col min="268" max="268" width="9.28515625" style="16" customWidth="1"/>
    <col min="269" max="269" width="8.7109375" style="16" customWidth="1"/>
    <col min="270" max="270" width="8.42578125" style="16" customWidth="1"/>
    <col min="271" max="271" width="8.5703125" style="16" customWidth="1"/>
    <col min="272" max="276" width="9.140625" style="16"/>
    <col min="277" max="277" width="12.42578125" style="16" customWidth="1"/>
    <col min="278" max="278" width="9.140625" style="16"/>
    <col min="279" max="279" width="12" style="16" customWidth="1"/>
    <col min="280" max="512" width="9.140625" style="16"/>
    <col min="513" max="513" width="5" style="16" customWidth="1"/>
    <col min="514" max="514" width="18" style="16" customWidth="1"/>
    <col min="515" max="515" width="10.7109375" style="16" bestFit="1" customWidth="1"/>
    <col min="516" max="516" width="7.5703125" style="16" customWidth="1"/>
    <col min="517" max="517" width="8.5703125" style="16" bestFit="1" customWidth="1"/>
    <col min="518" max="518" width="9.28515625" style="16" bestFit="1" customWidth="1"/>
    <col min="519" max="519" width="8.42578125" style="16" bestFit="1" customWidth="1"/>
    <col min="520" max="520" width="9.7109375" style="16" bestFit="1" customWidth="1"/>
    <col min="521" max="521" width="9.7109375" style="16" customWidth="1"/>
    <col min="522" max="522" width="9.28515625" style="16" customWidth="1"/>
    <col min="523" max="523" width="8.7109375" style="16" customWidth="1"/>
    <col min="524" max="524" width="9.28515625" style="16" customWidth="1"/>
    <col min="525" max="525" width="8.7109375" style="16" customWidth="1"/>
    <col min="526" max="526" width="8.42578125" style="16" customWidth="1"/>
    <col min="527" max="527" width="8.5703125" style="16" customWidth="1"/>
    <col min="528" max="532" width="9.140625" style="16"/>
    <col min="533" max="533" width="12.42578125" style="16" customWidth="1"/>
    <col min="534" max="534" width="9.140625" style="16"/>
    <col min="535" max="535" width="12" style="16" customWidth="1"/>
    <col min="536" max="768" width="9.140625" style="16"/>
    <col min="769" max="769" width="5" style="16" customWidth="1"/>
    <col min="770" max="770" width="18" style="16" customWidth="1"/>
    <col min="771" max="771" width="10.7109375" style="16" bestFit="1" customWidth="1"/>
    <col min="772" max="772" width="7.5703125" style="16" customWidth="1"/>
    <col min="773" max="773" width="8.5703125" style="16" bestFit="1" customWidth="1"/>
    <col min="774" max="774" width="9.28515625" style="16" bestFit="1" customWidth="1"/>
    <col min="775" max="775" width="8.42578125" style="16" bestFit="1" customWidth="1"/>
    <col min="776" max="776" width="9.7109375" style="16" bestFit="1" customWidth="1"/>
    <col min="777" max="777" width="9.7109375" style="16" customWidth="1"/>
    <col min="778" max="778" width="9.28515625" style="16" customWidth="1"/>
    <col min="779" max="779" width="8.7109375" style="16" customWidth="1"/>
    <col min="780" max="780" width="9.28515625" style="16" customWidth="1"/>
    <col min="781" max="781" width="8.7109375" style="16" customWidth="1"/>
    <col min="782" max="782" width="8.42578125" style="16" customWidth="1"/>
    <col min="783" max="783" width="8.5703125" style="16" customWidth="1"/>
    <col min="784" max="788" width="9.140625" style="16"/>
    <col min="789" max="789" width="12.42578125" style="16" customWidth="1"/>
    <col min="790" max="790" width="9.140625" style="16"/>
    <col min="791" max="791" width="12" style="16" customWidth="1"/>
    <col min="792" max="1024" width="9.140625" style="16"/>
    <col min="1025" max="1025" width="5" style="16" customWidth="1"/>
    <col min="1026" max="1026" width="18" style="16" customWidth="1"/>
    <col min="1027" max="1027" width="10.7109375" style="16" bestFit="1" customWidth="1"/>
    <col min="1028" max="1028" width="7.5703125" style="16" customWidth="1"/>
    <col min="1029" max="1029" width="8.5703125" style="16" bestFit="1" customWidth="1"/>
    <col min="1030" max="1030" width="9.28515625" style="16" bestFit="1" customWidth="1"/>
    <col min="1031" max="1031" width="8.42578125" style="16" bestFit="1" customWidth="1"/>
    <col min="1032" max="1032" width="9.7109375" style="16" bestFit="1" customWidth="1"/>
    <col min="1033" max="1033" width="9.7109375" style="16" customWidth="1"/>
    <col min="1034" max="1034" width="9.28515625" style="16" customWidth="1"/>
    <col min="1035" max="1035" width="8.7109375" style="16" customWidth="1"/>
    <col min="1036" max="1036" width="9.28515625" style="16" customWidth="1"/>
    <col min="1037" max="1037" width="8.7109375" style="16" customWidth="1"/>
    <col min="1038" max="1038" width="8.42578125" style="16" customWidth="1"/>
    <col min="1039" max="1039" width="8.5703125" style="16" customWidth="1"/>
    <col min="1040" max="1044" width="9.140625" style="16"/>
    <col min="1045" max="1045" width="12.42578125" style="16" customWidth="1"/>
    <col min="1046" max="1046" width="9.140625" style="16"/>
    <col min="1047" max="1047" width="12" style="16" customWidth="1"/>
    <col min="1048" max="1280" width="9.140625" style="16"/>
    <col min="1281" max="1281" width="5" style="16" customWidth="1"/>
    <col min="1282" max="1282" width="18" style="16" customWidth="1"/>
    <col min="1283" max="1283" width="10.7109375" style="16" bestFit="1" customWidth="1"/>
    <col min="1284" max="1284" width="7.5703125" style="16" customWidth="1"/>
    <col min="1285" max="1285" width="8.5703125" style="16" bestFit="1" customWidth="1"/>
    <col min="1286" max="1286" width="9.28515625" style="16" bestFit="1" customWidth="1"/>
    <col min="1287" max="1287" width="8.42578125" style="16" bestFit="1" customWidth="1"/>
    <col min="1288" max="1288" width="9.7109375" style="16" bestFit="1" customWidth="1"/>
    <col min="1289" max="1289" width="9.7109375" style="16" customWidth="1"/>
    <col min="1290" max="1290" width="9.28515625" style="16" customWidth="1"/>
    <col min="1291" max="1291" width="8.7109375" style="16" customWidth="1"/>
    <col min="1292" max="1292" width="9.28515625" style="16" customWidth="1"/>
    <col min="1293" max="1293" width="8.7109375" style="16" customWidth="1"/>
    <col min="1294" max="1294" width="8.42578125" style="16" customWidth="1"/>
    <col min="1295" max="1295" width="8.5703125" style="16" customWidth="1"/>
    <col min="1296" max="1300" width="9.140625" style="16"/>
    <col min="1301" max="1301" width="12.42578125" style="16" customWidth="1"/>
    <col min="1302" max="1302" width="9.140625" style="16"/>
    <col min="1303" max="1303" width="12" style="16" customWidth="1"/>
    <col min="1304" max="1536" width="9.140625" style="16"/>
    <col min="1537" max="1537" width="5" style="16" customWidth="1"/>
    <col min="1538" max="1538" width="18" style="16" customWidth="1"/>
    <col min="1539" max="1539" width="10.7109375" style="16" bestFit="1" customWidth="1"/>
    <col min="1540" max="1540" width="7.5703125" style="16" customWidth="1"/>
    <col min="1541" max="1541" width="8.5703125" style="16" bestFit="1" customWidth="1"/>
    <col min="1542" max="1542" width="9.28515625" style="16" bestFit="1" customWidth="1"/>
    <col min="1543" max="1543" width="8.42578125" style="16" bestFit="1" customWidth="1"/>
    <col min="1544" max="1544" width="9.7109375" style="16" bestFit="1" customWidth="1"/>
    <col min="1545" max="1545" width="9.7109375" style="16" customWidth="1"/>
    <col min="1546" max="1546" width="9.28515625" style="16" customWidth="1"/>
    <col min="1547" max="1547" width="8.7109375" style="16" customWidth="1"/>
    <col min="1548" max="1548" width="9.28515625" style="16" customWidth="1"/>
    <col min="1549" max="1549" width="8.7109375" style="16" customWidth="1"/>
    <col min="1550" max="1550" width="8.42578125" style="16" customWidth="1"/>
    <col min="1551" max="1551" width="8.5703125" style="16" customWidth="1"/>
    <col min="1552" max="1556" width="9.140625" style="16"/>
    <col min="1557" max="1557" width="12.42578125" style="16" customWidth="1"/>
    <col min="1558" max="1558" width="9.140625" style="16"/>
    <col min="1559" max="1559" width="12" style="16" customWidth="1"/>
    <col min="1560" max="1792" width="9.140625" style="16"/>
    <col min="1793" max="1793" width="5" style="16" customWidth="1"/>
    <col min="1794" max="1794" width="18" style="16" customWidth="1"/>
    <col min="1795" max="1795" width="10.7109375" style="16" bestFit="1" customWidth="1"/>
    <col min="1796" max="1796" width="7.5703125" style="16" customWidth="1"/>
    <col min="1797" max="1797" width="8.5703125" style="16" bestFit="1" customWidth="1"/>
    <col min="1798" max="1798" width="9.28515625" style="16" bestFit="1" customWidth="1"/>
    <col min="1799" max="1799" width="8.42578125" style="16" bestFit="1" customWidth="1"/>
    <col min="1800" max="1800" width="9.7109375" style="16" bestFit="1" customWidth="1"/>
    <col min="1801" max="1801" width="9.7109375" style="16" customWidth="1"/>
    <col min="1802" max="1802" width="9.28515625" style="16" customWidth="1"/>
    <col min="1803" max="1803" width="8.7109375" style="16" customWidth="1"/>
    <col min="1804" max="1804" width="9.28515625" style="16" customWidth="1"/>
    <col min="1805" max="1805" width="8.7109375" style="16" customWidth="1"/>
    <col min="1806" max="1806" width="8.42578125" style="16" customWidth="1"/>
    <col min="1807" max="1807" width="8.5703125" style="16" customWidth="1"/>
    <col min="1808" max="1812" width="9.140625" style="16"/>
    <col min="1813" max="1813" width="12.42578125" style="16" customWidth="1"/>
    <col min="1814" max="1814" width="9.140625" style="16"/>
    <col min="1815" max="1815" width="12" style="16" customWidth="1"/>
    <col min="1816" max="2048" width="9.140625" style="16"/>
    <col min="2049" max="2049" width="5" style="16" customWidth="1"/>
    <col min="2050" max="2050" width="18" style="16" customWidth="1"/>
    <col min="2051" max="2051" width="10.7109375" style="16" bestFit="1" customWidth="1"/>
    <col min="2052" max="2052" width="7.5703125" style="16" customWidth="1"/>
    <col min="2053" max="2053" width="8.5703125" style="16" bestFit="1" customWidth="1"/>
    <col min="2054" max="2054" width="9.28515625" style="16" bestFit="1" customWidth="1"/>
    <col min="2055" max="2055" width="8.42578125" style="16" bestFit="1" customWidth="1"/>
    <col min="2056" max="2056" width="9.7109375" style="16" bestFit="1" customWidth="1"/>
    <col min="2057" max="2057" width="9.7109375" style="16" customWidth="1"/>
    <col min="2058" max="2058" width="9.28515625" style="16" customWidth="1"/>
    <col min="2059" max="2059" width="8.7109375" style="16" customWidth="1"/>
    <col min="2060" max="2060" width="9.28515625" style="16" customWidth="1"/>
    <col min="2061" max="2061" width="8.7109375" style="16" customWidth="1"/>
    <col min="2062" max="2062" width="8.42578125" style="16" customWidth="1"/>
    <col min="2063" max="2063" width="8.5703125" style="16" customWidth="1"/>
    <col min="2064" max="2068" width="9.140625" style="16"/>
    <col min="2069" max="2069" width="12.42578125" style="16" customWidth="1"/>
    <col min="2070" max="2070" width="9.140625" style="16"/>
    <col min="2071" max="2071" width="12" style="16" customWidth="1"/>
    <col min="2072" max="2304" width="9.140625" style="16"/>
    <col min="2305" max="2305" width="5" style="16" customWidth="1"/>
    <col min="2306" max="2306" width="18" style="16" customWidth="1"/>
    <col min="2307" max="2307" width="10.7109375" style="16" bestFit="1" customWidth="1"/>
    <col min="2308" max="2308" width="7.5703125" style="16" customWidth="1"/>
    <col min="2309" max="2309" width="8.5703125" style="16" bestFit="1" customWidth="1"/>
    <col min="2310" max="2310" width="9.28515625" style="16" bestFit="1" customWidth="1"/>
    <col min="2311" max="2311" width="8.42578125" style="16" bestFit="1" customWidth="1"/>
    <col min="2312" max="2312" width="9.7109375" style="16" bestFit="1" customWidth="1"/>
    <col min="2313" max="2313" width="9.7109375" style="16" customWidth="1"/>
    <col min="2314" max="2314" width="9.28515625" style="16" customWidth="1"/>
    <col min="2315" max="2315" width="8.7109375" style="16" customWidth="1"/>
    <col min="2316" max="2316" width="9.28515625" style="16" customWidth="1"/>
    <col min="2317" max="2317" width="8.7109375" style="16" customWidth="1"/>
    <col min="2318" max="2318" width="8.42578125" style="16" customWidth="1"/>
    <col min="2319" max="2319" width="8.5703125" style="16" customWidth="1"/>
    <col min="2320" max="2324" width="9.140625" style="16"/>
    <col min="2325" max="2325" width="12.42578125" style="16" customWidth="1"/>
    <col min="2326" max="2326" width="9.140625" style="16"/>
    <col min="2327" max="2327" width="12" style="16" customWidth="1"/>
    <col min="2328" max="2560" width="9.140625" style="16"/>
    <col min="2561" max="2561" width="5" style="16" customWidth="1"/>
    <col min="2562" max="2562" width="18" style="16" customWidth="1"/>
    <col min="2563" max="2563" width="10.7109375" style="16" bestFit="1" customWidth="1"/>
    <col min="2564" max="2564" width="7.5703125" style="16" customWidth="1"/>
    <col min="2565" max="2565" width="8.5703125" style="16" bestFit="1" customWidth="1"/>
    <col min="2566" max="2566" width="9.28515625" style="16" bestFit="1" customWidth="1"/>
    <col min="2567" max="2567" width="8.42578125" style="16" bestFit="1" customWidth="1"/>
    <col min="2568" max="2568" width="9.7109375" style="16" bestFit="1" customWidth="1"/>
    <col min="2569" max="2569" width="9.7109375" style="16" customWidth="1"/>
    <col min="2570" max="2570" width="9.28515625" style="16" customWidth="1"/>
    <col min="2571" max="2571" width="8.7109375" style="16" customWidth="1"/>
    <col min="2572" max="2572" width="9.28515625" style="16" customWidth="1"/>
    <col min="2573" max="2573" width="8.7109375" style="16" customWidth="1"/>
    <col min="2574" max="2574" width="8.42578125" style="16" customWidth="1"/>
    <col min="2575" max="2575" width="8.5703125" style="16" customWidth="1"/>
    <col min="2576" max="2580" width="9.140625" style="16"/>
    <col min="2581" max="2581" width="12.42578125" style="16" customWidth="1"/>
    <col min="2582" max="2582" width="9.140625" style="16"/>
    <col min="2583" max="2583" width="12" style="16" customWidth="1"/>
    <col min="2584" max="2816" width="9.140625" style="16"/>
    <col min="2817" max="2817" width="5" style="16" customWidth="1"/>
    <col min="2818" max="2818" width="18" style="16" customWidth="1"/>
    <col min="2819" max="2819" width="10.7109375" style="16" bestFit="1" customWidth="1"/>
    <col min="2820" max="2820" width="7.5703125" style="16" customWidth="1"/>
    <col min="2821" max="2821" width="8.5703125" style="16" bestFit="1" customWidth="1"/>
    <col min="2822" max="2822" width="9.28515625" style="16" bestFit="1" customWidth="1"/>
    <col min="2823" max="2823" width="8.42578125" style="16" bestFit="1" customWidth="1"/>
    <col min="2824" max="2824" width="9.7109375" style="16" bestFit="1" customWidth="1"/>
    <col min="2825" max="2825" width="9.7109375" style="16" customWidth="1"/>
    <col min="2826" max="2826" width="9.28515625" style="16" customWidth="1"/>
    <col min="2827" max="2827" width="8.7109375" style="16" customWidth="1"/>
    <col min="2828" max="2828" width="9.28515625" style="16" customWidth="1"/>
    <col min="2829" max="2829" width="8.7109375" style="16" customWidth="1"/>
    <col min="2830" max="2830" width="8.42578125" style="16" customWidth="1"/>
    <col min="2831" max="2831" width="8.5703125" style="16" customWidth="1"/>
    <col min="2832" max="2836" width="9.140625" style="16"/>
    <col min="2837" max="2837" width="12.42578125" style="16" customWidth="1"/>
    <col min="2838" max="2838" width="9.140625" style="16"/>
    <col min="2839" max="2839" width="12" style="16" customWidth="1"/>
    <col min="2840" max="3072" width="9.140625" style="16"/>
    <col min="3073" max="3073" width="5" style="16" customWidth="1"/>
    <col min="3074" max="3074" width="18" style="16" customWidth="1"/>
    <col min="3075" max="3075" width="10.7109375" style="16" bestFit="1" customWidth="1"/>
    <col min="3076" max="3076" width="7.5703125" style="16" customWidth="1"/>
    <col min="3077" max="3077" width="8.5703125" style="16" bestFit="1" customWidth="1"/>
    <col min="3078" max="3078" width="9.28515625" style="16" bestFit="1" customWidth="1"/>
    <col min="3079" max="3079" width="8.42578125" style="16" bestFit="1" customWidth="1"/>
    <col min="3080" max="3080" width="9.7109375" style="16" bestFit="1" customWidth="1"/>
    <col min="3081" max="3081" width="9.7109375" style="16" customWidth="1"/>
    <col min="3082" max="3082" width="9.28515625" style="16" customWidth="1"/>
    <col min="3083" max="3083" width="8.7109375" style="16" customWidth="1"/>
    <col min="3084" max="3084" width="9.28515625" style="16" customWidth="1"/>
    <col min="3085" max="3085" width="8.7109375" style="16" customWidth="1"/>
    <col min="3086" max="3086" width="8.42578125" style="16" customWidth="1"/>
    <col min="3087" max="3087" width="8.5703125" style="16" customWidth="1"/>
    <col min="3088" max="3092" width="9.140625" style="16"/>
    <col min="3093" max="3093" width="12.42578125" style="16" customWidth="1"/>
    <col min="3094" max="3094" width="9.140625" style="16"/>
    <col min="3095" max="3095" width="12" style="16" customWidth="1"/>
    <col min="3096" max="3328" width="9.140625" style="16"/>
    <col min="3329" max="3329" width="5" style="16" customWidth="1"/>
    <col min="3330" max="3330" width="18" style="16" customWidth="1"/>
    <col min="3331" max="3331" width="10.7109375" style="16" bestFit="1" customWidth="1"/>
    <col min="3332" max="3332" width="7.5703125" style="16" customWidth="1"/>
    <col min="3333" max="3333" width="8.5703125" style="16" bestFit="1" customWidth="1"/>
    <col min="3334" max="3334" width="9.28515625" style="16" bestFit="1" customWidth="1"/>
    <col min="3335" max="3335" width="8.42578125" style="16" bestFit="1" customWidth="1"/>
    <col min="3336" max="3336" width="9.7109375" style="16" bestFit="1" customWidth="1"/>
    <col min="3337" max="3337" width="9.7109375" style="16" customWidth="1"/>
    <col min="3338" max="3338" width="9.28515625" style="16" customWidth="1"/>
    <col min="3339" max="3339" width="8.7109375" style="16" customWidth="1"/>
    <col min="3340" max="3340" width="9.28515625" style="16" customWidth="1"/>
    <col min="3341" max="3341" width="8.7109375" style="16" customWidth="1"/>
    <col min="3342" max="3342" width="8.42578125" style="16" customWidth="1"/>
    <col min="3343" max="3343" width="8.5703125" style="16" customWidth="1"/>
    <col min="3344" max="3348" width="9.140625" style="16"/>
    <col min="3349" max="3349" width="12.42578125" style="16" customWidth="1"/>
    <col min="3350" max="3350" width="9.140625" style="16"/>
    <col min="3351" max="3351" width="12" style="16" customWidth="1"/>
    <col min="3352" max="3584" width="9.140625" style="16"/>
    <col min="3585" max="3585" width="5" style="16" customWidth="1"/>
    <col min="3586" max="3586" width="18" style="16" customWidth="1"/>
    <col min="3587" max="3587" width="10.7109375" style="16" bestFit="1" customWidth="1"/>
    <col min="3588" max="3588" width="7.5703125" style="16" customWidth="1"/>
    <col min="3589" max="3589" width="8.5703125" style="16" bestFit="1" customWidth="1"/>
    <col min="3590" max="3590" width="9.28515625" style="16" bestFit="1" customWidth="1"/>
    <col min="3591" max="3591" width="8.42578125" style="16" bestFit="1" customWidth="1"/>
    <col min="3592" max="3592" width="9.7109375" style="16" bestFit="1" customWidth="1"/>
    <col min="3593" max="3593" width="9.7109375" style="16" customWidth="1"/>
    <col min="3594" max="3594" width="9.28515625" style="16" customWidth="1"/>
    <col min="3595" max="3595" width="8.7109375" style="16" customWidth="1"/>
    <col min="3596" max="3596" width="9.28515625" style="16" customWidth="1"/>
    <col min="3597" max="3597" width="8.7109375" style="16" customWidth="1"/>
    <col min="3598" max="3598" width="8.42578125" style="16" customWidth="1"/>
    <col min="3599" max="3599" width="8.5703125" style="16" customWidth="1"/>
    <col min="3600" max="3604" width="9.140625" style="16"/>
    <col min="3605" max="3605" width="12.42578125" style="16" customWidth="1"/>
    <col min="3606" max="3606" width="9.140625" style="16"/>
    <col min="3607" max="3607" width="12" style="16" customWidth="1"/>
    <col min="3608" max="3840" width="9.140625" style="16"/>
    <col min="3841" max="3841" width="5" style="16" customWidth="1"/>
    <col min="3842" max="3842" width="18" style="16" customWidth="1"/>
    <col min="3843" max="3843" width="10.7109375" style="16" bestFit="1" customWidth="1"/>
    <col min="3844" max="3844" width="7.5703125" style="16" customWidth="1"/>
    <col min="3845" max="3845" width="8.5703125" style="16" bestFit="1" customWidth="1"/>
    <col min="3846" max="3846" width="9.28515625" style="16" bestFit="1" customWidth="1"/>
    <col min="3847" max="3847" width="8.42578125" style="16" bestFit="1" customWidth="1"/>
    <col min="3848" max="3848" width="9.7109375" style="16" bestFit="1" customWidth="1"/>
    <col min="3849" max="3849" width="9.7109375" style="16" customWidth="1"/>
    <col min="3850" max="3850" width="9.28515625" style="16" customWidth="1"/>
    <col min="3851" max="3851" width="8.7109375" style="16" customWidth="1"/>
    <col min="3852" max="3852" width="9.28515625" style="16" customWidth="1"/>
    <col min="3853" max="3853" width="8.7109375" style="16" customWidth="1"/>
    <col min="3854" max="3854" width="8.42578125" style="16" customWidth="1"/>
    <col min="3855" max="3855" width="8.5703125" style="16" customWidth="1"/>
    <col min="3856" max="3860" width="9.140625" style="16"/>
    <col min="3861" max="3861" width="12.42578125" style="16" customWidth="1"/>
    <col min="3862" max="3862" width="9.140625" style="16"/>
    <col min="3863" max="3863" width="12" style="16" customWidth="1"/>
    <col min="3864" max="4096" width="9.140625" style="16"/>
    <col min="4097" max="4097" width="5" style="16" customWidth="1"/>
    <col min="4098" max="4098" width="18" style="16" customWidth="1"/>
    <col min="4099" max="4099" width="10.7109375" style="16" bestFit="1" customWidth="1"/>
    <col min="4100" max="4100" width="7.5703125" style="16" customWidth="1"/>
    <col min="4101" max="4101" width="8.5703125" style="16" bestFit="1" customWidth="1"/>
    <col min="4102" max="4102" width="9.28515625" style="16" bestFit="1" customWidth="1"/>
    <col min="4103" max="4103" width="8.42578125" style="16" bestFit="1" customWidth="1"/>
    <col min="4104" max="4104" width="9.7109375" style="16" bestFit="1" customWidth="1"/>
    <col min="4105" max="4105" width="9.7109375" style="16" customWidth="1"/>
    <col min="4106" max="4106" width="9.28515625" style="16" customWidth="1"/>
    <col min="4107" max="4107" width="8.7109375" style="16" customWidth="1"/>
    <col min="4108" max="4108" width="9.28515625" style="16" customWidth="1"/>
    <col min="4109" max="4109" width="8.7109375" style="16" customWidth="1"/>
    <col min="4110" max="4110" width="8.42578125" style="16" customWidth="1"/>
    <col min="4111" max="4111" width="8.5703125" style="16" customWidth="1"/>
    <col min="4112" max="4116" width="9.140625" style="16"/>
    <col min="4117" max="4117" width="12.42578125" style="16" customWidth="1"/>
    <col min="4118" max="4118" width="9.140625" style="16"/>
    <col min="4119" max="4119" width="12" style="16" customWidth="1"/>
    <col min="4120" max="4352" width="9.140625" style="16"/>
    <col min="4353" max="4353" width="5" style="16" customWidth="1"/>
    <col min="4354" max="4354" width="18" style="16" customWidth="1"/>
    <col min="4355" max="4355" width="10.7109375" style="16" bestFit="1" customWidth="1"/>
    <col min="4356" max="4356" width="7.5703125" style="16" customWidth="1"/>
    <col min="4357" max="4357" width="8.5703125" style="16" bestFit="1" customWidth="1"/>
    <col min="4358" max="4358" width="9.28515625" style="16" bestFit="1" customWidth="1"/>
    <col min="4359" max="4359" width="8.42578125" style="16" bestFit="1" customWidth="1"/>
    <col min="4360" max="4360" width="9.7109375" style="16" bestFit="1" customWidth="1"/>
    <col min="4361" max="4361" width="9.7109375" style="16" customWidth="1"/>
    <col min="4362" max="4362" width="9.28515625" style="16" customWidth="1"/>
    <col min="4363" max="4363" width="8.7109375" style="16" customWidth="1"/>
    <col min="4364" max="4364" width="9.28515625" style="16" customWidth="1"/>
    <col min="4365" max="4365" width="8.7109375" style="16" customWidth="1"/>
    <col min="4366" max="4366" width="8.42578125" style="16" customWidth="1"/>
    <col min="4367" max="4367" width="8.5703125" style="16" customWidth="1"/>
    <col min="4368" max="4372" width="9.140625" style="16"/>
    <col min="4373" max="4373" width="12.42578125" style="16" customWidth="1"/>
    <col min="4374" max="4374" width="9.140625" style="16"/>
    <col min="4375" max="4375" width="12" style="16" customWidth="1"/>
    <col min="4376" max="4608" width="9.140625" style="16"/>
    <col min="4609" max="4609" width="5" style="16" customWidth="1"/>
    <col min="4610" max="4610" width="18" style="16" customWidth="1"/>
    <col min="4611" max="4611" width="10.7109375" style="16" bestFit="1" customWidth="1"/>
    <col min="4612" max="4612" width="7.5703125" style="16" customWidth="1"/>
    <col min="4613" max="4613" width="8.5703125" style="16" bestFit="1" customWidth="1"/>
    <col min="4614" max="4614" width="9.28515625" style="16" bestFit="1" customWidth="1"/>
    <col min="4615" max="4615" width="8.42578125" style="16" bestFit="1" customWidth="1"/>
    <col min="4616" max="4616" width="9.7109375" style="16" bestFit="1" customWidth="1"/>
    <col min="4617" max="4617" width="9.7109375" style="16" customWidth="1"/>
    <col min="4618" max="4618" width="9.28515625" style="16" customWidth="1"/>
    <col min="4619" max="4619" width="8.7109375" style="16" customWidth="1"/>
    <col min="4620" max="4620" width="9.28515625" style="16" customWidth="1"/>
    <col min="4621" max="4621" width="8.7109375" style="16" customWidth="1"/>
    <col min="4622" max="4622" width="8.42578125" style="16" customWidth="1"/>
    <col min="4623" max="4623" width="8.5703125" style="16" customWidth="1"/>
    <col min="4624" max="4628" width="9.140625" style="16"/>
    <col min="4629" max="4629" width="12.42578125" style="16" customWidth="1"/>
    <col min="4630" max="4630" width="9.140625" style="16"/>
    <col min="4631" max="4631" width="12" style="16" customWidth="1"/>
    <col min="4632" max="4864" width="9.140625" style="16"/>
    <col min="4865" max="4865" width="5" style="16" customWidth="1"/>
    <col min="4866" max="4866" width="18" style="16" customWidth="1"/>
    <col min="4867" max="4867" width="10.7109375" style="16" bestFit="1" customWidth="1"/>
    <col min="4868" max="4868" width="7.5703125" style="16" customWidth="1"/>
    <col min="4869" max="4869" width="8.5703125" style="16" bestFit="1" customWidth="1"/>
    <col min="4870" max="4870" width="9.28515625" style="16" bestFit="1" customWidth="1"/>
    <col min="4871" max="4871" width="8.42578125" style="16" bestFit="1" customWidth="1"/>
    <col min="4872" max="4872" width="9.7109375" style="16" bestFit="1" customWidth="1"/>
    <col min="4873" max="4873" width="9.7109375" style="16" customWidth="1"/>
    <col min="4874" max="4874" width="9.28515625" style="16" customWidth="1"/>
    <col min="4875" max="4875" width="8.7109375" style="16" customWidth="1"/>
    <col min="4876" max="4876" width="9.28515625" style="16" customWidth="1"/>
    <col min="4877" max="4877" width="8.7109375" style="16" customWidth="1"/>
    <col min="4878" max="4878" width="8.42578125" style="16" customWidth="1"/>
    <col min="4879" max="4879" width="8.5703125" style="16" customWidth="1"/>
    <col min="4880" max="4884" width="9.140625" style="16"/>
    <col min="4885" max="4885" width="12.42578125" style="16" customWidth="1"/>
    <col min="4886" max="4886" width="9.140625" style="16"/>
    <col min="4887" max="4887" width="12" style="16" customWidth="1"/>
    <col min="4888" max="5120" width="9.140625" style="16"/>
    <col min="5121" max="5121" width="5" style="16" customWidth="1"/>
    <col min="5122" max="5122" width="18" style="16" customWidth="1"/>
    <col min="5123" max="5123" width="10.7109375" style="16" bestFit="1" customWidth="1"/>
    <col min="5124" max="5124" width="7.5703125" style="16" customWidth="1"/>
    <col min="5125" max="5125" width="8.5703125" style="16" bestFit="1" customWidth="1"/>
    <col min="5126" max="5126" width="9.28515625" style="16" bestFit="1" customWidth="1"/>
    <col min="5127" max="5127" width="8.42578125" style="16" bestFit="1" customWidth="1"/>
    <col min="5128" max="5128" width="9.7109375" style="16" bestFit="1" customWidth="1"/>
    <col min="5129" max="5129" width="9.7109375" style="16" customWidth="1"/>
    <col min="5130" max="5130" width="9.28515625" style="16" customWidth="1"/>
    <col min="5131" max="5131" width="8.7109375" style="16" customWidth="1"/>
    <col min="5132" max="5132" width="9.28515625" style="16" customWidth="1"/>
    <col min="5133" max="5133" width="8.7109375" style="16" customWidth="1"/>
    <col min="5134" max="5134" width="8.42578125" style="16" customWidth="1"/>
    <col min="5135" max="5135" width="8.5703125" style="16" customWidth="1"/>
    <col min="5136" max="5140" width="9.140625" style="16"/>
    <col min="5141" max="5141" width="12.42578125" style="16" customWidth="1"/>
    <col min="5142" max="5142" width="9.140625" style="16"/>
    <col min="5143" max="5143" width="12" style="16" customWidth="1"/>
    <col min="5144" max="5376" width="9.140625" style="16"/>
    <col min="5377" max="5377" width="5" style="16" customWidth="1"/>
    <col min="5378" max="5378" width="18" style="16" customWidth="1"/>
    <col min="5379" max="5379" width="10.7109375" style="16" bestFit="1" customWidth="1"/>
    <col min="5380" max="5380" width="7.5703125" style="16" customWidth="1"/>
    <col min="5381" max="5381" width="8.5703125" style="16" bestFit="1" customWidth="1"/>
    <col min="5382" max="5382" width="9.28515625" style="16" bestFit="1" customWidth="1"/>
    <col min="5383" max="5383" width="8.42578125" style="16" bestFit="1" customWidth="1"/>
    <col min="5384" max="5384" width="9.7109375" style="16" bestFit="1" customWidth="1"/>
    <col min="5385" max="5385" width="9.7109375" style="16" customWidth="1"/>
    <col min="5386" max="5386" width="9.28515625" style="16" customWidth="1"/>
    <col min="5387" max="5387" width="8.7109375" style="16" customWidth="1"/>
    <col min="5388" max="5388" width="9.28515625" style="16" customWidth="1"/>
    <col min="5389" max="5389" width="8.7109375" style="16" customWidth="1"/>
    <col min="5390" max="5390" width="8.42578125" style="16" customWidth="1"/>
    <col min="5391" max="5391" width="8.5703125" style="16" customWidth="1"/>
    <col min="5392" max="5396" width="9.140625" style="16"/>
    <col min="5397" max="5397" width="12.42578125" style="16" customWidth="1"/>
    <col min="5398" max="5398" width="9.140625" style="16"/>
    <col min="5399" max="5399" width="12" style="16" customWidth="1"/>
    <col min="5400" max="5632" width="9.140625" style="16"/>
    <col min="5633" max="5633" width="5" style="16" customWidth="1"/>
    <col min="5634" max="5634" width="18" style="16" customWidth="1"/>
    <col min="5635" max="5635" width="10.7109375" style="16" bestFit="1" customWidth="1"/>
    <col min="5636" max="5636" width="7.5703125" style="16" customWidth="1"/>
    <col min="5637" max="5637" width="8.5703125" style="16" bestFit="1" customWidth="1"/>
    <col min="5638" max="5638" width="9.28515625" style="16" bestFit="1" customWidth="1"/>
    <col min="5639" max="5639" width="8.42578125" style="16" bestFit="1" customWidth="1"/>
    <col min="5640" max="5640" width="9.7109375" style="16" bestFit="1" customWidth="1"/>
    <col min="5641" max="5641" width="9.7109375" style="16" customWidth="1"/>
    <col min="5642" max="5642" width="9.28515625" style="16" customWidth="1"/>
    <col min="5643" max="5643" width="8.7109375" style="16" customWidth="1"/>
    <col min="5644" max="5644" width="9.28515625" style="16" customWidth="1"/>
    <col min="5645" max="5645" width="8.7109375" style="16" customWidth="1"/>
    <col min="5646" max="5646" width="8.42578125" style="16" customWidth="1"/>
    <col min="5647" max="5647" width="8.5703125" style="16" customWidth="1"/>
    <col min="5648" max="5652" width="9.140625" style="16"/>
    <col min="5653" max="5653" width="12.42578125" style="16" customWidth="1"/>
    <col min="5654" max="5654" width="9.140625" style="16"/>
    <col min="5655" max="5655" width="12" style="16" customWidth="1"/>
    <col min="5656" max="5888" width="9.140625" style="16"/>
    <col min="5889" max="5889" width="5" style="16" customWidth="1"/>
    <col min="5890" max="5890" width="18" style="16" customWidth="1"/>
    <col min="5891" max="5891" width="10.7109375" style="16" bestFit="1" customWidth="1"/>
    <col min="5892" max="5892" width="7.5703125" style="16" customWidth="1"/>
    <col min="5893" max="5893" width="8.5703125" style="16" bestFit="1" customWidth="1"/>
    <col min="5894" max="5894" width="9.28515625" style="16" bestFit="1" customWidth="1"/>
    <col min="5895" max="5895" width="8.42578125" style="16" bestFit="1" customWidth="1"/>
    <col min="5896" max="5896" width="9.7109375" style="16" bestFit="1" customWidth="1"/>
    <col min="5897" max="5897" width="9.7109375" style="16" customWidth="1"/>
    <col min="5898" max="5898" width="9.28515625" style="16" customWidth="1"/>
    <col min="5899" max="5899" width="8.7109375" style="16" customWidth="1"/>
    <col min="5900" max="5900" width="9.28515625" style="16" customWidth="1"/>
    <col min="5901" max="5901" width="8.7109375" style="16" customWidth="1"/>
    <col min="5902" max="5902" width="8.42578125" style="16" customWidth="1"/>
    <col min="5903" max="5903" width="8.5703125" style="16" customWidth="1"/>
    <col min="5904" max="5908" width="9.140625" style="16"/>
    <col min="5909" max="5909" width="12.42578125" style="16" customWidth="1"/>
    <col min="5910" max="5910" width="9.140625" style="16"/>
    <col min="5911" max="5911" width="12" style="16" customWidth="1"/>
    <col min="5912" max="6144" width="9.140625" style="16"/>
    <col min="6145" max="6145" width="5" style="16" customWidth="1"/>
    <col min="6146" max="6146" width="18" style="16" customWidth="1"/>
    <col min="6147" max="6147" width="10.7109375" style="16" bestFit="1" customWidth="1"/>
    <col min="6148" max="6148" width="7.5703125" style="16" customWidth="1"/>
    <col min="6149" max="6149" width="8.5703125" style="16" bestFit="1" customWidth="1"/>
    <col min="6150" max="6150" width="9.28515625" style="16" bestFit="1" customWidth="1"/>
    <col min="6151" max="6151" width="8.42578125" style="16" bestFit="1" customWidth="1"/>
    <col min="6152" max="6152" width="9.7109375" style="16" bestFit="1" customWidth="1"/>
    <col min="6153" max="6153" width="9.7109375" style="16" customWidth="1"/>
    <col min="6154" max="6154" width="9.28515625" style="16" customWidth="1"/>
    <col min="6155" max="6155" width="8.7109375" style="16" customWidth="1"/>
    <col min="6156" max="6156" width="9.28515625" style="16" customWidth="1"/>
    <col min="6157" max="6157" width="8.7109375" style="16" customWidth="1"/>
    <col min="6158" max="6158" width="8.42578125" style="16" customWidth="1"/>
    <col min="6159" max="6159" width="8.5703125" style="16" customWidth="1"/>
    <col min="6160" max="6164" width="9.140625" style="16"/>
    <col min="6165" max="6165" width="12.42578125" style="16" customWidth="1"/>
    <col min="6166" max="6166" width="9.140625" style="16"/>
    <col min="6167" max="6167" width="12" style="16" customWidth="1"/>
    <col min="6168" max="6400" width="9.140625" style="16"/>
    <col min="6401" max="6401" width="5" style="16" customWidth="1"/>
    <col min="6402" max="6402" width="18" style="16" customWidth="1"/>
    <col min="6403" max="6403" width="10.7109375" style="16" bestFit="1" customWidth="1"/>
    <col min="6404" max="6404" width="7.5703125" style="16" customWidth="1"/>
    <col min="6405" max="6405" width="8.5703125" style="16" bestFit="1" customWidth="1"/>
    <col min="6406" max="6406" width="9.28515625" style="16" bestFit="1" customWidth="1"/>
    <col min="6407" max="6407" width="8.42578125" style="16" bestFit="1" customWidth="1"/>
    <col min="6408" max="6408" width="9.7109375" style="16" bestFit="1" customWidth="1"/>
    <col min="6409" max="6409" width="9.7109375" style="16" customWidth="1"/>
    <col min="6410" max="6410" width="9.28515625" style="16" customWidth="1"/>
    <col min="6411" max="6411" width="8.7109375" style="16" customWidth="1"/>
    <col min="6412" max="6412" width="9.28515625" style="16" customWidth="1"/>
    <col min="6413" max="6413" width="8.7109375" style="16" customWidth="1"/>
    <col min="6414" max="6414" width="8.42578125" style="16" customWidth="1"/>
    <col min="6415" max="6415" width="8.5703125" style="16" customWidth="1"/>
    <col min="6416" max="6420" width="9.140625" style="16"/>
    <col min="6421" max="6421" width="12.42578125" style="16" customWidth="1"/>
    <col min="6422" max="6422" width="9.140625" style="16"/>
    <col min="6423" max="6423" width="12" style="16" customWidth="1"/>
    <col min="6424" max="6656" width="9.140625" style="16"/>
    <col min="6657" max="6657" width="5" style="16" customWidth="1"/>
    <col min="6658" max="6658" width="18" style="16" customWidth="1"/>
    <col min="6659" max="6659" width="10.7109375" style="16" bestFit="1" customWidth="1"/>
    <col min="6660" max="6660" width="7.5703125" style="16" customWidth="1"/>
    <col min="6661" max="6661" width="8.5703125" style="16" bestFit="1" customWidth="1"/>
    <col min="6662" max="6662" width="9.28515625" style="16" bestFit="1" customWidth="1"/>
    <col min="6663" max="6663" width="8.42578125" style="16" bestFit="1" customWidth="1"/>
    <col min="6664" max="6664" width="9.7109375" style="16" bestFit="1" customWidth="1"/>
    <col min="6665" max="6665" width="9.7109375" style="16" customWidth="1"/>
    <col min="6666" max="6666" width="9.28515625" style="16" customWidth="1"/>
    <col min="6667" max="6667" width="8.7109375" style="16" customWidth="1"/>
    <col min="6668" max="6668" width="9.28515625" style="16" customWidth="1"/>
    <col min="6669" max="6669" width="8.7109375" style="16" customWidth="1"/>
    <col min="6670" max="6670" width="8.42578125" style="16" customWidth="1"/>
    <col min="6671" max="6671" width="8.5703125" style="16" customWidth="1"/>
    <col min="6672" max="6676" width="9.140625" style="16"/>
    <col min="6677" max="6677" width="12.42578125" style="16" customWidth="1"/>
    <col min="6678" max="6678" width="9.140625" style="16"/>
    <col min="6679" max="6679" width="12" style="16" customWidth="1"/>
    <col min="6680" max="6912" width="9.140625" style="16"/>
    <col min="6913" max="6913" width="5" style="16" customWidth="1"/>
    <col min="6914" max="6914" width="18" style="16" customWidth="1"/>
    <col min="6915" max="6915" width="10.7109375" style="16" bestFit="1" customWidth="1"/>
    <col min="6916" max="6916" width="7.5703125" style="16" customWidth="1"/>
    <col min="6917" max="6917" width="8.5703125" style="16" bestFit="1" customWidth="1"/>
    <col min="6918" max="6918" width="9.28515625" style="16" bestFit="1" customWidth="1"/>
    <col min="6919" max="6919" width="8.42578125" style="16" bestFit="1" customWidth="1"/>
    <col min="6920" max="6920" width="9.7109375" style="16" bestFit="1" customWidth="1"/>
    <col min="6921" max="6921" width="9.7109375" style="16" customWidth="1"/>
    <col min="6922" max="6922" width="9.28515625" style="16" customWidth="1"/>
    <col min="6923" max="6923" width="8.7109375" style="16" customWidth="1"/>
    <col min="6924" max="6924" width="9.28515625" style="16" customWidth="1"/>
    <col min="6925" max="6925" width="8.7109375" style="16" customWidth="1"/>
    <col min="6926" max="6926" width="8.42578125" style="16" customWidth="1"/>
    <col min="6927" max="6927" width="8.5703125" style="16" customWidth="1"/>
    <col min="6928" max="6932" width="9.140625" style="16"/>
    <col min="6933" max="6933" width="12.42578125" style="16" customWidth="1"/>
    <col min="6934" max="6934" width="9.140625" style="16"/>
    <col min="6935" max="6935" width="12" style="16" customWidth="1"/>
    <col min="6936" max="7168" width="9.140625" style="16"/>
    <col min="7169" max="7169" width="5" style="16" customWidth="1"/>
    <col min="7170" max="7170" width="18" style="16" customWidth="1"/>
    <col min="7171" max="7171" width="10.7109375" style="16" bestFit="1" customWidth="1"/>
    <col min="7172" max="7172" width="7.5703125" style="16" customWidth="1"/>
    <col min="7173" max="7173" width="8.5703125" style="16" bestFit="1" customWidth="1"/>
    <col min="7174" max="7174" width="9.28515625" style="16" bestFit="1" customWidth="1"/>
    <col min="7175" max="7175" width="8.42578125" style="16" bestFit="1" customWidth="1"/>
    <col min="7176" max="7176" width="9.7109375" style="16" bestFit="1" customWidth="1"/>
    <col min="7177" max="7177" width="9.7109375" style="16" customWidth="1"/>
    <col min="7178" max="7178" width="9.28515625" style="16" customWidth="1"/>
    <col min="7179" max="7179" width="8.7109375" style="16" customWidth="1"/>
    <col min="7180" max="7180" width="9.28515625" style="16" customWidth="1"/>
    <col min="7181" max="7181" width="8.7109375" style="16" customWidth="1"/>
    <col min="7182" max="7182" width="8.42578125" style="16" customWidth="1"/>
    <col min="7183" max="7183" width="8.5703125" style="16" customWidth="1"/>
    <col min="7184" max="7188" width="9.140625" style="16"/>
    <col min="7189" max="7189" width="12.42578125" style="16" customWidth="1"/>
    <col min="7190" max="7190" width="9.140625" style="16"/>
    <col min="7191" max="7191" width="12" style="16" customWidth="1"/>
    <col min="7192" max="7424" width="9.140625" style="16"/>
    <col min="7425" max="7425" width="5" style="16" customWidth="1"/>
    <col min="7426" max="7426" width="18" style="16" customWidth="1"/>
    <col min="7427" max="7427" width="10.7109375" style="16" bestFit="1" customWidth="1"/>
    <col min="7428" max="7428" width="7.5703125" style="16" customWidth="1"/>
    <col min="7429" max="7429" width="8.5703125" style="16" bestFit="1" customWidth="1"/>
    <col min="7430" max="7430" width="9.28515625" style="16" bestFit="1" customWidth="1"/>
    <col min="7431" max="7431" width="8.42578125" style="16" bestFit="1" customWidth="1"/>
    <col min="7432" max="7432" width="9.7109375" style="16" bestFit="1" customWidth="1"/>
    <col min="7433" max="7433" width="9.7109375" style="16" customWidth="1"/>
    <col min="7434" max="7434" width="9.28515625" style="16" customWidth="1"/>
    <col min="7435" max="7435" width="8.7109375" style="16" customWidth="1"/>
    <col min="7436" max="7436" width="9.28515625" style="16" customWidth="1"/>
    <col min="7437" max="7437" width="8.7109375" style="16" customWidth="1"/>
    <col min="7438" max="7438" width="8.42578125" style="16" customWidth="1"/>
    <col min="7439" max="7439" width="8.5703125" style="16" customWidth="1"/>
    <col min="7440" max="7444" width="9.140625" style="16"/>
    <col min="7445" max="7445" width="12.42578125" style="16" customWidth="1"/>
    <col min="7446" max="7446" width="9.140625" style="16"/>
    <col min="7447" max="7447" width="12" style="16" customWidth="1"/>
    <col min="7448" max="7680" width="9.140625" style="16"/>
    <col min="7681" max="7681" width="5" style="16" customWidth="1"/>
    <col min="7682" max="7682" width="18" style="16" customWidth="1"/>
    <col min="7683" max="7683" width="10.7109375" style="16" bestFit="1" customWidth="1"/>
    <col min="7684" max="7684" width="7.5703125" style="16" customWidth="1"/>
    <col min="7685" max="7685" width="8.5703125" style="16" bestFit="1" customWidth="1"/>
    <col min="7686" max="7686" width="9.28515625" style="16" bestFit="1" customWidth="1"/>
    <col min="7687" max="7687" width="8.42578125" style="16" bestFit="1" customWidth="1"/>
    <col min="7688" max="7688" width="9.7109375" style="16" bestFit="1" customWidth="1"/>
    <col min="7689" max="7689" width="9.7109375" style="16" customWidth="1"/>
    <col min="7690" max="7690" width="9.28515625" style="16" customWidth="1"/>
    <col min="7691" max="7691" width="8.7109375" style="16" customWidth="1"/>
    <col min="7692" max="7692" width="9.28515625" style="16" customWidth="1"/>
    <col min="7693" max="7693" width="8.7109375" style="16" customWidth="1"/>
    <col min="7694" max="7694" width="8.42578125" style="16" customWidth="1"/>
    <col min="7695" max="7695" width="8.5703125" style="16" customWidth="1"/>
    <col min="7696" max="7700" width="9.140625" style="16"/>
    <col min="7701" max="7701" width="12.42578125" style="16" customWidth="1"/>
    <col min="7702" max="7702" width="9.140625" style="16"/>
    <col min="7703" max="7703" width="12" style="16" customWidth="1"/>
    <col min="7704" max="7936" width="9.140625" style="16"/>
    <col min="7937" max="7937" width="5" style="16" customWidth="1"/>
    <col min="7938" max="7938" width="18" style="16" customWidth="1"/>
    <col min="7939" max="7939" width="10.7109375" style="16" bestFit="1" customWidth="1"/>
    <col min="7940" max="7940" width="7.5703125" style="16" customWidth="1"/>
    <col min="7941" max="7941" width="8.5703125" style="16" bestFit="1" customWidth="1"/>
    <col min="7942" max="7942" width="9.28515625" style="16" bestFit="1" customWidth="1"/>
    <col min="7943" max="7943" width="8.42578125" style="16" bestFit="1" customWidth="1"/>
    <col min="7944" max="7944" width="9.7109375" style="16" bestFit="1" customWidth="1"/>
    <col min="7945" max="7945" width="9.7109375" style="16" customWidth="1"/>
    <col min="7946" max="7946" width="9.28515625" style="16" customWidth="1"/>
    <col min="7947" max="7947" width="8.7109375" style="16" customWidth="1"/>
    <col min="7948" max="7948" width="9.28515625" style="16" customWidth="1"/>
    <col min="7949" max="7949" width="8.7109375" style="16" customWidth="1"/>
    <col min="7950" max="7950" width="8.42578125" style="16" customWidth="1"/>
    <col min="7951" max="7951" width="8.5703125" style="16" customWidth="1"/>
    <col min="7952" max="7956" width="9.140625" style="16"/>
    <col min="7957" max="7957" width="12.42578125" style="16" customWidth="1"/>
    <col min="7958" max="7958" width="9.140625" style="16"/>
    <col min="7959" max="7959" width="12" style="16" customWidth="1"/>
    <col min="7960" max="8192" width="9.140625" style="16"/>
    <col min="8193" max="8193" width="5" style="16" customWidth="1"/>
    <col min="8194" max="8194" width="18" style="16" customWidth="1"/>
    <col min="8195" max="8195" width="10.7109375" style="16" bestFit="1" customWidth="1"/>
    <col min="8196" max="8196" width="7.5703125" style="16" customWidth="1"/>
    <col min="8197" max="8197" width="8.5703125" style="16" bestFit="1" customWidth="1"/>
    <col min="8198" max="8198" width="9.28515625" style="16" bestFit="1" customWidth="1"/>
    <col min="8199" max="8199" width="8.42578125" style="16" bestFit="1" customWidth="1"/>
    <col min="8200" max="8200" width="9.7109375" style="16" bestFit="1" customWidth="1"/>
    <col min="8201" max="8201" width="9.7109375" style="16" customWidth="1"/>
    <col min="8202" max="8202" width="9.28515625" style="16" customWidth="1"/>
    <col min="8203" max="8203" width="8.7109375" style="16" customWidth="1"/>
    <col min="8204" max="8204" width="9.28515625" style="16" customWidth="1"/>
    <col min="8205" max="8205" width="8.7109375" style="16" customWidth="1"/>
    <col min="8206" max="8206" width="8.42578125" style="16" customWidth="1"/>
    <col min="8207" max="8207" width="8.5703125" style="16" customWidth="1"/>
    <col min="8208" max="8212" width="9.140625" style="16"/>
    <col min="8213" max="8213" width="12.42578125" style="16" customWidth="1"/>
    <col min="8214" max="8214" width="9.140625" style="16"/>
    <col min="8215" max="8215" width="12" style="16" customWidth="1"/>
    <col min="8216" max="8448" width="9.140625" style="16"/>
    <col min="8449" max="8449" width="5" style="16" customWidth="1"/>
    <col min="8450" max="8450" width="18" style="16" customWidth="1"/>
    <col min="8451" max="8451" width="10.7109375" style="16" bestFit="1" customWidth="1"/>
    <col min="8452" max="8452" width="7.5703125" style="16" customWidth="1"/>
    <col min="8453" max="8453" width="8.5703125" style="16" bestFit="1" customWidth="1"/>
    <col min="8454" max="8454" width="9.28515625" style="16" bestFit="1" customWidth="1"/>
    <col min="8455" max="8455" width="8.42578125" style="16" bestFit="1" customWidth="1"/>
    <col min="8456" max="8456" width="9.7109375" style="16" bestFit="1" customWidth="1"/>
    <col min="8457" max="8457" width="9.7109375" style="16" customWidth="1"/>
    <col min="8458" max="8458" width="9.28515625" style="16" customWidth="1"/>
    <col min="8459" max="8459" width="8.7109375" style="16" customWidth="1"/>
    <col min="8460" max="8460" width="9.28515625" style="16" customWidth="1"/>
    <col min="8461" max="8461" width="8.7109375" style="16" customWidth="1"/>
    <col min="8462" max="8462" width="8.42578125" style="16" customWidth="1"/>
    <col min="8463" max="8463" width="8.5703125" style="16" customWidth="1"/>
    <col min="8464" max="8468" width="9.140625" style="16"/>
    <col min="8469" max="8469" width="12.42578125" style="16" customWidth="1"/>
    <col min="8470" max="8470" width="9.140625" style="16"/>
    <col min="8471" max="8471" width="12" style="16" customWidth="1"/>
    <col min="8472" max="8704" width="9.140625" style="16"/>
    <col min="8705" max="8705" width="5" style="16" customWidth="1"/>
    <col min="8706" max="8706" width="18" style="16" customWidth="1"/>
    <col min="8707" max="8707" width="10.7109375" style="16" bestFit="1" customWidth="1"/>
    <col min="8708" max="8708" width="7.5703125" style="16" customWidth="1"/>
    <col min="8709" max="8709" width="8.5703125" style="16" bestFit="1" customWidth="1"/>
    <col min="8710" max="8710" width="9.28515625" style="16" bestFit="1" customWidth="1"/>
    <col min="8711" max="8711" width="8.42578125" style="16" bestFit="1" customWidth="1"/>
    <col min="8712" max="8712" width="9.7109375" style="16" bestFit="1" customWidth="1"/>
    <col min="8713" max="8713" width="9.7109375" style="16" customWidth="1"/>
    <col min="8714" max="8714" width="9.28515625" style="16" customWidth="1"/>
    <col min="8715" max="8715" width="8.7109375" style="16" customWidth="1"/>
    <col min="8716" max="8716" width="9.28515625" style="16" customWidth="1"/>
    <col min="8717" max="8717" width="8.7109375" style="16" customWidth="1"/>
    <col min="8718" max="8718" width="8.42578125" style="16" customWidth="1"/>
    <col min="8719" max="8719" width="8.5703125" style="16" customWidth="1"/>
    <col min="8720" max="8724" width="9.140625" style="16"/>
    <col min="8725" max="8725" width="12.42578125" style="16" customWidth="1"/>
    <col min="8726" max="8726" width="9.140625" style="16"/>
    <col min="8727" max="8727" width="12" style="16" customWidth="1"/>
    <col min="8728" max="8960" width="9.140625" style="16"/>
    <col min="8961" max="8961" width="5" style="16" customWidth="1"/>
    <col min="8962" max="8962" width="18" style="16" customWidth="1"/>
    <col min="8963" max="8963" width="10.7109375" style="16" bestFit="1" customWidth="1"/>
    <col min="8964" max="8964" width="7.5703125" style="16" customWidth="1"/>
    <col min="8965" max="8965" width="8.5703125" style="16" bestFit="1" customWidth="1"/>
    <col min="8966" max="8966" width="9.28515625" style="16" bestFit="1" customWidth="1"/>
    <col min="8967" max="8967" width="8.42578125" style="16" bestFit="1" customWidth="1"/>
    <col min="8968" max="8968" width="9.7109375" style="16" bestFit="1" customWidth="1"/>
    <col min="8969" max="8969" width="9.7109375" style="16" customWidth="1"/>
    <col min="8970" max="8970" width="9.28515625" style="16" customWidth="1"/>
    <col min="8971" max="8971" width="8.7109375" style="16" customWidth="1"/>
    <col min="8972" max="8972" width="9.28515625" style="16" customWidth="1"/>
    <col min="8973" max="8973" width="8.7109375" style="16" customWidth="1"/>
    <col min="8974" max="8974" width="8.42578125" style="16" customWidth="1"/>
    <col min="8975" max="8975" width="8.5703125" style="16" customWidth="1"/>
    <col min="8976" max="8980" width="9.140625" style="16"/>
    <col min="8981" max="8981" width="12.42578125" style="16" customWidth="1"/>
    <col min="8982" max="8982" width="9.140625" style="16"/>
    <col min="8983" max="8983" width="12" style="16" customWidth="1"/>
    <col min="8984" max="9216" width="9.140625" style="16"/>
    <col min="9217" max="9217" width="5" style="16" customWidth="1"/>
    <col min="9218" max="9218" width="18" style="16" customWidth="1"/>
    <col min="9219" max="9219" width="10.7109375" style="16" bestFit="1" customWidth="1"/>
    <col min="9220" max="9220" width="7.5703125" style="16" customWidth="1"/>
    <col min="9221" max="9221" width="8.5703125" style="16" bestFit="1" customWidth="1"/>
    <col min="9222" max="9222" width="9.28515625" style="16" bestFit="1" customWidth="1"/>
    <col min="9223" max="9223" width="8.42578125" style="16" bestFit="1" customWidth="1"/>
    <col min="9224" max="9224" width="9.7109375" style="16" bestFit="1" customWidth="1"/>
    <col min="9225" max="9225" width="9.7109375" style="16" customWidth="1"/>
    <col min="9226" max="9226" width="9.28515625" style="16" customWidth="1"/>
    <col min="9227" max="9227" width="8.7109375" style="16" customWidth="1"/>
    <col min="9228" max="9228" width="9.28515625" style="16" customWidth="1"/>
    <col min="9229" max="9229" width="8.7109375" style="16" customWidth="1"/>
    <col min="9230" max="9230" width="8.42578125" style="16" customWidth="1"/>
    <col min="9231" max="9231" width="8.5703125" style="16" customWidth="1"/>
    <col min="9232" max="9236" width="9.140625" style="16"/>
    <col min="9237" max="9237" width="12.42578125" style="16" customWidth="1"/>
    <col min="9238" max="9238" width="9.140625" style="16"/>
    <col min="9239" max="9239" width="12" style="16" customWidth="1"/>
    <col min="9240" max="9472" width="9.140625" style="16"/>
    <col min="9473" max="9473" width="5" style="16" customWidth="1"/>
    <col min="9474" max="9474" width="18" style="16" customWidth="1"/>
    <col min="9475" max="9475" width="10.7109375" style="16" bestFit="1" customWidth="1"/>
    <col min="9476" max="9476" width="7.5703125" style="16" customWidth="1"/>
    <col min="9477" max="9477" width="8.5703125" style="16" bestFit="1" customWidth="1"/>
    <col min="9478" max="9478" width="9.28515625" style="16" bestFit="1" customWidth="1"/>
    <col min="9479" max="9479" width="8.42578125" style="16" bestFit="1" customWidth="1"/>
    <col min="9480" max="9480" width="9.7109375" style="16" bestFit="1" customWidth="1"/>
    <col min="9481" max="9481" width="9.7109375" style="16" customWidth="1"/>
    <col min="9482" max="9482" width="9.28515625" style="16" customWidth="1"/>
    <col min="9483" max="9483" width="8.7109375" style="16" customWidth="1"/>
    <col min="9484" max="9484" width="9.28515625" style="16" customWidth="1"/>
    <col min="9485" max="9485" width="8.7109375" style="16" customWidth="1"/>
    <col min="9486" max="9486" width="8.42578125" style="16" customWidth="1"/>
    <col min="9487" max="9487" width="8.5703125" style="16" customWidth="1"/>
    <col min="9488" max="9492" width="9.140625" style="16"/>
    <col min="9493" max="9493" width="12.42578125" style="16" customWidth="1"/>
    <col min="9494" max="9494" width="9.140625" style="16"/>
    <col min="9495" max="9495" width="12" style="16" customWidth="1"/>
    <col min="9496" max="9728" width="9.140625" style="16"/>
    <col min="9729" max="9729" width="5" style="16" customWidth="1"/>
    <col min="9730" max="9730" width="18" style="16" customWidth="1"/>
    <col min="9731" max="9731" width="10.7109375" style="16" bestFit="1" customWidth="1"/>
    <col min="9732" max="9732" width="7.5703125" style="16" customWidth="1"/>
    <col min="9733" max="9733" width="8.5703125" style="16" bestFit="1" customWidth="1"/>
    <col min="9734" max="9734" width="9.28515625" style="16" bestFit="1" customWidth="1"/>
    <col min="9735" max="9735" width="8.42578125" style="16" bestFit="1" customWidth="1"/>
    <col min="9736" max="9736" width="9.7109375" style="16" bestFit="1" customWidth="1"/>
    <col min="9737" max="9737" width="9.7109375" style="16" customWidth="1"/>
    <col min="9738" max="9738" width="9.28515625" style="16" customWidth="1"/>
    <col min="9739" max="9739" width="8.7109375" style="16" customWidth="1"/>
    <col min="9740" max="9740" width="9.28515625" style="16" customWidth="1"/>
    <col min="9741" max="9741" width="8.7109375" style="16" customWidth="1"/>
    <col min="9742" max="9742" width="8.42578125" style="16" customWidth="1"/>
    <col min="9743" max="9743" width="8.5703125" style="16" customWidth="1"/>
    <col min="9744" max="9748" width="9.140625" style="16"/>
    <col min="9749" max="9749" width="12.42578125" style="16" customWidth="1"/>
    <col min="9750" max="9750" width="9.140625" style="16"/>
    <col min="9751" max="9751" width="12" style="16" customWidth="1"/>
    <col min="9752" max="9984" width="9.140625" style="16"/>
    <col min="9985" max="9985" width="5" style="16" customWidth="1"/>
    <col min="9986" max="9986" width="18" style="16" customWidth="1"/>
    <col min="9987" max="9987" width="10.7109375" style="16" bestFit="1" customWidth="1"/>
    <col min="9988" max="9988" width="7.5703125" style="16" customWidth="1"/>
    <col min="9989" max="9989" width="8.5703125" style="16" bestFit="1" customWidth="1"/>
    <col min="9990" max="9990" width="9.28515625" style="16" bestFit="1" customWidth="1"/>
    <col min="9991" max="9991" width="8.42578125" style="16" bestFit="1" customWidth="1"/>
    <col min="9992" max="9992" width="9.7109375" style="16" bestFit="1" customWidth="1"/>
    <col min="9993" max="9993" width="9.7109375" style="16" customWidth="1"/>
    <col min="9994" max="9994" width="9.28515625" style="16" customWidth="1"/>
    <col min="9995" max="9995" width="8.7109375" style="16" customWidth="1"/>
    <col min="9996" max="9996" width="9.28515625" style="16" customWidth="1"/>
    <col min="9997" max="9997" width="8.7109375" style="16" customWidth="1"/>
    <col min="9998" max="9998" width="8.42578125" style="16" customWidth="1"/>
    <col min="9999" max="9999" width="8.5703125" style="16" customWidth="1"/>
    <col min="10000" max="10004" width="9.140625" style="16"/>
    <col min="10005" max="10005" width="12.42578125" style="16" customWidth="1"/>
    <col min="10006" max="10006" width="9.140625" style="16"/>
    <col min="10007" max="10007" width="12" style="16" customWidth="1"/>
    <col min="10008" max="10240" width="9.140625" style="16"/>
    <col min="10241" max="10241" width="5" style="16" customWidth="1"/>
    <col min="10242" max="10242" width="18" style="16" customWidth="1"/>
    <col min="10243" max="10243" width="10.7109375" style="16" bestFit="1" customWidth="1"/>
    <col min="10244" max="10244" width="7.5703125" style="16" customWidth="1"/>
    <col min="10245" max="10245" width="8.5703125" style="16" bestFit="1" customWidth="1"/>
    <col min="10246" max="10246" width="9.28515625" style="16" bestFit="1" customWidth="1"/>
    <col min="10247" max="10247" width="8.42578125" style="16" bestFit="1" customWidth="1"/>
    <col min="10248" max="10248" width="9.7109375" style="16" bestFit="1" customWidth="1"/>
    <col min="10249" max="10249" width="9.7109375" style="16" customWidth="1"/>
    <col min="10250" max="10250" width="9.28515625" style="16" customWidth="1"/>
    <col min="10251" max="10251" width="8.7109375" style="16" customWidth="1"/>
    <col min="10252" max="10252" width="9.28515625" style="16" customWidth="1"/>
    <col min="10253" max="10253" width="8.7109375" style="16" customWidth="1"/>
    <col min="10254" max="10254" width="8.42578125" style="16" customWidth="1"/>
    <col min="10255" max="10255" width="8.5703125" style="16" customWidth="1"/>
    <col min="10256" max="10260" width="9.140625" style="16"/>
    <col min="10261" max="10261" width="12.42578125" style="16" customWidth="1"/>
    <col min="10262" max="10262" width="9.140625" style="16"/>
    <col min="10263" max="10263" width="12" style="16" customWidth="1"/>
    <col min="10264" max="10496" width="9.140625" style="16"/>
    <col min="10497" max="10497" width="5" style="16" customWidth="1"/>
    <col min="10498" max="10498" width="18" style="16" customWidth="1"/>
    <col min="10499" max="10499" width="10.7109375" style="16" bestFit="1" customWidth="1"/>
    <col min="10500" max="10500" width="7.5703125" style="16" customWidth="1"/>
    <col min="10501" max="10501" width="8.5703125" style="16" bestFit="1" customWidth="1"/>
    <col min="10502" max="10502" width="9.28515625" style="16" bestFit="1" customWidth="1"/>
    <col min="10503" max="10503" width="8.42578125" style="16" bestFit="1" customWidth="1"/>
    <col min="10504" max="10504" width="9.7109375" style="16" bestFit="1" customWidth="1"/>
    <col min="10505" max="10505" width="9.7109375" style="16" customWidth="1"/>
    <col min="10506" max="10506" width="9.28515625" style="16" customWidth="1"/>
    <col min="10507" max="10507" width="8.7109375" style="16" customWidth="1"/>
    <col min="10508" max="10508" width="9.28515625" style="16" customWidth="1"/>
    <col min="10509" max="10509" width="8.7109375" style="16" customWidth="1"/>
    <col min="10510" max="10510" width="8.42578125" style="16" customWidth="1"/>
    <col min="10511" max="10511" width="8.5703125" style="16" customWidth="1"/>
    <col min="10512" max="10516" width="9.140625" style="16"/>
    <col min="10517" max="10517" width="12.42578125" style="16" customWidth="1"/>
    <col min="10518" max="10518" width="9.140625" style="16"/>
    <col min="10519" max="10519" width="12" style="16" customWidth="1"/>
    <col min="10520" max="10752" width="9.140625" style="16"/>
    <col min="10753" max="10753" width="5" style="16" customWidth="1"/>
    <col min="10754" max="10754" width="18" style="16" customWidth="1"/>
    <col min="10755" max="10755" width="10.7109375" style="16" bestFit="1" customWidth="1"/>
    <col min="10756" max="10756" width="7.5703125" style="16" customWidth="1"/>
    <col min="10757" max="10757" width="8.5703125" style="16" bestFit="1" customWidth="1"/>
    <col min="10758" max="10758" width="9.28515625" style="16" bestFit="1" customWidth="1"/>
    <col min="10759" max="10759" width="8.42578125" style="16" bestFit="1" customWidth="1"/>
    <col min="10760" max="10760" width="9.7109375" style="16" bestFit="1" customWidth="1"/>
    <col min="10761" max="10761" width="9.7109375" style="16" customWidth="1"/>
    <col min="10762" max="10762" width="9.28515625" style="16" customWidth="1"/>
    <col min="10763" max="10763" width="8.7109375" style="16" customWidth="1"/>
    <col min="10764" max="10764" width="9.28515625" style="16" customWidth="1"/>
    <col min="10765" max="10765" width="8.7109375" style="16" customWidth="1"/>
    <col min="10766" max="10766" width="8.42578125" style="16" customWidth="1"/>
    <col min="10767" max="10767" width="8.5703125" style="16" customWidth="1"/>
    <col min="10768" max="10772" width="9.140625" style="16"/>
    <col min="10773" max="10773" width="12.42578125" style="16" customWidth="1"/>
    <col min="10774" max="10774" width="9.140625" style="16"/>
    <col min="10775" max="10775" width="12" style="16" customWidth="1"/>
    <col min="10776" max="11008" width="9.140625" style="16"/>
    <col min="11009" max="11009" width="5" style="16" customWidth="1"/>
    <col min="11010" max="11010" width="18" style="16" customWidth="1"/>
    <col min="11011" max="11011" width="10.7109375" style="16" bestFit="1" customWidth="1"/>
    <col min="11012" max="11012" width="7.5703125" style="16" customWidth="1"/>
    <col min="11013" max="11013" width="8.5703125" style="16" bestFit="1" customWidth="1"/>
    <col min="11014" max="11014" width="9.28515625" style="16" bestFit="1" customWidth="1"/>
    <col min="11015" max="11015" width="8.42578125" style="16" bestFit="1" customWidth="1"/>
    <col min="11016" max="11016" width="9.7109375" style="16" bestFit="1" customWidth="1"/>
    <col min="11017" max="11017" width="9.7109375" style="16" customWidth="1"/>
    <col min="11018" max="11018" width="9.28515625" style="16" customWidth="1"/>
    <col min="11019" max="11019" width="8.7109375" style="16" customWidth="1"/>
    <col min="11020" max="11020" width="9.28515625" style="16" customWidth="1"/>
    <col min="11021" max="11021" width="8.7109375" style="16" customWidth="1"/>
    <col min="11022" max="11022" width="8.42578125" style="16" customWidth="1"/>
    <col min="11023" max="11023" width="8.5703125" style="16" customWidth="1"/>
    <col min="11024" max="11028" width="9.140625" style="16"/>
    <col min="11029" max="11029" width="12.42578125" style="16" customWidth="1"/>
    <col min="11030" max="11030" width="9.140625" style="16"/>
    <col min="11031" max="11031" width="12" style="16" customWidth="1"/>
    <col min="11032" max="11264" width="9.140625" style="16"/>
    <col min="11265" max="11265" width="5" style="16" customWidth="1"/>
    <col min="11266" max="11266" width="18" style="16" customWidth="1"/>
    <col min="11267" max="11267" width="10.7109375" style="16" bestFit="1" customWidth="1"/>
    <col min="11268" max="11268" width="7.5703125" style="16" customWidth="1"/>
    <col min="11269" max="11269" width="8.5703125" style="16" bestFit="1" customWidth="1"/>
    <col min="11270" max="11270" width="9.28515625" style="16" bestFit="1" customWidth="1"/>
    <col min="11271" max="11271" width="8.42578125" style="16" bestFit="1" customWidth="1"/>
    <col min="11272" max="11272" width="9.7109375" style="16" bestFit="1" customWidth="1"/>
    <col min="11273" max="11273" width="9.7109375" style="16" customWidth="1"/>
    <col min="11274" max="11274" width="9.28515625" style="16" customWidth="1"/>
    <col min="11275" max="11275" width="8.7109375" style="16" customWidth="1"/>
    <col min="11276" max="11276" width="9.28515625" style="16" customWidth="1"/>
    <col min="11277" max="11277" width="8.7109375" style="16" customWidth="1"/>
    <col min="11278" max="11278" width="8.42578125" style="16" customWidth="1"/>
    <col min="11279" max="11279" width="8.5703125" style="16" customWidth="1"/>
    <col min="11280" max="11284" width="9.140625" style="16"/>
    <col min="11285" max="11285" width="12.42578125" style="16" customWidth="1"/>
    <col min="11286" max="11286" width="9.140625" style="16"/>
    <col min="11287" max="11287" width="12" style="16" customWidth="1"/>
    <col min="11288" max="11520" width="9.140625" style="16"/>
    <col min="11521" max="11521" width="5" style="16" customWidth="1"/>
    <col min="11522" max="11522" width="18" style="16" customWidth="1"/>
    <col min="11523" max="11523" width="10.7109375" style="16" bestFit="1" customWidth="1"/>
    <col min="11524" max="11524" width="7.5703125" style="16" customWidth="1"/>
    <col min="11525" max="11525" width="8.5703125" style="16" bestFit="1" customWidth="1"/>
    <col min="11526" max="11526" width="9.28515625" style="16" bestFit="1" customWidth="1"/>
    <col min="11527" max="11527" width="8.42578125" style="16" bestFit="1" customWidth="1"/>
    <col min="11528" max="11528" width="9.7109375" style="16" bestFit="1" customWidth="1"/>
    <col min="11529" max="11529" width="9.7109375" style="16" customWidth="1"/>
    <col min="11530" max="11530" width="9.28515625" style="16" customWidth="1"/>
    <col min="11531" max="11531" width="8.7109375" style="16" customWidth="1"/>
    <col min="11532" max="11532" width="9.28515625" style="16" customWidth="1"/>
    <col min="11533" max="11533" width="8.7109375" style="16" customWidth="1"/>
    <col min="11534" max="11534" width="8.42578125" style="16" customWidth="1"/>
    <col min="11535" max="11535" width="8.5703125" style="16" customWidth="1"/>
    <col min="11536" max="11540" width="9.140625" style="16"/>
    <col min="11541" max="11541" width="12.42578125" style="16" customWidth="1"/>
    <col min="11542" max="11542" width="9.140625" style="16"/>
    <col min="11543" max="11543" width="12" style="16" customWidth="1"/>
    <col min="11544" max="11776" width="9.140625" style="16"/>
    <col min="11777" max="11777" width="5" style="16" customWidth="1"/>
    <col min="11778" max="11778" width="18" style="16" customWidth="1"/>
    <col min="11779" max="11779" width="10.7109375" style="16" bestFit="1" customWidth="1"/>
    <col min="11780" max="11780" width="7.5703125" style="16" customWidth="1"/>
    <col min="11781" max="11781" width="8.5703125" style="16" bestFit="1" customWidth="1"/>
    <col min="11782" max="11782" width="9.28515625" style="16" bestFit="1" customWidth="1"/>
    <col min="11783" max="11783" width="8.42578125" style="16" bestFit="1" customWidth="1"/>
    <col min="11784" max="11784" width="9.7109375" style="16" bestFit="1" customWidth="1"/>
    <col min="11785" max="11785" width="9.7109375" style="16" customWidth="1"/>
    <col min="11786" max="11786" width="9.28515625" style="16" customWidth="1"/>
    <col min="11787" max="11787" width="8.7109375" style="16" customWidth="1"/>
    <col min="11788" max="11788" width="9.28515625" style="16" customWidth="1"/>
    <col min="11789" max="11789" width="8.7109375" style="16" customWidth="1"/>
    <col min="11790" max="11790" width="8.42578125" style="16" customWidth="1"/>
    <col min="11791" max="11791" width="8.5703125" style="16" customWidth="1"/>
    <col min="11792" max="11796" width="9.140625" style="16"/>
    <col min="11797" max="11797" width="12.42578125" style="16" customWidth="1"/>
    <col min="11798" max="11798" width="9.140625" style="16"/>
    <col min="11799" max="11799" width="12" style="16" customWidth="1"/>
    <col min="11800" max="12032" width="9.140625" style="16"/>
    <col min="12033" max="12033" width="5" style="16" customWidth="1"/>
    <col min="12034" max="12034" width="18" style="16" customWidth="1"/>
    <col min="12035" max="12035" width="10.7109375" style="16" bestFit="1" customWidth="1"/>
    <col min="12036" max="12036" width="7.5703125" style="16" customWidth="1"/>
    <col min="12037" max="12037" width="8.5703125" style="16" bestFit="1" customWidth="1"/>
    <col min="12038" max="12038" width="9.28515625" style="16" bestFit="1" customWidth="1"/>
    <col min="12039" max="12039" width="8.42578125" style="16" bestFit="1" customWidth="1"/>
    <col min="12040" max="12040" width="9.7109375" style="16" bestFit="1" customWidth="1"/>
    <col min="12041" max="12041" width="9.7109375" style="16" customWidth="1"/>
    <col min="12042" max="12042" width="9.28515625" style="16" customWidth="1"/>
    <col min="12043" max="12043" width="8.7109375" style="16" customWidth="1"/>
    <col min="12044" max="12044" width="9.28515625" style="16" customWidth="1"/>
    <col min="12045" max="12045" width="8.7109375" style="16" customWidth="1"/>
    <col min="12046" max="12046" width="8.42578125" style="16" customWidth="1"/>
    <col min="12047" max="12047" width="8.5703125" style="16" customWidth="1"/>
    <col min="12048" max="12052" width="9.140625" style="16"/>
    <col min="12053" max="12053" width="12.42578125" style="16" customWidth="1"/>
    <col min="12054" max="12054" width="9.140625" style="16"/>
    <col min="12055" max="12055" width="12" style="16" customWidth="1"/>
    <col min="12056" max="12288" width="9.140625" style="16"/>
    <col min="12289" max="12289" width="5" style="16" customWidth="1"/>
    <col min="12290" max="12290" width="18" style="16" customWidth="1"/>
    <col min="12291" max="12291" width="10.7109375" style="16" bestFit="1" customWidth="1"/>
    <col min="12292" max="12292" width="7.5703125" style="16" customWidth="1"/>
    <col min="12293" max="12293" width="8.5703125" style="16" bestFit="1" customWidth="1"/>
    <col min="12294" max="12294" width="9.28515625" style="16" bestFit="1" customWidth="1"/>
    <col min="12295" max="12295" width="8.42578125" style="16" bestFit="1" customWidth="1"/>
    <col min="12296" max="12296" width="9.7109375" style="16" bestFit="1" customWidth="1"/>
    <col min="12297" max="12297" width="9.7109375" style="16" customWidth="1"/>
    <col min="12298" max="12298" width="9.28515625" style="16" customWidth="1"/>
    <col min="12299" max="12299" width="8.7109375" style="16" customWidth="1"/>
    <col min="12300" max="12300" width="9.28515625" style="16" customWidth="1"/>
    <col min="12301" max="12301" width="8.7109375" style="16" customWidth="1"/>
    <col min="12302" max="12302" width="8.42578125" style="16" customWidth="1"/>
    <col min="12303" max="12303" width="8.5703125" style="16" customWidth="1"/>
    <col min="12304" max="12308" width="9.140625" style="16"/>
    <col min="12309" max="12309" width="12.42578125" style="16" customWidth="1"/>
    <col min="12310" max="12310" width="9.140625" style="16"/>
    <col min="12311" max="12311" width="12" style="16" customWidth="1"/>
    <col min="12312" max="12544" width="9.140625" style="16"/>
    <col min="12545" max="12545" width="5" style="16" customWidth="1"/>
    <col min="12546" max="12546" width="18" style="16" customWidth="1"/>
    <col min="12547" max="12547" width="10.7109375" style="16" bestFit="1" customWidth="1"/>
    <col min="12548" max="12548" width="7.5703125" style="16" customWidth="1"/>
    <col min="12549" max="12549" width="8.5703125" style="16" bestFit="1" customWidth="1"/>
    <col min="12550" max="12550" width="9.28515625" style="16" bestFit="1" customWidth="1"/>
    <col min="12551" max="12551" width="8.42578125" style="16" bestFit="1" customWidth="1"/>
    <col min="12552" max="12552" width="9.7109375" style="16" bestFit="1" customWidth="1"/>
    <col min="12553" max="12553" width="9.7109375" style="16" customWidth="1"/>
    <col min="12554" max="12554" width="9.28515625" style="16" customWidth="1"/>
    <col min="12555" max="12555" width="8.7109375" style="16" customWidth="1"/>
    <col min="12556" max="12556" width="9.28515625" style="16" customWidth="1"/>
    <col min="12557" max="12557" width="8.7109375" style="16" customWidth="1"/>
    <col min="12558" max="12558" width="8.42578125" style="16" customWidth="1"/>
    <col min="12559" max="12559" width="8.5703125" style="16" customWidth="1"/>
    <col min="12560" max="12564" width="9.140625" style="16"/>
    <col min="12565" max="12565" width="12.42578125" style="16" customWidth="1"/>
    <col min="12566" max="12566" width="9.140625" style="16"/>
    <col min="12567" max="12567" width="12" style="16" customWidth="1"/>
    <col min="12568" max="12800" width="9.140625" style="16"/>
    <col min="12801" max="12801" width="5" style="16" customWidth="1"/>
    <col min="12802" max="12802" width="18" style="16" customWidth="1"/>
    <col min="12803" max="12803" width="10.7109375" style="16" bestFit="1" customWidth="1"/>
    <col min="12804" max="12804" width="7.5703125" style="16" customWidth="1"/>
    <col min="12805" max="12805" width="8.5703125" style="16" bestFit="1" customWidth="1"/>
    <col min="12806" max="12806" width="9.28515625" style="16" bestFit="1" customWidth="1"/>
    <col min="12807" max="12807" width="8.42578125" style="16" bestFit="1" customWidth="1"/>
    <col min="12808" max="12808" width="9.7109375" style="16" bestFit="1" customWidth="1"/>
    <col min="12809" max="12809" width="9.7109375" style="16" customWidth="1"/>
    <col min="12810" max="12810" width="9.28515625" style="16" customWidth="1"/>
    <col min="12811" max="12811" width="8.7109375" style="16" customWidth="1"/>
    <col min="12812" max="12812" width="9.28515625" style="16" customWidth="1"/>
    <col min="12813" max="12813" width="8.7109375" style="16" customWidth="1"/>
    <col min="12814" max="12814" width="8.42578125" style="16" customWidth="1"/>
    <col min="12815" max="12815" width="8.5703125" style="16" customWidth="1"/>
    <col min="12816" max="12820" width="9.140625" style="16"/>
    <col min="12821" max="12821" width="12.42578125" style="16" customWidth="1"/>
    <col min="12822" max="12822" width="9.140625" style="16"/>
    <col min="12823" max="12823" width="12" style="16" customWidth="1"/>
    <col min="12824" max="13056" width="9.140625" style="16"/>
    <col min="13057" max="13057" width="5" style="16" customWidth="1"/>
    <col min="13058" max="13058" width="18" style="16" customWidth="1"/>
    <col min="13059" max="13059" width="10.7109375" style="16" bestFit="1" customWidth="1"/>
    <col min="13060" max="13060" width="7.5703125" style="16" customWidth="1"/>
    <col min="13061" max="13061" width="8.5703125" style="16" bestFit="1" customWidth="1"/>
    <col min="13062" max="13062" width="9.28515625" style="16" bestFit="1" customWidth="1"/>
    <col min="13063" max="13063" width="8.42578125" style="16" bestFit="1" customWidth="1"/>
    <col min="13064" max="13064" width="9.7109375" style="16" bestFit="1" customWidth="1"/>
    <col min="13065" max="13065" width="9.7109375" style="16" customWidth="1"/>
    <col min="13066" max="13066" width="9.28515625" style="16" customWidth="1"/>
    <col min="13067" max="13067" width="8.7109375" style="16" customWidth="1"/>
    <col min="13068" max="13068" width="9.28515625" style="16" customWidth="1"/>
    <col min="13069" max="13069" width="8.7109375" style="16" customWidth="1"/>
    <col min="13070" max="13070" width="8.42578125" style="16" customWidth="1"/>
    <col min="13071" max="13071" width="8.5703125" style="16" customWidth="1"/>
    <col min="13072" max="13076" width="9.140625" style="16"/>
    <col min="13077" max="13077" width="12.42578125" style="16" customWidth="1"/>
    <col min="13078" max="13078" width="9.140625" style="16"/>
    <col min="13079" max="13079" width="12" style="16" customWidth="1"/>
    <col min="13080" max="13312" width="9.140625" style="16"/>
    <col min="13313" max="13313" width="5" style="16" customWidth="1"/>
    <col min="13314" max="13314" width="18" style="16" customWidth="1"/>
    <col min="13315" max="13315" width="10.7109375" style="16" bestFit="1" customWidth="1"/>
    <col min="13316" max="13316" width="7.5703125" style="16" customWidth="1"/>
    <col min="13317" max="13317" width="8.5703125" style="16" bestFit="1" customWidth="1"/>
    <col min="13318" max="13318" width="9.28515625" style="16" bestFit="1" customWidth="1"/>
    <col min="13319" max="13319" width="8.42578125" style="16" bestFit="1" customWidth="1"/>
    <col min="13320" max="13320" width="9.7109375" style="16" bestFit="1" customWidth="1"/>
    <col min="13321" max="13321" width="9.7109375" style="16" customWidth="1"/>
    <col min="13322" max="13322" width="9.28515625" style="16" customWidth="1"/>
    <col min="13323" max="13323" width="8.7109375" style="16" customWidth="1"/>
    <col min="13324" max="13324" width="9.28515625" style="16" customWidth="1"/>
    <col min="13325" max="13325" width="8.7109375" style="16" customWidth="1"/>
    <col min="13326" max="13326" width="8.42578125" style="16" customWidth="1"/>
    <col min="13327" max="13327" width="8.5703125" style="16" customWidth="1"/>
    <col min="13328" max="13332" width="9.140625" style="16"/>
    <col min="13333" max="13333" width="12.42578125" style="16" customWidth="1"/>
    <col min="13334" max="13334" width="9.140625" style="16"/>
    <col min="13335" max="13335" width="12" style="16" customWidth="1"/>
    <col min="13336" max="13568" width="9.140625" style="16"/>
    <col min="13569" max="13569" width="5" style="16" customWidth="1"/>
    <col min="13570" max="13570" width="18" style="16" customWidth="1"/>
    <col min="13571" max="13571" width="10.7109375" style="16" bestFit="1" customWidth="1"/>
    <col min="13572" max="13572" width="7.5703125" style="16" customWidth="1"/>
    <col min="13573" max="13573" width="8.5703125" style="16" bestFit="1" customWidth="1"/>
    <col min="13574" max="13574" width="9.28515625" style="16" bestFit="1" customWidth="1"/>
    <col min="13575" max="13575" width="8.42578125" style="16" bestFit="1" customWidth="1"/>
    <col min="13576" max="13576" width="9.7109375" style="16" bestFit="1" customWidth="1"/>
    <col min="13577" max="13577" width="9.7109375" style="16" customWidth="1"/>
    <col min="13578" max="13578" width="9.28515625" style="16" customWidth="1"/>
    <col min="13579" max="13579" width="8.7109375" style="16" customWidth="1"/>
    <col min="13580" max="13580" width="9.28515625" style="16" customWidth="1"/>
    <col min="13581" max="13581" width="8.7109375" style="16" customWidth="1"/>
    <col min="13582" max="13582" width="8.42578125" style="16" customWidth="1"/>
    <col min="13583" max="13583" width="8.5703125" style="16" customWidth="1"/>
    <col min="13584" max="13588" width="9.140625" style="16"/>
    <col min="13589" max="13589" width="12.42578125" style="16" customWidth="1"/>
    <col min="13590" max="13590" width="9.140625" style="16"/>
    <col min="13591" max="13591" width="12" style="16" customWidth="1"/>
    <col min="13592" max="13824" width="9.140625" style="16"/>
    <col min="13825" max="13825" width="5" style="16" customWidth="1"/>
    <col min="13826" max="13826" width="18" style="16" customWidth="1"/>
    <col min="13827" max="13827" width="10.7109375" style="16" bestFit="1" customWidth="1"/>
    <col min="13828" max="13828" width="7.5703125" style="16" customWidth="1"/>
    <col min="13829" max="13829" width="8.5703125" style="16" bestFit="1" customWidth="1"/>
    <col min="13830" max="13830" width="9.28515625" style="16" bestFit="1" customWidth="1"/>
    <col min="13831" max="13831" width="8.42578125" style="16" bestFit="1" customWidth="1"/>
    <col min="13832" max="13832" width="9.7109375" style="16" bestFit="1" customWidth="1"/>
    <col min="13833" max="13833" width="9.7109375" style="16" customWidth="1"/>
    <col min="13834" max="13834" width="9.28515625" style="16" customWidth="1"/>
    <col min="13835" max="13835" width="8.7109375" style="16" customWidth="1"/>
    <col min="13836" max="13836" width="9.28515625" style="16" customWidth="1"/>
    <col min="13837" max="13837" width="8.7109375" style="16" customWidth="1"/>
    <col min="13838" max="13838" width="8.42578125" style="16" customWidth="1"/>
    <col min="13839" max="13839" width="8.5703125" style="16" customWidth="1"/>
    <col min="13840" max="13844" width="9.140625" style="16"/>
    <col min="13845" max="13845" width="12.42578125" style="16" customWidth="1"/>
    <col min="13846" max="13846" width="9.140625" style="16"/>
    <col min="13847" max="13847" width="12" style="16" customWidth="1"/>
    <col min="13848" max="14080" width="9.140625" style="16"/>
    <col min="14081" max="14081" width="5" style="16" customWidth="1"/>
    <col min="14082" max="14082" width="18" style="16" customWidth="1"/>
    <col min="14083" max="14083" width="10.7109375" style="16" bestFit="1" customWidth="1"/>
    <col min="14084" max="14084" width="7.5703125" style="16" customWidth="1"/>
    <col min="14085" max="14085" width="8.5703125" style="16" bestFit="1" customWidth="1"/>
    <col min="14086" max="14086" width="9.28515625" style="16" bestFit="1" customWidth="1"/>
    <col min="14087" max="14087" width="8.42578125" style="16" bestFit="1" customWidth="1"/>
    <col min="14088" max="14088" width="9.7109375" style="16" bestFit="1" customWidth="1"/>
    <col min="14089" max="14089" width="9.7109375" style="16" customWidth="1"/>
    <col min="14090" max="14090" width="9.28515625" style="16" customWidth="1"/>
    <col min="14091" max="14091" width="8.7109375" style="16" customWidth="1"/>
    <col min="14092" max="14092" width="9.28515625" style="16" customWidth="1"/>
    <col min="14093" max="14093" width="8.7109375" style="16" customWidth="1"/>
    <col min="14094" max="14094" width="8.42578125" style="16" customWidth="1"/>
    <col min="14095" max="14095" width="8.5703125" style="16" customWidth="1"/>
    <col min="14096" max="14100" width="9.140625" style="16"/>
    <col min="14101" max="14101" width="12.42578125" style="16" customWidth="1"/>
    <col min="14102" max="14102" width="9.140625" style="16"/>
    <col min="14103" max="14103" width="12" style="16" customWidth="1"/>
    <col min="14104" max="14336" width="9.140625" style="16"/>
    <col min="14337" max="14337" width="5" style="16" customWidth="1"/>
    <col min="14338" max="14338" width="18" style="16" customWidth="1"/>
    <col min="14339" max="14339" width="10.7109375" style="16" bestFit="1" customWidth="1"/>
    <col min="14340" max="14340" width="7.5703125" style="16" customWidth="1"/>
    <col min="14341" max="14341" width="8.5703125" style="16" bestFit="1" customWidth="1"/>
    <col min="14342" max="14342" width="9.28515625" style="16" bestFit="1" customWidth="1"/>
    <col min="14343" max="14343" width="8.42578125" style="16" bestFit="1" customWidth="1"/>
    <col min="14344" max="14344" width="9.7109375" style="16" bestFit="1" customWidth="1"/>
    <col min="14345" max="14345" width="9.7109375" style="16" customWidth="1"/>
    <col min="14346" max="14346" width="9.28515625" style="16" customWidth="1"/>
    <col min="14347" max="14347" width="8.7109375" style="16" customWidth="1"/>
    <col min="14348" max="14348" width="9.28515625" style="16" customWidth="1"/>
    <col min="14349" max="14349" width="8.7109375" style="16" customWidth="1"/>
    <col min="14350" max="14350" width="8.42578125" style="16" customWidth="1"/>
    <col min="14351" max="14351" width="8.5703125" style="16" customWidth="1"/>
    <col min="14352" max="14356" width="9.140625" style="16"/>
    <col min="14357" max="14357" width="12.42578125" style="16" customWidth="1"/>
    <col min="14358" max="14358" width="9.140625" style="16"/>
    <col min="14359" max="14359" width="12" style="16" customWidth="1"/>
    <col min="14360" max="14592" width="9.140625" style="16"/>
    <col min="14593" max="14593" width="5" style="16" customWidth="1"/>
    <col min="14594" max="14594" width="18" style="16" customWidth="1"/>
    <col min="14595" max="14595" width="10.7109375" style="16" bestFit="1" customWidth="1"/>
    <col min="14596" max="14596" width="7.5703125" style="16" customWidth="1"/>
    <col min="14597" max="14597" width="8.5703125" style="16" bestFit="1" customWidth="1"/>
    <col min="14598" max="14598" width="9.28515625" style="16" bestFit="1" customWidth="1"/>
    <col min="14599" max="14599" width="8.42578125" style="16" bestFit="1" customWidth="1"/>
    <col min="14600" max="14600" width="9.7109375" style="16" bestFit="1" customWidth="1"/>
    <col min="14601" max="14601" width="9.7109375" style="16" customWidth="1"/>
    <col min="14602" max="14602" width="9.28515625" style="16" customWidth="1"/>
    <col min="14603" max="14603" width="8.7109375" style="16" customWidth="1"/>
    <col min="14604" max="14604" width="9.28515625" style="16" customWidth="1"/>
    <col min="14605" max="14605" width="8.7109375" style="16" customWidth="1"/>
    <col min="14606" max="14606" width="8.42578125" style="16" customWidth="1"/>
    <col min="14607" max="14607" width="8.5703125" style="16" customWidth="1"/>
    <col min="14608" max="14612" width="9.140625" style="16"/>
    <col min="14613" max="14613" width="12.42578125" style="16" customWidth="1"/>
    <col min="14614" max="14614" width="9.140625" style="16"/>
    <col min="14615" max="14615" width="12" style="16" customWidth="1"/>
    <col min="14616" max="14848" width="9.140625" style="16"/>
    <col min="14849" max="14849" width="5" style="16" customWidth="1"/>
    <col min="14850" max="14850" width="18" style="16" customWidth="1"/>
    <col min="14851" max="14851" width="10.7109375" style="16" bestFit="1" customWidth="1"/>
    <col min="14852" max="14852" width="7.5703125" style="16" customWidth="1"/>
    <col min="14853" max="14853" width="8.5703125" style="16" bestFit="1" customWidth="1"/>
    <col min="14854" max="14854" width="9.28515625" style="16" bestFit="1" customWidth="1"/>
    <col min="14855" max="14855" width="8.42578125" style="16" bestFit="1" customWidth="1"/>
    <col min="14856" max="14856" width="9.7109375" style="16" bestFit="1" customWidth="1"/>
    <col min="14857" max="14857" width="9.7109375" style="16" customWidth="1"/>
    <col min="14858" max="14858" width="9.28515625" style="16" customWidth="1"/>
    <col min="14859" max="14859" width="8.7109375" style="16" customWidth="1"/>
    <col min="14860" max="14860" width="9.28515625" style="16" customWidth="1"/>
    <col min="14861" max="14861" width="8.7109375" style="16" customWidth="1"/>
    <col min="14862" max="14862" width="8.42578125" style="16" customWidth="1"/>
    <col min="14863" max="14863" width="8.5703125" style="16" customWidth="1"/>
    <col min="14864" max="14868" width="9.140625" style="16"/>
    <col min="14869" max="14869" width="12.42578125" style="16" customWidth="1"/>
    <col min="14870" max="14870" width="9.140625" style="16"/>
    <col min="14871" max="14871" width="12" style="16" customWidth="1"/>
    <col min="14872" max="15104" width="9.140625" style="16"/>
    <col min="15105" max="15105" width="5" style="16" customWidth="1"/>
    <col min="15106" max="15106" width="18" style="16" customWidth="1"/>
    <col min="15107" max="15107" width="10.7109375" style="16" bestFit="1" customWidth="1"/>
    <col min="15108" max="15108" width="7.5703125" style="16" customWidth="1"/>
    <col min="15109" max="15109" width="8.5703125" style="16" bestFit="1" customWidth="1"/>
    <col min="15110" max="15110" width="9.28515625" style="16" bestFit="1" customWidth="1"/>
    <col min="15111" max="15111" width="8.42578125" style="16" bestFit="1" customWidth="1"/>
    <col min="15112" max="15112" width="9.7109375" style="16" bestFit="1" customWidth="1"/>
    <col min="15113" max="15113" width="9.7109375" style="16" customWidth="1"/>
    <col min="15114" max="15114" width="9.28515625" style="16" customWidth="1"/>
    <col min="15115" max="15115" width="8.7109375" style="16" customWidth="1"/>
    <col min="15116" max="15116" width="9.28515625" style="16" customWidth="1"/>
    <col min="15117" max="15117" width="8.7109375" style="16" customWidth="1"/>
    <col min="15118" max="15118" width="8.42578125" style="16" customWidth="1"/>
    <col min="15119" max="15119" width="8.5703125" style="16" customWidth="1"/>
    <col min="15120" max="15124" width="9.140625" style="16"/>
    <col min="15125" max="15125" width="12.42578125" style="16" customWidth="1"/>
    <col min="15126" max="15126" width="9.140625" style="16"/>
    <col min="15127" max="15127" width="12" style="16" customWidth="1"/>
    <col min="15128" max="15360" width="9.140625" style="16"/>
    <col min="15361" max="15361" width="5" style="16" customWidth="1"/>
    <col min="15362" max="15362" width="18" style="16" customWidth="1"/>
    <col min="15363" max="15363" width="10.7109375" style="16" bestFit="1" customWidth="1"/>
    <col min="15364" max="15364" width="7.5703125" style="16" customWidth="1"/>
    <col min="15365" max="15365" width="8.5703125" style="16" bestFit="1" customWidth="1"/>
    <col min="15366" max="15366" width="9.28515625" style="16" bestFit="1" customWidth="1"/>
    <col min="15367" max="15367" width="8.42578125" style="16" bestFit="1" customWidth="1"/>
    <col min="15368" max="15368" width="9.7109375" style="16" bestFit="1" customWidth="1"/>
    <col min="15369" max="15369" width="9.7109375" style="16" customWidth="1"/>
    <col min="15370" max="15370" width="9.28515625" style="16" customWidth="1"/>
    <col min="15371" max="15371" width="8.7109375" style="16" customWidth="1"/>
    <col min="15372" max="15372" width="9.28515625" style="16" customWidth="1"/>
    <col min="15373" max="15373" width="8.7109375" style="16" customWidth="1"/>
    <col min="15374" max="15374" width="8.42578125" style="16" customWidth="1"/>
    <col min="15375" max="15375" width="8.5703125" style="16" customWidth="1"/>
    <col min="15376" max="15380" width="9.140625" style="16"/>
    <col min="15381" max="15381" width="12.42578125" style="16" customWidth="1"/>
    <col min="15382" max="15382" width="9.140625" style="16"/>
    <col min="15383" max="15383" width="12" style="16" customWidth="1"/>
    <col min="15384" max="15616" width="9.140625" style="16"/>
    <col min="15617" max="15617" width="5" style="16" customWidth="1"/>
    <col min="15618" max="15618" width="18" style="16" customWidth="1"/>
    <col min="15619" max="15619" width="10.7109375" style="16" bestFit="1" customWidth="1"/>
    <col min="15620" max="15620" width="7.5703125" style="16" customWidth="1"/>
    <col min="15621" max="15621" width="8.5703125" style="16" bestFit="1" customWidth="1"/>
    <col min="15622" max="15622" width="9.28515625" style="16" bestFit="1" customWidth="1"/>
    <col min="15623" max="15623" width="8.42578125" style="16" bestFit="1" customWidth="1"/>
    <col min="15624" max="15624" width="9.7109375" style="16" bestFit="1" customWidth="1"/>
    <col min="15625" max="15625" width="9.7109375" style="16" customWidth="1"/>
    <col min="15626" max="15626" width="9.28515625" style="16" customWidth="1"/>
    <col min="15627" max="15627" width="8.7109375" style="16" customWidth="1"/>
    <col min="15628" max="15628" width="9.28515625" style="16" customWidth="1"/>
    <col min="15629" max="15629" width="8.7109375" style="16" customWidth="1"/>
    <col min="15630" max="15630" width="8.42578125" style="16" customWidth="1"/>
    <col min="15631" max="15631" width="8.5703125" style="16" customWidth="1"/>
    <col min="15632" max="15636" width="9.140625" style="16"/>
    <col min="15637" max="15637" width="12.42578125" style="16" customWidth="1"/>
    <col min="15638" max="15638" width="9.140625" style="16"/>
    <col min="15639" max="15639" width="12" style="16" customWidth="1"/>
    <col min="15640" max="15872" width="9.140625" style="16"/>
    <col min="15873" max="15873" width="5" style="16" customWidth="1"/>
    <col min="15874" max="15874" width="18" style="16" customWidth="1"/>
    <col min="15875" max="15875" width="10.7109375" style="16" bestFit="1" customWidth="1"/>
    <col min="15876" max="15876" width="7.5703125" style="16" customWidth="1"/>
    <col min="15877" max="15877" width="8.5703125" style="16" bestFit="1" customWidth="1"/>
    <col min="15878" max="15878" width="9.28515625" style="16" bestFit="1" customWidth="1"/>
    <col min="15879" max="15879" width="8.42578125" style="16" bestFit="1" customWidth="1"/>
    <col min="15880" max="15880" width="9.7109375" style="16" bestFit="1" customWidth="1"/>
    <col min="15881" max="15881" width="9.7109375" style="16" customWidth="1"/>
    <col min="15882" max="15882" width="9.28515625" style="16" customWidth="1"/>
    <col min="15883" max="15883" width="8.7109375" style="16" customWidth="1"/>
    <col min="15884" max="15884" width="9.28515625" style="16" customWidth="1"/>
    <col min="15885" max="15885" width="8.7109375" style="16" customWidth="1"/>
    <col min="15886" max="15886" width="8.42578125" style="16" customWidth="1"/>
    <col min="15887" max="15887" width="8.5703125" style="16" customWidth="1"/>
    <col min="15888" max="15892" width="9.140625" style="16"/>
    <col min="15893" max="15893" width="12.42578125" style="16" customWidth="1"/>
    <col min="15894" max="15894" width="9.140625" style="16"/>
    <col min="15895" max="15895" width="12" style="16" customWidth="1"/>
    <col min="15896" max="16128" width="9.140625" style="16"/>
    <col min="16129" max="16129" width="5" style="16" customWidth="1"/>
    <col min="16130" max="16130" width="18" style="16" customWidth="1"/>
    <col min="16131" max="16131" width="10.7109375" style="16" bestFit="1" customWidth="1"/>
    <col min="16132" max="16132" width="7.5703125" style="16" customWidth="1"/>
    <col min="16133" max="16133" width="8.5703125" style="16" bestFit="1" customWidth="1"/>
    <col min="16134" max="16134" width="9.28515625" style="16" bestFit="1" customWidth="1"/>
    <col min="16135" max="16135" width="8.42578125" style="16" bestFit="1" customWidth="1"/>
    <col min="16136" max="16136" width="9.7109375" style="16" bestFit="1" customWidth="1"/>
    <col min="16137" max="16137" width="9.7109375" style="16" customWidth="1"/>
    <col min="16138" max="16138" width="9.28515625" style="16" customWidth="1"/>
    <col min="16139" max="16139" width="8.7109375" style="16" customWidth="1"/>
    <col min="16140" max="16140" width="9.28515625" style="16" customWidth="1"/>
    <col min="16141" max="16141" width="8.7109375" style="16" customWidth="1"/>
    <col min="16142" max="16142" width="8.42578125" style="16" customWidth="1"/>
    <col min="16143" max="16143" width="8.5703125" style="16" customWidth="1"/>
    <col min="16144" max="16148" width="9.140625" style="16"/>
    <col min="16149" max="16149" width="12.42578125" style="16" customWidth="1"/>
    <col min="16150" max="16150" width="9.140625" style="16"/>
    <col min="16151" max="16151" width="12" style="16" customWidth="1"/>
    <col min="16152" max="16384" width="9.140625" style="16"/>
  </cols>
  <sheetData>
    <row r="1" spans="1:17" s="1" customFormat="1" x14ac:dyDescent="0.2">
      <c r="A1" s="867" t="s">
        <v>449</v>
      </c>
      <c r="B1" s="868"/>
      <c r="C1" s="868"/>
      <c r="D1" s="869"/>
      <c r="E1" s="868"/>
      <c r="F1" s="868"/>
      <c r="G1" s="867" t="s">
        <v>102</v>
      </c>
      <c r="H1" s="869"/>
      <c r="I1" s="869" t="s">
        <v>1188</v>
      </c>
      <c r="J1" s="868"/>
      <c r="K1" s="868"/>
      <c r="L1" s="870"/>
      <c r="M1" s="870"/>
      <c r="N1" s="870"/>
      <c r="O1" s="870"/>
    </row>
    <row r="2" spans="1:17" s="1" customFormat="1" x14ac:dyDescent="0.2">
      <c r="A2" s="867" t="s">
        <v>103</v>
      </c>
      <c r="B2" s="868"/>
      <c r="C2" s="868"/>
      <c r="D2" s="869"/>
      <c r="E2" s="868"/>
      <c r="F2" s="868"/>
      <c r="G2" s="867" t="s">
        <v>104</v>
      </c>
      <c r="H2" s="869"/>
      <c r="I2" s="869" t="s">
        <v>105</v>
      </c>
      <c r="J2" s="868"/>
      <c r="K2" s="868"/>
      <c r="L2" s="870"/>
      <c r="M2" s="870"/>
      <c r="N2" s="870"/>
      <c r="O2" s="870"/>
    </row>
    <row r="3" spans="1:17" s="1" customFormat="1" x14ac:dyDescent="0.2">
      <c r="A3" s="867" t="s">
        <v>106</v>
      </c>
      <c r="B3" s="868"/>
      <c r="C3" s="868"/>
      <c r="D3" s="881">
        <v>23919</v>
      </c>
      <c r="E3" s="882"/>
      <c r="F3" s="882"/>
      <c r="G3" s="867" t="s">
        <v>107</v>
      </c>
      <c r="H3" s="869"/>
      <c r="I3" s="869" t="s">
        <v>108</v>
      </c>
      <c r="J3" s="868"/>
      <c r="K3" s="868"/>
      <c r="L3" s="870"/>
      <c r="M3" s="870"/>
      <c r="N3" s="870"/>
      <c r="O3" s="870"/>
    </row>
    <row r="4" spans="1:17" s="1" customFormat="1" x14ac:dyDescent="0.2">
      <c r="A4" s="867" t="s">
        <v>109</v>
      </c>
      <c r="B4" s="868"/>
      <c r="C4" s="868"/>
      <c r="D4" s="869"/>
      <c r="E4" s="868"/>
      <c r="F4" s="868"/>
      <c r="G4" s="867" t="s">
        <v>110</v>
      </c>
      <c r="H4" s="869"/>
      <c r="I4" s="869" t="s">
        <v>635</v>
      </c>
      <c r="J4" s="868"/>
      <c r="K4" s="868"/>
      <c r="L4" s="870"/>
      <c r="M4" s="870"/>
      <c r="N4" s="870"/>
      <c r="O4" s="870"/>
    </row>
    <row r="5" spans="1:17" s="1" customFormat="1" x14ac:dyDescent="0.2">
      <c r="A5" s="867" t="s">
        <v>278</v>
      </c>
      <c r="B5" s="868"/>
      <c r="C5" s="868"/>
      <c r="D5" s="869" t="s">
        <v>1216</v>
      </c>
      <c r="E5" s="868"/>
      <c r="F5" s="868"/>
      <c r="G5" s="867"/>
      <c r="H5" s="868"/>
      <c r="I5" s="869" t="s">
        <v>113</v>
      </c>
      <c r="J5" s="868"/>
      <c r="K5" s="868"/>
      <c r="L5" s="870"/>
      <c r="M5" s="870"/>
      <c r="N5" s="870"/>
      <c r="O5" s="870"/>
    </row>
    <row r="6" spans="1:17" s="1" customFormat="1" x14ac:dyDescent="0.2">
      <c r="A6" s="871" t="s">
        <v>114</v>
      </c>
      <c r="B6" s="872"/>
      <c r="C6" s="872"/>
      <c r="D6" s="868" t="s">
        <v>1189</v>
      </c>
      <c r="E6" s="868"/>
      <c r="F6" s="868"/>
      <c r="G6" s="871" t="s">
        <v>115</v>
      </c>
      <c r="H6" s="871"/>
      <c r="I6" s="2" t="s">
        <v>116</v>
      </c>
      <c r="J6" s="888"/>
      <c r="K6" s="888"/>
      <c r="L6" s="888"/>
      <c r="M6" s="888"/>
      <c r="N6" s="888"/>
      <c r="O6" s="889"/>
    </row>
    <row r="7" spans="1:17" s="1" customFormat="1" ht="13.5" thickBot="1" x14ac:dyDescent="0.25">
      <c r="A7" s="3"/>
      <c r="B7" s="4"/>
      <c r="C7" s="5"/>
      <c r="D7" s="6"/>
      <c r="E7" s="6"/>
      <c r="F7" s="6"/>
      <c r="G7" s="6"/>
      <c r="H7" s="6"/>
      <c r="I7" s="6"/>
      <c r="J7" s="7"/>
      <c r="K7" s="8"/>
      <c r="L7" s="875" t="s">
        <v>223</v>
      </c>
      <c r="M7" s="875"/>
      <c r="N7" s="875"/>
      <c r="O7" s="875"/>
    </row>
    <row r="8" spans="1:17" s="11" customFormat="1" x14ac:dyDescent="0.2">
      <c r="A8" s="876" t="str">
        <f>I1</f>
        <v>Mr A. P. Thakur</v>
      </c>
      <c r="B8" s="877"/>
      <c r="C8" s="9">
        <v>43160</v>
      </c>
      <c r="D8" s="9">
        <v>43191</v>
      </c>
      <c r="E8" s="9">
        <v>43221</v>
      </c>
      <c r="F8" s="9">
        <v>43252</v>
      </c>
      <c r="G8" s="9">
        <v>43282</v>
      </c>
      <c r="H8" s="9">
        <v>43313</v>
      </c>
      <c r="I8" s="9">
        <v>43344</v>
      </c>
      <c r="J8" s="9">
        <v>43374</v>
      </c>
      <c r="K8" s="9">
        <v>43405</v>
      </c>
      <c r="L8" s="9">
        <v>43435</v>
      </c>
      <c r="M8" s="9">
        <v>43466</v>
      </c>
      <c r="N8" s="9">
        <v>43497</v>
      </c>
      <c r="O8" s="10" t="s">
        <v>117</v>
      </c>
      <c r="Q8" s="11" t="s">
        <v>116</v>
      </c>
    </row>
    <row r="9" spans="1:17" ht="15" x14ac:dyDescent="0.2">
      <c r="A9" s="12"/>
      <c r="B9" s="13" t="s">
        <v>118</v>
      </c>
      <c r="C9" s="14">
        <v>93000</v>
      </c>
      <c r="D9" s="14">
        <v>93000</v>
      </c>
      <c r="E9" s="14">
        <v>93000</v>
      </c>
      <c r="F9" s="14">
        <v>93000</v>
      </c>
      <c r="G9" s="14">
        <v>95800</v>
      </c>
      <c r="H9" s="14">
        <v>95800</v>
      </c>
      <c r="I9" s="14">
        <v>95800</v>
      </c>
      <c r="J9" s="14">
        <v>95800</v>
      </c>
      <c r="K9" s="14">
        <v>95800</v>
      </c>
      <c r="L9" s="14">
        <v>95800</v>
      </c>
      <c r="M9" s="14">
        <v>95800</v>
      </c>
      <c r="N9" s="14">
        <v>95800</v>
      </c>
      <c r="O9" s="15">
        <f>SUM(C9:N9)</f>
        <v>1138400</v>
      </c>
      <c r="Q9" s="16" t="s">
        <v>222</v>
      </c>
    </row>
    <row r="10" spans="1:17"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7" ht="15" x14ac:dyDescent="0.2">
      <c r="A11" s="12"/>
      <c r="B11" s="13" t="s">
        <v>120</v>
      </c>
      <c r="C11" s="17">
        <v>4650</v>
      </c>
      <c r="D11" s="17">
        <v>6510</v>
      </c>
      <c r="E11" s="17">
        <v>6510</v>
      </c>
      <c r="F11" s="17">
        <v>6510</v>
      </c>
      <c r="G11" s="17">
        <v>6706</v>
      </c>
      <c r="H11" s="17">
        <v>6706</v>
      </c>
      <c r="I11" s="17">
        <v>6706</v>
      </c>
      <c r="J11" s="17">
        <v>8622</v>
      </c>
      <c r="K11" s="17">
        <v>8622</v>
      </c>
      <c r="L11" s="17">
        <v>8622</v>
      </c>
      <c r="M11" s="17">
        <v>8622</v>
      </c>
      <c r="N11" s="17">
        <v>8622</v>
      </c>
      <c r="O11" s="18">
        <f>SUM(C11:N11)</f>
        <v>87408</v>
      </c>
    </row>
    <row r="12" spans="1:17"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7"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7" ht="15" customHeight="1" x14ac:dyDescent="0.2">
      <c r="A14" s="12"/>
      <c r="B14" s="13" t="s">
        <v>123</v>
      </c>
      <c r="C14" s="17">
        <v>7560</v>
      </c>
      <c r="D14" s="17">
        <v>7704</v>
      </c>
      <c r="E14" s="17">
        <v>7704</v>
      </c>
      <c r="F14" s="17">
        <v>7704</v>
      </c>
      <c r="G14" s="17">
        <v>7704</v>
      </c>
      <c r="H14" s="17">
        <v>7704</v>
      </c>
      <c r="I14" s="17">
        <v>7704</v>
      </c>
      <c r="J14" s="17">
        <v>7848</v>
      </c>
      <c r="K14" s="17">
        <v>7848</v>
      </c>
      <c r="L14" s="17">
        <v>7848</v>
      </c>
      <c r="M14" s="17">
        <v>7848</v>
      </c>
      <c r="N14" s="17">
        <v>7848</v>
      </c>
      <c r="O14" s="18">
        <f t="shared" si="0"/>
        <v>93024</v>
      </c>
    </row>
    <row r="15" spans="1:17"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7" ht="15" hidden="1" x14ac:dyDescent="0.2">
      <c r="A16" s="12"/>
      <c r="B16" s="13" t="s">
        <v>405</v>
      </c>
      <c r="C16" s="17">
        <v>0</v>
      </c>
      <c r="D16" s="17">
        <v>0</v>
      </c>
      <c r="E16" s="17">
        <v>0</v>
      </c>
      <c r="F16" s="17">
        <v>0</v>
      </c>
      <c r="G16" s="17">
        <v>0</v>
      </c>
      <c r="H16" s="17">
        <v>0</v>
      </c>
      <c r="I16" s="17">
        <v>0</v>
      </c>
      <c r="J16" s="17">
        <v>0</v>
      </c>
      <c r="K16" s="17">
        <v>0</v>
      </c>
      <c r="L16" s="17">
        <v>0</v>
      </c>
      <c r="M16" s="17">
        <v>0</v>
      </c>
      <c r="N16" s="17">
        <v>0</v>
      </c>
      <c r="O16" s="18">
        <f t="shared" si="0"/>
        <v>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hidden="1" x14ac:dyDescent="0.2">
      <c r="A18" s="12"/>
      <c r="B18" s="13" t="s">
        <v>609</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22320</v>
      </c>
      <c r="D19" s="17">
        <v>22320</v>
      </c>
      <c r="E19" s="17">
        <v>22320</v>
      </c>
      <c r="F19" s="17">
        <v>22320</v>
      </c>
      <c r="G19" s="17">
        <v>22992</v>
      </c>
      <c r="H19" s="17">
        <v>22992</v>
      </c>
      <c r="I19" s="17">
        <v>22992</v>
      </c>
      <c r="J19" s="17">
        <v>22992</v>
      </c>
      <c r="K19" s="17">
        <v>22992</v>
      </c>
      <c r="L19" s="17">
        <v>22992</v>
      </c>
      <c r="M19" s="17">
        <v>22992</v>
      </c>
      <c r="N19" s="17">
        <v>22992</v>
      </c>
      <c r="O19" s="18">
        <f t="shared" si="0"/>
        <v>273216</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0.75" hidden="1" customHeight="1" x14ac:dyDescent="0.2">
      <c r="A21" s="878"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79"/>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5" ht="15" customHeight="1" x14ac:dyDescent="0.2">
      <c r="A23" s="879"/>
      <c r="B23" s="167" t="s">
        <v>246</v>
      </c>
      <c r="C23" s="17">
        <v>0</v>
      </c>
      <c r="D23" s="17">
        <v>0</v>
      </c>
      <c r="E23" s="17">
        <v>33170</v>
      </c>
      <c r="F23" s="17">
        <v>0</v>
      </c>
      <c r="G23" s="17">
        <v>0</v>
      </c>
      <c r="H23" s="17">
        <v>0</v>
      </c>
      <c r="I23" s="17">
        <v>0</v>
      </c>
      <c r="J23" s="17">
        <v>0</v>
      </c>
      <c r="K23" s="17">
        <v>0</v>
      </c>
      <c r="L23" s="17">
        <v>0</v>
      </c>
      <c r="M23" s="17">
        <v>0</v>
      </c>
      <c r="N23" s="17">
        <v>0</v>
      </c>
      <c r="O23" s="18">
        <f t="shared" si="0"/>
        <v>33170</v>
      </c>
    </row>
    <row r="24" spans="1:15" ht="15" hidden="1" customHeight="1" x14ac:dyDescent="0.2">
      <c r="A24" s="879"/>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79"/>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79"/>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79"/>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79"/>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79"/>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79"/>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79"/>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79"/>
      <c r="B32" s="21" t="s">
        <v>142</v>
      </c>
      <c r="C32" s="17">
        <v>0</v>
      </c>
      <c r="D32" s="17">
        <v>0</v>
      </c>
      <c r="E32" s="17">
        <v>0</v>
      </c>
      <c r="F32" s="17">
        <v>0</v>
      </c>
      <c r="G32" s="17">
        <v>0</v>
      </c>
      <c r="H32" s="17">
        <v>0</v>
      </c>
      <c r="I32" s="17">
        <v>0</v>
      </c>
      <c r="J32" s="17">
        <v>0</v>
      </c>
      <c r="K32" s="17">
        <v>0</v>
      </c>
      <c r="L32" s="17">
        <v>0</v>
      </c>
      <c r="M32" s="17">
        <v>0</v>
      </c>
      <c r="N32" s="17">
        <v>0</v>
      </c>
      <c r="O32" s="18">
        <f t="shared" si="0"/>
        <v>0</v>
      </c>
    </row>
    <row r="33" spans="1:16" ht="15" hidden="1" customHeight="1" x14ac:dyDescent="0.2">
      <c r="A33" s="880"/>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865" t="s">
        <v>143</v>
      </c>
      <c r="B34" s="866"/>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865" t="s">
        <v>145</v>
      </c>
      <c r="B35" s="866"/>
      <c r="C35" s="17">
        <v>0</v>
      </c>
      <c r="D35" s="17">
        <v>432</v>
      </c>
      <c r="E35" s="17">
        <v>0</v>
      </c>
      <c r="F35" s="17">
        <v>0</v>
      </c>
      <c r="G35" s="17">
        <v>0</v>
      </c>
      <c r="H35" s="17">
        <v>0</v>
      </c>
      <c r="I35" s="17">
        <v>0</v>
      </c>
      <c r="J35" s="17">
        <v>432</v>
      </c>
      <c r="K35" s="17">
        <v>0</v>
      </c>
      <c r="L35" s="17">
        <v>0</v>
      </c>
      <c r="M35" s="17">
        <v>0</v>
      </c>
      <c r="N35" s="17">
        <v>0</v>
      </c>
      <c r="O35" s="18">
        <f t="shared" si="0"/>
        <v>864</v>
      </c>
    </row>
    <row r="36" spans="1:16" ht="15" customHeight="1" x14ac:dyDescent="0.2">
      <c r="A36" s="865" t="s">
        <v>146</v>
      </c>
      <c r="B36" s="866"/>
      <c r="C36" s="17">
        <v>0</v>
      </c>
      <c r="D36" s="17">
        <v>5580</v>
      </c>
      <c r="E36" s="17">
        <v>0</v>
      </c>
      <c r="F36" s="17">
        <v>0</v>
      </c>
      <c r="G36" s="17">
        <v>0</v>
      </c>
      <c r="H36" s="17">
        <v>0</v>
      </c>
      <c r="I36" s="17">
        <v>0</v>
      </c>
      <c r="J36" s="17">
        <v>5748</v>
      </c>
      <c r="K36" s="17">
        <v>0</v>
      </c>
      <c r="L36" s="17">
        <v>0</v>
      </c>
      <c r="M36" s="17">
        <v>0</v>
      </c>
      <c r="N36" s="17">
        <v>0</v>
      </c>
      <c r="O36" s="18">
        <f t="shared" si="0"/>
        <v>11328</v>
      </c>
    </row>
    <row r="37" spans="1:16" ht="15" customHeight="1" x14ac:dyDescent="0.2">
      <c r="A37" s="22"/>
      <c r="B37" s="23" t="s">
        <v>147</v>
      </c>
      <c r="C37" s="24">
        <f t="shared" ref="C37:N37" si="1">SUM(C9:C36)</f>
        <v>127530</v>
      </c>
      <c r="D37" s="24">
        <f t="shared" si="1"/>
        <v>135546</v>
      </c>
      <c r="E37" s="24">
        <f t="shared" si="1"/>
        <v>162704</v>
      </c>
      <c r="F37" s="24">
        <f t="shared" si="1"/>
        <v>129534</v>
      </c>
      <c r="G37" s="24">
        <f t="shared" si="1"/>
        <v>133202</v>
      </c>
      <c r="H37" s="24">
        <f t="shared" si="1"/>
        <v>133202</v>
      </c>
      <c r="I37" s="24">
        <f t="shared" si="1"/>
        <v>133202</v>
      </c>
      <c r="J37" s="24">
        <f t="shared" si="1"/>
        <v>148350</v>
      </c>
      <c r="K37" s="24">
        <f t="shared" si="1"/>
        <v>135262</v>
      </c>
      <c r="L37" s="24">
        <f t="shared" si="1"/>
        <v>135262</v>
      </c>
      <c r="M37" s="24">
        <f t="shared" si="1"/>
        <v>135262</v>
      </c>
      <c r="N37" s="24">
        <f t="shared" si="1"/>
        <v>135262</v>
      </c>
      <c r="O37" s="25">
        <f t="shared" ref="O37:O50" si="2">SUM(C37:N37)</f>
        <v>1644318</v>
      </c>
    </row>
    <row r="38" spans="1:16" ht="15" customHeight="1" x14ac:dyDescent="0.25">
      <c r="A38" s="853" t="s">
        <v>148</v>
      </c>
      <c r="B38" s="27" t="s">
        <v>149</v>
      </c>
      <c r="C38" s="28">
        <v>16900</v>
      </c>
      <c r="D38" s="28">
        <v>17000</v>
      </c>
      <c r="E38" s="28">
        <v>17000</v>
      </c>
      <c r="F38" s="28">
        <v>17000</v>
      </c>
      <c r="G38" s="28">
        <v>17000</v>
      </c>
      <c r="H38" s="28">
        <v>17000</v>
      </c>
      <c r="I38" s="28">
        <v>17000</v>
      </c>
      <c r="J38" s="28">
        <v>17000</v>
      </c>
      <c r="K38" s="28">
        <v>15000</v>
      </c>
      <c r="L38" s="28">
        <v>14710</v>
      </c>
      <c r="M38" s="28">
        <v>14710</v>
      </c>
      <c r="N38">
        <v>16605</v>
      </c>
      <c r="O38" s="18">
        <f t="shared" si="2"/>
        <v>196925</v>
      </c>
      <c r="P38" s="284"/>
    </row>
    <row r="39" spans="1:16" ht="15" x14ac:dyDescent="0.2">
      <c r="A39" s="854"/>
      <c r="B39" s="27" t="s">
        <v>150</v>
      </c>
      <c r="C39" s="28">
        <v>0</v>
      </c>
      <c r="D39" s="28">
        <v>0</v>
      </c>
      <c r="E39" s="28">
        <v>0</v>
      </c>
      <c r="F39" s="28">
        <v>0</v>
      </c>
      <c r="G39" s="28">
        <v>0</v>
      </c>
      <c r="H39" s="28">
        <v>0</v>
      </c>
      <c r="I39" s="28">
        <v>0</v>
      </c>
      <c r="J39" s="28">
        <v>0</v>
      </c>
      <c r="K39" s="28">
        <v>0</v>
      </c>
      <c r="L39" s="28">
        <v>0</v>
      </c>
      <c r="M39" s="28">
        <v>0</v>
      </c>
      <c r="N39" s="28">
        <v>0</v>
      </c>
      <c r="O39" s="18">
        <f t="shared" si="2"/>
        <v>0</v>
      </c>
    </row>
    <row r="40" spans="1:16" ht="15" x14ac:dyDescent="0.2">
      <c r="A40" s="854"/>
      <c r="B40" s="27" t="s">
        <v>151</v>
      </c>
      <c r="C40" s="28">
        <v>60</v>
      </c>
      <c r="D40" s="28">
        <v>60</v>
      </c>
      <c r="E40" s="28">
        <v>60</v>
      </c>
      <c r="F40" s="28">
        <v>60</v>
      </c>
      <c r="G40" s="28">
        <v>60</v>
      </c>
      <c r="H40" s="28">
        <v>60</v>
      </c>
      <c r="I40" s="28">
        <v>60</v>
      </c>
      <c r="J40" s="28">
        <v>60</v>
      </c>
      <c r="K40" s="28">
        <v>60</v>
      </c>
      <c r="L40" s="28">
        <v>60</v>
      </c>
      <c r="M40" s="28">
        <v>60</v>
      </c>
      <c r="N40" s="28">
        <v>60</v>
      </c>
      <c r="O40" s="18">
        <f t="shared" si="2"/>
        <v>720</v>
      </c>
    </row>
    <row r="41" spans="1:16" ht="15" x14ac:dyDescent="0.2">
      <c r="A41" s="854"/>
      <c r="B41" s="27" t="s">
        <v>152</v>
      </c>
      <c r="C41" s="28">
        <v>0</v>
      </c>
      <c r="D41" s="28">
        <v>0</v>
      </c>
      <c r="E41" s="28">
        <v>0</v>
      </c>
      <c r="F41" s="28">
        <v>0</v>
      </c>
      <c r="G41" s="28">
        <v>0</v>
      </c>
      <c r="H41" s="28">
        <v>0</v>
      </c>
      <c r="I41" s="28">
        <v>0</v>
      </c>
      <c r="J41" s="28">
        <v>0</v>
      </c>
      <c r="K41" s="28">
        <v>0</v>
      </c>
      <c r="L41" s="28">
        <v>0</v>
      </c>
      <c r="M41" s="28">
        <v>0</v>
      </c>
      <c r="N41" s="28">
        <v>0</v>
      </c>
      <c r="O41" s="18">
        <f t="shared" si="2"/>
        <v>0</v>
      </c>
    </row>
    <row r="42" spans="1:16" ht="15" x14ac:dyDescent="0.2">
      <c r="A42" s="854"/>
      <c r="B42" s="27" t="s">
        <v>153</v>
      </c>
      <c r="C42" s="28">
        <v>650</v>
      </c>
      <c r="D42" s="28">
        <v>650</v>
      </c>
      <c r="E42" s="28">
        <v>650</v>
      </c>
      <c r="F42" s="28">
        <v>650</v>
      </c>
      <c r="G42" s="28">
        <v>650</v>
      </c>
      <c r="H42" s="28">
        <v>650</v>
      </c>
      <c r="I42" s="28">
        <v>650</v>
      </c>
      <c r="J42" s="28">
        <v>650</v>
      </c>
      <c r="K42" s="28">
        <v>650</v>
      </c>
      <c r="L42" s="28">
        <v>650</v>
      </c>
      <c r="M42" s="28">
        <v>650</v>
      </c>
      <c r="N42" s="28">
        <v>650</v>
      </c>
      <c r="O42" s="18">
        <f t="shared" si="2"/>
        <v>7800</v>
      </c>
    </row>
    <row r="43" spans="1:16" ht="15" x14ac:dyDescent="0.2">
      <c r="A43" s="854"/>
      <c r="B43" s="27" t="s">
        <v>154</v>
      </c>
      <c r="C43" s="28">
        <v>45000</v>
      </c>
      <c r="D43" s="28">
        <v>45000</v>
      </c>
      <c r="E43" s="28">
        <v>45000</v>
      </c>
      <c r="F43" s="28">
        <v>45000</v>
      </c>
      <c r="G43" s="28">
        <v>45000</v>
      </c>
      <c r="H43" s="28">
        <v>50000</v>
      </c>
      <c r="I43" s="28">
        <v>50000</v>
      </c>
      <c r="J43" s="28">
        <v>50000</v>
      </c>
      <c r="K43" s="28">
        <v>55000</v>
      </c>
      <c r="L43" s="28">
        <v>55000</v>
      </c>
      <c r="M43" s="28">
        <v>55000</v>
      </c>
      <c r="N43" s="28">
        <v>55000</v>
      </c>
      <c r="O43" s="18">
        <f t="shared" si="2"/>
        <v>595000</v>
      </c>
    </row>
    <row r="44" spans="1:16" ht="15" x14ac:dyDescent="0.2">
      <c r="A44" s="854"/>
      <c r="B44" s="27" t="s">
        <v>155</v>
      </c>
      <c r="C44" s="28">
        <v>200</v>
      </c>
      <c r="D44" s="28">
        <v>200</v>
      </c>
      <c r="E44" s="28">
        <v>200</v>
      </c>
      <c r="F44" s="28">
        <v>200</v>
      </c>
      <c r="G44" s="28">
        <v>200</v>
      </c>
      <c r="H44" s="28">
        <v>200</v>
      </c>
      <c r="I44" s="28">
        <v>200</v>
      </c>
      <c r="J44" s="28">
        <v>200</v>
      </c>
      <c r="K44" s="28">
        <v>200</v>
      </c>
      <c r="L44" s="28">
        <v>200</v>
      </c>
      <c r="M44" s="28">
        <v>200</v>
      </c>
      <c r="N44" s="28">
        <v>300</v>
      </c>
      <c r="O44" s="18">
        <f t="shared" si="2"/>
        <v>2500</v>
      </c>
    </row>
    <row r="45" spans="1:16" ht="15" x14ac:dyDescent="0.2">
      <c r="A45" s="854"/>
      <c r="B45" s="27" t="s">
        <v>1217</v>
      </c>
      <c r="C45" s="28">
        <v>0</v>
      </c>
      <c r="D45" s="28">
        <v>0</v>
      </c>
      <c r="E45" s="28">
        <v>0</v>
      </c>
      <c r="F45" s="28">
        <v>0</v>
      </c>
      <c r="G45" s="28">
        <v>0</v>
      </c>
      <c r="H45" s="28">
        <v>0</v>
      </c>
      <c r="I45" s="28">
        <v>0</v>
      </c>
      <c r="J45" s="28">
        <v>0</v>
      </c>
      <c r="K45" s="28">
        <v>0</v>
      </c>
      <c r="L45" s="28">
        <v>0</v>
      </c>
      <c r="M45" s="28">
        <v>0</v>
      </c>
      <c r="N45" s="28">
        <v>0</v>
      </c>
      <c r="O45" s="18">
        <f t="shared" si="2"/>
        <v>0</v>
      </c>
    </row>
    <row r="46" spans="1:16" ht="15" x14ac:dyDescent="0.2">
      <c r="A46" s="854"/>
      <c r="B46" s="27" t="s">
        <v>157</v>
      </c>
      <c r="C46" s="28">
        <v>0</v>
      </c>
      <c r="D46" s="28">
        <v>0</v>
      </c>
      <c r="E46" s="28">
        <v>0</v>
      </c>
      <c r="F46" s="28">
        <v>0</v>
      </c>
      <c r="G46" s="28">
        <v>0</v>
      </c>
      <c r="H46" s="28">
        <v>0</v>
      </c>
      <c r="I46" s="28">
        <v>0</v>
      </c>
      <c r="J46" s="28">
        <v>0</v>
      </c>
      <c r="K46" s="28">
        <v>0</v>
      </c>
      <c r="L46" s="28">
        <v>0</v>
      </c>
      <c r="M46" s="28">
        <v>0</v>
      </c>
      <c r="N46" s="28">
        <v>0</v>
      </c>
      <c r="O46" s="18">
        <f t="shared" si="2"/>
        <v>0</v>
      </c>
    </row>
    <row r="47" spans="1:16" ht="28.5" customHeight="1" x14ac:dyDescent="0.2">
      <c r="A47" s="855"/>
      <c r="B47" s="30" t="s">
        <v>158</v>
      </c>
      <c r="C47" s="28">
        <v>0</v>
      </c>
      <c r="D47" s="28">
        <v>0</v>
      </c>
      <c r="E47" s="28">
        <v>0</v>
      </c>
      <c r="F47" s="28">
        <v>0</v>
      </c>
      <c r="G47" s="28">
        <v>0</v>
      </c>
      <c r="H47" s="28">
        <v>0</v>
      </c>
      <c r="I47" s="28">
        <v>0</v>
      </c>
      <c r="J47" s="28">
        <v>0</v>
      </c>
      <c r="K47" s="28">
        <v>0</v>
      </c>
      <c r="L47" s="28">
        <v>0</v>
      </c>
      <c r="M47" s="28">
        <v>0</v>
      </c>
      <c r="N47" s="28">
        <v>0</v>
      </c>
      <c r="O47" s="31">
        <f t="shared" si="2"/>
        <v>0</v>
      </c>
    </row>
    <row r="48" spans="1:16" ht="15" x14ac:dyDescent="0.2">
      <c r="A48" s="856"/>
      <c r="B48" s="127" t="s">
        <v>479</v>
      </c>
      <c r="C48" s="28">
        <v>0</v>
      </c>
      <c r="D48" s="28">
        <v>0</v>
      </c>
      <c r="E48" s="28">
        <v>0</v>
      </c>
      <c r="F48" s="28">
        <v>0</v>
      </c>
      <c r="G48" s="28">
        <v>0</v>
      </c>
      <c r="H48" s="28">
        <v>0</v>
      </c>
      <c r="I48" s="28">
        <v>0</v>
      </c>
      <c r="J48" s="28">
        <v>0</v>
      </c>
      <c r="K48" s="28">
        <v>0</v>
      </c>
      <c r="L48" s="28">
        <v>0</v>
      </c>
      <c r="M48" s="28">
        <v>0</v>
      </c>
      <c r="N48" s="28">
        <v>0</v>
      </c>
      <c r="O48" s="31">
        <f t="shared" si="2"/>
        <v>0</v>
      </c>
    </row>
    <row r="49" spans="1:19" ht="15" x14ac:dyDescent="0.2">
      <c r="A49" s="857" t="s">
        <v>160</v>
      </c>
      <c r="B49" s="858"/>
      <c r="C49" s="33">
        <f t="shared" ref="C49:N49" si="3">SUM(C38:C48)</f>
        <v>62810</v>
      </c>
      <c r="D49" s="33">
        <f t="shared" si="3"/>
        <v>62910</v>
      </c>
      <c r="E49" s="33">
        <f t="shared" si="3"/>
        <v>62910</v>
      </c>
      <c r="F49" s="33">
        <f t="shared" si="3"/>
        <v>62910</v>
      </c>
      <c r="G49" s="33">
        <f t="shared" si="3"/>
        <v>62910</v>
      </c>
      <c r="H49" s="33">
        <f t="shared" si="3"/>
        <v>67910</v>
      </c>
      <c r="I49" s="33">
        <f t="shared" si="3"/>
        <v>67910</v>
      </c>
      <c r="J49" s="33">
        <f t="shared" si="3"/>
        <v>67910</v>
      </c>
      <c r="K49" s="33">
        <f t="shared" si="3"/>
        <v>70910</v>
      </c>
      <c r="L49" s="33">
        <f t="shared" si="3"/>
        <v>70620</v>
      </c>
      <c r="M49" s="33">
        <f t="shared" si="3"/>
        <v>70620</v>
      </c>
      <c r="N49" s="33">
        <f t="shared" si="3"/>
        <v>72615</v>
      </c>
      <c r="O49" s="34">
        <f t="shared" si="2"/>
        <v>802945</v>
      </c>
    </row>
    <row r="50" spans="1:19" ht="15.75" thickBot="1" x14ac:dyDescent="0.25">
      <c r="A50" s="859" t="s">
        <v>161</v>
      </c>
      <c r="B50" s="860"/>
      <c r="C50" s="35">
        <f t="shared" ref="C50:N50" si="4">C37-C49</f>
        <v>64720</v>
      </c>
      <c r="D50" s="35">
        <f t="shared" si="4"/>
        <v>72636</v>
      </c>
      <c r="E50" s="35">
        <f t="shared" si="4"/>
        <v>99794</v>
      </c>
      <c r="F50" s="35">
        <f t="shared" si="4"/>
        <v>66624</v>
      </c>
      <c r="G50" s="35">
        <f t="shared" si="4"/>
        <v>70292</v>
      </c>
      <c r="H50" s="35">
        <f t="shared" si="4"/>
        <v>65292</v>
      </c>
      <c r="I50" s="35">
        <f t="shared" si="4"/>
        <v>65292</v>
      </c>
      <c r="J50" s="35">
        <f t="shared" si="4"/>
        <v>80440</v>
      </c>
      <c r="K50" s="35">
        <f t="shared" si="4"/>
        <v>64352</v>
      </c>
      <c r="L50" s="35">
        <f t="shared" si="4"/>
        <v>64642</v>
      </c>
      <c r="M50" s="35">
        <f t="shared" si="4"/>
        <v>64642</v>
      </c>
      <c r="N50" s="35">
        <f t="shared" si="4"/>
        <v>62647</v>
      </c>
      <c r="O50" s="36">
        <f t="shared" si="2"/>
        <v>841373</v>
      </c>
    </row>
    <row r="51" spans="1:19" x14ac:dyDescent="0.2">
      <c r="J51" s="229">
        <f>+J37-SUM(J22:J36)</f>
        <v>135262</v>
      </c>
      <c r="M51" s="38"/>
      <c r="Q51" s="38"/>
    </row>
    <row r="52" spans="1:19" ht="13.5" thickBot="1" x14ac:dyDescent="0.25">
      <c r="J52" s="38">
        <f>+J51-J49</f>
        <v>67352</v>
      </c>
    </row>
    <row r="53" spans="1:19" ht="13.5" thickBot="1" x14ac:dyDescent="0.25">
      <c r="B53" s="789" t="s">
        <v>162</v>
      </c>
      <c r="C53" s="861"/>
      <c r="D53" s="861"/>
      <c r="E53" s="861"/>
      <c r="F53" s="862"/>
      <c r="G53" s="863">
        <f>O37</f>
        <v>1644318</v>
      </c>
      <c r="H53" s="864"/>
    </row>
    <row r="54" spans="1:19" ht="13.5" thickBot="1" x14ac:dyDescent="0.25"/>
    <row r="55" spans="1:19" x14ac:dyDescent="0.2">
      <c r="B55" s="830" t="s">
        <v>163</v>
      </c>
      <c r="C55" s="833" t="s">
        <v>164</v>
      </c>
      <c r="D55" s="836" t="s">
        <v>229</v>
      </c>
      <c r="E55" s="837"/>
      <c r="F55" s="838"/>
      <c r="G55" s="839">
        <v>40000</v>
      </c>
      <c r="H55" s="840"/>
    </row>
    <row r="56" spans="1:19" x14ac:dyDescent="0.2">
      <c r="B56" s="831"/>
      <c r="C56" s="834"/>
      <c r="D56" s="841" t="s">
        <v>166</v>
      </c>
      <c r="E56" s="842"/>
      <c r="F56" s="843"/>
      <c r="G56" s="844">
        <f>+O44</f>
        <v>2500</v>
      </c>
      <c r="H56" s="845"/>
      <c r="I56" s="39"/>
      <c r="J56" s="846"/>
      <c r="K56" s="846"/>
      <c r="L56" s="846"/>
      <c r="M56" s="847"/>
      <c r="N56" s="847"/>
      <c r="O56" s="847"/>
    </row>
    <row r="57" spans="1:19" ht="13.5" thickBot="1" x14ac:dyDescent="0.25">
      <c r="B57" s="832"/>
      <c r="C57" s="835"/>
      <c r="D57" s="848" t="s">
        <v>266</v>
      </c>
      <c r="E57" s="849"/>
      <c r="F57" s="850"/>
      <c r="G57" s="851">
        <v>0</v>
      </c>
      <c r="H57" s="852"/>
      <c r="J57" s="47"/>
      <c r="K57" s="47"/>
      <c r="L57" s="47"/>
      <c r="M57" s="47"/>
      <c r="N57" s="47"/>
      <c r="O57" s="47"/>
    </row>
    <row r="58" spans="1:19" ht="13.5" thickBot="1" x14ac:dyDescent="0.25">
      <c r="B58" s="48"/>
      <c r="J58" s="47"/>
      <c r="K58" s="47"/>
      <c r="L58" s="47"/>
      <c r="M58" s="47"/>
      <c r="N58" s="47"/>
      <c r="O58" s="47"/>
    </row>
    <row r="59" spans="1:19" ht="13.5" thickBot="1" x14ac:dyDescent="0.25">
      <c r="B59" s="789" t="s">
        <v>168</v>
      </c>
      <c r="C59" s="790"/>
      <c r="D59" s="790"/>
      <c r="E59" s="790"/>
      <c r="F59" s="791"/>
      <c r="G59" s="825">
        <f>+G53-SUM(G55:H57)</f>
        <v>1601818</v>
      </c>
      <c r="H59" s="826"/>
      <c r="J59" s="827" t="s">
        <v>169</v>
      </c>
      <c r="K59" s="828"/>
      <c r="L59" s="828"/>
      <c r="M59" s="828"/>
      <c r="N59" s="828"/>
      <c r="O59" s="829"/>
    </row>
    <row r="60" spans="1:19" ht="13.5" thickBot="1" x14ac:dyDescent="0.25">
      <c r="B60" s="49"/>
      <c r="C60" s="50"/>
      <c r="D60" s="50"/>
      <c r="E60" s="50"/>
      <c r="F60" s="50"/>
      <c r="G60" s="45"/>
      <c r="H60" s="50"/>
      <c r="J60" s="129"/>
      <c r="K60" s="130"/>
      <c r="L60" s="130"/>
      <c r="M60" s="130"/>
      <c r="N60" s="130"/>
      <c r="O60" s="131"/>
    </row>
    <row r="61" spans="1:19" ht="13.5" thickBot="1" x14ac:dyDescent="0.25">
      <c r="B61" s="789" t="s">
        <v>170</v>
      </c>
      <c r="C61" s="790"/>
      <c r="D61" s="790"/>
      <c r="E61" s="790"/>
      <c r="F61" s="791"/>
      <c r="G61" s="805"/>
      <c r="H61" s="791"/>
      <c r="J61" s="129"/>
      <c r="K61" s="130"/>
      <c r="L61" s="130"/>
      <c r="M61" s="130"/>
      <c r="N61" s="130"/>
      <c r="O61" s="131"/>
    </row>
    <row r="62" spans="1:19" ht="12.75" customHeight="1" x14ac:dyDescent="0.2">
      <c r="B62" s="57" t="s">
        <v>171</v>
      </c>
      <c r="C62" s="806" t="s">
        <v>172</v>
      </c>
      <c r="D62" s="807"/>
      <c r="E62" s="807"/>
      <c r="F62" s="808"/>
      <c r="G62" s="809">
        <v>195673</v>
      </c>
      <c r="H62" s="809"/>
      <c r="I62" s="58"/>
      <c r="J62" s="810" t="s">
        <v>173</v>
      </c>
      <c r="K62" s="811"/>
      <c r="L62" s="811"/>
      <c r="M62" s="811"/>
      <c r="N62" s="811"/>
      <c r="O62" s="812"/>
      <c r="Q62" s="59"/>
      <c r="R62" s="59"/>
      <c r="S62" s="59"/>
    </row>
    <row r="63" spans="1:19" ht="13.5" thickBot="1" x14ac:dyDescent="0.25">
      <c r="D63" s="37"/>
      <c r="I63" s="58"/>
      <c r="J63" s="60"/>
      <c r="K63" s="132"/>
      <c r="L63" s="132"/>
      <c r="M63" s="133"/>
      <c r="N63" s="133"/>
      <c r="O63" s="134"/>
      <c r="Q63" s="59"/>
      <c r="R63" s="59"/>
      <c r="S63" s="59"/>
    </row>
    <row r="64" spans="1:19" ht="13.5" thickBot="1" x14ac:dyDescent="0.25">
      <c r="B64" s="789" t="s">
        <v>175</v>
      </c>
      <c r="C64" s="790"/>
      <c r="D64" s="790"/>
      <c r="E64" s="790"/>
      <c r="F64" s="791"/>
      <c r="G64" s="805">
        <f>+G59-G62</f>
        <v>1406145</v>
      </c>
      <c r="H64" s="791"/>
      <c r="I64" s="63"/>
      <c r="J64" s="75"/>
      <c r="K64" s="39"/>
      <c r="L64" s="39"/>
      <c r="M64" s="39"/>
      <c r="N64" s="39"/>
      <c r="O64" s="65"/>
      <c r="Q64" s="59"/>
      <c r="R64" s="59"/>
      <c r="S64" s="59"/>
    </row>
    <row r="65" spans="2:19" ht="12.75" customHeight="1" x14ac:dyDescent="0.2">
      <c r="B65" s="48"/>
      <c r="C65" s="48"/>
      <c r="I65" s="63"/>
      <c r="J65" s="75"/>
      <c r="K65" s="39"/>
      <c r="L65" s="39"/>
      <c r="M65" s="39"/>
      <c r="N65" s="39"/>
      <c r="O65" s="65"/>
      <c r="Q65" s="59"/>
      <c r="R65" s="59"/>
      <c r="S65" s="59"/>
    </row>
    <row r="66" spans="2:19" x14ac:dyDescent="0.2">
      <c r="B66" s="66" t="s">
        <v>176</v>
      </c>
      <c r="C66" s="48"/>
      <c r="I66" s="63"/>
      <c r="J66" s="67"/>
      <c r="K66" s="68"/>
      <c r="L66" s="68"/>
      <c r="M66" s="68"/>
      <c r="N66" s="68"/>
      <c r="O66" s="69"/>
      <c r="Q66" s="59"/>
      <c r="R66" s="59"/>
      <c r="S66" s="59"/>
    </row>
    <row r="67" spans="2:19" ht="28.5" customHeight="1" thickBot="1" x14ac:dyDescent="0.25">
      <c r="B67" s="66"/>
      <c r="C67" s="48"/>
      <c r="G67" s="70" t="s">
        <v>177</v>
      </c>
      <c r="H67" s="70" t="s">
        <v>178</v>
      </c>
      <c r="I67" s="63"/>
      <c r="J67" s="810" t="s">
        <v>179</v>
      </c>
      <c r="K67" s="811"/>
      <c r="L67" s="71"/>
      <c r="M67" s="71"/>
      <c r="N67" s="71"/>
      <c r="O67" s="72"/>
      <c r="Q67" s="59"/>
      <c r="R67" s="59"/>
      <c r="S67" s="59"/>
    </row>
    <row r="68" spans="2:19" ht="12.75" customHeight="1" x14ac:dyDescent="0.2">
      <c r="B68" s="802" t="s">
        <v>180</v>
      </c>
      <c r="C68" s="821" t="s">
        <v>181</v>
      </c>
      <c r="D68" s="823" t="s">
        <v>182</v>
      </c>
      <c r="E68" s="824"/>
      <c r="F68" s="824"/>
      <c r="G68" s="73">
        <f>+O43</f>
        <v>595000</v>
      </c>
      <c r="H68" s="74">
        <f>+G68</f>
        <v>595000</v>
      </c>
      <c r="I68" s="63"/>
      <c r="J68" s="75" t="s">
        <v>183</v>
      </c>
      <c r="K68" s="58"/>
      <c r="L68" s="58"/>
      <c r="M68" s="58"/>
      <c r="N68" s="58"/>
      <c r="O68" s="76"/>
      <c r="Q68" s="59"/>
      <c r="R68" s="59"/>
      <c r="S68" s="59"/>
    </row>
    <row r="69" spans="2:19" ht="12.75" customHeight="1" x14ac:dyDescent="0.2">
      <c r="B69" s="803"/>
      <c r="C69" s="822"/>
      <c r="D69" s="782" t="s">
        <v>184</v>
      </c>
      <c r="E69" s="783"/>
      <c r="F69" s="783"/>
      <c r="G69" s="77">
        <f>+O47</f>
        <v>0</v>
      </c>
      <c r="H69" s="78">
        <f t="shared" ref="H69:H75" si="5">+G69</f>
        <v>0</v>
      </c>
      <c r="I69" s="63"/>
      <c r="J69" s="79"/>
      <c r="K69" s="68"/>
      <c r="L69" s="68"/>
      <c r="M69" s="68"/>
      <c r="N69" s="68"/>
      <c r="O69" s="69"/>
      <c r="Q69" s="59"/>
      <c r="R69" s="59"/>
      <c r="S69" s="59"/>
    </row>
    <row r="70" spans="2:19" ht="15" customHeight="1" x14ac:dyDescent="0.2">
      <c r="B70" s="803"/>
      <c r="C70" s="822"/>
      <c r="D70" s="819" t="s">
        <v>185</v>
      </c>
      <c r="E70" s="820"/>
      <c r="F70" s="820"/>
      <c r="G70" s="80">
        <f>O40</f>
        <v>720</v>
      </c>
      <c r="H70" s="78">
        <f t="shared" si="5"/>
        <v>720</v>
      </c>
      <c r="I70" s="63"/>
      <c r="J70" s="67"/>
      <c r="K70" s="68"/>
      <c r="L70" s="68"/>
      <c r="M70" s="68"/>
      <c r="N70" s="68"/>
      <c r="O70" s="69"/>
    </row>
    <row r="71" spans="2:19" x14ac:dyDescent="0.2">
      <c r="B71" s="803"/>
      <c r="C71" s="822"/>
      <c r="D71" s="782" t="s">
        <v>186</v>
      </c>
      <c r="E71" s="783"/>
      <c r="F71" s="783"/>
      <c r="G71" s="81">
        <v>0</v>
      </c>
      <c r="H71" s="78">
        <f t="shared" si="5"/>
        <v>0</v>
      </c>
      <c r="I71" s="63"/>
      <c r="J71" s="82" t="s">
        <v>187</v>
      </c>
      <c r="K71" s="71"/>
      <c r="L71" s="71"/>
      <c r="M71" s="71"/>
      <c r="N71" s="71"/>
      <c r="O71" s="72"/>
    </row>
    <row r="72" spans="2:19" ht="12.75" customHeight="1" x14ac:dyDescent="0.2">
      <c r="B72" s="803"/>
      <c r="C72" s="822"/>
      <c r="D72" s="784" t="s">
        <v>188</v>
      </c>
      <c r="E72" s="783"/>
      <c r="F72" s="783"/>
      <c r="G72" s="80">
        <v>0</v>
      </c>
      <c r="H72" s="78">
        <f t="shared" si="5"/>
        <v>0</v>
      </c>
      <c r="I72" s="63"/>
      <c r="J72" s="75"/>
      <c r="K72" s="50"/>
      <c r="L72" s="50"/>
      <c r="M72" s="50"/>
      <c r="N72" s="50"/>
      <c r="O72" s="83"/>
    </row>
    <row r="73" spans="2:19" ht="14.25" customHeight="1" x14ac:dyDescent="0.2">
      <c r="B73" s="803"/>
      <c r="C73" s="822"/>
      <c r="D73" s="782" t="s">
        <v>190</v>
      </c>
      <c r="E73" s="783"/>
      <c r="F73" s="783"/>
      <c r="G73" s="84">
        <v>0</v>
      </c>
      <c r="H73" s="78">
        <f t="shared" si="5"/>
        <v>0</v>
      </c>
      <c r="I73" s="63"/>
      <c r="J73" s="75"/>
      <c r="K73" s="39"/>
      <c r="L73" s="39"/>
      <c r="M73" s="39"/>
      <c r="N73" s="39"/>
      <c r="O73" s="65"/>
    </row>
    <row r="74" spans="2:19" x14ac:dyDescent="0.2">
      <c r="B74" s="803"/>
      <c r="C74" s="822"/>
      <c r="D74" s="782" t="s">
        <v>191</v>
      </c>
      <c r="E74" s="783"/>
      <c r="F74" s="783"/>
      <c r="G74" s="81">
        <v>162034</v>
      </c>
      <c r="H74" s="78">
        <f t="shared" si="5"/>
        <v>162034</v>
      </c>
      <c r="I74" s="58"/>
      <c r="J74" s="137"/>
      <c r="K74" s="50"/>
      <c r="L74" s="50"/>
      <c r="M74" s="50"/>
      <c r="N74" s="50"/>
      <c r="O74" s="83"/>
    </row>
    <row r="75" spans="2:19" x14ac:dyDescent="0.2">
      <c r="B75" s="803"/>
      <c r="C75" s="88" t="s">
        <v>192</v>
      </c>
      <c r="D75" s="1074" t="s">
        <v>1208</v>
      </c>
      <c r="E75" s="814"/>
      <c r="F75" s="814"/>
      <c r="G75" s="80">
        <v>0</v>
      </c>
      <c r="H75" s="78">
        <f t="shared" si="5"/>
        <v>0</v>
      </c>
      <c r="I75" s="58"/>
      <c r="J75" s="79"/>
      <c r="K75" s="39"/>
      <c r="L75" s="39"/>
      <c r="M75" s="39"/>
      <c r="N75" s="39"/>
      <c r="O75" s="65"/>
    </row>
    <row r="76" spans="2:19" ht="13.5" customHeight="1" thickBot="1" x14ac:dyDescent="0.25">
      <c r="B76" s="803"/>
      <c r="C76" s="88" t="s">
        <v>194</v>
      </c>
      <c r="D76" s="815" t="s">
        <v>195</v>
      </c>
      <c r="E76" s="815"/>
      <c r="F76" s="815"/>
      <c r="G76" s="89">
        <v>0</v>
      </c>
      <c r="H76" s="90">
        <f>+G76</f>
        <v>0</v>
      </c>
      <c r="I76" s="63"/>
      <c r="J76" s="67"/>
      <c r="K76" s="68"/>
      <c r="L76" s="68"/>
      <c r="M76" s="91"/>
      <c r="N76" s="91"/>
      <c r="O76" s="92"/>
    </row>
    <row r="77" spans="2:19" ht="13.5" thickBot="1" x14ac:dyDescent="0.25">
      <c r="B77" s="803"/>
      <c r="C77" s="93"/>
      <c r="D77" s="94"/>
      <c r="E77" s="816" t="s">
        <v>117</v>
      </c>
      <c r="F77" s="817"/>
      <c r="G77" s="95">
        <f>SUM(G68:G76)</f>
        <v>757754</v>
      </c>
      <c r="H77" s="96">
        <f>IF(SUM(G68:G74)&lt;150000,SUM(G68:G74),150000)+IF(+G75&lt;20000,+G75,20000)</f>
        <v>150000</v>
      </c>
      <c r="I77" s="63"/>
      <c r="J77" s="140"/>
      <c r="K77" s="141"/>
      <c r="L77" s="141"/>
      <c r="M77" s="142"/>
      <c r="N77" s="142"/>
      <c r="O77" s="143"/>
    </row>
    <row r="78" spans="2:19" ht="12.75" customHeight="1" x14ac:dyDescent="0.2">
      <c r="B78" s="803"/>
      <c r="C78" s="100" t="s">
        <v>196</v>
      </c>
      <c r="D78" s="782" t="s">
        <v>187</v>
      </c>
      <c r="E78" s="783"/>
      <c r="F78" s="818"/>
      <c r="G78" s="73">
        <v>0</v>
      </c>
      <c r="H78" s="221">
        <f>+IF(+G78&lt;25000,+G78,25000)</f>
        <v>0</v>
      </c>
      <c r="I78" s="87"/>
    </row>
    <row r="79" spans="2:19" x14ac:dyDescent="0.2">
      <c r="B79" s="803"/>
      <c r="C79" s="100" t="s">
        <v>197</v>
      </c>
      <c r="D79" s="784" t="s">
        <v>198</v>
      </c>
      <c r="E79" s="785"/>
      <c r="F79" s="786"/>
      <c r="G79" s="102"/>
      <c r="H79" s="222">
        <f>+IF(+G79&lt;40000,+G79,40000)</f>
        <v>0</v>
      </c>
      <c r="I79" s="63"/>
    </row>
    <row r="80" spans="2:19" ht="15" x14ac:dyDescent="0.25">
      <c r="B80" s="803"/>
      <c r="C80" s="100" t="s">
        <v>199</v>
      </c>
      <c r="D80" s="784" t="s">
        <v>200</v>
      </c>
      <c r="E80" s="785"/>
      <c r="F80" s="786"/>
      <c r="G80" s="81"/>
      <c r="H80" s="104">
        <v>0</v>
      </c>
      <c r="I80" s="63"/>
      <c r="J80" s="264"/>
      <c r="K80" s="264"/>
      <c r="L80" s="162"/>
    </row>
    <row r="81" spans="2:13" x14ac:dyDescent="0.2">
      <c r="B81" s="803"/>
      <c r="C81" s="100" t="s">
        <v>201</v>
      </c>
      <c r="D81" s="784" t="s">
        <v>202</v>
      </c>
      <c r="E81" s="785"/>
      <c r="F81" s="786"/>
      <c r="G81" s="81"/>
      <c r="H81" s="104">
        <v>0</v>
      </c>
      <c r="I81" s="63"/>
    </row>
    <row r="82" spans="2:13" ht="13.5" thickBot="1" x14ac:dyDescent="0.25">
      <c r="B82" s="804"/>
      <c r="C82" s="100" t="s">
        <v>203</v>
      </c>
      <c r="D82" s="784" t="s">
        <v>204</v>
      </c>
      <c r="E82" s="785"/>
      <c r="F82" s="786"/>
      <c r="G82" s="102"/>
      <c r="H82" s="222">
        <f>+IF(+G82&lt;100000,+G82,10000)</f>
        <v>0</v>
      </c>
      <c r="I82" s="63"/>
      <c r="J82" s="416"/>
      <c r="K82" s="416"/>
      <c r="L82" s="416"/>
      <c r="M82" s="416"/>
    </row>
    <row r="83" spans="2:13" ht="13.5" thickBot="1" x14ac:dyDescent="0.25">
      <c r="B83" s="787" t="s">
        <v>205</v>
      </c>
      <c r="C83" s="788"/>
      <c r="D83" s="788"/>
      <c r="E83" s="788"/>
      <c r="F83" s="788"/>
      <c r="G83" s="107">
        <f>SUM(G78:G82)</f>
        <v>0</v>
      </c>
      <c r="H83" s="108">
        <f>SUM(H77:H82)</f>
        <v>150000</v>
      </c>
    </row>
    <row r="84" spans="2:13" ht="13.5" thickBot="1" x14ac:dyDescent="0.25"/>
    <row r="85" spans="2:13" ht="13.5" thickBot="1" x14ac:dyDescent="0.25">
      <c r="B85" s="789" t="s">
        <v>206</v>
      </c>
      <c r="C85" s="790"/>
      <c r="D85" s="790"/>
      <c r="E85" s="790"/>
      <c r="F85" s="791"/>
      <c r="G85" s="1055">
        <f>ROUND(+G64-H83,-1)</f>
        <v>1256150</v>
      </c>
      <c r="H85" s="1056"/>
      <c r="J85" s="109">
        <f>C37+D37+E37+F37</f>
        <v>555314</v>
      </c>
      <c r="K85" s="16" t="s">
        <v>235</v>
      </c>
    </row>
    <row r="86" spans="2:13" x14ac:dyDescent="0.2">
      <c r="B86" s="110"/>
      <c r="F86" s="105"/>
      <c r="J86" s="109">
        <f>G37+H37+I37</f>
        <v>399606</v>
      </c>
      <c r="K86" s="16" t="s">
        <v>236</v>
      </c>
      <c r="L86" s="16">
        <f>+J86/3</f>
        <v>133202</v>
      </c>
    </row>
    <row r="87" spans="2:13" x14ac:dyDescent="0.2">
      <c r="C87" s="793" t="s">
        <v>207</v>
      </c>
      <c r="D87" s="794"/>
      <c r="E87" s="111" t="s">
        <v>208</v>
      </c>
      <c r="F87" s="111" t="s">
        <v>209</v>
      </c>
      <c r="G87" s="111" t="s">
        <v>210</v>
      </c>
      <c r="H87" s="111" t="s">
        <v>211</v>
      </c>
      <c r="J87" s="109">
        <f>J37+K37+L37</f>
        <v>418874</v>
      </c>
      <c r="K87" s="47" t="s">
        <v>237</v>
      </c>
    </row>
    <row r="88" spans="2:13" x14ac:dyDescent="0.2">
      <c r="C88" s="795" t="str">
        <f>IF(I6="M","0          - 250000","0          -  250000")</f>
        <v>0          - 250000</v>
      </c>
      <c r="D88" s="796"/>
      <c r="E88" s="112">
        <v>0</v>
      </c>
      <c r="F88" s="113">
        <f>IF(I6="M",(IF(G85&lt;250000,G85,250000)),(IF(G85&lt;250000,G85,250000)))</f>
        <v>250000</v>
      </c>
      <c r="G88" s="113">
        <f>G85-F88</f>
        <v>1006150</v>
      </c>
      <c r="H88" s="113">
        <f>E88*F88</f>
        <v>0</v>
      </c>
      <c r="J88" s="16">
        <f>M37+N37</f>
        <v>270524</v>
      </c>
      <c r="K88" s="1" t="s">
        <v>238</v>
      </c>
      <c r="L88" s="16">
        <f>+J88/2</f>
        <v>135262</v>
      </c>
    </row>
    <row r="89" spans="2:13" x14ac:dyDescent="0.2">
      <c r="C89" s="795" t="str">
        <f>IF(I6="M","250001 - 500000","250001-500000")</f>
        <v>250001 - 500000</v>
      </c>
      <c r="D89" s="796"/>
      <c r="E89" s="112">
        <v>0.05</v>
      </c>
      <c r="F89" s="113">
        <f>IF(I6="M",(IF(G88&lt;250000,G88,250000)),(IF(G88&lt;250000,G88,250000)))</f>
        <v>250000</v>
      </c>
      <c r="G89" s="113">
        <f>G88-F89</f>
        <v>756150</v>
      </c>
      <c r="H89" s="114">
        <f>ROUND(E89*F89,0.1)</f>
        <v>12500</v>
      </c>
      <c r="J89" s="115">
        <f>SUM(J85:J88)</f>
        <v>1644318</v>
      </c>
    </row>
    <row r="90" spans="2:13" x14ac:dyDescent="0.2">
      <c r="C90" s="797" t="s">
        <v>212</v>
      </c>
      <c r="D90" s="798"/>
      <c r="E90" s="112">
        <v>0.2</v>
      </c>
      <c r="F90" s="113">
        <f>IF(G89&lt;500000,G89,500000)</f>
        <v>500000</v>
      </c>
      <c r="G90" s="113">
        <f>G89-F90</f>
        <v>256150</v>
      </c>
      <c r="H90" s="114">
        <f>ROUND(E90*F90,0.1)</f>
        <v>100000</v>
      </c>
      <c r="J90" s="16">
        <f>+G85</f>
        <v>1256150</v>
      </c>
    </row>
    <row r="91" spans="2:13" x14ac:dyDescent="0.2">
      <c r="C91" s="795" t="s">
        <v>213</v>
      </c>
      <c r="D91" s="796"/>
      <c r="E91" s="112">
        <v>0.3</v>
      </c>
      <c r="F91" s="113">
        <f>G90</f>
        <v>256150</v>
      </c>
      <c r="G91" s="113">
        <f>G90-F91</f>
        <v>0</v>
      </c>
      <c r="H91" s="114">
        <f>ROUND(E91*F91,0.1)</f>
        <v>76845</v>
      </c>
      <c r="J91" s="16">
        <f>+J89-J90</f>
        <v>388168</v>
      </c>
    </row>
    <row r="92" spans="2:13" ht="12.75" customHeight="1" thickBot="1" x14ac:dyDescent="0.25">
      <c r="B92" s="116"/>
      <c r="C92" s="117"/>
      <c r="D92" s="47"/>
      <c r="E92" s="47"/>
      <c r="F92" s="47"/>
      <c r="J92" s="16">
        <f>ROUND(+G85/12,0.1)</f>
        <v>104679</v>
      </c>
      <c r="K92" s="292" t="s">
        <v>416</v>
      </c>
    </row>
    <row r="93" spans="2:13" ht="13.5" thickBot="1" x14ac:dyDescent="0.25">
      <c r="B93" s="799" t="s">
        <v>239</v>
      </c>
      <c r="C93" s="800"/>
      <c r="D93" s="800"/>
      <c r="E93" s="800"/>
      <c r="F93" s="801"/>
      <c r="G93" s="771">
        <f>H88+H89+H90+H91</f>
        <v>189345</v>
      </c>
      <c r="H93" s="772"/>
    </row>
    <row r="94" spans="2:13" ht="13.5" thickBot="1" x14ac:dyDescent="0.25">
      <c r="B94" s="119" t="s">
        <v>215</v>
      </c>
      <c r="C94" s="120"/>
      <c r="D94" s="120"/>
      <c r="E94" s="120"/>
      <c r="F94" s="120"/>
      <c r="G94" s="884">
        <f>IF((G64&lt;500000),5000,0)</f>
        <v>0</v>
      </c>
      <c r="H94" s="885">
        <f>IF(H92&lt;200000,0,IF(H92&lt;220000,((H92-200000)*10%),IF(H92&lt;=500000,2000,IF(H92&gt;=500000,0))))</f>
        <v>0</v>
      </c>
    </row>
    <row r="95" spans="2:13" ht="13.5" thickBot="1" x14ac:dyDescent="0.25">
      <c r="B95" s="122" t="s">
        <v>216</v>
      </c>
      <c r="C95" s="123"/>
      <c r="D95" s="123"/>
      <c r="E95" s="123"/>
      <c r="F95" s="123"/>
      <c r="G95" s="771">
        <f>IF((G93-G94)&lt;0,0,(G93-G94))</f>
        <v>189345</v>
      </c>
      <c r="H95" s="772"/>
    </row>
    <row r="96" spans="2:13" ht="13.5" thickBot="1" x14ac:dyDescent="0.25">
      <c r="B96" s="773" t="s">
        <v>240</v>
      </c>
      <c r="C96" s="774"/>
      <c r="D96" s="774"/>
      <c r="E96" s="774"/>
      <c r="F96" s="775"/>
      <c r="G96" s="776">
        <f>ROUND((IF(G95&gt;0,(G95*4%),0)),0)</f>
        <v>7574</v>
      </c>
      <c r="H96" s="777"/>
      <c r="I96" s="105"/>
    </row>
    <row r="97" spans="2:10" ht="13.5" thickBot="1" x14ac:dyDescent="0.25">
      <c r="B97" s="778" t="s">
        <v>218</v>
      </c>
      <c r="C97" s="779"/>
      <c r="D97" s="779"/>
      <c r="E97" s="779"/>
      <c r="F97" s="779"/>
      <c r="G97" s="780">
        <f>+G95+G96</f>
        <v>196919</v>
      </c>
      <c r="H97" s="781"/>
    </row>
    <row r="98" spans="2:10" ht="13.5" thickBot="1" x14ac:dyDescent="0.25">
      <c r="B98" s="765" t="s">
        <v>219</v>
      </c>
      <c r="C98" s="766"/>
      <c r="D98" s="766"/>
      <c r="E98" s="766"/>
      <c r="F98" s="766"/>
      <c r="G98" s="767">
        <f>O38</f>
        <v>196925</v>
      </c>
      <c r="H98" s="768"/>
    </row>
    <row r="99" spans="2:10" ht="13.5" thickBot="1" x14ac:dyDescent="0.25">
      <c r="B99" s="765" t="str">
        <f>IF(G99&gt;0,"TAX PAYABLE","TAX REFUND")</f>
        <v>TAX REFUND</v>
      </c>
      <c r="C99" s="766"/>
      <c r="D99" s="766"/>
      <c r="E99" s="766"/>
      <c r="F99" s="766"/>
      <c r="G99" s="767">
        <f>+G97-G98</f>
        <v>-6</v>
      </c>
      <c r="H99" s="768"/>
    </row>
    <row r="100" spans="2:10" x14ac:dyDescent="0.2">
      <c r="C100" s="124"/>
      <c r="D100" s="45"/>
      <c r="E100" s="118"/>
      <c r="F100" s="118"/>
      <c r="G100" s="118"/>
      <c r="H100" s="118"/>
      <c r="I100" s="87"/>
      <c r="J100" s="87"/>
    </row>
    <row r="101" spans="2:10" x14ac:dyDescent="0.2">
      <c r="C101" s="47"/>
      <c r="D101" s="50"/>
      <c r="E101" s="117"/>
      <c r="F101" s="47"/>
      <c r="G101" s="47"/>
      <c r="H101" s="47"/>
      <c r="I101" s="87"/>
      <c r="J101" s="87"/>
    </row>
    <row r="102" spans="2:10" x14ac:dyDescent="0.2">
      <c r="C102" s="39"/>
      <c r="D102" s="126"/>
      <c r="E102" s="126"/>
      <c r="F102" s="126"/>
      <c r="G102" s="39"/>
      <c r="H102" s="39"/>
    </row>
    <row r="103" spans="2:10" x14ac:dyDescent="0.2">
      <c r="C103" s="39"/>
      <c r="D103" s="126"/>
      <c r="E103" s="126"/>
      <c r="F103" s="39"/>
      <c r="G103" s="39"/>
      <c r="H103" s="39"/>
    </row>
    <row r="104" spans="2:10" x14ac:dyDescent="0.2">
      <c r="C104" s="39"/>
      <c r="D104" s="126"/>
      <c r="E104" s="126"/>
      <c r="F104" s="39"/>
      <c r="G104" s="39"/>
      <c r="H104" s="39"/>
    </row>
    <row r="105" spans="2:10" x14ac:dyDescent="0.2">
      <c r="C105" s="39"/>
      <c r="D105" s="39"/>
      <c r="E105" s="39"/>
      <c r="F105" s="39"/>
      <c r="G105" s="39"/>
      <c r="H105" s="39"/>
    </row>
    <row r="106" spans="2:10" x14ac:dyDescent="0.2">
      <c r="C106" s="39"/>
      <c r="D106" s="39"/>
      <c r="E106" s="39"/>
      <c r="F106" s="39"/>
      <c r="G106" s="39"/>
      <c r="H106" s="39"/>
    </row>
    <row r="107" spans="2:10"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9:F99 B93:F97">
    <cfRule type="cellIs" dxfId="289" priority="3" stopIfTrue="1" operator="equal">
      <formula>"TAX PAYABLE"</formula>
    </cfRule>
    <cfRule type="cellIs" dxfId="288" priority="4" stopIfTrue="1" operator="equal">
      <formula>"TAX REFUND"</formula>
    </cfRule>
  </conditionalFormatting>
  <conditionalFormatting sqref="G99:H99">
    <cfRule type="cellIs" dxfId="287" priority="1" stopIfTrue="1" operator="greaterThan">
      <formula>0</formula>
    </cfRule>
    <cfRule type="cellIs" dxfId="286"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$Q$8:$Q$9</formula1>
    </dataValidation>
  </dataValidations>
  <pageMargins left="0.7" right="0.7" top="0.75" bottom="0.75" header="0.3" footer="0.3"/>
  <pageSetup paperSize="5" orientation="landscape" horizontalDpi="300" verticalDpi="300" r:id="rId1"/>
  <headerFooter alignWithMargins="0"/>
  <legacyDrawing r:id="rId2"/>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7"/>
  <sheetViews>
    <sheetView topLeftCell="A65" workbookViewId="0">
      <selection activeCell="O37" sqref="O37"/>
    </sheetView>
  </sheetViews>
  <sheetFormatPr defaultRowHeight="12.75" x14ac:dyDescent="0.2"/>
  <cols>
    <col min="1" max="1" width="5" style="16" customWidth="1"/>
    <col min="2" max="2" width="18" style="37" customWidth="1"/>
    <col min="3" max="3" width="10.7109375" style="16" bestFit="1" customWidth="1"/>
    <col min="4" max="4" width="7.28515625" style="16" customWidth="1"/>
    <col min="5" max="5" width="8.5703125" style="16" bestFit="1" customWidth="1"/>
    <col min="6" max="6" width="9.28515625" style="16" bestFit="1" customWidth="1"/>
    <col min="7" max="7" width="8.42578125" style="16" bestFit="1" customWidth="1"/>
    <col min="8" max="8" width="9.7109375" style="16" bestFit="1" customWidth="1"/>
    <col min="9" max="9" width="10" style="16" customWidth="1"/>
    <col min="10" max="10" width="9.28515625" style="16" customWidth="1"/>
    <col min="11" max="11" width="8.7109375" style="16" customWidth="1"/>
    <col min="12" max="12" width="9.5703125" style="16" customWidth="1"/>
    <col min="13" max="13" width="8.42578125" style="16" customWidth="1"/>
    <col min="14" max="15" width="8" style="16" customWidth="1"/>
    <col min="16" max="20" width="9.140625" style="16"/>
    <col min="21" max="21" width="12.42578125" style="16" customWidth="1"/>
    <col min="22" max="22" width="9.140625" style="16"/>
    <col min="23" max="23" width="12" style="16" customWidth="1"/>
    <col min="24" max="256" width="9.140625" style="16"/>
    <col min="257" max="257" width="5" style="16" customWidth="1"/>
    <col min="258" max="258" width="18" style="16" customWidth="1"/>
    <col min="259" max="259" width="10.7109375" style="16" bestFit="1" customWidth="1"/>
    <col min="260" max="260" width="7.28515625" style="16" customWidth="1"/>
    <col min="261" max="261" width="8.5703125" style="16" bestFit="1" customWidth="1"/>
    <col min="262" max="262" width="9.28515625" style="16" bestFit="1" customWidth="1"/>
    <col min="263" max="263" width="8.42578125" style="16" bestFit="1" customWidth="1"/>
    <col min="264" max="264" width="9.7109375" style="16" bestFit="1" customWidth="1"/>
    <col min="265" max="265" width="10" style="16" customWidth="1"/>
    <col min="266" max="266" width="9.28515625" style="16" customWidth="1"/>
    <col min="267" max="267" width="8.7109375" style="16" customWidth="1"/>
    <col min="268" max="268" width="9.5703125" style="16" customWidth="1"/>
    <col min="269" max="269" width="8.42578125" style="16" customWidth="1"/>
    <col min="270" max="271" width="8" style="16" customWidth="1"/>
    <col min="272" max="276" width="9.140625" style="16"/>
    <col min="277" max="277" width="12.42578125" style="16" customWidth="1"/>
    <col min="278" max="278" width="9.140625" style="16"/>
    <col min="279" max="279" width="12" style="16" customWidth="1"/>
    <col min="280" max="512" width="9.140625" style="16"/>
    <col min="513" max="513" width="5" style="16" customWidth="1"/>
    <col min="514" max="514" width="18" style="16" customWidth="1"/>
    <col min="515" max="515" width="10.7109375" style="16" bestFit="1" customWidth="1"/>
    <col min="516" max="516" width="7.28515625" style="16" customWidth="1"/>
    <col min="517" max="517" width="8.5703125" style="16" bestFit="1" customWidth="1"/>
    <col min="518" max="518" width="9.28515625" style="16" bestFit="1" customWidth="1"/>
    <col min="519" max="519" width="8.42578125" style="16" bestFit="1" customWidth="1"/>
    <col min="520" max="520" width="9.7109375" style="16" bestFit="1" customWidth="1"/>
    <col min="521" max="521" width="10" style="16" customWidth="1"/>
    <col min="522" max="522" width="9.28515625" style="16" customWidth="1"/>
    <col min="523" max="523" width="8.7109375" style="16" customWidth="1"/>
    <col min="524" max="524" width="9.5703125" style="16" customWidth="1"/>
    <col min="525" max="525" width="8.42578125" style="16" customWidth="1"/>
    <col min="526" max="527" width="8" style="16" customWidth="1"/>
    <col min="528" max="532" width="9.140625" style="16"/>
    <col min="533" max="533" width="12.42578125" style="16" customWidth="1"/>
    <col min="534" max="534" width="9.140625" style="16"/>
    <col min="535" max="535" width="12" style="16" customWidth="1"/>
    <col min="536" max="768" width="9.140625" style="16"/>
    <col min="769" max="769" width="5" style="16" customWidth="1"/>
    <col min="770" max="770" width="18" style="16" customWidth="1"/>
    <col min="771" max="771" width="10.7109375" style="16" bestFit="1" customWidth="1"/>
    <col min="772" max="772" width="7.28515625" style="16" customWidth="1"/>
    <col min="773" max="773" width="8.5703125" style="16" bestFit="1" customWidth="1"/>
    <col min="774" max="774" width="9.28515625" style="16" bestFit="1" customWidth="1"/>
    <col min="775" max="775" width="8.42578125" style="16" bestFit="1" customWidth="1"/>
    <col min="776" max="776" width="9.7109375" style="16" bestFit="1" customWidth="1"/>
    <col min="777" max="777" width="10" style="16" customWidth="1"/>
    <col min="778" max="778" width="9.28515625" style="16" customWidth="1"/>
    <col min="779" max="779" width="8.7109375" style="16" customWidth="1"/>
    <col min="780" max="780" width="9.5703125" style="16" customWidth="1"/>
    <col min="781" max="781" width="8.42578125" style="16" customWidth="1"/>
    <col min="782" max="783" width="8" style="16" customWidth="1"/>
    <col min="784" max="788" width="9.140625" style="16"/>
    <col min="789" max="789" width="12.42578125" style="16" customWidth="1"/>
    <col min="790" max="790" width="9.140625" style="16"/>
    <col min="791" max="791" width="12" style="16" customWidth="1"/>
    <col min="792" max="1024" width="9.140625" style="16"/>
    <col min="1025" max="1025" width="5" style="16" customWidth="1"/>
    <col min="1026" max="1026" width="18" style="16" customWidth="1"/>
    <col min="1027" max="1027" width="10.7109375" style="16" bestFit="1" customWidth="1"/>
    <col min="1028" max="1028" width="7.28515625" style="16" customWidth="1"/>
    <col min="1029" max="1029" width="8.5703125" style="16" bestFit="1" customWidth="1"/>
    <col min="1030" max="1030" width="9.28515625" style="16" bestFit="1" customWidth="1"/>
    <col min="1031" max="1031" width="8.42578125" style="16" bestFit="1" customWidth="1"/>
    <col min="1032" max="1032" width="9.7109375" style="16" bestFit="1" customWidth="1"/>
    <col min="1033" max="1033" width="10" style="16" customWidth="1"/>
    <col min="1034" max="1034" width="9.28515625" style="16" customWidth="1"/>
    <col min="1035" max="1035" width="8.7109375" style="16" customWidth="1"/>
    <col min="1036" max="1036" width="9.5703125" style="16" customWidth="1"/>
    <col min="1037" max="1037" width="8.42578125" style="16" customWidth="1"/>
    <col min="1038" max="1039" width="8" style="16" customWidth="1"/>
    <col min="1040" max="1044" width="9.140625" style="16"/>
    <col min="1045" max="1045" width="12.42578125" style="16" customWidth="1"/>
    <col min="1046" max="1046" width="9.140625" style="16"/>
    <col min="1047" max="1047" width="12" style="16" customWidth="1"/>
    <col min="1048" max="1280" width="9.140625" style="16"/>
    <col min="1281" max="1281" width="5" style="16" customWidth="1"/>
    <col min="1282" max="1282" width="18" style="16" customWidth="1"/>
    <col min="1283" max="1283" width="10.7109375" style="16" bestFit="1" customWidth="1"/>
    <col min="1284" max="1284" width="7.28515625" style="16" customWidth="1"/>
    <col min="1285" max="1285" width="8.5703125" style="16" bestFit="1" customWidth="1"/>
    <col min="1286" max="1286" width="9.28515625" style="16" bestFit="1" customWidth="1"/>
    <col min="1287" max="1287" width="8.42578125" style="16" bestFit="1" customWidth="1"/>
    <col min="1288" max="1288" width="9.7109375" style="16" bestFit="1" customWidth="1"/>
    <col min="1289" max="1289" width="10" style="16" customWidth="1"/>
    <col min="1290" max="1290" width="9.28515625" style="16" customWidth="1"/>
    <col min="1291" max="1291" width="8.7109375" style="16" customWidth="1"/>
    <col min="1292" max="1292" width="9.5703125" style="16" customWidth="1"/>
    <col min="1293" max="1293" width="8.42578125" style="16" customWidth="1"/>
    <col min="1294" max="1295" width="8" style="16" customWidth="1"/>
    <col min="1296" max="1300" width="9.140625" style="16"/>
    <col min="1301" max="1301" width="12.42578125" style="16" customWidth="1"/>
    <col min="1302" max="1302" width="9.140625" style="16"/>
    <col min="1303" max="1303" width="12" style="16" customWidth="1"/>
    <col min="1304" max="1536" width="9.140625" style="16"/>
    <col min="1537" max="1537" width="5" style="16" customWidth="1"/>
    <col min="1538" max="1538" width="18" style="16" customWidth="1"/>
    <col min="1539" max="1539" width="10.7109375" style="16" bestFit="1" customWidth="1"/>
    <col min="1540" max="1540" width="7.28515625" style="16" customWidth="1"/>
    <col min="1541" max="1541" width="8.5703125" style="16" bestFit="1" customWidth="1"/>
    <col min="1542" max="1542" width="9.28515625" style="16" bestFit="1" customWidth="1"/>
    <col min="1543" max="1543" width="8.42578125" style="16" bestFit="1" customWidth="1"/>
    <col min="1544" max="1544" width="9.7109375" style="16" bestFit="1" customWidth="1"/>
    <col min="1545" max="1545" width="10" style="16" customWidth="1"/>
    <col min="1546" max="1546" width="9.28515625" style="16" customWidth="1"/>
    <col min="1547" max="1547" width="8.7109375" style="16" customWidth="1"/>
    <col min="1548" max="1548" width="9.5703125" style="16" customWidth="1"/>
    <col min="1549" max="1549" width="8.42578125" style="16" customWidth="1"/>
    <col min="1550" max="1551" width="8" style="16" customWidth="1"/>
    <col min="1552" max="1556" width="9.140625" style="16"/>
    <col min="1557" max="1557" width="12.42578125" style="16" customWidth="1"/>
    <col min="1558" max="1558" width="9.140625" style="16"/>
    <col min="1559" max="1559" width="12" style="16" customWidth="1"/>
    <col min="1560" max="1792" width="9.140625" style="16"/>
    <col min="1793" max="1793" width="5" style="16" customWidth="1"/>
    <col min="1794" max="1794" width="18" style="16" customWidth="1"/>
    <col min="1795" max="1795" width="10.7109375" style="16" bestFit="1" customWidth="1"/>
    <col min="1796" max="1796" width="7.28515625" style="16" customWidth="1"/>
    <col min="1797" max="1797" width="8.5703125" style="16" bestFit="1" customWidth="1"/>
    <col min="1798" max="1798" width="9.28515625" style="16" bestFit="1" customWidth="1"/>
    <col min="1799" max="1799" width="8.42578125" style="16" bestFit="1" customWidth="1"/>
    <col min="1800" max="1800" width="9.7109375" style="16" bestFit="1" customWidth="1"/>
    <col min="1801" max="1801" width="10" style="16" customWidth="1"/>
    <col min="1802" max="1802" width="9.28515625" style="16" customWidth="1"/>
    <col min="1803" max="1803" width="8.7109375" style="16" customWidth="1"/>
    <col min="1804" max="1804" width="9.5703125" style="16" customWidth="1"/>
    <col min="1805" max="1805" width="8.42578125" style="16" customWidth="1"/>
    <col min="1806" max="1807" width="8" style="16" customWidth="1"/>
    <col min="1808" max="1812" width="9.140625" style="16"/>
    <col min="1813" max="1813" width="12.42578125" style="16" customWidth="1"/>
    <col min="1814" max="1814" width="9.140625" style="16"/>
    <col min="1815" max="1815" width="12" style="16" customWidth="1"/>
    <col min="1816" max="2048" width="9.140625" style="16"/>
    <col min="2049" max="2049" width="5" style="16" customWidth="1"/>
    <col min="2050" max="2050" width="18" style="16" customWidth="1"/>
    <col min="2051" max="2051" width="10.7109375" style="16" bestFit="1" customWidth="1"/>
    <col min="2052" max="2052" width="7.28515625" style="16" customWidth="1"/>
    <col min="2053" max="2053" width="8.5703125" style="16" bestFit="1" customWidth="1"/>
    <col min="2054" max="2054" width="9.28515625" style="16" bestFit="1" customWidth="1"/>
    <col min="2055" max="2055" width="8.42578125" style="16" bestFit="1" customWidth="1"/>
    <col min="2056" max="2056" width="9.7109375" style="16" bestFit="1" customWidth="1"/>
    <col min="2057" max="2057" width="10" style="16" customWidth="1"/>
    <col min="2058" max="2058" width="9.28515625" style="16" customWidth="1"/>
    <col min="2059" max="2059" width="8.7109375" style="16" customWidth="1"/>
    <col min="2060" max="2060" width="9.5703125" style="16" customWidth="1"/>
    <col min="2061" max="2061" width="8.42578125" style="16" customWidth="1"/>
    <col min="2062" max="2063" width="8" style="16" customWidth="1"/>
    <col min="2064" max="2068" width="9.140625" style="16"/>
    <col min="2069" max="2069" width="12.42578125" style="16" customWidth="1"/>
    <col min="2070" max="2070" width="9.140625" style="16"/>
    <col min="2071" max="2071" width="12" style="16" customWidth="1"/>
    <col min="2072" max="2304" width="9.140625" style="16"/>
    <col min="2305" max="2305" width="5" style="16" customWidth="1"/>
    <col min="2306" max="2306" width="18" style="16" customWidth="1"/>
    <col min="2307" max="2307" width="10.7109375" style="16" bestFit="1" customWidth="1"/>
    <col min="2308" max="2308" width="7.28515625" style="16" customWidth="1"/>
    <col min="2309" max="2309" width="8.5703125" style="16" bestFit="1" customWidth="1"/>
    <col min="2310" max="2310" width="9.28515625" style="16" bestFit="1" customWidth="1"/>
    <col min="2311" max="2311" width="8.42578125" style="16" bestFit="1" customWidth="1"/>
    <col min="2312" max="2312" width="9.7109375" style="16" bestFit="1" customWidth="1"/>
    <col min="2313" max="2313" width="10" style="16" customWidth="1"/>
    <col min="2314" max="2314" width="9.28515625" style="16" customWidth="1"/>
    <col min="2315" max="2315" width="8.7109375" style="16" customWidth="1"/>
    <col min="2316" max="2316" width="9.5703125" style="16" customWidth="1"/>
    <col min="2317" max="2317" width="8.42578125" style="16" customWidth="1"/>
    <col min="2318" max="2319" width="8" style="16" customWidth="1"/>
    <col min="2320" max="2324" width="9.140625" style="16"/>
    <col min="2325" max="2325" width="12.42578125" style="16" customWidth="1"/>
    <col min="2326" max="2326" width="9.140625" style="16"/>
    <col min="2327" max="2327" width="12" style="16" customWidth="1"/>
    <col min="2328" max="2560" width="9.140625" style="16"/>
    <col min="2561" max="2561" width="5" style="16" customWidth="1"/>
    <col min="2562" max="2562" width="18" style="16" customWidth="1"/>
    <col min="2563" max="2563" width="10.7109375" style="16" bestFit="1" customWidth="1"/>
    <col min="2564" max="2564" width="7.28515625" style="16" customWidth="1"/>
    <col min="2565" max="2565" width="8.5703125" style="16" bestFit="1" customWidth="1"/>
    <col min="2566" max="2566" width="9.28515625" style="16" bestFit="1" customWidth="1"/>
    <col min="2567" max="2567" width="8.42578125" style="16" bestFit="1" customWidth="1"/>
    <col min="2568" max="2568" width="9.7109375" style="16" bestFit="1" customWidth="1"/>
    <col min="2569" max="2569" width="10" style="16" customWidth="1"/>
    <col min="2570" max="2570" width="9.28515625" style="16" customWidth="1"/>
    <col min="2571" max="2571" width="8.7109375" style="16" customWidth="1"/>
    <col min="2572" max="2572" width="9.5703125" style="16" customWidth="1"/>
    <col min="2573" max="2573" width="8.42578125" style="16" customWidth="1"/>
    <col min="2574" max="2575" width="8" style="16" customWidth="1"/>
    <col min="2576" max="2580" width="9.140625" style="16"/>
    <col min="2581" max="2581" width="12.42578125" style="16" customWidth="1"/>
    <col min="2582" max="2582" width="9.140625" style="16"/>
    <col min="2583" max="2583" width="12" style="16" customWidth="1"/>
    <col min="2584" max="2816" width="9.140625" style="16"/>
    <col min="2817" max="2817" width="5" style="16" customWidth="1"/>
    <col min="2818" max="2818" width="18" style="16" customWidth="1"/>
    <col min="2819" max="2819" width="10.7109375" style="16" bestFit="1" customWidth="1"/>
    <col min="2820" max="2820" width="7.28515625" style="16" customWidth="1"/>
    <col min="2821" max="2821" width="8.5703125" style="16" bestFit="1" customWidth="1"/>
    <col min="2822" max="2822" width="9.28515625" style="16" bestFit="1" customWidth="1"/>
    <col min="2823" max="2823" width="8.42578125" style="16" bestFit="1" customWidth="1"/>
    <col min="2824" max="2824" width="9.7109375" style="16" bestFit="1" customWidth="1"/>
    <col min="2825" max="2825" width="10" style="16" customWidth="1"/>
    <col min="2826" max="2826" width="9.28515625" style="16" customWidth="1"/>
    <col min="2827" max="2827" width="8.7109375" style="16" customWidth="1"/>
    <col min="2828" max="2828" width="9.5703125" style="16" customWidth="1"/>
    <col min="2829" max="2829" width="8.42578125" style="16" customWidth="1"/>
    <col min="2830" max="2831" width="8" style="16" customWidth="1"/>
    <col min="2832" max="2836" width="9.140625" style="16"/>
    <col min="2837" max="2837" width="12.42578125" style="16" customWidth="1"/>
    <col min="2838" max="2838" width="9.140625" style="16"/>
    <col min="2839" max="2839" width="12" style="16" customWidth="1"/>
    <col min="2840" max="3072" width="9.140625" style="16"/>
    <col min="3073" max="3073" width="5" style="16" customWidth="1"/>
    <col min="3074" max="3074" width="18" style="16" customWidth="1"/>
    <col min="3075" max="3075" width="10.7109375" style="16" bestFit="1" customWidth="1"/>
    <col min="3076" max="3076" width="7.28515625" style="16" customWidth="1"/>
    <col min="3077" max="3077" width="8.5703125" style="16" bestFit="1" customWidth="1"/>
    <col min="3078" max="3078" width="9.28515625" style="16" bestFit="1" customWidth="1"/>
    <col min="3079" max="3079" width="8.42578125" style="16" bestFit="1" customWidth="1"/>
    <col min="3080" max="3080" width="9.7109375" style="16" bestFit="1" customWidth="1"/>
    <col min="3081" max="3081" width="10" style="16" customWidth="1"/>
    <col min="3082" max="3082" width="9.28515625" style="16" customWidth="1"/>
    <col min="3083" max="3083" width="8.7109375" style="16" customWidth="1"/>
    <col min="3084" max="3084" width="9.5703125" style="16" customWidth="1"/>
    <col min="3085" max="3085" width="8.42578125" style="16" customWidth="1"/>
    <col min="3086" max="3087" width="8" style="16" customWidth="1"/>
    <col min="3088" max="3092" width="9.140625" style="16"/>
    <col min="3093" max="3093" width="12.42578125" style="16" customWidth="1"/>
    <col min="3094" max="3094" width="9.140625" style="16"/>
    <col min="3095" max="3095" width="12" style="16" customWidth="1"/>
    <col min="3096" max="3328" width="9.140625" style="16"/>
    <col min="3329" max="3329" width="5" style="16" customWidth="1"/>
    <col min="3330" max="3330" width="18" style="16" customWidth="1"/>
    <col min="3331" max="3331" width="10.7109375" style="16" bestFit="1" customWidth="1"/>
    <col min="3332" max="3332" width="7.28515625" style="16" customWidth="1"/>
    <col min="3333" max="3333" width="8.5703125" style="16" bestFit="1" customWidth="1"/>
    <col min="3334" max="3334" width="9.28515625" style="16" bestFit="1" customWidth="1"/>
    <col min="3335" max="3335" width="8.42578125" style="16" bestFit="1" customWidth="1"/>
    <col min="3336" max="3336" width="9.7109375" style="16" bestFit="1" customWidth="1"/>
    <col min="3337" max="3337" width="10" style="16" customWidth="1"/>
    <col min="3338" max="3338" width="9.28515625" style="16" customWidth="1"/>
    <col min="3339" max="3339" width="8.7109375" style="16" customWidth="1"/>
    <col min="3340" max="3340" width="9.5703125" style="16" customWidth="1"/>
    <col min="3341" max="3341" width="8.42578125" style="16" customWidth="1"/>
    <col min="3342" max="3343" width="8" style="16" customWidth="1"/>
    <col min="3344" max="3348" width="9.140625" style="16"/>
    <col min="3349" max="3349" width="12.42578125" style="16" customWidth="1"/>
    <col min="3350" max="3350" width="9.140625" style="16"/>
    <col min="3351" max="3351" width="12" style="16" customWidth="1"/>
    <col min="3352" max="3584" width="9.140625" style="16"/>
    <col min="3585" max="3585" width="5" style="16" customWidth="1"/>
    <col min="3586" max="3586" width="18" style="16" customWidth="1"/>
    <col min="3587" max="3587" width="10.7109375" style="16" bestFit="1" customWidth="1"/>
    <col min="3588" max="3588" width="7.28515625" style="16" customWidth="1"/>
    <col min="3589" max="3589" width="8.5703125" style="16" bestFit="1" customWidth="1"/>
    <col min="3590" max="3590" width="9.28515625" style="16" bestFit="1" customWidth="1"/>
    <col min="3591" max="3591" width="8.42578125" style="16" bestFit="1" customWidth="1"/>
    <col min="3592" max="3592" width="9.7109375" style="16" bestFit="1" customWidth="1"/>
    <col min="3593" max="3593" width="10" style="16" customWidth="1"/>
    <col min="3594" max="3594" width="9.28515625" style="16" customWidth="1"/>
    <col min="3595" max="3595" width="8.7109375" style="16" customWidth="1"/>
    <col min="3596" max="3596" width="9.5703125" style="16" customWidth="1"/>
    <col min="3597" max="3597" width="8.42578125" style="16" customWidth="1"/>
    <col min="3598" max="3599" width="8" style="16" customWidth="1"/>
    <col min="3600" max="3604" width="9.140625" style="16"/>
    <col min="3605" max="3605" width="12.42578125" style="16" customWidth="1"/>
    <col min="3606" max="3606" width="9.140625" style="16"/>
    <col min="3607" max="3607" width="12" style="16" customWidth="1"/>
    <col min="3608" max="3840" width="9.140625" style="16"/>
    <col min="3841" max="3841" width="5" style="16" customWidth="1"/>
    <col min="3842" max="3842" width="18" style="16" customWidth="1"/>
    <col min="3843" max="3843" width="10.7109375" style="16" bestFit="1" customWidth="1"/>
    <col min="3844" max="3844" width="7.28515625" style="16" customWidth="1"/>
    <col min="3845" max="3845" width="8.5703125" style="16" bestFit="1" customWidth="1"/>
    <col min="3846" max="3846" width="9.28515625" style="16" bestFit="1" customWidth="1"/>
    <col min="3847" max="3847" width="8.42578125" style="16" bestFit="1" customWidth="1"/>
    <col min="3848" max="3848" width="9.7109375" style="16" bestFit="1" customWidth="1"/>
    <col min="3849" max="3849" width="10" style="16" customWidth="1"/>
    <col min="3850" max="3850" width="9.28515625" style="16" customWidth="1"/>
    <col min="3851" max="3851" width="8.7109375" style="16" customWidth="1"/>
    <col min="3852" max="3852" width="9.5703125" style="16" customWidth="1"/>
    <col min="3853" max="3853" width="8.42578125" style="16" customWidth="1"/>
    <col min="3854" max="3855" width="8" style="16" customWidth="1"/>
    <col min="3856" max="3860" width="9.140625" style="16"/>
    <col min="3861" max="3861" width="12.42578125" style="16" customWidth="1"/>
    <col min="3862" max="3862" width="9.140625" style="16"/>
    <col min="3863" max="3863" width="12" style="16" customWidth="1"/>
    <col min="3864" max="4096" width="9.140625" style="16"/>
    <col min="4097" max="4097" width="5" style="16" customWidth="1"/>
    <col min="4098" max="4098" width="18" style="16" customWidth="1"/>
    <col min="4099" max="4099" width="10.7109375" style="16" bestFit="1" customWidth="1"/>
    <col min="4100" max="4100" width="7.28515625" style="16" customWidth="1"/>
    <col min="4101" max="4101" width="8.5703125" style="16" bestFit="1" customWidth="1"/>
    <col min="4102" max="4102" width="9.28515625" style="16" bestFit="1" customWidth="1"/>
    <col min="4103" max="4103" width="8.42578125" style="16" bestFit="1" customWidth="1"/>
    <col min="4104" max="4104" width="9.7109375" style="16" bestFit="1" customWidth="1"/>
    <col min="4105" max="4105" width="10" style="16" customWidth="1"/>
    <col min="4106" max="4106" width="9.28515625" style="16" customWidth="1"/>
    <col min="4107" max="4107" width="8.7109375" style="16" customWidth="1"/>
    <col min="4108" max="4108" width="9.5703125" style="16" customWidth="1"/>
    <col min="4109" max="4109" width="8.42578125" style="16" customWidth="1"/>
    <col min="4110" max="4111" width="8" style="16" customWidth="1"/>
    <col min="4112" max="4116" width="9.140625" style="16"/>
    <col min="4117" max="4117" width="12.42578125" style="16" customWidth="1"/>
    <col min="4118" max="4118" width="9.140625" style="16"/>
    <col min="4119" max="4119" width="12" style="16" customWidth="1"/>
    <col min="4120" max="4352" width="9.140625" style="16"/>
    <col min="4353" max="4353" width="5" style="16" customWidth="1"/>
    <col min="4354" max="4354" width="18" style="16" customWidth="1"/>
    <col min="4355" max="4355" width="10.7109375" style="16" bestFit="1" customWidth="1"/>
    <col min="4356" max="4356" width="7.28515625" style="16" customWidth="1"/>
    <col min="4357" max="4357" width="8.5703125" style="16" bestFit="1" customWidth="1"/>
    <col min="4358" max="4358" width="9.28515625" style="16" bestFit="1" customWidth="1"/>
    <col min="4359" max="4359" width="8.42578125" style="16" bestFit="1" customWidth="1"/>
    <col min="4360" max="4360" width="9.7109375" style="16" bestFit="1" customWidth="1"/>
    <col min="4361" max="4361" width="10" style="16" customWidth="1"/>
    <col min="4362" max="4362" width="9.28515625" style="16" customWidth="1"/>
    <col min="4363" max="4363" width="8.7109375" style="16" customWidth="1"/>
    <col min="4364" max="4364" width="9.5703125" style="16" customWidth="1"/>
    <col min="4365" max="4365" width="8.42578125" style="16" customWidth="1"/>
    <col min="4366" max="4367" width="8" style="16" customWidth="1"/>
    <col min="4368" max="4372" width="9.140625" style="16"/>
    <col min="4373" max="4373" width="12.42578125" style="16" customWidth="1"/>
    <col min="4374" max="4374" width="9.140625" style="16"/>
    <col min="4375" max="4375" width="12" style="16" customWidth="1"/>
    <col min="4376" max="4608" width="9.140625" style="16"/>
    <col min="4609" max="4609" width="5" style="16" customWidth="1"/>
    <col min="4610" max="4610" width="18" style="16" customWidth="1"/>
    <col min="4611" max="4611" width="10.7109375" style="16" bestFit="1" customWidth="1"/>
    <col min="4612" max="4612" width="7.28515625" style="16" customWidth="1"/>
    <col min="4613" max="4613" width="8.5703125" style="16" bestFit="1" customWidth="1"/>
    <col min="4614" max="4614" width="9.28515625" style="16" bestFit="1" customWidth="1"/>
    <col min="4615" max="4615" width="8.42578125" style="16" bestFit="1" customWidth="1"/>
    <col min="4616" max="4616" width="9.7109375" style="16" bestFit="1" customWidth="1"/>
    <col min="4617" max="4617" width="10" style="16" customWidth="1"/>
    <col min="4618" max="4618" width="9.28515625" style="16" customWidth="1"/>
    <col min="4619" max="4619" width="8.7109375" style="16" customWidth="1"/>
    <col min="4620" max="4620" width="9.5703125" style="16" customWidth="1"/>
    <col min="4621" max="4621" width="8.42578125" style="16" customWidth="1"/>
    <col min="4622" max="4623" width="8" style="16" customWidth="1"/>
    <col min="4624" max="4628" width="9.140625" style="16"/>
    <col min="4629" max="4629" width="12.42578125" style="16" customWidth="1"/>
    <col min="4630" max="4630" width="9.140625" style="16"/>
    <col min="4631" max="4631" width="12" style="16" customWidth="1"/>
    <col min="4632" max="4864" width="9.140625" style="16"/>
    <col min="4865" max="4865" width="5" style="16" customWidth="1"/>
    <col min="4866" max="4866" width="18" style="16" customWidth="1"/>
    <col min="4867" max="4867" width="10.7109375" style="16" bestFit="1" customWidth="1"/>
    <col min="4868" max="4868" width="7.28515625" style="16" customWidth="1"/>
    <col min="4869" max="4869" width="8.5703125" style="16" bestFit="1" customWidth="1"/>
    <col min="4870" max="4870" width="9.28515625" style="16" bestFit="1" customWidth="1"/>
    <col min="4871" max="4871" width="8.42578125" style="16" bestFit="1" customWidth="1"/>
    <col min="4872" max="4872" width="9.7109375" style="16" bestFit="1" customWidth="1"/>
    <col min="4873" max="4873" width="10" style="16" customWidth="1"/>
    <col min="4874" max="4874" width="9.28515625" style="16" customWidth="1"/>
    <col min="4875" max="4875" width="8.7109375" style="16" customWidth="1"/>
    <col min="4876" max="4876" width="9.5703125" style="16" customWidth="1"/>
    <col min="4877" max="4877" width="8.42578125" style="16" customWidth="1"/>
    <col min="4878" max="4879" width="8" style="16" customWidth="1"/>
    <col min="4880" max="4884" width="9.140625" style="16"/>
    <col min="4885" max="4885" width="12.42578125" style="16" customWidth="1"/>
    <col min="4886" max="4886" width="9.140625" style="16"/>
    <col min="4887" max="4887" width="12" style="16" customWidth="1"/>
    <col min="4888" max="5120" width="9.140625" style="16"/>
    <col min="5121" max="5121" width="5" style="16" customWidth="1"/>
    <col min="5122" max="5122" width="18" style="16" customWidth="1"/>
    <col min="5123" max="5123" width="10.7109375" style="16" bestFit="1" customWidth="1"/>
    <col min="5124" max="5124" width="7.28515625" style="16" customWidth="1"/>
    <col min="5125" max="5125" width="8.5703125" style="16" bestFit="1" customWidth="1"/>
    <col min="5126" max="5126" width="9.28515625" style="16" bestFit="1" customWidth="1"/>
    <col min="5127" max="5127" width="8.42578125" style="16" bestFit="1" customWidth="1"/>
    <col min="5128" max="5128" width="9.7109375" style="16" bestFit="1" customWidth="1"/>
    <col min="5129" max="5129" width="10" style="16" customWidth="1"/>
    <col min="5130" max="5130" width="9.28515625" style="16" customWidth="1"/>
    <col min="5131" max="5131" width="8.7109375" style="16" customWidth="1"/>
    <col min="5132" max="5132" width="9.5703125" style="16" customWidth="1"/>
    <col min="5133" max="5133" width="8.42578125" style="16" customWidth="1"/>
    <col min="5134" max="5135" width="8" style="16" customWidth="1"/>
    <col min="5136" max="5140" width="9.140625" style="16"/>
    <col min="5141" max="5141" width="12.42578125" style="16" customWidth="1"/>
    <col min="5142" max="5142" width="9.140625" style="16"/>
    <col min="5143" max="5143" width="12" style="16" customWidth="1"/>
    <col min="5144" max="5376" width="9.140625" style="16"/>
    <col min="5377" max="5377" width="5" style="16" customWidth="1"/>
    <col min="5378" max="5378" width="18" style="16" customWidth="1"/>
    <col min="5379" max="5379" width="10.7109375" style="16" bestFit="1" customWidth="1"/>
    <col min="5380" max="5380" width="7.28515625" style="16" customWidth="1"/>
    <col min="5381" max="5381" width="8.5703125" style="16" bestFit="1" customWidth="1"/>
    <col min="5382" max="5382" width="9.28515625" style="16" bestFit="1" customWidth="1"/>
    <col min="5383" max="5383" width="8.42578125" style="16" bestFit="1" customWidth="1"/>
    <col min="5384" max="5384" width="9.7109375" style="16" bestFit="1" customWidth="1"/>
    <col min="5385" max="5385" width="10" style="16" customWidth="1"/>
    <col min="5386" max="5386" width="9.28515625" style="16" customWidth="1"/>
    <col min="5387" max="5387" width="8.7109375" style="16" customWidth="1"/>
    <col min="5388" max="5388" width="9.5703125" style="16" customWidth="1"/>
    <col min="5389" max="5389" width="8.42578125" style="16" customWidth="1"/>
    <col min="5390" max="5391" width="8" style="16" customWidth="1"/>
    <col min="5392" max="5396" width="9.140625" style="16"/>
    <col min="5397" max="5397" width="12.42578125" style="16" customWidth="1"/>
    <col min="5398" max="5398" width="9.140625" style="16"/>
    <col min="5399" max="5399" width="12" style="16" customWidth="1"/>
    <col min="5400" max="5632" width="9.140625" style="16"/>
    <col min="5633" max="5633" width="5" style="16" customWidth="1"/>
    <col min="5634" max="5634" width="18" style="16" customWidth="1"/>
    <col min="5635" max="5635" width="10.7109375" style="16" bestFit="1" customWidth="1"/>
    <col min="5636" max="5636" width="7.28515625" style="16" customWidth="1"/>
    <col min="5637" max="5637" width="8.5703125" style="16" bestFit="1" customWidth="1"/>
    <col min="5638" max="5638" width="9.28515625" style="16" bestFit="1" customWidth="1"/>
    <col min="5639" max="5639" width="8.42578125" style="16" bestFit="1" customWidth="1"/>
    <col min="5640" max="5640" width="9.7109375" style="16" bestFit="1" customWidth="1"/>
    <col min="5641" max="5641" width="10" style="16" customWidth="1"/>
    <col min="5642" max="5642" width="9.28515625" style="16" customWidth="1"/>
    <col min="5643" max="5643" width="8.7109375" style="16" customWidth="1"/>
    <col min="5644" max="5644" width="9.5703125" style="16" customWidth="1"/>
    <col min="5645" max="5645" width="8.42578125" style="16" customWidth="1"/>
    <col min="5646" max="5647" width="8" style="16" customWidth="1"/>
    <col min="5648" max="5652" width="9.140625" style="16"/>
    <col min="5653" max="5653" width="12.42578125" style="16" customWidth="1"/>
    <col min="5654" max="5654" width="9.140625" style="16"/>
    <col min="5655" max="5655" width="12" style="16" customWidth="1"/>
    <col min="5656" max="5888" width="9.140625" style="16"/>
    <col min="5889" max="5889" width="5" style="16" customWidth="1"/>
    <col min="5890" max="5890" width="18" style="16" customWidth="1"/>
    <col min="5891" max="5891" width="10.7109375" style="16" bestFit="1" customWidth="1"/>
    <col min="5892" max="5892" width="7.28515625" style="16" customWidth="1"/>
    <col min="5893" max="5893" width="8.5703125" style="16" bestFit="1" customWidth="1"/>
    <col min="5894" max="5894" width="9.28515625" style="16" bestFit="1" customWidth="1"/>
    <col min="5895" max="5895" width="8.42578125" style="16" bestFit="1" customWidth="1"/>
    <col min="5896" max="5896" width="9.7109375" style="16" bestFit="1" customWidth="1"/>
    <col min="5897" max="5897" width="10" style="16" customWidth="1"/>
    <col min="5898" max="5898" width="9.28515625" style="16" customWidth="1"/>
    <col min="5899" max="5899" width="8.7109375" style="16" customWidth="1"/>
    <col min="5900" max="5900" width="9.5703125" style="16" customWidth="1"/>
    <col min="5901" max="5901" width="8.42578125" style="16" customWidth="1"/>
    <col min="5902" max="5903" width="8" style="16" customWidth="1"/>
    <col min="5904" max="5908" width="9.140625" style="16"/>
    <col min="5909" max="5909" width="12.42578125" style="16" customWidth="1"/>
    <col min="5910" max="5910" width="9.140625" style="16"/>
    <col min="5911" max="5911" width="12" style="16" customWidth="1"/>
    <col min="5912" max="6144" width="9.140625" style="16"/>
    <col min="6145" max="6145" width="5" style="16" customWidth="1"/>
    <col min="6146" max="6146" width="18" style="16" customWidth="1"/>
    <col min="6147" max="6147" width="10.7109375" style="16" bestFit="1" customWidth="1"/>
    <col min="6148" max="6148" width="7.28515625" style="16" customWidth="1"/>
    <col min="6149" max="6149" width="8.5703125" style="16" bestFit="1" customWidth="1"/>
    <col min="6150" max="6150" width="9.28515625" style="16" bestFit="1" customWidth="1"/>
    <col min="6151" max="6151" width="8.42578125" style="16" bestFit="1" customWidth="1"/>
    <col min="6152" max="6152" width="9.7109375" style="16" bestFit="1" customWidth="1"/>
    <col min="6153" max="6153" width="10" style="16" customWidth="1"/>
    <col min="6154" max="6154" width="9.28515625" style="16" customWidth="1"/>
    <col min="6155" max="6155" width="8.7109375" style="16" customWidth="1"/>
    <col min="6156" max="6156" width="9.5703125" style="16" customWidth="1"/>
    <col min="6157" max="6157" width="8.42578125" style="16" customWidth="1"/>
    <col min="6158" max="6159" width="8" style="16" customWidth="1"/>
    <col min="6160" max="6164" width="9.140625" style="16"/>
    <col min="6165" max="6165" width="12.42578125" style="16" customWidth="1"/>
    <col min="6166" max="6166" width="9.140625" style="16"/>
    <col min="6167" max="6167" width="12" style="16" customWidth="1"/>
    <col min="6168" max="6400" width="9.140625" style="16"/>
    <col min="6401" max="6401" width="5" style="16" customWidth="1"/>
    <col min="6402" max="6402" width="18" style="16" customWidth="1"/>
    <col min="6403" max="6403" width="10.7109375" style="16" bestFit="1" customWidth="1"/>
    <col min="6404" max="6404" width="7.28515625" style="16" customWidth="1"/>
    <col min="6405" max="6405" width="8.5703125" style="16" bestFit="1" customWidth="1"/>
    <col min="6406" max="6406" width="9.28515625" style="16" bestFit="1" customWidth="1"/>
    <col min="6407" max="6407" width="8.42578125" style="16" bestFit="1" customWidth="1"/>
    <col min="6408" max="6408" width="9.7109375" style="16" bestFit="1" customWidth="1"/>
    <col min="6409" max="6409" width="10" style="16" customWidth="1"/>
    <col min="6410" max="6410" width="9.28515625" style="16" customWidth="1"/>
    <col min="6411" max="6411" width="8.7109375" style="16" customWidth="1"/>
    <col min="6412" max="6412" width="9.5703125" style="16" customWidth="1"/>
    <col min="6413" max="6413" width="8.42578125" style="16" customWidth="1"/>
    <col min="6414" max="6415" width="8" style="16" customWidth="1"/>
    <col min="6416" max="6420" width="9.140625" style="16"/>
    <col min="6421" max="6421" width="12.42578125" style="16" customWidth="1"/>
    <col min="6422" max="6422" width="9.140625" style="16"/>
    <col min="6423" max="6423" width="12" style="16" customWidth="1"/>
    <col min="6424" max="6656" width="9.140625" style="16"/>
    <col min="6657" max="6657" width="5" style="16" customWidth="1"/>
    <col min="6658" max="6658" width="18" style="16" customWidth="1"/>
    <col min="6659" max="6659" width="10.7109375" style="16" bestFit="1" customWidth="1"/>
    <col min="6660" max="6660" width="7.28515625" style="16" customWidth="1"/>
    <col min="6661" max="6661" width="8.5703125" style="16" bestFit="1" customWidth="1"/>
    <col min="6662" max="6662" width="9.28515625" style="16" bestFit="1" customWidth="1"/>
    <col min="6663" max="6663" width="8.42578125" style="16" bestFit="1" customWidth="1"/>
    <col min="6664" max="6664" width="9.7109375" style="16" bestFit="1" customWidth="1"/>
    <col min="6665" max="6665" width="10" style="16" customWidth="1"/>
    <col min="6666" max="6666" width="9.28515625" style="16" customWidth="1"/>
    <col min="6667" max="6667" width="8.7109375" style="16" customWidth="1"/>
    <col min="6668" max="6668" width="9.5703125" style="16" customWidth="1"/>
    <col min="6669" max="6669" width="8.42578125" style="16" customWidth="1"/>
    <col min="6670" max="6671" width="8" style="16" customWidth="1"/>
    <col min="6672" max="6676" width="9.140625" style="16"/>
    <col min="6677" max="6677" width="12.42578125" style="16" customWidth="1"/>
    <col min="6678" max="6678" width="9.140625" style="16"/>
    <col min="6679" max="6679" width="12" style="16" customWidth="1"/>
    <col min="6680" max="6912" width="9.140625" style="16"/>
    <col min="6913" max="6913" width="5" style="16" customWidth="1"/>
    <col min="6914" max="6914" width="18" style="16" customWidth="1"/>
    <col min="6915" max="6915" width="10.7109375" style="16" bestFit="1" customWidth="1"/>
    <col min="6916" max="6916" width="7.28515625" style="16" customWidth="1"/>
    <col min="6917" max="6917" width="8.5703125" style="16" bestFit="1" customWidth="1"/>
    <col min="6918" max="6918" width="9.28515625" style="16" bestFit="1" customWidth="1"/>
    <col min="6919" max="6919" width="8.42578125" style="16" bestFit="1" customWidth="1"/>
    <col min="6920" max="6920" width="9.7109375" style="16" bestFit="1" customWidth="1"/>
    <col min="6921" max="6921" width="10" style="16" customWidth="1"/>
    <col min="6922" max="6922" width="9.28515625" style="16" customWidth="1"/>
    <col min="6923" max="6923" width="8.7109375" style="16" customWidth="1"/>
    <col min="6924" max="6924" width="9.5703125" style="16" customWidth="1"/>
    <col min="6925" max="6925" width="8.42578125" style="16" customWidth="1"/>
    <col min="6926" max="6927" width="8" style="16" customWidth="1"/>
    <col min="6928" max="6932" width="9.140625" style="16"/>
    <col min="6933" max="6933" width="12.42578125" style="16" customWidth="1"/>
    <col min="6934" max="6934" width="9.140625" style="16"/>
    <col min="6935" max="6935" width="12" style="16" customWidth="1"/>
    <col min="6936" max="7168" width="9.140625" style="16"/>
    <col min="7169" max="7169" width="5" style="16" customWidth="1"/>
    <col min="7170" max="7170" width="18" style="16" customWidth="1"/>
    <col min="7171" max="7171" width="10.7109375" style="16" bestFit="1" customWidth="1"/>
    <col min="7172" max="7172" width="7.28515625" style="16" customWidth="1"/>
    <col min="7173" max="7173" width="8.5703125" style="16" bestFit="1" customWidth="1"/>
    <col min="7174" max="7174" width="9.28515625" style="16" bestFit="1" customWidth="1"/>
    <col min="7175" max="7175" width="8.42578125" style="16" bestFit="1" customWidth="1"/>
    <col min="7176" max="7176" width="9.7109375" style="16" bestFit="1" customWidth="1"/>
    <col min="7177" max="7177" width="10" style="16" customWidth="1"/>
    <col min="7178" max="7178" width="9.28515625" style="16" customWidth="1"/>
    <col min="7179" max="7179" width="8.7109375" style="16" customWidth="1"/>
    <col min="7180" max="7180" width="9.5703125" style="16" customWidth="1"/>
    <col min="7181" max="7181" width="8.42578125" style="16" customWidth="1"/>
    <col min="7182" max="7183" width="8" style="16" customWidth="1"/>
    <col min="7184" max="7188" width="9.140625" style="16"/>
    <col min="7189" max="7189" width="12.42578125" style="16" customWidth="1"/>
    <col min="7190" max="7190" width="9.140625" style="16"/>
    <col min="7191" max="7191" width="12" style="16" customWidth="1"/>
    <col min="7192" max="7424" width="9.140625" style="16"/>
    <col min="7425" max="7425" width="5" style="16" customWidth="1"/>
    <col min="7426" max="7426" width="18" style="16" customWidth="1"/>
    <col min="7427" max="7427" width="10.7109375" style="16" bestFit="1" customWidth="1"/>
    <col min="7428" max="7428" width="7.28515625" style="16" customWidth="1"/>
    <col min="7429" max="7429" width="8.5703125" style="16" bestFit="1" customWidth="1"/>
    <col min="7430" max="7430" width="9.28515625" style="16" bestFit="1" customWidth="1"/>
    <col min="7431" max="7431" width="8.42578125" style="16" bestFit="1" customWidth="1"/>
    <col min="7432" max="7432" width="9.7109375" style="16" bestFit="1" customWidth="1"/>
    <col min="7433" max="7433" width="10" style="16" customWidth="1"/>
    <col min="7434" max="7434" width="9.28515625" style="16" customWidth="1"/>
    <col min="7435" max="7435" width="8.7109375" style="16" customWidth="1"/>
    <col min="7436" max="7436" width="9.5703125" style="16" customWidth="1"/>
    <col min="7437" max="7437" width="8.42578125" style="16" customWidth="1"/>
    <col min="7438" max="7439" width="8" style="16" customWidth="1"/>
    <col min="7440" max="7444" width="9.140625" style="16"/>
    <col min="7445" max="7445" width="12.42578125" style="16" customWidth="1"/>
    <col min="7446" max="7446" width="9.140625" style="16"/>
    <col min="7447" max="7447" width="12" style="16" customWidth="1"/>
    <col min="7448" max="7680" width="9.140625" style="16"/>
    <col min="7681" max="7681" width="5" style="16" customWidth="1"/>
    <col min="7682" max="7682" width="18" style="16" customWidth="1"/>
    <col min="7683" max="7683" width="10.7109375" style="16" bestFit="1" customWidth="1"/>
    <col min="7684" max="7684" width="7.28515625" style="16" customWidth="1"/>
    <col min="7685" max="7685" width="8.5703125" style="16" bestFit="1" customWidth="1"/>
    <col min="7686" max="7686" width="9.28515625" style="16" bestFit="1" customWidth="1"/>
    <col min="7687" max="7687" width="8.42578125" style="16" bestFit="1" customWidth="1"/>
    <col min="7688" max="7688" width="9.7109375" style="16" bestFit="1" customWidth="1"/>
    <col min="7689" max="7689" width="10" style="16" customWidth="1"/>
    <col min="7690" max="7690" width="9.28515625" style="16" customWidth="1"/>
    <col min="7691" max="7691" width="8.7109375" style="16" customWidth="1"/>
    <col min="7692" max="7692" width="9.5703125" style="16" customWidth="1"/>
    <col min="7693" max="7693" width="8.42578125" style="16" customWidth="1"/>
    <col min="7694" max="7695" width="8" style="16" customWidth="1"/>
    <col min="7696" max="7700" width="9.140625" style="16"/>
    <col min="7701" max="7701" width="12.42578125" style="16" customWidth="1"/>
    <col min="7702" max="7702" width="9.140625" style="16"/>
    <col min="7703" max="7703" width="12" style="16" customWidth="1"/>
    <col min="7704" max="7936" width="9.140625" style="16"/>
    <col min="7937" max="7937" width="5" style="16" customWidth="1"/>
    <col min="7938" max="7938" width="18" style="16" customWidth="1"/>
    <col min="7939" max="7939" width="10.7109375" style="16" bestFit="1" customWidth="1"/>
    <col min="7940" max="7940" width="7.28515625" style="16" customWidth="1"/>
    <col min="7941" max="7941" width="8.5703125" style="16" bestFit="1" customWidth="1"/>
    <col min="7942" max="7942" width="9.28515625" style="16" bestFit="1" customWidth="1"/>
    <col min="7943" max="7943" width="8.42578125" style="16" bestFit="1" customWidth="1"/>
    <col min="7944" max="7944" width="9.7109375" style="16" bestFit="1" customWidth="1"/>
    <col min="7945" max="7945" width="10" style="16" customWidth="1"/>
    <col min="7946" max="7946" width="9.28515625" style="16" customWidth="1"/>
    <col min="7947" max="7947" width="8.7109375" style="16" customWidth="1"/>
    <col min="7948" max="7948" width="9.5703125" style="16" customWidth="1"/>
    <col min="7949" max="7949" width="8.42578125" style="16" customWidth="1"/>
    <col min="7950" max="7951" width="8" style="16" customWidth="1"/>
    <col min="7952" max="7956" width="9.140625" style="16"/>
    <col min="7957" max="7957" width="12.42578125" style="16" customWidth="1"/>
    <col min="7958" max="7958" width="9.140625" style="16"/>
    <col min="7959" max="7959" width="12" style="16" customWidth="1"/>
    <col min="7960" max="8192" width="9.140625" style="16"/>
    <col min="8193" max="8193" width="5" style="16" customWidth="1"/>
    <col min="8194" max="8194" width="18" style="16" customWidth="1"/>
    <col min="8195" max="8195" width="10.7109375" style="16" bestFit="1" customWidth="1"/>
    <col min="8196" max="8196" width="7.28515625" style="16" customWidth="1"/>
    <col min="8197" max="8197" width="8.5703125" style="16" bestFit="1" customWidth="1"/>
    <col min="8198" max="8198" width="9.28515625" style="16" bestFit="1" customWidth="1"/>
    <col min="8199" max="8199" width="8.42578125" style="16" bestFit="1" customWidth="1"/>
    <col min="8200" max="8200" width="9.7109375" style="16" bestFit="1" customWidth="1"/>
    <col min="8201" max="8201" width="10" style="16" customWidth="1"/>
    <col min="8202" max="8202" width="9.28515625" style="16" customWidth="1"/>
    <col min="8203" max="8203" width="8.7109375" style="16" customWidth="1"/>
    <col min="8204" max="8204" width="9.5703125" style="16" customWidth="1"/>
    <col min="8205" max="8205" width="8.42578125" style="16" customWidth="1"/>
    <col min="8206" max="8207" width="8" style="16" customWidth="1"/>
    <col min="8208" max="8212" width="9.140625" style="16"/>
    <col min="8213" max="8213" width="12.42578125" style="16" customWidth="1"/>
    <col min="8214" max="8214" width="9.140625" style="16"/>
    <col min="8215" max="8215" width="12" style="16" customWidth="1"/>
    <col min="8216" max="8448" width="9.140625" style="16"/>
    <col min="8449" max="8449" width="5" style="16" customWidth="1"/>
    <col min="8450" max="8450" width="18" style="16" customWidth="1"/>
    <col min="8451" max="8451" width="10.7109375" style="16" bestFit="1" customWidth="1"/>
    <col min="8452" max="8452" width="7.28515625" style="16" customWidth="1"/>
    <col min="8453" max="8453" width="8.5703125" style="16" bestFit="1" customWidth="1"/>
    <col min="8454" max="8454" width="9.28515625" style="16" bestFit="1" customWidth="1"/>
    <col min="8455" max="8455" width="8.42578125" style="16" bestFit="1" customWidth="1"/>
    <col min="8456" max="8456" width="9.7109375" style="16" bestFit="1" customWidth="1"/>
    <col min="8457" max="8457" width="10" style="16" customWidth="1"/>
    <col min="8458" max="8458" width="9.28515625" style="16" customWidth="1"/>
    <col min="8459" max="8459" width="8.7109375" style="16" customWidth="1"/>
    <col min="8460" max="8460" width="9.5703125" style="16" customWidth="1"/>
    <col min="8461" max="8461" width="8.42578125" style="16" customWidth="1"/>
    <col min="8462" max="8463" width="8" style="16" customWidth="1"/>
    <col min="8464" max="8468" width="9.140625" style="16"/>
    <col min="8469" max="8469" width="12.42578125" style="16" customWidth="1"/>
    <col min="8470" max="8470" width="9.140625" style="16"/>
    <col min="8471" max="8471" width="12" style="16" customWidth="1"/>
    <col min="8472" max="8704" width="9.140625" style="16"/>
    <col min="8705" max="8705" width="5" style="16" customWidth="1"/>
    <col min="8706" max="8706" width="18" style="16" customWidth="1"/>
    <col min="8707" max="8707" width="10.7109375" style="16" bestFit="1" customWidth="1"/>
    <col min="8708" max="8708" width="7.28515625" style="16" customWidth="1"/>
    <col min="8709" max="8709" width="8.5703125" style="16" bestFit="1" customWidth="1"/>
    <col min="8710" max="8710" width="9.28515625" style="16" bestFit="1" customWidth="1"/>
    <col min="8711" max="8711" width="8.42578125" style="16" bestFit="1" customWidth="1"/>
    <col min="8712" max="8712" width="9.7109375" style="16" bestFit="1" customWidth="1"/>
    <col min="8713" max="8713" width="10" style="16" customWidth="1"/>
    <col min="8714" max="8714" width="9.28515625" style="16" customWidth="1"/>
    <col min="8715" max="8715" width="8.7109375" style="16" customWidth="1"/>
    <col min="8716" max="8716" width="9.5703125" style="16" customWidth="1"/>
    <col min="8717" max="8717" width="8.42578125" style="16" customWidth="1"/>
    <col min="8718" max="8719" width="8" style="16" customWidth="1"/>
    <col min="8720" max="8724" width="9.140625" style="16"/>
    <col min="8725" max="8725" width="12.42578125" style="16" customWidth="1"/>
    <col min="8726" max="8726" width="9.140625" style="16"/>
    <col min="8727" max="8727" width="12" style="16" customWidth="1"/>
    <col min="8728" max="8960" width="9.140625" style="16"/>
    <col min="8961" max="8961" width="5" style="16" customWidth="1"/>
    <col min="8962" max="8962" width="18" style="16" customWidth="1"/>
    <col min="8963" max="8963" width="10.7109375" style="16" bestFit="1" customWidth="1"/>
    <col min="8964" max="8964" width="7.28515625" style="16" customWidth="1"/>
    <col min="8965" max="8965" width="8.5703125" style="16" bestFit="1" customWidth="1"/>
    <col min="8966" max="8966" width="9.28515625" style="16" bestFit="1" customWidth="1"/>
    <col min="8967" max="8967" width="8.42578125" style="16" bestFit="1" customWidth="1"/>
    <col min="8968" max="8968" width="9.7109375" style="16" bestFit="1" customWidth="1"/>
    <col min="8969" max="8969" width="10" style="16" customWidth="1"/>
    <col min="8970" max="8970" width="9.28515625" style="16" customWidth="1"/>
    <col min="8971" max="8971" width="8.7109375" style="16" customWidth="1"/>
    <col min="8972" max="8972" width="9.5703125" style="16" customWidth="1"/>
    <col min="8973" max="8973" width="8.42578125" style="16" customWidth="1"/>
    <col min="8974" max="8975" width="8" style="16" customWidth="1"/>
    <col min="8976" max="8980" width="9.140625" style="16"/>
    <col min="8981" max="8981" width="12.42578125" style="16" customWidth="1"/>
    <col min="8982" max="8982" width="9.140625" style="16"/>
    <col min="8983" max="8983" width="12" style="16" customWidth="1"/>
    <col min="8984" max="9216" width="9.140625" style="16"/>
    <col min="9217" max="9217" width="5" style="16" customWidth="1"/>
    <col min="9218" max="9218" width="18" style="16" customWidth="1"/>
    <col min="9219" max="9219" width="10.7109375" style="16" bestFit="1" customWidth="1"/>
    <col min="9220" max="9220" width="7.28515625" style="16" customWidth="1"/>
    <col min="9221" max="9221" width="8.5703125" style="16" bestFit="1" customWidth="1"/>
    <col min="9222" max="9222" width="9.28515625" style="16" bestFit="1" customWidth="1"/>
    <col min="9223" max="9223" width="8.42578125" style="16" bestFit="1" customWidth="1"/>
    <col min="9224" max="9224" width="9.7109375" style="16" bestFit="1" customWidth="1"/>
    <col min="9225" max="9225" width="10" style="16" customWidth="1"/>
    <col min="9226" max="9226" width="9.28515625" style="16" customWidth="1"/>
    <col min="9227" max="9227" width="8.7109375" style="16" customWidth="1"/>
    <col min="9228" max="9228" width="9.5703125" style="16" customWidth="1"/>
    <col min="9229" max="9229" width="8.42578125" style="16" customWidth="1"/>
    <col min="9230" max="9231" width="8" style="16" customWidth="1"/>
    <col min="9232" max="9236" width="9.140625" style="16"/>
    <col min="9237" max="9237" width="12.42578125" style="16" customWidth="1"/>
    <col min="9238" max="9238" width="9.140625" style="16"/>
    <col min="9239" max="9239" width="12" style="16" customWidth="1"/>
    <col min="9240" max="9472" width="9.140625" style="16"/>
    <col min="9473" max="9473" width="5" style="16" customWidth="1"/>
    <col min="9474" max="9474" width="18" style="16" customWidth="1"/>
    <col min="9475" max="9475" width="10.7109375" style="16" bestFit="1" customWidth="1"/>
    <col min="9476" max="9476" width="7.28515625" style="16" customWidth="1"/>
    <col min="9477" max="9477" width="8.5703125" style="16" bestFit="1" customWidth="1"/>
    <col min="9478" max="9478" width="9.28515625" style="16" bestFit="1" customWidth="1"/>
    <col min="9479" max="9479" width="8.42578125" style="16" bestFit="1" customWidth="1"/>
    <col min="9480" max="9480" width="9.7109375" style="16" bestFit="1" customWidth="1"/>
    <col min="9481" max="9481" width="10" style="16" customWidth="1"/>
    <col min="9482" max="9482" width="9.28515625" style="16" customWidth="1"/>
    <col min="9483" max="9483" width="8.7109375" style="16" customWidth="1"/>
    <col min="9484" max="9484" width="9.5703125" style="16" customWidth="1"/>
    <col min="9485" max="9485" width="8.42578125" style="16" customWidth="1"/>
    <col min="9486" max="9487" width="8" style="16" customWidth="1"/>
    <col min="9488" max="9492" width="9.140625" style="16"/>
    <col min="9493" max="9493" width="12.42578125" style="16" customWidth="1"/>
    <col min="9494" max="9494" width="9.140625" style="16"/>
    <col min="9495" max="9495" width="12" style="16" customWidth="1"/>
    <col min="9496" max="9728" width="9.140625" style="16"/>
    <col min="9729" max="9729" width="5" style="16" customWidth="1"/>
    <col min="9730" max="9730" width="18" style="16" customWidth="1"/>
    <col min="9731" max="9731" width="10.7109375" style="16" bestFit="1" customWidth="1"/>
    <col min="9732" max="9732" width="7.28515625" style="16" customWidth="1"/>
    <col min="9733" max="9733" width="8.5703125" style="16" bestFit="1" customWidth="1"/>
    <col min="9734" max="9734" width="9.28515625" style="16" bestFit="1" customWidth="1"/>
    <col min="9735" max="9735" width="8.42578125" style="16" bestFit="1" customWidth="1"/>
    <col min="9736" max="9736" width="9.7109375" style="16" bestFit="1" customWidth="1"/>
    <col min="9737" max="9737" width="10" style="16" customWidth="1"/>
    <col min="9738" max="9738" width="9.28515625" style="16" customWidth="1"/>
    <col min="9739" max="9739" width="8.7109375" style="16" customWidth="1"/>
    <col min="9740" max="9740" width="9.5703125" style="16" customWidth="1"/>
    <col min="9741" max="9741" width="8.42578125" style="16" customWidth="1"/>
    <col min="9742" max="9743" width="8" style="16" customWidth="1"/>
    <col min="9744" max="9748" width="9.140625" style="16"/>
    <col min="9749" max="9749" width="12.42578125" style="16" customWidth="1"/>
    <col min="9750" max="9750" width="9.140625" style="16"/>
    <col min="9751" max="9751" width="12" style="16" customWidth="1"/>
    <col min="9752" max="9984" width="9.140625" style="16"/>
    <col min="9985" max="9985" width="5" style="16" customWidth="1"/>
    <col min="9986" max="9986" width="18" style="16" customWidth="1"/>
    <col min="9987" max="9987" width="10.7109375" style="16" bestFit="1" customWidth="1"/>
    <col min="9988" max="9988" width="7.28515625" style="16" customWidth="1"/>
    <col min="9989" max="9989" width="8.5703125" style="16" bestFit="1" customWidth="1"/>
    <col min="9990" max="9990" width="9.28515625" style="16" bestFit="1" customWidth="1"/>
    <col min="9991" max="9991" width="8.42578125" style="16" bestFit="1" customWidth="1"/>
    <col min="9992" max="9992" width="9.7109375" style="16" bestFit="1" customWidth="1"/>
    <col min="9993" max="9993" width="10" style="16" customWidth="1"/>
    <col min="9994" max="9994" width="9.28515625" style="16" customWidth="1"/>
    <col min="9995" max="9995" width="8.7109375" style="16" customWidth="1"/>
    <col min="9996" max="9996" width="9.5703125" style="16" customWidth="1"/>
    <col min="9997" max="9997" width="8.42578125" style="16" customWidth="1"/>
    <col min="9998" max="9999" width="8" style="16" customWidth="1"/>
    <col min="10000" max="10004" width="9.140625" style="16"/>
    <col min="10005" max="10005" width="12.42578125" style="16" customWidth="1"/>
    <col min="10006" max="10006" width="9.140625" style="16"/>
    <col min="10007" max="10007" width="12" style="16" customWidth="1"/>
    <col min="10008" max="10240" width="9.140625" style="16"/>
    <col min="10241" max="10241" width="5" style="16" customWidth="1"/>
    <col min="10242" max="10242" width="18" style="16" customWidth="1"/>
    <col min="10243" max="10243" width="10.7109375" style="16" bestFit="1" customWidth="1"/>
    <col min="10244" max="10244" width="7.28515625" style="16" customWidth="1"/>
    <col min="10245" max="10245" width="8.5703125" style="16" bestFit="1" customWidth="1"/>
    <col min="10246" max="10246" width="9.28515625" style="16" bestFit="1" customWidth="1"/>
    <col min="10247" max="10247" width="8.42578125" style="16" bestFit="1" customWidth="1"/>
    <col min="10248" max="10248" width="9.7109375" style="16" bestFit="1" customWidth="1"/>
    <col min="10249" max="10249" width="10" style="16" customWidth="1"/>
    <col min="10250" max="10250" width="9.28515625" style="16" customWidth="1"/>
    <col min="10251" max="10251" width="8.7109375" style="16" customWidth="1"/>
    <col min="10252" max="10252" width="9.5703125" style="16" customWidth="1"/>
    <col min="10253" max="10253" width="8.42578125" style="16" customWidth="1"/>
    <col min="10254" max="10255" width="8" style="16" customWidth="1"/>
    <col min="10256" max="10260" width="9.140625" style="16"/>
    <col min="10261" max="10261" width="12.42578125" style="16" customWidth="1"/>
    <col min="10262" max="10262" width="9.140625" style="16"/>
    <col min="10263" max="10263" width="12" style="16" customWidth="1"/>
    <col min="10264" max="10496" width="9.140625" style="16"/>
    <col min="10497" max="10497" width="5" style="16" customWidth="1"/>
    <col min="10498" max="10498" width="18" style="16" customWidth="1"/>
    <col min="10499" max="10499" width="10.7109375" style="16" bestFit="1" customWidth="1"/>
    <col min="10500" max="10500" width="7.28515625" style="16" customWidth="1"/>
    <col min="10501" max="10501" width="8.5703125" style="16" bestFit="1" customWidth="1"/>
    <col min="10502" max="10502" width="9.28515625" style="16" bestFit="1" customWidth="1"/>
    <col min="10503" max="10503" width="8.42578125" style="16" bestFit="1" customWidth="1"/>
    <col min="10504" max="10504" width="9.7109375" style="16" bestFit="1" customWidth="1"/>
    <col min="10505" max="10505" width="10" style="16" customWidth="1"/>
    <col min="10506" max="10506" width="9.28515625" style="16" customWidth="1"/>
    <col min="10507" max="10507" width="8.7109375" style="16" customWidth="1"/>
    <col min="10508" max="10508" width="9.5703125" style="16" customWidth="1"/>
    <col min="10509" max="10509" width="8.42578125" style="16" customWidth="1"/>
    <col min="10510" max="10511" width="8" style="16" customWidth="1"/>
    <col min="10512" max="10516" width="9.140625" style="16"/>
    <col min="10517" max="10517" width="12.42578125" style="16" customWidth="1"/>
    <col min="10518" max="10518" width="9.140625" style="16"/>
    <col min="10519" max="10519" width="12" style="16" customWidth="1"/>
    <col min="10520" max="10752" width="9.140625" style="16"/>
    <col min="10753" max="10753" width="5" style="16" customWidth="1"/>
    <col min="10754" max="10754" width="18" style="16" customWidth="1"/>
    <col min="10755" max="10755" width="10.7109375" style="16" bestFit="1" customWidth="1"/>
    <col min="10756" max="10756" width="7.28515625" style="16" customWidth="1"/>
    <col min="10757" max="10757" width="8.5703125" style="16" bestFit="1" customWidth="1"/>
    <col min="10758" max="10758" width="9.28515625" style="16" bestFit="1" customWidth="1"/>
    <col min="10759" max="10759" width="8.42578125" style="16" bestFit="1" customWidth="1"/>
    <col min="10760" max="10760" width="9.7109375" style="16" bestFit="1" customWidth="1"/>
    <col min="10761" max="10761" width="10" style="16" customWidth="1"/>
    <col min="10762" max="10762" width="9.28515625" style="16" customWidth="1"/>
    <col min="10763" max="10763" width="8.7109375" style="16" customWidth="1"/>
    <col min="10764" max="10764" width="9.5703125" style="16" customWidth="1"/>
    <col min="10765" max="10765" width="8.42578125" style="16" customWidth="1"/>
    <col min="10766" max="10767" width="8" style="16" customWidth="1"/>
    <col min="10768" max="10772" width="9.140625" style="16"/>
    <col min="10773" max="10773" width="12.42578125" style="16" customWidth="1"/>
    <col min="10774" max="10774" width="9.140625" style="16"/>
    <col min="10775" max="10775" width="12" style="16" customWidth="1"/>
    <col min="10776" max="11008" width="9.140625" style="16"/>
    <col min="11009" max="11009" width="5" style="16" customWidth="1"/>
    <col min="11010" max="11010" width="18" style="16" customWidth="1"/>
    <col min="11011" max="11011" width="10.7109375" style="16" bestFit="1" customWidth="1"/>
    <col min="11012" max="11012" width="7.28515625" style="16" customWidth="1"/>
    <col min="11013" max="11013" width="8.5703125" style="16" bestFit="1" customWidth="1"/>
    <col min="11014" max="11014" width="9.28515625" style="16" bestFit="1" customWidth="1"/>
    <col min="11015" max="11015" width="8.42578125" style="16" bestFit="1" customWidth="1"/>
    <col min="11016" max="11016" width="9.7109375" style="16" bestFit="1" customWidth="1"/>
    <col min="11017" max="11017" width="10" style="16" customWidth="1"/>
    <col min="11018" max="11018" width="9.28515625" style="16" customWidth="1"/>
    <col min="11019" max="11019" width="8.7109375" style="16" customWidth="1"/>
    <col min="11020" max="11020" width="9.5703125" style="16" customWidth="1"/>
    <col min="11021" max="11021" width="8.42578125" style="16" customWidth="1"/>
    <col min="11022" max="11023" width="8" style="16" customWidth="1"/>
    <col min="11024" max="11028" width="9.140625" style="16"/>
    <col min="11029" max="11029" width="12.42578125" style="16" customWidth="1"/>
    <col min="11030" max="11030" width="9.140625" style="16"/>
    <col min="11031" max="11031" width="12" style="16" customWidth="1"/>
    <col min="11032" max="11264" width="9.140625" style="16"/>
    <col min="11265" max="11265" width="5" style="16" customWidth="1"/>
    <col min="11266" max="11266" width="18" style="16" customWidth="1"/>
    <col min="11267" max="11267" width="10.7109375" style="16" bestFit="1" customWidth="1"/>
    <col min="11268" max="11268" width="7.28515625" style="16" customWidth="1"/>
    <col min="11269" max="11269" width="8.5703125" style="16" bestFit="1" customWidth="1"/>
    <col min="11270" max="11270" width="9.28515625" style="16" bestFit="1" customWidth="1"/>
    <col min="11271" max="11271" width="8.42578125" style="16" bestFit="1" customWidth="1"/>
    <col min="11272" max="11272" width="9.7109375" style="16" bestFit="1" customWidth="1"/>
    <col min="11273" max="11273" width="10" style="16" customWidth="1"/>
    <col min="11274" max="11274" width="9.28515625" style="16" customWidth="1"/>
    <col min="11275" max="11275" width="8.7109375" style="16" customWidth="1"/>
    <col min="11276" max="11276" width="9.5703125" style="16" customWidth="1"/>
    <col min="11277" max="11277" width="8.42578125" style="16" customWidth="1"/>
    <col min="11278" max="11279" width="8" style="16" customWidth="1"/>
    <col min="11280" max="11284" width="9.140625" style="16"/>
    <col min="11285" max="11285" width="12.42578125" style="16" customWidth="1"/>
    <col min="11286" max="11286" width="9.140625" style="16"/>
    <col min="11287" max="11287" width="12" style="16" customWidth="1"/>
    <col min="11288" max="11520" width="9.140625" style="16"/>
    <col min="11521" max="11521" width="5" style="16" customWidth="1"/>
    <col min="11522" max="11522" width="18" style="16" customWidth="1"/>
    <col min="11523" max="11523" width="10.7109375" style="16" bestFit="1" customWidth="1"/>
    <col min="11524" max="11524" width="7.28515625" style="16" customWidth="1"/>
    <col min="11525" max="11525" width="8.5703125" style="16" bestFit="1" customWidth="1"/>
    <col min="11526" max="11526" width="9.28515625" style="16" bestFit="1" customWidth="1"/>
    <col min="11527" max="11527" width="8.42578125" style="16" bestFit="1" customWidth="1"/>
    <col min="11528" max="11528" width="9.7109375" style="16" bestFit="1" customWidth="1"/>
    <col min="11529" max="11529" width="10" style="16" customWidth="1"/>
    <col min="11530" max="11530" width="9.28515625" style="16" customWidth="1"/>
    <col min="11531" max="11531" width="8.7109375" style="16" customWidth="1"/>
    <col min="11532" max="11532" width="9.5703125" style="16" customWidth="1"/>
    <col min="11533" max="11533" width="8.42578125" style="16" customWidth="1"/>
    <col min="11534" max="11535" width="8" style="16" customWidth="1"/>
    <col min="11536" max="11540" width="9.140625" style="16"/>
    <col min="11541" max="11541" width="12.42578125" style="16" customWidth="1"/>
    <col min="11542" max="11542" width="9.140625" style="16"/>
    <col min="11543" max="11543" width="12" style="16" customWidth="1"/>
    <col min="11544" max="11776" width="9.140625" style="16"/>
    <col min="11777" max="11777" width="5" style="16" customWidth="1"/>
    <col min="11778" max="11778" width="18" style="16" customWidth="1"/>
    <col min="11779" max="11779" width="10.7109375" style="16" bestFit="1" customWidth="1"/>
    <col min="11780" max="11780" width="7.28515625" style="16" customWidth="1"/>
    <col min="11781" max="11781" width="8.5703125" style="16" bestFit="1" customWidth="1"/>
    <col min="11782" max="11782" width="9.28515625" style="16" bestFit="1" customWidth="1"/>
    <col min="11783" max="11783" width="8.42578125" style="16" bestFit="1" customWidth="1"/>
    <col min="11784" max="11784" width="9.7109375" style="16" bestFit="1" customWidth="1"/>
    <col min="11785" max="11785" width="10" style="16" customWidth="1"/>
    <col min="11786" max="11786" width="9.28515625" style="16" customWidth="1"/>
    <col min="11787" max="11787" width="8.7109375" style="16" customWidth="1"/>
    <col min="11788" max="11788" width="9.5703125" style="16" customWidth="1"/>
    <col min="11789" max="11789" width="8.42578125" style="16" customWidth="1"/>
    <col min="11790" max="11791" width="8" style="16" customWidth="1"/>
    <col min="11792" max="11796" width="9.140625" style="16"/>
    <col min="11797" max="11797" width="12.42578125" style="16" customWidth="1"/>
    <col min="11798" max="11798" width="9.140625" style="16"/>
    <col min="11799" max="11799" width="12" style="16" customWidth="1"/>
    <col min="11800" max="12032" width="9.140625" style="16"/>
    <col min="12033" max="12033" width="5" style="16" customWidth="1"/>
    <col min="12034" max="12034" width="18" style="16" customWidth="1"/>
    <col min="12035" max="12035" width="10.7109375" style="16" bestFit="1" customWidth="1"/>
    <col min="12036" max="12036" width="7.28515625" style="16" customWidth="1"/>
    <col min="12037" max="12037" width="8.5703125" style="16" bestFit="1" customWidth="1"/>
    <col min="12038" max="12038" width="9.28515625" style="16" bestFit="1" customWidth="1"/>
    <col min="12039" max="12039" width="8.42578125" style="16" bestFit="1" customWidth="1"/>
    <col min="12040" max="12040" width="9.7109375" style="16" bestFit="1" customWidth="1"/>
    <col min="12041" max="12041" width="10" style="16" customWidth="1"/>
    <col min="12042" max="12042" width="9.28515625" style="16" customWidth="1"/>
    <col min="12043" max="12043" width="8.7109375" style="16" customWidth="1"/>
    <col min="12044" max="12044" width="9.5703125" style="16" customWidth="1"/>
    <col min="12045" max="12045" width="8.42578125" style="16" customWidth="1"/>
    <col min="12046" max="12047" width="8" style="16" customWidth="1"/>
    <col min="12048" max="12052" width="9.140625" style="16"/>
    <col min="12053" max="12053" width="12.42578125" style="16" customWidth="1"/>
    <col min="12054" max="12054" width="9.140625" style="16"/>
    <col min="12055" max="12055" width="12" style="16" customWidth="1"/>
    <col min="12056" max="12288" width="9.140625" style="16"/>
    <col min="12289" max="12289" width="5" style="16" customWidth="1"/>
    <col min="12290" max="12290" width="18" style="16" customWidth="1"/>
    <col min="12291" max="12291" width="10.7109375" style="16" bestFit="1" customWidth="1"/>
    <col min="12292" max="12292" width="7.28515625" style="16" customWidth="1"/>
    <col min="12293" max="12293" width="8.5703125" style="16" bestFit="1" customWidth="1"/>
    <col min="12294" max="12294" width="9.28515625" style="16" bestFit="1" customWidth="1"/>
    <col min="12295" max="12295" width="8.42578125" style="16" bestFit="1" customWidth="1"/>
    <col min="12296" max="12296" width="9.7109375" style="16" bestFit="1" customWidth="1"/>
    <col min="12297" max="12297" width="10" style="16" customWidth="1"/>
    <col min="12298" max="12298" width="9.28515625" style="16" customWidth="1"/>
    <col min="12299" max="12299" width="8.7109375" style="16" customWidth="1"/>
    <col min="12300" max="12300" width="9.5703125" style="16" customWidth="1"/>
    <col min="12301" max="12301" width="8.42578125" style="16" customWidth="1"/>
    <col min="12302" max="12303" width="8" style="16" customWidth="1"/>
    <col min="12304" max="12308" width="9.140625" style="16"/>
    <col min="12309" max="12309" width="12.42578125" style="16" customWidth="1"/>
    <col min="12310" max="12310" width="9.140625" style="16"/>
    <col min="12311" max="12311" width="12" style="16" customWidth="1"/>
    <col min="12312" max="12544" width="9.140625" style="16"/>
    <col min="12545" max="12545" width="5" style="16" customWidth="1"/>
    <col min="12546" max="12546" width="18" style="16" customWidth="1"/>
    <col min="12547" max="12547" width="10.7109375" style="16" bestFit="1" customWidth="1"/>
    <col min="12548" max="12548" width="7.28515625" style="16" customWidth="1"/>
    <col min="12549" max="12549" width="8.5703125" style="16" bestFit="1" customWidth="1"/>
    <col min="12550" max="12550" width="9.28515625" style="16" bestFit="1" customWidth="1"/>
    <col min="12551" max="12551" width="8.42578125" style="16" bestFit="1" customWidth="1"/>
    <col min="12552" max="12552" width="9.7109375" style="16" bestFit="1" customWidth="1"/>
    <col min="12553" max="12553" width="10" style="16" customWidth="1"/>
    <col min="12554" max="12554" width="9.28515625" style="16" customWidth="1"/>
    <col min="12555" max="12555" width="8.7109375" style="16" customWidth="1"/>
    <col min="12556" max="12556" width="9.5703125" style="16" customWidth="1"/>
    <col min="12557" max="12557" width="8.42578125" style="16" customWidth="1"/>
    <col min="12558" max="12559" width="8" style="16" customWidth="1"/>
    <col min="12560" max="12564" width="9.140625" style="16"/>
    <col min="12565" max="12565" width="12.42578125" style="16" customWidth="1"/>
    <col min="12566" max="12566" width="9.140625" style="16"/>
    <col min="12567" max="12567" width="12" style="16" customWidth="1"/>
    <col min="12568" max="12800" width="9.140625" style="16"/>
    <col min="12801" max="12801" width="5" style="16" customWidth="1"/>
    <col min="12802" max="12802" width="18" style="16" customWidth="1"/>
    <col min="12803" max="12803" width="10.7109375" style="16" bestFit="1" customWidth="1"/>
    <col min="12804" max="12804" width="7.28515625" style="16" customWidth="1"/>
    <col min="12805" max="12805" width="8.5703125" style="16" bestFit="1" customWidth="1"/>
    <col min="12806" max="12806" width="9.28515625" style="16" bestFit="1" customWidth="1"/>
    <col min="12807" max="12807" width="8.42578125" style="16" bestFit="1" customWidth="1"/>
    <col min="12808" max="12808" width="9.7109375" style="16" bestFit="1" customWidth="1"/>
    <col min="12809" max="12809" width="10" style="16" customWidth="1"/>
    <col min="12810" max="12810" width="9.28515625" style="16" customWidth="1"/>
    <col min="12811" max="12811" width="8.7109375" style="16" customWidth="1"/>
    <col min="12812" max="12812" width="9.5703125" style="16" customWidth="1"/>
    <col min="12813" max="12813" width="8.42578125" style="16" customWidth="1"/>
    <col min="12814" max="12815" width="8" style="16" customWidth="1"/>
    <col min="12816" max="12820" width="9.140625" style="16"/>
    <col min="12821" max="12821" width="12.42578125" style="16" customWidth="1"/>
    <col min="12822" max="12822" width="9.140625" style="16"/>
    <col min="12823" max="12823" width="12" style="16" customWidth="1"/>
    <col min="12824" max="13056" width="9.140625" style="16"/>
    <col min="13057" max="13057" width="5" style="16" customWidth="1"/>
    <col min="13058" max="13058" width="18" style="16" customWidth="1"/>
    <col min="13059" max="13059" width="10.7109375" style="16" bestFit="1" customWidth="1"/>
    <col min="13060" max="13060" width="7.28515625" style="16" customWidth="1"/>
    <col min="13061" max="13061" width="8.5703125" style="16" bestFit="1" customWidth="1"/>
    <col min="13062" max="13062" width="9.28515625" style="16" bestFit="1" customWidth="1"/>
    <col min="13063" max="13063" width="8.42578125" style="16" bestFit="1" customWidth="1"/>
    <col min="13064" max="13064" width="9.7109375" style="16" bestFit="1" customWidth="1"/>
    <col min="13065" max="13065" width="10" style="16" customWidth="1"/>
    <col min="13066" max="13066" width="9.28515625" style="16" customWidth="1"/>
    <col min="13067" max="13067" width="8.7109375" style="16" customWidth="1"/>
    <col min="13068" max="13068" width="9.5703125" style="16" customWidth="1"/>
    <col min="13069" max="13069" width="8.42578125" style="16" customWidth="1"/>
    <col min="13070" max="13071" width="8" style="16" customWidth="1"/>
    <col min="13072" max="13076" width="9.140625" style="16"/>
    <col min="13077" max="13077" width="12.42578125" style="16" customWidth="1"/>
    <col min="13078" max="13078" width="9.140625" style="16"/>
    <col min="13079" max="13079" width="12" style="16" customWidth="1"/>
    <col min="13080" max="13312" width="9.140625" style="16"/>
    <col min="13313" max="13313" width="5" style="16" customWidth="1"/>
    <col min="13314" max="13314" width="18" style="16" customWidth="1"/>
    <col min="13315" max="13315" width="10.7109375" style="16" bestFit="1" customWidth="1"/>
    <col min="13316" max="13316" width="7.28515625" style="16" customWidth="1"/>
    <col min="13317" max="13317" width="8.5703125" style="16" bestFit="1" customWidth="1"/>
    <col min="13318" max="13318" width="9.28515625" style="16" bestFit="1" customWidth="1"/>
    <col min="13319" max="13319" width="8.42578125" style="16" bestFit="1" customWidth="1"/>
    <col min="13320" max="13320" width="9.7109375" style="16" bestFit="1" customWidth="1"/>
    <col min="13321" max="13321" width="10" style="16" customWidth="1"/>
    <col min="13322" max="13322" width="9.28515625" style="16" customWidth="1"/>
    <col min="13323" max="13323" width="8.7109375" style="16" customWidth="1"/>
    <col min="13324" max="13324" width="9.5703125" style="16" customWidth="1"/>
    <col min="13325" max="13325" width="8.42578125" style="16" customWidth="1"/>
    <col min="13326" max="13327" width="8" style="16" customWidth="1"/>
    <col min="13328" max="13332" width="9.140625" style="16"/>
    <col min="13333" max="13333" width="12.42578125" style="16" customWidth="1"/>
    <col min="13334" max="13334" width="9.140625" style="16"/>
    <col min="13335" max="13335" width="12" style="16" customWidth="1"/>
    <col min="13336" max="13568" width="9.140625" style="16"/>
    <col min="13569" max="13569" width="5" style="16" customWidth="1"/>
    <col min="13570" max="13570" width="18" style="16" customWidth="1"/>
    <col min="13571" max="13571" width="10.7109375" style="16" bestFit="1" customWidth="1"/>
    <col min="13572" max="13572" width="7.28515625" style="16" customWidth="1"/>
    <col min="13573" max="13573" width="8.5703125" style="16" bestFit="1" customWidth="1"/>
    <col min="13574" max="13574" width="9.28515625" style="16" bestFit="1" customWidth="1"/>
    <col min="13575" max="13575" width="8.42578125" style="16" bestFit="1" customWidth="1"/>
    <col min="13576" max="13576" width="9.7109375" style="16" bestFit="1" customWidth="1"/>
    <col min="13577" max="13577" width="10" style="16" customWidth="1"/>
    <col min="13578" max="13578" width="9.28515625" style="16" customWidth="1"/>
    <col min="13579" max="13579" width="8.7109375" style="16" customWidth="1"/>
    <col min="13580" max="13580" width="9.5703125" style="16" customWidth="1"/>
    <col min="13581" max="13581" width="8.42578125" style="16" customWidth="1"/>
    <col min="13582" max="13583" width="8" style="16" customWidth="1"/>
    <col min="13584" max="13588" width="9.140625" style="16"/>
    <col min="13589" max="13589" width="12.42578125" style="16" customWidth="1"/>
    <col min="13590" max="13590" width="9.140625" style="16"/>
    <col min="13591" max="13591" width="12" style="16" customWidth="1"/>
    <col min="13592" max="13824" width="9.140625" style="16"/>
    <col min="13825" max="13825" width="5" style="16" customWidth="1"/>
    <col min="13826" max="13826" width="18" style="16" customWidth="1"/>
    <col min="13827" max="13827" width="10.7109375" style="16" bestFit="1" customWidth="1"/>
    <col min="13828" max="13828" width="7.28515625" style="16" customWidth="1"/>
    <col min="13829" max="13829" width="8.5703125" style="16" bestFit="1" customWidth="1"/>
    <col min="13830" max="13830" width="9.28515625" style="16" bestFit="1" customWidth="1"/>
    <col min="13831" max="13831" width="8.42578125" style="16" bestFit="1" customWidth="1"/>
    <col min="13832" max="13832" width="9.7109375" style="16" bestFit="1" customWidth="1"/>
    <col min="13833" max="13833" width="10" style="16" customWidth="1"/>
    <col min="13834" max="13834" width="9.28515625" style="16" customWidth="1"/>
    <col min="13835" max="13835" width="8.7109375" style="16" customWidth="1"/>
    <col min="13836" max="13836" width="9.5703125" style="16" customWidth="1"/>
    <col min="13837" max="13837" width="8.42578125" style="16" customWidth="1"/>
    <col min="13838" max="13839" width="8" style="16" customWidth="1"/>
    <col min="13840" max="13844" width="9.140625" style="16"/>
    <col min="13845" max="13845" width="12.42578125" style="16" customWidth="1"/>
    <col min="13846" max="13846" width="9.140625" style="16"/>
    <col min="13847" max="13847" width="12" style="16" customWidth="1"/>
    <col min="13848" max="14080" width="9.140625" style="16"/>
    <col min="14081" max="14081" width="5" style="16" customWidth="1"/>
    <col min="14082" max="14082" width="18" style="16" customWidth="1"/>
    <col min="14083" max="14083" width="10.7109375" style="16" bestFit="1" customWidth="1"/>
    <col min="14084" max="14084" width="7.28515625" style="16" customWidth="1"/>
    <col min="14085" max="14085" width="8.5703125" style="16" bestFit="1" customWidth="1"/>
    <col min="14086" max="14086" width="9.28515625" style="16" bestFit="1" customWidth="1"/>
    <col min="14087" max="14087" width="8.42578125" style="16" bestFit="1" customWidth="1"/>
    <col min="14088" max="14088" width="9.7109375" style="16" bestFit="1" customWidth="1"/>
    <col min="14089" max="14089" width="10" style="16" customWidth="1"/>
    <col min="14090" max="14090" width="9.28515625" style="16" customWidth="1"/>
    <col min="14091" max="14091" width="8.7109375" style="16" customWidth="1"/>
    <col min="14092" max="14092" width="9.5703125" style="16" customWidth="1"/>
    <col min="14093" max="14093" width="8.42578125" style="16" customWidth="1"/>
    <col min="14094" max="14095" width="8" style="16" customWidth="1"/>
    <col min="14096" max="14100" width="9.140625" style="16"/>
    <col min="14101" max="14101" width="12.42578125" style="16" customWidth="1"/>
    <col min="14102" max="14102" width="9.140625" style="16"/>
    <col min="14103" max="14103" width="12" style="16" customWidth="1"/>
    <col min="14104" max="14336" width="9.140625" style="16"/>
    <col min="14337" max="14337" width="5" style="16" customWidth="1"/>
    <col min="14338" max="14338" width="18" style="16" customWidth="1"/>
    <col min="14339" max="14339" width="10.7109375" style="16" bestFit="1" customWidth="1"/>
    <col min="14340" max="14340" width="7.28515625" style="16" customWidth="1"/>
    <col min="14341" max="14341" width="8.5703125" style="16" bestFit="1" customWidth="1"/>
    <col min="14342" max="14342" width="9.28515625" style="16" bestFit="1" customWidth="1"/>
    <col min="14343" max="14343" width="8.42578125" style="16" bestFit="1" customWidth="1"/>
    <col min="14344" max="14344" width="9.7109375" style="16" bestFit="1" customWidth="1"/>
    <col min="14345" max="14345" width="10" style="16" customWidth="1"/>
    <col min="14346" max="14346" width="9.28515625" style="16" customWidth="1"/>
    <col min="14347" max="14347" width="8.7109375" style="16" customWidth="1"/>
    <col min="14348" max="14348" width="9.5703125" style="16" customWidth="1"/>
    <col min="14349" max="14349" width="8.42578125" style="16" customWidth="1"/>
    <col min="14350" max="14351" width="8" style="16" customWidth="1"/>
    <col min="14352" max="14356" width="9.140625" style="16"/>
    <col min="14357" max="14357" width="12.42578125" style="16" customWidth="1"/>
    <col min="14358" max="14358" width="9.140625" style="16"/>
    <col min="14359" max="14359" width="12" style="16" customWidth="1"/>
    <col min="14360" max="14592" width="9.140625" style="16"/>
    <col min="14593" max="14593" width="5" style="16" customWidth="1"/>
    <col min="14594" max="14594" width="18" style="16" customWidth="1"/>
    <col min="14595" max="14595" width="10.7109375" style="16" bestFit="1" customWidth="1"/>
    <col min="14596" max="14596" width="7.28515625" style="16" customWidth="1"/>
    <col min="14597" max="14597" width="8.5703125" style="16" bestFit="1" customWidth="1"/>
    <col min="14598" max="14598" width="9.28515625" style="16" bestFit="1" customWidth="1"/>
    <col min="14599" max="14599" width="8.42578125" style="16" bestFit="1" customWidth="1"/>
    <col min="14600" max="14600" width="9.7109375" style="16" bestFit="1" customWidth="1"/>
    <col min="14601" max="14601" width="10" style="16" customWidth="1"/>
    <col min="14602" max="14602" width="9.28515625" style="16" customWidth="1"/>
    <col min="14603" max="14603" width="8.7109375" style="16" customWidth="1"/>
    <col min="14604" max="14604" width="9.5703125" style="16" customWidth="1"/>
    <col min="14605" max="14605" width="8.42578125" style="16" customWidth="1"/>
    <col min="14606" max="14607" width="8" style="16" customWidth="1"/>
    <col min="14608" max="14612" width="9.140625" style="16"/>
    <col min="14613" max="14613" width="12.42578125" style="16" customWidth="1"/>
    <col min="14614" max="14614" width="9.140625" style="16"/>
    <col min="14615" max="14615" width="12" style="16" customWidth="1"/>
    <col min="14616" max="14848" width="9.140625" style="16"/>
    <col min="14849" max="14849" width="5" style="16" customWidth="1"/>
    <col min="14850" max="14850" width="18" style="16" customWidth="1"/>
    <col min="14851" max="14851" width="10.7109375" style="16" bestFit="1" customWidth="1"/>
    <col min="14852" max="14852" width="7.28515625" style="16" customWidth="1"/>
    <col min="14853" max="14853" width="8.5703125" style="16" bestFit="1" customWidth="1"/>
    <col min="14854" max="14854" width="9.28515625" style="16" bestFit="1" customWidth="1"/>
    <col min="14855" max="14855" width="8.42578125" style="16" bestFit="1" customWidth="1"/>
    <col min="14856" max="14856" width="9.7109375" style="16" bestFit="1" customWidth="1"/>
    <col min="14857" max="14857" width="10" style="16" customWidth="1"/>
    <col min="14858" max="14858" width="9.28515625" style="16" customWidth="1"/>
    <col min="14859" max="14859" width="8.7109375" style="16" customWidth="1"/>
    <col min="14860" max="14860" width="9.5703125" style="16" customWidth="1"/>
    <col min="14861" max="14861" width="8.42578125" style="16" customWidth="1"/>
    <col min="14862" max="14863" width="8" style="16" customWidth="1"/>
    <col min="14864" max="14868" width="9.140625" style="16"/>
    <col min="14869" max="14869" width="12.42578125" style="16" customWidth="1"/>
    <col min="14870" max="14870" width="9.140625" style="16"/>
    <col min="14871" max="14871" width="12" style="16" customWidth="1"/>
    <col min="14872" max="15104" width="9.140625" style="16"/>
    <col min="15105" max="15105" width="5" style="16" customWidth="1"/>
    <col min="15106" max="15106" width="18" style="16" customWidth="1"/>
    <col min="15107" max="15107" width="10.7109375" style="16" bestFit="1" customWidth="1"/>
    <col min="15108" max="15108" width="7.28515625" style="16" customWidth="1"/>
    <col min="15109" max="15109" width="8.5703125" style="16" bestFit="1" customWidth="1"/>
    <col min="15110" max="15110" width="9.28515625" style="16" bestFit="1" customWidth="1"/>
    <col min="15111" max="15111" width="8.42578125" style="16" bestFit="1" customWidth="1"/>
    <col min="15112" max="15112" width="9.7109375" style="16" bestFit="1" customWidth="1"/>
    <col min="15113" max="15113" width="10" style="16" customWidth="1"/>
    <col min="15114" max="15114" width="9.28515625" style="16" customWidth="1"/>
    <col min="15115" max="15115" width="8.7109375" style="16" customWidth="1"/>
    <col min="15116" max="15116" width="9.5703125" style="16" customWidth="1"/>
    <col min="15117" max="15117" width="8.42578125" style="16" customWidth="1"/>
    <col min="15118" max="15119" width="8" style="16" customWidth="1"/>
    <col min="15120" max="15124" width="9.140625" style="16"/>
    <col min="15125" max="15125" width="12.42578125" style="16" customWidth="1"/>
    <col min="15126" max="15126" width="9.140625" style="16"/>
    <col min="15127" max="15127" width="12" style="16" customWidth="1"/>
    <col min="15128" max="15360" width="9.140625" style="16"/>
    <col min="15361" max="15361" width="5" style="16" customWidth="1"/>
    <col min="15362" max="15362" width="18" style="16" customWidth="1"/>
    <col min="15363" max="15363" width="10.7109375" style="16" bestFit="1" customWidth="1"/>
    <col min="15364" max="15364" width="7.28515625" style="16" customWidth="1"/>
    <col min="15365" max="15365" width="8.5703125" style="16" bestFit="1" customWidth="1"/>
    <col min="15366" max="15366" width="9.28515625" style="16" bestFit="1" customWidth="1"/>
    <col min="15367" max="15367" width="8.42578125" style="16" bestFit="1" customWidth="1"/>
    <col min="15368" max="15368" width="9.7109375" style="16" bestFit="1" customWidth="1"/>
    <col min="15369" max="15369" width="10" style="16" customWidth="1"/>
    <col min="15370" max="15370" width="9.28515625" style="16" customWidth="1"/>
    <col min="15371" max="15371" width="8.7109375" style="16" customWidth="1"/>
    <col min="15372" max="15372" width="9.5703125" style="16" customWidth="1"/>
    <col min="15373" max="15373" width="8.42578125" style="16" customWidth="1"/>
    <col min="15374" max="15375" width="8" style="16" customWidth="1"/>
    <col min="15376" max="15380" width="9.140625" style="16"/>
    <col min="15381" max="15381" width="12.42578125" style="16" customWidth="1"/>
    <col min="15382" max="15382" width="9.140625" style="16"/>
    <col min="15383" max="15383" width="12" style="16" customWidth="1"/>
    <col min="15384" max="15616" width="9.140625" style="16"/>
    <col min="15617" max="15617" width="5" style="16" customWidth="1"/>
    <col min="15618" max="15618" width="18" style="16" customWidth="1"/>
    <col min="15619" max="15619" width="10.7109375" style="16" bestFit="1" customWidth="1"/>
    <col min="15620" max="15620" width="7.28515625" style="16" customWidth="1"/>
    <col min="15621" max="15621" width="8.5703125" style="16" bestFit="1" customWidth="1"/>
    <col min="15622" max="15622" width="9.28515625" style="16" bestFit="1" customWidth="1"/>
    <col min="15623" max="15623" width="8.42578125" style="16" bestFit="1" customWidth="1"/>
    <col min="15624" max="15624" width="9.7109375" style="16" bestFit="1" customWidth="1"/>
    <col min="15625" max="15625" width="10" style="16" customWidth="1"/>
    <col min="15626" max="15626" width="9.28515625" style="16" customWidth="1"/>
    <col min="15627" max="15627" width="8.7109375" style="16" customWidth="1"/>
    <col min="15628" max="15628" width="9.5703125" style="16" customWidth="1"/>
    <col min="15629" max="15629" width="8.42578125" style="16" customWidth="1"/>
    <col min="15630" max="15631" width="8" style="16" customWidth="1"/>
    <col min="15632" max="15636" width="9.140625" style="16"/>
    <col min="15637" max="15637" width="12.42578125" style="16" customWidth="1"/>
    <col min="15638" max="15638" width="9.140625" style="16"/>
    <col min="15639" max="15639" width="12" style="16" customWidth="1"/>
    <col min="15640" max="15872" width="9.140625" style="16"/>
    <col min="15873" max="15873" width="5" style="16" customWidth="1"/>
    <col min="15874" max="15874" width="18" style="16" customWidth="1"/>
    <col min="15875" max="15875" width="10.7109375" style="16" bestFit="1" customWidth="1"/>
    <col min="15876" max="15876" width="7.28515625" style="16" customWidth="1"/>
    <col min="15877" max="15877" width="8.5703125" style="16" bestFit="1" customWidth="1"/>
    <col min="15878" max="15878" width="9.28515625" style="16" bestFit="1" customWidth="1"/>
    <col min="15879" max="15879" width="8.42578125" style="16" bestFit="1" customWidth="1"/>
    <col min="15880" max="15880" width="9.7109375" style="16" bestFit="1" customWidth="1"/>
    <col min="15881" max="15881" width="10" style="16" customWidth="1"/>
    <col min="15882" max="15882" width="9.28515625" style="16" customWidth="1"/>
    <col min="15883" max="15883" width="8.7109375" style="16" customWidth="1"/>
    <col min="15884" max="15884" width="9.5703125" style="16" customWidth="1"/>
    <col min="15885" max="15885" width="8.42578125" style="16" customWidth="1"/>
    <col min="15886" max="15887" width="8" style="16" customWidth="1"/>
    <col min="15888" max="15892" width="9.140625" style="16"/>
    <col min="15893" max="15893" width="12.42578125" style="16" customWidth="1"/>
    <col min="15894" max="15894" width="9.140625" style="16"/>
    <col min="15895" max="15895" width="12" style="16" customWidth="1"/>
    <col min="15896" max="16128" width="9.140625" style="16"/>
    <col min="16129" max="16129" width="5" style="16" customWidth="1"/>
    <col min="16130" max="16130" width="18" style="16" customWidth="1"/>
    <col min="16131" max="16131" width="10.7109375" style="16" bestFit="1" customWidth="1"/>
    <col min="16132" max="16132" width="7.28515625" style="16" customWidth="1"/>
    <col min="16133" max="16133" width="8.5703125" style="16" bestFit="1" customWidth="1"/>
    <col min="16134" max="16134" width="9.28515625" style="16" bestFit="1" customWidth="1"/>
    <col min="16135" max="16135" width="8.42578125" style="16" bestFit="1" customWidth="1"/>
    <col min="16136" max="16136" width="9.7109375" style="16" bestFit="1" customWidth="1"/>
    <col min="16137" max="16137" width="10" style="16" customWidth="1"/>
    <col min="16138" max="16138" width="9.28515625" style="16" customWidth="1"/>
    <col min="16139" max="16139" width="8.7109375" style="16" customWidth="1"/>
    <col min="16140" max="16140" width="9.5703125" style="16" customWidth="1"/>
    <col min="16141" max="16141" width="8.42578125" style="16" customWidth="1"/>
    <col min="16142" max="16143" width="8" style="16" customWidth="1"/>
    <col min="16144" max="16148" width="9.140625" style="16"/>
    <col min="16149" max="16149" width="12.42578125" style="16" customWidth="1"/>
    <col min="16150" max="16150" width="9.140625" style="16"/>
    <col min="16151" max="16151" width="12" style="16" customWidth="1"/>
    <col min="16152" max="16384" width="9.140625" style="16"/>
  </cols>
  <sheetData>
    <row r="1" spans="1:17" s="1" customFormat="1" x14ac:dyDescent="0.2">
      <c r="A1" s="867" t="s">
        <v>449</v>
      </c>
      <c r="B1" s="868"/>
      <c r="C1" s="868"/>
      <c r="D1" s="869"/>
      <c r="E1" s="868"/>
      <c r="F1" s="868"/>
      <c r="G1" s="867" t="s">
        <v>102</v>
      </c>
      <c r="H1" s="869"/>
      <c r="I1" s="869" t="s">
        <v>1218</v>
      </c>
      <c r="J1" s="868"/>
      <c r="K1" s="868"/>
      <c r="L1" s="870"/>
      <c r="M1" s="870"/>
      <c r="N1" s="870"/>
      <c r="O1" s="870"/>
    </row>
    <row r="2" spans="1:17" s="1" customFormat="1" x14ac:dyDescent="0.2">
      <c r="A2" s="867" t="s">
        <v>103</v>
      </c>
      <c r="B2" s="868"/>
      <c r="C2" s="868"/>
      <c r="D2" s="869"/>
      <c r="E2" s="868"/>
      <c r="F2" s="868"/>
      <c r="G2" s="867" t="s">
        <v>104</v>
      </c>
      <c r="H2" s="869"/>
      <c r="I2" s="869" t="s">
        <v>1219</v>
      </c>
      <c r="J2" s="868"/>
      <c r="K2" s="868"/>
      <c r="L2" s="870"/>
      <c r="M2" s="870"/>
      <c r="N2" s="870"/>
      <c r="O2" s="870"/>
    </row>
    <row r="3" spans="1:17" s="1" customFormat="1" x14ac:dyDescent="0.2">
      <c r="A3" s="867" t="s">
        <v>106</v>
      </c>
      <c r="B3" s="868"/>
      <c r="C3" s="868"/>
      <c r="D3" s="881" t="s">
        <v>1220</v>
      </c>
      <c r="E3" s="882"/>
      <c r="F3" s="882"/>
      <c r="G3" s="867" t="s">
        <v>107</v>
      </c>
      <c r="H3" s="869"/>
      <c r="I3" s="869" t="s">
        <v>108</v>
      </c>
      <c r="J3" s="868"/>
      <c r="K3" s="868"/>
      <c r="L3" s="870"/>
      <c r="M3" s="870"/>
      <c r="N3" s="870"/>
      <c r="O3" s="870"/>
    </row>
    <row r="4" spans="1:17" s="1" customFormat="1" x14ac:dyDescent="0.2">
      <c r="A4" s="867" t="s">
        <v>109</v>
      </c>
      <c r="B4" s="868"/>
      <c r="C4" s="868"/>
      <c r="D4" s="869"/>
      <c r="E4" s="868"/>
      <c r="F4" s="868"/>
      <c r="G4" s="867" t="s">
        <v>110</v>
      </c>
      <c r="H4" s="869"/>
      <c r="I4" s="869" t="s">
        <v>635</v>
      </c>
      <c r="J4" s="868"/>
      <c r="K4" s="868"/>
      <c r="L4" s="870"/>
      <c r="M4" s="870"/>
      <c r="N4" s="870"/>
      <c r="O4" s="870"/>
    </row>
    <row r="5" spans="1:17" s="1" customFormat="1" x14ac:dyDescent="0.2">
      <c r="A5" s="867" t="s">
        <v>278</v>
      </c>
      <c r="B5" s="868"/>
      <c r="C5" s="868"/>
      <c r="D5" s="883" t="s">
        <v>1221</v>
      </c>
      <c r="E5" s="868"/>
      <c r="F5" s="868"/>
      <c r="G5" s="867"/>
      <c r="H5" s="868"/>
      <c r="I5" s="869" t="s">
        <v>113</v>
      </c>
      <c r="J5" s="868"/>
      <c r="K5" s="868"/>
      <c r="L5" s="870"/>
      <c r="M5" s="870"/>
      <c r="N5" s="870"/>
      <c r="O5" s="870"/>
    </row>
    <row r="6" spans="1:17" s="1" customFormat="1" x14ac:dyDescent="0.2">
      <c r="A6" s="871" t="s">
        <v>114</v>
      </c>
      <c r="B6" s="872"/>
      <c r="C6" s="872"/>
      <c r="D6" s="868" t="s">
        <v>1222</v>
      </c>
      <c r="E6" s="868"/>
      <c r="F6" s="868"/>
      <c r="G6" s="871" t="s">
        <v>115</v>
      </c>
      <c r="H6" s="1099"/>
      <c r="I6" s="316" t="s">
        <v>116</v>
      </c>
      <c r="J6" s="1100"/>
      <c r="K6" s="1100"/>
      <c r="L6" s="1100"/>
      <c r="M6" s="1100"/>
      <c r="N6" s="1100"/>
      <c r="O6" s="1101"/>
    </row>
    <row r="7" spans="1:17" s="1" customFormat="1" ht="13.5" thickBot="1" x14ac:dyDescent="0.25">
      <c r="A7" s="45"/>
      <c r="B7" s="412"/>
      <c r="C7" s="5"/>
      <c r="D7" s="413"/>
      <c r="E7" s="413"/>
      <c r="F7" s="413"/>
      <c r="G7" s="418"/>
      <c r="H7" s="1168"/>
      <c r="I7" s="1168"/>
      <c r="J7" s="1168"/>
      <c r="K7" s="1168"/>
      <c r="L7" s="1168"/>
      <c r="M7" s="1168"/>
      <c r="N7" s="1168"/>
      <c r="O7" s="1168"/>
    </row>
    <row r="8" spans="1:17" s="11" customFormat="1" ht="15" customHeight="1" x14ac:dyDescent="0.2">
      <c r="A8" s="876" t="str">
        <f>I1</f>
        <v>Mr. P.R.Pehekar.</v>
      </c>
      <c r="B8" s="877"/>
      <c r="C8" s="9">
        <v>43160</v>
      </c>
      <c r="D8" s="9">
        <v>43191</v>
      </c>
      <c r="E8" s="9">
        <v>43221</v>
      </c>
      <c r="F8" s="9">
        <v>43252</v>
      </c>
      <c r="G8" s="9">
        <v>43282</v>
      </c>
      <c r="H8" s="9">
        <v>43313</v>
      </c>
      <c r="I8" s="9">
        <v>43344</v>
      </c>
      <c r="J8" s="9">
        <v>43374</v>
      </c>
      <c r="K8" s="9">
        <v>43405</v>
      </c>
      <c r="L8" s="9">
        <v>43435</v>
      </c>
      <c r="M8" s="9">
        <v>43466</v>
      </c>
      <c r="N8" s="9">
        <v>43497</v>
      </c>
      <c r="O8" s="10" t="s">
        <v>117</v>
      </c>
      <c r="Q8" s="11" t="s">
        <v>116</v>
      </c>
    </row>
    <row r="9" spans="1:17" ht="15" x14ac:dyDescent="0.2">
      <c r="A9" s="12"/>
      <c r="B9" s="13" t="s">
        <v>118</v>
      </c>
      <c r="C9" s="14">
        <v>90300</v>
      </c>
      <c r="D9" s="14">
        <v>90300</v>
      </c>
      <c r="E9" s="14">
        <v>90300</v>
      </c>
      <c r="F9" s="14">
        <v>90300</v>
      </c>
      <c r="G9" s="14">
        <v>91694</v>
      </c>
      <c r="H9" s="14">
        <v>93000</v>
      </c>
      <c r="I9" s="14">
        <v>93000</v>
      </c>
      <c r="J9" s="14">
        <v>93000</v>
      </c>
      <c r="K9" s="14">
        <v>93000</v>
      </c>
      <c r="L9" s="14">
        <v>0</v>
      </c>
      <c r="M9" s="14">
        <v>0</v>
      </c>
      <c r="N9" s="14">
        <v>0</v>
      </c>
      <c r="O9" s="15">
        <f t="shared" ref="O9:O36" si="0">SUM(C9:N9)</f>
        <v>824894</v>
      </c>
      <c r="Q9" s="16" t="s">
        <v>222</v>
      </c>
    </row>
    <row r="10" spans="1:17" ht="15" x14ac:dyDescent="0.2">
      <c r="A10" s="12"/>
      <c r="B10" s="13" t="s">
        <v>119</v>
      </c>
      <c r="C10" s="17">
        <v>0</v>
      </c>
      <c r="D10" s="17">
        <v>0</v>
      </c>
      <c r="E10" s="17">
        <v>0</v>
      </c>
      <c r="F10" s="17">
        <v>0</v>
      </c>
      <c r="G10" s="17">
        <v>0</v>
      </c>
      <c r="H10" s="17">
        <v>0</v>
      </c>
      <c r="I10" s="17">
        <v>0</v>
      </c>
      <c r="J10" s="17">
        <v>0</v>
      </c>
      <c r="K10" s="17">
        <v>0</v>
      </c>
      <c r="L10" s="17">
        <v>0</v>
      </c>
      <c r="M10" s="17">
        <v>0</v>
      </c>
      <c r="N10" s="17">
        <v>0</v>
      </c>
      <c r="O10" s="18">
        <f t="shared" si="0"/>
        <v>0</v>
      </c>
    </row>
    <row r="11" spans="1:17" ht="15" x14ac:dyDescent="0.2">
      <c r="A11" s="12"/>
      <c r="B11" s="13" t="s">
        <v>120</v>
      </c>
      <c r="C11" s="17">
        <v>4515</v>
      </c>
      <c r="D11" s="17">
        <v>6321</v>
      </c>
      <c r="E11" s="17">
        <v>6321</v>
      </c>
      <c r="F11" s="17">
        <v>6321</v>
      </c>
      <c r="G11" s="17">
        <v>6419</v>
      </c>
      <c r="H11" s="17">
        <v>6510</v>
      </c>
      <c r="I11" s="17">
        <v>6510</v>
      </c>
      <c r="J11" s="17">
        <v>8370</v>
      </c>
      <c r="K11" s="17">
        <v>8370</v>
      </c>
      <c r="L11" s="17">
        <v>0</v>
      </c>
      <c r="M11" s="17">
        <v>0</v>
      </c>
      <c r="N11" s="17">
        <v>0</v>
      </c>
      <c r="O11" s="18">
        <f>SUM(C11:N11)</f>
        <v>59657</v>
      </c>
    </row>
    <row r="12" spans="1:17"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 t="shared" si="0"/>
        <v>0</v>
      </c>
    </row>
    <row r="13" spans="1:17"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si="0"/>
        <v>0</v>
      </c>
    </row>
    <row r="14" spans="1:17" ht="15" customHeight="1" x14ac:dyDescent="0.2">
      <c r="A14" s="12"/>
      <c r="B14" s="13" t="s">
        <v>123</v>
      </c>
      <c r="C14" s="17">
        <v>7560</v>
      </c>
      <c r="D14" s="17">
        <v>7704</v>
      </c>
      <c r="E14" s="17">
        <v>7704</v>
      </c>
      <c r="F14" s="17">
        <v>7704</v>
      </c>
      <c r="G14" s="17">
        <v>7704</v>
      </c>
      <c r="H14" s="17">
        <v>7704</v>
      </c>
      <c r="I14" s="17">
        <v>7704</v>
      </c>
      <c r="J14" s="17">
        <v>7848</v>
      </c>
      <c r="K14" s="17">
        <v>7848</v>
      </c>
      <c r="L14" s="17">
        <v>0</v>
      </c>
      <c r="M14" s="17">
        <v>0</v>
      </c>
      <c r="N14" s="17">
        <v>0</v>
      </c>
      <c r="O14" s="18">
        <f t="shared" si="0"/>
        <v>69480</v>
      </c>
    </row>
    <row r="15" spans="1:17" ht="15"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7" ht="15" hidden="1" x14ac:dyDescent="0.2">
      <c r="A16" s="12"/>
      <c r="B16" s="13" t="s">
        <v>405</v>
      </c>
      <c r="C16" s="17">
        <v>0</v>
      </c>
      <c r="D16" s="17">
        <v>0</v>
      </c>
      <c r="E16" s="17">
        <v>0</v>
      </c>
      <c r="F16" s="17">
        <v>0</v>
      </c>
      <c r="G16" s="17">
        <v>0</v>
      </c>
      <c r="H16" s="17">
        <v>0</v>
      </c>
      <c r="I16" s="17">
        <v>0</v>
      </c>
      <c r="J16" s="17">
        <v>0</v>
      </c>
      <c r="K16" s="17">
        <v>0</v>
      </c>
      <c r="L16" s="17">
        <v>0</v>
      </c>
      <c r="M16" s="17">
        <v>0</v>
      </c>
      <c r="N16" s="17">
        <v>0</v>
      </c>
      <c r="O16" s="18">
        <f t="shared" si="0"/>
        <v>0</v>
      </c>
    </row>
    <row r="17" spans="1:15" ht="14.25" x14ac:dyDescent="0.2">
      <c r="A17" s="12"/>
      <c r="B17" s="180" t="s">
        <v>1223</v>
      </c>
      <c r="C17" s="17">
        <v>0</v>
      </c>
      <c r="D17" s="17">
        <v>0</v>
      </c>
      <c r="E17" s="17">
        <v>0</v>
      </c>
      <c r="F17" s="17">
        <v>0</v>
      </c>
      <c r="G17" s="17">
        <v>0</v>
      </c>
      <c r="H17" s="17">
        <v>0</v>
      </c>
      <c r="I17" s="17">
        <v>0</v>
      </c>
      <c r="J17" s="17">
        <v>0</v>
      </c>
      <c r="K17" s="17">
        <v>0</v>
      </c>
      <c r="L17" s="17">
        <v>0</v>
      </c>
      <c r="M17" s="17">
        <v>0</v>
      </c>
      <c r="N17" s="17">
        <v>0</v>
      </c>
      <c r="O17" s="18">
        <f t="shared" si="0"/>
        <v>0</v>
      </c>
    </row>
    <row r="18" spans="1:15" ht="15" hidden="1" x14ac:dyDescent="0.2">
      <c r="A18" s="12"/>
      <c r="B18" s="13" t="s">
        <v>609</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0</v>
      </c>
      <c r="D19" s="17">
        <v>0</v>
      </c>
      <c r="E19" s="17">
        <v>0</v>
      </c>
      <c r="F19" s="17">
        <v>0</v>
      </c>
      <c r="G19" s="17">
        <v>0</v>
      </c>
      <c r="H19" s="17">
        <v>0</v>
      </c>
      <c r="I19" s="17">
        <v>0</v>
      </c>
      <c r="J19" s="17">
        <v>0</v>
      </c>
      <c r="K19" s="17">
        <v>0</v>
      </c>
      <c r="L19" s="17">
        <v>0</v>
      </c>
      <c r="M19" s="17">
        <v>0</v>
      </c>
      <c r="N19" s="17">
        <v>0</v>
      </c>
      <c r="O19" s="18">
        <f t="shared" si="0"/>
        <v>0</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0.75" hidden="1" customHeight="1" x14ac:dyDescent="0.2">
      <c r="A21" s="878"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79"/>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5" ht="15" customHeight="1" x14ac:dyDescent="0.2">
      <c r="A23" s="879"/>
      <c r="B23" s="19" t="s">
        <v>458</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79"/>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79"/>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79"/>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79"/>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79"/>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79"/>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79"/>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79"/>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79"/>
      <c r="B32" s="21" t="s">
        <v>142</v>
      </c>
      <c r="C32" s="17">
        <v>0</v>
      </c>
      <c r="D32" s="17">
        <v>0</v>
      </c>
      <c r="E32" s="17">
        <v>0</v>
      </c>
      <c r="F32" s="17">
        <v>0</v>
      </c>
      <c r="G32" s="17">
        <v>0</v>
      </c>
      <c r="H32" s="17">
        <v>0</v>
      </c>
      <c r="I32" s="17">
        <v>0</v>
      </c>
      <c r="J32" s="17">
        <v>0</v>
      </c>
      <c r="K32" s="17">
        <v>0</v>
      </c>
      <c r="L32" s="17">
        <v>0</v>
      </c>
      <c r="M32" s="17">
        <v>0</v>
      </c>
      <c r="N32" s="17">
        <v>0</v>
      </c>
      <c r="O32" s="18">
        <f t="shared" si="0"/>
        <v>0</v>
      </c>
    </row>
    <row r="33" spans="1:17" ht="15" hidden="1" customHeight="1" x14ac:dyDescent="0.2">
      <c r="A33" s="880"/>
      <c r="B33" s="19" t="s">
        <v>226</v>
      </c>
      <c r="C33" s="17">
        <v>0</v>
      </c>
      <c r="D33" s="17">
        <v>0</v>
      </c>
      <c r="E33" s="17">
        <v>0</v>
      </c>
      <c r="F33" s="17">
        <v>0</v>
      </c>
      <c r="G33" s="17">
        <v>0</v>
      </c>
      <c r="H33" s="17">
        <v>0</v>
      </c>
      <c r="I33" s="17">
        <v>0</v>
      </c>
      <c r="J33" s="17">
        <v>0</v>
      </c>
      <c r="K33" s="17">
        <v>0</v>
      </c>
      <c r="L33" s="17">
        <v>0</v>
      </c>
      <c r="M33" s="17">
        <v>0</v>
      </c>
      <c r="N33" s="17">
        <v>0</v>
      </c>
      <c r="O33" s="18">
        <f t="shared" si="0"/>
        <v>0</v>
      </c>
    </row>
    <row r="34" spans="1:17" ht="15" customHeight="1" x14ac:dyDescent="0.2">
      <c r="A34" s="865" t="s">
        <v>144</v>
      </c>
      <c r="B34" s="866"/>
      <c r="C34" s="17">
        <v>0</v>
      </c>
      <c r="D34" s="17">
        <v>0</v>
      </c>
      <c r="E34" s="17">
        <v>0</v>
      </c>
      <c r="F34" s="17">
        <v>0</v>
      </c>
      <c r="G34" s="17">
        <v>0</v>
      </c>
      <c r="H34" s="17">
        <v>0</v>
      </c>
      <c r="I34" s="17">
        <v>0</v>
      </c>
      <c r="J34" s="17">
        <v>0</v>
      </c>
      <c r="K34" s="17">
        <v>0</v>
      </c>
      <c r="L34" s="17">
        <v>0</v>
      </c>
      <c r="M34" s="17">
        <v>0</v>
      </c>
      <c r="N34" s="17">
        <v>0</v>
      </c>
      <c r="O34" s="18">
        <f t="shared" si="0"/>
        <v>0</v>
      </c>
    </row>
    <row r="35" spans="1:17" ht="15" customHeight="1" x14ac:dyDescent="0.2">
      <c r="A35" s="865" t="s">
        <v>145</v>
      </c>
      <c r="B35" s="866"/>
      <c r="C35" s="17">
        <v>0</v>
      </c>
      <c r="D35" s="17">
        <v>432</v>
      </c>
      <c r="E35" s="17">
        <v>0</v>
      </c>
      <c r="F35" s="17">
        <v>0</v>
      </c>
      <c r="G35" s="17">
        <v>0</v>
      </c>
      <c r="H35" s="17">
        <v>0</v>
      </c>
      <c r="I35" s="17">
        <v>0</v>
      </c>
      <c r="J35" s="17">
        <v>432</v>
      </c>
      <c r="K35" s="17">
        <v>0</v>
      </c>
      <c r="L35" s="17">
        <v>0</v>
      </c>
      <c r="M35" s="17">
        <v>0</v>
      </c>
      <c r="N35" s="17">
        <v>0</v>
      </c>
      <c r="O35" s="18">
        <f t="shared" si="0"/>
        <v>864</v>
      </c>
    </row>
    <row r="36" spans="1:17" ht="15" customHeight="1" x14ac:dyDescent="0.2">
      <c r="A36" s="865" t="s">
        <v>146</v>
      </c>
      <c r="B36" s="866"/>
      <c r="C36" s="17">
        <v>0</v>
      </c>
      <c r="D36" s="17">
        <v>5418</v>
      </c>
      <c r="E36" s="17">
        <v>0</v>
      </c>
      <c r="F36" s="17">
        <v>0</v>
      </c>
      <c r="G36" s="17">
        <v>0</v>
      </c>
      <c r="H36" s="17">
        <v>0</v>
      </c>
      <c r="I36" s="17">
        <v>0</v>
      </c>
      <c r="J36" s="17">
        <v>5553</v>
      </c>
      <c r="K36" s="17">
        <v>0</v>
      </c>
      <c r="L36" s="17">
        <v>0</v>
      </c>
      <c r="M36" s="17">
        <v>0</v>
      </c>
      <c r="N36" s="17">
        <v>0</v>
      </c>
      <c r="O36" s="18">
        <f t="shared" si="0"/>
        <v>10971</v>
      </c>
    </row>
    <row r="37" spans="1:17" ht="15" customHeight="1" x14ac:dyDescent="0.2">
      <c r="A37" s="22"/>
      <c r="B37" s="23" t="s">
        <v>147</v>
      </c>
      <c r="C37" s="24">
        <f>SUM(C9:C36)</f>
        <v>102375</v>
      </c>
      <c r="D37" s="24">
        <f>SUM(D9:D36)</f>
        <v>110175</v>
      </c>
      <c r="E37" s="24">
        <f t="shared" ref="E37:N37" si="1">SUM(E9:E36)</f>
        <v>104325</v>
      </c>
      <c r="F37" s="24">
        <f>SUM(F9:F36)</f>
        <v>104325</v>
      </c>
      <c r="G37" s="326">
        <f t="shared" si="1"/>
        <v>105817</v>
      </c>
      <c r="H37" s="24">
        <f>SUM(H9:H36)</f>
        <v>107214</v>
      </c>
      <c r="I37" s="24">
        <f>SUM(I9:I36)</f>
        <v>107214</v>
      </c>
      <c r="J37" s="24">
        <f t="shared" si="1"/>
        <v>122111</v>
      </c>
      <c r="K37" s="24">
        <f t="shared" si="1"/>
        <v>109218</v>
      </c>
      <c r="L37" s="24">
        <f t="shared" si="1"/>
        <v>0</v>
      </c>
      <c r="M37" s="24">
        <f t="shared" si="1"/>
        <v>0</v>
      </c>
      <c r="N37" s="24">
        <f t="shared" si="1"/>
        <v>0</v>
      </c>
      <c r="O37" s="25">
        <f t="shared" ref="O37:O50" si="2">SUM(C37:N37)</f>
        <v>972774</v>
      </c>
      <c r="Q37" s="16">
        <f>67474*2+1200+10776+70168*2+72100*2+15000+72100+10380+3454+75560*2+3700+75560+19887+75560*2</f>
        <v>933781</v>
      </c>
    </row>
    <row r="38" spans="1:17" ht="15" customHeight="1" x14ac:dyDescent="0.2">
      <c r="A38" s="853" t="s">
        <v>148</v>
      </c>
      <c r="B38" s="27" t="s">
        <v>149</v>
      </c>
      <c r="C38" s="28">
        <v>8900</v>
      </c>
      <c r="D38" s="28">
        <v>9000</v>
      </c>
      <c r="E38" s="28">
        <v>9000</v>
      </c>
      <c r="F38" s="28">
        <v>9000</v>
      </c>
      <c r="G38" s="28">
        <v>9000</v>
      </c>
      <c r="H38" s="28">
        <v>9000</v>
      </c>
      <c r="I38" s="28">
        <v>9000</v>
      </c>
      <c r="J38" s="28">
        <v>9000</v>
      </c>
      <c r="K38" s="28">
        <v>10500</v>
      </c>
      <c r="L38" s="28">
        <v>0</v>
      </c>
      <c r="M38" s="28">
        <v>0</v>
      </c>
      <c r="N38" s="28">
        <v>0</v>
      </c>
      <c r="O38" s="18">
        <f t="shared" si="2"/>
        <v>82400</v>
      </c>
      <c r="P38" s="284"/>
    </row>
    <row r="39" spans="1:17" ht="15" x14ac:dyDescent="0.2">
      <c r="A39" s="854"/>
      <c r="B39" s="27" t="s">
        <v>150</v>
      </c>
      <c r="C39" s="28">
        <v>0</v>
      </c>
      <c r="D39" s="28">
        <v>0</v>
      </c>
      <c r="E39" s="28">
        <v>0</v>
      </c>
      <c r="F39" s="28">
        <v>0</v>
      </c>
      <c r="G39" s="28">
        <v>0</v>
      </c>
      <c r="H39" s="28">
        <v>0</v>
      </c>
      <c r="I39" s="28">
        <v>0</v>
      </c>
      <c r="J39" s="28">
        <v>0</v>
      </c>
      <c r="K39" s="28">
        <v>0</v>
      </c>
      <c r="L39" s="28">
        <v>0</v>
      </c>
      <c r="M39" s="28">
        <v>0</v>
      </c>
      <c r="N39" s="28">
        <v>0</v>
      </c>
      <c r="O39" s="18">
        <f t="shared" si="2"/>
        <v>0</v>
      </c>
    </row>
    <row r="40" spans="1:17" ht="15" x14ac:dyDescent="0.2">
      <c r="A40" s="854"/>
      <c r="B40" s="27" t="s">
        <v>151</v>
      </c>
      <c r="C40" s="28">
        <v>60</v>
      </c>
      <c r="D40" s="28">
        <v>60</v>
      </c>
      <c r="E40" s="28">
        <v>60</v>
      </c>
      <c r="F40" s="28">
        <v>60</v>
      </c>
      <c r="G40" s="28">
        <v>60</v>
      </c>
      <c r="H40" s="28">
        <v>60</v>
      </c>
      <c r="I40" s="28">
        <v>60</v>
      </c>
      <c r="J40" s="28">
        <v>60</v>
      </c>
      <c r="K40" s="28">
        <v>60</v>
      </c>
      <c r="L40" s="28">
        <v>0</v>
      </c>
      <c r="M40" s="28">
        <v>0</v>
      </c>
      <c r="N40" s="28">
        <v>0</v>
      </c>
      <c r="O40" s="18">
        <f t="shared" si="2"/>
        <v>540</v>
      </c>
    </row>
    <row r="41" spans="1:17" ht="30" x14ac:dyDescent="0.2">
      <c r="A41" s="854"/>
      <c r="B41" s="27" t="s">
        <v>1224</v>
      </c>
      <c r="C41" s="28">
        <v>500</v>
      </c>
      <c r="D41" s="28">
        <v>500</v>
      </c>
      <c r="E41" s="28">
        <v>500</v>
      </c>
      <c r="F41" s="28">
        <v>500</v>
      </c>
      <c r="G41" s="28">
        <v>500</v>
      </c>
      <c r="H41" s="28">
        <v>500</v>
      </c>
      <c r="I41" s="28">
        <v>500</v>
      </c>
      <c r="J41" s="28">
        <v>500</v>
      </c>
      <c r="K41" s="28">
        <v>500</v>
      </c>
      <c r="L41" s="28">
        <v>0</v>
      </c>
      <c r="M41" s="28">
        <v>0</v>
      </c>
      <c r="N41" s="28">
        <v>0</v>
      </c>
      <c r="O41" s="18">
        <f t="shared" si="2"/>
        <v>4500</v>
      </c>
    </row>
    <row r="42" spans="1:17" ht="15" x14ac:dyDescent="0.2">
      <c r="A42" s="854"/>
      <c r="B42" s="27" t="s">
        <v>153</v>
      </c>
      <c r="C42" s="28">
        <v>650</v>
      </c>
      <c r="D42" s="28">
        <v>650</v>
      </c>
      <c r="E42" s="28">
        <v>650</v>
      </c>
      <c r="F42" s="28">
        <v>650</v>
      </c>
      <c r="G42" s="28">
        <v>650</v>
      </c>
      <c r="H42" s="28">
        <v>650</v>
      </c>
      <c r="I42" s="28">
        <v>650</v>
      </c>
      <c r="J42" s="28">
        <v>650</v>
      </c>
      <c r="K42" s="28">
        <v>650</v>
      </c>
      <c r="L42" s="28">
        <v>0</v>
      </c>
      <c r="M42" s="28">
        <v>0</v>
      </c>
      <c r="N42" s="28">
        <v>0</v>
      </c>
      <c r="O42" s="18">
        <f t="shared" si="2"/>
        <v>5850</v>
      </c>
    </row>
    <row r="43" spans="1:17" ht="15" x14ac:dyDescent="0.2">
      <c r="A43" s="854"/>
      <c r="B43" s="27" t="s">
        <v>154</v>
      </c>
      <c r="C43" s="28">
        <v>25000</v>
      </c>
      <c r="D43" s="28">
        <v>25000</v>
      </c>
      <c r="E43" s="28">
        <v>25000</v>
      </c>
      <c r="F43" s="28">
        <v>25000</v>
      </c>
      <c r="G43" s="28">
        <v>25000</v>
      </c>
      <c r="H43" s="28">
        <v>25000</v>
      </c>
      <c r="I43" s="28">
        <v>25000</v>
      </c>
      <c r="J43" s="28">
        <v>25000</v>
      </c>
      <c r="K43" s="28">
        <v>25000</v>
      </c>
      <c r="L43" s="28">
        <v>0</v>
      </c>
      <c r="M43" s="28">
        <v>0</v>
      </c>
      <c r="N43" s="28">
        <v>0</v>
      </c>
      <c r="O43" s="18">
        <f t="shared" si="2"/>
        <v>225000</v>
      </c>
    </row>
    <row r="44" spans="1:17" ht="15" x14ac:dyDescent="0.2">
      <c r="A44" s="854"/>
      <c r="B44" s="27" t="s">
        <v>155</v>
      </c>
      <c r="C44" s="28">
        <v>200</v>
      </c>
      <c r="D44" s="28">
        <v>200</v>
      </c>
      <c r="E44" s="28">
        <v>200</v>
      </c>
      <c r="F44" s="28">
        <v>200</v>
      </c>
      <c r="G44" s="28">
        <v>200</v>
      </c>
      <c r="H44" s="28">
        <v>200</v>
      </c>
      <c r="I44" s="28">
        <v>200</v>
      </c>
      <c r="J44" s="28">
        <v>200</v>
      </c>
      <c r="K44" s="28">
        <v>200</v>
      </c>
      <c r="L44" s="28">
        <v>0</v>
      </c>
      <c r="M44" s="28">
        <v>0</v>
      </c>
      <c r="N44" s="28">
        <v>0</v>
      </c>
      <c r="O44" s="18">
        <f t="shared" si="2"/>
        <v>1800</v>
      </c>
    </row>
    <row r="45" spans="1:17" ht="15" x14ac:dyDescent="0.2">
      <c r="A45" s="854"/>
      <c r="B45" s="27" t="s">
        <v>1225</v>
      </c>
      <c r="C45" s="28">
        <v>713</v>
      </c>
      <c r="D45" s="28">
        <v>713</v>
      </c>
      <c r="E45" s="28">
        <v>713</v>
      </c>
      <c r="F45" s="28">
        <v>713</v>
      </c>
      <c r="G45" s="28">
        <v>713</v>
      </c>
      <c r="H45" s="28">
        <v>713</v>
      </c>
      <c r="I45" s="28">
        <v>713</v>
      </c>
      <c r="J45" s="28">
        <v>713</v>
      </c>
      <c r="K45" s="28">
        <v>713</v>
      </c>
      <c r="L45" s="28">
        <v>0</v>
      </c>
      <c r="M45" s="28">
        <v>0</v>
      </c>
      <c r="N45" s="28">
        <v>0</v>
      </c>
      <c r="O45" s="18">
        <f t="shared" si="2"/>
        <v>6417</v>
      </c>
    </row>
    <row r="46" spans="1:17" ht="15" x14ac:dyDescent="0.2">
      <c r="A46" s="854"/>
      <c r="B46" s="27" t="s">
        <v>157</v>
      </c>
      <c r="C46" s="28">
        <v>0</v>
      </c>
      <c r="D46" s="28">
        <v>0</v>
      </c>
      <c r="E46" s="28">
        <v>0</v>
      </c>
      <c r="F46" s="28">
        <v>0</v>
      </c>
      <c r="G46" s="28">
        <v>0</v>
      </c>
      <c r="H46" s="28">
        <v>0</v>
      </c>
      <c r="I46" s="28">
        <v>0</v>
      </c>
      <c r="J46" s="28">
        <v>0</v>
      </c>
      <c r="K46" s="28">
        <v>0</v>
      </c>
      <c r="L46" s="28">
        <v>0</v>
      </c>
      <c r="M46" s="28">
        <v>0</v>
      </c>
      <c r="N46" s="28">
        <v>0</v>
      </c>
      <c r="O46" s="18">
        <f t="shared" si="2"/>
        <v>0</v>
      </c>
    </row>
    <row r="47" spans="1:17" ht="28.5" customHeight="1" x14ac:dyDescent="0.2">
      <c r="A47" s="855"/>
      <c r="B47" s="30" t="s">
        <v>158</v>
      </c>
      <c r="C47" s="28">
        <v>0</v>
      </c>
      <c r="D47" s="28">
        <v>0</v>
      </c>
      <c r="E47" s="28">
        <v>0</v>
      </c>
      <c r="F47" s="28">
        <v>0</v>
      </c>
      <c r="G47" s="28">
        <v>0</v>
      </c>
      <c r="H47" s="28">
        <v>0</v>
      </c>
      <c r="I47" s="28">
        <v>0</v>
      </c>
      <c r="J47" s="28">
        <v>0</v>
      </c>
      <c r="K47" s="28">
        <v>0</v>
      </c>
      <c r="L47" s="28">
        <v>0</v>
      </c>
      <c r="M47" s="28">
        <v>0</v>
      </c>
      <c r="N47" s="28">
        <v>0</v>
      </c>
      <c r="O47" s="31">
        <f t="shared" si="2"/>
        <v>0</v>
      </c>
    </row>
    <row r="48" spans="1:17" ht="21.75" customHeight="1" x14ac:dyDescent="0.2">
      <c r="A48" s="856"/>
      <c r="B48" s="419" t="s">
        <v>1226</v>
      </c>
      <c r="C48" s="28">
        <v>0</v>
      </c>
      <c r="D48" s="28">
        <v>0</v>
      </c>
      <c r="E48" s="28">
        <v>0</v>
      </c>
      <c r="F48" s="28">
        <v>0</v>
      </c>
      <c r="G48" s="28">
        <v>0</v>
      </c>
      <c r="H48" s="28">
        <v>0</v>
      </c>
      <c r="I48" s="28">
        <v>0</v>
      </c>
      <c r="J48" s="28">
        <v>0</v>
      </c>
      <c r="K48" s="28">
        <v>0</v>
      </c>
      <c r="L48" s="28">
        <v>0</v>
      </c>
      <c r="M48" s="28">
        <v>0</v>
      </c>
      <c r="N48" s="28">
        <v>0</v>
      </c>
      <c r="O48" s="31">
        <f t="shared" si="2"/>
        <v>0</v>
      </c>
    </row>
    <row r="49" spans="1:19" ht="15" x14ac:dyDescent="0.2">
      <c r="A49" s="857" t="s">
        <v>160</v>
      </c>
      <c r="B49" s="858"/>
      <c r="C49" s="33">
        <f t="shared" ref="C49:N49" si="3">SUM(C38:C48)</f>
        <v>36023</v>
      </c>
      <c r="D49" s="33">
        <f>SUM(D38:D48)</f>
        <v>36123</v>
      </c>
      <c r="E49" s="33">
        <f t="shared" si="3"/>
        <v>36123</v>
      </c>
      <c r="F49" s="33">
        <f t="shared" si="3"/>
        <v>36123</v>
      </c>
      <c r="G49" s="420">
        <f t="shared" si="3"/>
        <v>36123</v>
      </c>
      <c r="H49" s="33">
        <f t="shared" si="3"/>
        <v>36123</v>
      </c>
      <c r="I49" s="33">
        <f t="shared" si="3"/>
        <v>36123</v>
      </c>
      <c r="J49" s="33">
        <f t="shared" si="3"/>
        <v>36123</v>
      </c>
      <c r="K49" s="33">
        <f t="shared" si="3"/>
        <v>37623</v>
      </c>
      <c r="L49" s="33">
        <f t="shared" si="3"/>
        <v>0</v>
      </c>
      <c r="M49" s="33">
        <f t="shared" si="3"/>
        <v>0</v>
      </c>
      <c r="N49" s="33">
        <f t="shared" si="3"/>
        <v>0</v>
      </c>
      <c r="O49" s="34">
        <f t="shared" si="2"/>
        <v>326507</v>
      </c>
    </row>
    <row r="50" spans="1:19" ht="15.75" thickBot="1" x14ac:dyDescent="0.25">
      <c r="A50" s="859" t="s">
        <v>161</v>
      </c>
      <c r="B50" s="860"/>
      <c r="C50" s="35">
        <f t="shared" ref="C50:N50" si="4">C37-C49</f>
        <v>66352</v>
      </c>
      <c r="D50" s="35">
        <f>D37-D49</f>
        <v>74052</v>
      </c>
      <c r="E50" s="35">
        <f t="shared" si="4"/>
        <v>68202</v>
      </c>
      <c r="F50" s="35">
        <f t="shared" si="4"/>
        <v>68202</v>
      </c>
      <c r="G50" s="327">
        <f t="shared" si="4"/>
        <v>69694</v>
      </c>
      <c r="H50" s="35">
        <f t="shared" si="4"/>
        <v>71091</v>
      </c>
      <c r="I50" s="35">
        <f t="shared" si="4"/>
        <v>71091</v>
      </c>
      <c r="J50" s="35">
        <f t="shared" si="4"/>
        <v>85988</v>
      </c>
      <c r="K50" s="35">
        <f t="shared" si="4"/>
        <v>71595</v>
      </c>
      <c r="L50" s="35">
        <f t="shared" si="4"/>
        <v>0</v>
      </c>
      <c r="M50" s="35">
        <f t="shared" si="4"/>
        <v>0</v>
      </c>
      <c r="N50" s="35">
        <f t="shared" si="4"/>
        <v>0</v>
      </c>
      <c r="O50" s="36">
        <f t="shared" si="2"/>
        <v>646267</v>
      </c>
      <c r="Q50" s="16">
        <f>52214+43204+1200+10776+45788+45908+47840+50240+15000+50840+10380+3454+51700*2+3700+51300+19887+50100+49855</f>
        <v>655086</v>
      </c>
    </row>
    <row r="51" spans="1:19" x14ac:dyDescent="0.2">
      <c r="J51" s="229">
        <f>+J37-SUM(J22:J36)</f>
        <v>109218</v>
      </c>
      <c r="M51" s="38">
        <f>+M50-M23</f>
        <v>0</v>
      </c>
      <c r="Q51" s="38"/>
    </row>
    <row r="52" spans="1:19" ht="13.5" thickBot="1" x14ac:dyDescent="0.25">
      <c r="J52" s="38">
        <f>+J51-J49</f>
        <v>73095</v>
      </c>
    </row>
    <row r="53" spans="1:19" ht="13.5" thickBot="1" x14ac:dyDescent="0.25">
      <c r="B53" s="789" t="s">
        <v>162</v>
      </c>
      <c r="C53" s="861"/>
      <c r="D53" s="861"/>
      <c r="E53" s="861"/>
      <c r="F53" s="862"/>
      <c r="G53" s="863">
        <f>O37</f>
        <v>972774</v>
      </c>
      <c r="H53" s="864"/>
    </row>
    <row r="54" spans="1:19" ht="13.5" thickBot="1" x14ac:dyDescent="0.25"/>
    <row r="55" spans="1:19" x14ac:dyDescent="0.2">
      <c r="B55" s="830" t="s">
        <v>163</v>
      </c>
      <c r="C55" s="833" t="s">
        <v>164</v>
      </c>
      <c r="D55" s="836" t="s">
        <v>229</v>
      </c>
      <c r="E55" s="837"/>
      <c r="F55" s="838"/>
      <c r="G55" s="839">
        <v>40000</v>
      </c>
      <c r="H55" s="840"/>
    </row>
    <row r="56" spans="1:19" x14ac:dyDescent="0.2">
      <c r="B56" s="831"/>
      <c r="C56" s="834"/>
      <c r="D56" s="841" t="s">
        <v>166</v>
      </c>
      <c r="E56" s="842"/>
      <c r="F56" s="843"/>
      <c r="G56" s="844">
        <f>+O44</f>
        <v>1800</v>
      </c>
      <c r="H56" s="845"/>
      <c r="I56" s="39"/>
      <c r="J56" s="846"/>
      <c r="K56" s="846"/>
      <c r="L56" s="846"/>
      <c r="M56" s="847"/>
      <c r="N56" s="847"/>
      <c r="O56" s="847"/>
    </row>
    <row r="57" spans="1:19" ht="13.5" thickBot="1" x14ac:dyDescent="0.25">
      <c r="B57" s="832"/>
      <c r="C57" s="835"/>
      <c r="D57" s="848" t="s">
        <v>266</v>
      </c>
      <c r="E57" s="849"/>
      <c r="F57" s="850"/>
      <c r="G57" s="851">
        <v>0</v>
      </c>
      <c r="H57" s="852"/>
      <c r="J57" s="47"/>
      <c r="K57" s="47"/>
      <c r="L57" s="47"/>
      <c r="M57" s="47"/>
      <c r="N57" s="47"/>
      <c r="O57" s="47"/>
    </row>
    <row r="58" spans="1:19" ht="13.5" thickBot="1" x14ac:dyDescent="0.25">
      <c r="B58" s="48"/>
      <c r="J58" s="47"/>
      <c r="K58" s="47"/>
      <c r="L58" s="47"/>
      <c r="M58" s="47"/>
      <c r="N58" s="47"/>
      <c r="O58" s="47"/>
    </row>
    <row r="59" spans="1:19" ht="13.5" thickBot="1" x14ac:dyDescent="0.25">
      <c r="B59" s="789" t="s">
        <v>168</v>
      </c>
      <c r="C59" s="790"/>
      <c r="D59" s="790"/>
      <c r="E59" s="790"/>
      <c r="F59" s="791"/>
      <c r="G59" s="825">
        <f>+G53-SUM(G55:H57)</f>
        <v>930974</v>
      </c>
      <c r="H59" s="826"/>
      <c r="J59" s="827" t="s">
        <v>169</v>
      </c>
      <c r="K59" s="828"/>
      <c r="L59" s="828"/>
      <c r="M59" s="828"/>
      <c r="N59" s="828"/>
      <c r="O59" s="829"/>
    </row>
    <row r="60" spans="1:19" ht="13.5" thickBot="1" x14ac:dyDescent="0.25">
      <c r="B60" s="49"/>
      <c r="C60" s="50"/>
      <c r="D60" s="50"/>
      <c r="E60" s="50"/>
      <c r="F60" s="50"/>
      <c r="G60" s="45"/>
      <c r="H60" s="50"/>
      <c r="J60" s="129"/>
      <c r="K60" s="130"/>
      <c r="L60" s="130"/>
      <c r="M60" s="130"/>
      <c r="N60" s="130"/>
      <c r="O60" s="131"/>
    </row>
    <row r="61" spans="1:19" ht="13.5" thickBot="1" x14ac:dyDescent="0.25">
      <c r="B61" s="789" t="s">
        <v>170</v>
      </c>
      <c r="C61" s="790"/>
      <c r="D61" s="790"/>
      <c r="E61" s="790"/>
      <c r="F61" s="791"/>
      <c r="G61" s="805"/>
      <c r="H61" s="791"/>
      <c r="J61" s="129"/>
      <c r="K61" s="130"/>
      <c r="L61" s="130"/>
      <c r="M61" s="130"/>
      <c r="N61" s="130"/>
      <c r="O61" s="131"/>
    </row>
    <row r="62" spans="1:19" ht="12.75" customHeight="1" x14ac:dyDescent="0.2">
      <c r="B62" s="57" t="s">
        <v>171</v>
      </c>
      <c r="C62" s="806" t="s">
        <v>172</v>
      </c>
      <c r="D62" s="807"/>
      <c r="E62" s="807"/>
      <c r="F62" s="808"/>
      <c r="G62" s="809">
        <v>100500</v>
      </c>
      <c r="H62" s="809"/>
      <c r="I62" s="58"/>
      <c r="J62" s="810" t="s">
        <v>173</v>
      </c>
      <c r="K62" s="811"/>
      <c r="L62" s="811"/>
      <c r="M62" s="811"/>
      <c r="N62" s="811"/>
      <c r="O62" s="812"/>
      <c r="Q62" s="59"/>
      <c r="R62" s="59"/>
      <c r="S62" s="59"/>
    </row>
    <row r="63" spans="1:19" ht="13.5" thickBot="1" x14ac:dyDescent="0.25">
      <c r="D63" s="37"/>
      <c r="I63" s="58"/>
      <c r="J63" s="60" t="s">
        <v>1227</v>
      </c>
      <c r="K63" s="61"/>
      <c r="L63" s="61"/>
      <c r="M63" s="61"/>
      <c r="N63" s="61" t="s">
        <v>388</v>
      </c>
      <c r="O63" s="62">
        <v>110666</v>
      </c>
      <c r="Q63" s="59"/>
      <c r="R63" s="59"/>
      <c r="S63" s="59"/>
    </row>
    <row r="64" spans="1:19" ht="13.5" thickBot="1" x14ac:dyDescent="0.25">
      <c r="B64" s="789" t="s">
        <v>175</v>
      </c>
      <c r="C64" s="790"/>
      <c r="D64" s="790"/>
      <c r="E64" s="790"/>
      <c r="F64" s="791"/>
      <c r="G64" s="805">
        <f>+G59-G62</f>
        <v>830474</v>
      </c>
      <c r="H64" s="791"/>
      <c r="I64" s="63"/>
      <c r="J64" s="64"/>
      <c r="K64" s="39"/>
      <c r="L64" s="39"/>
      <c r="M64" s="39"/>
      <c r="N64" s="39" t="s">
        <v>396</v>
      </c>
      <c r="O64" s="62">
        <v>113603</v>
      </c>
      <c r="Q64" s="59"/>
      <c r="R64" s="59"/>
      <c r="S64" s="59"/>
    </row>
    <row r="65" spans="2:19" ht="12.75" customHeight="1" x14ac:dyDescent="0.2">
      <c r="B65" s="48"/>
      <c r="C65" s="48"/>
      <c r="I65" s="63"/>
      <c r="J65" s="64"/>
      <c r="K65" s="39"/>
      <c r="L65" s="39"/>
      <c r="M65" s="39"/>
      <c r="N65" s="39"/>
      <c r="O65" s="65"/>
      <c r="Q65" s="59"/>
      <c r="R65" s="59"/>
      <c r="S65" s="59"/>
    </row>
    <row r="66" spans="2:19" x14ac:dyDescent="0.2">
      <c r="B66" s="66" t="s">
        <v>176</v>
      </c>
      <c r="C66" s="48"/>
      <c r="I66" s="63"/>
      <c r="J66" s="67"/>
      <c r="K66" s="68"/>
      <c r="L66" s="68"/>
      <c r="M66" s="68"/>
      <c r="N66" s="68"/>
      <c r="O66" s="69"/>
      <c r="Q66" s="59"/>
      <c r="R66" s="59"/>
      <c r="S66" s="59"/>
    </row>
    <row r="67" spans="2:19" ht="28.5" customHeight="1" thickBot="1" x14ac:dyDescent="0.25">
      <c r="B67" s="66"/>
      <c r="C67" s="48"/>
      <c r="G67" s="70" t="s">
        <v>177</v>
      </c>
      <c r="H67" s="70" t="s">
        <v>178</v>
      </c>
      <c r="I67" s="63"/>
      <c r="J67" s="810" t="s">
        <v>179</v>
      </c>
      <c r="K67" s="811"/>
      <c r="L67" s="71"/>
      <c r="M67" s="71"/>
      <c r="N67" s="71"/>
      <c r="O67" s="72"/>
      <c r="Q67" s="59"/>
      <c r="R67" s="59"/>
      <c r="S67" s="59"/>
    </row>
    <row r="68" spans="2:19" ht="12.75" customHeight="1" x14ac:dyDescent="0.2">
      <c r="B68" s="802" t="s">
        <v>180</v>
      </c>
      <c r="C68" s="821" t="s">
        <v>181</v>
      </c>
      <c r="D68" s="823" t="s">
        <v>182</v>
      </c>
      <c r="E68" s="824"/>
      <c r="F68" s="824"/>
      <c r="G68" s="73">
        <f>+O43</f>
        <v>225000</v>
      </c>
      <c r="H68" s="74">
        <f t="shared" ref="H68:H76" si="5">+G68</f>
        <v>225000</v>
      </c>
      <c r="I68" s="63"/>
      <c r="J68" s="75" t="s">
        <v>183</v>
      </c>
      <c r="K68" s="58"/>
      <c r="L68" s="58"/>
      <c r="M68" s="58"/>
      <c r="N68" s="58"/>
      <c r="O68" s="76"/>
      <c r="Q68" s="59"/>
      <c r="R68" s="59"/>
      <c r="S68" s="59"/>
    </row>
    <row r="69" spans="2:19" ht="12.75" customHeight="1" x14ac:dyDescent="0.2">
      <c r="B69" s="803"/>
      <c r="C69" s="822"/>
      <c r="D69" s="782" t="s">
        <v>184</v>
      </c>
      <c r="E69" s="783"/>
      <c r="F69" s="783"/>
      <c r="G69" s="77">
        <f>+O47</f>
        <v>0</v>
      </c>
      <c r="H69" s="78">
        <f t="shared" si="5"/>
        <v>0</v>
      </c>
      <c r="I69" s="63"/>
      <c r="J69" s="79"/>
      <c r="K69" s="68"/>
      <c r="L69" s="68"/>
      <c r="M69" s="68"/>
      <c r="N69" s="68"/>
      <c r="O69" s="69"/>
      <c r="Q69" s="59"/>
      <c r="R69" s="59"/>
      <c r="S69" s="59"/>
    </row>
    <row r="70" spans="2:19" ht="15" customHeight="1" x14ac:dyDescent="0.2">
      <c r="B70" s="803"/>
      <c r="C70" s="822"/>
      <c r="D70" s="819" t="s">
        <v>185</v>
      </c>
      <c r="E70" s="820"/>
      <c r="F70" s="820"/>
      <c r="G70" s="80">
        <f>O40</f>
        <v>540</v>
      </c>
      <c r="H70" s="78">
        <f t="shared" si="5"/>
        <v>540</v>
      </c>
      <c r="I70" s="63"/>
      <c r="J70" s="67"/>
      <c r="K70" s="68"/>
      <c r="L70" s="68"/>
      <c r="M70" s="68"/>
      <c r="N70" s="68"/>
      <c r="O70" s="69"/>
    </row>
    <row r="71" spans="2:19" x14ac:dyDescent="0.2">
      <c r="B71" s="803"/>
      <c r="C71" s="822"/>
      <c r="D71" s="782" t="s">
        <v>186</v>
      </c>
      <c r="E71" s="783"/>
      <c r="F71" s="783"/>
      <c r="G71" s="81">
        <v>0</v>
      </c>
      <c r="H71" s="78">
        <f t="shared" si="5"/>
        <v>0</v>
      </c>
      <c r="I71" s="63"/>
      <c r="J71" s="82" t="s">
        <v>187</v>
      </c>
      <c r="K71" s="71"/>
      <c r="L71" s="71"/>
      <c r="M71" s="71"/>
      <c r="N71" s="71"/>
      <c r="O71" s="72"/>
    </row>
    <row r="72" spans="2:19" ht="12.75" customHeight="1" x14ac:dyDescent="0.2">
      <c r="B72" s="803"/>
      <c r="C72" s="822"/>
      <c r="D72" s="784" t="s">
        <v>188</v>
      </c>
      <c r="E72" s="783"/>
      <c r="F72" s="783"/>
      <c r="G72" s="80">
        <v>0</v>
      </c>
      <c r="H72" s="78">
        <f t="shared" si="5"/>
        <v>0</v>
      </c>
      <c r="I72" s="63"/>
      <c r="J72" s="75" t="s">
        <v>189</v>
      </c>
      <c r="K72" s="50"/>
      <c r="L72" s="50"/>
      <c r="M72" s="50"/>
      <c r="N72" s="50"/>
      <c r="O72" s="83">
        <v>0</v>
      </c>
    </row>
    <row r="73" spans="2:19" ht="14.25" customHeight="1" x14ac:dyDescent="0.2">
      <c r="B73" s="803"/>
      <c r="C73" s="822"/>
      <c r="D73" s="782" t="s">
        <v>190</v>
      </c>
      <c r="E73" s="783"/>
      <c r="F73" s="783"/>
      <c r="G73" s="84">
        <v>0</v>
      </c>
      <c r="H73" s="78">
        <f t="shared" si="5"/>
        <v>0</v>
      </c>
      <c r="I73" s="63"/>
      <c r="J73" s="75"/>
      <c r="K73" s="39"/>
      <c r="L73" s="39"/>
      <c r="M73" s="39"/>
      <c r="N73" s="39"/>
      <c r="O73" s="65">
        <v>0</v>
      </c>
    </row>
    <row r="74" spans="2:19" x14ac:dyDescent="0.2">
      <c r="B74" s="803"/>
      <c r="C74" s="822"/>
      <c r="D74" s="782" t="s">
        <v>191</v>
      </c>
      <c r="E74" s="783"/>
      <c r="F74" s="783"/>
      <c r="G74" s="84">
        <v>0</v>
      </c>
      <c r="H74" s="78">
        <f t="shared" si="5"/>
        <v>0</v>
      </c>
      <c r="I74" s="58"/>
      <c r="J74" s="150"/>
      <c r="K74" s="50"/>
      <c r="L74" s="50"/>
      <c r="M74" s="50"/>
      <c r="N74" s="50"/>
      <c r="O74" s="83"/>
    </row>
    <row r="75" spans="2:19" x14ac:dyDescent="0.2">
      <c r="B75" s="803"/>
      <c r="C75" s="88" t="s">
        <v>192</v>
      </c>
      <c r="D75" s="1074" t="s">
        <v>1208</v>
      </c>
      <c r="E75" s="814"/>
      <c r="F75" s="814"/>
      <c r="G75" s="80">
        <v>0</v>
      </c>
      <c r="H75" s="78">
        <f t="shared" si="5"/>
        <v>0</v>
      </c>
      <c r="I75" s="58"/>
      <c r="J75" s="79"/>
      <c r="K75" s="39"/>
      <c r="L75" s="39"/>
      <c r="M75" s="39"/>
      <c r="N75" s="39"/>
      <c r="O75" s="65"/>
    </row>
    <row r="76" spans="2:19" ht="13.5" customHeight="1" thickBot="1" x14ac:dyDescent="0.25">
      <c r="B76" s="803"/>
      <c r="C76" s="421" t="s">
        <v>194</v>
      </c>
      <c r="D76" s="1165" t="s">
        <v>195</v>
      </c>
      <c r="E76" s="1165"/>
      <c r="F76" s="1165"/>
      <c r="G76" s="89">
        <v>0</v>
      </c>
      <c r="H76" s="90">
        <f t="shared" si="5"/>
        <v>0</v>
      </c>
      <c r="I76" s="63"/>
      <c r="J76" s="67"/>
      <c r="K76" s="68"/>
      <c r="L76" s="68"/>
      <c r="M76" s="91"/>
      <c r="N76" s="91"/>
      <c r="O76" s="92"/>
    </row>
    <row r="77" spans="2:19" ht="13.5" thickBot="1" x14ac:dyDescent="0.25">
      <c r="B77" s="803"/>
      <c r="C77" s="422"/>
      <c r="D77" s="423"/>
      <c r="E77" s="1166" t="s">
        <v>117</v>
      </c>
      <c r="F77" s="1167"/>
      <c r="G77" s="95">
        <f>SUM(G68:G76)</f>
        <v>225540</v>
      </c>
      <c r="H77" s="96">
        <f>IF(SUM(G68:G74)&lt;150000,SUM(G68:G74),150000)+IF(+G75&lt;20000,+G75,20000)</f>
        <v>150000</v>
      </c>
      <c r="I77" s="63"/>
      <c r="J77" s="140"/>
      <c r="K77" s="141"/>
      <c r="L77" s="141"/>
      <c r="M77" s="142"/>
      <c r="N77" s="142"/>
      <c r="O77" s="143"/>
    </row>
    <row r="78" spans="2:19" ht="12.75" customHeight="1" x14ac:dyDescent="0.2">
      <c r="B78" s="803"/>
      <c r="C78" s="371" t="s">
        <v>196</v>
      </c>
      <c r="D78" s="1149" t="s">
        <v>187</v>
      </c>
      <c r="E78" s="1150"/>
      <c r="F78" s="1151"/>
      <c r="G78" s="77">
        <v>0</v>
      </c>
      <c r="H78" s="103">
        <f>+IF(+G78&lt;25000,+G78,25000)</f>
        <v>0</v>
      </c>
      <c r="I78" s="87"/>
    </row>
    <row r="79" spans="2:19" x14ac:dyDescent="0.2">
      <c r="B79" s="803"/>
      <c r="C79" s="100" t="s">
        <v>197</v>
      </c>
      <c r="D79" s="784" t="s">
        <v>198</v>
      </c>
      <c r="E79" s="785"/>
      <c r="F79" s="786"/>
      <c r="G79" s="80">
        <v>0</v>
      </c>
      <c r="H79" s="424">
        <f>+IF(+G79&lt;25000,+G79,25000)</f>
        <v>0</v>
      </c>
      <c r="I79" s="63"/>
    </row>
    <row r="80" spans="2:19" x14ac:dyDescent="0.2">
      <c r="B80" s="803"/>
      <c r="C80" s="100" t="s">
        <v>199</v>
      </c>
      <c r="D80" s="784" t="s">
        <v>200</v>
      </c>
      <c r="E80" s="785"/>
      <c r="F80" s="786"/>
      <c r="G80" s="80">
        <v>40000</v>
      </c>
      <c r="H80" s="372">
        <f>+IF(+G80&lt;25000,+G80,25000)</f>
        <v>25000</v>
      </c>
      <c r="I80" s="63"/>
      <c r="J80" s="172"/>
      <c r="K80" s="172"/>
    </row>
    <row r="81" spans="2:13" x14ac:dyDescent="0.2">
      <c r="B81" s="803"/>
      <c r="C81" s="100" t="s">
        <v>201</v>
      </c>
      <c r="D81" s="784" t="s">
        <v>202</v>
      </c>
      <c r="E81" s="785"/>
      <c r="F81" s="786"/>
      <c r="G81" s="80">
        <v>0</v>
      </c>
      <c r="H81" s="104">
        <v>0</v>
      </c>
      <c r="I81" s="63"/>
    </row>
    <row r="82" spans="2:13" ht="13.5" thickBot="1" x14ac:dyDescent="0.25">
      <c r="B82" s="804"/>
      <c r="C82" s="425" t="s">
        <v>203</v>
      </c>
      <c r="D82" s="1160" t="s">
        <v>204</v>
      </c>
      <c r="E82" s="1161"/>
      <c r="F82" s="1162"/>
      <c r="G82" s="426">
        <v>0</v>
      </c>
      <c r="H82" s="427">
        <f>+IF(+G82&lt;100000,+G82,10000)</f>
        <v>0</v>
      </c>
      <c r="I82" s="63"/>
      <c r="J82" s="416"/>
      <c r="K82" s="416"/>
      <c r="L82" s="416"/>
      <c r="M82" s="416"/>
    </row>
    <row r="83" spans="2:13" ht="13.5" thickBot="1" x14ac:dyDescent="0.25">
      <c r="B83" s="787" t="s">
        <v>205</v>
      </c>
      <c r="C83" s="788"/>
      <c r="D83" s="788"/>
      <c r="E83" s="788"/>
      <c r="F83" s="788"/>
      <c r="G83" s="428">
        <f>SUM(G78:G82)</f>
        <v>40000</v>
      </c>
      <c r="H83" s="429">
        <f>SUM(H77:H82)</f>
        <v>175000</v>
      </c>
    </row>
    <row r="84" spans="2:13" ht="13.5" thickBot="1" x14ac:dyDescent="0.25"/>
    <row r="85" spans="2:13" ht="13.5" thickBot="1" x14ac:dyDescent="0.25">
      <c r="B85" s="1163" t="s">
        <v>206</v>
      </c>
      <c r="C85" s="1164"/>
      <c r="D85" s="1164"/>
      <c r="E85" s="1164"/>
      <c r="F85" s="1056"/>
      <c r="G85" s="1055">
        <f>ROUND(+G64-H83,-1)</f>
        <v>655470</v>
      </c>
      <c r="H85" s="1056"/>
      <c r="J85" s="109">
        <f>C37+D37+E37+F37</f>
        <v>421200</v>
      </c>
      <c r="K85" s="16" t="s">
        <v>235</v>
      </c>
    </row>
    <row r="86" spans="2:13" x14ac:dyDescent="0.2">
      <c r="B86" s="110"/>
      <c r="F86" s="105"/>
      <c r="J86" s="109">
        <f>G37+H37+I37</f>
        <v>320245</v>
      </c>
      <c r="K86" s="16" t="s">
        <v>236</v>
      </c>
      <c r="L86" s="16">
        <f>+J86/3</f>
        <v>106748.33333333333</v>
      </c>
    </row>
    <row r="87" spans="2:13" x14ac:dyDescent="0.2">
      <c r="C87" s="793" t="s">
        <v>207</v>
      </c>
      <c r="D87" s="794"/>
      <c r="E87" s="111" t="s">
        <v>208</v>
      </c>
      <c r="F87" s="111" t="s">
        <v>209</v>
      </c>
      <c r="G87" s="111" t="s">
        <v>210</v>
      </c>
      <c r="H87" s="111" t="s">
        <v>211</v>
      </c>
      <c r="J87" s="109">
        <f>J37+K37+L37</f>
        <v>231329</v>
      </c>
      <c r="K87" s="47" t="s">
        <v>237</v>
      </c>
      <c r="L87" s="16">
        <f>+J87/3</f>
        <v>77109.666666666672</v>
      </c>
    </row>
    <row r="88" spans="2:13" x14ac:dyDescent="0.2">
      <c r="C88" s="795" t="str">
        <f>IF(I6="M","0          - 250000","0          -  250000")</f>
        <v>0          - 250000</v>
      </c>
      <c r="D88" s="796"/>
      <c r="E88" s="112">
        <v>0</v>
      </c>
      <c r="F88" s="113">
        <f>IF(I6="M",(IF(G85&lt;250000,G85,250000)),(IF(G85&lt;250000,G85,250000)))</f>
        <v>250000</v>
      </c>
      <c r="G88" s="113">
        <f>G85-F88</f>
        <v>405470</v>
      </c>
      <c r="H88" s="113">
        <f>E88*F88</f>
        <v>0</v>
      </c>
      <c r="J88" s="16">
        <f>M37+N37</f>
        <v>0</v>
      </c>
      <c r="K88" s="1" t="s">
        <v>238</v>
      </c>
      <c r="L88" s="16">
        <f>+J88/2</f>
        <v>0</v>
      </c>
    </row>
    <row r="89" spans="2:13" x14ac:dyDescent="0.2">
      <c r="C89" s="795" t="str">
        <f>IF(I6="M","250001 - 500000","250001-500000")</f>
        <v>250001 - 500000</v>
      </c>
      <c r="D89" s="796"/>
      <c r="E89" s="112">
        <v>0.05</v>
      </c>
      <c r="F89" s="113">
        <f>IF(I6="M",(IF(G88&lt;250000,G88,250000)),(IF(G88&lt;250000,G88,250000)))</f>
        <v>250000</v>
      </c>
      <c r="G89" s="113">
        <f>G88-F89</f>
        <v>155470</v>
      </c>
      <c r="H89" s="114">
        <f>ROUND(E89*F89,0.1)</f>
        <v>12500</v>
      </c>
      <c r="J89" s="115">
        <f>SUM(J85:J88)</f>
        <v>972774</v>
      </c>
    </row>
    <row r="90" spans="2:13" x14ac:dyDescent="0.2">
      <c r="C90" s="797" t="s">
        <v>212</v>
      </c>
      <c r="D90" s="798"/>
      <c r="E90" s="112">
        <v>0.2</v>
      </c>
      <c r="F90" s="113">
        <f>IF(G89&lt;500000,G89,500000)</f>
        <v>155470</v>
      </c>
      <c r="G90" s="113">
        <f>G89-F90</f>
        <v>0</v>
      </c>
      <c r="H90" s="114">
        <f>ROUND(E90*F90,0.1)</f>
        <v>31094</v>
      </c>
      <c r="J90" s="16">
        <f>+G85</f>
        <v>655470</v>
      </c>
    </row>
    <row r="91" spans="2:13" x14ac:dyDescent="0.2">
      <c r="C91" s="795" t="s">
        <v>213</v>
      </c>
      <c r="D91" s="796"/>
      <c r="E91" s="112">
        <v>0.3</v>
      </c>
      <c r="F91" s="113">
        <f>G90</f>
        <v>0</v>
      </c>
      <c r="G91" s="113">
        <f>G90-F91</f>
        <v>0</v>
      </c>
      <c r="H91" s="114">
        <f>ROUND(E91*F91,0.1)</f>
        <v>0</v>
      </c>
      <c r="J91" s="16">
        <f>+J89-J90</f>
        <v>317304</v>
      </c>
    </row>
    <row r="92" spans="2:13" ht="12.75" customHeight="1" thickBot="1" x14ac:dyDescent="0.25">
      <c r="B92" s="116"/>
      <c r="C92" s="117"/>
      <c r="D92" s="47"/>
      <c r="E92" s="47"/>
      <c r="F92" s="47"/>
      <c r="J92" s="16">
        <f>ROUND(+G85/12,0.1)</f>
        <v>54623</v>
      </c>
      <c r="K92" s="223"/>
    </row>
    <row r="93" spans="2:13" ht="13.5" thickBot="1" x14ac:dyDescent="0.25">
      <c r="B93" s="799" t="s">
        <v>239</v>
      </c>
      <c r="C93" s="800"/>
      <c r="D93" s="800"/>
      <c r="E93" s="800"/>
      <c r="F93" s="801"/>
      <c r="G93" s="771">
        <f>H88+H89+H90+H91</f>
        <v>43594</v>
      </c>
      <c r="H93" s="772"/>
    </row>
    <row r="94" spans="2:13" ht="13.5" thickBot="1" x14ac:dyDescent="0.25">
      <c r="B94" s="119" t="s">
        <v>215</v>
      </c>
      <c r="C94" s="120"/>
      <c r="D94" s="120"/>
      <c r="E94" s="120"/>
      <c r="F94" s="120"/>
      <c r="G94" s="884">
        <f>IF((G64&lt;500000),5000,0)</f>
        <v>0</v>
      </c>
      <c r="H94" s="885">
        <f>IF(H92&lt;200000,0,IF(H92&lt;220000,((H92-200000)*10%),IF(H92&lt;=500000,2000,IF(H92&gt;=500000,0))))</f>
        <v>0</v>
      </c>
    </row>
    <row r="95" spans="2:13" ht="13.5" thickBot="1" x14ac:dyDescent="0.25">
      <c r="B95" s="122" t="s">
        <v>216</v>
      </c>
      <c r="C95" s="123"/>
      <c r="D95" s="123"/>
      <c r="E95" s="123"/>
      <c r="F95" s="123"/>
      <c r="G95" s="771">
        <f>IF((G93-G94)&lt;0,0,(G93-G94))</f>
        <v>43594</v>
      </c>
      <c r="H95" s="772"/>
    </row>
    <row r="96" spans="2:13" ht="13.5" thickBot="1" x14ac:dyDescent="0.25">
      <c r="B96" s="773" t="s">
        <v>240</v>
      </c>
      <c r="C96" s="774"/>
      <c r="D96" s="774"/>
      <c r="E96" s="774"/>
      <c r="F96" s="775"/>
      <c r="G96" s="776">
        <f>ROUND((IF(G95&gt;0,(G95*4%),0)),0)</f>
        <v>1744</v>
      </c>
      <c r="H96" s="777"/>
      <c r="I96" s="105"/>
    </row>
    <row r="97" spans="2:10" ht="13.5" thickBot="1" x14ac:dyDescent="0.25">
      <c r="B97" s="778" t="s">
        <v>218</v>
      </c>
      <c r="C97" s="779"/>
      <c r="D97" s="779"/>
      <c r="E97" s="779"/>
      <c r="F97" s="779"/>
      <c r="G97" s="780">
        <f>G95+G96</f>
        <v>45338</v>
      </c>
      <c r="H97" s="781"/>
    </row>
    <row r="98" spans="2:10" ht="13.5" thickBot="1" x14ac:dyDescent="0.25">
      <c r="B98" s="765" t="s">
        <v>219</v>
      </c>
      <c r="C98" s="766"/>
      <c r="D98" s="766"/>
      <c r="E98" s="766"/>
      <c r="F98" s="766"/>
      <c r="G98" s="767">
        <f>O38</f>
        <v>82400</v>
      </c>
      <c r="H98" s="768"/>
    </row>
    <row r="99" spans="2:10" ht="13.5" thickBot="1" x14ac:dyDescent="0.25">
      <c r="B99" s="765" t="str">
        <f>IF(G99&gt;0,"TAX PAYABLE","TAX REFUND")</f>
        <v>TAX REFUND</v>
      </c>
      <c r="C99" s="766"/>
      <c r="D99" s="766"/>
      <c r="E99" s="766"/>
      <c r="F99" s="766"/>
      <c r="G99" s="767">
        <f>+G97-G98</f>
        <v>-37062</v>
      </c>
      <c r="H99" s="768"/>
    </row>
    <row r="100" spans="2:10" x14ac:dyDescent="0.2">
      <c r="C100" s="124"/>
      <c r="D100" s="45"/>
      <c r="E100" s="118"/>
      <c r="F100" s="118"/>
      <c r="G100" s="118"/>
      <c r="H100" s="118"/>
      <c r="I100" s="87"/>
      <c r="J100" s="87"/>
    </row>
    <row r="101" spans="2:10" x14ac:dyDescent="0.2">
      <c r="C101" s="47"/>
      <c r="D101" s="50"/>
      <c r="E101" s="117"/>
      <c r="F101" s="47"/>
      <c r="G101" s="47"/>
      <c r="H101" s="47"/>
      <c r="I101" s="87"/>
      <c r="J101" s="87"/>
    </row>
    <row r="102" spans="2:10" x14ac:dyDescent="0.2">
      <c r="C102" s="39"/>
      <c r="D102" s="126"/>
      <c r="E102" s="126"/>
      <c r="F102" s="126"/>
      <c r="G102" s="39"/>
      <c r="H102" s="39"/>
    </row>
    <row r="103" spans="2:10" x14ac:dyDescent="0.2">
      <c r="C103" s="39"/>
      <c r="D103" s="126"/>
      <c r="E103" s="126"/>
      <c r="F103" s="39"/>
      <c r="G103" s="39"/>
      <c r="H103" s="39"/>
    </row>
    <row r="104" spans="2:10" x14ac:dyDescent="0.2">
      <c r="C104" s="39"/>
      <c r="D104" s="126"/>
      <c r="E104" s="126"/>
      <c r="F104" s="39"/>
      <c r="G104" s="39"/>
      <c r="H104" s="39"/>
    </row>
    <row r="105" spans="2:10" x14ac:dyDescent="0.2">
      <c r="C105" s="39"/>
      <c r="D105" s="39"/>
      <c r="E105" s="39"/>
      <c r="F105" s="39"/>
      <c r="G105" s="39"/>
      <c r="H105" s="39"/>
    </row>
    <row r="106" spans="2:10" x14ac:dyDescent="0.2">
      <c r="C106" s="39"/>
      <c r="D106" s="39"/>
      <c r="E106" s="39"/>
      <c r="F106" s="39"/>
      <c r="G106" s="39"/>
      <c r="H106" s="39"/>
    </row>
    <row r="107" spans="2:10"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H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89:F90 B99:F99 B92:F97">
    <cfRule type="cellIs" dxfId="285" priority="3" stopIfTrue="1" operator="equal">
      <formula>"TAX PAYABLE"</formula>
    </cfRule>
    <cfRule type="cellIs" dxfId="284" priority="4" stopIfTrue="1" operator="equal">
      <formula>"TAX REFUND"</formula>
    </cfRule>
  </conditionalFormatting>
  <conditionalFormatting sqref="G99:H99">
    <cfRule type="cellIs" dxfId="283" priority="1" stopIfTrue="1" operator="greaterThan">
      <formula>0</formula>
    </cfRule>
    <cfRule type="cellIs" dxfId="282"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$Q$8:$Q$9</formula1>
    </dataValidation>
  </dataValidations>
  <pageMargins left="0.7" right="0.7" top="0.75" bottom="0.75" header="0.3" footer="0.3"/>
  <pageSetup paperSize="5" orientation="landscape" horizontalDpi="300" verticalDpi="300" r:id="rId1"/>
  <headerFooter alignWithMargins="0"/>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7"/>
  <sheetViews>
    <sheetView topLeftCell="A59" workbookViewId="0">
      <selection activeCell="G57" sqref="G57:H57"/>
    </sheetView>
  </sheetViews>
  <sheetFormatPr defaultRowHeight="12.75" x14ac:dyDescent="0.2"/>
  <cols>
    <col min="1" max="1" width="5" style="16" customWidth="1"/>
    <col min="2" max="2" width="16.5703125" style="37" customWidth="1"/>
    <col min="3" max="3" width="10.7109375" style="16" bestFit="1" customWidth="1"/>
    <col min="4" max="4" width="7.5703125" style="16" customWidth="1"/>
    <col min="5" max="5" width="8.5703125" style="16" bestFit="1" customWidth="1"/>
    <col min="6" max="6" width="8.7109375" style="16" customWidth="1"/>
    <col min="7" max="7" width="8.42578125" style="16" bestFit="1" customWidth="1"/>
    <col min="8" max="8" width="9.7109375" style="16" bestFit="1" customWidth="1"/>
    <col min="9" max="9" width="10" style="16" customWidth="1"/>
    <col min="10" max="10" width="10" style="16" bestFit="1" customWidth="1"/>
    <col min="11" max="11" width="8.85546875" style="16" customWidth="1"/>
    <col min="12" max="12" width="9.42578125" style="16" customWidth="1"/>
    <col min="13" max="13" width="9.140625" style="16"/>
    <col min="14" max="14" width="8.140625" style="16" customWidth="1"/>
    <col min="15" max="15" width="8.85546875" style="16" customWidth="1"/>
    <col min="16" max="20" width="9.140625" style="16"/>
    <col min="21" max="21" width="12.42578125" style="16" customWidth="1"/>
    <col min="22" max="22" width="9.140625" style="16"/>
    <col min="23" max="23" width="12" style="16" customWidth="1"/>
    <col min="24" max="256" width="9.140625" style="16"/>
    <col min="257" max="257" width="5" style="16" customWidth="1"/>
    <col min="258" max="258" width="16.5703125" style="16" customWidth="1"/>
    <col min="259" max="259" width="10.7109375" style="16" bestFit="1" customWidth="1"/>
    <col min="260" max="260" width="7.5703125" style="16" customWidth="1"/>
    <col min="261" max="261" width="8.5703125" style="16" bestFit="1" customWidth="1"/>
    <col min="262" max="262" width="8.7109375" style="16" customWidth="1"/>
    <col min="263" max="263" width="8.42578125" style="16" bestFit="1" customWidth="1"/>
    <col min="264" max="264" width="9.7109375" style="16" bestFit="1" customWidth="1"/>
    <col min="265" max="265" width="10" style="16" customWidth="1"/>
    <col min="266" max="266" width="10" style="16" bestFit="1" customWidth="1"/>
    <col min="267" max="267" width="8.85546875" style="16" customWidth="1"/>
    <col min="268" max="268" width="9.42578125" style="16" customWidth="1"/>
    <col min="269" max="269" width="9.140625" style="16"/>
    <col min="270" max="270" width="8.140625" style="16" customWidth="1"/>
    <col min="271" max="271" width="8.85546875" style="16" customWidth="1"/>
    <col min="272" max="276" width="9.140625" style="16"/>
    <col min="277" max="277" width="12.42578125" style="16" customWidth="1"/>
    <col min="278" max="278" width="9.140625" style="16"/>
    <col min="279" max="279" width="12" style="16" customWidth="1"/>
    <col min="280" max="512" width="9.140625" style="16"/>
    <col min="513" max="513" width="5" style="16" customWidth="1"/>
    <col min="514" max="514" width="16.5703125" style="16" customWidth="1"/>
    <col min="515" max="515" width="10.7109375" style="16" bestFit="1" customWidth="1"/>
    <col min="516" max="516" width="7.5703125" style="16" customWidth="1"/>
    <col min="517" max="517" width="8.5703125" style="16" bestFit="1" customWidth="1"/>
    <col min="518" max="518" width="8.7109375" style="16" customWidth="1"/>
    <col min="519" max="519" width="8.42578125" style="16" bestFit="1" customWidth="1"/>
    <col min="520" max="520" width="9.7109375" style="16" bestFit="1" customWidth="1"/>
    <col min="521" max="521" width="10" style="16" customWidth="1"/>
    <col min="522" max="522" width="10" style="16" bestFit="1" customWidth="1"/>
    <col min="523" max="523" width="8.85546875" style="16" customWidth="1"/>
    <col min="524" max="524" width="9.42578125" style="16" customWidth="1"/>
    <col min="525" max="525" width="9.140625" style="16"/>
    <col min="526" max="526" width="8.140625" style="16" customWidth="1"/>
    <col min="527" max="527" width="8.85546875" style="16" customWidth="1"/>
    <col min="528" max="532" width="9.140625" style="16"/>
    <col min="533" max="533" width="12.42578125" style="16" customWidth="1"/>
    <col min="534" max="534" width="9.140625" style="16"/>
    <col min="535" max="535" width="12" style="16" customWidth="1"/>
    <col min="536" max="768" width="9.140625" style="16"/>
    <col min="769" max="769" width="5" style="16" customWidth="1"/>
    <col min="770" max="770" width="16.5703125" style="16" customWidth="1"/>
    <col min="771" max="771" width="10.7109375" style="16" bestFit="1" customWidth="1"/>
    <col min="772" max="772" width="7.5703125" style="16" customWidth="1"/>
    <col min="773" max="773" width="8.5703125" style="16" bestFit="1" customWidth="1"/>
    <col min="774" max="774" width="8.7109375" style="16" customWidth="1"/>
    <col min="775" max="775" width="8.42578125" style="16" bestFit="1" customWidth="1"/>
    <col min="776" max="776" width="9.7109375" style="16" bestFit="1" customWidth="1"/>
    <col min="777" max="777" width="10" style="16" customWidth="1"/>
    <col min="778" max="778" width="10" style="16" bestFit="1" customWidth="1"/>
    <col min="779" max="779" width="8.85546875" style="16" customWidth="1"/>
    <col min="780" max="780" width="9.42578125" style="16" customWidth="1"/>
    <col min="781" max="781" width="9.140625" style="16"/>
    <col min="782" max="782" width="8.140625" style="16" customWidth="1"/>
    <col min="783" max="783" width="8.85546875" style="16" customWidth="1"/>
    <col min="784" max="788" width="9.140625" style="16"/>
    <col min="789" max="789" width="12.42578125" style="16" customWidth="1"/>
    <col min="790" max="790" width="9.140625" style="16"/>
    <col min="791" max="791" width="12" style="16" customWidth="1"/>
    <col min="792" max="1024" width="9.140625" style="16"/>
    <col min="1025" max="1025" width="5" style="16" customWidth="1"/>
    <col min="1026" max="1026" width="16.5703125" style="16" customWidth="1"/>
    <col min="1027" max="1027" width="10.7109375" style="16" bestFit="1" customWidth="1"/>
    <col min="1028" max="1028" width="7.5703125" style="16" customWidth="1"/>
    <col min="1029" max="1029" width="8.5703125" style="16" bestFit="1" customWidth="1"/>
    <col min="1030" max="1030" width="8.7109375" style="16" customWidth="1"/>
    <col min="1031" max="1031" width="8.42578125" style="16" bestFit="1" customWidth="1"/>
    <col min="1032" max="1032" width="9.7109375" style="16" bestFit="1" customWidth="1"/>
    <col min="1033" max="1033" width="10" style="16" customWidth="1"/>
    <col min="1034" max="1034" width="10" style="16" bestFit="1" customWidth="1"/>
    <col min="1035" max="1035" width="8.85546875" style="16" customWidth="1"/>
    <col min="1036" max="1036" width="9.42578125" style="16" customWidth="1"/>
    <col min="1037" max="1037" width="9.140625" style="16"/>
    <col min="1038" max="1038" width="8.140625" style="16" customWidth="1"/>
    <col min="1039" max="1039" width="8.85546875" style="16" customWidth="1"/>
    <col min="1040" max="1044" width="9.140625" style="16"/>
    <col min="1045" max="1045" width="12.42578125" style="16" customWidth="1"/>
    <col min="1046" max="1046" width="9.140625" style="16"/>
    <col min="1047" max="1047" width="12" style="16" customWidth="1"/>
    <col min="1048" max="1280" width="9.140625" style="16"/>
    <col min="1281" max="1281" width="5" style="16" customWidth="1"/>
    <col min="1282" max="1282" width="16.5703125" style="16" customWidth="1"/>
    <col min="1283" max="1283" width="10.7109375" style="16" bestFit="1" customWidth="1"/>
    <col min="1284" max="1284" width="7.5703125" style="16" customWidth="1"/>
    <col min="1285" max="1285" width="8.5703125" style="16" bestFit="1" customWidth="1"/>
    <col min="1286" max="1286" width="8.7109375" style="16" customWidth="1"/>
    <col min="1287" max="1287" width="8.42578125" style="16" bestFit="1" customWidth="1"/>
    <col min="1288" max="1288" width="9.7109375" style="16" bestFit="1" customWidth="1"/>
    <col min="1289" max="1289" width="10" style="16" customWidth="1"/>
    <col min="1290" max="1290" width="10" style="16" bestFit="1" customWidth="1"/>
    <col min="1291" max="1291" width="8.85546875" style="16" customWidth="1"/>
    <col min="1292" max="1292" width="9.42578125" style="16" customWidth="1"/>
    <col min="1293" max="1293" width="9.140625" style="16"/>
    <col min="1294" max="1294" width="8.140625" style="16" customWidth="1"/>
    <col min="1295" max="1295" width="8.85546875" style="16" customWidth="1"/>
    <col min="1296" max="1300" width="9.140625" style="16"/>
    <col min="1301" max="1301" width="12.42578125" style="16" customWidth="1"/>
    <col min="1302" max="1302" width="9.140625" style="16"/>
    <col min="1303" max="1303" width="12" style="16" customWidth="1"/>
    <col min="1304" max="1536" width="9.140625" style="16"/>
    <col min="1537" max="1537" width="5" style="16" customWidth="1"/>
    <col min="1538" max="1538" width="16.5703125" style="16" customWidth="1"/>
    <col min="1539" max="1539" width="10.7109375" style="16" bestFit="1" customWidth="1"/>
    <col min="1540" max="1540" width="7.5703125" style="16" customWidth="1"/>
    <col min="1541" max="1541" width="8.5703125" style="16" bestFit="1" customWidth="1"/>
    <col min="1542" max="1542" width="8.7109375" style="16" customWidth="1"/>
    <col min="1543" max="1543" width="8.42578125" style="16" bestFit="1" customWidth="1"/>
    <col min="1544" max="1544" width="9.7109375" style="16" bestFit="1" customWidth="1"/>
    <col min="1545" max="1545" width="10" style="16" customWidth="1"/>
    <col min="1546" max="1546" width="10" style="16" bestFit="1" customWidth="1"/>
    <col min="1547" max="1547" width="8.85546875" style="16" customWidth="1"/>
    <col min="1548" max="1548" width="9.42578125" style="16" customWidth="1"/>
    <col min="1549" max="1549" width="9.140625" style="16"/>
    <col min="1550" max="1550" width="8.140625" style="16" customWidth="1"/>
    <col min="1551" max="1551" width="8.85546875" style="16" customWidth="1"/>
    <col min="1552" max="1556" width="9.140625" style="16"/>
    <col min="1557" max="1557" width="12.42578125" style="16" customWidth="1"/>
    <col min="1558" max="1558" width="9.140625" style="16"/>
    <col min="1559" max="1559" width="12" style="16" customWidth="1"/>
    <col min="1560" max="1792" width="9.140625" style="16"/>
    <col min="1793" max="1793" width="5" style="16" customWidth="1"/>
    <col min="1794" max="1794" width="16.5703125" style="16" customWidth="1"/>
    <col min="1795" max="1795" width="10.7109375" style="16" bestFit="1" customWidth="1"/>
    <col min="1796" max="1796" width="7.5703125" style="16" customWidth="1"/>
    <col min="1797" max="1797" width="8.5703125" style="16" bestFit="1" customWidth="1"/>
    <col min="1798" max="1798" width="8.7109375" style="16" customWidth="1"/>
    <col min="1799" max="1799" width="8.42578125" style="16" bestFit="1" customWidth="1"/>
    <col min="1800" max="1800" width="9.7109375" style="16" bestFit="1" customWidth="1"/>
    <col min="1801" max="1801" width="10" style="16" customWidth="1"/>
    <col min="1802" max="1802" width="10" style="16" bestFit="1" customWidth="1"/>
    <col min="1803" max="1803" width="8.85546875" style="16" customWidth="1"/>
    <col min="1804" max="1804" width="9.42578125" style="16" customWidth="1"/>
    <col min="1805" max="1805" width="9.140625" style="16"/>
    <col min="1806" max="1806" width="8.140625" style="16" customWidth="1"/>
    <col min="1807" max="1807" width="8.85546875" style="16" customWidth="1"/>
    <col min="1808" max="1812" width="9.140625" style="16"/>
    <col min="1813" max="1813" width="12.42578125" style="16" customWidth="1"/>
    <col min="1814" max="1814" width="9.140625" style="16"/>
    <col min="1815" max="1815" width="12" style="16" customWidth="1"/>
    <col min="1816" max="2048" width="9.140625" style="16"/>
    <col min="2049" max="2049" width="5" style="16" customWidth="1"/>
    <col min="2050" max="2050" width="16.5703125" style="16" customWidth="1"/>
    <col min="2051" max="2051" width="10.7109375" style="16" bestFit="1" customWidth="1"/>
    <col min="2052" max="2052" width="7.5703125" style="16" customWidth="1"/>
    <col min="2053" max="2053" width="8.5703125" style="16" bestFit="1" customWidth="1"/>
    <col min="2054" max="2054" width="8.7109375" style="16" customWidth="1"/>
    <col min="2055" max="2055" width="8.42578125" style="16" bestFit="1" customWidth="1"/>
    <col min="2056" max="2056" width="9.7109375" style="16" bestFit="1" customWidth="1"/>
    <col min="2057" max="2057" width="10" style="16" customWidth="1"/>
    <col min="2058" max="2058" width="10" style="16" bestFit="1" customWidth="1"/>
    <col min="2059" max="2059" width="8.85546875" style="16" customWidth="1"/>
    <col min="2060" max="2060" width="9.42578125" style="16" customWidth="1"/>
    <col min="2061" max="2061" width="9.140625" style="16"/>
    <col min="2062" max="2062" width="8.140625" style="16" customWidth="1"/>
    <col min="2063" max="2063" width="8.85546875" style="16" customWidth="1"/>
    <col min="2064" max="2068" width="9.140625" style="16"/>
    <col min="2069" max="2069" width="12.42578125" style="16" customWidth="1"/>
    <col min="2070" max="2070" width="9.140625" style="16"/>
    <col min="2071" max="2071" width="12" style="16" customWidth="1"/>
    <col min="2072" max="2304" width="9.140625" style="16"/>
    <col min="2305" max="2305" width="5" style="16" customWidth="1"/>
    <col min="2306" max="2306" width="16.5703125" style="16" customWidth="1"/>
    <col min="2307" max="2307" width="10.7109375" style="16" bestFit="1" customWidth="1"/>
    <col min="2308" max="2308" width="7.5703125" style="16" customWidth="1"/>
    <col min="2309" max="2309" width="8.5703125" style="16" bestFit="1" customWidth="1"/>
    <col min="2310" max="2310" width="8.7109375" style="16" customWidth="1"/>
    <col min="2311" max="2311" width="8.42578125" style="16" bestFit="1" customWidth="1"/>
    <col min="2312" max="2312" width="9.7109375" style="16" bestFit="1" customWidth="1"/>
    <col min="2313" max="2313" width="10" style="16" customWidth="1"/>
    <col min="2314" max="2314" width="10" style="16" bestFit="1" customWidth="1"/>
    <col min="2315" max="2315" width="8.85546875" style="16" customWidth="1"/>
    <col min="2316" max="2316" width="9.42578125" style="16" customWidth="1"/>
    <col min="2317" max="2317" width="9.140625" style="16"/>
    <col min="2318" max="2318" width="8.140625" style="16" customWidth="1"/>
    <col min="2319" max="2319" width="8.85546875" style="16" customWidth="1"/>
    <col min="2320" max="2324" width="9.140625" style="16"/>
    <col min="2325" max="2325" width="12.42578125" style="16" customWidth="1"/>
    <col min="2326" max="2326" width="9.140625" style="16"/>
    <col min="2327" max="2327" width="12" style="16" customWidth="1"/>
    <col min="2328" max="2560" width="9.140625" style="16"/>
    <col min="2561" max="2561" width="5" style="16" customWidth="1"/>
    <col min="2562" max="2562" width="16.5703125" style="16" customWidth="1"/>
    <col min="2563" max="2563" width="10.7109375" style="16" bestFit="1" customWidth="1"/>
    <col min="2564" max="2564" width="7.5703125" style="16" customWidth="1"/>
    <col min="2565" max="2565" width="8.5703125" style="16" bestFit="1" customWidth="1"/>
    <col min="2566" max="2566" width="8.7109375" style="16" customWidth="1"/>
    <col min="2567" max="2567" width="8.42578125" style="16" bestFit="1" customWidth="1"/>
    <col min="2568" max="2568" width="9.7109375" style="16" bestFit="1" customWidth="1"/>
    <col min="2569" max="2569" width="10" style="16" customWidth="1"/>
    <col min="2570" max="2570" width="10" style="16" bestFit="1" customWidth="1"/>
    <col min="2571" max="2571" width="8.85546875" style="16" customWidth="1"/>
    <col min="2572" max="2572" width="9.42578125" style="16" customWidth="1"/>
    <col min="2573" max="2573" width="9.140625" style="16"/>
    <col min="2574" max="2574" width="8.140625" style="16" customWidth="1"/>
    <col min="2575" max="2575" width="8.85546875" style="16" customWidth="1"/>
    <col min="2576" max="2580" width="9.140625" style="16"/>
    <col min="2581" max="2581" width="12.42578125" style="16" customWidth="1"/>
    <col min="2582" max="2582" width="9.140625" style="16"/>
    <col min="2583" max="2583" width="12" style="16" customWidth="1"/>
    <col min="2584" max="2816" width="9.140625" style="16"/>
    <col min="2817" max="2817" width="5" style="16" customWidth="1"/>
    <col min="2818" max="2818" width="16.5703125" style="16" customWidth="1"/>
    <col min="2819" max="2819" width="10.7109375" style="16" bestFit="1" customWidth="1"/>
    <col min="2820" max="2820" width="7.5703125" style="16" customWidth="1"/>
    <col min="2821" max="2821" width="8.5703125" style="16" bestFit="1" customWidth="1"/>
    <col min="2822" max="2822" width="8.7109375" style="16" customWidth="1"/>
    <col min="2823" max="2823" width="8.42578125" style="16" bestFit="1" customWidth="1"/>
    <col min="2824" max="2824" width="9.7109375" style="16" bestFit="1" customWidth="1"/>
    <col min="2825" max="2825" width="10" style="16" customWidth="1"/>
    <col min="2826" max="2826" width="10" style="16" bestFit="1" customWidth="1"/>
    <col min="2827" max="2827" width="8.85546875" style="16" customWidth="1"/>
    <col min="2828" max="2828" width="9.42578125" style="16" customWidth="1"/>
    <col min="2829" max="2829" width="9.140625" style="16"/>
    <col min="2830" max="2830" width="8.140625" style="16" customWidth="1"/>
    <col min="2831" max="2831" width="8.85546875" style="16" customWidth="1"/>
    <col min="2832" max="2836" width="9.140625" style="16"/>
    <col min="2837" max="2837" width="12.42578125" style="16" customWidth="1"/>
    <col min="2838" max="2838" width="9.140625" style="16"/>
    <col min="2839" max="2839" width="12" style="16" customWidth="1"/>
    <col min="2840" max="3072" width="9.140625" style="16"/>
    <col min="3073" max="3073" width="5" style="16" customWidth="1"/>
    <col min="3074" max="3074" width="16.5703125" style="16" customWidth="1"/>
    <col min="3075" max="3075" width="10.7109375" style="16" bestFit="1" customWidth="1"/>
    <col min="3076" max="3076" width="7.5703125" style="16" customWidth="1"/>
    <col min="3077" max="3077" width="8.5703125" style="16" bestFit="1" customWidth="1"/>
    <col min="3078" max="3078" width="8.7109375" style="16" customWidth="1"/>
    <col min="3079" max="3079" width="8.42578125" style="16" bestFit="1" customWidth="1"/>
    <col min="3080" max="3080" width="9.7109375" style="16" bestFit="1" customWidth="1"/>
    <col min="3081" max="3081" width="10" style="16" customWidth="1"/>
    <col min="3082" max="3082" width="10" style="16" bestFit="1" customWidth="1"/>
    <col min="3083" max="3083" width="8.85546875" style="16" customWidth="1"/>
    <col min="3084" max="3084" width="9.42578125" style="16" customWidth="1"/>
    <col min="3085" max="3085" width="9.140625" style="16"/>
    <col min="3086" max="3086" width="8.140625" style="16" customWidth="1"/>
    <col min="3087" max="3087" width="8.85546875" style="16" customWidth="1"/>
    <col min="3088" max="3092" width="9.140625" style="16"/>
    <col min="3093" max="3093" width="12.42578125" style="16" customWidth="1"/>
    <col min="3094" max="3094" width="9.140625" style="16"/>
    <col min="3095" max="3095" width="12" style="16" customWidth="1"/>
    <col min="3096" max="3328" width="9.140625" style="16"/>
    <col min="3329" max="3329" width="5" style="16" customWidth="1"/>
    <col min="3330" max="3330" width="16.5703125" style="16" customWidth="1"/>
    <col min="3331" max="3331" width="10.7109375" style="16" bestFit="1" customWidth="1"/>
    <col min="3332" max="3332" width="7.5703125" style="16" customWidth="1"/>
    <col min="3333" max="3333" width="8.5703125" style="16" bestFit="1" customWidth="1"/>
    <col min="3334" max="3334" width="8.7109375" style="16" customWidth="1"/>
    <col min="3335" max="3335" width="8.42578125" style="16" bestFit="1" customWidth="1"/>
    <col min="3336" max="3336" width="9.7109375" style="16" bestFit="1" customWidth="1"/>
    <col min="3337" max="3337" width="10" style="16" customWidth="1"/>
    <col min="3338" max="3338" width="10" style="16" bestFit="1" customWidth="1"/>
    <col min="3339" max="3339" width="8.85546875" style="16" customWidth="1"/>
    <col min="3340" max="3340" width="9.42578125" style="16" customWidth="1"/>
    <col min="3341" max="3341" width="9.140625" style="16"/>
    <col min="3342" max="3342" width="8.140625" style="16" customWidth="1"/>
    <col min="3343" max="3343" width="8.85546875" style="16" customWidth="1"/>
    <col min="3344" max="3348" width="9.140625" style="16"/>
    <col min="3349" max="3349" width="12.42578125" style="16" customWidth="1"/>
    <col min="3350" max="3350" width="9.140625" style="16"/>
    <col min="3351" max="3351" width="12" style="16" customWidth="1"/>
    <col min="3352" max="3584" width="9.140625" style="16"/>
    <col min="3585" max="3585" width="5" style="16" customWidth="1"/>
    <col min="3586" max="3586" width="16.5703125" style="16" customWidth="1"/>
    <col min="3587" max="3587" width="10.7109375" style="16" bestFit="1" customWidth="1"/>
    <col min="3588" max="3588" width="7.5703125" style="16" customWidth="1"/>
    <col min="3589" max="3589" width="8.5703125" style="16" bestFit="1" customWidth="1"/>
    <col min="3590" max="3590" width="8.7109375" style="16" customWidth="1"/>
    <col min="3591" max="3591" width="8.42578125" style="16" bestFit="1" customWidth="1"/>
    <col min="3592" max="3592" width="9.7109375" style="16" bestFit="1" customWidth="1"/>
    <col min="3593" max="3593" width="10" style="16" customWidth="1"/>
    <col min="3594" max="3594" width="10" style="16" bestFit="1" customWidth="1"/>
    <col min="3595" max="3595" width="8.85546875" style="16" customWidth="1"/>
    <col min="3596" max="3596" width="9.42578125" style="16" customWidth="1"/>
    <col min="3597" max="3597" width="9.140625" style="16"/>
    <col min="3598" max="3598" width="8.140625" style="16" customWidth="1"/>
    <col min="3599" max="3599" width="8.85546875" style="16" customWidth="1"/>
    <col min="3600" max="3604" width="9.140625" style="16"/>
    <col min="3605" max="3605" width="12.42578125" style="16" customWidth="1"/>
    <col min="3606" max="3606" width="9.140625" style="16"/>
    <col min="3607" max="3607" width="12" style="16" customWidth="1"/>
    <col min="3608" max="3840" width="9.140625" style="16"/>
    <col min="3841" max="3841" width="5" style="16" customWidth="1"/>
    <col min="3842" max="3842" width="16.5703125" style="16" customWidth="1"/>
    <col min="3843" max="3843" width="10.7109375" style="16" bestFit="1" customWidth="1"/>
    <col min="3844" max="3844" width="7.5703125" style="16" customWidth="1"/>
    <col min="3845" max="3845" width="8.5703125" style="16" bestFit="1" customWidth="1"/>
    <col min="3846" max="3846" width="8.7109375" style="16" customWidth="1"/>
    <col min="3847" max="3847" width="8.42578125" style="16" bestFit="1" customWidth="1"/>
    <col min="3848" max="3848" width="9.7109375" style="16" bestFit="1" customWidth="1"/>
    <col min="3849" max="3849" width="10" style="16" customWidth="1"/>
    <col min="3850" max="3850" width="10" style="16" bestFit="1" customWidth="1"/>
    <col min="3851" max="3851" width="8.85546875" style="16" customWidth="1"/>
    <col min="3852" max="3852" width="9.42578125" style="16" customWidth="1"/>
    <col min="3853" max="3853" width="9.140625" style="16"/>
    <col min="3854" max="3854" width="8.140625" style="16" customWidth="1"/>
    <col min="3855" max="3855" width="8.85546875" style="16" customWidth="1"/>
    <col min="3856" max="3860" width="9.140625" style="16"/>
    <col min="3861" max="3861" width="12.42578125" style="16" customWidth="1"/>
    <col min="3862" max="3862" width="9.140625" style="16"/>
    <col min="3863" max="3863" width="12" style="16" customWidth="1"/>
    <col min="3864" max="4096" width="9.140625" style="16"/>
    <col min="4097" max="4097" width="5" style="16" customWidth="1"/>
    <col min="4098" max="4098" width="16.5703125" style="16" customWidth="1"/>
    <col min="4099" max="4099" width="10.7109375" style="16" bestFit="1" customWidth="1"/>
    <col min="4100" max="4100" width="7.5703125" style="16" customWidth="1"/>
    <col min="4101" max="4101" width="8.5703125" style="16" bestFit="1" customWidth="1"/>
    <col min="4102" max="4102" width="8.7109375" style="16" customWidth="1"/>
    <col min="4103" max="4103" width="8.42578125" style="16" bestFit="1" customWidth="1"/>
    <col min="4104" max="4104" width="9.7109375" style="16" bestFit="1" customWidth="1"/>
    <col min="4105" max="4105" width="10" style="16" customWidth="1"/>
    <col min="4106" max="4106" width="10" style="16" bestFit="1" customWidth="1"/>
    <col min="4107" max="4107" width="8.85546875" style="16" customWidth="1"/>
    <col min="4108" max="4108" width="9.42578125" style="16" customWidth="1"/>
    <col min="4109" max="4109" width="9.140625" style="16"/>
    <col min="4110" max="4110" width="8.140625" style="16" customWidth="1"/>
    <col min="4111" max="4111" width="8.85546875" style="16" customWidth="1"/>
    <col min="4112" max="4116" width="9.140625" style="16"/>
    <col min="4117" max="4117" width="12.42578125" style="16" customWidth="1"/>
    <col min="4118" max="4118" width="9.140625" style="16"/>
    <col min="4119" max="4119" width="12" style="16" customWidth="1"/>
    <col min="4120" max="4352" width="9.140625" style="16"/>
    <col min="4353" max="4353" width="5" style="16" customWidth="1"/>
    <col min="4354" max="4354" width="16.5703125" style="16" customWidth="1"/>
    <col min="4355" max="4355" width="10.7109375" style="16" bestFit="1" customWidth="1"/>
    <col min="4356" max="4356" width="7.5703125" style="16" customWidth="1"/>
    <col min="4357" max="4357" width="8.5703125" style="16" bestFit="1" customWidth="1"/>
    <col min="4358" max="4358" width="8.7109375" style="16" customWidth="1"/>
    <col min="4359" max="4359" width="8.42578125" style="16" bestFit="1" customWidth="1"/>
    <col min="4360" max="4360" width="9.7109375" style="16" bestFit="1" customWidth="1"/>
    <col min="4361" max="4361" width="10" style="16" customWidth="1"/>
    <col min="4362" max="4362" width="10" style="16" bestFit="1" customWidth="1"/>
    <col min="4363" max="4363" width="8.85546875" style="16" customWidth="1"/>
    <col min="4364" max="4364" width="9.42578125" style="16" customWidth="1"/>
    <col min="4365" max="4365" width="9.140625" style="16"/>
    <col min="4366" max="4366" width="8.140625" style="16" customWidth="1"/>
    <col min="4367" max="4367" width="8.85546875" style="16" customWidth="1"/>
    <col min="4368" max="4372" width="9.140625" style="16"/>
    <col min="4373" max="4373" width="12.42578125" style="16" customWidth="1"/>
    <col min="4374" max="4374" width="9.140625" style="16"/>
    <col min="4375" max="4375" width="12" style="16" customWidth="1"/>
    <col min="4376" max="4608" width="9.140625" style="16"/>
    <col min="4609" max="4609" width="5" style="16" customWidth="1"/>
    <col min="4610" max="4610" width="16.5703125" style="16" customWidth="1"/>
    <col min="4611" max="4611" width="10.7109375" style="16" bestFit="1" customWidth="1"/>
    <col min="4612" max="4612" width="7.5703125" style="16" customWidth="1"/>
    <col min="4613" max="4613" width="8.5703125" style="16" bestFit="1" customWidth="1"/>
    <col min="4614" max="4614" width="8.7109375" style="16" customWidth="1"/>
    <col min="4615" max="4615" width="8.42578125" style="16" bestFit="1" customWidth="1"/>
    <col min="4616" max="4616" width="9.7109375" style="16" bestFit="1" customWidth="1"/>
    <col min="4617" max="4617" width="10" style="16" customWidth="1"/>
    <col min="4618" max="4618" width="10" style="16" bestFit="1" customWidth="1"/>
    <col min="4619" max="4619" width="8.85546875" style="16" customWidth="1"/>
    <col min="4620" max="4620" width="9.42578125" style="16" customWidth="1"/>
    <col min="4621" max="4621" width="9.140625" style="16"/>
    <col min="4622" max="4622" width="8.140625" style="16" customWidth="1"/>
    <col min="4623" max="4623" width="8.85546875" style="16" customWidth="1"/>
    <col min="4624" max="4628" width="9.140625" style="16"/>
    <col min="4629" max="4629" width="12.42578125" style="16" customWidth="1"/>
    <col min="4630" max="4630" width="9.140625" style="16"/>
    <col min="4631" max="4631" width="12" style="16" customWidth="1"/>
    <col min="4632" max="4864" width="9.140625" style="16"/>
    <col min="4865" max="4865" width="5" style="16" customWidth="1"/>
    <col min="4866" max="4866" width="16.5703125" style="16" customWidth="1"/>
    <col min="4867" max="4867" width="10.7109375" style="16" bestFit="1" customWidth="1"/>
    <col min="4868" max="4868" width="7.5703125" style="16" customWidth="1"/>
    <col min="4869" max="4869" width="8.5703125" style="16" bestFit="1" customWidth="1"/>
    <col min="4870" max="4870" width="8.7109375" style="16" customWidth="1"/>
    <col min="4871" max="4871" width="8.42578125" style="16" bestFit="1" customWidth="1"/>
    <col min="4872" max="4872" width="9.7109375" style="16" bestFit="1" customWidth="1"/>
    <col min="4873" max="4873" width="10" style="16" customWidth="1"/>
    <col min="4874" max="4874" width="10" style="16" bestFit="1" customWidth="1"/>
    <col min="4875" max="4875" width="8.85546875" style="16" customWidth="1"/>
    <col min="4876" max="4876" width="9.42578125" style="16" customWidth="1"/>
    <col min="4877" max="4877" width="9.140625" style="16"/>
    <col min="4878" max="4878" width="8.140625" style="16" customWidth="1"/>
    <col min="4879" max="4879" width="8.85546875" style="16" customWidth="1"/>
    <col min="4880" max="4884" width="9.140625" style="16"/>
    <col min="4885" max="4885" width="12.42578125" style="16" customWidth="1"/>
    <col min="4886" max="4886" width="9.140625" style="16"/>
    <col min="4887" max="4887" width="12" style="16" customWidth="1"/>
    <col min="4888" max="5120" width="9.140625" style="16"/>
    <col min="5121" max="5121" width="5" style="16" customWidth="1"/>
    <col min="5122" max="5122" width="16.5703125" style="16" customWidth="1"/>
    <col min="5123" max="5123" width="10.7109375" style="16" bestFit="1" customWidth="1"/>
    <col min="5124" max="5124" width="7.5703125" style="16" customWidth="1"/>
    <col min="5125" max="5125" width="8.5703125" style="16" bestFit="1" customWidth="1"/>
    <col min="5126" max="5126" width="8.7109375" style="16" customWidth="1"/>
    <col min="5127" max="5127" width="8.42578125" style="16" bestFit="1" customWidth="1"/>
    <col min="5128" max="5128" width="9.7109375" style="16" bestFit="1" customWidth="1"/>
    <col min="5129" max="5129" width="10" style="16" customWidth="1"/>
    <col min="5130" max="5130" width="10" style="16" bestFit="1" customWidth="1"/>
    <col min="5131" max="5131" width="8.85546875" style="16" customWidth="1"/>
    <col min="5132" max="5132" width="9.42578125" style="16" customWidth="1"/>
    <col min="5133" max="5133" width="9.140625" style="16"/>
    <col min="5134" max="5134" width="8.140625" style="16" customWidth="1"/>
    <col min="5135" max="5135" width="8.85546875" style="16" customWidth="1"/>
    <col min="5136" max="5140" width="9.140625" style="16"/>
    <col min="5141" max="5141" width="12.42578125" style="16" customWidth="1"/>
    <col min="5142" max="5142" width="9.140625" style="16"/>
    <col min="5143" max="5143" width="12" style="16" customWidth="1"/>
    <col min="5144" max="5376" width="9.140625" style="16"/>
    <col min="5377" max="5377" width="5" style="16" customWidth="1"/>
    <col min="5378" max="5378" width="16.5703125" style="16" customWidth="1"/>
    <col min="5379" max="5379" width="10.7109375" style="16" bestFit="1" customWidth="1"/>
    <col min="5380" max="5380" width="7.5703125" style="16" customWidth="1"/>
    <col min="5381" max="5381" width="8.5703125" style="16" bestFit="1" customWidth="1"/>
    <col min="5382" max="5382" width="8.7109375" style="16" customWidth="1"/>
    <col min="5383" max="5383" width="8.42578125" style="16" bestFit="1" customWidth="1"/>
    <col min="5384" max="5384" width="9.7109375" style="16" bestFit="1" customWidth="1"/>
    <col min="5385" max="5385" width="10" style="16" customWidth="1"/>
    <col min="5386" max="5386" width="10" style="16" bestFit="1" customWidth="1"/>
    <col min="5387" max="5387" width="8.85546875" style="16" customWidth="1"/>
    <col min="5388" max="5388" width="9.42578125" style="16" customWidth="1"/>
    <col min="5389" max="5389" width="9.140625" style="16"/>
    <col min="5390" max="5390" width="8.140625" style="16" customWidth="1"/>
    <col min="5391" max="5391" width="8.85546875" style="16" customWidth="1"/>
    <col min="5392" max="5396" width="9.140625" style="16"/>
    <col min="5397" max="5397" width="12.42578125" style="16" customWidth="1"/>
    <col min="5398" max="5398" width="9.140625" style="16"/>
    <col min="5399" max="5399" width="12" style="16" customWidth="1"/>
    <col min="5400" max="5632" width="9.140625" style="16"/>
    <col min="5633" max="5633" width="5" style="16" customWidth="1"/>
    <col min="5634" max="5634" width="16.5703125" style="16" customWidth="1"/>
    <col min="5635" max="5635" width="10.7109375" style="16" bestFit="1" customWidth="1"/>
    <col min="5636" max="5636" width="7.5703125" style="16" customWidth="1"/>
    <col min="5637" max="5637" width="8.5703125" style="16" bestFit="1" customWidth="1"/>
    <col min="5638" max="5638" width="8.7109375" style="16" customWidth="1"/>
    <col min="5639" max="5639" width="8.42578125" style="16" bestFit="1" customWidth="1"/>
    <col min="5640" max="5640" width="9.7109375" style="16" bestFit="1" customWidth="1"/>
    <col min="5641" max="5641" width="10" style="16" customWidth="1"/>
    <col min="5642" max="5642" width="10" style="16" bestFit="1" customWidth="1"/>
    <col min="5643" max="5643" width="8.85546875" style="16" customWidth="1"/>
    <col min="5644" max="5644" width="9.42578125" style="16" customWidth="1"/>
    <col min="5645" max="5645" width="9.140625" style="16"/>
    <col min="5646" max="5646" width="8.140625" style="16" customWidth="1"/>
    <col min="5647" max="5647" width="8.85546875" style="16" customWidth="1"/>
    <col min="5648" max="5652" width="9.140625" style="16"/>
    <col min="5653" max="5653" width="12.42578125" style="16" customWidth="1"/>
    <col min="5654" max="5654" width="9.140625" style="16"/>
    <col min="5655" max="5655" width="12" style="16" customWidth="1"/>
    <col min="5656" max="5888" width="9.140625" style="16"/>
    <col min="5889" max="5889" width="5" style="16" customWidth="1"/>
    <col min="5890" max="5890" width="16.5703125" style="16" customWidth="1"/>
    <col min="5891" max="5891" width="10.7109375" style="16" bestFit="1" customWidth="1"/>
    <col min="5892" max="5892" width="7.5703125" style="16" customWidth="1"/>
    <col min="5893" max="5893" width="8.5703125" style="16" bestFit="1" customWidth="1"/>
    <col min="5894" max="5894" width="8.7109375" style="16" customWidth="1"/>
    <col min="5895" max="5895" width="8.42578125" style="16" bestFit="1" customWidth="1"/>
    <col min="5896" max="5896" width="9.7109375" style="16" bestFit="1" customWidth="1"/>
    <col min="5897" max="5897" width="10" style="16" customWidth="1"/>
    <col min="5898" max="5898" width="10" style="16" bestFit="1" customWidth="1"/>
    <col min="5899" max="5899" width="8.85546875" style="16" customWidth="1"/>
    <col min="5900" max="5900" width="9.42578125" style="16" customWidth="1"/>
    <col min="5901" max="5901" width="9.140625" style="16"/>
    <col min="5902" max="5902" width="8.140625" style="16" customWidth="1"/>
    <col min="5903" max="5903" width="8.85546875" style="16" customWidth="1"/>
    <col min="5904" max="5908" width="9.140625" style="16"/>
    <col min="5909" max="5909" width="12.42578125" style="16" customWidth="1"/>
    <col min="5910" max="5910" width="9.140625" style="16"/>
    <col min="5911" max="5911" width="12" style="16" customWidth="1"/>
    <col min="5912" max="6144" width="9.140625" style="16"/>
    <col min="6145" max="6145" width="5" style="16" customWidth="1"/>
    <col min="6146" max="6146" width="16.5703125" style="16" customWidth="1"/>
    <col min="6147" max="6147" width="10.7109375" style="16" bestFit="1" customWidth="1"/>
    <col min="6148" max="6148" width="7.5703125" style="16" customWidth="1"/>
    <col min="6149" max="6149" width="8.5703125" style="16" bestFit="1" customWidth="1"/>
    <col min="6150" max="6150" width="8.7109375" style="16" customWidth="1"/>
    <col min="6151" max="6151" width="8.42578125" style="16" bestFit="1" customWidth="1"/>
    <col min="6152" max="6152" width="9.7109375" style="16" bestFit="1" customWidth="1"/>
    <col min="6153" max="6153" width="10" style="16" customWidth="1"/>
    <col min="6154" max="6154" width="10" style="16" bestFit="1" customWidth="1"/>
    <col min="6155" max="6155" width="8.85546875" style="16" customWidth="1"/>
    <col min="6156" max="6156" width="9.42578125" style="16" customWidth="1"/>
    <col min="6157" max="6157" width="9.140625" style="16"/>
    <col min="6158" max="6158" width="8.140625" style="16" customWidth="1"/>
    <col min="6159" max="6159" width="8.85546875" style="16" customWidth="1"/>
    <col min="6160" max="6164" width="9.140625" style="16"/>
    <col min="6165" max="6165" width="12.42578125" style="16" customWidth="1"/>
    <col min="6166" max="6166" width="9.140625" style="16"/>
    <col min="6167" max="6167" width="12" style="16" customWidth="1"/>
    <col min="6168" max="6400" width="9.140625" style="16"/>
    <col min="6401" max="6401" width="5" style="16" customWidth="1"/>
    <col min="6402" max="6402" width="16.5703125" style="16" customWidth="1"/>
    <col min="6403" max="6403" width="10.7109375" style="16" bestFit="1" customWidth="1"/>
    <col min="6404" max="6404" width="7.5703125" style="16" customWidth="1"/>
    <col min="6405" max="6405" width="8.5703125" style="16" bestFit="1" customWidth="1"/>
    <col min="6406" max="6406" width="8.7109375" style="16" customWidth="1"/>
    <col min="6407" max="6407" width="8.42578125" style="16" bestFit="1" customWidth="1"/>
    <col min="6408" max="6408" width="9.7109375" style="16" bestFit="1" customWidth="1"/>
    <col min="6409" max="6409" width="10" style="16" customWidth="1"/>
    <col min="6410" max="6410" width="10" style="16" bestFit="1" customWidth="1"/>
    <col min="6411" max="6411" width="8.85546875" style="16" customWidth="1"/>
    <col min="6412" max="6412" width="9.42578125" style="16" customWidth="1"/>
    <col min="6413" max="6413" width="9.140625" style="16"/>
    <col min="6414" max="6414" width="8.140625" style="16" customWidth="1"/>
    <col min="6415" max="6415" width="8.85546875" style="16" customWidth="1"/>
    <col min="6416" max="6420" width="9.140625" style="16"/>
    <col min="6421" max="6421" width="12.42578125" style="16" customWidth="1"/>
    <col min="6422" max="6422" width="9.140625" style="16"/>
    <col min="6423" max="6423" width="12" style="16" customWidth="1"/>
    <col min="6424" max="6656" width="9.140625" style="16"/>
    <col min="6657" max="6657" width="5" style="16" customWidth="1"/>
    <col min="6658" max="6658" width="16.5703125" style="16" customWidth="1"/>
    <col min="6659" max="6659" width="10.7109375" style="16" bestFit="1" customWidth="1"/>
    <col min="6660" max="6660" width="7.5703125" style="16" customWidth="1"/>
    <col min="6661" max="6661" width="8.5703125" style="16" bestFit="1" customWidth="1"/>
    <col min="6662" max="6662" width="8.7109375" style="16" customWidth="1"/>
    <col min="6663" max="6663" width="8.42578125" style="16" bestFit="1" customWidth="1"/>
    <col min="6664" max="6664" width="9.7109375" style="16" bestFit="1" customWidth="1"/>
    <col min="6665" max="6665" width="10" style="16" customWidth="1"/>
    <col min="6666" max="6666" width="10" style="16" bestFit="1" customWidth="1"/>
    <col min="6667" max="6667" width="8.85546875" style="16" customWidth="1"/>
    <col min="6668" max="6668" width="9.42578125" style="16" customWidth="1"/>
    <col min="6669" max="6669" width="9.140625" style="16"/>
    <col min="6670" max="6670" width="8.140625" style="16" customWidth="1"/>
    <col min="6671" max="6671" width="8.85546875" style="16" customWidth="1"/>
    <col min="6672" max="6676" width="9.140625" style="16"/>
    <col min="6677" max="6677" width="12.42578125" style="16" customWidth="1"/>
    <col min="6678" max="6678" width="9.140625" style="16"/>
    <col min="6679" max="6679" width="12" style="16" customWidth="1"/>
    <col min="6680" max="6912" width="9.140625" style="16"/>
    <col min="6913" max="6913" width="5" style="16" customWidth="1"/>
    <col min="6914" max="6914" width="16.5703125" style="16" customWidth="1"/>
    <col min="6915" max="6915" width="10.7109375" style="16" bestFit="1" customWidth="1"/>
    <col min="6916" max="6916" width="7.5703125" style="16" customWidth="1"/>
    <col min="6917" max="6917" width="8.5703125" style="16" bestFit="1" customWidth="1"/>
    <col min="6918" max="6918" width="8.7109375" style="16" customWidth="1"/>
    <col min="6919" max="6919" width="8.42578125" style="16" bestFit="1" customWidth="1"/>
    <col min="6920" max="6920" width="9.7109375" style="16" bestFit="1" customWidth="1"/>
    <col min="6921" max="6921" width="10" style="16" customWidth="1"/>
    <col min="6922" max="6922" width="10" style="16" bestFit="1" customWidth="1"/>
    <col min="6923" max="6923" width="8.85546875" style="16" customWidth="1"/>
    <col min="6924" max="6924" width="9.42578125" style="16" customWidth="1"/>
    <col min="6925" max="6925" width="9.140625" style="16"/>
    <col min="6926" max="6926" width="8.140625" style="16" customWidth="1"/>
    <col min="6927" max="6927" width="8.85546875" style="16" customWidth="1"/>
    <col min="6928" max="6932" width="9.140625" style="16"/>
    <col min="6933" max="6933" width="12.42578125" style="16" customWidth="1"/>
    <col min="6934" max="6934" width="9.140625" style="16"/>
    <col min="6935" max="6935" width="12" style="16" customWidth="1"/>
    <col min="6936" max="7168" width="9.140625" style="16"/>
    <col min="7169" max="7169" width="5" style="16" customWidth="1"/>
    <col min="7170" max="7170" width="16.5703125" style="16" customWidth="1"/>
    <col min="7171" max="7171" width="10.7109375" style="16" bestFit="1" customWidth="1"/>
    <col min="7172" max="7172" width="7.5703125" style="16" customWidth="1"/>
    <col min="7173" max="7173" width="8.5703125" style="16" bestFit="1" customWidth="1"/>
    <col min="7174" max="7174" width="8.7109375" style="16" customWidth="1"/>
    <col min="7175" max="7175" width="8.42578125" style="16" bestFit="1" customWidth="1"/>
    <col min="7176" max="7176" width="9.7109375" style="16" bestFit="1" customWidth="1"/>
    <col min="7177" max="7177" width="10" style="16" customWidth="1"/>
    <col min="7178" max="7178" width="10" style="16" bestFit="1" customWidth="1"/>
    <col min="7179" max="7179" width="8.85546875" style="16" customWidth="1"/>
    <col min="7180" max="7180" width="9.42578125" style="16" customWidth="1"/>
    <col min="7181" max="7181" width="9.140625" style="16"/>
    <col min="7182" max="7182" width="8.140625" style="16" customWidth="1"/>
    <col min="7183" max="7183" width="8.85546875" style="16" customWidth="1"/>
    <col min="7184" max="7188" width="9.140625" style="16"/>
    <col min="7189" max="7189" width="12.42578125" style="16" customWidth="1"/>
    <col min="7190" max="7190" width="9.140625" style="16"/>
    <col min="7191" max="7191" width="12" style="16" customWidth="1"/>
    <col min="7192" max="7424" width="9.140625" style="16"/>
    <col min="7425" max="7425" width="5" style="16" customWidth="1"/>
    <col min="7426" max="7426" width="16.5703125" style="16" customWidth="1"/>
    <col min="7427" max="7427" width="10.7109375" style="16" bestFit="1" customWidth="1"/>
    <col min="7428" max="7428" width="7.5703125" style="16" customWidth="1"/>
    <col min="7429" max="7429" width="8.5703125" style="16" bestFit="1" customWidth="1"/>
    <col min="7430" max="7430" width="8.7109375" style="16" customWidth="1"/>
    <col min="7431" max="7431" width="8.42578125" style="16" bestFit="1" customWidth="1"/>
    <col min="7432" max="7432" width="9.7109375" style="16" bestFit="1" customWidth="1"/>
    <col min="7433" max="7433" width="10" style="16" customWidth="1"/>
    <col min="7434" max="7434" width="10" style="16" bestFit="1" customWidth="1"/>
    <col min="7435" max="7435" width="8.85546875" style="16" customWidth="1"/>
    <col min="7436" max="7436" width="9.42578125" style="16" customWidth="1"/>
    <col min="7437" max="7437" width="9.140625" style="16"/>
    <col min="7438" max="7438" width="8.140625" style="16" customWidth="1"/>
    <col min="7439" max="7439" width="8.85546875" style="16" customWidth="1"/>
    <col min="7440" max="7444" width="9.140625" style="16"/>
    <col min="7445" max="7445" width="12.42578125" style="16" customWidth="1"/>
    <col min="7446" max="7446" width="9.140625" style="16"/>
    <col min="7447" max="7447" width="12" style="16" customWidth="1"/>
    <col min="7448" max="7680" width="9.140625" style="16"/>
    <col min="7681" max="7681" width="5" style="16" customWidth="1"/>
    <col min="7682" max="7682" width="16.5703125" style="16" customWidth="1"/>
    <col min="7683" max="7683" width="10.7109375" style="16" bestFit="1" customWidth="1"/>
    <col min="7684" max="7684" width="7.5703125" style="16" customWidth="1"/>
    <col min="7685" max="7685" width="8.5703125" style="16" bestFit="1" customWidth="1"/>
    <col min="7686" max="7686" width="8.7109375" style="16" customWidth="1"/>
    <col min="7687" max="7687" width="8.42578125" style="16" bestFit="1" customWidth="1"/>
    <col min="7688" max="7688" width="9.7109375" style="16" bestFit="1" customWidth="1"/>
    <col min="7689" max="7689" width="10" style="16" customWidth="1"/>
    <col min="7690" max="7690" width="10" style="16" bestFit="1" customWidth="1"/>
    <col min="7691" max="7691" width="8.85546875" style="16" customWidth="1"/>
    <col min="7692" max="7692" width="9.42578125" style="16" customWidth="1"/>
    <col min="7693" max="7693" width="9.140625" style="16"/>
    <col min="7694" max="7694" width="8.140625" style="16" customWidth="1"/>
    <col min="7695" max="7695" width="8.85546875" style="16" customWidth="1"/>
    <col min="7696" max="7700" width="9.140625" style="16"/>
    <col min="7701" max="7701" width="12.42578125" style="16" customWidth="1"/>
    <col min="7702" max="7702" width="9.140625" style="16"/>
    <col min="7703" max="7703" width="12" style="16" customWidth="1"/>
    <col min="7704" max="7936" width="9.140625" style="16"/>
    <col min="7937" max="7937" width="5" style="16" customWidth="1"/>
    <col min="7938" max="7938" width="16.5703125" style="16" customWidth="1"/>
    <col min="7939" max="7939" width="10.7109375" style="16" bestFit="1" customWidth="1"/>
    <col min="7940" max="7940" width="7.5703125" style="16" customWidth="1"/>
    <col min="7941" max="7941" width="8.5703125" style="16" bestFit="1" customWidth="1"/>
    <col min="7942" max="7942" width="8.7109375" style="16" customWidth="1"/>
    <col min="7943" max="7943" width="8.42578125" style="16" bestFit="1" customWidth="1"/>
    <col min="7944" max="7944" width="9.7109375" style="16" bestFit="1" customWidth="1"/>
    <col min="7945" max="7945" width="10" style="16" customWidth="1"/>
    <col min="7946" max="7946" width="10" style="16" bestFit="1" customWidth="1"/>
    <col min="7947" max="7947" width="8.85546875" style="16" customWidth="1"/>
    <col min="7948" max="7948" width="9.42578125" style="16" customWidth="1"/>
    <col min="7949" max="7949" width="9.140625" style="16"/>
    <col min="7950" max="7950" width="8.140625" style="16" customWidth="1"/>
    <col min="7951" max="7951" width="8.85546875" style="16" customWidth="1"/>
    <col min="7952" max="7956" width="9.140625" style="16"/>
    <col min="7957" max="7957" width="12.42578125" style="16" customWidth="1"/>
    <col min="7958" max="7958" width="9.140625" style="16"/>
    <col min="7959" max="7959" width="12" style="16" customWidth="1"/>
    <col min="7960" max="8192" width="9.140625" style="16"/>
    <col min="8193" max="8193" width="5" style="16" customWidth="1"/>
    <col min="8194" max="8194" width="16.5703125" style="16" customWidth="1"/>
    <col min="8195" max="8195" width="10.7109375" style="16" bestFit="1" customWidth="1"/>
    <col min="8196" max="8196" width="7.5703125" style="16" customWidth="1"/>
    <col min="8197" max="8197" width="8.5703125" style="16" bestFit="1" customWidth="1"/>
    <col min="8198" max="8198" width="8.7109375" style="16" customWidth="1"/>
    <col min="8199" max="8199" width="8.42578125" style="16" bestFit="1" customWidth="1"/>
    <col min="8200" max="8200" width="9.7109375" style="16" bestFit="1" customWidth="1"/>
    <col min="8201" max="8201" width="10" style="16" customWidth="1"/>
    <col min="8202" max="8202" width="10" style="16" bestFit="1" customWidth="1"/>
    <col min="8203" max="8203" width="8.85546875" style="16" customWidth="1"/>
    <col min="8204" max="8204" width="9.42578125" style="16" customWidth="1"/>
    <col min="8205" max="8205" width="9.140625" style="16"/>
    <col min="8206" max="8206" width="8.140625" style="16" customWidth="1"/>
    <col min="8207" max="8207" width="8.85546875" style="16" customWidth="1"/>
    <col min="8208" max="8212" width="9.140625" style="16"/>
    <col min="8213" max="8213" width="12.42578125" style="16" customWidth="1"/>
    <col min="8214" max="8214" width="9.140625" style="16"/>
    <col min="8215" max="8215" width="12" style="16" customWidth="1"/>
    <col min="8216" max="8448" width="9.140625" style="16"/>
    <col min="8449" max="8449" width="5" style="16" customWidth="1"/>
    <col min="8450" max="8450" width="16.5703125" style="16" customWidth="1"/>
    <col min="8451" max="8451" width="10.7109375" style="16" bestFit="1" customWidth="1"/>
    <col min="8452" max="8452" width="7.5703125" style="16" customWidth="1"/>
    <col min="8453" max="8453" width="8.5703125" style="16" bestFit="1" customWidth="1"/>
    <col min="8454" max="8454" width="8.7109375" style="16" customWidth="1"/>
    <col min="8455" max="8455" width="8.42578125" style="16" bestFit="1" customWidth="1"/>
    <col min="8456" max="8456" width="9.7109375" style="16" bestFit="1" customWidth="1"/>
    <col min="8457" max="8457" width="10" style="16" customWidth="1"/>
    <col min="8458" max="8458" width="10" style="16" bestFit="1" customWidth="1"/>
    <col min="8459" max="8459" width="8.85546875" style="16" customWidth="1"/>
    <col min="8460" max="8460" width="9.42578125" style="16" customWidth="1"/>
    <col min="8461" max="8461" width="9.140625" style="16"/>
    <col min="8462" max="8462" width="8.140625" style="16" customWidth="1"/>
    <col min="8463" max="8463" width="8.85546875" style="16" customWidth="1"/>
    <col min="8464" max="8468" width="9.140625" style="16"/>
    <col min="8469" max="8469" width="12.42578125" style="16" customWidth="1"/>
    <col min="8470" max="8470" width="9.140625" style="16"/>
    <col min="8471" max="8471" width="12" style="16" customWidth="1"/>
    <col min="8472" max="8704" width="9.140625" style="16"/>
    <col min="8705" max="8705" width="5" style="16" customWidth="1"/>
    <col min="8706" max="8706" width="16.5703125" style="16" customWidth="1"/>
    <col min="8707" max="8707" width="10.7109375" style="16" bestFit="1" customWidth="1"/>
    <col min="8708" max="8708" width="7.5703125" style="16" customWidth="1"/>
    <col min="8709" max="8709" width="8.5703125" style="16" bestFit="1" customWidth="1"/>
    <col min="8710" max="8710" width="8.7109375" style="16" customWidth="1"/>
    <col min="8711" max="8711" width="8.42578125" style="16" bestFit="1" customWidth="1"/>
    <col min="8712" max="8712" width="9.7109375" style="16" bestFit="1" customWidth="1"/>
    <col min="8713" max="8713" width="10" style="16" customWidth="1"/>
    <col min="8714" max="8714" width="10" style="16" bestFit="1" customWidth="1"/>
    <col min="8715" max="8715" width="8.85546875" style="16" customWidth="1"/>
    <col min="8716" max="8716" width="9.42578125" style="16" customWidth="1"/>
    <col min="8717" max="8717" width="9.140625" style="16"/>
    <col min="8718" max="8718" width="8.140625" style="16" customWidth="1"/>
    <col min="8719" max="8719" width="8.85546875" style="16" customWidth="1"/>
    <col min="8720" max="8724" width="9.140625" style="16"/>
    <col min="8725" max="8725" width="12.42578125" style="16" customWidth="1"/>
    <col min="8726" max="8726" width="9.140625" style="16"/>
    <col min="8727" max="8727" width="12" style="16" customWidth="1"/>
    <col min="8728" max="8960" width="9.140625" style="16"/>
    <col min="8961" max="8961" width="5" style="16" customWidth="1"/>
    <col min="8962" max="8962" width="16.5703125" style="16" customWidth="1"/>
    <col min="8963" max="8963" width="10.7109375" style="16" bestFit="1" customWidth="1"/>
    <col min="8964" max="8964" width="7.5703125" style="16" customWidth="1"/>
    <col min="8965" max="8965" width="8.5703125" style="16" bestFit="1" customWidth="1"/>
    <col min="8966" max="8966" width="8.7109375" style="16" customWidth="1"/>
    <col min="8967" max="8967" width="8.42578125" style="16" bestFit="1" customWidth="1"/>
    <col min="8968" max="8968" width="9.7109375" style="16" bestFit="1" customWidth="1"/>
    <col min="8969" max="8969" width="10" style="16" customWidth="1"/>
    <col min="8970" max="8970" width="10" style="16" bestFit="1" customWidth="1"/>
    <col min="8971" max="8971" width="8.85546875" style="16" customWidth="1"/>
    <col min="8972" max="8972" width="9.42578125" style="16" customWidth="1"/>
    <col min="8973" max="8973" width="9.140625" style="16"/>
    <col min="8974" max="8974" width="8.140625" style="16" customWidth="1"/>
    <col min="8975" max="8975" width="8.85546875" style="16" customWidth="1"/>
    <col min="8976" max="8980" width="9.140625" style="16"/>
    <col min="8981" max="8981" width="12.42578125" style="16" customWidth="1"/>
    <col min="8982" max="8982" width="9.140625" style="16"/>
    <col min="8983" max="8983" width="12" style="16" customWidth="1"/>
    <col min="8984" max="9216" width="9.140625" style="16"/>
    <col min="9217" max="9217" width="5" style="16" customWidth="1"/>
    <col min="9218" max="9218" width="16.5703125" style="16" customWidth="1"/>
    <col min="9219" max="9219" width="10.7109375" style="16" bestFit="1" customWidth="1"/>
    <col min="9220" max="9220" width="7.5703125" style="16" customWidth="1"/>
    <col min="9221" max="9221" width="8.5703125" style="16" bestFit="1" customWidth="1"/>
    <col min="9222" max="9222" width="8.7109375" style="16" customWidth="1"/>
    <col min="9223" max="9223" width="8.42578125" style="16" bestFit="1" customWidth="1"/>
    <col min="9224" max="9224" width="9.7109375" style="16" bestFit="1" customWidth="1"/>
    <col min="9225" max="9225" width="10" style="16" customWidth="1"/>
    <col min="9226" max="9226" width="10" style="16" bestFit="1" customWidth="1"/>
    <col min="9227" max="9227" width="8.85546875" style="16" customWidth="1"/>
    <col min="9228" max="9228" width="9.42578125" style="16" customWidth="1"/>
    <col min="9229" max="9229" width="9.140625" style="16"/>
    <col min="9230" max="9230" width="8.140625" style="16" customWidth="1"/>
    <col min="9231" max="9231" width="8.85546875" style="16" customWidth="1"/>
    <col min="9232" max="9236" width="9.140625" style="16"/>
    <col min="9237" max="9237" width="12.42578125" style="16" customWidth="1"/>
    <col min="9238" max="9238" width="9.140625" style="16"/>
    <col min="9239" max="9239" width="12" style="16" customWidth="1"/>
    <col min="9240" max="9472" width="9.140625" style="16"/>
    <col min="9473" max="9473" width="5" style="16" customWidth="1"/>
    <col min="9474" max="9474" width="16.5703125" style="16" customWidth="1"/>
    <col min="9475" max="9475" width="10.7109375" style="16" bestFit="1" customWidth="1"/>
    <col min="9476" max="9476" width="7.5703125" style="16" customWidth="1"/>
    <col min="9477" max="9477" width="8.5703125" style="16" bestFit="1" customWidth="1"/>
    <col min="9478" max="9478" width="8.7109375" style="16" customWidth="1"/>
    <col min="9479" max="9479" width="8.42578125" style="16" bestFit="1" customWidth="1"/>
    <col min="9480" max="9480" width="9.7109375" style="16" bestFit="1" customWidth="1"/>
    <col min="9481" max="9481" width="10" style="16" customWidth="1"/>
    <col min="9482" max="9482" width="10" style="16" bestFit="1" customWidth="1"/>
    <col min="9483" max="9483" width="8.85546875" style="16" customWidth="1"/>
    <col min="9484" max="9484" width="9.42578125" style="16" customWidth="1"/>
    <col min="9485" max="9485" width="9.140625" style="16"/>
    <col min="9486" max="9486" width="8.140625" style="16" customWidth="1"/>
    <col min="9487" max="9487" width="8.85546875" style="16" customWidth="1"/>
    <col min="9488" max="9492" width="9.140625" style="16"/>
    <col min="9493" max="9493" width="12.42578125" style="16" customWidth="1"/>
    <col min="9494" max="9494" width="9.140625" style="16"/>
    <col min="9495" max="9495" width="12" style="16" customWidth="1"/>
    <col min="9496" max="9728" width="9.140625" style="16"/>
    <col min="9729" max="9729" width="5" style="16" customWidth="1"/>
    <col min="9730" max="9730" width="16.5703125" style="16" customWidth="1"/>
    <col min="9731" max="9731" width="10.7109375" style="16" bestFit="1" customWidth="1"/>
    <col min="9732" max="9732" width="7.5703125" style="16" customWidth="1"/>
    <col min="9733" max="9733" width="8.5703125" style="16" bestFit="1" customWidth="1"/>
    <col min="9734" max="9734" width="8.7109375" style="16" customWidth="1"/>
    <col min="9735" max="9735" width="8.42578125" style="16" bestFit="1" customWidth="1"/>
    <col min="9736" max="9736" width="9.7109375" style="16" bestFit="1" customWidth="1"/>
    <col min="9737" max="9737" width="10" style="16" customWidth="1"/>
    <col min="9738" max="9738" width="10" style="16" bestFit="1" customWidth="1"/>
    <col min="9739" max="9739" width="8.85546875" style="16" customWidth="1"/>
    <col min="9740" max="9740" width="9.42578125" style="16" customWidth="1"/>
    <col min="9741" max="9741" width="9.140625" style="16"/>
    <col min="9742" max="9742" width="8.140625" style="16" customWidth="1"/>
    <col min="9743" max="9743" width="8.85546875" style="16" customWidth="1"/>
    <col min="9744" max="9748" width="9.140625" style="16"/>
    <col min="9749" max="9749" width="12.42578125" style="16" customWidth="1"/>
    <col min="9750" max="9750" width="9.140625" style="16"/>
    <col min="9751" max="9751" width="12" style="16" customWidth="1"/>
    <col min="9752" max="9984" width="9.140625" style="16"/>
    <col min="9985" max="9985" width="5" style="16" customWidth="1"/>
    <col min="9986" max="9986" width="16.5703125" style="16" customWidth="1"/>
    <col min="9987" max="9987" width="10.7109375" style="16" bestFit="1" customWidth="1"/>
    <col min="9988" max="9988" width="7.5703125" style="16" customWidth="1"/>
    <col min="9989" max="9989" width="8.5703125" style="16" bestFit="1" customWidth="1"/>
    <col min="9990" max="9990" width="8.7109375" style="16" customWidth="1"/>
    <col min="9991" max="9991" width="8.42578125" style="16" bestFit="1" customWidth="1"/>
    <col min="9992" max="9992" width="9.7109375" style="16" bestFit="1" customWidth="1"/>
    <col min="9993" max="9993" width="10" style="16" customWidth="1"/>
    <col min="9994" max="9994" width="10" style="16" bestFit="1" customWidth="1"/>
    <col min="9995" max="9995" width="8.85546875" style="16" customWidth="1"/>
    <col min="9996" max="9996" width="9.42578125" style="16" customWidth="1"/>
    <col min="9997" max="9997" width="9.140625" style="16"/>
    <col min="9998" max="9998" width="8.140625" style="16" customWidth="1"/>
    <col min="9999" max="9999" width="8.85546875" style="16" customWidth="1"/>
    <col min="10000" max="10004" width="9.140625" style="16"/>
    <col min="10005" max="10005" width="12.42578125" style="16" customWidth="1"/>
    <col min="10006" max="10006" width="9.140625" style="16"/>
    <col min="10007" max="10007" width="12" style="16" customWidth="1"/>
    <col min="10008" max="10240" width="9.140625" style="16"/>
    <col min="10241" max="10241" width="5" style="16" customWidth="1"/>
    <col min="10242" max="10242" width="16.5703125" style="16" customWidth="1"/>
    <col min="10243" max="10243" width="10.7109375" style="16" bestFit="1" customWidth="1"/>
    <col min="10244" max="10244" width="7.5703125" style="16" customWidth="1"/>
    <col min="10245" max="10245" width="8.5703125" style="16" bestFit="1" customWidth="1"/>
    <col min="10246" max="10246" width="8.7109375" style="16" customWidth="1"/>
    <col min="10247" max="10247" width="8.42578125" style="16" bestFit="1" customWidth="1"/>
    <col min="10248" max="10248" width="9.7109375" style="16" bestFit="1" customWidth="1"/>
    <col min="10249" max="10249" width="10" style="16" customWidth="1"/>
    <col min="10250" max="10250" width="10" style="16" bestFit="1" customWidth="1"/>
    <col min="10251" max="10251" width="8.85546875" style="16" customWidth="1"/>
    <col min="10252" max="10252" width="9.42578125" style="16" customWidth="1"/>
    <col min="10253" max="10253" width="9.140625" style="16"/>
    <col min="10254" max="10254" width="8.140625" style="16" customWidth="1"/>
    <col min="10255" max="10255" width="8.85546875" style="16" customWidth="1"/>
    <col min="10256" max="10260" width="9.140625" style="16"/>
    <col min="10261" max="10261" width="12.42578125" style="16" customWidth="1"/>
    <col min="10262" max="10262" width="9.140625" style="16"/>
    <col min="10263" max="10263" width="12" style="16" customWidth="1"/>
    <col min="10264" max="10496" width="9.140625" style="16"/>
    <col min="10497" max="10497" width="5" style="16" customWidth="1"/>
    <col min="10498" max="10498" width="16.5703125" style="16" customWidth="1"/>
    <col min="10499" max="10499" width="10.7109375" style="16" bestFit="1" customWidth="1"/>
    <col min="10500" max="10500" width="7.5703125" style="16" customWidth="1"/>
    <col min="10501" max="10501" width="8.5703125" style="16" bestFit="1" customWidth="1"/>
    <col min="10502" max="10502" width="8.7109375" style="16" customWidth="1"/>
    <col min="10503" max="10503" width="8.42578125" style="16" bestFit="1" customWidth="1"/>
    <col min="10504" max="10504" width="9.7109375" style="16" bestFit="1" customWidth="1"/>
    <col min="10505" max="10505" width="10" style="16" customWidth="1"/>
    <col min="10506" max="10506" width="10" style="16" bestFit="1" customWidth="1"/>
    <col min="10507" max="10507" width="8.85546875" style="16" customWidth="1"/>
    <col min="10508" max="10508" width="9.42578125" style="16" customWidth="1"/>
    <col min="10509" max="10509" width="9.140625" style="16"/>
    <col min="10510" max="10510" width="8.140625" style="16" customWidth="1"/>
    <col min="10511" max="10511" width="8.85546875" style="16" customWidth="1"/>
    <col min="10512" max="10516" width="9.140625" style="16"/>
    <col min="10517" max="10517" width="12.42578125" style="16" customWidth="1"/>
    <col min="10518" max="10518" width="9.140625" style="16"/>
    <col min="10519" max="10519" width="12" style="16" customWidth="1"/>
    <col min="10520" max="10752" width="9.140625" style="16"/>
    <col min="10753" max="10753" width="5" style="16" customWidth="1"/>
    <col min="10754" max="10754" width="16.5703125" style="16" customWidth="1"/>
    <col min="10755" max="10755" width="10.7109375" style="16" bestFit="1" customWidth="1"/>
    <col min="10756" max="10756" width="7.5703125" style="16" customWidth="1"/>
    <col min="10757" max="10757" width="8.5703125" style="16" bestFit="1" customWidth="1"/>
    <col min="10758" max="10758" width="8.7109375" style="16" customWidth="1"/>
    <col min="10759" max="10759" width="8.42578125" style="16" bestFit="1" customWidth="1"/>
    <col min="10760" max="10760" width="9.7109375" style="16" bestFit="1" customWidth="1"/>
    <col min="10761" max="10761" width="10" style="16" customWidth="1"/>
    <col min="10762" max="10762" width="10" style="16" bestFit="1" customWidth="1"/>
    <col min="10763" max="10763" width="8.85546875" style="16" customWidth="1"/>
    <col min="10764" max="10764" width="9.42578125" style="16" customWidth="1"/>
    <col min="10765" max="10765" width="9.140625" style="16"/>
    <col min="10766" max="10766" width="8.140625" style="16" customWidth="1"/>
    <col min="10767" max="10767" width="8.85546875" style="16" customWidth="1"/>
    <col min="10768" max="10772" width="9.140625" style="16"/>
    <col min="10773" max="10773" width="12.42578125" style="16" customWidth="1"/>
    <col min="10774" max="10774" width="9.140625" style="16"/>
    <col min="10775" max="10775" width="12" style="16" customWidth="1"/>
    <col min="10776" max="11008" width="9.140625" style="16"/>
    <col min="11009" max="11009" width="5" style="16" customWidth="1"/>
    <col min="11010" max="11010" width="16.5703125" style="16" customWidth="1"/>
    <col min="11011" max="11011" width="10.7109375" style="16" bestFit="1" customWidth="1"/>
    <col min="11012" max="11012" width="7.5703125" style="16" customWidth="1"/>
    <col min="11013" max="11013" width="8.5703125" style="16" bestFit="1" customWidth="1"/>
    <col min="11014" max="11014" width="8.7109375" style="16" customWidth="1"/>
    <col min="11015" max="11015" width="8.42578125" style="16" bestFit="1" customWidth="1"/>
    <col min="11016" max="11016" width="9.7109375" style="16" bestFit="1" customWidth="1"/>
    <col min="11017" max="11017" width="10" style="16" customWidth="1"/>
    <col min="11018" max="11018" width="10" style="16" bestFit="1" customWidth="1"/>
    <col min="11019" max="11019" width="8.85546875" style="16" customWidth="1"/>
    <col min="11020" max="11020" width="9.42578125" style="16" customWidth="1"/>
    <col min="11021" max="11021" width="9.140625" style="16"/>
    <col min="11022" max="11022" width="8.140625" style="16" customWidth="1"/>
    <col min="11023" max="11023" width="8.85546875" style="16" customWidth="1"/>
    <col min="11024" max="11028" width="9.140625" style="16"/>
    <col min="11029" max="11029" width="12.42578125" style="16" customWidth="1"/>
    <col min="11030" max="11030" width="9.140625" style="16"/>
    <col min="11031" max="11031" width="12" style="16" customWidth="1"/>
    <col min="11032" max="11264" width="9.140625" style="16"/>
    <col min="11265" max="11265" width="5" style="16" customWidth="1"/>
    <col min="11266" max="11266" width="16.5703125" style="16" customWidth="1"/>
    <col min="11267" max="11267" width="10.7109375" style="16" bestFit="1" customWidth="1"/>
    <col min="11268" max="11268" width="7.5703125" style="16" customWidth="1"/>
    <col min="11269" max="11269" width="8.5703125" style="16" bestFit="1" customWidth="1"/>
    <col min="11270" max="11270" width="8.7109375" style="16" customWidth="1"/>
    <col min="11271" max="11271" width="8.42578125" style="16" bestFit="1" customWidth="1"/>
    <col min="11272" max="11272" width="9.7109375" style="16" bestFit="1" customWidth="1"/>
    <col min="11273" max="11273" width="10" style="16" customWidth="1"/>
    <col min="11274" max="11274" width="10" style="16" bestFit="1" customWidth="1"/>
    <col min="11275" max="11275" width="8.85546875" style="16" customWidth="1"/>
    <col min="11276" max="11276" width="9.42578125" style="16" customWidth="1"/>
    <col min="11277" max="11277" width="9.140625" style="16"/>
    <col min="11278" max="11278" width="8.140625" style="16" customWidth="1"/>
    <col min="11279" max="11279" width="8.85546875" style="16" customWidth="1"/>
    <col min="11280" max="11284" width="9.140625" style="16"/>
    <col min="11285" max="11285" width="12.42578125" style="16" customWidth="1"/>
    <col min="11286" max="11286" width="9.140625" style="16"/>
    <col min="11287" max="11287" width="12" style="16" customWidth="1"/>
    <col min="11288" max="11520" width="9.140625" style="16"/>
    <col min="11521" max="11521" width="5" style="16" customWidth="1"/>
    <col min="11522" max="11522" width="16.5703125" style="16" customWidth="1"/>
    <col min="11523" max="11523" width="10.7109375" style="16" bestFit="1" customWidth="1"/>
    <col min="11524" max="11524" width="7.5703125" style="16" customWidth="1"/>
    <col min="11525" max="11525" width="8.5703125" style="16" bestFit="1" customWidth="1"/>
    <col min="11526" max="11526" width="8.7109375" style="16" customWidth="1"/>
    <col min="11527" max="11527" width="8.42578125" style="16" bestFit="1" customWidth="1"/>
    <col min="11528" max="11528" width="9.7109375" style="16" bestFit="1" customWidth="1"/>
    <col min="11529" max="11529" width="10" style="16" customWidth="1"/>
    <col min="11530" max="11530" width="10" style="16" bestFit="1" customWidth="1"/>
    <col min="11531" max="11531" width="8.85546875" style="16" customWidth="1"/>
    <col min="11532" max="11532" width="9.42578125" style="16" customWidth="1"/>
    <col min="11533" max="11533" width="9.140625" style="16"/>
    <col min="11534" max="11534" width="8.140625" style="16" customWidth="1"/>
    <col min="11535" max="11535" width="8.85546875" style="16" customWidth="1"/>
    <col min="11536" max="11540" width="9.140625" style="16"/>
    <col min="11541" max="11541" width="12.42578125" style="16" customWidth="1"/>
    <col min="11542" max="11542" width="9.140625" style="16"/>
    <col min="11543" max="11543" width="12" style="16" customWidth="1"/>
    <col min="11544" max="11776" width="9.140625" style="16"/>
    <col min="11777" max="11777" width="5" style="16" customWidth="1"/>
    <col min="11778" max="11778" width="16.5703125" style="16" customWidth="1"/>
    <col min="11779" max="11779" width="10.7109375" style="16" bestFit="1" customWidth="1"/>
    <col min="11780" max="11780" width="7.5703125" style="16" customWidth="1"/>
    <col min="11781" max="11781" width="8.5703125" style="16" bestFit="1" customWidth="1"/>
    <col min="11782" max="11782" width="8.7109375" style="16" customWidth="1"/>
    <col min="11783" max="11783" width="8.42578125" style="16" bestFit="1" customWidth="1"/>
    <col min="11784" max="11784" width="9.7109375" style="16" bestFit="1" customWidth="1"/>
    <col min="11785" max="11785" width="10" style="16" customWidth="1"/>
    <col min="11786" max="11786" width="10" style="16" bestFit="1" customWidth="1"/>
    <col min="11787" max="11787" width="8.85546875" style="16" customWidth="1"/>
    <col min="11788" max="11788" width="9.42578125" style="16" customWidth="1"/>
    <col min="11789" max="11789" width="9.140625" style="16"/>
    <col min="11790" max="11790" width="8.140625" style="16" customWidth="1"/>
    <col min="11791" max="11791" width="8.85546875" style="16" customWidth="1"/>
    <col min="11792" max="11796" width="9.140625" style="16"/>
    <col min="11797" max="11797" width="12.42578125" style="16" customWidth="1"/>
    <col min="11798" max="11798" width="9.140625" style="16"/>
    <col min="11799" max="11799" width="12" style="16" customWidth="1"/>
    <col min="11800" max="12032" width="9.140625" style="16"/>
    <col min="12033" max="12033" width="5" style="16" customWidth="1"/>
    <col min="12034" max="12034" width="16.5703125" style="16" customWidth="1"/>
    <col min="12035" max="12035" width="10.7109375" style="16" bestFit="1" customWidth="1"/>
    <col min="12036" max="12036" width="7.5703125" style="16" customWidth="1"/>
    <col min="12037" max="12037" width="8.5703125" style="16" bestFit="1" customWidth="1"/>
    <col min="12038" max="12038" width="8.7109375" style="16" customWidth="1"/>
    <col min="12039" max="12039" width="8.42578125" style="16" bestFit="1" customWidth="1"/>
    <col min="12040" max="12040" width="9.7109375" style="16" bestFit="1" customWidth="1"/>
    <col min="12041" max="12041" width="10" style="16" customWidth="1"/>
    <col min="12042" max="12042" width="10" style="16" bestFit="1" customWidth="1"/>
    <col min="12043" max="12043" width="8.85546875" style="16" customWidth="1"/>
    <col min="12044" max="12044" width="9.42578125" style="16" customWidth="1"/>
    <col min="12045" max="12045" width="9.140625" style="16"/>
    <col min="12046" max="12046" width="8.140625" style="16" customWidth="1"/>
    <col min="12047" max="12047" width="8.85546875" style="16" customWidth="1"/>
    <col min="12048" max="12052" width="9.140625" style="16"/>
    <col min="12053" max="12053" width="12.42578125" style="16" customWidth="1"/>
    <col min="12054" max="12054" width="9.140625" style="16"/>
    <col min="12055" max="12055" width="12" style="16" customWidth="1"/>
    <col min="12056" max="12288" width="9.140625" style="16"/>
    <col min="12289" max="12289" width="5" style="16" customWidth="1"/>
    <col min="12290" max="12290" width="16.5703125" style="16" customWidth="1"/>
    <col min="12291" max="12291" width="10.7109375" style="16" bestFit="1" customWidth="1"/>
    <col min="12292" max="12292" width="7.5703125" style="16" customWidth="1"/>
    <col min="12293" max="12293" width="8.5703125" style="16" bestFit="1" customWidth="1"/>
    <col min="12294" max="12294" width="8.7109375" style="16" customWidth="1"/>
    <col min="12295" max="12295" width="8.42578125" style="16" bestFit="1" customWidth="1"/>
    <col min="12296" max="12296" width="9.7109375" style="16" bestFit="1" customWidth="1"/>
    <col min="12297" max="12297" width="10" style="16" customWidth="1"/>
    <col min="12298" max="12298" width="10" style="16" bestFit="1" customWidth="1"/>
    <col min="12299" max="12299" width="8.85546875" style="16" customWidth="1"/>
    <col min="12300" max="12300" width="9.42578125" style="16" customWidth="1"/>
    <col min="12301" max="12301" width="9.140625" style="16"/>
    <col min="12302" max="12302" width="8.140625" style="16" customWidth="1"/>
    <col min="12303" max="12303" width="8.85546875" style="16" customWidth="1"/>
    <col min="12304" max="12308" width="9.140625" style="16"/>
    <col min="12309" max="12309" width="12.42578125" style="16" customWidth="1"/>
    <col min="12310" max="12310" width="9.140625" style="16"/>
    <col min="12311" max="12311" width="12" style="16" customWidth="1"/>
    <col min="12312" max="12544" width="9.140625" style="16"/>
    <col min="12545" max="12545" width="5" style="16" customWidth="1"/>
    <col min="12546" max="12546" width="16.5703125" style="16" customWidth="1"/>
    <col min="12547" max="12547" width="10.7109375" style="16" bestFit="1" customWidth="1"/>
    <col min="12548" max="12548" width="7.5703125" style="16" customWidth="1"/>
    <col min="12549" max="12549" width="8.5703125" style="16" bestFit="1" customWidth="1"/>
    <col min="12550" max="12550" width="8.7109375" style="16" customWidth="1"/>
    <col min="12551" max="12551" width="8.42578125" style="16" bestFit="1" customWidth="1"/>
    <col min="12552" max="12552" width="9.7109375" style="16" bestFit="1" customWidth="1"/>
    <col min="12553" max="12553" width="10" style="16" customWidth="1"/>
    <col min="12554" max="12554" width="10" style="16" bestFit="1" customWidth="1"/>
    <col min="12555" max="12555" width="8.85546875" style="16" customWidth="1"/>
    <col min="12556" max="12556" width="9.42578125" style="16" customWidth="1"/>
    <col min="12557" max="12557" width="9.140625" style="16"/>
    <col min="12558" max="12558" width="8.140625" style="16" customWidth="1"/>
    <col min="12559" max="12559" width="8.85546875" style="16" customWidth="1"/>
    <col min="12560" max="12564" width="9.140625" style="16"/>
    <col min="12565" max="12565" width="12.42578125" style="16" customWidth="1"/>
    <col min="12566" max="12566" width="9.140625" style="16"/>
    <col min="12567" max="12567" width="12" style="16" customWidth="1"/>
    <col min="12568" max="12800" width="9.140625" style="16"/>
    <col min="12801" max="12801" width="5" style="16" customWidth="1"/>
    <col min="12802" max="12802" width="16.5703125" style="16" customWidth="1"/>
    <col min="12803" max="12803" width="10.7109375" style="16" bestFit="1" customWidth="1"/>
    <col min="12804" max="12804" width="7.5703125" style="16" customWidth="1"/>
    <col min="12805" max="12805" width="8.5703125" style="16" bestFit="1" customWidth="1"/>
    <col min="12806" max="12806" width="8.7109375" style="16" customWidth="1"/>
    <col min="12807" max="12807" width="8.42578125" style="16" bestFit="1" customWidth="1"/>
    <col min="12808" max="12808" width="9.7109375" style="16" bestFit="1" customWidth="1"/>
    <col min="12809" max="12809" width="10" style="16" customWidth="1"/>
    <col min="12810" max="12810" width="10" style="16" bestFit="1" customWidth="1"/>
    <col min="12811" max="12811" width="8.85546875" style="16" customWidth="1"/>
    <col min="12812" max="12812" width="9.42578125" style="16" customWidth="1"/>
    <col min="12813" max="12813" width="9.140625" style="16"/>
    <col min="12814" max="12814" width="8.140625" style="16" customWidth="1"/>
    <col min="12815" max="12815" width="8.85546875" style="16" customWidth="1"/>
    <col min="12816" max="12820" width="9.140625" style="16"/>
    <col min="12821" max="12821" width="12.42578125" style="16" customWidth="1"/>
    <col min="12822" max="12822" width="9.140625" style="16"/>
    <col min="12823" max="12823" width="12" style="16" customWidth="1"/>
    <col min="12824" max="13056" width="9.140625" style="16"/>
    <col min="13057" max="13057" width="5" style="16" customWidth="1"/>
    <col min="13058" max="13058" width="16.5703125" style="16" customWidth="1"/>
    <col min="13059" max="13059" width="10.7109375" style="16" bestFit="1" customWidth="1"/>
    <col min="13060" max="13060" width="7.5703125" style="16" customWidth="1"/>
    <col min="13061" max="13061" width="8.5703125" style="16" bestFit="1" customWidth="1"/>
    <col min="13062" max="13062" width="8.7109375" style="16" customWidth="1"/>
    <col min="13063" max="13063" width="8.42578125" style="16" bestFit="1" customWidth="1"/>
    <col min="13064" max="13064" width="9.7109375" style="16" bestFit="1" customWidth="1"/>
    <col min="13065" max="13065" width="10" style="16" customWidth="1"/>
    <col min="13066" max="13066" width="10" style="16" bestFit="1" customWidth="1"/>
    <col min="13067" max="13067" width="8.85546875" style="16" customWidth="1"/>
    <col min="13068" max="13068" width="9.42578125" style="16" customWidth="1"/>
    <col min="13069" max="13069" width="9.140625" style="16"/>
    <col min="13070" max="13070" width="8.140625" style="16" customWidth="1"/>
    <col min="13071" max="13071" width="8.85546875" style="16" customWidth="1"/>
    <col min="13072" max="13076" width="9.140625" style="16"/>
    <col min="13077" max="13077" width="12.42578125" style="16" customWidth="1"/>
    <col min="13078" max="13078" width="9.140625" style="16"/>
    <col min="13079" max="13079" width="12" style="16" customWidth="1"/>
    <col min="13080" max="13312" width="9.140625" style="16"/>
    <col min="13313" max="13313" width="5" style="16" customWidth="1"/>
    <col min="13314" max="13314" width="16.5703125" style="16" customWidth="1"/>
    <col min="13315" max="13315" width="10.7109375" style="16" bestFit="1" customWidth="1"/>
    <col min="13316" max="13316" width="7.5703125" style="16" customWidth="1"/>
    <col min="13317" max="13317" width="8.5703125" style="16" bestFit="1" customWidth="1"/>
    <col min="13318" max="13318" width="8.7109375" style="16" customWidth="1"/>
    <col min="13319" max="13319" width="8.42578125" style="16" bestFit="1" customWidth="1"/>
    <col min="13320" max="13320" width="9.7109375" style="16" bestFit="1" customWidth="1"/>
    <col min="13321" max="13321" width="10" style="16" customWidth="1"/>
    <col min="13322" max="13322" width="10" style="16" bestFit="1" customWidth="1"/>
    <col min="13323" max="13323" width="8.85546875" style="16" customWidth="1"/>
    <col min="13324" max="13324" width="9.42578125" style="16" customWidth="1"/>
    <col min="13325" max="13325" width="9.140625" style="16"/>
    <col min="13326" max="13326" width="8.140625" style="16" customWidth="1"/>
    <col min="13327" max="13327" width="8.85546875" style="16" customWidth="1"/>
    <col min="13328" max="13332" width="9.140625" style="16"/>
    <col min="13333" max="13333" width="12.42578125" style="16" customWidth="1"/>
    <col min="13334" max="13334" width="9.140625" style="16"/>
    <col min="13335" max="13335" width="12" style="16" customWidth="1"/>
    <col min="13336" max="13568" width="9.140625" style="16"/>
    <col min="13569" max="13569" width="5" style="16" customWidth="1"/>
    <col min="13570" max="13570" width="16.5703125" style="16" customWidth="1"/>
    <col min="13571" max="13571" width="10.7109375" style="16" bestFit="1" customWidth="1"/>
    <col min="13572" max="13572" width="7.5703125" style="16" customWidth="1"/>
    <col min="13573" max="13573" width="8.5703125" style="16" bestFit="1" customWidth="1"/>
    <col min="13574" max="13574" width="8.7109375" style="16" customWidth="1"/>
    <col min="13575" max="13575" width="8.42578125" style="16" bestFit="1" customWidth="1"/>
    <col min="13576" max="13576" width="9.7109375" style="16" bestFit="1" customWidth="1"/>
    <col min="13577" max="13577" width="10" style="16" customWidth="1"/>
    <col min="13578" max="13578" width="10" style="16" bestFit="1" customWidth="1"/>
    <col min="13579" max="13579" width="8.85546875" style="16" customWidth="1"/>
    <col min="13580" max="13580" width="9.42578125" style="16" customWidth="1"/>
    <col min="13581" max="13581" width="9.140625" style="16"/>
    <col min="13582" max="13582" width="8.140625" style="16" customWidth="1"/>
    <col min="13583" max="13583" width="8.85546875" style="16" customWidth="1"/>
    <col min="13584" max="13588" width="9.140625" style="16"/>
    <col min="13589" max="13589" width="12.42578125" style="16" customWidth="1"/>
    <col min="13590" max="13590" width="9.140625" style="16"/>
    <col min="13591" max="13591" width="12" style="16" customWidth="1"/>
    <col min="13592" max="13824" width="9.140625" style="16"/>
    <col min="13825" max="13825" width="5" style="16" customWidth="1"/>
    <col min="13826" max="13826" width="16.5703125" style="16" customWidth="1"/>
    <col min="13827" max="13827" width="10.7109375" style="16" bestFit="1" customWidth="1"/>
    <col min="13828" max="13828" width="7.5703125" style="16" customWidth="1"/>
    <col min="13829" max="13829" width="8.5703125" style="16" bestFit="1" customWidth="1"/>
    <col min="13830" max="13830" width="8.7109375" style="16" customWidth="1"/>
    <col min="13831" max="13831" width="8.42578125" style="16" bestFit="1" customWidth="1"/>
    <col min="13832" max="13832" width="9.7109375" style="16" bestFit="1" customWidth="1"/>
    <col min="13833" max="13833" width="10" style="16" customWidth="1"/>
    <col min="13834" max="13834" width="10" style="16" bestFit="1" customWidth="1"/>
    <col min="13835" max="13835" width="8.85546875" style="16" customWidth="1"/>
    <col min="13836" max="13836" width="9.42578125" style="16" customWidth="1"/>
    <col min="13837" max="13837" width="9.140625" style="16"/>
    <col min="13838" max="13838" width="8.140625" style="16" customWidth="1"/>
    <col min="13839" max="13839" width="8.85546875" style="16" customWidth="1"/>
    <col min="13840" max="13844" width="9.140625" style="16"/>
    <col min="13845" max="13845" width="12.42578125" style="16" customWidth="1"/>
    <col min="13846" max="13846" width="9.140625" style="16"/>
    <col min="13847" max="13847" width="12" style="16" customWidth="1"/>
    <col min="13848" max="14080" width="9.140625" style="16"/>
    <col min="14081" max="14081" width="5" style="16" customWidth="1"/>
    <col min="14082" max="14082" width="16.5703125" style="16" customWidth="1"/>
    <col min="14083" max="14083" width="10.7109375" style="16" bestFit="1" customWidth="1"/>
    <col min="14084" max="14084" width="7.5703125" style="16" customWidth="1"/>
    <col min="14085" max="14085" width="8.5703125" style="16" bestFit="1" customWidth="1"/>
    <col min="14086" max="14086" width="8.7109375" style="16" customWidth="1"/>
    <col min="14087" max="14087" width="8.42578125" style="16" bestFit="1" customWidth="1"/>
    <col min="14088" max="14088" width="9.7109375" style="16" bestFit="1" customWidth="1"/>
    <col min="14089" max="14089" width="10" style="16" customWidth="1"/>
    <col min="14090" max="14090" width="10" style="16" bestFit="1" customWidth="1"/>
    <col min="14091" max="14091" width="8.85546875" style="16" customWidth="1"/>
    <col min="14092" max="14092" width="9.42578125" style="16" customWidth="1"/>
    <col min="14093" max="14093" width="9.140625" style="16"/>
    <col min="14094" max="14094" width="8.140625" style="16" customWidth="1"/>
    <col min="14095" max="14095" width="8.85546875" style="16" customWidth="1"/>
    <col min="14096" max="14100" width="9.140625" style="16"/>
    <col min="14101" max="14101" width="12.42578125" style="16" customWidth="1"/>
    <col min="14102" max="14102" width="9.140625" style="16"/>
    <col min="14103" max="14103" width="12" style="16" customWidth="1"/>
    <col min="14104" max="14336" width="9.140625" style="16"/>
    <col min="14337" max="14337" width="5" style="16" customWidth="1"/>
    <col min="14338" max="14338" width="16.5703125" style="16" customWidth="1"/>
    <col min="14339" max="14339" width="10.7109375" style="16" bestFit="1" customWidth="1"/>
    <col min="14340" max="14340" width="7.5703125" style="16" customWidth="1"/>
    <col min="14341" max="14341" width="8.5703125" style="16" bestFit="1" customWidth="1"/>
    <col min="14342" max="14342" width="8.7109375" style="16" customWidth="1"/>
    <col min="14343" max="14343" width="8.42578125" style="16" bestFit="1" customWidth="1"/>
    <col min="14344" max="14344" width="9.7109375" style="16" bestFit="1" customWidth="1"/>
    <col min="14345" max="14345" width="10" style="16" customWidth="1"/>
    <col min="14346" max="14346" width="10" style="16" bestFit="1" customWidth="1"/>
    <col min="14347" max="14347" width="8.85546875" style="16" customWidth="1"/>
    <col min="14348" max="14348" width="9.42578125" style="16" customWidth="1"/>
    <col min="14349" max="14349" width="9.140625" style="16"/>
    <col min="14350" max="14350" width="8.140625" style="16" customWidth="1"/>
    <col min="14351" max="14351" width="8.85546875" style="16" customWidth="1"/>
    <col min="14352" max="14356" width="9.140625" style="16"/>
    <col min="14357" max="14357" width="12.42578125" style="16" customWidth="1"/>
    <col min="14358" max="14358" width="9.140625" style="16"/>
    <col min="14359" max="14359" width="12" style="16" customWidth="1"/>
    <col min="14360" max="14592" width="9.140625" style="16"/>
    <col min="14593" max="14593" width="5" style="16" customWidth="1"/>
    <col min="14594" max="14594" width="16.5703125" style="16" customWidth="1"/>
    <col min="14595" max="14595" width="10.7109375" style="16" bestFit="1" customWidth="1"/>
    <col min="14596" max="14596" width="7.5703125" style="16" customWidth="1"/>
    <col min="14597" max="14597" width="8.5703125" style="16" bestFit="1" customWidth="1"/>
    <col min="14598" max="14598" width="8.7109375" style="16" customWidth="1"/>
    <col min="14599" max="14599" width="8.42578125" style="16" bestFit="1" customWidth="1"/>
    <col min="14600" max="14600" width="9.7109375" style="16" bestFit="1" customWidth="1"/>
    <col min="14601" max="14601" width="10" style="16" customWidth="1"/>
    <col min="14602" max="14602" width="10" style="16" bestFit="1" customWidth="1"/>
    <col min="14603" max="14603" width="8.85546875" style="16" customWidth="1"/>
    <col min="14604" max="14604" width="9.42578125" style="16" customWidth="1"/>
    <col min="14605" max="14605" width="9.140625" style="16"/>
    <col min="14606" max="14606" width="8.140625" style="16" customWidth="1"/>
    <col min="14607" max="14607" width="8.85546875" style="16" customWidth="1"/>
    <col min="14608" max="14612" width="9.140625" style="16"/>
    <col min="14613" max="14613" width="12.42578125" style="16" customWidth="1"/>
    <col min="14614" max="14614" width="9.140625" style="16"/>
    <col min="14615" max="14615" width="12" style="16" customWidth="1"/>
    <col min="14616" max="14848" width="9.140625" style="16"/>
    <col min="14849" max="14849" width="5" style="16" customWidth="1"/>
    <col min="14850" max="14850" width="16.5703125" style="16" customWidth="1"/>
    <col min="14851" max="14851" width="10.7109375" style="16" bestFit="1" customWidth="1"/>
    <col min="14852" max="14852" width="7.5703125" style="16" customWidth="1"/>
    <col min="14853" max="14853" width="8.5703125" style="16" bestFit="1" customWidth="1"/>
    <col min="14854" max="14854" width="8.7109375" style="16" customWidth="1"/>
    <col min="14855" max="14855" width="8.42578125" style="16" bestFit="1" customWidth="1"/>
    <col min="14856" max="14856" width="9.7109375" style="16" bestFit="1" customWidth="1"/>
    <col min="14857" max="14857" width="10" style="16" customWidth="1"/>
    <col min="14858" max="14858" width="10" style="16" bestFit="1" customWidth="1"/>
    <col min="14859" max="14859" width="8.85546875" style="16" customWidth="1"/>
    <col min="14860" max="14860" width="9.42578125" style="16" customWidth="1"/>
    <col min="14861" max="14861" width="9.140625" style="16"/>
    <col min="14862" max="14862" width="8.140625" style="16" customWidth="1"/>
    <col min="14863" max="14863" width="8.85546875" style="16" customWidth="1"/>
    <col min="14864" max="14868" width="9.140625" style="16"/>
    <col min="14869" max="14869" width="12.42578125" style="16" customWidth="1"/>
    <col min="14870" max="14870" width="9.140625" style="16"/>
    <col min="14871" max="14871" width="12" style="16" customWidth="1"/>
    <col min="14872" max="15104" width="9.140625" style="16"/>
    <col min="15105" max="15105" width="5" style="16" customWidth="1"/>
    <col min="15106" max="15106" width="16.5703125" style="16" customWidth="1"/>
    <col min="15107" max="15107" width="10.7109375" style="16" bestFit="1" customWidth="1"/>
    <col min="15108" max="15108" width="7.5703125" style="16" customWidth="1"/>
    <col min="15109" max="15109" width="8.5703125" style="16" bestFit="1" customWidth="1"/>
    <col min="15110" max="15110" width="8.7109375" style="16" customWidth="1"/>
    <col min="15111" max="15111" width="8.42578125" style="16" bestFit="1" customWidth="1"/>
    <col min="15112" max="15112" width="9.7109375" style="16" bestFit="1" customWidth="1"/>
    <col min="15113" max="15113" width="10" style="16" customWidth="1"/>
    <col min="15114" max="15114" width="10" style="16" bestFit="1" customWidth="1"/>
    <col min="15115" max="15115" width="8.85546875" style="16" customWidth="1"/>
    <col min="15116" max="15116" width="9.42578125" style="16" customWidth="1"/>
    <col min="15117" max="15117" width="9.140625" style="16"/>
    <col min="15118" max="15118" width="8.140625" style="16" customWidth="1"/>
    <col min="15119" max="15119" width="8.85546875" style="16" customWidth="1"/>
    <col min="15120" max="15124" width="9.140625" style="16"/>
    <col min="15125" max="15125" width="12.42578125" style="16" customWidth="1"/>
    <col min="15126" max="15126" width="9.140625" style="16"/>
    <col min="15127" max="15127" width="12" style="16" customWidth="1"/>
    <col min="15128" max="15360" width="9.140625" style="16"/>
    <col min="15361" max="15361" width="5" style="16" customWidth="1"/>
    <col min="15362" max="15362" width="16.5703125" style="16" customWidth="1"/>
    <col min="15363" max="15363" width="10.7109375" style="16" bestFit="1" customWidth="1"/>
    <col min="15364" max="15364" width="7.5703125" style="16" customWidth="1"/>
    <col min="15365" max="15365" width="8.5703125" style="16" bestFit="1" customWidth="1"/>
    <col min="15366" max="15366" width="8.7109375" style="16" customWidth="1"/>
    <col min="15367" max="15367" width="8.42578125" style="16" bestFit="1" customWidth="1"/>
    <col min="15368" max="15368" width="9.7109375" style="16" bestFit="1" customWidth="1"/>
    <col min="15369" max="15369" width="10" style="16" customWidth="1"/>
    <col min="15370" max="15370" width="10" style="16" bestFit="1" customWidth="1"/>
    <col min="15371" max="15371" width="8.85546875" style="16" customWidth="1"/>
    <col min="15372" max="15372" width="9.42578125" style="16" customWidth="1"/>
    <col min="15373" max="15373" width="9.140625" style="16"/>
    <col min="15374" max="15374" width="8.140625" style="16" customWidth="1"/>
    <col min="15375" max="15375" width="8.85546875" style="16" customWidth="1"/>
    <col min="15376" max="15380" width="9.140625" style="16"/>
    <col min="15381" max="15381" width="12.42578125" style="16" customWidth="1"/>
    <col min="15382" max="15382" width="9.140625" style="16"/>
    <col min="15383" max="15383" width="12" style="16" customWidth="1"/>
    <col min="15384" max="15616" width="9.140625" style="16"/>
    <col min="15617" max="15617" width="5" style="16" customWidth="1"/>
    <col min="15618" max="15618" width="16.5703125" style="16" customWidth="1"/>
    <col min="15619" max="15619" width="10.7109375" style="16" bestFit="1" customWidth="1"/>
    <col min="15620" max="15620" width="7.5703125" style="16" customWidth="1"/>
    <col min="15621" max="15621" width="8.5703125" style="16" bestFit="1" customWidth="1"/>
    <col min="15622" max="15622" width="8.7109375" style="16" customWidth="1"/>
    <col min="15623" max="15623" width="8.42578125" style="16" bestFit="1" customWidth="1"/>
    <col min="15624" max="15624" width="9.7109375" style="16" bestFit="1" customWidth="1"/>
    <col min="15625" max="15625" width="10" style="16" customWidth="1"/>
    <col min="15626" max="15626" width="10" style="16" bestFit="1" customWidth="1"/>
    <col min="15627" max="15627" width="8.85546875" style="16" customWidth="1"/>
    <col min="15628" max="15628" width="9.42578125" style="16" customWidth="1"/>
    <col min="15629" max="15629" width="9.140625" style="16"/>
    <col min="15630" max="15630" width="8.140625" style="16" customWidth="1"/>
    <col min="15631" max="15631" width="8.85546875" style="16" customWidth="1"/>
    <col min="15632" max="15636" width="9.140625" style="16"/>
    <col min="15637" max="15637" width="12.42578125" style="16" customWidth="1"/>
    <col min="15638" max="15638" width="9.140625" style="16"/>
    <col min="15639" max="15639" width="12" style="16" customWidth="1"/>
    <col min="15640" max="15872" width="9.140625" style="16"/>
    <col min="15873" max="15873" width="5" style="16" customWidth="1"/>
    <col min="15874" max="15874" width="16.5703125" style="16" customWidth="1"/>
    <col min="15875" max="15875" width="10.7109375" style="16" bestFit="1" customWidth="1"/>
    <col min="15876" max="15876" width="7.5703125" style="16" customWidth="1"/>
    <col min="15877" max="15877" width="8.5703125" style="16" bestFit="1" customWidth="1"/>
    <col min="15878" max="15878" width="8.7109375" style="16" customWidth="1"/>
    <col min="15879" max="15879" width="8.42578125" style="16" bestFit="1" customWidth="1"/>
    <col min="15880" max="15880" width="9.7109375" style="16" bestFit="1" customWidth="1"/>
    <col min="15881" max="15881" width="10" style="16" customWidth="1"/>
    <col min="15882" max="15882" width="10" style="16" bestFit="1" customWidth="1"/>
    <col min="15883" max="15883" width="8.85546875" style="16" customWidth="1"/>
    <col min="15884" max="15884" width="9.42578125" style="16" customWidth="1"/>
    <col min="15885" max="15885" width="9.140625" style="16"/>
    <col min="15886" max="15886" width="8.140625" style="16" customWidth="1"/>
    <col min="15887" max="15887" width="8.85546875" style="16" customWidth="1"/>
    <col min="15888" max="15892" width="9.140625" style="16"/>
    <col min="15893" max="15893" width="12.42578125" style="16" customWidth="1"/>
    <col min="15894" max="15894" width="9.140625" style="16"/>
    <col min="15895" max="15895" width="12" style="16" customWidth="1"/>
    <col min="15896" max="16128" width="9.140625" style="16"/>
    <col min="16129" max="16129" width="5" style="16" customWidth="1"/>
    <col min="16130" max="16130" width="16.5703125" style="16" customWidth="1"/>
    <col min="16131" max="16131" width="10.7109375" style="16" bestFit="1" customWidth="1"/>
    <col min="16132" max="16132" width="7.5703125" style="16" customWidth="1"/>
    <col min="16133" max="16133" width="8.5703125" style="16" bestFit="1" customWidth="1"/>
    <col min="16134" max="16134" width="8.7109375" style="16" customWidth="1"/>
    <col min="16135" max="16135" width="8.42578125" style="16" bestFit="1" customWidth="1"/>
    <col min="16136" max="16136" width="9.7109375" style="16" bestFit="1" customWidth="1"/>
    <col min="16137" max="16137" width="10" style="16" customWidth="1"/>
    <col min="16138" max="16138" width="10" style="16" bestFit="1" customWidth="1"/>
    <col min="16139" max="16139" width="8.85546875" style="16" customWidth="1"/>
    <col min="16140" max="16140" width="9.42578125" style="16" customWidth="1"/>
    <col min="16141" max="16141" width="9.140625" style="16"/>
    <col min="16142" max="16142" width="8.140625" style="16" customWidth="1"/>
    <col min="16143" max="16143" width="8.85546875" style="16" customWidth="1"/>
    <col min="16144" max="16148" width="9.140625" style="16"/>
    <col min="16149" max="16149" width="12.42578125" style="16" customWidth="1"/>
    <col min="16150" max="16150" width="9.140625" style="16"/>
    <col min="16151" max="16151" width="12" style="16" customWidth="1"/>
    <col min="16152" max="16384" width="9.140625" style="16"/>
  </cols>
  <sheetData>
    <row r="1" spans="1:17" s="1" customFormat="1" x14ac:dyDescent="0.2">
      <c r="A1" s="867" t="s">
        <v>449</v>
      </c>
      <c r="B1" s="868"/>
      <c r="C1" s="868"/>
      <c r="D1" s="869"/>
      <c r="E1" s="868"/>
      <c r="F1" s="868"/>
      <c r="G1" s="867" t="s">
        <v>102</v>
      </c>
      <c r="H1" s="869"/>
      <c r="I1" s="869" t="s">
        <v>1193</v>
      </c>
      <c r="J1" s="868"/>
      <c r="K1" s="868"/>
      <c r="L1" s="870"/>
      <c r="M1" s="870"/>
      <c r="N1" s="870"/>
      <c r="O1" s="870"/>
    </row>
    <row r="2" spans="1:17" s="1" customFormat="1" x14ac:dyDescent="0.2">
      <c r="A2" s="867" t="s">
        <v>103</v>
      </c>
      <c r="B2" s="868"/>
      <c r="C2" s="868"/>
      <c r="D2" s="869"/>
      <c r="E2" s="868"/>
      <c r="F2" s="868"/>
      <c r="G2" s="867" t="s">
        <v>104</v>
      </c>
      <c r="H2" s="869"/>
      <c r="I2" s="869" t="s">
        <v>105</v>
      </c>
      <c r="J2" s="868"/>
      <c r="K2" s="868"/>
      <c r="L2" s="870"/>
      <c r="M2" s="870"/>
      <c r="N2" s="870"/>
      <c r="O2" s="870"/>
    </row>
    <row r="3" spans="1:17" s="1" customFormat="1" x14ac:dyDescent="0.2">
      <c r="A3" s="867" t="s">
        <v>106</v>
      </c>
      <c r="B3" s="868"/>
      <c r="C3" s="868"/>
      <c r="D3" s="881" t="s">
        <v>1228</v>
      </c>
      <c r="E3" s="882"/>
      <c r="F3" s="882"/>
      <c r="G3" s="867" t="s">
        <v>107</v>
      </c>
      <c r="H3" s="869"/>
      <c r="I3" s="869" t="s">
        <v>108</v>
      </c>
      <c r="J3" s="868"/>
      <c r="K3" s="868"/>
      <c r="L3" s="870"/>
      <c r="M3" s="870"/>
      <c r="N3" s="870"/>
      <c r="O3" s="870"/>
    </row>
    <row r="4" spans="1:17" s="1" customFormat="1" x14ac:dyDescent="0.2">
      <c r="A4" s="867" t="s">
        <v>109</v>
      </c>
      <c r="B4" s="868"/>
      <c r="C4" s="868"/>
      <c r="D4" s="869"/>
      <c r="E4" s="868"/>
      <c r="F4" s="868"/>
      <c r="G4" s="867" t="s">
        <v>110</v>
      </c>
      <c r="H4" s="869"/>
      <c r="I4" s="869" t="s">
        <v>1229</v>
      </c>
      <c r="J4" s="868"/>
      <c r="K4" s="868"/>
      <c r="L4" s="870"/>
      <c r="M4" s="870"/>
      <c r="N4" s="870"/>
      <c r="O4" s="870"/>
    </row>
    <row r="5" spans="1:17" s="1" customFormat="1" x14ac:dyDescent="0.2">
      <c r="A5" s="867" t="s">
        <v>278</v>
      </c>
      <c r="B5" s="868"/>
      <c r="C5" s="868"/>
      <c r="D5" s="869" t="s">
        <v>1230</v>
      </c>
      <c r="E5" s="868"/>
      <c r="F5" s="868"/>
      <c r="G5" s="867"/>
      <c r="H5" s="868"/>
      <c r="I5" s="869" t="s">
        <v>113</v>
      </c>
      <c r="J5" s="868"/>
      <c r="K5" s="868"/>
      <c r="L5" s="870"/>
      <c r="M5" s="870"/>
      <c r="N5" s="870"/>
      <c r="O5" s="870"/>
    </row>
    <row r="6" spans="1:17" s="1" customFormat="1" x14ac:dyDescent="0.2">
      <c r="A6" s="871" t="s">
        <v>114</v>
      </c>
      <c r="B6" s="872"/>
      <c r="C6" s="872"/>
      <c r="D6" s="868" t="s">
        <v>1194</v>
      </c>
      <c r="E6" s="868"/>
      <c r="F6" s="868"/>
      <c r="G6" s="871" t="s">
        <v>115</v>
      </c>
      <c r="H6" s="871"/>
      <c r="I6" s="2" t="s">
        <v>222</v>
      </c>
      <c r="J6" s="888"/>
      <c r="K6" s="888"/>
      <c r="L6" s="888"/>
      <c r="M6" s="888"/>
      <c r="N6" s="888"/>
      <c r="O6" s="889"/>
    </row>
    <row r="7" spans="1:17" s="1" customFormat="1" ht="13.5" thickBot="1" x14ac:dyDescent="0.25">
      <c r="A7" s="3"/>
      <c r="B7" s="4"/>
      <c r="C7" s="5"/>
      <c r="D7" s="6"/>
      <c r="E7" s="6"/>
      <c r="F7" s="6"/>
      <c r="G7" s="6"/>
      <c r="H7" s="6"/>
      <c r="I7" s="6"/>
      <c r="J7" s="7"/>
      <c r="K7" s="8"/>
      <c r="L7" s="875" t="s">
        <v>223</v>
      </c>
      <c r="M7" s="875"/>
      <c r="N7" s="875"/>
      <c r="O7" s="875"/>
    </row>
    <row r="8" spans="1:17" s="11" customFormat="1" x14ac:dyDescent="0.2">
      <c r="A8" s="876" t="str">
        <f>I1</f>
        <v>Ms.Ratna S. Bhambre</v>
      </c>
      <c r="B8" s="877"/>
      <c r="C8" s="9">
        <v>43160</v>
      </c>
      <c r="D8" s="9">
        <v>43191</v>
      </c>
      <c r="E8" s="9">
        <v>43221</v>
      </c>
      <c r="F8" s="9">
        <v>43252</v>
      </c>
      <c r="G8" s="9">
        <v>43282</v>
      </c>
      <c r="H8" s="9">
        <v>43313</v>
      </c>
      <c r="I8" s="9">
        <v>43344</v>
      </c>
      <c r="J8" s="9">
        <v>43374</v>
      </c>
      <c r="K8" s="9">
        <v>43405</v>
      </c>
      <c r="L8" s="9">
        <v>43435</v>
      </c>
      <c r="M8" s="9">
        <v>43466</v>
      </c>
      <c r="N8" s="9">
        <v>43497</v>
      </c>
      <c r="O8" s="10" t="s">
        <v>117</v>
      </c>
      <c r="Q8" s="11" t="s">
        <v>116</v>
      </c>
    </row>
    <row r="9" spans="1:17" ht="15" x14ac:dyDescent="0.2">
      <c r="A9" s="12"/>
      <c r="B9" s="13" t="s">
        <v>118</v>
      </c>
      <c r="C9" s="14">
        <v>95800</v>
      </c>
      <c r="D9" s="14">
        <v>95800</v>
      </c>
      <c r="E9" s="14">
        <v>95800</v>
      </c>
      <c r="F9" s="14">
        <v>95800</v>
      </c>
      <c r="G9" s="14">
        <v>98700</v>
      </c>
      <c r="H9" s="14">
        <v>98700</v>
      </c>
      <c r="I9" s="14">
        <v>98700</v>
      </c>
      <c r="J9" s="14">
        <v>98700</v>
      </c>
      <c r="K9" s="14">
        <v>98700</v>
      </c>
      <c r="L9" s="14">
        <v>98700</v>
      </c>
      <c r="M9" s="14">
        <v>98700</v>
      </c>
      <c r="N9" s="14">
        <v>98700</v>
      </c>
      <c r="O9" s="15">
        <f>SUM(C9:N9)</f>
        <v>1172800</v>
      </c>
      <c r="Q9" s="16" t="s">
        <v>222</v>
      </c>
    </row>
    <row r="10" spans="1:17"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7" ht="15" customHeight="1" x14ac:dyDescent="0.2">
      <c r="A11" s="12"/>
      <c r="B11" s="13" t="s">
        <v>120</v>
      </c>
      <c r="C11" s="17">
        <v>4790</v>
      </c>
      <c r="D11" s="17">
        <v>6706</v>
      </c>
      <c r="E11" s="17">
        <v>6706</v>
      </c>
      <c r="F11" s="17">
        <v>6706</v>
      </c>
      <c r="G11" s="17">
        <v>6909</v>
      </c>
      <c r="H11" s="17">
        <v>6909</v>
      </c>
      <c r="I11" s="17">
        <v>6909</v>
      </c>
      <c r="J11" s="17">
        <v>8883</v>
      </c>
      <c r="K11" s="17">
        <v>8883</v>
      </c>
      <c r="L11" s="17">
        <v>8883</v>
      </c>
      <c r="M11" s="17">
        <v>8883</v>
      </c>
      <c r="N11" s="17">
        <v>8883</v>
      </c>
      <c r="O11" s="18">
        <f>SUM(C11:N11)</f>
        <v>90050</v>
      </c>
    </row>
    <row r="12" spans="1:17"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7"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7" ht="15" x14ac:dyDescent="0.2">
      <c r="A14" s="12"/>
      <c r="B14" s="13" t="s">
        <v>123</v>
      </c>
      <c r="C14" s="17">
        <v>7560</v>
      </c>
      <c r="D14" s="17">
        <v>7704</v>
      </c>
      <c r="E14" s="17">
        <v>7704</v>
      </c>
      <c r="F14" s="17">
        <v>7704</v>
      </c>
      <c r="G14" s="17">
        <v>7704</v>
      </c>
      <c r="H14" s="17">
        <v>7704</v>
      </c>
      <c r="I14" s="17">
        <v>7704</v>
      </c>
      <c r="J14" s="17">
        <v>7848</v>
      </c>
      <c r="K14" s="17">
        <v>7848</v>
      </c>
      <c r="L14" s="17">
        <v>7848</v>
      </c>
      <c r="M14" s="17">
        <v>7848</v>
      </c>
      <c r="N14" s="17">
        <v>7848</v>
      </c>
      <c r="O14" s="18">
        <f t="shared" si="0"/>
        <v>93024</v>
      </c>
    </row>
    <row r="15" spans="1:17" ht="14.25" customHeight="1" x14ac:dyDescent="0.2">
      <c r="A15" s="12"/>
      <c r="B15" s="13" t="s">
        <v>224</v>
      </c>
      <c r="C15" s="17">
        <v>0</v>
      </c>
      <c r="D15" s="17">
        <v>0</v>
      </c>
      <c r="E15" s="17">
        <v>0</v>
      </c>
      <c r="F15" s="17">
        <v>0</v>
      </c>
      <c r="G15" s="17">
        <v>0</v>
      </c>
      <c r="H15" s="17">
        <v>0</v>
      </c>
      <c r="I15" s="17">
        <v>0</v>
      </c>
      <c r="J15" s="17">
        <v>0</v>
      </c>
      <c r="K15" s="17">
        <v>0</v>
      </c>
      <c r="L15" s="17">
        <v>0</v>
      </c>
      <c r="M15" s="17">
        <v>0</v>
      </c>
      <c r="N15" s="17">
        <v>0</v>
      </c>
      <c r="O15" s="18">
        <f t="shared" si="0"/>
        <v>0</v>
      </c>
    </row>
    <row r="16" spans="1:17" ht="15" x14ac:dyDescent="0.2">
      <c r="A16" s="12"/>
      <c r="B16" s="13" t="s">
        <v>1231</v>
      </c>
      <c r="C16" s="17">
        <v>0</v>
      </c>
      <c r="D16" s="17">
        <v>0</v>
      </c>
      <c r="E16" s="17">
        <v>0</v>
      </c>
      <c r="F16" s="17">
        <v>0</v>
      </c>
      <c r="G16" s="17">
        <v>0</v>
      </c>
      <c r="H16" s="17">
        <v>0</v>
      </c>
      <c r="I16" s="17">
        <v>0</v>
      </c>
      <c r="J16" s="17">
        <v>0</v>
      </c>
      <c r="K16" s="17">
        <v>0</v>
      </c>
      <c r="L16" s="17">
        <v>0</v>
      </c>
      <c r="M16" s="17">
        <v>0</v>
      </c>
      <c r="N16" s="17">
        <v>0</v>
      </c>
      <c r="O16" s="18">
        <f t="shared" si="0"/>
        <v>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hidden="1" x14ac:dyDescent="0.2">
      <c r="A18" s="12"/>
      <c r="B18" s="13" t="s">
        <v>609</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22992</v>
      </c>
      <c r="D19" s="17">
        <v>22992</v>
      </c>
      <c r="E19" s="17">
        <v>22992</v>
      </c>
      <c r="F19" s="17">
        <v>22992</v>
      </c>
      <c r="G19" s="17">
        <v>23688</v>
      </c>
      <c r="H19" s="17">
        <v>23688</v>
      </c>
      <c r="I19" s="17">
        <v>23688</v>
      </c>
      <c r="J19" s="17">
        <v>23688</v>
      </c>
      <c r="K19" s="17">
        <v>23688</v>
      </c>
      <c r="L19" s="17">
        <v>23688</v>
      </c>
      <c r="M19" s="17">
        <v>23688</v>
      </c>
      <c r="N19" s="17">
        <v>23688</v>
      </c>
      <c r="O19" s="18">
        <f t="shared" si="0"/>
        <v>281472</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78"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79"/>
      <c r="B22" s="19" t="s">
        <v>132</v>
      </c>
      <c r="C22" s="17">
        <v>0</v>
      </c>
      <c r="D22" s="17">
        <v>0</v>
      </c>
      <c r="E22" s="17">
        <v>0</v>
      </c>
      <c r="F22" s="17">
        <v>0</v>
      </c>
      <c r="G22" s="17">
        <v>0</v>
      </c>
      <c r="H22" s="17">
        <v>0</v>
      </c>
      <c r="I22" s="17">
        <v>0</v>
      </c>
      <c r="J22" s="17">
        <v>0</v>
      </c>
      <c r="K22" s="17">
        <v>0</v>
      </c>
      <c r="L22" s="17">
        <v>0</v>
      </c>
      <c r="M22" s="17">
        <v>0</v>
      </c>
      <c r="N22" s="17">
        <v>0</v>
      </c>
      <c r="O22" s="18">
        <f t="shared" si="0"/>
        <v>0</v>
      </c>
    </row>
    <row r="23" spans="1:15" ht="15" hidden="1" customHeight="1" x14ac:dyDescent="0.2">
      <c r="A23" s="879"/>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79"/>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79"/>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79"/>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79"/>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79"/>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79"/>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79"/>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79"/>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79"/>
      <c r="B32" s="21" t="s">
        <v>142</v>
      </c>
      <c r="C32" s="17">
        <v>0</v>
      </c>
      <c r="D32" s="17">
        <v>0</v>
      </c>
      <c r="E32" s="17">
        <v>0</v>
      </c>
      <c r="F32" s="17">
        <v>0</v>
      </c>
      <c r="G32" s="17">
        <v>0</v>
      </c>
      <c r="H32" s="17">
        <v>0</v>
      </c>
      <c r="I32" s="17">
        <v>0</v>
      </c>
      <c r="J32" s="17">
        <v>0</v>
      </c>
      <c r="K32" s="17">
        <v>0</v>
      </c>
      <c r="L32" s="17">
        <v>0</v>
      </c>
      <c r="M32" s="17">
        <v>0</v>
      </c>
      <c r="N32" s="17">
        <v>0</v>
      </c>
      <c r="O32" s="18">
        <f t="shared" si="0"/>
        <v>0</v>
      </c>
    </row>
    <row r="33" spans="1:17" ht="15" hidden="1" customHeight="1" x14ac:dyDescent="0.2">
      <c r="A33" s="880"/>
      <c r="B33" s="19" t="s">
        <v>226</v>
      </c>
      <c r="C33" s="17">
        <v>0</v>
      </c>
      <c r="D33" s="17">
        <v>0</v>
      </c>
      <c r="E33" s="17">
        <v>0</v>
      </c>
      <c r="F33" s="17">
        <v>0</v>
      </c>
      <c r="G33" s="17">
        <v>0</v>
      </c>
      <c r="H33" s="17">
        <v>0</v>
      </c>
      <c r="I33" s="17">
        <v>0</v>
      </c>
      <c r="J33" s="17">
        <v>0</v>
      </c>
      <c r="K33" s="17">
        <v>0</v>
      </c>
      <c r="L33" s="17">
        <v>0</v>
      </c>
      <c r="M33" s="17">
        <v>0</v>
      </c>
      <c r="N33" s="17">
        <v>0</v>
      </c>
      <c r="O33" s="18">
        <f t="shared" si="0"/>
        <v>0</v>
      </c>
    </row>
    <row r="34" spans="1:17" ht="15" customHeight="1" x14ac:dyDescent="0.2">
      <c r="A34" s="865" t="s">
        <v>144</v>
      </c>
      <c r="B34" s="866"/>
      <c r="C34" s="17">
        <v>0</v>
      </c>
      <c r="D34" s="17">
        <v>0</v>
      </c>
      <c r="E34" s="17">
        <v>0</v>
      </c>
      <c r="F34" s="17">
        <v>0</v>
      </c>
      <c r="G34" s="17">
        <v>0</v>
      </c>
      <c r="H34" s="17">
        <v>0</v>
      </c>
      <c r="I34" s="17">
        <v>0</v>
      </c>
      <c r="J34" s="17">
        <v>0</v>
      </c>
      <c r="K34" s="17">
        <v>0</v>
      </c>
      <c r="L34" s="17">
        <v>0</v>
      </c>
      <c r="M34" s="17">
        <v>0</v>
      </c>
      <c r="N34" s="17">
        <v>0</v>
      </c>
      <c r="O34" s="18">
        <f t="shared" si="0"/>
        <v>0</v>
      </c>
    </row>
    <row r="35" spans="1:17" ht="15" customHeight="1" x14ac:dyDescent="0.2">
      <c r="A35" s="865" t="s">
        <v>145</v>
      </c>
      <c r="B35" s="866"/>
      <c r="C35" s="17">
        <v>0</v>
      </c>
      <c r="D35" s="17">
        <v>432</v>
      </c>
      <c r="E35" s="17">
        <v>0</v>
      </c>
      <c r="F35" s="17">
        <v>0</v>
      </c>
      <c r="G35" s="17">
        <v>0</v>
      </c>
      <c r="H35" s="17">
        <v>0</v>
      </c>
      <c r="I35" s="17">
        <v>0</v>
      </c>
      <c r="J35" s="17">
        <v>432</v>
      </c>
      <c r="K35" s="17">
        <v>0</v>
      </c>
      <c r="L35" s="17">
        <v>0</v>
      </c>
      <c r="M35" s="17">
        <v>0</v>
      </c>
      <c r="N35" s="17">
        <v>0</v>
      </c>
      <c r="O35" s="18">
        <f t="shared" si="0"/>
        <v>864</v>
      </c>
    </row>
    <row r="36" spans="1:17" ht="15" customHeight="1" x14ac:dyDescent="0.2">
      <c r="A36" s="865" t="s">
        <v>146</v>
      </c>
      <c r="B36" s="866"/>
      <c r="C36" s="17">
        <v>0</v>
      </c>
      <c r="D36" s="17">
        <v>5748</v>
      </c>
      <c r="E36" s="17">
        <v>0</v>
      </c>
      <c r="F36" s="17">
        <v>0</v>
      </c>
      <c r="G36" s="17">
        <v>0</v>
      </c>
      <c r="H36" s="17">
        <v>0</v>
      </c>
      <c r="I36" s="17">
        <v>0</v>
      </c>
      <c r="J36" s="17">
        <v>5922</v>
      </c>
      <c r="K36" s="17">
        <v>0</v>
      </c>
      <c r="L36" s="17">
        <v>0</v>
      </c>
      <c r="M36" s="17">
        <v>0</v>
      </c>
      <c r="N36" s="17">
        <v>0</v>
      </c>
      <c r="O36" s="18">
        <f t="shared" si="0"/>
        <v>11670</v>
      </c>
    </row>
    <row r="37" spans="1:17" ht="15" customHeight="1" x14ac:dyDescent="0.2">
      <c r="A37" s="22"/>
      <c r="B37" s="23" t="s">
        <v>147</v>
      </c>
      <c r="C37" s="24">
        <f t="shared" ref="C37:N37" si="1">SUM(C9:C36)</f>
        <v>131142</v>
      </c>
      <c r="D37" s="24">
        <f t="shared" si="1"/>
        <v>139382</v>
      </c>
      <c r="E37" s="24">
        <f t="shared" si="1"/>
        <v>133202</v>
      </c>
      <c r="F37" s="24">
        <f t="shared" si="1"/>
        <v>133202</v>
      </c>
      <c r="G37" s="24">
        <f t="shared" si="1"/>
        <v>137001</v>
      </c>
      <c r="H37" s="24">
        <f t="shared" si="1"/>
        <v>137001</v>
      </c>
      <c r="I37" s="24">
        <f t="shared" si="1"/>
        <v>137001</v>
      </c>
      <c r="J37" s="24">
        <f t="shared" si="1"/>
        <v>145473</v>
      </c>
      <c r="K37" s="24">
        <f t="shared" si="1"/>
        <v>139119</v>
      </c>
      <c r="L37" s="24">
        <f t="shared" si="1"/>
        <v>139119</v>
      </c>
      <c r="M37" s="24">
        <f t="shared" si="1"/>
        <v>139119</v>
      </c>
      <c r="N37" s="24">
        <f t="shared" si="1"/>
        <v>139119</v>
      </c>
      <c r="O37" s="25">
        <f>SUM(C37:N37)</f>
        <v>1649880</v>
      </c>
      <c r="Q37" s="16">
        <f>24643*2+3968+25635*2+26328*3+3819+3454+2000+27601*5</f>
        <v>330786</v>
      </c>
    </row>
    <row r="38" spans="1:17" ht="15" customHeight="1" x14ac:dyDescent="0.25">
      <c r="A38" s="853" t="s">
        <v>148</v>
      </c>
      <c r="B38" s="27" t="s">
        <v>149</v>
      </c>
      <c r="C38" s="147">
        <v>10000</v>
      </c>
      <c r="D38" s="147">
        <v>11000</v>
      </c>
      <c r="E38" s="147">
        <v>11000</v>
      </c>
      <c r="F38" s="147">
        <v>11000</v>
      </c>
      <c r="G38" s="147">
        <v>11000</v>
      </c>
      <c r="H38" s="147">
        <v>11000</v>
      </c>
      <c r="I38" s="147">
        <v>11000</v>
      </c>
      <c r="J38" s="147">
        <v>11000</v>
      </c>
      <c r="K38" s="147">
        <v>12000</v>
      </c>
      <c r="L38" s="147">
        <v>12000</v>
      </c>
      <c r="M38" s="147">
        <v>8710</v>
      </c>
      <c r="N38">
        <v>9950</v>
      </c>
      <c r="O38" s="18">
        <f>SUM(C38:N38)</f>
        <v>129660</v>
      </c>
      <c r="P38" s="284" t="s">
        <v>524</v>
      </c>
    </row>
    <row r="39" spans="1:17" ht="15" x14ac:dyDescent="0.2">
      <c r="A39" s="854"/>
      <c r="B39" s="27" t="s">
        <v>150</v>
      </c>
      <c r="C39" s="147">
        <v>0</v>
      </c>
      <c r="D39" s="147">
        <v>0</v>
      </c>
      <c r="E39" s="147">
        <v>0</v>
      </c>
      <c r="F39" s="147">
        <v>0</v>
      </c>
      <c r="G39" s="147">
        <v>0</v>
      </c>
      <c r="H39" s="147">
        <v>0</v>
      </c>
      <c r="I39" s="147">
        <v>0</v>
      </c>
      <c r="J39" s="147">
        <v>0</v>
      </c>
      <c r="K39" s="147">
        <v>0</v>
      </c>
      <c r="L39" s="147">
        <v>0</v>
      </c>
      <c r="M39" s="147">
        <v>0</v>
      </c>
      <c r="N39" s="147">
        <v>0</v>
      </c>
      <c r="O39" s="18">
        <f>SUM(C39:N39)</f>
        <v>0</v>
      </c>
    </row>
    <row r="40" spans="1:17" ht="15" x14ac:dyDescent="0.2">
      <c r="A40" s="854"/>
      <c r="B40" s="27" t="s">
        <v>151</v>
      </c>
      <c r="C40" s="147">
        <v>60</v>
      </c>
      <c r="D40" s="147">
        <v>60</v>
      </c>
      <c r="E40" s="147">
        <v>60</v>
      </c>
      <c r="F40" s="147">
        <v>60</v>
      </c>
      <c r="G40" s="147">
        <v>60</v>
      </c>
      <c r="H40" s="147">
        <v>60</v>
      </c>
      <c r="I40" s="147">
        <v>60</v>
      </c>
      <c r="J40" s="147">
        <v>60</v>
      </c>
      <c r="K40" s="147">
        <v>60</v>
      </c>
      <c r="L40" s="147">
        <v>60</v>
      </c>
      <c r="M40" s="147">
        <v>60</v>
      </c>
      <c r="N40" s="147">
        <v>60</v>
      </c>
      <c r="O40" s="18">
        <f t="shared" ref="O40:O50" si="2">SUM(C40:N40)</f>
        <v>720</v>
      </c>
    </row>
    <row r="41" spans="1:17" ht="15" x14ac:dyDescent="0.2">
      <c r="A41" s="854"/>
      <c r="B41" s="27" t="s">
        <v>152</v>
      </c>
      <c r="C41" s="147">
        <v>0</v>
      </c>
      <c r="D41" s="147">
        <v>0</v>
      </c>
      <c r="E41" s="147">
        <v>0</v>
      </c>
      <c r="F41" s="147">
        <v>0</v>
      </c>
      <c r="G41" s="147">
        <v>0</v>
      </c>
      <c r="H41" s="147">
        <v>0</v>
      </c>
      <c r="I41" s="147">
        <v>0</v>
      </c>
      <c r="J41" s="147">
        <v>0</v>
      </c>
      <c r="K41" s="147">
        <v>0</v>
      </c>
      <c r="L41" s="147">
        <v>0</v>
      </c>
      <c r="M41" s="147">
        <v>0</v>
      </c>
      <c r="N41" s="147">
        <v>0</v>
      </c>
      <c r="O41" s="18">
        <f t="shared" si="2"/>
        <v>0</v>
      </c>
    </row>
    <row r="42" spans="1:17" ht="15" x14ac:dyDescent="0.2">
      <c r="A42" s="854"/>
      <c r="B42" s="27" t="s">
        <v>153</v>
      </c>
      <c r="C42" s="147">
        <v>650</v>
      </c>
      <c r="D42" s="147">
        <v>650</v>
      </c>
      <c r="E42" s="147">
        <v>650</v>
      </c>
      <c r="F42" s="147">
        <v>650</v>
      </c>
      <c r="G42" s="147">
        <v>650</v>
      </c>
      <c r="H42" s="147">
        <v>650</v>
      </c>
      <c r="I42" s="147">
        <v>650</v>
      </c>
      <c r="J42" s="147">
        <v>650</v>
      </c>
      <c r="K42" s="147">
        <v>650</v>
      </c>
      <c r="L42" s="147">
        <v>650</v>
      </c>
      <c r="M42" s="147">
        <v>650</v>
      </c>
      <c r="N42" s="147">
        <v>650</v>
      </c>
      <c r="O42" s="18">
        <f t="shared" si="2"/>
        <v>7800</v>
      </c>
    </row>
    <row r="43" spans="1:17" ht="15" x14ac:dyDescent="0.2">
      <c r="A43" s="854"/>
      <c r="B43" s="27" t="s">
        <v>154</v>
      </c>
      <c r="C43" s="147">
        <v>15000</v>
      </c>
      <c r="D43" s="147">
        <v>15000</v>
      </c>
      <c r="E43" s="147">
        <v>15000</v>
      </c>
      <c r="F43" s="147">
        <v>15000</v>
      </c>
      <c r="G43" s="147">
        <v>15000</v>
      </c>
      <c r="H43" s="147">
        <v>15000</v>
      </c>
      <c r="I43" s="147">
        <v>15000</v>
      </c>
      <c r="J43" s="147">
        <v>15000</v>
      </c>
      <c r="K43" s="147">
        <v>15000</v>
      </c>
      <c r="L43" s="147">
        <v>15000</v>
      </c>
      <c r="M43" s="147">
        <v>15000</v>
      </c>
      <c r="N43" s="147">
        <v>15000</v>
      </c>
      <c r="O43" s="18">
        <f t="shared" si="2"/>
        <v>180000</v>
      </c>
    </row>
    <row r="44" spans="1:17" ht="15" x14ac:dyDescent="0.2">
      <c r="A44" s="854"/>
      <c r="B44" s="27" t="s">
        <v>155</v>
      </c>
      <c r="C44" s="147">
        <v>200</v>
      </c>
      <c r="D44" s="147">
        <v>200</v>
      </c>
      <c r="E44" s="147">
        <v>200</v>
      </c>
      <c r="F44" s="147">
        <v>200</v>
      </c>
      <c r="G44" s="147">
        <v>200</v>
      </c>
      <c r="H44" s="147">
        <v>200</v>
      </c>
      <c r="I44" s="147">
        <v>200</v>
      </c>
      <c r="J44" s="147">
        <v>200</v>
      </c>
      <c r="K44" s="147">
        <v>200</v>
      </c>
      <c r="L44" s="147">
        <v>200</v>
      </c>
      <c r="M44" s="147">
        <v>200</v>
      </c>
      <c r="N44" s="147">
        <v>300</v>
      </c>
      <c r="O44" s="18">
        <f t="shared" si="2"/>
        <v>2500</v>
      </c>
    </row>
    <row r="45" spans="1:17" ht="15" x14ac:dyDescent="0.2">
      <c r="A45" s="854"/>
      <c r="B45" s="27" t="s">
        <v>156</v>
      </c>
      <c r="C45" s="147">
        <v>0</v>
      </c>
      <c r="D45" s="147">
        <v>0</v>
      </c>
      <c r="E45" s="147">
        <v>0</v>
      </c>
      <c r="F45" s="147">
        <v>0</v>
      </c>
      <c r="G45" s="147">
        <v>0</v>
      </c>
      <c r="H45" s="147">
        <v>0</v>
      </c>
      <c r="I45" s="147">
        <v>0</v>
      </c>
      <c r="J45" s="147">
        <v>0</v>
      </c>
      <c r="K45" s="147">
        <v>0</v>
      </c>
      <c r="L45" s="147">
        <v>0</v>
      </c>
      <c r="M45" s="147">
        <v>0</v>
      </c>
      <c r="N45" s="147">
        <v>0</v>
      </c>
      <c r="O45" s="18">
        <f t="shared" si="2"/>
        <v>0</v>
      </c>
    </row>
    <row r="46" spans="1:17" ht="15" x14ac:dyDescent="0.2">
      <c r="A46" s="854"/>
      <c r="B46" s="27" t="s">
        <v>157</v>
      </c>
      <c r="C46" s="147">
        <v>0</v>
      </c>
      <c r="D46" s="147">
        <v>0</v>
      </c>
      <c r="E46" s="147">
        <v>0</v>
      </c>
      <c r="F46" s="147">
        <v>0</v>
      </c>
      <c r="G46" s="147">
        <v>0</v>
      </c>
      <c r="H46" s="147">
        <v>0</v>
      </c>
      <c r="I46" s="147">
        <v>0</v>
      </c>
      <c r="J46" s="147">
        <v>0</v>
      </c>
      <c r="K46" s="147">
        <v>0</v>
      </c>
      <c r="L46" s="147">
        <v>0</v>
      </c>
      <c r="M46" s="147">
        <v>0</v>
      </c>
      <c r="N46" s="147">
        <v>0</v>
      </c>
      <c r="O46" s="18">
        <f t="shared" si="2"/>
        <v>0</v>
      </c>
    </row>
    <row r="47" spans="1:17" ht="28.5" customHeight="1" x14ac:dyDescent="0.2">
      <c r="A47" s="855"/>
      <c r="B47" s="30" t="s">
        <v>158</v>
      </c>
      <c r="C47" s="147">
        <v>0</v>
      </c>
      <c r="D47" s="147">
        <v>0</v>
      </c>
      <c r="E47" s="147">
        <v>0</v>
      </c>
      <c r="F47" s="147">
        <v>0</v>
      </c>
      <c r="G47" s="147">
        <v>0</v>
      </c>
      <c r="H47" s="147">
        <v>0</v>
      </c>
      <c r="I47" s="147">
        <v>0</v>
      </c>
      <c r="J47" s="147">
        <v>0</v>
      </c>
      <c r="K47" s="147">
        <v>0</v>
      </c>
      <c r="L47" s="147">
        <v>0</v>
      </c>
      <c r="M47" s="147">
        <v>0</v>
      </c>
      <c r="N47" s="147">
        <v>0</v>
      </c>
      <c r="O47" s="31">
        <f t="shared" si="2"/>
        <v>0</v>
      </c>
    </row>
    <row r="48" spans="1:17" ht="28.5" customHeight="1" x14ac:dyDescent="0.2">
      <c r="A48" s="856"/>
      <c r="B48" s="127" t="s">
        <v>365</v>
      </c>
      <c r="C48" s="147">
        <v>0</v>
      </c>
      <c r="D48" s="147">
        <v>0</v>
      </c>
      <c r="E48" s="147">
        <v>0</v>
      </c>
      <c r="F48" s="147">
        <v>0</v>
      </c>
      <c r="G48" s="147">
        <v>0</v>
      </c>
      <c r="H48" s="147">
        <v>0</v>
      </c>
      <c r="I48" s="147">
        <v>0</v>
      </c>
      <c r="J48" s="147">
        <v>0</v>
      </c>
      <c r="K48" s="147">
        <v>0</v>
      </c>
      <c r="L48" s="147">
        <v>0</v>
      </c>
      <c r="M48" s="147">
        <v>0</v>
      </c>
      <c r="N48" s="147">
        <v>0</v>
      </c>
      <c r="O48" s="31">
        <f t="shared" si="2"/>
        <v>0</v>
      </c>
    </row>
    <row r="49" spans="1:19" ht="15" x14ac:dyDescent="0.2">
      <c r="A49" s="857" t="s">
        <v>160</v>
      </c>
      <c r="B49" s="858"/>
      <c r="C49" s="33">
        <f t="shared" ref="C49:N49" si="3">SUM(C38:C48)</f>
        <v>25910</v>
      </c>
      <c r="D49" s="33">
        <f t="shared" si="3"/>
        <v>26910</v>
      </c>
      <c r="E49" s="33">
        <f t="shared" si="3"/>
        <v>26910</v>
      </c>
      <c r="F49" s="33">
        <f t="shared" si="3"/>
        <v>26910</v>
      </c>
      <c r="G49" s="33">
        <f t="shared" si="3"/>
        <v>26910</v>
      </c>
      <c r="H49" s="33">
        <f t="shared" si="3"/>
        <v>26910</v>
      </c>
      <c r="I49" s="33">
        <f t="shared" si="3"/>
        <v>26910</v>
      </c>
      <c r="J49" s="33">
        <f t="shared" si="3"/>
        <v>26910</v>
      </c>
      <c r="K49" s="33">
        <f t="shared" si="3"/>
        <v>27910</v>
      </c>
      <c r="L49" s="33">
        <f t="shared" si="3"/>
        <v>27910</v>
      </c>
      <c r="M49" s="33">
        <f t="shared" si="3"/>
        <v>24620</v>
      </c>
      <c r="N49" s="33">
        <f t="shared" si="3"/>
        <v>25960</v>
      </c>
      <c r="O49" s="34">
        <f t="shared" si="2"/>
        <v>320680</v>
      </c>
    </row>
    <row r="50" spans="1:19" ht="15.75" thickBot="1" x14ac:dyDescent="0.25">
      <c r="A50" s="859" t="s">
        <v>161</v>
      </c>
      <c r="B50" s="860"/>
      <c r="C50" s="35">
        <f t="shared" ref="C50:N50" si="4">C37-C49</f>
        <v>105232</v>
      </c>
      <c r="D50" s="35">
        <f t="shared" si="4"/>
        <v>112472</v>
      </c>
      <c r="E50" s="35">
        <f t="shared" si="4"/>
        <v>106292</v>
      </c>
      <c r="F50" s="35">
        <f t="shared" si="4"/>
        <v>106292</v>
      </c>
      <c r="G50" s="35">
        <f t="shared" si="4"/>
        <v>110091</v>
      </c>
      <c r="H50" s="35">
        <f t="shared" si="4"/>
        <v>110091</v>
      </c>
      <c r="I50" s="35">
        <f t="shared" si="4"/>
        <v>110091</v>
      </c>
      <c r="J50" s="35">
        <f t="shared" si="4"/>
        <v>118563</v>
      </c>
      <c r="K50" s="35">
        <f t="shared" si="4"/>
        <v>111209</v>
      </c>
      <c r="L50" s="35">
        <f t="shared" si="4"/>
        <v>111209</v>
      </c>
      <c r="M50" s="35">
        <f t="shared" si="4"/>
        <v>114499</v>
      </c>
      <c r="N50" s="35">
        <f t="shared" si="4"/>
        <v>113159</v>
      </c>
      <c r="O50" s="36">
        <f t="shared" si="2"/>
        <v>1329200</v>
      </c>
      <c r="Q50" s="16">
        <f>9288+9288+3968+14480*2+15173*3+3819+3454+2000+16446*4+16346</f>
        <v>188426</v>
      </c>
    </row>
    <row r="51" spans="1:19" x14ac:dyDescent="0.2">
      <c r="J51" s="128">
        <f>+J37-SUM(J22:J36)</f>
        <v>139119</v>
      </c>
      <c r="Q51" s="38"/>
    </row>
    <row r="52" spans="1:19" ht="13.5" thickBot="1" x14ac:dyDescent="0.25">
      <c r="J52" s="38">
        <f>+J51-J49</f>
        <v>112209</v>
      </c>
    </row>
    <row r="53" spans="1:19" ht="13.5" thickBot="1" x14ac:dyDescent="0.25">
      <c r="B53" s="789" t="s">
        <v>162</v>
      </c>
      <c r="C53" s="861"/>
      <c r="D53" s="861"/>
      <c r="E53" s="861"/>
      <c r="F53" s="862"/>
      <c r="G53" s="863">
        <f>O37</f>
        <v>1649880</v>
      </c>
      <c r="H53" s="864"/>
    </row>
    <row r="54" spans="1:19" ht="13.5" thickBot="1" x14ac:dyDescent="0.25"/>
    <row r="55" spans="1:19" x14ac:dyDescent="0.2">
      <c r="B55" s="830" t="s">
        <v>163</v>
      </c>
      <c r="C55" s="833" t="s">
        <v>164</v>
      </c>
      <c r="D55" s="836" t="s">
        <v>229</v>
      </c>
      <c r="E55" s="837"/>
      <c r="F55" s="838"/>
      <c r="G55" s="839">
        <v>40000</v>
      </c>
      <c r="H55" s="840"/>
    </row>
    <row r="56" spans="1:19" x14ac:dyDescent="0.2">
      <c r="B56" s="831"/>
      <c r="C56" s="834"/>
      <c r="D56" s="841" t="s">
        <v>166</v>
      </c>
      <c r="E56" s="842"/>
      <c r="F56" s="843"/>
      <c r="G56" s="844">
        <f>+O44</f>
        <v>2500</v>
      </c>
      <c r="H56" s="845"/>
      <c r="I56" s="39"/>
      <c r="J56" s="846"/>
      <c r="K56" s="846"/>
      <c r="L56" s="846"/>
      <c r="M56" s="847"/>
      <c r="N56" s="847"/>
      <c r="O56" s="847"/>
    </row>
    <row r="57" spans="1:19" ht="13.5" thickBot="1" x14ac:dyDescent="0.25">
      <c r="B57" s="832"/>
      <c r="C57" s="835"/>
      <c r="D57" s="921" t="s">
        <v>342</v>
      </c>
      <c r="E57" s="849"/>
      <c r="F57" s="850"/>
      <c r="G57" s="844">
        <v>214500</v>
      </c>
      <c r="H57" s="845"/>
      <c r="J57" s="47"/>
      <c r="K57" s="47"/>
      <c r="L57" s="47"/>
      <c r="M57" s="47"/>
      <c r="N57" s="47"/>
      <c r="O57" s="47"/>
    </row>
    <row r="58" spans="1:19" ht="13.5" thickBot="1" x14ac:dyDescent="0.25">
      <c r="B58" s="430"/>
      <c r="C58" s="430"/>
      <c r="D58" s="848" t="s">
        <v>266</v>
      </c>
      <c r="E58" s="849"/>
      <c r="F58" s="850"/>
      <c r="G58" s="431"/>
      <c r="H58" s="432">
        <v>0</v>
      </c>
      <c r="J58" s="47"/>
      <c r="K58" s="47"/>
      <c r="L58" s="47"/>
      <c r="M58" s="47"/>
      <c r="N58" s="47"/>
      <c r="O58" s="47"/>
    </row>
    <row r="59" spans="1:19" ht="13.5" thickBot="1" x14ac:dyDescent="0.25">
      <c r="B59" s="433" t="s">
        <v>168</v>
      </c>
      <c r="C59" s="434"/>
      <c r="D59" s="435"/>
      <c r="E59" s="435"/>
      <c r="F59" s="436"/>
      <c r="G59" s="825">
        <f>+G53-SUM(G55:H57)</f>
        <v>1392880</v>
      </c>
      <c r="H59" s="826"/>
      <c r="J59" s="827" t="s">
        <v>169</v>
      </c>
      <c r="K59" s="828"/>
      <c r="L59" s="828"/>
      <c r="M59" s="828"/>
      <c r="N59" s="828"/>
      <c r="O59" s="829"/>
    </row>
    <row r="60" spans="1:19" ht="13.5" thickBot="1" x14ac:dyDescent="0.25">
      <c r="B60" s="437"/>
      <c r="C60" s="437"/>
      <c r="D60" s="438"/>
      <c r="E60" s="438"/>
      <c r="F60" s="438"/>
      <c r="G60" s="437"/>
      <c r="H60" s="437"/>
      <c r="J60" s="129"/>
      <c r="K60" s="130"/>
      <c r="L60" s="130"/>
      <c r="M60" s="130"/>
      <c r="N60" s="130"/>
      <c r="O60" s="131"/>
    </row>
    <row r="61" spans="1:19" ht="13.5" thickBot="1" x14ac:dyDescent="0.25">
      <c r="B61" s="433" t="s">
        <v>170</v>
      </c>
      <c r="C61" s="434"/>
      <c r="D61" s="439"/>
      <c r="E61" s="439"/>
      <c r="F61" s="439"/>
      <c r="G61" s="805"/>
      <c r="H61" s="791"/>
      <c r="J61" s="129"/>
      <c r="K61" s="130"/>
      <c r="L61" s="130"/>
      <c r="M61" s="130"/>
      <c r="N61" s="130"/>
      <c r="O61" s="131"/>
    </row>
    <row r="62" spans="1:19" ht="12.75" customHeight="1" thickBot="1" x14ac:dyDescent="0.25">
      <c r="B62" s="57" t="s">
        <v>171</v>
      </c>
      <c r="C62" s="440" t="s">
        <v>172</v>
      </c>
      <c r="D62" s="441"/>
      <c r="E62" s="442"/>
      <c r="F62" s="442"/>
      <c r="G62" s="809">
        <v>188123</v>
      </c>
      <c r="H62" s="809"/>
      <c r="I62" s="58"/>
      <c r="J62" s="810" t="s">
        <v>173</v>
      </c>
      <c r="K62" s="811"/>
      <c r="L62" s="811"/>
      <c r="M62" s="811"/>
      <c r="N62" s="811"/>
      <c r="O62" s="812"/>
      <c r="Q62" s="59"/>
      <c r="R62" s="59"/>
      <c r="S62" s="59"/>
    </row>
    <row r="63" spans="1:19" ht="13.5" thickBot="1" x14ac:dyDescent="0.25">
      <c r="D63" s="443"/>
      <c r="E63" s="443"/>
      <c r="F63" s="443"/>
      <c r="I63" s="58"/>
      <c r="J63" s="60" t="s">
        <v>254</v>
      </c>
      <c r="K63" s="132"/>
      <c r="L63" s="132"/>
      <c r="M63" s="133"/>
      <c r="N63" s="133"/>
      <c r="O63" s="134"/>
      <c r="Q63" s="59"/>
      <c r="R63" s="59"/>
      <c r="S63" s="59"/>
    </row>
    <row r="64" spans="1:19" ht="13.5" thickBot="1" x14ac:dyDescent="0.25">
      <c r="B64" s="433" t="s">
        <v>175</v>
      </c>
      <c r="C64" s="434"/>
      <c r="D64" s="444"/>
      <c r="E64" s="445"/>
      <c r="F64" s="446"/>
      <c r="G64" s="805">
        <f>+G59-G62</f>
        <v>1204757</v>
      </c>
      <c r="H64" s="791"/>
      <c r="I64" s="63"/>
      <c r="J64" s="64"/>
      <c r="K64" s="39"/>
      <c r="L64" s="39"/>
      <c r="M64" s="39"/>
      <c r="N64" s="39"/>
      <c r="O64" s="65"/>
      <c r="Q64" s="59"/>
      <c r="R64" s="59"/>
      <c r="S64" s="59"/>
    </row>
    <row r="65" spans="2:19" ht="12.75" customHeight="1" thickBot="1" x14ac:dyDescent="0.25">
      <c r="B65" s="48"/>
      <c r="C65" s="48"/>
      <c r="D65" s="447"/>
      <c r="E65" s="447"/>
      <c r="F65" s="448"/>
      <c r="I65" s="63"/>
      <c r="J65" s="64"/>
      <c r="K65" s="39"/>
      <c r="L65" s="39"/>
      <c r="M65" s="39"/>
      <c r="N65" s="39"/>
      <c r="O65" s="65"/>
      <c r="Q65" s="59"/>
      <c r="R65" s="59"/>
      <c r="S65" s="59"/>
    </row>
    <row r="66" spans="2:19" x14ac:dyDescent="0.2">
      <c r="B66" s="66" t="s">
        <v>176</v>
      </c>
      <c r="C66" s="48"/>
      <c r="I66" s="63"/>
      <c r="J66" s="67"/>
      <c r="K66" s="68"/>
      <c r="L66" s="68"/>
      <c r="M66" s="68"/>
      <c r="N66" s="68"/>
      <c r="O66" s="69"/>
      <c r="Q66" s="59"/>
      <c r="R66" s="59"/>
      <c r="S66" s="59"/>
    </row>
    <row r="67" spans="2:19" ht="26.25" customHeight="1" thickBot="1" x14ac:dyDescent="0.25">
      <c r="B67" s="66"/>
      <c r="C67" s="48"/>
      <c r="G67" s="70" t="s">
        <v>177</v>
      </c>
      <c r="H67" s="70" t="s">
        <v>178</v>
      </c>
      <c r="I67" s="63"/>
      <c r="J67" s="810" t="s">
        <v>179</v>
      </c>
      <c r="K67" s="811"/>
      <c r="L67" s="71"/>
      <c r="M67" s="71"/>
      <c r="N67" s="71"/>
      <c r="O67" s="72"/>
      <c r="Q67" s="59"/>
      <c r="R67" s="59"/>
      <c r="S67" s="59"/>
    </row>
    <row r="68" spans="2:19" ht="12.75" customHeight="1" x14ac:dyDescent="0.2">
      <c r="B68" s="802" t="s">
        <v>180</v>
      </c>
      <c r="C68" s="821" t="s">
        <v>181</v>
      </c>
      <c r="D68" s="449" t="s">
        <v>182</v>
      </c>
      <c r="E68" s="450"/>
      <c r="F68" s="450"/>
      <c r="G68" s="73">
        <f>+O43</f>
        <v>180000</v>
      </c>
      <c r="H68" s="74">
        <f t="shared" ref="H68:H76" si="5">+G68</f>
        <v>180000</v>
      </c>
      <c r="I68" s="63"/>
      <c r="J68" s="75"/>
      <c r="K68" s="58"/>
      <c r="L68" s="58" t="s">
        <v>1232</v>
      </c>
      <c r="M68" s="58" t="s">
        <v>255</v>
      </c>
      <c r="N68" s="58"/>
      <c r="O68" s="76"/>
      <c r="Q68" s="59"/>
      <c r="R68" s="59"/>
      <c r="S68" s="59"/>
    </row>
    <row r="69" spans="2:19" ht="12.75" customHeight="1" x14ac:dyDescent="0.2">
      <c r="B69" s="803"/>
      <c r="C69" s="822"/>
      <c r="D69" s="178" t="s">
        <v>184</v>
      </c>
      <c r="E69" s="179"/>
      <c r="F69" s="179"/>
      <c r="G69" s="77">
        <v>11511</v>
      </c>
      <c r="H69" s="78">
        <f t="shared" si="5"/>
        <v>11511</v>
      </c>
      <c r="I69" s="63"/>
      <c r="J69" s="79"/>
      <c r="K69" s="68"/>
      <c r="L69" s="68"/>
      <c r="M69" s="68"/>
      <c r="N69" s="68"/>
      <c r="O69" s="69"/>
      <c r="Q69" s="59"/>
      <c r="R69" s="59"/>
      <c r="S69" s="59"/>
    </row>
    <row r="70" spans="2:19" ht="12.75" customHeight="1" x14ac:dyDescent="0.2">
      <c r="B70" s="803"/>
      <c r="C70" s="822"/>
      <c r="D70" s="451" t="s">
        <v>185</v>
      </c>
      <c r="E70" s="452"/>
      <c r="F70" s="452"/>
      <c r="G70" s="80">
        <f>O40</f>
        <v>720</v>
      </c>
      <c r="H70" s="78">
        <f t="shared" si="5"/>
        <v>720</v>
      </c>
      <c r="I70" s="63"/>
      <c r="J70" s="67"/>
      <c r="K70" s="68"/>
      <c r="L70" s="68"/>
      <c r="M70" s="68"/>
      <c r="N70" s="68"/>
      <c r="O70" s="69"/>
    </row>
    <row r="71" spans="2:19" x14ac:dyDescent="0.2">
      <c r="B71" s="803"/>
      <c r="C71" s="822"/>
      <c r="D71" s="178" t="s">
        <v>186</v>
      </c>
      <c r="E71" s="179"/>
      <c r="F71" s="179"/>
      <c r="G71" s="81">
        <v>0</v>
      </c>
      <c r="H71" s="78">
        <f t="shared" si="5"/>
        <v>0</v>
      </c>
      <c r="I71" s="63"/>
      <c r="J71" s="82" t="s">
        <v>187</v>
      </c>
      <c r="K71" s="71"/>
      <c r="L71" s="71"/>
      <c r="M71" s="71"/>
      <c r="N71" s="71"/>
      <c r="O71" s="72"/>
    </row>
    <row r="72" spans="2:19" ht="12.75" customHeight="1" x14ac:dyDescent="0.2">
      <c r="B72" s="803"/>
      <c r="C72" s="822"/>
      <c r="D72" s="453" t="s">
        <v>188</v>
      </c>
      <c r="E72" s="179"/>
      <c r="F72" s="179"/>
      <c r="G72" s="80">
        <v>0</v>
      </c>
      <c r="H72" s="78">
        <f t="shared" si="5"/>
        <v>0</v>
      </c>
      <c r="I72" s="63"/>
      <c r="J72" s="75" t="s">
        <v>189</v>
      </c>
      <c r="K72" s="50"/>
      <c r="L72" s="50"/>
      <c r="M72" s="50"/>
      <c r="N72" s="50"/>
      <c r="O72" s="83">
        <v>1500</v>
      </c>
    </row>
    <row r="73" spans="2:19" ht="14.25" customHeight="1" x14ac:dyDescent="0.2">
      <c r="B73" s="803"/>
      <c r="C73" s="822"/>
      <c r="D73" s="178" t="s">
        <v>190</v>
      </c>
      <c r="E73" s="179"/>
      <c r="F73" s="179"/>
      <c r="G73" s="84">
        <v>5000</v>
      </c>
      <c r="H73" s="78">
        <f t="shared" si="5"/>
        <v>5000</v>
      </c>
      <c r="I73" s="63"/>
      <c r="J73" s="64"/>
      <c r="K73" s="39"/>
      <c r="L73" s="39"/>
      <c r="M73" s="39"/>
      <c r="N73" s="39"/>
      <c r="O73" s="65"/>
    </row>
    <row r="74" spans="2:19" x14ac:dyDescent="0.2">
      <c r="B74" s="803"/>
      <c r="C74" s="822"/>
      <c r="D74" s="178" t="s">
        <v>191</v>
      </c>
      <c r="E74" s="179"/>
      <c r="F74" s="179"/>
      <c r="G74" s="81">
        <v>110683</v>
      </c>
      <c r="H74" s="78">
        <f t="shared" si="5"/>
        <v>110683</v>
      </c>
      <c r="I74" s="58"/>
      <c r="J74" s="150"/>
      <c r="K74" s="50"/>
      <c r="L74" s="50"/>
      <c r="M74" s="50"/>
      <c r="N74" s="50"/>
      <c r="O74" s="83"/>
    </row>
    <row r="75" spans="2:19" x14ac:dyDescent="0.2">
      <c r="B75" s="803"/>
      <c r="C75" s="88" t="s">
        <v>192</v>
      </c>
      <c r="D75" s="454" t="s">
        <v>193</v>
      </c>
      <c r="E75" s="455"/>
      <c r="F75" s="455"/>
      <c r="G75" s="80">
        <v>0</v>
      </c>
      <c r="H75" s="78">
        <f t="shared" si="5"/>
        <v>0</v>
      </c>
      <c r="I75" s="58"/>
      <c r="J75" s="79"/>
      <c r="K75" s="39"/>
      <c r="L75" s="39"/>
      <c r="M75" s="39"/>
      <c r="N75" s="39"/>
      <c r="O75" s="65"/>
    </row>
    <row r="76" spans="2:19" ht="13.5" customHeight="1" thickBot="1" x14ac:dyDescent="0.25">
      <c r="B76" s="803"/>
      <c r="C76" s="88" t="s">
        <v>194</v>
      </c>
      <c r="D76" s="80" t="s">
        <v>195</v>
      </c>
      <c r="E76" s="80"/>
      <c r="F76" s="80"/>
      <c r="G76" s="89">
        <v>0</v>
      </c>
      <c r="H76" s="90">
        <f t="shared" si="5"/>
        <v>0</v>
      </c>
      <c r="I76" s="63"/>
      <c r="J76" s="67"/>
      <c r="K76" s="68"/>
      <c r="L76" s="68"/>
      <c r="M76" s="91"/>
      <c r="N76" s="91"/>
      <c r="O76" s="92"/>
    </row>
    <row r="77" spans="2:19" ht="13.5" thickBot="1" x14ac:dyDescent="0.25">
      <c r="B77" s="803"/>
      <c r="C77" s="93"/>
      <c r="D77" s="94"/>
      <c r="E77" s="456" t="s">
        <v>117</v>
      </c>
      <c r="F77" s="457"/>
      <c r="G77" s="95">
        <f>SUM(G68:G76)</f>
        <v>307914</v>
      </c>
      <c r="H77" s="96">
        <f>IF(SUM(G68:G74)&lt;150000,SUM(G68:G74),150000)+IF(+G75&lt;20000,+G75,20000)</f>
        <v>150000</v>
      </c>
      <c r="I77" s="63"/>
      <c r="J77" s="140"/>
      <c r="K77" s="141"/>
      <c r="L77" s="141"/>
      <c r="M77" s="142"/>
      <c r="N77" s="142"/>
      <c r="O77" s="143"/>
    </row>
    <row r="78" spans="2:19" ht="12.75" customHeight="1" x14ac:dyDescent="0.2">
      <c r="B78" s="803"/>
      <c r="C78" s="100" t="s">
        <v>196</v>
      </c>
      <c r="D78" s="178" t="s">
        <v>187</v>
      </c>
      <c r="E78" s="179"/>
      <c r="F78" s="458"/>
      <c r="G78" s="73">
        <v>14197</v>
      </c>
      <c r="H78" s="101">
        <f>+IF(+G78&lt;25000,+G78,25000)</f>
        <v>14197</v>
      </c>
      <c r="I78" s="87"/>
    </row>
    <row r="79" spans="2:19" x14ac:dyDescent="0.2">
      <c r="B79" s="803"/>
      <c r="C79" s="100" t="s">
        <v>197</v>
      </c>
      <c r="D79" s="453" t="s">
        <v>198</v>
      </c>
      <c r="E79" s="459"/>
      <c r="F79" s="352"/>
      <c r="G79" s="102">
        <v>0</v>
      </c>
      <c r="H79" s="103">
        <f>+IF(+G79&lt;40000,+G79,40000)</f>
        <v>0</v>
      </c>
      <c r="I79" s="63"/>
    </row>
    <row r="80" spans="2:19" x14ac:dyDescent="0.2">
      <c r="B80" s="803"/>
      <c r="C80" s="100" t="s">
        <v>199</v>
      </c>
      <c r="D80" s="453" t="s">
        <v>200</v>
      </c>
      <c r="E80" s="459"/>
      <c r="F80" s="352"/>
      <c r="G80" s="81">
        <v>0</v>
      </c>
      <c r="H80" s="104">
        <v>0</v>
      </c>
      <c r="I80" s="63"/>
      <c r="J80" s="416" t="s">
        <v>1233</v>
      </c>
      <c r="K80" s="416"/>
      <c r="L80" s="416"/>
      <c r="M80" s="416"/>
    </row>
    <row r="81" spans="2:17" x14ac:dyDescent="0.2">
      <c r="B81" s="803"/>
      <c r="C81" s="100" t="s">
        <v>201</v>
      </c>
      <c r="D81" s="453" t="s">
        <v>202</v>
      </c>
      <c r="E81" s="459"/>
      <c r="F81" s="352"/>
      <c r="G81" s="81">
        <v>0</v>
      </c>
      <c r="H81" s="104">
        <v>0</v>
      </c>
      <c r="I81" s="63"/>
    </row>
    <row r="82" spans="2:17" ht="13.5" thickBot="1" x14ac:dyDescent="0.25">
      <c r="B82" s="804"/>
      <c r="C82" s="100" t="s">
        <v>203</v>
      </c>
      <c r="D82" s="784" t="s">
        <v>204</v>
      </c>
      <c r="E82" s="785"/>
      <c r="F82" s="786"/>
      <c r="G82" s="102">
        <v>0</v>
      </c>
      <c r="H82" s="103">
        <f>+IF(+G82&lt;100000,+G82,10000)</f>
        <v>0</v>
      </c>
      <c r="I82" s="63"/>
    </row>
    <row r="83" spans="2:17" ht="13.5" thickBot="1" x14ac:dyDescent="0.25">
      <c r="B83" s="460" t="s">
        <v>205</v>
      </c>
      <c r="C83" s="461"/>
      <c r="D83" s="462"/>
      <c r="E83" s="462"/>
      <c r="F83" s="463"/>
      <c r="G83" s="107">
        <f>SUM(G78:G82)</f>
        <v>14197</v>
      </c>
      <c r="H83" s="108">
        <f>SUM(H77:H82)</f>
        <v>164197</v>
      </c>
    </row>
    <row r="84" spans="2:17" ht="13.5" thickBot="1" x14ac:dyDescent="0.25">
      <c r="D84" s="447"/>
      <c r="E84" s="447"/>
      <c r="F84" s="447"/>
      <c r="L84" s="156" t="s">
        <v>257</v>
      </c>
    </row>
    <row r="85" spans="2:17" ht="13.5" thickBot="1" x14ac:dyDescent="0.25">
      <c r="B85" s="433" t="s">
        <v>206</v>
      </c>
      <c r="C85" s="434"/>
      <c r="D85" s="435"/>
      <c r="E85" s="435"/>
      <c r="F85" s="435"/>
      <c r="G85" s="1055">
        <f>ROUND(+G64-H83,-1)</f>
        <v>1040560</v>
      </c>
      <c r="H85" s="1056"/>
      <c r="J85" s="109">
        <f>C37+D37+E37+F37</f>
        <v>536928</v>
      </c>
      <c r="K85" s="16" t="s">
        <v>235</v>
      </c>
      <c r="L85" s="1" t="s">
        <v>347</v>
      </c>
      <c r="P85" s="16">
        <v>824940</v>
      </c>
    </row>
    <row r="86" spans="2:17" ht="13.5" thickBot="1" x14ac:dyDescent="0.25">
      <c r="B86" s="110"/>
      <c r="D86" s="447"/>
      <c r="F86" s="105"/>
      <c r="J86" s="109">
        <f>G37+H37+I37</f>
        <v>411003</v>
      </c>
      <c r="K86" s="16" t="s">
        <v>236</v>
      </c>
      <c r="L86" s="1" t="s">
        <v>348</v>
      </c>
      <c r="P86" s="16">
        <f>+O19</f>
        <v>281472</v>
      </c>
    </row>
    <row r="87" spans="2:17" x14ac:dyDescent="0.2">
      <c r="C87" s="464" t="s">
        <v>207</v>
      </c>
      <c r="E87" s="111" t="s">
        <v>208</v>
      </c>
      <c r="F87" s="111" t="s">
        <v>209</v>
      </c>
      <c r="G87" s="111" t="s">
        <v>210</v>
      </c>
      <c r="H87" s="111" t="s">
        <v>211</v>
      </c>
      <c r="J87" s="109">
        <f>J37+K37+L37</f>
        <v>423711</v>
      </c>
      <c r="K87" s="47" t="s">
        <v>237</v>
      </c>
      <c r="L87" s="16" t="s">
        <v>261</v>
      </c>
      <c r="P87" s="16">
        <v>210000</v>
      </c>
      <c r="Q87" s="1" t="s">
        <v>1234</v>
      </c>
    </row>
    <row r="88" spans="2:17" x14ac:dyDescent="0.2">
      <c r="C88" s="465" t="str">
        <f>IF(I6="M","0          - 250000","0          -  250000")</f>
        <v>0          -  250000</v>
      </c>
      <c r="D88" s="466"/>
      <c r="E88" s="112">
        <v>0</v>
      </c>
      <c r="F88" s="113">
        <f>IF(I6="M",(IF(G85&lt;250000,G85,250000)),(IF(G85&lt;250000,G85,250000)))</f>
        <v>250000</v>
      </c>
      <c r="G88" s="113">
        <f>G85-F88</f>
        <v>790560</v>
      </c>
      <c r="H88" s="113">
        <f>E88*F88</f>
        <v>0</v>
      </c>
      <c r="J88" s="16">
        <f>M37+N37</f>
        <v>278238</v>
      </c>
      <c r="K88" s="1" t="s">
        <v>238</v>
      </c>
    </row>
    <row r="89" spans="2:17" x14ac:dyDescent="0.2">
      <c r="C89" s="465" t="str">
        <f>IF(I6="M","250001 - 500000","250001-500000")</f>
        <v>250001-500000</v>
      </c>
      <c r="D89" s="467"/>
      <c r="E89" s="112">
        <v>0.05</v>
      </c>
      <c r="F89" s="113">
        <f>IF(I6="M",(IF(G88&lt;250000,G88,250000)),(IF(G88&lt;250000,G88,250000)))</f>
        <v>250000</v>
      </c>
      <c r="G89" s="113">
        <f>G88-F89</f>
        <v>540560</v>
      </c>
      <c r="H89" s="114">
        <f>ROUND(E89*F89,0.1)</f>
        <v>12500</v>
      </c>
      <c r="J89" s="115">
        <f>SUM(J85:J88)</f>
        <v>1649880</v>
      </c>
      <c r="L89" s="157" t="s">
        <v>262</v>
      </c>
      <c r="P89" s="16">
        <f>+P86</f>
        <v>281472</v>
      </c>
    </row>
    <row r="90" spans="2:17" x14ac:dyDescent="0.2">
      <c r="C90" s="468" t="s">
        <v>212</v>
      </c>
      <c r="D90" s="467"/>
      <c r="E90" s="112">
        <v>0.2</v>
      </c>
      <c r="F90" s="113">
        <f>IF(G89&lt;500000,G89,500000)</f>
        <v>500000</v>
      </c>
      <c r="G90" s="113">
        <f>G89-F90</f>
        <v>40560</v>
      </c>
      <c r="H90" s="114">
        <f>ROUND(E90*F90,0.1)</f>
        <v>100000</v>
      </c>
      <c r="J90" s="16">
        <f>+G85</f>
        <v>1040560</v>
      </c>
    </row>
    <row r="91" spans="2:17" x14ac:dyDescent="0.2">
      <c r="C91" s="465" t="s">
        <v>213</v>
      </c>
      <c r="D91" s="469"/>
      <c r="E91" s="112">
        <v>0.3</v>
      </c>
      <c r="F91" s="113">
        <f>G90</f>
        <v>40560</v>
      </c>
      <c r="G91" s="113">
        <f>G90-F91</f>
        <v>0</v>
      </c>
      <c r="H91" s="114">
        <f>ROUND(E91*F91,0.1)</f>
        <v>12168</v>
      </c>
      <c r="J91" s="16">
        <f>+J89-J90</f>
        <v>609320</v>
      </c>
    </row>
    <row r="92" spans="2:17" ht="12.75" customHeight="1" thickBot="1" x14ac:dyDescent="0.25">
      <c r="B92" s="116"/>
      <c r="C92" s="117"/>
      <c r="D92" s="470"/>
      <c r="E92" s="470"/>
      <c r="F92" s="470"/>
      <c r="J92" s="16">
        <f>ROUND(+G85/12,0.1)</f>
        <v>86713</v>
      </c>
      <c r="K92" s="223" t="s">
        <v>416</v>
      </c>
    </row>
    <row r="93" spans="2:17" ht="13.5" thickBot="1" x14ac:dyDescent="0.25">
      <c r="B93" s="471" t="s">
        <v>239</v>
      </c>
      <c r="C93" s="472"/>
      <c r="D93" s="472"/>
      <c r="E93" s="472"/>
      <c r="F93" s="473"/>
      <c r="G93" s="771">
        <f>H88+H89+H90+H91</f>
        <v>124668</v>
      </c>
      <c r="H93" s="772"/>
    </row>
    <row r="94" spans="2:17" ht="13.5" thickBot="1" x14ac:dyDescent="0.25">
      <c r="B94" s="154" t="s">
        <v>215</v>
      </c>
      <c r="C94" s="174"/>
      <c r="D94" s="174"/>
      <c r="E94" s="174"/>
      <c r="F94" s="174"/>
      <c r="G94" s="1072">
        <f>IF((G64&lt;500000),5000,0)</f>
        <v>0</v>
      </c>
      <c r="H94" s="1073">
        <f>IF(H92&lt;200000,0,IF(H92&lt;220000,((H92-200000)*10%),IF(H92&lt;=500000,2000,IF(H92&gt;=500000,0))))</f>
        <v>0</v>
      </c>
      <c r="J94" s="1"/>
      <c r="K94" s="121"/>
      <c r="L94" s="121"/>
    </row>
    <row r="95" spans="2:17" ht="13.5" thickBot="1" x14ac:dyDescent="0.25">
      <c r="B95" s="122" t="s">
        <v>216</v>
      </c>
      <c r="C95" s="123"/>
      <c r="D95" s="123"/>
      <c r="E95" s="123"/>
      <c r="F95" s="123"/>
      <c r="G95" s="771">
        <f>IF((G93-G94)&lt;0,0,(G93-G94))</f>
        <v>124668</v>
      </c>
      <c r="H95" s="772"/>
      <c r="I95" s="37"/>
    </row>
    <row r="96" spans="2:17" ht="13.5" thickBot="1" x14ac:dyDescent="0.25">
      <c r="B96" s="474" t="s">
        <v>240</v>
      </c>
      <c r="C96" s="475"/>
      <c r="D96" s="475"/>
      <c r="E96" s="475"/>
      <c r="F96" s="476"/>
      <c r="G96" s="776">
        <f>ROUND((IF(G95&gt;0,(G95*4%),0)),0)</f>
        <v>4987</v>
      </c>
      <c r="H96" s="777"/>
      <c r="I96" s="37"/>
    </row>
    <row r="97" spans="2:9" ht="13.5" thickBot="1" x14ac:dyDescent="0.25">
      <c r="B97" s="477" t="s">
        <v>218</v>
      </c>
      <c r="C97" s="478"/>
      <c r="D97" s="478"/>
      <c r="E97" s="478"/>
      <c r="F97" s="478"/>
      <c r="G97" s="780">
        <f>G95+G96</f>
        <v>129655</v>
      </c>
      <c r="H97" s="781"/>
      <c r="I97" s="121"/>
    </row>
    <row r="98" spans="2:9" ht="13.5" thickBot="1" x14ac:dyDescent="0.25">
      <c r="B98" s="479" t="s">
        <v>219</v>
      </c>
      <c r="C98" s="480"/>
      <c r="D98" s="480"/>
      <c r="E98" s="480"/>
      <c r="F98" s="480"/>
      <c r="G98" s="767">
        <f>O38</f>
        <v>129660</v>
      </c>
      <c r="H98" s="768"/>
      <c r="I98" s="121"/>
    </row>
    <row r="99" spans="2:9" ht="13.5" thickBot="1" x14ac:dyDescent="0.25">
      <c r="B99" s="479" t="str">
        <f>IF(G99&gt;0,"TAX PAYABLE","TAX REFUND")</f>
        <v>TAX REFUND</v>
      </c>
      <c r="C99" s="481"/>
      <c r="D99" s="482"/>
      <c r="E99" s="482"/>
      <c r="F99" s="483"/>
      <c r="G99" s="767">
        <f>+G97-G98</f>
        <v>-5</v>
      </c>
      <c r="H99" s="768"/>
      <c r="I99" s="37"/>
    </row>
    <row r="100" spans="2:9" x14ac:dyDescent="0.2">
      <c r="C100" s="47"/>
      <c r="D100" s="45"/>
      <c r="E100" s="118"/>
      <c r="F100" s="118"/>
      <c r="G100" s="47"/>
      <c r="H100" s="47"/>
      <c r="I100" s="125"/>
    </row>
    <row r="101" spans="2:9" x14ac:dyDescent="0.2">
      <c r="C101" s="39"/>
      <c r="D101" s="50"/>
      <c r="E101" s="117"/>
      <c r="F101" s="47"/>
      <c r="G101" s="39"/>
      <c r="H101" s="39"/>
      <c r="I101" s="37"/>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121"/>
    </row>
    <row r="106" spans="2:9" x14ac:dyDescent="0.2">
      <c r="C106" s="39"/>
      <c r="D106" s="39"/>
      <c r="E106" s="39"/>
      <c r="F106" s="39"/>
      <c r="G106" s="39"/>
      <c r="H106" s="39"/>
    </row>
    <row r="107" spans="2:9" x14ac:dyDescent="0.2">
      <c r="D107" s="39"/>
      <c r="E107" s="39"/>
      <c r="F107" s="39"/>
    </row>
  </sheetData>
  <mergeCells count="64">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B55:B57"/>
    <mergeCell ref="C55:C57"/>
    <mergeCell ref="D55:F55"/>
    <mergeCell ref="G55:H55"/>
    <mergeCell ref="D56:F56"/>
    <mergeCell ref="A38:A48"/>
    <mergeCell ref="A49:B49"/>
    <mergeCell ref="A50:B50"/>
    <mergeCell ref="B53:F53"/>
    <mergeCell ref="G53:H53"/>
    <mergeCell ref="G64:H64"/>
    <mergeCell ref="G56:H56"/>
    <mergeCell ref="J56:L56"/>
    <mergeCell ref="M56:O56"/>
    <mergeCell ref="D57:F57"/>
    <mergeCell ref="G57:H57"/>
    <mergeCell ref="D58:F58"/>
    <mergeCell ref="G59:H59"/>
    <mergeCell ref="J59:O59"/>
    <mergeCell ref="G61:H61"/>
    <mergeCell ref="G62:H62"/>
    <mergeCell ref="J62:O62"/>
    <mergeCell ref="G99:H99"/>
    <mergeCell ref="J67:K67"/>
    <mergeCell ref="B68:B82"/>
    <mergeCell ref="C68:C74"/>
    <mergeCell ref="D82:F82"/>
    <mergeCell ref="G85:H85"/>
    <mergeCell ref="G93:H93"/>
    <mergeCell ref="G94:H94"/>
    <mergeCell ref="G95:H95"/>
    <mergeCell ref="G96:H96"/>
    <mergeCell ref="G97:H97"/>
    <mergeCell ref="G98:H98"/>
  </mergeCells>
  <conditionalFormatting sqref="B90:C90 D91 E90:F90 B99:C99 B93:F97">
    <cfRule type="cellIs" dxfId="281" priority="3" stopIfTrue="1" operator="equal">
      <formula>"TAX PAYABLE"</formula>
    </cfRule>
    <cfRule type="cellIs" dxfId="280" priority="4" stopIfTrue="1" operator="equal">
      <formula>"TAX REFUND"</formula>
    </cfRule>
  </conditionalFormatting>
  <conditionalFormatting sqref="G90:H90">
    <cfRule type="cellIs" dxfId="279" priority="5" stopIfTrue="1" operator="lessThan">
      <formula>0</formula>
    </cfRule>
    <cfRule type="cellIs" dxfId="278" priority="6" stopIfTrue="1" operator="greaterThan">
      <formula>0</formula>
    </cfRule>
  </conditionalFormatting>
  <conditionalFormatting sqref="G99:H99">
    <cfRule type="cellIs" dxfId="277" priority="1" stopIfTrue="1" operator="greaterThan">
      <formula>0</formula>
    </cfRule>
    <cfRule type="cellIs" dxfId="276"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$Q$8:$Q$9</formula1>
    </dataValidation>
  </dataValidations>
  <pageMargins left="0.7" right="0.7" top="0.75" bottom="0.75" header="0.3" footer="0.3"/>
  <pageSetup paperSize="5" orientation="landscape" horizontalDpi="300" verticalDpi="300" r:id="rId1"/>
  <headerFooter alignWithMargins="0"/>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7"/>
  <sheetViews>
    <sheetView topLeftCell="A60" workbookViewId="0">
      <selection activeCell="O37" sqref="O37"/>
    </sheetView>
  </sheetViews>
  <sheetFormatPr defaultRowHeight="12.75" x14ac:dyDescent="0.2"/>
  <cols>
    <col min="1" max="1" width="5" style="16" customWidth="1"/>
    <col min="2" max="2" width="16.5703125" style="37" customWidth="1"/>
    <col min="3" max="3" width="10.7109375" style="16" bestFit="1" customWidth="1"/>
    <col min="4" max="4" width="7.42578125" style="16" customWidth="1"/>
    <col min="5" max="5" width="8.5703125" style="16" bestFit="1" customWidth="1"/>
    <col min="6" max="6" width="9.28515625" style="16" bestFit="1" customWidth="1"/>
    <col min="7" max="7" width="8.42578125" style="16" bestFit="1" customWidth="1"/>
    <col min="8" max="8" width="9.7109375" style="16" bestFit="1" customWidth="1"/>
    <col min="9" max="9" width="10" style="16" customWidth="1"/>
    <col min="10" max="10" width="9.28515625" style="16" customWidth="1"/>
    <col min="11" max="11" width="8.85546875" style="16" customWidth="1"/>
    <col min="12" max="12" width="9.28515625" style="16" customWidth="1"/>
    <col min="13" max="13" width="8.5703125" style="16" customWidth="1"/>
    <col min="14" max="14" width="8.42578125" style="16" customWidth="1"/>
    <col min="15" max="15" width="7.140625" style="16" bestFit="1" customWidth="1"/>
    <col min="16" max="20" width="9.140625" style="16"/>
    <col min="21" max="21" width="12.42578125" style="16" customWidth="1"/>
    <col min="22" max="22" width="9.140625" style="16"/>
    <col min="23" max="23" width="12" style="16" customWidth="1"/>
    <col min="24" max="256" width="9.140625" style="16"/>
    <col min="257" max="257" width="5" style="16" customWidth="1"/>
    <col min="258" max="258" width="16.5703125" style="16" customWidth="1"/>
    <col min="259" max="259" width="10.7109375" style="16" bestFit="1" customWidth="1"/>
    <col min="260" max="260" width="7.42578125" style="16" customWidth="1"/>
    <col min="261" max="261" width="8.5703125" style="16" bestFit="1" customWidth="1"/>
    <col min="262" max="262" width="9.28515625" style="16" bestFit="1" customWidth="1"/>
    <col min="263" max="263" width="8.42578125" style="16" bestFit="1" customWidth="1"/>
    <col min="264" max="264" width="9.7109375" style="16" bestFit="1" customWidth="1"/>
    <col min="265" max="265" width="10" style="16" customWidth="1"/>
    <col min="266" max="266" width="9.28515625" style="16" customWidth="1"/>
    <col min="267" max="267" width="8.85546875" style="16" customWidth="1"/>
    <col min="268" max="268" width="9.28515625" style="16" customWidth="1"/>
    <col min="269" max="269" width="8.5703125" style="16" customWidth="1"/>
    <col min="270" max="270" width="8.42578125" style="16" customWidth="1"/>
    <col min="271" max="271" width="7.140625" style="16" bestFit="1" customWidth="1"/>
    <col min="272" max="276" width="9.140625" style="16"/>
    <col min="277" max="277" width="12.42578125" style="16" customWidth="1"/>
    <col min="278" max="278" width="9.140625" style="16"/>
    <col min="279" max="279" width="12" style="16" customWidth="1"/>
    <col min="280" max="512" width="9.140625" style="16"/>
    <col min="513" max="513" width="5" style="16" customWidth="1"/>
    <col min="514" max="514" width="16.5703125" style="16" customWidth="1"/>
    <col min="515" max="515" width="10.7109375" style="16" bestFit="1" customWidth="1"/>
    <col min="516" max="516" width="7.42578125" style="16" customWidth="1"/>
    <col min="517" max="517" width="8.5703125" style="16" bestFit="1" customWidth="1"/>
    <col min="518" max="518" width="9.28515625" style="16" bestFit="1" customWidth="1"/>
    <col min="519" max="519" width="8.42578125" style="16" bestFit="1" customWidth="1"/>
    <col min="520" max="520" width="9.7109375" style="16" bestFit="1" customWidth="1"/>
    <col min="521" max="521" width="10" style="16" customWidth="1"/>
    <col min="522" max="522" width="9.28515625" style="16" customWidth="1"/>
    <col min="523" max="523" width="8.85546875" style="16" customWidth="1"/>
    <col min="524" max="524" width="9.28515625" style="16" customWidth="1"/>
    <col min="525" max="525" width="8.5703125" style="16" customWidth="1"/>
    <col min="526" max="526" width="8.42578125" style="16" customWidth="1"/>
    <col min="527" max="527" width="7.140625" style="16" bestFit="1" customWidth="1"/>
    <col min="528" max="532" width="9.140625" style="16"/>
    <col min="533" max="533" width="12.42578125" style="16" customWidth="1"/>
    <col min="534" max="534" width="9.140625" style="16"/>
    <col min="535" max="535" width="12" style="16" customWidth="1"/>
    <col min="536" max="768" width="9.140625" style="16"/>
    <col min="769" max="769" width="5" style="16" customWidth="1"/>
    <col min="770" max="770" width="16.5703125" style="16" customWidth="1"/>
    <col min="771" max="771" width="10.7109375" style="16" bestFit="1" customWidth="1"/>
    <col min="772" max="772" width="7.42578125" style="16" customWidth="1"/>
    <col min="773" max="773" width="8.5703125" style="16" bestFit="1" customWidth="1"/>
    <col min="774" max="774" width="9.28515625" style="16" bestFit="1" customWidth="1"/>
    <col min="775" max="775" width="8.42578125" style="16" bestFit="1" customWidth="1"/>
    <col min="776" max="776" width="9.7109375" style="16" bestFit="1" customWidth="1"/>
    <col min="777" max="777" width="10" style="16" customWidth="1"/>
    <col min="778" max="778" width="9.28515625" style="16" customWidth="1"/>
    <col min="779" max="779" width="8.85546875" style="16" customWidth="1"/>
    <col min="780" max="780" width="9.28515625" style="16" customWidth="1"/>
    <col min="781" max="781" width="8.5703125" style="16" customWidth="1"/>
    <col min="782" max="782" width="8.42578125" style="16" customWidth="1"/>
    <col min="783" max="783" width="7.140625" style="16" bestFit="1" customWidth="1"/>
    <col min="784" max="788" width="9.140625" style="16"/>
    <col min="789" max="789" width="12.42578125" style="16" customWidth="1"/>
    <col min="790" max="790" width="9.140625" style="16"/>
    <col min="791" max="791" width="12" style="16" customWidth="1"/>
    <col min="792" max="1024" width="9.140625" style="16"/>
    <col min="1025" max="1025" width="5" style="16" customWidth="1"/>
    <col min="1026" max="1026" width="16.5703125" style="16" customWidth="1"/>
    <col min="1027" max="1027" width="10.7109375" style="16" bestFit="1" customWidth="1"/>
    <col min="1028" max="1028" width="7.42578125" style="16" customWidth="1"/>
    <col min="1029" max="1029" width="8.5703125" style="16" bestFit="1" customWidth="1"/>
    <col min="1030" max="1030" width="9.28515625" style="16" bestFit="1" customWidth="1"/>
    <col min="1031" max="1031" width="8.42578125" style="16" bestFit="1" customWidth="1"/>
    <col min="1032" max="1032" width="9.7109375" style="16" bestFit="1" customWidth="1"/>
    <col min="1033" max="1033" width="10" style="16" customWidth="1"/>
    <col min="1034" max="1034" width="9.28515625" style="16" customWidth="1"/>
    <col min="1035" max="1035" width="8.85546875" style="16" customWidth="1"/>
    <col min="1036" max="1036" width="9.28515625" style="16" customWidth="1"/>
    <col min="1037" max="1037" width="8.5703125" style="16" customWidth="1"/>
    <col min="1038" max="1038" width="8.42578125" style="16" customWidth="1"/>
    <col min="1039" max="1039" width="7.140625" style="16" bestFit="1" customWidth="1"/>
    <col min="1040" max="1044" width="9.140625" style="16"/>
    <col min="1045" max="1045" width="12.42578125" style="16" customWidth="1"/>
    <col min="1046" max="1046" width="9.140625" style="16"/>
    <col min="1047" max="1047" width="12" style="16" customWidth="1"/>
    <col min="1048" max="1280" width="9.140625" style="16"/>
    <col min="1281" max="1281" width="5" style="16" customWidth="1"/>
    <col min="1282" max="1282" width="16.5703125" style="16" customWidth="1"/>
    <col min="1283" max="1283" width="10.7109375" style="16" bestFit="1" customWidth="1"/>
    <col min="1284" max="1284" width="7.42578125" style="16" customWidth="1"/>
    <col min="1285" max="1285" width="8.5703125" style="16" bestFit="1" customWidth="1"/>
    <col min="1286" max="1286" width="9.28515625" style="16" bestFit="1" customWidth="1"/>
    <col min="1287" max="1287" width="8.42578125" style="16" bestFit="1" customWidth="1"/>
    <col min="1288" max="1288" width="9.7109375" style="16" bestFit="1" customWidth="1"/>
    <col min="1289" max="1289" width="10" style="16" customWidth="1"/>
    <col min="1290" max="1290" width="9.28515625" style="16" customWidth="1"/>
    <col min="1291" max="1291" width="8.85546875" style="16" customWidth="1"/>
    <col min="1292" max="1292" width="9.28515625" style="16" customWidth="1"/>
    <col min="1293" max="1293" width="8.5703125" style="16" customWidth="1"/>
    <col min="1294" max="1294" width="8.42578125" style="16" customWidth="1"/>
    <col min="1295" max="1295" width="7.140625" style="16" bestFit="1" customWidth="1"/>
    <col min="1296" max="1300" width="9.140625" style="16"/>
    <col min="1301" max="1301" width="12.42578125" style="16" customWidth="1"/>
    <col min="1302" max="1302" width="9.140625" style="16"/>
    <col min="1303" max="1303" width="12" style="16" customWidth="1"/>
    <col min="1304" max="1536" width="9.140625" style="16"/>
    <col min="1537" max="1537" width="5" style="16" customWidth="1"/>
    <col min="1538" max="1538" width="16.5703125" style="16" customWidth="1"/>
    <col min="1539" max="1539" width="10.7109375" style="16" bestFit="1" customWidth="1"/>
    <col min="1540" max="1540" width="7.42578125" style="16" customWidth="1"/>
    <col min="1541" max="1541" width="8.5703125" style="16" bestFit="1" customWidth="1"/>
    <col min="1542" max="1542" width="9.28515625" style="16" bestFit="1" customWidth="1"/>
    <col min="1543" max="1543" width="8.42578125" style="16" bestFit="1" customWidth="1"/>
    <col min="1544" max="1544" width="9.7109375" style="16" bestFit="1" customWidth="1"/>
    <col min="1545" max="1545" width="10" style="16" customWidth="1"/>
    <col min="1546" max="1546" width="9.28515625" style="16" customWidth="1"/>
    <col min="1547" max="1547" width="8.85546875" style="16" customWidth="1"/>
    <col min="1548" max="1548" width="9.28515625" style="16" customWidth="1"/>
    <col min="1549" max="1549" width="8.5703125" style="16" customWidth="1"/>
    <col min="1550" max="1550" width="8.42578125" style="16" customWidth="1"/>
    <col min="1551" max="1551" width="7.140625" style="16" bestFit="1" customWidth="1"/>
    <col min="1552" max="1556" width="9.140625" style="16"/>
    <col min="1557" max="1557" width="12.42578125" style="16" customWidth="1"/>
    <col min="1558" max="1558" width="9.140625" style="16"/>
    <col min="1559" max="1559" width="12" style="16" customWidth="1"/>
    <col min="1560" max="1792" width="9.140625" style="16"/>
    <col min="1793" max="1793" width="5" style="16" customWidth="1"/>
    <col min="1794" max="1794" width="16.5703125" style="16" customWidth="1"/>
    <col min="1795" max="1795" width="10.7109375" style="16" bestFit="1" customWidth="1"/>
    <col min="1796" max="1796" width="7.42578125" style="16" customWidth="1"/>
    <col min="1797" max="1797" width="8.5703125" style="16" bestFit="1" customWidth="1"/>
    <col min="1798" max="1798" width="9.28515625" style="16" bestFit="1" customWidth="1"/>
    <col min="1799" max="1799" width="8.42578125" style="16" bestFit="1" customWidth="1"/>
    <col min="1800" max="1800" width="9.7109375" style="16" bestFit="1" customWidth="1"/>
    <col min="1801" max="1801" width="10" style="16" customWidth="1"/>
    <col min="1802" max="1802" width="9.28515625" style="16" customWidth="1"/>
    <col min="1803" max="1803" width="8.85546875" style="16" customWidth="1"/>
    <col min="1804" max="1804" width="9.28515625" style="16" customWidth="1"/>
    <col min="1805" max="1805" width="8.5703125" style="16" customWidth="1"/>
    <col min="1806" max="1806" width="8.42578125" style="16" customWidth="1"/>
    <col min="1807" max="1807" width="7.140625" style="16" bestFit="1" customWidth="1"/>
    <col min="1808" max="1812" width="9.140625" style="16"/>
    <col min="1813" max="1813" width="12.42578125" style="16" customWidth="1"/>
    <col min="1814" max="1814" width="9.140625" style="16"/>
    <col min="1815" max="1815" width="12" style="16" customWidth="1"/>
    <col min="1816" max="2048" width="9.140625" style="16"/>
    <col min="2049" max="2049" width="5" style="16" customWidth="1"/>
    <col min="2050" max="2050" width="16.5703125" style="16" customWidth="1"/>
    <col min="2051" max="2051" width="10.7109375" style="16" bestFit="1" customWidth="1"/>
    <col min="2052" max="2052" width="7.42578125" style="16" customWidth="1"/>
    <col min="2053" max="2053" width="8.5703125" style="16" bestFit="1" customWidth="1"/>
    <col min="2054" max="2054" width="9.28515625" style="16" bestFit="1" customWidth="1"/>
    <col min="2055" max="2055" width="8.42578125" style="16" bestFit="1" customWidth="1"/>
    <col min="2056" max="2056" width="9.7109375" style="16" bestFit="1" customWidth="1"/>
    <col min="2057" max="2057" width="10" style="16" customWidth="1"/>
    <col min="2058" max="2058" width="9.28515625" style="16" customWidth="1"/>
    <col min="2059" max="2059" width="8.85546875" style="16" customWidth="1"/>
    <col min="2060" max="2060" width="9.28515625" style="16" customWidth="1"/>
    <col min="2061" max="2061" width="8.5703125" style="16" customWidth="1"/>
    <col min="2062" max="2062" width="8.42578125" style="16" customWidth="1"/>
    <col min="2063" max="2063" width="7.140625" style="16" bestFit="1" customWidth="1"/>
    <col min="2064" max="2068" width="9.140625" style="16"/>
    <col min="2069" max="2069" width="12.42578125" style="16" customWidth="1"/>
    <col min="2070" max="2070" width="9.140625" style="16"/>
    <col min="2071" max="2071" width="12" style="16" customWidth="1"/>
    <col min="2072" max="2304" width="9.140625" style="16"/>
    <col min="2305" max="2305" width="5" style="16" customWidth="1"/>
    <col min="2306" max="2306" width="16.5703125" style="16" customWidth="1"/>
    <col min="2307" max="2307" width="10.7109375" style="16" bestFit="1" customWidth="1"/>
    <col min="2308" max="2308" width="7.42578125" style="16" customWidth="1"/>
    <col min="2309" max="2309" width="8.5703125" style="16" bestFit="1" customWidth="1"/>
    <col min="2310" max="2310" width="9.28515625" style="16" bestFit="1" customWidth="1"/>
    <col min="2311" max="2311" width="8.42578125" style="16" bestFit="1" customWidth="1"/>
    <col min="2312" max="2312" width="9.7109375" style="16" bestFit="1" customWidth="1"/>
    <col min="2313" max="2313" width="10" style="16" customWidth="1"/>
    <col min="2314" max="2314" width="9.28515625" style="16" customWidth="1"/>
    <col min="2315" max="2315" width="8.85546875" style="16" customWidth="1"/>
    <col min="2316" max="2316" width="9.28515625" style="16" customWidth="1"/>
    <col min="2317" max="2317" width="8.5703125" style="16" customWidth="1"/>
    <col min="2318" max="2318" width="8.42578125" style="16" customWidth="1"/>
    <col min="2319" max="2319" width="7.140625" style="16" bestFit="1" customWidth="1"/>
    <col min="2320" max="2324" width="9.140625" style="16"/>
    <col min="2325" max="2325" width="12.42578125" style="16" customWidth="1"/>
    <col min="2326" max="2326" width="9.140625" style="16"/>
    <col min="2327" max="2327" width="12" style="16" customWidth="1"/>
    <col min="2328" max="2560" width="9.140625" style="16"/>
    <col min="2561" max="2561" width="5" style="16" customWidth="1"/>
    <col min="2562" max="2562" width="16.5703125" style="16" customWidth="1"/>
    <col min="2563" max="2563" width="10.7109375" style="16" bestFit="1" customWidth="1"/>
    <col min="2564" max="2564" width="7.42578125" style="16" customWidth="1"/>
    <col min="2565" max="2565" width="8.5703125" style="16" bestFit="1" customWidth="1"/>
    <col min="2566" max="2566" width="9.28515625" style="16" bestFit="1" customWidth="1"/>
    <col min="2567" max="2567" width="8.42578125" style="16" bestFit="1" customWidth="1"/>
    <col min="2568" max="2568" width="9.7109375" style="16" bestFit="1" customWidth="1"/>
    <col min="2569" max="2569" width="10" style="16" customWidth="1"/>
    <col min="2570" max="2570" width="9.28515625" style="16" customWidth="1"/>
    <col min="2571" max="2571" width="8.85546875" style="16" customWidth="1"/>
    <col min="2572" max="2572" width="9.28515625" style="16" customWidth="1"/>
    <col min="2573" max="2573" width="8.5703125" style="16" customWidth="1"/>
    <col min="2574" max="2574" width="8.42578125" style="16" customWidth="1"/>
    <col min="2575" max="2575" width="7.140625" style="16" bestFit="1" customWidth="1"/>
    <col min="2576" max="2580" width="9.140625" style="16"/>
    <col min="2581" max="2581" width="12.42578125" style="16" customWidth="1"/>
    <col min="2582" max="2582" width="9.140625" style="16"/>
    <col min="2583" max="2583" width="12" style="16" customWidth="1"/>
    <col min="2584" max="2816" width="9.140625" style="16"/>
    <col min="2817" max="2817" width="5" style="16" customWidth="1"/>
    <col min="2818" max="2818" width="16.5703125" style="16" customWidth="1"/>
    <col min="2819" max="2819" width="10.7109375" style="16" bestFit="1" customWidth="1"/>
    <col min="2820" max="2820" width="7.42578125" style="16" customWidth="1"/>
    <col min="2821" max="2821" width="8.5703125" style="16" bestFit="1" customWidth="1"/>
    <col min="2822" max="2822" width="9.28515625" style="16" bestFit="1" customWidth="1"/>
    <col min="2823" max="2823" width="8.42578125" style="16" bestFit="1" customWidth="1"/>
    <col min="2824" max="2824" width="9.7109375" style="16" bestFit="1" customWidth="1"/>
    <col min="2825" max="2825" width="10" style="16" customWidth="1"/>
    <col min="2826" max="2826" width="9.28515625" style="16" customWidth="1"/>
    <col min="2827" max="2827" width="8.85546875" style="16" customWidth="1"/>
    <col min="2828" max="2828" width="9.28515625" style="16" customWidth="1"/>
    <col min="2829" max="2829" width="8.5703125" style="16" customWidth="1"/>
    <col min="2830" max="2830" width="8.42578125" style="16" customWidth="1"/>
    <col min="2831" max="2831" width="7.140625" style="16" bestFit="1" customWidth="1"/>
    <col min="2832" max="2836" width="9.140625" style="16"/>
    <col min="2837" max="2837" width="12.42578125" style="16" customWidth="1"/>
    <col min="2838" max="2838" width="9.140625" style="16"/>
    <col min="2839" max="2839" width="12" style="16" customWidth="1"/>
    <col min="2840" max="3072" width="9.140625" style="16"/>
    <col min="3073" max="3073" width="5" style="16" customWidth="1"/>
    <col min="3074" max="3074" width="16.5703125" style="16" customWidth="1"/>
    <col min="3075" max="3075" width="10.7109375" style="16" bestFit="1" customWidth="1"/>
    <col min="3076" max="3076" width="7.42578125" style="16" customWidth="1"/>
    <col min="3077" max="3077" width="8.5703125" style="16" bestFit="1" customWidth="1"/>
    <col min="3078" max="3078" width="9.28515625" style="16" bestFit="1" customWidth="1"/>
    <col min="3079" max="3079" width="8.42578125" style="16" bestFit="1" customWidth="1"/>
    <col min="3080" max="3080" width="9.7109375" style="16" bestFit="1" customWidth="1"/>
    <col min="3081" max="3081" width="10" style="16" customWidth="1"/>
    <col min="3082" max="3082" width="9.28515625" style="16" customWidth="1"/>
    <col min="3083" max="3083" width="8.85546875" style="16" customWidth="1"/>
    <col min="3084" max="3084" width="9.28515625" style="16" customWidth="1"/>
    <col min="3085" max="3085" width="8.5703125" style="16" customWidth="1"/>
    <col min="3086" max="3086" width="8.42578125" style="16" customWidth="1"/>
    <col min="3087" max="3087" width="7.140625" style="16" bestFit="1" customWidth="1"/>
    <col min="3088" max="3092" width="9.140625" style="16"/>
    <col min="3093" max="3093" width="12.42578125" style="16" customWidth="1"/>
    <col min="3094" max="3094" width="9.140625" style="16"/>
    <col min="3095" max="3095" width="12" style="16" customWidth="1"/>
    <col min="3096" max="3328" width="9.140625" style="16"/>
    <col min="3329" max="3329" width="5" style="16" customWidth="1"/>
    <col min="3330" max="3330" width="16.5703125" style="16" customWidth="1"/>
    <col min="3331" max="3331" width="10.7109375" style="16" bestFit="1" customWidth="1"/>
    <col min="3332" max="3332" width="7.42578125" style="16" customWidth="1"/>
    <col min="3333" max="3333" width="8.5703125" style="16" bestFit="1" customWidth="1"/>
    <col min="3334" max="3334" width="9.28515625" style="16" bestFit="1" customWidth="1"/>
    <col min="3335" max="3335" width="8.42578125" style="16" bestFit="1" customWidth="1"/>
    <col min="3336" max="3336" width="9.7109375" style="16" bestFit="1" customWidth="1"/>
    <col min="3337" max="3337" width="10" style="16" customWidth="1"/>
    <col min="3338" max="3338" width="9.28515625" style="16" customWidth="1"/>
    <col min="3339" max="3339" width="8.85546875" style="16" customWidth="1"/>
    <col min="3340" max="3340" width="9.28515625" style="16" customWidth="1"/>
    <col min="3341" max="3341" width="8.5703125" style="16" customWidth="1"/>
    <col min="3342" max="3342" width="8.42578125" style="16" customWidth="1"/>
    <col min="3343" max="3343" width="7.140625" style="16" bestFit="1" customWidth="1"/>
    <col min="3344" max="3348" width="9.140625" style="16"/>
    <col min="3349" max="3349" width="12.42578125" style="16" customWidth="1"/>
    <col min="3350" max="3350" width="9.140625" style="16"/>
    <col min="3351" max="3351" width="12" style="16" customWidth="1"/>
    <col min="3352" max="3584" width="9.140625" style="16"/>
    <col min="3585" max="3585" width="5" style="16" customWidth="1"/>
    <col min="3586" max="3586" width="16.5703125" style="16" customWidth="1"/>
    <col min="3587" max="3587" width="10.7109375" style="16" bestFit="1" customWidth="1"/>
    <col min="3588" max="3588" width="7.42578125" style="16" customWidth="1"/>
    <col min="3589" max="3589" width="8.5703125" style="16" bestFit="1" customWidth="1"/>
    <col min="3590" max="3590" width="9.28515625" style="16" bestFit="1" customWidth="1"/>
    <col min="3591" max="3591" width="8.42578125" style="16" bestFit="1" customWidth="1"/>
    <col min="3592" max="3592" width="9.7109375" style="16" bestFit="1" customWidth="1"/>
    <col min="3593" max="3593" width="10" style="16" customWidth="1"/>
    <col min="3594" max="3594" width="9.28515625" style="16" customWidth="1"/>
    <col min="3595" max="3595" width="8.85546875" style="16" customWidth="1"/>
    <col min="3596" max="3596" width="9.28515625" style="16" customWidth="1"/>
    <col min="3597" max="3597" width="8.5703125" style="16" customWidth="1"/>
    <col min="3598" max="3598" width="8.42578125" style="16" customWidth="1"/>
    <col min="3599" max="3599" width="7.140625" style="16" bestFit="1" customWidth="1"/>
    <col min="3600" max="3604" width="9.140625" style="16"/>
    <col min="3605" max="3605" width="12.42578125" style="16" customWidth="1"/>
    <col min="3606" max="3606" width="9.140625" style="16"/>
    <col min="3607" max="3607" width="12" style="16" customWidth="1"/>
    <col min="3608" max="3840" width="9.140625" style="16"/>
    <col min="3841" max="3841" width="5" style="16" customWidth="1"/>
    <col min="3842" max="3842" width="16.5703125" style="16" customWidth="1"/>
    <col min="3843" max="3843" width="10.7109375" style="16" bestFit="1" customWidth="1"/>
    <col min="3844" max="3844" width="7.42578125" style="16" customWidth="1"/>
    <col min="3845" max="3845" width="8.5703125" style="16" bestFit="1" customWidth="1"/>
    <col min="3846" max="3846" width="9.28515625" style="16" bestFit="1" customWidth="1"/>
    <col min="3847" max="3847" width="8.42578125" style="16" bestFit="1" customWidth="1"/>
    <col min="3848" max="3848" width="9.7109375" style="16" bestFit="1" customWidth="1"/>
    <col min="3849" max="3849" width="10" style="16" customWidth="1"/>
    <col min="3850" max="3850" width="9.28515625" style="16" customWidth="1"/>
    <col min="3851" max="3851" width="8.85546875" style="16" customWidth="1"/>
    <col min="3852" max="3852" width="9.28515625" style="16" customWidth="1"/>
    <col min="3853" max="3853" width="8.5703125" style="16" customWidth="1"/>
    <col min="3854" max="3854" width="8.42578125" style="16" customWidth="1"/>
    <col min="3855" max="3855" width="7.140625" style="16" bestFit="1" customWidth="1"/>
    <col min="3856" max="3860" width="9.140625" style="16"/>
    <col min="3861" max="3861" width="12.42578125" style="16" customWidth="1"/>
    <col min="3862" max="3862" width="9.140625" style="16"/>
    <col min="3863" max="3863" width="12" style="16" customWidth="1"/>
    <col min="3864" max="4096" width="9.140625" style="16"/>
    <col min="4097" max="4097" width="5" style="16" customWidth="1"/>
    <col min="4098" max="4098" width="16.5703125" style="16" customWidth="1"/>
    <col min="4099" max="4099" width="10.7109375" style="16" bestFit="1" customWidth="1"/>
    <col min="4100" max="4100" width="7.42578125" style="16" customWidth="1"/>
    <col min="4101" max="4101" width="8.5703125" style="16" bestFit="1" customWidth="1"/>
    <col min="4102" max="4102" width="9.28515625" style="16" bestFit="1" customWidth="1"/>
    <col min="4103" max="4103" width="8.42578125" style="16" bestFit="1" customWidth="1"/>
    <col min="4104" max="4104" width="9.7109375" style="16" bestFit="1" customWidth="1"/>
    <col min="4105" max="4105" width="10" style="16" customWidth="1"/>
    <col min="4106" max="4106" width="9.28515625" style="16" customWidth="1"/>
    <col min="4107" max="4107" width="8.85546875" style="16" customWidth="1"/>
    <col min="4108" max="4108" width="9.28515625" style="16" customWidth="1"/>
    <col min="4109" max="4109" width="8.5703125" style="16" customWidth="1"/>
    <col min="4110" max="4110" width="8.42578125" style="16" customWidth="1"/>
    <col min="4111" max="4111" width="7.140625" style="16" bestFit="1" customWidth="1"/>
    <col min="4112" max="4116" width="9.140625" style="16"/>
    <col min="4117" max="4117" width="12.42578125" style="16" customWidth="1"/>
    <col min="4118" max="4118" width="9.140625" style="16"/>
    <col min="4119" max="4119" width="12" style="16" customWidth="1"/>
    <col min="4120" max="4352" width="9.140625" style="16"/>
    <col min="4353" max="4353" width="5" style="16" customWidth="1"/>
    <col min="4354" max="4354" width="16.5703125" style="16" customWidth="1"/>
    <col min="4355" max="4355" width="10.7109375" style="16" bestFit="1" customWidth="1"/>
    <col min="4356" max="4356" width="7.42578125" style="16" customWidth="1"/>
    <col min="4357" max="4357" width="8.5703125" style="16" bestFit="1" customWidth="1"/>
    <col min="4358" max="4358" width="9.28515625" style="16" bestFit="1" customWidth="1"/>
    <col min="4359" max="4359" width="8.42578125" style="16" bestFit="1" customWidth="1"/>
    <col min="4360" max="4360" width="9.7109375" style="16" bestFit="1" customWidth="1"/>
    <col min="4361" max="4361" width="10" style="16" customWidth="1"/>
    <col min="4362" max="4362" width="9.28515625" style="16" customWidth="1"/>
    <col min="4363" max="4363" width="8.85546875" style="16" customWidth="1"/>
    <col min="4364" max="4364" width="9.28515625" style="16" customWidth="1"/>
    <col min="4365" max="4365" width="8.5703125" style="16" customWidth="1"/>
    <col min="4366" max="4366" width="8.42578125" style="16" customWidth="1"/>
    <col min="4367" max="4367" width="7.140625" style="16" bestFit="1" customWidth="1"/>
    <col min="4368" max="4372" width="9.140625" style="16"/>
    <col min="4373" max="4373" width="12.42578125" style="16" customWidth="1"/>
    <col min="4374" max="4374" width="9.140625" style="16"/>
    <col min="4375" max="4375" width="12" style="16" customWidth="1"/>
    <col min="4376" max="4608" width="9.140625" style="16"/>
    <col min="4609" max="4609" width="5" style="16" customWidth="1"/>
    <col min="4610" max="4610" width="16.5703125" style="16" customWidth="1"/>
    <col min="4611" max="4611" width="10.7109375" style="16" bestFit="1" customWidth="1"/>
    <col min="4612" max="4612" width="7.42578125" style="16" customWidth="1"/>
    <col min="4613" max="4613" width="8.5703125" style="16" bestFit="1" customWidth="1"/>
    <col min="4614" max="4614" width="9.28515625" style="16" bestFit="1" customWidth="1"/>
    <col min="4615" max="4615" width="8.42578125" style="16" bestFit="1" customWidth="1"/>
    <col min="4616" max="4616" width="9.7109375" style="16" bestFit="1" customWidth="1"/>
    <col min="4617" max="4617" width="10" style="16" customWidth="1"/>
    <col min="4618" max="4618" width="9.28515625" style="16" customWidth="1"/>
    <col min="4619" max="4619" width="8.85546875" style="16" customWidth="1"/>
    <col min="4620" max="4620" width="9.28515625" style="16" customWidth="1"/>
    <col min="4621" max="4621" width="8.5703125" style="16" customWidth="1"/>
    <col min="4622" max="4622" width="8.42578125" style="16" customWidth="1"/>
    <col min="4623" max="4623" width="7.140625" style="16" bestFit="1" customWidth="1"/>
    <col min="4624" max="4628" width="9.140625" style="16"/>
    <col min="4629" max="4629" width="12.42578125" style="16" customWidth="1"/>
    <col min="4630" max="4630" width="9.140625" style="16"/>
    <col min="4631" max="4631" width="12" style="16" customWidth="1"/>
    <col min="4632" max="4864" width="9.140625" style="16"/>
    <col min="4865" max="4865" width="5" style="16" customWidth="1"/>
    <col min="4866" max="4866" width="16.5703125" style="16" customWidth="1"/>
    <col min="4867" max="4867" width="10.7109375" style="16" bestFit="1" customWidth="1"/>
    <col min="4868" max="4868" width="7.42578125" style="16" customWidth="1"/>
    <col min="4869" max="4869" width="8.5703125" style="16" bestFit="1" customWidth="1"/>
    <col min="4870" max="4870" width="9.28515625" style="16" bestFit="1" customWidth="1"/>
    <col min="4871" max="4871" width="8.42578125" style="16" bestFit="1" customWidth="1"/>
    <col min="4872" max="4872" width="9.7109375" style="16" bestFit="1" customWidth="1"/>
    <col min="4873" max="4873" width="10" style="16" customWidth="1"/>
    <col min="4874" max="4874" width="9.28515625" style="16" customWidth="1"/>
    <col min="4875" max="4875" width="8.85546875" style="16" customWidth="1"/>
    <col min="4876" max="4876" width="9.28515625" style="16" customWidth="1"/>
    <col min="4877" max="4877" width="8.5703125" style="16" customWidth="1"/>
    <col min="4878" max="4878" width="8.42578125" style="16" customWidth="1"/>
    <col min="4879" max="4879" width="7.140625" style="16" bestFit="1" customWidth="1"/>
    <col min="4880" max="4884" width="9.140625" style="16"/>
    <col min="4885" max="4885" width="12.42578125" style="16" customWidth="1"/>
    <col min="4886" max="4886" width="9.140625" style="16"/>
    <col min="4887" max="4887" width="12" style="16" customWidth="1"/>
    <col min="4888" max="5120" width="9.140625" style="16"/>
    <col min="5121" max="5121" width="5" style="16" customWidth="1"/>
    <col min="5122" max="5122" width="16.5703125" style="16" customWidth="1"/>
    <col min="5123" max="5123" width="10.7109375" style="16" bestFit="1" customWidth="1"/>
    <col min="5124" max="5124" width="7.42578125" style="16" customWidth="1"/>
    <col min="5125" max="5125" width="8.5703125" style="16" bestFit="1" customWidth="1"/>
    <col min="5126" max="5126" width="9.28515625" style="16" bestFit="1" customWidth="1"/>
    <col min="5127" max="5127" width="8.42578125" style="16" bestFit="1" customWidth="1"/>
    <col min="5128" max="5128" width="9.7109375" style="16" bestFit="1" customWidth="1"/>
    <col min="5129" max="5129" width="10" style="16" customWidth="1"/>
    <col min="5130" max="5130" width="9.28515625" style="16" customWidth="1"/>
    <col min="5131" max="5131" width="8.85546875" style="16" customWidth="1"/>
    <col min="5132" max="5132" width="9.28515625" style="16" customWidth="1"/>
    <col min="5133" max="5133" width="8.5703125" style="16" customWidth="1"/>
    <col min="5134" max="5134" width="8.42578125" style="16" customWidth="1"/>
    <col min="5135" max="5135" width="7.140625" style="16" bestFit="1" customWidth="1"/>
    <col min="5136" max="5140" width="9.140625" style="16"/>
    <col min="5141" max="5141" width="12.42578125" style="16" customWidth="1"/>
    <col min="5142" max="5142" width="9.140625" style="16"/>
    <col min="5143" max="5143" width="12" style="16" customWidth="1"/>
    <col min="5144" max="5376" width="9.140625" style="16"/>
    <col min="5377" max="5377" width="5" style="16" customWidth="1"/>
    <col min="5378" max="5378" width="16.5703125" style="16" customWidth="1"/>
    <col min="5379" max="5379" width="10.7109375" style="16" bestFit="1" customWidth="1"/>
    <col min="5380" max="5380" width="7.42578125" style="16" customWidth="1"/>
    <col min="5381" max="5381" width="8.5703125" style="16" bestFit="1" customWidth="1"/>
    <col min="5382" max="5382" width="9.28515625" style="16" bestFit="1" customWidth="1"/>
    <col min="5383" max="5383" width="8.42578125" style="16" bestFit="1" customWidth="1"/>
    <col min="5384" max="5384" width="9.7109375" style="16" bestFit="1" customWidth="1"/>
    <col min="5385" max="5385" width="10" style="16" customWidth="1"/>
    <col min="5386" max="5386" width="9.28515625" style="16" customWidth="1"/>
    <col min="5387" max="5387" width="8.85546875" style="16" customWidth="1"/>
    <col min="5388" max="5388" width="9.28515625" style="16" customWidth="1"/>
    <col min="5389" max="5389" width="8.5703125" style="16" customWidth="1"/>
    <col min="5390" max="5390" width="8.42578125" style="16" customWidth="1"/>
    <col min="5391" max="5391" width="7.140625" style="16" bestFit="1" customWidth="1"/>
    <col min="5392" max="5396" width="9.140625" style="16"/>
    <col min="5397" max="5397" width="12.42578125" style="16" customWidth="1"/>
    <col min="5398" max="5398" width="9.140625" style="16"/>
    <col min="5399" max="5399" width="12" style="16" customWidth="1"/>
    <col min="5400" max="5632" width="9.140625" style="16"/>
    <col min="5633" max="5633" width="5" style="16" customWidth="1"/>
    <col min="5634" max="5634" width="16.5703125" style="16" customWidth="1"/>
    <col min="5635" max="5635" width="10.7109375" style="16" bestFit="1" customWidth="1"/>
    <col min="5636" max="5636" width="7.42578125" style="16" customWidth="1"/>
    <col min="5637" max="5637" width="8.5703125" style="16" bestFit="1" customWidth="1"/>
    <col min="5638" max="5638" width="9.28515625" style="16" bestFit="1" customWidth="1"/>
    <col min="5639" max="5639" width="8.42578125" style="16" bestFit="1" customWidth="1"/>
    <col min="5640" max="5640" width="9.7109375" style="16" bestFit="1" customWidth="1"/>
    <col min="5641" max="5641" width="10" style="16" customWidth="1"/>
    <col min="5642" max="5642" width="9.28515625" style="16" customWidth="1"/>
    <col min="5643" max="5643" width="8.85546875" style="16" customWidth="1"/>
    <col min="5644" max="5644" width="9.28515625" style="16" customWidth="1"/>
    <col min="5645" max="5645" width="8.5703125" style="16" customWidth="1"/>
    <col min="5646" max="5646" width="8.42578125" style="16" customWidth="1"/>
    <col min="5647" max="5647" width="7.140625" style="16" bestFit="1" customWidth="1"/>
    <col min="5648" max="5652" width="9.140625" style="16"/>
    <col min="5653" max="5653" width="12.42578125" style="16" customWidth="1"/>
    <col min="5654" max="5654" width="9.140625" style="16"/>
    <col min="5655" max="5655" width="12" style="16" customWidth="1"/>
    <col min="5656" max="5888" width="9.140625" style="16"/>
    <col min="5889" max="5889" width="5" style="16" customWidth="1"/>
    <col min="5890" max="5890" width="16.5703125" style="16" customWidth="1"/>
    <col min="5891" max="5891" width="10.7109375" style="16" bestFit="1" customWidth="1"/>
    <col min="5892" max="5892" width="7.42578125" style="16" customWidth="1"/>
    <col min="5893" max="5893" width="8.5703125" style="16" bestFit="1" customWidth="1"/>
    <col min="5894" max="5894" width="9.28515625" style="16" bestFit="1" customWidth="1"/>
    <col min="5895" max="5895" width="8.42578125" style="16" bestFit="1" customWidth="1"/>
    <col min="5896" max="5896" width="9.7109375" style="16" bestFit="1" customWidth="1"/>
    <col min="5897" max="5897" width="10" style="16" customWidth="1"/>
    <col min="5898" max="5898" width="9.28515625" style="16" customWidth="1"/>
    <col min="5899" max="5899" width="8.85546875" style="16" customWidth="1"/>
    <col min="5900" max="5900" width="9.28515625" style="16" customWidth="1"/>
    <col min="5901" max="5901" width="8.5703125" style="16" customWidth="1"/>
    <col min="5902" max="5902" width="8.42578125" style="16" customWidth="1"/>
    <col min="5903" max="5903" width="7.140625" style="16" bestFit="1" customWidth="1"/>
    <col min="5904" max="5908" width="9.140625" style="16"/>
    <col min="5909" max="5909" width="12.42578125" style="16" customWidth="1"/>
    <col min="5910" max="5910" width="9.140625" style="16"/>
    <col min="5911" max="5911" width="12" style="16" customWidth="1"/>
    <col min="5912" max="6144" width="9.140625" style="16"/>
    <col min="6145" max="6145" width="5" style="16" customWidth="1"/>
    <col min="6146" max="6146" width="16.5703125" style="16" customWidth="1"/>
    <col min="6147" max="6147" width="10.7109375" style="16" bestFit="1" customWidth="1"/>
    <col min="6148" max="6148" width="7.42578125" style="16" customWidth="1"/>
    <col min="6149" max="6149" width="8.5703125" style="16" bestFit="1" customWidth="1"/>
    <col min="6150" max="6150" width="9.28515625" style="16" bestFit="1" customWidth="1"/>
    <col min="6151" max="6151" width="8.42578125" style="16" bestFit="1" customWidth="1"/>
    <col min="6152" max="6152" width="9.7109375" style="16" bestFit="1" customWidth="1"/>
    <col min="6153" max="6153" width="10" style="16" customWidth="1"/>
    <col min="6154" max="6154" width="9.28515625" style="16" customWidth="1"/>
    <col min="6155" max="6155" width="8.85546875" style="16" customWidth="1"/>
    <col min="6156" max="6156" width="9.28515625" style="16" customWidth="1"/>
    <col min="6157" max="6157" width="8.5703125" style="16" customWidth="1"/>
    <col min="6158" max="6158" width="8.42578125" style="16" customWidth="1"/>
    <col min="6159" max="6159" width="7.140625" style="16" bestFit="1" customWidth="1"/>
    <col min="6160" max="6164" width="9.140625" style="16"/>
    <col min="6165" max="6165" width="12.42578125" style="16" customWidth="1"/>
    <col min="6166" max="6166" width="9.140625" style="16"/>
    <col min="6167" max="6167" width="12" style="16" customWidth="1"/>
    <col min="6168" max="6400" width="9.140625" style="16"/>
    <col min="6401" max="6401" width="5" style="16" customWidth="1"/>
    <col min="6402" max="6402" width="16.5703125" style="16" customWidth="1"/>
    <col min="6403" max="6403" width="10.7109375" style="16" bestFit="1" customWidth="1"/>
    <col min="6404" max="6404" width="7.42578125" style="16" customWidth="1"/>
    <col min="6405" max="6405" width="8.5703125" style="16" bestFit="1" customWidth="1"/>
    <col min="6406" max="6406" width="9.28515625" style="16" bestFit="1" customWidth="1"/>
    <col min="6407" max="6407" width="8.42578125" style="16" bestFit="1" customWidth="1"/>
    <col min="6408" max="6408" width="9.7109375" style="16" bestFit="1" customWidth="1"/>
    <col min="6409" max="6409" width="10" style="16" customWidth="1"/>
    <col min="6410" max="6410" width="9.28515625" style="16" customWidth="1"/>
    <col min="6411" max="6411" width="8.85546875" style="16" customWidth="1"/>
    <col min="6412" max="6412" width="9.28515625" style="16" customWidth="1"/>
    <col min="6413" max="6413" width="8.5703125" style="16" customWidth="1"/>
    <col min="6414" max="6414" width="8.42578125" style="16" customWidth="1"/>
    <col min="6415" max="6415" width="7.140625" style="16" bestFit="1" customWidth="1"/>
    <col min="6416" max="6420" width="9.140625" style="16"/>
    <col min="6421" max="6421" width="12.42578125" style="16" customWidth="1"/>
    <col min="6422" max="6422" width="9.140625" style="16"/>
    <col min="6423" max="6423" width="12" style="16" customWidth="1"/>
    <col min="6424" max="6656" width="9.140625" style="16"/>
    <col min="6657" max="6657" width="5" style="16" customWidth="1"/>
    <col min="6658" max="6658" width="16.5703125" style="16" customWidth="1"/>
    <col min="6659" max="6659" width="10.7109375" style="16" bestFit="1" customWidth="1"/>
    <col min="6660" max="6660" width="7.42578125" style="16" customWidth="1"/>
    <col min="6661" max="6661" width="8.5703125" style="16" bestFit="1" customWidth="1"/>
    <col min="6662" max="6662" width="9.28515625" style="16" bestFit="1" customWidth="1"/>
    <col min="6663" max="6663" width="8.42578125" style="16" bestFit="1" customWidth="1"/>
    <col min="6664" max="6664" width="9.7109375" style="16" bestFit="1" customWidth="1"/>
    <col min="6665" max="6665" width="10" style="16" customWidth="1"/>
    <col min="6666" max="6666" width="9.28515625" style="16" customWidth="1"/>
    <col min="6667" max="6667" width="8.85546875" style="16" customWidth="1"/>
    <col min="6668" max="6668" width="9.28515625" style="16" customWidth="1"/>
    <col min="6669" max="6669" width="8.5703125" style="16" customWidth="1"/>
    <col min="6670" max="6670" width="8.42578125" style="16" customWidth="1"/>
    <col min="6671" max="6671" width="7.140625" style="16" bestFit="1" customWidth="1"/>
    <col min="6672" max="6676" width="9.140625" style="16"/>
    <col min="6677" max="6677" width="12.42578125" style="16" customWidth="1"/>
    <col min="6678" max="6678" width="9.140625" style="16"/>
    <col min="6679" max="6679" width="12" style="16" customWidth="1"/>
    <col min="6680" max="6912" width="9.140625" style="16"/>
    <col min="6913" max="6913" width="5" style="16" customWidth="1"/>
    <col min="6914" max="6914" width="16.5703125" style="16" customWidth="1"/>
    <col min="6915" max="6915" width="10.7109375" style="16" bestFit="1" customWidth="1"/>
    <col min="6916" max="6916" width="7.42578125" style="16" customWidth="1"/>
    <col min="6917" max="6917" width="8.5703125" style="16" bestFit="1" customWidth="1"/>
    <col min="6918" max="6918" width="9.28515625" style="16" bestFit="1" customWidth="1"/>
    <col min="6919" max="6919" width="8.42578125" style="16" bestFit="1" customWidth="1"/>
    <col min="6920" max="6920" width="9.7109375" style="16" bestFit="1" customWidth="1"/>
    <col min="6921" max="6921" width="10" style="16" customWidth="1"/>
    <col min="6922" max="6922" width="9.28515625" style="16" customWidth="1"/>
    <col min="6923" max="6923" width="8.85546875" style="16" customWidth="1"/>
    <col min="6924" max="6924" width="9.28515625" style="16" customWidth="1"/>
    <col min="6925" max="6925" width="8.5703125" style="16" customWidth="1"/>
    <col min="6926" max="6926" width="8.42578125" style="16" customWidth="1"/>
    <col min="6927" max="6927" width="7.140625" style="16" bestFit="1" customWidth="1"/>
    <col min="6928" max="6932" width="9.140625" style="16"/>
    <col min="6933" max="6933" width="12.42578125" style="16" customWidth="1"/>
    <col min="6934" max="6934" width="9.140625" style="16"/>
    <col min="6935" max="6935" width="12" style="16" customWidth="1"/>
    <col min="6936" max="7168" width="9.140625" style="16"/>
    <col min="7169" max="7169" width="5" style="16" customWidth="1"/>
    <col min="7170" max="7170" width="16.5703125" style="16" customWidth="1"/>
    <col min="7171" max="7171" width="10.7109375" style="16" bestFit="1" customWidth="1"/>
    <col min="7172" max="7172" width="7.42578125" style="16" customWidth="1"/>
    <col min="7173" max="7173" width="8.5703125" style="16" bestFit="1" customWidth="1"/>
    <col min="7174" max="7174" width="9.28515625" style="16" bestFit="1" customWidth="1"/>
    <col min="7175" max="7175" width="8.42578125" style="16" bestFit="1" customWidth="1"/>
    <col min="7176" max="7176" width="9.7109375" style="16" bestFit="1" customWidth="1"/>
    <col min="7177" max="7177" width="10" style="16" customWidth="1"/>
    <col min="7178" max="7178" width="9.28515625" style="16" customWidth="1"/>
    <col min="7179" max="7179" width="8.85546875" style="16" customWidth="1"/>
    <col min="7180" max="7180" width="9.28515625" style="16" customWidth="1"/>
    <col min="7181" max="7181" width="8.5703125" style="16" customWidth="1"/>
    <col min="7182" max="7182" width="8.42578125" style="16" customWidth="1"/>
    <col min="7183" max="7183" width="7.140625" style="16" bestFit="1" customWidth="1"/>
    <col min="7184" max="7188" width="9.140625" style="16"/>
    <col min="7189" max="7189" width="12.42578125" style="16" customWidth="1"/>
    <col min="7190" max="7190" width="9.140625" style="16"/>
    <col min="7191" max="7191" width="12" style="16" customWidth="1"/>
    <col min="7192" max="7424" width="9.140625" style="16"/>
    <col min="7425" max="7425" width="5" style="16" customWidth="1"/>
    <col min="7426" max="7426" width="16.5703125" style="16" customWidth="1"/>
    <col min="7427" max="7427" width="10.7109375" style="16" bestFit="1" customWidth="1"/>
    <col min="7428" max="7428" width="7.42578125" style="16" customWidth="1"/>
    <col min="7429" max="7429" width="8.5703125" style="16" bestFit="1" customWidth="1"/>
    <col min="7430" max="7430" width="9.28515625" style="16" bestFit="1" customWidth="1"/>
    <col min="7431" max="7431" width="8.42578125" style="16" bestFit="1" customWidth="1"/>
    <col min="7432" max="7432" width="9.7109375" style="16" bestFit="1" customWidth="1"/>
    <col min="7433" max="7433" width="10" style="16" customWidth="1"/>
    <col min="7434" max="7434" width="9.28515625" style="16" customWidth="1"/>
    <col min="7435" max="7435" width="8.85546875" style="16" customWidth="1"/>
    <col min="7436" max="7436" width="9.28515625" style="16" customWidth="1"/>
    <col min="7437" max="7437" width="8.5703125" style="16" customWidth="1"/>
    <col min="7438" max="7438" width="8.42578125" style="16" customWidth="1"/>
    <col min="7439" max="7439" width="7.140625" style="16" bestFit="1" customWidth="1"/>
    <col min="7440" max="7444" width="9.140625" style="16"/>
    <col min="7445" max="7445" width="12.42578125" style="16" customWidth="1"/>
    <col min="7446" max="7446" width="9.140625" style="16"/>
    <col min="7447" max="7447" width="12" style="16" customWidth="1"/>
    <col min="7448" max="7680" width="9.140625" style="16"/>
    <col min="7681" max="7681" width="5" style="16" customWidth="1"/>
    <col min="7682" max="7682" width="16.5703125" style="16" customWidth="1"/>
    <col min="7683" max="7683" width="10.7109375" style="16" bestFit="1" customWidth="1"/>
    <col min="7684" max="7684" width="7.42578125" style="16" customWidth="1"/>
    <col min="7685" max="7685" width="8.5703125" style="16" bestFit="1" customWidth="1"/>
    <col min="7686" max="7686" width="9.28515625" style="16" bestFit="1" customWidth="1"/>
    <col min="7687" max="7687" width="8.42578125" style="16" bestFit="1" customWidth="1"/>
    <col min="7688" max="7688" width="9.7109375" style="16" bestFit="1" customWidth="1"/>
    <col min="7689" max="7689" width="10" style="16" customWidth="1"/>
    <col min="7690" max="7690" width="9.28515625" style="16" customWidth="1"/>
    <col min="7691" max="7691" width="8.85546875" style="16" customWidth="1"/>
    <col min="7692" max="7692" width="9.28515625" style="16" customWidth="1"/>
    <col min="7693" max="7693" width="8.5703125" style="16" customWidth="1"/>
    <col min="7694" max="7694" width="8.42578125" style="16" customWidth="1"/>
    <col min="7695" max="7695" width="7.140625" style="16" bestFit="1" customWidth="1"/>
    <col min="7696" max="7700" width="9.140625" style="16"/>
    <col min="7701" max="7701" width="12.42578125" style="16" customWidth="1"/>
    <col min="7702" max="7702" width="9.140625" style="16"/>
    <col min="7703" max="7703" width="12" style="16" customWidth="1"/>
    <col min="7704" max="7936" width="9.140625" style="16"/>
    <col min="7937" max="7937" width="5" style="16" customWidth="1"/>
    <col min="7938" max="7938" width="16.5703125" style="16" customWidth="1"/>
    <col min="7939" max="7939" width="10.7109375" style="16" bestFit="1" customWidth="1"/>
    <col min="7940" max="7940" width="7.42578125" style="16" customWidth="1"/>
    <col min="7941" max="7941" width="8.5703125" style="16" bestFit="1" customWidth="1"/>
    <col min="7942" max="7942" width="9.28515625" style="16" bestFit="1" customWidth="1"/>
    <col min="7943" max="7943" width="8.42578125" style="16" bestFit="1" customWidth="1"/>
    <col min="7944" max="7944" width="9.7109375" style="16" bestFit="1" customWidth="1"/>
    <col min="7945" max="7945" width="10" style="16" customWidth="1"/>
    <col min="7946" max="7946" width="9.28515625" style="16" customWidth="1"/>
    <col min="7947" max="7947" width="8.85546875" style="16" customWidth="1"/>
    <col min="7948" max="7948" width="9.28515625" style="16" customWidth="1"/>
    <col min="7949" max="7949" width="8.5703125" style="16" customWidth="1"/>
    <col min="7950" max="7950" width="8.42578125" style="16" customWidth="1"/>
    <col min="7951" max="7951" width="7.140625" style="16" bestFit="1" customWidth="1"/>
    <col min="7952" max="7956" width="9.140625" style="16"/>
    <col min="7957" max="7957" width="12.42578125" style="16" customWidth="1"/>
    <col min="7958" max="7958" width="9.140625" style="16"/>
    <col min="7959" max="7959" width="12" style="16" customWidth="1"/>
    <col min="7960" max="8192" width="9.140625" style="16"/>
    <col min="8193" max="8193" width="5" style="16" customWidth="1"/>
    <col min="8194" max="8194" width="16.5703125" style="16" customWidth="1"/>
    <col min="8195" max="8195" width="10.7109375" style="16" bestFit="1" customWidth="1"/>
    <col min="8196" max="8196" width="7.42578125" style="16" customWidth="1"/>
    <col min="8197" max="8197" width="8.5703125" style="16" bestFit="1" customWidth="1"/>
    <col min="8198" max="8198" width="9.28515625" style="16" bestFit="1" customWidth="1"/>
    <col min="8199" max="8199" width="8.42578125" style="16" bestFit="1" customWidth="1"/>
    <col min="8200" max="8200" width="9.7109375" style="16" bestFit="1" customWidth="1"/>
    <col min="8201" max="8201" width="10" style="16" customWidth="1"/>
    <col min="8202" max="8202" width="9.28515625" style="16" customWidth="1"/>
    <col min="8203" max="8203" width="8.85546875" style="16" customWidth="1"/>
    <col min="8204" max="8204" width="9.28515625" style="16" customWidth="1"/>
    <col min="8205" max="8205" width="8.5703125" style="16" customWidth="1"/>
    <col min="8206" max="8206" width="8.42578125" style="16" customWidth="1"/>
    <col min="8207" max="8207" width="7.140625" style="16" bestFit="1" customWidth="1"/>
    <col min="8208" max="8212" width="9.140625" style="16"/>
    <col min="8213" max="8213" width="12.42578125" style="16" customWidth="1"/>
    <col min="8214" max="8214" width="9.140625" style="16"/>
    <col min="8215" max="8215" width="12" style="16" customWidth="1"/>
    <col min="8216" max="8448" width="9.140625" style="16"/>
    <col min="8449" max="8449" width="5" style="16" customWidth="1"/>
    <col min="8450" max="8450" width="16.5703125" style="16" customWidth="1"/>
    <col min="8451" max="8451" width="10.7109375" style="16" bestFit="1" customWidth="1"/>
    <col min="8452" max="8452" width="7.42578125" style="16" customWidth="1"/>
    <col min="8453" max="8453" width="8.5703125" style="16" bestFit="1" customWidth="1"/>
    <col min="8454" max="8454" width="9.28515625" style="16" bestFit="1" customWidth="1"/>
    <col min="8455" max="8455" width="8.42578125" style="16" bestFit="1" customWidth="1"/>
    <col min="8456" max="8456" width="9.7109375" style="16" bestFit="1" customWidth="1"/>
    <col min="8457" max="8457" width="10" style="16" customWidth="1"/>
    <col min="8458" max="8458" width="9.28515625" style="16" customWidth="1"/>
    <col min="8459" max="8459" width="8.85546875" style="16" customWidth="1"/>
    <col min="8460" max="8460" width="9.28515625" style="16" customWidth="1"/>
    <col min="8461" max="8461" width="8.5703125" style="16" customWidth="1"/>
    <col min="8462" max="8462" width="8.42578125" style="16" customWidth="1"/>
    <col min="8463" max="8463" width="7.140625" style="16" bestFit="1" customWidth="1"/>
    <col min="8464" max="8468" width="9.140625" style="16"/>
    <col min="8469" max="8469" width="12.42578125" style="16" customWidth="1"/>
    <col min="8470" max="8470" width="9.140625" style="16"/>
    <col min="8471" max="8471" width="12" style="16" customWidth="1"/>
    <col min="8472" max="8704" width="9.140625" style="16"/>
    <col min="8705" max="8705" width="5" style="16" customWidth="1"/>
    <col min="8706" max="8706" width="16.5703125" style="16" customWidth="1"/>
    <col min="8707" max="8707" width="10.7109375" style="16" bestFit="1" customWidth="1"/>
    <col min="8708" max="8708" width="7.42578125" style="16" customWidth="1"/>
    <col min="8709" max="8709" width="8.5703125" style="16" bestFit="1" customWidth="1"/>
    <col min="8710" max="8710" width="9.28515625" style="16" bestFit="1" customWidth="1"/>
    <col min="8711" max="8711" width="8.42578125" style="16" bestFit="1" customWidth="1"/>
    <col min="8712" max="8712" width="9.7109375" style="16" bestFit="1" customWidth="1"/>
    <col min="8713" max="8713" width="10" style="16" customWidth="1"/>
    <col min="8714" max="8714" width="9.28515625" style="16" customWidth="1"/>
    <col min="8715" max="8715" width="8.85546875" style="16" customWidth="1"/>
    <col min="8716" max="8716" width="9.28515625" style="16" customWidth="1"/>
    <col min="8717" max="8717" width="8.5703125" style="16" customWidth="1"/>
    <col min="8718" max="8718" width="8.42578125" style="16" customWidth="1"/>
    <col min="8719" max="8719" width="7.140625" style="16" bestFit="1" customWidth="1"/>
    <col min="8720" max="8724" width="9.140625" style="16"/>
    <col min="8725" max="8725" width="12.42578125" style="16" customWidth="1"/>
    <col min="8726" max="8726" width="9.140625" style="16"/>
    <col min="8727" max="8727" width="12" style="16" customWidth="1"/>
    <col min="8728" max="8960" width="9.140625" style="16"/>
    <col min="8961" max="8961" width="5" style="16" customWidth="1"/>
    <col min="8962" max="8962" width="16.5703125" style="16" customWidth="1"/>
    <col min="8963" max="8963" width="10.7109375" style="16" bestFit="1" customWidth="1"/>
    <col min="8964" max="8964" width="7.42578125" style="16" customWidth="1"/>
    <col min="8965" max="8965" width="8.5703125" style="16" bestFit="1" customWidth="1"/>
    <col min="8966" max="8966" width="9.28515625" style="16" bestFit="1" customWidth="1"/>
    <col min="8967" max="8967" width="8.42578125" style="16" bestFit="1" customWidth="1"/>
    <col min="8968" max="8968" width="9.7109375" style="16" bestFit="1" customWidth="1"/>
    <col min="8969" max="8969" width="10" style="16" customWidth="1"/>
    <col min="8970" max="8970" width="9.28515625" style="16" customWidth="1"/>
    <col min="8971" max="8971" width="8.85546875" style="16" customWidth="1"/>
    <col min="8972" max="8972" width="9.28515625" style="16" customWidth="1"/>
    <col min="8973" max="8973" width="8.5703125" style="16" customWidth="1"/>
    <col min="8974" max="8974" width="8.42578125" style="16" customWidth="1"/>
    <col min="8975" max="8975" width="7.140625" style="16" bestFit="1" customWidth="1"/>
    <col min="8976" max="8980" width="9.140625" style="16"/>
    <col min="8981" max="8981" width="12.42578125" style="16" customWidth="1"/>
    <col min="8982" max="8982" width="9.140625" style="16"/>
    <col min="8983" max="8983" width="12" style="16" customWidth="1"/>
    <col min="8984" max="9216" width="9.140625" style="16"/>
    <col min="9217" max="9217" width="5" style="16" customWidth="1"/>
    <col min="9218" max="9218" width="16.5703125" style="16" customWidth="1"/>
    <col min="9219" max="9219" width="10.7109375" style="16" bestFit="1" customWidth="1"/>
    <col min="9220" max="9220" width="7.42578125" style="16" customWidth="1"/>
    <col min="9221" max="9221" width="8.5703125" style="16" bestFit="1" customWidth="1"/>
    <col min="9222" max="9222" width="9.28515625" style="16" bestFit="1" customWidth="1"/>
    <col min="9223" max="9223" width="8.42578125" style="16" bestFit="1" customWidth="1"/>
    <col min="9224" max="9224" width="9.7109375" style="16" bestFit="1" customWidth="1"/>
    <col min="9225" max="9225" width="10" style="16" customWidth="1"/>
    <col min="9226" max="9226" width="9.28515625" style="16" customWidth="1"/>
    <col min="9227" max="9227" width="8.85546875" style="16" customWidth="1"/>
    <col min="9228" max="9228" width="9.28515625" style="16" customWidth="1"/>
    <col min="9229" max="9229" width="8.5703125" style="16" customWidth="1"/>
    <col min="9230" max="9230" width="8.42578125" style="16" customWidth="1"/>
    <col min="9231" max="9231" width="7.140625" style="16" bestFit="1" customWidth="1"/>
    <col min="9232" max="9236" width="9.140625" style="16"/>
    <col min="9237" max="9237" width="12.42578125" style="16" customWidth="1"/>
    <col min="9238" max="9238" width="9.140625" style="16"/>
    <col min="9239" max="9239" width="12" style="16" customWidth="1"/>
    <col min="9240" max="9472" width="9.140625" style="16"/>
    <col min="9473" max="9473" width="5" style="16" customWidth="1"/>
    <col min="9474" max="9474" width="16.5703125" style="16" customWidth="1"/>
    <col min="9475" max="9475" width="10.7109375" style="16" bestFit="1" customWidth="1"/>
    <col min="9476" max="9476" width="7.42578125" style="16" customWidth="1"/>
    <col min="9477" max="9477" width="8.5703125" style="16" bestFit="1" customWidth="1"/>
    <col min="9478" max="9478" width="9.28515625" style="16" bestFit="1" customWidth="1"/>
    <col min="9479" max="9479" width="8.42578125" style="16" bestFit="1" customWidth="1"/>
    <col min="9480" max="9480" width="9.7109375" style="16" bestFit="1" customWidth="1"/>
    <col min="9481" max="9481" width="10" style="16" customWidth="1"/>
    <col min="9482" max="9482" width="9.28515625" style="16" customWidth="1"/>
    <col min="9483" max="9483" width="8.85546875" style="16" customWidth="1"/>
    <col min="9484" max="9484" width="9.28515625" style="16" customWidth="1"/>
    <col min="9485" max="9485" width="8.5703125" style="16" customWidth="1"/>
    <col min="9486" max="9486" width="8.42578125" style="16" customWidth="1"/>
    <col min="9487" max="9487" width="7.140625" style="16" bestFit="1" customWidth="1"/>
    <col min="9488" max="9492" width="9.140625" style="16"/>
    <col min="9493" max="9493" width="12.42578125" style="16" customWidth="1"/>
    <col min="9494" max="9494" width="9.140625" style="16"/>
    <col min="9495" max="9495" width="12" style="16" customWidth="1"/>
    <col min="9496" max="9728" width="9.140625" style="16"/>
    <col min="9729" max="9729" width="5" style="16" customWidth="1"/>
    <col min="9730" max="9730" width="16.5703125" style="16" customWidth="1"/>
    <col min="9731" max="9731" width="10.7109375" style="16" bestFit="1" customWidth="1"/>
    <col min="9732" max="9732" width="7.42578125" style="16" customWidth="1"/>
    <col min="9733" max="9733" width="8.5703125" style="16" bestFit="1" customWidth="1"/>
    <col min="9734" max="9734" width="9.28515625" style="16" bestFit="1" customWidth="1"/>
    <col min="9735" max="9735" width="8.42578125" style="16" bestFit="1" customWidth="1"/>
    <col min="9736" max="9736" width="9.7109375" style="16" bestFit="1" customWidth="1"/>
    <col min="9737" max="9737" width="10" style="16" customWidth="1"/>
    <col min="9738" max="9738" width="9.28515625" style="16" customWidth="1"/>
    <col min="9739" max="9739" width="8.85546875" style="16" customWidth="1"/>
    <col min="9740" max="9740" width="9.28515625" style="16" customWidth="1"/>
    <col min="9741" max="9741" width="8.5703125" style="16" customWidth="1"/>
    <col min="9742" max="9742" width="8.42578125" style="16" customWidth="1"/>
    <col min="9743" max="9743" width="7.140625" style="16" bestFit="1" customWidth="1"/>
    <col min="9744" max="9748" width="9.140625" style="16"/>
    <col min="9749" max="9749" width="12.42578125" style="16" customWidth="1"/>
    <col min="9750" max="9750" width="9.140625" style="16"/>
    <col min="9751" max="9751" width="12" style="16" customWidth="1"/>
    <col min="9752" max="9984" width="9.140625" style="16"/>
    <col min="9985" max="9985" width="5" style="16" customWidth="1"/>
    <col min="9986" max="9986" width="16.5703125" style="16" customWidth="1"/>
    <col min="9987" max="9987" width="10.7109375" style="16" bestFit="1" customWidth="1"/>
    <col min="9988" max="9988" width="7.42578125" style="16" customWidth="1"/>
    <col min="9989" max="9989" width="8.5703125" style="16" bestFit="1" customWidth="1"/>
    <col min="9990" max="9990" width="9.28515625" style="16" bestFit="1" customWidth="1"/>
    <col min="9991" max="9991" width="8.42578125" style="16" bestFit="1" customWidth="1"/>
    <col min="9992" max="9992" width="9.7109375" style="16" bestFit="1" customWidth="1"/>
    <col min="9993" max="9993" width="10" style="16" customWidth="1"/>
    <col min="9994" max="9994" width="9.28515625" style="16" customWidth="1"/>
    <col min="9995" max="9995" width="8.85546875" style="16" customWidth="1"/>
    <col min="9996" max="9996" width="9.28515625" style="16" customWidth="1"/>
    <col min="9997" max="9997" width="8.5703125" style="16" customWidth="1"/>
    <col min="9998" max="9998" width="8.42578125" style="16" customWidth="1"/>
    <col min="9999" max="9999" width="7.140625" style="16" bestFit="1" customWidth="1"/>
    <col min="10000" max="10004" width="9.140625" style="16"/>
    <col min="10005" max="10005" width="12.42578125" style="16" customWidth="1"/>
    <col min="10006" max="10006" width="9.140625" style="16"/>
    <col min="10007" max="10007" width="12" style="16" customWidth="1"/>
    <col min="10008" max="10240" width="9.140625" style="16"/>
    <col min="10241" max="10241" width="5" style="16" customWidth="1"/>
    <col min="10242" max="10242" width="16.5703125" style="16" customWidth="1"/>
    <col min="10243" max="10243" width="10.7109375" style="16" bestFit="1" customWidth="1"/>
    <col min="10244" max="10244" width="7.42578125" style="16" customWidth="1"/>
    <col min="10245" max="10245" width="8.5703125" style="16" bestFit="1" customWidth="1"/>
    <col min="10246" max="10246" width="9.28515625" style="16" bestFit="1" customWidth="1"/>
    <col min="10247" max="10247" width="8.42578125" style="16" bestFit="1" customWidth="1"/>
    <col min="10248" max="10248" width="9.7109375" style="16" bestFit="1" customWidth="1"/>
    <col min="10249" max="10249" width="10" style="16" customWidth="1"/>
    <col min="10250" max="10250" width="9.28515625" style="16" customWidth="1"/>
    <col min="10251" max="10251" width="8.85546875" style="16" customWidth="1"/>
    <col min="10252" max="10252" width="9.28515625" style="16" customWidth="1"/>
    <col min="10253" max="10253" width="8.5703125" style="16" customWidth="1"/>
    <col min="10254" max="10254" width="8.42578125" style="16" customWidth="1"/>
    <col min="10255" max="10255" width="7.140625" style="16" bestFit="1" customWidth="1"/>
    <col min="10256" max="10260" width="9.140625" style="16"/>
    <col min="10261" max="10261" width="12.42578125" style="16" customWidth="1"/>
    <col min="10262" max="10262" width="9.140625" style="16"/>
    <col min="10263" max="10263" width="12" style="16" customWidth="1"/>
    <col min="10264" max="10496" width="9.140625" style="16"/>
    <col min="10497" max="10497" width="5" style="16" customWidth="1"/>
    <col min="10498" max="10498" width="16.5703125" style="16" customWidth="1"/>
    <col min="10499" max="10499" width="10.7109375" style="16" bestFit="1" customWidth="1"/>
    <col min="10500" max="10500" width="7.42578125" style="16" customWidth="1"/>
    <col min="10501" max="10501" width="8.5703125" style="16" bestFit="1" customWidth="1"/>
    <col min="10502" max="10502" width="9.28515625" style="16" bestFit="1" customWidth="1"/>
    <col min="10503" max="10503" width="8.42578125" style="16" bestFit="1" customWidth="1"/>
    <col min="10504" max="10504" width="9.7109375" style="16" bestFit="1" customWidth="1"/>
    <col min="10505" max="10505" width="10" style="16" customWidth="1"/>
    <col min="10506" max="10506" width="9.28515625" style="16" customWidth="1"/>
    <col min="10507" max="10507" width="8.85546875" style="16" customWidth="1"/>
    <col min="10508" max="10508" width="9.28515625" style="16" customWidth="1"/>
    <col min="10509" max="10509" width="8.5703125" style="16" customWidth="1"/>
    <col min="10510" max="10510" width="8.42578125" style="16" customWidth="1"/>
    <col min="10511" max="10511" width="7.140625" style="16" bestFit="1" customWidth="1"/>
    <col min="10512" max="10516" width="9.140625" style="16"/>
    <col min="10517" max="10517" width="12.42578125" style="16" customWidth="1"/>
    <col min="10518" max="10518" width="9.140625" style="16"/>
    <col min="10519" max="10519" width="12" style="16" customWidth="1"/>
    <col min="10520" max="10752" width="9.140625" style="16"/>
    <col min="10753" max="10753" width="5" style="16" customWidth="1"/>
    <col min="10754" max="10754" width="16.5703125" style="16" customWidth="1"/>
    <col min="10755" max="10755" width="10.7109375" style="16" bestFit="1" customWidth="1"/>
    <col min="10756" max="10756" width="7.42578125" style="16" customWidth="1"/>
    <col min="10757" max="10757" width="8.5703125" style="16" bestFit="1" customWidth="1"/>
    <col min="10758" max="10758" width="9.28515625" style="16" bestFit="1" customWidth="1"/>
    <col min="10759" max="10759" width="8.42578125" style="16" bestFit="1" customWidth="1"/>
    <col min="10760" max="10760" width="9.7109375" style="16" bestFit="1" customWidth="1"/>
    <col min="10761" max="10761" width="10" style="16" customWidth="1"/>
    <col min="10762" max="10762" width="9.28515625" style="16" customWidth="1"/>
    <col min="10763" max="10763" width="8.85546875" style="16" customWidth="1"/>
    <col min="10764" max="10764" width="9.28515625" style="16" customWidth="1"/>
    <col min="10765" max="10765" width="8.5703125" style="16" customWidth="1"/>
    <col min="10766" max="10766" width="8.42578125" style="16" customWidth="1"/>
    <col min="10767" max="10767" width="7.140625" style="16" bestFit="1" customWidth="1"/>
    <col min="10768" max="10772" width="9.140625" style="16"/>
    <col min="10773" max="10773" width="12.42578125" style="16" customWidth="1"/>
    <col min="10774" max="10774" width="9.140625" style="16"/>
    <col min="10775" max="10775" width="12" style="16" customWidth="1"/>
    <col min="10776" max="11008" width="9.140625" style="16"/>
    <col min="11009" max="11009" width="5" style="16" customWidth="1"/>
    <col min="11010" max="11010" width="16.5703125" style="16" customWidth="1"/>
    <col min="11011" max="11011" width="10.7109375" style="16" bestFit="1" customWidth="1"/>
    <col min="11012" max="11012" width="7.42578125" style="16" customWidth="1"/>
    <col min="11013" max="11013" width="8.5703125" style="16" bestFit="1" customWidth="1"/>
    <col min="11014" max="11014" width="9.28515625" style="16" bestFit="1" customWidth="1"/>
    <col min="11015" max="11015" width="8.42578125" style="16" bestFit="1" customWidth="1"/>
    <col min="11016" max="11016" width="9.7109375" style="16" bestFit="1" customWidth="1"/>
    <col min="11017" max="11017" width="10" style="16" customWidth="1"/>
    <col min="11018" max="11018" width="9.28515625" style="16" customWidth="1"/>
    <col min="11019" max="11019" width="8.85546875" style="16" customWidth="1"/>
    <col min="11020" max="11020" width="9.28515625" style="16" customWidth="1"/>
    <col min="11021" max="11021" width="8.5703125" style="16" customWidth="1"/>
    <col min="11022" max="11022" width="8.42578125" style="16" customWidth="1"/>
    <col min="11023" max="11023" width="7.140625" style="16" bestFit="1" customWidth="1"/>
    <col min="11024" max="11028" width="9.140625" style="16"/>
    <col min="11029" max="11029" width="12.42578125" style="16" customWidth="1"/>
    <col min="11030" max="11030" width="9.140625" style="16"/>
    <col min="11031" max="11031" width="12" style="16" customWidth="1"/>
    <col min="11032" max="11264" width="9.140625" style="16"/>
    <col min="11265" max="11265" width="5" style="16" customWidth="1"/>
    <col min="11266" max="11266" width="16.5703125" style="16" customWidth="1"/>
    <col min="11267" max="11267" width="10.7109375" style="16" bestFit="1" customWidth="1"/>
    <col min="11268" max="11268" width="7.42578125" style="16" customWidth="1"/>
    <col min="11269" max="11269" width="8.5703125" style="16" bestFit="1" customWidth="1"/>
    <col min="11270" max="11270" width="9.28515625" style="16" bestFit="1" customWidth="1"/>
    <col min="11271" max="11271" width="8.42578125" style="16" bestFit="1" customWidth="1"/>
    <col min="11272" max="11272" width="9.7109375" style="16" bestFit="1" customWidth="1"/>
    <col min="11273" max="11273" width="10" style="16" customWidth="1"/>
    <col min="11274" max="11274" width="9.28515625" style="16" customWidth="1"/>
    <col min="11275" max="11275" width="8.85546875" style="16" customWidth="1"/>
    <col min="11276" max="11276" width="9.28515625" style="16" customWidth="1"/>
    <col min="11277" max="11277" width="8.5703125" style="16" customWidth="1"/>
    <col min="11278" max="11278" width="8.42578125" style="16" customWidth="1"/>
    <col min="11279" max="11279" width="7.140625" style="16" bestFit="1" customWidth="1"/>
    <col min="11280" max="11284" width="9.140625" style="16"/>
    <col min="11285" max="11285" width="12.42578125" style="16" customWidth="1"/>
    <col min="11286" max="11286" width="9.140625" style="16"/>
    <col min="11287" max="11287" width="12" style="16" customWidth="1"/>
    <col min="11288" max="11520" width="9.140625" style="16"/>
    <col min="11521" max="11521" width="5" style="16" customWidth="1"/>
    <col min="11522" max="11522" width="16.5703125" style="16" customWidth="1"/>
    <col min="11523" max="11523" width="10.7109375" style="16" bestFit="1" customWidth="1"/>
    <col min="11524" max="11524" width="7.42578125" style="16" customWidth="1"/>
    <col min="11525" max="11525" width="8.5703125" style="16" bestFit="1" customWidth="1"/>
    <col min="11526" max="11526" width="9.28515625" style="16" bestFit="1" customWidth="1"/>
    <col min="11527" max="11527" width="8.42578125" style="16" bestFit="1" customWidth="1"/>
    <col min="11528" max="11528" width="9.7109375" style="16" bestFit="1" customWidth="1"/>
    <col min="11529" max="11529" width="10" style="16" customWidth="1"/>
    <col min="11530" max="11530" width="9.28515625" style="16" customWidth="1"/>
    <col min="11531" max="11531" width="8.85546875" style="16" customWidth="1"/>
    <col min="11532" max="11532" width="9.28515625" style="16" customWidth="1"/>
    <col min="11533" max="11533" width="8.5703125" style="16" customWidth="1"/>
    <col min="11534" max="11534" width="8.42578125" style="16" customWidth="1"/>
    <col min="11535" max="11535" width="7.140625" style="16" bestFit="1" customWidth="1"/>
    <col min="11536" max="11540" width="9.140625" style="16"/>
    <col min="11541" max="11541" width="12.42578125" style="16" customWidth="1"/>
    <col min="11542" max="11542" width="9.140625" style="16"/>
    <col min="11543" max="11543" width="12" style="16" customWidth="1"/>
    <col min="11544" max="11776" width="9.140625" style="16"/>
    <col min="11777" max="11777" width="5" style="16" customWidth="1"/>
    <col min="11778" max="11778" width="16.5703125" style="16" customWidth="1"/>
    <col min="11779" max="11779" width="10.7109375" style="16" bestFit="1" customWidth="1"/>
    <col min="11780" max="11780" width="7.42578125" style="16" customWidth="1"/>
    <col min="11781" max="11781" width="8.5703125" style="16" bestFit="1" customWidth="1"/>
    <col min="11782" max="11782" width="9.28515625" style="16" bestFit="1" customWidth="1"/>
    <col min="11783" max="11783" width="8.42578125" style="16" bestFit="1" customWidth="1"/>
    <col min="11784" max="11784" width="9.7109375" style="16" bestFit="1" customWidth="1"/>
    <col min="11785" max="11785" width="10" style="16" customWidth="1"/>
    <col min="11786" max="11786" width="9.28515625" style="16" customWidth="1"/>
    <col min="11787" max="11787" width="8.85546875" style="16" customWidth="1"/>
    <col min="11788" max="11788" width="9.28515625" style="16" customWidth="1"/>
    <col min="11789" max="11789" width="8.5703125" style="16" customWidth="1"/>
    <col min="11790" max="11790" width="8.42578125" style="16" customWidth="1"/>
    <col min="11791" max="11791" width="7.140625" style="16" bestFit="1" customWidth="1"/>
    <col min="11792" max="11796" width="9.140625" style="16"/>
    <col min="11797" max="11797" width="12.42578125" style="16" customWidth="1"/>
    <col min="11798" max="11798" width="9.140625" style="16"/>
    <col min="11799" max="11799" width="12" style="16" customWidth="1"/>
    <col min="11800" max="12032" width="9.140625" style="16"/>
    <col min="12033" max="12033" width="5" style="16" customWidth="1"/>
    <col min="12034" max="12034" width="16.5703125" style="16" customWidth="1"/>
    <col min="12035" max="12035" width="10.7109375" style="16" bestFit="1" customWidth="1"/>
    <col min="12036" max="12036" width="7.42578125" style="16" customWidth="1"/>
    <col min="12037" max="12037" width="8.5703125" style="16" bestFit="1" customWidth="1"/>
    <col min="12038" max="12038" width="9.28515625" style="16" bestFit="1" customWidth="1"/>
    <col min="12039" max="12039" width="8.42578125" style="16" bestFit="1" customWidth="1"/>
    <col min="12040" max="12040" width="9.7109375" style="16" bestFit="1" customWidth="1"/>
    <col min="12041" max="12041" width="10" style="16" customWidth="1"/>
    <col min="12042" max="12042" width="9.28515625" style="16" customWidth="1"/>
    <col min="12043" max="12043" width="8.85546875" style="16" customWidth="1"/>
    <col min="12044" max="12044" width="9.28515625" style="16" customWidth="1"/>
    <col min="12045" max="12045" width="8.5703125" style="16" customWidth="1"/>
    <col min="12046" max="12046" width="8.42578125" style="16" customWidth="1"/>
    <col min="12047" max="12047" width="7.140625" style="16" bestFit="1" customWidth="1"/>
    <col min="12048" max="12052" width="9.140625" style="16"/>
    <col min="12053" max="12053" width="12.42578125" style="16" customWidth="1"/>
    <col min="12054" max="12054" width="9.140625" style="16"/>
    <col min="12055" max="12055" width="12" style="16" customWidth="1"/>
    <col min="12056" max="12288" width="9.140625" style="16"/>
    <col min="12289" max="12289" width="5" style="16" customWidth="1"/>
    <col min="12290" max="12290" width="16.5703125" style="16" customWidth="1"/>
    <col min="12291" max="12291" width="10.7109375" style="16" bestFit="1" customWidth="1"/>
    <col min="12292" max="12292" width="7.42578125" style="16" customWidth="1"/>
    <col min="12293" max="12293" width="8.5703125" style="16" bestFit="1" customWidth="1"/>
    <col min="12294" max="12294" width="9.28515625" style="16" bestFit="1" customWidth="1"/>
    <col min="12295" max="12295" width="8.42578125" style="16" bestFit="1" customWidth="1"/>
    <col min="12296" max="12296" width="9.7109375" style="16" bestFit="1" customWidth="1"/>
    <col min="12297" max="12297" width="10" style="16" customWidth="1"/>
    <col min="12298" max="12298" width="9.28515625" style="16" customWidth="1"/>
    <col min="12299" max="12299" width="8.85546875" style="16" customWidth="1"/>
    <col min="12300" max="12300" width="9.28515625" style="16" customWidth="1"/>
    <col min="12301" max="12301" width="8.5703125" style="16" customWidth="1"/>
    <col min="12302" max="12302" width="8.42578125" style="16" customWidth="1"/>
    <col min="12303" max="12303" width="7.140625" style="16" bestFit="1" customWidth="1"/>
    <col min="12304" max="12308" width="9.140625" style="16"/>
    <col min="12309" max="12309" width="12.42578125" style="16" customWidth="1"/>
    <col min="12310" max="12310" width="9.140625" style="16"/>
    <col min="12311" max="12311" width="12" style="16" customWidth="1"/>
    <col min="12312" max="12544" width="9.140625" style="16"/>
    <col min="12545" max="12545" width="5" style="16" customWidth="1"/>
    <col min="12546" max="12546" width="16.5703125" style="16" customWidth="1"/>
    <col min="12547" max="12547" width="10.7109375" style="16" bestFit="1" customWidth="1"/>
    <col min="12548" max="12548" width="7.42578125" style="16" customWidth="1"/>
    <col min="12549" max="12549" width="8.5703125" style="16" bestFit="1" customWidth="1"/>
    <col min="12550" max="12550" width="9.28515625" style="16" bestFit="1" customWidth="1"/>
    <col min="12551" max="12551" width="8.42578125" style="16" bestFit="1" customWidth="1"/>
    <col min="12552" max="12552" width="9.7109375" style="16" bestFit="1" customWidth="1"/>
    <col min="12553" max="12553" width="10" style="16" customWidth="1"/>
    <col min="12554" max="12554" width="9.28515625" style="16" customWidth="1"/>
    <col min="12555" max="12555" width="8.85546875" style="16" customWidth="1"/>
    <col min="12556" max="12556" width="9.28515625" style="16" customWidth="1"/>
    <col min="12557" max="12557" width="8.5703125" style="16" customWidth="1"/>
    <col min="12558" max="12558" width="8.42578125" style="16" customWidth="1"/>
    <col min="12559" max="12559" width="7.140625" style="16" bestFit="1" customWidth="1"/>
    <col min="12560" max="12564" width="9.140625" style="16"/>
    <col min="12565" max="12565" width="12.42578125" style="16" customWidth="1"/>
    <col min="12566" max="12566" width="9.140625" style="16"/>
    <col min="12567" max="12567" width="12" style="16" customWidth="1"/>
    <col min="12568" max="12800" width="9.140625" style="16"/>
    <col min="12801" max="12801" width="5" style="16" customWidth="1"/>
    <col min="12802" max="12802" width="16.5703125" style="16" customWidth="1"/>
    <col min="12803" max="12803" width="10.7109375" style="16" bestFit="1" customWidth="1"/>
    <col min="12804" max="12804" width="7.42578125" style="16" customWidth="1"/>
    <col min="12805" max="12805" width="8.5703125" style="16" bestFit="1" customWidth="1"/>
    <col min="12806" max="12806" width="9.28515625" style="16" bestFit="1" customWidth="1"/>
    <col min="12807" max="12807" width="8.42578125" style="16" bestFit="1" customWidth="1"/>
    <col min="12808" max="12808" width="9.7109375" style="16" bestFit="1" customWidth="1"/>
    <col min="12809" max="12809" width="10" style="16" customWidth="1"/>
    <col min="12810" max="12810" width="9.28515625" style="16" customWidth="1"/>
    <col min="12811" max="12811" width="8.85546875" style="16" customWidth="1"/>
    <col min="12812" max="12812" width="9.28515625" style="16" customWidth="1"/>
    <col min="12813" max="12813" width="8.5703125" style="16" customWidth="1"/>
    <col min="12814" max="12814" width="8.42578125" style="16" customWidth="1"/>
    <col min="12815" max="12815" width="7.140625" style="16" bestFit="1" customWidth="1"/>
    <col min="12816" max="12820" width="9.140625" style="16"/>
    <col min="12821" max="12821" width="12.42578125" style="16" customWidth="1"/>
    <col min="12822" max="12822" width="9.140625" style="16"/>
    <col min="12823" max="12823" width="12" style="16" customWidth="1"/>
    <col min="12824" max="13056" width="9.140625" style="16"/>
    <col min="13057" max="13057" width="5" style="16" customWidth="1"/>
    <col min="13058" max="13058" width="16.5703125" style="16" customWidth="1"/>
    <col min="13059" max="13059" width="10.7109375" style="16" bestFit="1" customWidth="1"/>
    <col min="13060" max="13060" width="7.42578125" style="16" customWidth="1"/>
    <col min="13061" max="13061" width="8.5703125" style="16" bestFit="1" customWidth="1"/>
    <col min="13062" max="13062" width="9.28515625" style="16" bestFit="1" customWidth="1"/>
    <col min="13063" max="13063" width="8.42578125" style="16" bestFit="1" customWidth="1"/>
    <col min="13064" max="13064" width="9.7109375" style="16" bestFit="1" customWidth="1"/>
    <col min="13065" max="13065" width="10" style="16" customWidth="1"/>
    <col min="13066" max="13066" width="9.28515625" style="16" customWidth="1"/>
    <col min="13067" max="13067" width="8.85546875" style="16" customWidth="1"/>
    <col min="13068" max="13068" width="9.28515625" style="16" customWidth="1"/>
    <col min="13069" max="13069" width="8.5703125" style="16" customWidth="1"/>
    <col min="13070" max="13070" width="8.42578125" style="16" customWidth="1"/>
    <col min="13071" max="13071" width="7.140625" style="16" bestFit="1" customWidth="1"/>
    <col min="13072" max="13076" width="9.140625" style="16"/>
    <col min="13077" max="13077" width="12.42578125" style="16" customWidth="1"/>
    <col min="13078" max="13078" width="9.140625" style="16"/>
    <col min="13079" max="13079" width="12" style="16" customWidth="1"/>
    <col min="13080" max="13312" width="9.140625" style="16"/>
    <col min="13313" max="13313" width="5" style="16" customWidth="1"/>
    <col min="13314" max="13314" width="16.5703125" style="16" customWidth="1"/>
    <col min="13315" max="13315" width="10.7109375" style="16" bestFit="1" customWidth="1"/>
    <col min="13316" max="13316" width="7.42578125" style="16" customWidth="1"/>
    <col min="13317" max="13317" width="8.5703125" style="16" bestFit="1" customWidth="1"/>
    <col min="13318" max="13318" width="9.28515625" style="16" bestFit="1" customWidth="1"/>
    <col min="13319" max="13319" width="8.42578125" style="16" bestFit="1" customWidth="1"/>
    <col min="13320" max="13320" width="9.7109375" style="16" bestFit="1" customWidth="1"/>
    <col min="13321" max="13321" width="10" style="16" customWidth="1"/>
    <col min="13322" max="13322" width="9.28515625" style="16" customWidth="1"/>
    <col min="13323" max="13323" width="8.85546875" style="16" customWidth="1"/>
    <col min="13324" max="13324" width="9.28515625" style="16" customWidth="1"/>
    <col min="13325" max="13325" width="8.5703125" style="16" customWidth="1"/>
    <col min="13326" max="13326" width="8.42578125" style="16" customWidth="1"/>
    <col min="13327" max="13327" width="7.140625" style="16" bestFit="1" customWidth="1"/>
    <col min="13328" max="13332" width="9.140625" style="16"/>
    <col min="13333" max="13333" width="12.42578125" style="16" customWidth="1"/>
    <col min="13334" max="13334" width="9.140625" style="16"/>
    <col min="13335" max="13335" width="12" style="16" customWidth="1"/>
    <col min="13336" max="13568" width="9.140625" style="16"/>
    <col min="13569" max="13569" width="5" style="16" customWidth="1"/>
    <col min="13570" max="13570" width="16.5703125" style="16" customWidth="1"/>
    <col min="13571" max="13571" width="10.7109375" style="16" bestFit="1" customWidth="1"/>
    <col min="13572" max="13572" width="7.42578125" style="16" customWidth="1"/>
    <col min="13573" max="13573" width="8.5703125" style="16" bestFit="1" customWidth="1"/>
    <col min="13574" max="13574" width="9.28515625" style="16" bestFit="1" customWidth="1"/>
    <col min="13575" max="13575" width="8.42578125" style="16" bestFit="1" customWidth="1"/>
    <col min="13576" max="13576" width="9.7109375" style="16" bestFit="1" customWidth="1"/>
    <col min="13577" max="13577" width="10" style="16" customWidth="1"/>
    <col min="13578" max="13578" width="9.28515625" style="16" customWidth="1"/>
    <col min="13579" max="13579" width="8.85546875" style="16" customWidth="1"/>
    <col min="13580" max="13580" width="9.28515625" style="16" customWidth="1"/>
    <col min="13581" max="13581" width="8.5703125" style="16" customWidth="1"/>
    <col min="13582" max="13582" width="8.42578125" style="16" customWidth="1"/>
    <col min="13583" max="13583" width="7.140625" style="16" bestFit="1" customWidth="1"/>
    <col min="13584" max="13588" width="9.140625" style="16"/>
    <col min="13589" max="13589" width="12.42578125" style="16" customWidth="1"/>
    <col min="13590" max="13590" width="9.140625" style="16"/>
    <col min="13591" max="13591" width="12" style="16" customWidth="1"/>
    <col min="13592" max="13824" width="9.140625" style="16"/>
    <col min="13825" max="13825" width="5" style="16" customWidth="1"/>
    <col min="13826" max="13826" width="16.5703125" style="16" customWidth="1"/>
    <col min="13827" max="13827" width="10.7109375" style="16" bestFit="1" customWidth="1"/>
    <col min="13828" max="13828" width="7.42578125" style="16" customWidth="1"/>
    <col min="13829" max="13829" width="8.5703125" style="16" bestFit="1" customWidth="1"/>
    <col min="13830" max="13830" width="9.28515625" style="16" bestFit="1" customWidth="1"/>
    <col min="13831" max="13831" width="8.42578125" style="16" bestFit="1" customWidth="1"/>
    <col min="13832" max="13832" width="9.7109375" style="16" bestFit="1" customWidth="1"/>
    <col min="13833" max="13833" width="10" style="16" customWidth="1"/>
    <col min="13834" max="13834" width="9.28515625" style="16" customWidth="1"/>
    <col min="13835" max="13835" width="8.85546875" style="16" customWidth="1"/>
    <col min="13836" max="13836" width="9.28515625" style="16" customWidth="1"/>
    <col min="13837" max="13837" width="8.5703125" style="16" customWidth="1"/>
    <col min="13838" max="13838" width="8.42578125" style="16" customWidth="1"/>
    <col min="13839" max="13839" width="7.140625" style="16" bestFit="1" customWidth="1"/>
    <col min="13840" max="13844" width="9.140625" style="16"/>
    <col min="13845" max="13845" width="12.42578125" style="16" customWidth="1"/>
    <col min="13846" max="13846" width="9.140625" style="16"/>
    <col min="13847" max="13847" width="12" style="16" customWidth="1"/>
    <col min="13848" max="14080" width="9.140625" style="16"/>
    <col min="14081" max="14081" width="5" style="16" customWidth="1"/>
    <col min="14082" max="14082" width="16.5703125" style="16" customWidth="1"/>
    <col min="14083" max="14083" width="10.7109375" style="16" bestFit="1" customWidth="1"/>
    <col min="14084" max="14084" width="7.42578125" style="16" customWidth="1"/>
    <col min="14085" max="14085" width="8.5703125" style="16" bestFit="1" customWidth="1"/>
    <col min="14086" max="14086" width="9.28515625" style="16" bestFit="1" customWidth="1"/>
    <col min="14087" max="14087" width="8.42578125" style="16" bestFit="1" customWidth="1"/>
    <col min="14088" max="14088" width="9.7109375" style="16" bestFit="1" customWidth="1"/>
    <col min="14089" max="14089" width="10" style="16" customWidth="1"/>
    <col min="14090" max="14090" width="9.28515625" style="16" customWidth="1"/>
    <col min="14091" max="14091" width="8.85546875" style="16" customWidth="1"/>
    <col min="14092" max="14092" width="9.28515625" style="16" customWidth="1"/>
    <col min="14093" max="14093" width="8.5703125" style="16" customWidth="1"/>
    <col min="14094" max="14094" width="8.42578125" style="16" customWidth="1"/>
    <col min="14095" max="14095" width="7.140625" style="16" bestFit="1" customWidth="1"/>
    <col min="14096" max="14100" width="9.140625" style="16"/>
    <col min="14101" max="14101" width="12.42578125" style="16" customWidth="1"/>
    <col min="14102" max="14102" width="9.140625" style="16"/>
    <col min="14103" max="14103" width="12" style="16" customWidth="1"/>
    <col min="14104" max="14336" width="9.140625" style="16"/>
    <col min="14337" max="14337" width="5" style="16" customWidth="1"/>
    <col min="14338" max="14338" width="16.5703125" style="16" customWidth="1"/>
    <col min="14339" max="14339" width="10.7109375" style="16" bestFit="1" customWidth="1"/>
    <col min="14340" max="14340" width="7.42578125" style="16" customWidth="1"/>
    <col min="14341" max="14341" width="8.5703125" style="16" bestFit="1" customWidth="1"/>
    <col min="14342" max="14342" width="9.28515625" style="16" bestFit="1" customWidth="1"/>
    <col min="14343" max="14343" width="8.42578125" style="16" bestFit="1" customWidth="1"/>
    <col min="14344" max="14344" width="9.7109375" style="16" bestFit="1" customWidth="1"/>
    <col min="14345" max="14345" width="10" style="16" customWidth="1"/>
    <col min="14346" max="14346" width="9.28515625" style="16" customWidth="1"/>
    <col min="14347" max="14347" width="8.85546875" style="16" customWidth="1"/>
    <col min="14348" max="14348" width="9.28515625" style="16" customWidth="1"/>
    <col min="14349" max="14349" width="8.5703125" style="16" customWidth="1"/>
    <col min="14350" max="14350" width="8.42578125" style="16" customWidth="1"/>
    <col min="14351" max="14351" width="7.140625" style="16" bestFit="1" customWidth="1"/>
    <col min="14352" max="14356" width="9.140625" style="16"/>
    <col min="14357" max="14357" width="12.42578125" style="16" customWidth="1"/>
    <col min="14358" max="14358" width="9.140625" style="16"/>
    <col min="14359" max="14359" width="12" style="16" customWidth="1"/>
    <col min="14360" max="14592" width="9.140625" style="16"/>
    <col min="14593" max="14593" width="5" style="16" customWidth="1"/>
    <col min="14594" max="14594" width="16.5703125" style="16" customWidth="1"/>
    <col min="14595" max="14595" width="10.7109375" style="16" bestFit="1" customWidth="1"/>
    <col min="14596" max="14596" width="7.42578125" style="16" customWidth="1"/>
    <col min="14597" max="14597" width="8.5703125" style="16" bestFit="1" customWidth="1"/>
    <col min="14598" max="14598" width="9.28515625" style="16" bestFit="1" customWidth="1"/>
    <col min="14599" max="14599" width="8.42578125" style="16" bestFit="1" customWidth="1"/>
    <col min="14600" max="14600" width="9.7109375" style="16" bestFit="1" customWidth="1"/>
    <col min="14601" max="14601" width="10" style="16" customWidth="1"/>
    <col min="14602" max="14602" width="9.28515625" style="16" customWidth="1"/>
    <col min="14603" max="14603" width="8.85546875" style="16" customWidth="1"/>
    <col min="14604" max="14604" width="9.28515625" style="16" customWidth="1"/>
    <col min="14605" max="14605" width="8.5703125" style="16" customWidth="1"/>
    <col min="14606" max="14606" width="8.42578125" style="16" customWidth="1"/>
    <col min="14607" max="14607" width="7.140625" style="16" bestFit="1" customWidth="1"/>
    <col min="14608" max="14612" width="9.140625" style="16"/>
    <col min="14613" max="14613" width="12.42578125" style="16" customWidth="1"/>
    <col min="14614" max="14614" width="9.140625" style="16"/>
    <col min="14615" max="14615" width="12" style="16" customWidth="1"/>
    <col min="14616" max="14848" width="9.140625" style="16"/>
    <col min="14849" max="14849" width="5" style="16" customWidth="1"/>
    <col min="14850" max="14850" width="16.5703125" style="16" customWidth="1"/>
    <col min="14851" max="14851" width="10.7109375" style="16" bestFit="1" customWidth="1"/>
    <col min="14852" max="14852" width="7.42578125" style="16" customWidth="1"/>
    <col min="14853" max="14853" width="8.5703125" style="16" bestFit="1" customWidth="1"/>
    <col min="14854" max="14854" width="9.28515625" style="16" bestFit="1" customWidth="1"/>
    <col min="14855" max="14855" width="8.42578125" style="16" bestFit="1" customWidth="1"/>
    <col min="14856" max="14856" width="9.7109375" style="16" bestFit="1" customWidth="1"/>
    <col min="14857" max="14857" width="10" style="16" customWidth="1"/>
    <col min="14858" max="14858" width="9.28515625" style="16" customWidth="1"/>
    <col min="14859" max="14859" width="8.85546875" style="16" customWidth="1"/>
    <col min="14860" max="14860" width="9.28515625" style="16" customWidth="1"/>
    <col min="14861" max="14861" width="8.5703125" style="16" customWidth="1"/>
    <col min="14862" max="14862" width="8.42578125" style="16" customWidth="1"/>
    <col min="14863" max="14863" width="7.140625" style="16" bestFit="1" customWidth="1"/>
    <col min="14864" max="14868" width="9.140625" style="16"/>
    <col min="14869" max="14869" width="12.42578125" style="16" customWidth="1"/>
    <col min="14870" max="14870" width="9.140625" style="16"/>
    <col min="14871" max="14871" width="12" style="16" customWidth="1"/>
    <col min="14872" max="15104" width="9.140625" style="16"/>
    <col min="15105" max="15105" width="5" style="16" customWidth="1"/>
    <col min="15106" max="15106" width="16.5703125" style="16" customWidth="1"/>
    <col min="15107" max="15107" width="10.7109375" style="16" bestFit="1" customWidth="1"/>
    <col min="15108" max="15108" width="7.42578125" style="16" customWidth="1"/>
    <col min="15109" max="15109" width="8.5703125" style="16" bestFit="1" customWidth="1"/>
    <col min="15110" max="15110" width="9.28515625" style="16" bestFit="1" customWidth="1"/>
    <col min="15111" max="15111" width="8.42578125" style="16" bestFit="1" customWidth="1"/>
    <col min="15112" max="15112" width="9.7109375" style="16" bestFit="1" customWidth="1"/>
    <col min="15113" max="15113" width="10" style="16" customWidth="1"/>
    <col min="15114" max="15114" width="9.28515625" style="16" customWidth="1"/>
    <col min="15115" max="15115" width="8.85546875" style="16" customWidth="1"/>
    <col min="15116" max="15116" width="9.28515625" style="16" customWidth="1"/>
    <col min="15117" max="15117" width="8.5703125" style="16" customWidth="1"/>
    <col min="15118" max="15118" width="8.42578125" style="16" customWidth="1"/>
    <col min="15119" max="15119" width="7.140625" style="16" bestFit="1" customWidth="1"/>
    <col min="15120" max="15124" width="9.140625" style="16"/>
    <col min="15125" max="15125" width="12.42578125" style="16" customWidth="1"/>
    <col min="15126" max="15126" width="9.140625" style="16"/>
    <col min="15127" max="15127" width="12" style="16" customWidth="1"/>
    <col min="15128" max="15360" width="9.140625" style="16"/>
    <col min="15361" max="15361" width="5" style="16" customWidth="1"/>
    <col min="15362" max="15362" width="16.5703125" style="16" customWidth="1"/>
    <col min="15363" max="15363" width="10.7109375" style="16" bestFit="1" customWidth="1"/>
    <col min="15364" max="15364" width="7.42578125" style="16" customWidth="1"/>
    <col min="15365" max="15365" width="8.5703125" style="16" bestFit="1" customWidth="1"/>
    <col min="15366" max="15366" width="9.28515625" style="16" bestFit="1" customWidth="1"/>
    <col min="15367" max="15367" width="8.42578125" style="16" bestFit="1" customWidth="1"/>
    <col min="15368" max="15368" width="9.7109375" style="16" bestFit="1" customWidth="1"/>
    <col min="15369" max="15369" width="10" style="16" customWidth="1"/>
    <col min="15370" max="15370" width="9.28515625" style="16" customWidth="1"/>
    <col min="15371" max="15371" width="8.85546875" style="16" customWidth="1"/>
    <col min="15372" max="15372" width="9.28515625" style="16" customWidth="1"/>
    <col min="15373" max="15373" width="8.5703125" style="16" customWidth="1"/>
    <col min="15374" max="15374" width="8.42578125" style="16" customWidth="1"/>
    <col min="15375" max="15375" width="7.140625" style="16" bestFit="1" customWidth="1"/>
    <col min="15376" max="15380" width="9.140625" style="16"/>
    <col min="15381" max="15381" width="12.42578125" style="16" customWidth="1"/>
    <col min="15382" max="15382" width="9.140625" style="16"/>
    <col min="15383" max="15383" width="12" style="16" customWidth="1"/>
    <col min="15384" max="15616" width="9.140625" style="16"/>
    <col min="15617" max="15617" width="5" style="16" customWidth="1"/>
    <col min="15618" max="15618" width="16.5703125" style="16" customWidth="1"/>
    <col min="15619" max="15619" width="10.7109375" style="16" bestFit="1" customWidth="1"/>
    <col min="15620" max="15620" width="7.42578125" style="16" customWidth="1"/>
    <col min="15621" max="15621" width="8.5703125" style="16" bestFit="1" customWidth="1"/>
    <col min="15622" max="15622" width="9.28515625" style="16" bestFit="1" customWidth="1"/>
    <col min="15623" max="15623" width="8.42578125" style="16" bestFit="1" customWidth="1"/>
    <col min="15624" max="15624" width="9.7109375" style="16" bestFit="1" customWidth="1"/>
    <col min="15625" max="15625" width="10" style="16" customWidth="1"/>
    <col min="15626" max="15626" width="9.28515625" style="16" customWidth="1"/>
    <col min="15627" max="15627" width="8.85546875" style="16" customWidth="1"/>
    <col min="15628" max="15628" width="9.28515625" style="16" customWidth="1"/>
    <col min="15629" max="15629" width="8.5703125" style="16" customWidth="1"/>
    <col min="15630" max="15630" width="8.42578125" style="16" customWidth="1"/>
    <col min="15631" max="15631" width="7.140625" style="16" bestFit="1" customWidth="1"/>
    <col min="15632" max="15636" width="9.140625" style="16"/>
    <col min="15637" max="15637" width="12.42578125" style="16" customWidth="1"/>
    <col min="15638" max="15638" width="9.140625" style="16"/>
    <col min="15639" max="15639" width="12" style="16" customWidth="1"/>
    <col min="15640" max="15872" width="9.140625" style="16"/>
    <col min="15873" max="15873" width="5" style="16" customWidth="1"/>
    <col min="15874" max="15874" width="16.5703125" style="16" customWidth="1"/>
    <col min="15875" max="15875" width="10.7109375" style="16" bestFit="1" customWidth="1"/>
    <col min="15876" max="15876" width="7.42578125" style="16" customWidth="1"/>
    <col min="15877" max="15877" width="8.5703125" style="16" bestFit="1" customWidth="1"/>
    <col min="15878" max="15878" width="9.28515625" style="16" bestFit="1" customWidth="1"/>
    <col min="15879" max="15879" width="8.42578125" style="16" bestFit="1" customWidth="1"/>
    <col min="15880" max="15880" width="9.7109375" style="16" bestFit="1" customWidth="1"/>
    <col min="15881" max="15881" width="10" style="16" customWidth="1"/>
    <col min="15882" max="15882" width="9.28515625" style="16" customWidth="1"/>
    <col min="15883" max="15883" width="8.85546875" style="16" customWidth="1"/>
    <col min="15884" max="15884" width="9.28515625" style="16" customWidth="1"/>
    <col min="15885" max="15885" width="8.5703125" style="16" customWidth="1"/>
    <col min="15886" max="15886" width="8.42578125" style="16" customWidth="1"/>
    <col min="15887" max="15887" width="7.140625" style="16" bestFit="1" customWidth="1"/>
    <col min="15888" max="15892" width="9.140625" style="16"/>
    <col min="15893" max="15893" width="12.42578125" style="16" customWidth="1"/>
    <col min="15894" max="15894" width="9.140625" style="16"/>
    <col min="15895" max="15895" width="12" style="16" customWidth="1"/>
    <col min="15896" max="16128" width="9.140625" style="16"/>
    <col min="16129" max="16129" width="5" style="16" customWidth="1"/>
    <col min="16130" max="16130" width="16.5703125" style="16" customWidth="1"/>
    <col min="16131" max="16131" width="10.7109375" style="16" bestFit="1" customWidth="1"/>
    <col min="16132" max="16132" width="7.42578125" style="16" customWidth="1"/>
    <col min="16133" max="16133" width="8.5703125" style="16" bestFit="1" customWidth="1"/>
    <col min="16134" max="16134" width="9.28515625" style="16" bestFit="1" customWidth="1"/>
    <col min="16135" max="16135" width="8.42578125" style="16" bestFit="1" customWidth="1"/>
    <col min="16136" max="16136" width="9.7109375" style="16" bestFit="1" customWidth="1"/>
    <col min="16137" max="16137" width="10" style="16" customWidth="1"/>
    <col min="16138" max="16138" width="9.28515625" style="16" customWidth="1"/>
    <col min="16139" max="16139" width="8.85546875" style="16" customWidth="1"/>
    <col min="16140" max="16140" width="9.28515625" style="16" customWidth="1"/>
    <col min="16141" max="16141" width="8.5703125" style="16" customWidth="1"/>
    <col min="16142" max="16142" width="8.42578125" style="16" customWidth="1"/>
    <col min="16143" max="16143" width="7.140625" style="16" bestFit="1" customWidth="1"/>
    <col min="16144" max="16148" width="9.140625" style="16"/>
    <col min="16149" max="16149" width="12.42578125" style="16" customWidth="1"/>
    <col min="16150" max="16150" width="9.140625" style="16"/>
    <col min="16151" max="16151" width="12" style="16" customWidth="1"/>
    <col min="16152" max="16384" width="9.140625" style="16"/>
  </cols>
  <sheetData>
    <row r="1" spans="1:17" s="1" customFormat="1" x14ac:dyDescent="0.2">
      <c r="A1" s="867" t="s">
        <v>449</v>
      </c>
      <c r="B1" s="868"/>
      <c r="C1" s="868"/>
      <c r="D1" s="869"/>
      <c r="E1" s="868"/>
      <c r="F1" s="868"/>
      <c r="G1" s="867" t="s">
        <v>102</v>
      </c>
      <c r="H1" s="869"/>
      <c r="I1" s="869" t="s">
        <v>1235</v>
      </c>
      <c r="J1" s="868"/>
      <c r="K1" s="868"/>
      <c r="L1" s="870"/>
      <c r="M1" s="870"/>
      <c r="N1" s="870"/>
      <c r="O1" s="870"/>
    </row>
    <row r="2" spans="1:17" s="1" customFormat="1" x14ac:dyDescent="0.2">
      <c r="A2" s="867" t="s">
        <v>103</v>
      </c>
      <c r="B2" s="868"/>
      <c r="C2" s="868"/>
      <c r="D2" s="869" t="s">
        <v>1236</v>
      </c>
      <c r="E2" s="868"/>
      <c r="F2" s="868"/>
      <c r="G2" s="867" t="s">
        <v>104</v>
      </c>
      <c r="H2" s="869"/>
      <c r="I2" s="869" t="s">
        <v>105</v>
      </c>
      <c r="J2" s="868"/>
      <c r="K2" s="868"/>
      <c r="L2" s="870"/>
      <c r="M2" s="870"/>
      <c r="N2" s="870"/>
      <c r="O2" s="870"/>
    </row>
    <row r="3" spans="1:17" s="1" customFormat="1" x14ac:dyDescent="0.2">
      <c r="A3" s="867" t="s">
        <v>106</v>
      </c>
      <c r="B3" s="868"/>
      <c r="C3" s="868"/>
      <c r="D3" s="881" t="s">
        <v>1237</v>
      </c>
      <c r="E3" s="882"/>
      <c r="F3" s="882"/>
      <c r="G3" s="867" t="s">
        <v>107</v>
      </c>
      <c r="H3" s="869"/>
      <c r="I3" s="869" t="s">
        <v>108</v>
      </c>
      <c r="J3" s="868"/>
      <c r="K3" s="868"/>
      <c r="L3" s="870"/>
      <c r="M3" s="870"/>
      <c r="N3" s="870"/>
      <c r="O3" s="870"/>
    </row>
    <row r="4" spans="1:17" s="1" customFormat="1" x14ac:dyDescent="0.2">
      <c r="A4" s="867" t="s">
        <v>109</v>
      </c>
      <c r="B4" s="868"/>
      <c r="C4" s="868"/>
      <c r="D4" s="869"/>
      <c r="E4" s="868"/>
      <c r="F4" s="868"/>
      <c r="G4" s="867" t="s">
        <v>110</v>
      </c>
      <c r="H4" s="869"/>
      <c r="I4" s="869" t="s">
        <v>1238</v>
      </c>
      <c r="J4" s="868"/>
      <c r="K4" s="868"/>
      <c r="L4" s="870"/>
      <c r="M4" s="870"/>
      <c r="N4" s="870"/>
      <c r="O4" s="870"/>
    </row>
    <row r="5" spans="1:17" s="1" customFormat="1" x14ac:dyDescent="0.2">
      <c r="A5" s="867" t="s">
        <v>112</v>
      </c>
      <c r="B5" s="868"/>
      <c r="C5" s="868"/>
      <c r="D5" s="869"/>
      <c r="E5" s="868"/>
      <c r="F5" s="868"/>
      <c r="G5" s="867"/>
      <c r="H5" s="868"/>
      <c r="I5" s="869" t="s">
        <v>113</v>
      </c>
      <c r="J5" s="868"/>
      <c r="K5" s="868"/>
      <c r="L5" s="870"/>
      <c r="M5" s="870"/>
      <c r="N5" s="870"/>
      <c r="O5" s="870"/>
    </row>
    <row r="6" spans="1:17" s="1" customFormat="1" x14ac:dyDescent="0.2">
      <c r="A6" s="871" t="s">
        <v>114</v>
      </c>
      <c r="B6" s="872"/>
      <c r="C6" s="872"/>
      <c r="D6" s="868" t="s">
        <v>1196</v>
      </c>
      <c r="E6" s="868"/>
      <c r="F6" s="868"/>
      <c r="G6" s="871" t="s">
        <v>115</v>
      </c>
      <c r="H6" s="871"/>
      <c r="I6" s="2" t="s">
        <v>116</v>
      </c>
      <c r="J6" s="888"/>
      <c r="K6" s="888"/>
      <c r="L6" s="888"/>
      <c r="M6" s="888"/>
      <c r="N6" s="888"/>
      <c r="O6" s="889"/>
    </row>
    <row r="7" spans="1:17" s="1" customFormat="1" ht="13.5" thickBot="1" x14ac:dyDescent="0.25">
      <c r="A7" s="3"/>
      <c r="B7" s="4"/>
      <c r="C7" s="5"/>
      <c r="D7" s="6"/>
      <c r="E7" s="6"/>
      <c r="F7" s="6"/>
      <c r="G7" s="6"/>
      <c r="H7" s="6"/>
      <c r="I7" s="6"/>
      <c r="J7" s="7"/>
      <c r="K7" s="8"/>
      <c r="L7" s="875" t="s">
        <v>223</v>
      </c>
      <c r="M7" s="875"/>
      <c r="N7" s="875"/>
      <c r="O7" s="875"/>
    </row>
    <row r="8" spans="1:17" s="11" customFormat="1" x14ac:dyDescent="0.2">
      <c r="A8" s="876" t="str">
        <f>I1</f>
        <v>Mr. Ramji C. Waghela,</v>
      </c>
      <c r="B8" s="877"/>
      <c r="C8" s="9">
        <v>43160</v>
      </c>
      <c r="D8" s="9">
        <v>43191</v>
      </c>
      <c r="E8" s="9">
        <v>43221</v>
      </c>
      <c r="F8" s="9">
        <v>43252</v>
      </c>
      <c r="G8" s="9">
        <v>43282</v>
      </c>
      <c r="H8" s="9">
        <v>43313</v>
      </c>
      <c r="I8" s="9">
        <v>43344</v>
      </c>
      <c r="J8" s="9">
        <v>43374</v>
      </c>
      <c r="K8" s="9">
        <v>43405</v>
      </c>
      <c r="L8" s="9">
        <v>43435</v>
      </c>
      <c r="M8" s="9">
        <v>43466</v>
      </c>
      <c r="N8" s="9">
        <v>43497</v>
      </c>
      <c r="O8" s="10" t="s">
        <v>117</v>
      </c>
      <c r="Q8" s="11" t="s">
        <v>116</v>
      </c>
    </row>
    <row r="9" spans="1:17" ht="15" x14ac:dyDescent="0.2">
      <c r="A9" s="12"/>
      <c r="B9" s="13" t="s">
        <v>118</v>
      </c>
      <c r="C9" s="14">
        <v>32000</v>
      </c>
      <c r="D9" s="14">
        <v>32000</v>
      </c>
      <c r="E9" s="14">
        <v>32000</v>
      </c>
      <c r="F9" s="14">
        <v>32000</v>
      </c>
      <c r="G9" s="14">
        <v>33000</v>
      </c>
      <c r="H9" s="14">
        <v>33000</v>
      </c>
      <c r="I9" s="14">
        <v>33000</v>
      </c>
      <c r="J9" s="14">
        <v>33000</v>
      </c>
      <c r="K9" s="14">
        <v>33000</v>
      </c>
      <c r="L9" s="14">
        <v>33000</v>
      </c>
      <c r="M9" s="14">
        <v>33000</v>
      </c>
      <c r="N9" s="14">
        <v>33000</v>
      </c>
      <c r="O9" s="15">
        <f>SUM(C9:N9)</f>
        <v>392000</v>
      </c>
      <c r="Q9" s="16" t="s">
        <v>222</v>
      </c>
    </row>
    <row r="10" spans="1:17"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7" ht="15" x14ac:dyDescent="0.2">
      <c r="A11" s="12"/>
      <c r="B11" s="13" t="s">
        <v>120</v>
      </c>
      <c r="C11" s="17">
        <v>1600</v>
      </c>
      <c r="D11" s="17">
        <v>2240</v>
      </c>
      <c r="E11" s="17">
        <v>2240</v>
      </c>
      <c r="F11" s="17">
        <v>2240</v>
      </c>
      <c r="G11" s="17">
        <v>2310</v>
      </c>
      <c r="H11" s="17">
        <v>2310</v>
      </c>
      <c r="I11" s="17">
        <v>2310</v>
      </c>
      <c r="J11" s="17">
        <v>2970</v>
      </c>
      <c r="K11" s="17">
        <v>2970</v>
      </c>
      <c r="L11" s="17">
        <v>2970</v>
      </c>
      <c r="M11" s="17">
        <v>2970</v>
      </c>
      <c r="N11" s="17">
        <v>2970</v>
      </c>
      <c r="O11" s="18">
        <f>SUM(C11:N11)</f>
        <v>30100</v>
      </c>
    </row>
    <row r="12" spans="1:17"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7"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7" ht="15" x14ac:dyDescent="0.2">
      <c r="A14" s="12"/>
      <c r="B14" s="13" t="s">
        <v>123</v>
      </c>
      <c r="C14" s="17">
        <v>3780</v>
      </c>
      <c r="D14" s="17">
        <v>3852</v>
      </c>
      <c r="E14" s="17">
        <v>3852</v>
      </c>
      <c r="F14" s="17">
        <v>3852</v>
      </c>
      <c r="G14" s="17">
        <v>3852</v>
      </c>
      <c r="H14" s="17">
        <v>3852</v>
      </c>
      <c r="I14" s="17">
        <v>3852</v>
      </c>
      <c r="J14" s="17">
        <v>3924</v>
      </c>
      <c r="K14" s="17">
        <v>3924</v>
      </c>
      <c r="L14" s="17">
        <v>3924</v>
      </c>
      <c r="M14" s="17">
        <v>3924</v>
      </c>
      <c r="N14" s="17">
        <v>3924</v>
      </c>
      <c r="O14" s="18">
        <f t="shared" si="0"/>
        <v>46512</v>
      </c>
    </row>
    <row r="15" spans="1:17"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7" ht="15" customHeight="1" x14ac:dyDescent="0.2">
      <c r="A16" s="12"/>
      <c r="B16" s="13" t="s">
        <v>125</v>
      </c>
      <c r="C16" s="17">
        <v>0</v>
      </c>
      <c r="D16" s="17">
        <v>0</v>
      </c>
      <c r="E16" s="17">
        <v>0</v>
      </c>
      <c r="F16" s="17">
        <v>0</v>
      </c>
      <c r="G16" s="17">
        <v>5000</v>
      </c>
      <c r="H16" s="17">
        <v>0</v>
      </c>
      <c r="I16" s="17">
        <v>0</v>
      </c>
      <c r="J16" s="17">
        <v>0</v>
      </c>
      <c r="K16" s="17">
        <v>0</v>
      </c>
      <c r="L16" s="17">
        <v>0</v>
      </c>
      <c r="M16" s="17">
        <v>0</v>
      </c>
      <c r="N16" s="17">
        <v>0</v>
      </c>
      <c r="O16" s="18">
        <f t="shared" si="0"/>
        <v>5000</v>
      </c>
    </row>
    <row r="17" spans="1:15" ht="15" customHeight="1" x14ac:dyDescent="0.2">
      <c r="A17" s="12"/>
      <c r="B17" s="166" t="s">
        <v>280</v>
      </c>
      <c r="C17" s="17">
        <v>0</v>
      </c>
      <c r="D17" s="17">
        <v>0</v>
      </c>
      <c r="E17" s="17">
        <v>0</v>
      </c>
      <c r="F17" s="17">
        <v>0</v>
      </c>
      <c r="G17" s="17">
        <v>0</v>
      </c>
      <c r="H17" s="17">
        <v>0</v>
      </c>
      <c r="I17" s="17">
        <v>0</v>
      </c>
      <c r="J17" s="17">
        <v>3393</v>
      </c>
      <c r="K17" s="17">
        <v>3393</v>
      </c>
      <c r="L17" s="17">
        <v>3393</v>
      </c>
      <c r="M17" s="17">
        <v>3393</v>
      </c>
      <c r="N17" s="17">
        <v>0</v>
      </c>
      <c r="O17" s="18">
        <f t="shared" si="0"/>
        <v>13572</v>
      </c>
    </row>
    <row r="18" spans="1:15" ht="15" hidden="1" x14ac:dyDescent="0.2">
      <c r="A18" s="12"/>
      <c r="B18" s="13" t="s">
        <v>609</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0</v>
      </c>
      <c r="D19" s="17">
        <v>0</v>
      </c>
      <c r="E19" s="17">
        <v>0</v>
      </c>
      <c r="F19" s="17">
        <v>0</v>
      </c>
      <c r="G19" s="17">
        <v>0</v>
      </c>
      <c r="H19" s="17">
        <v>0</v>
      </c>
      <c r="I19" s="17">
        <v>0</v>
      </c>
      <c r="J19" s="17">
        <v>0</v>
      </c>
      <c r="K19" s="17">
        <v>0</v>
      </c>
      <c r="L19" s="17">
        <v>0</v>
      </c>
      <c r="M19" s="17">
        <v>0</v>
      </c>
      <c r="N19" s="17">
        <v>0</v>
      </c>
      <c r="O19" s="18">
        <f t="shared" si="0"/>
        <v>0</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78"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79"/>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5" ht="15" hidden="1" customHeight="1" x14ac:dyDescent="0.2">
      <c r="A23" s="879"/>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79"/>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79"/>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79"/>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79"/>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79"/>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79"/>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79"/>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79"/>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79"/>
      <c r="B32" s="21" t="s">
        <v>142</v>
      </c>
      <c r="C32" s="17">
        <v>0</v>
      </c>
      <c r="D32" s="17">
        <v>0</v>
      </c>
      <c r="E32" s="17">
        <v>0</v>
      </c>
      <c r="F32" s="17">
        <v>0</v>
      </c>
      <c r="G32" s="17">
        <v>0</v>
      </c>
      <c r="H32" s="17">
        <v>0</v>
      </c>
      <c r="I32" s="17">
        <v>0</v>
      </c>
      <c r="J32" s="17">
        <v>0</v>
      </c>
      <c r="K32" s="17">
        <v>0</v>
      </c>
      <c r="L32" s="17">
        <v>0</v>
      </c>
      <c r="M32" s="17">
        <v>0</v>
      </c>
      <c r="N32" s="17">
        <v>0</v>
      </c>
      <c r="O32" s="18">
        <f t="shared" si="0"/>
        <v>0</v>
      </c>
    </row>
    <row r="33" spans="1:17" ht="15" hidden="1" customHeight="1" x14ac:dyDescent="0.2">
      <c r="A33" s="880"/>
      <c r="B33" s="19" t="s">
        <v>226</v>
      </c>
      <c r="C33" s="17">
        <v>0</v>
      </c>
      <c r="D33" s="17">
        <v>0</v>
      </c>
      <c r="E33" s="17">
        <v>0</v>
      </c>
      <c r="F33" s="17">
        <v>0</v>
      </c>
      <c r="G33" s="17">
        <v>0</v>
      </c>
      <c r="H33" s="17">
        <v>0</v>
      </c>
      <c r="I33" s="17">
        <v>0</v>
      </c>
      <c r="J33" s="17">
        <v>0</v>
      </c>
      <c r="K33" s="17">
        <v>0</v>
      </c>
      <c r="L33" s="17">
        <v>0</v>
      </c>
      <c r="M33" s="17">
        <v>0</v>
      </c>
      <c r="N33" s="17">
        <v>0</v>
      </c>
      <c r="O33" s="18">
        <f t="shared" si="0"/>
        <v>0</v>
      </c>
    </row>
    <row r="34" spans="1:17" ht="15" customHeight="1" x14ac:dyDescent="0.2">
      <c r="A34" s="865" t="s">
        <v>144</v>
      </c>
      <c r="B34" s="866"/>
      <c r="C34" s="17">
        <v>0</v>
      </c>
      <c r="D34" s="17">
        <v>0</v>
      </c>
      <c r="E34" s="17">
        <v>0</v>
      </c>
      <c r="F34" s="17">
        <v>0</v>
      </c>
      <c r="G34" s="17">
        <v>0</v>
      </c>
      <c r="H34" s="17">
        <v>0</v>
      </c>
      <c r="I34" s="17">
        <v>0</v>
      </c>
      <c r="J34" s="17">
        <v>0</v>
      </c>
      <c r="K34" s="17">
        <v>0</v>
      </c>
      <c r="L34" s="17">
        <v>0</v>
      </c>
      <c r="M34" s="17">
        <v>0</v>
      </c>
      <c r="N34" s="17">
        <v>0</v>
      </c>
      <c r="O34" s="18">
        <f t="shared" si="0"/>
        <v>0</v>
      </c>
    </row>
    <row r="35" spans="1:17" ht="15" customHeight="1" x14ac:dyDescent="0.2">
      <c r="A35" s="865" t="s">
        <v>145</v>
      </c>
      <c r="B35" s="866"/>
      <c r="C35" s="17">
        <v>0</v>
      </c>
      <c r="D35" s="17">
        <v>216</v>
      </c>
      <c r="E35" s="17">
        <v>0</v>
      </c>
      <c r="F35" s="17">
        <v>0</v>
      </c>
      <c r="G35" s="17">
        <v>0</v>
      </c>
      <c r="H35" s="17">
        <v>0</v>
      </c>
      <c r="I35" s="17">
        <v>0</v>
      </c>
      <c r="J35" s="17">
        <v>216</v>
      </c>
      <c r="K35" s="17">
        <v>0</v>
      </c>
      <c r="L35" s="17">
        <v>0</v>
      </c>
      <c r="M35" s="17">
        <v>0</v>
      </c>
      <c r="N35" s="17">
        <v>0</v>
      </c>
      <c r="O35" s="18">
        <f t="shared" si="0"/>
        <v>432</v>
      </c>
    </row>
    <row r="36" spans="1:17" ht="15" customHeight="1" x14ac:dyDescent="0.2">
      <c r="A36" s="865" t="s">
        <v>146</v>
      </c>
      <c r="B36" s="866"/>
      <c r="C36" s="17">
        <v>0</v>
      </c>
      <c r="D36" s="17">
        <v>1920</v>
      </c>
      <c r="E36" s="17">
        <v>0</v>
      </c>
      <c r="F36" s="17">
        <v>0</v>
      </c>
      <c r="G36" s="17">
        <v>0</v>
      </c>
      <c r="H36" s="17">
        <v>0</v>
      </c>
      <c r="I36" s="17">
        <v>0</v>
      </c>
      <c r="J36" s="17">
        <v>1980</v>
      </c>
      <c r="K36" s="17">
        <v>0</v>
      </c>
      <c r="L36" s="17">
        <v>0</v>
      </c>
      <c r="M36" s="17">
        <v>0</v>
      </c>
      <c r="N36" s="17">
        <v>0</v>
      </c>
      <c r="O36" s="18">
        <f t="shared" si="0"/>
        <v>3900</v>
      </c>
    </row>
    <row r="37" spans="1:17" ht="15" customHeight="1" x14ac:dyDescent="0.2">
      <c r="A37" s="22"/>
      <c r="B37" s="23" t="s">
        <v>147</v>
      </c>
      <c r="C37" s="24">
        <f t="shared" ref="C37:N37" si="1">SUM(C9:C36)</f>
        <v>37380</v>
      </c>
      <c r="D37" s="24">
        <f t="shared" si="1"/>
        <v>40228</v>
      </c>
      <c r="E37" s="24">
        <f t="shared" si="1"/>
        <v>38092</v>
      </c>
      <c r="F37" s="24">
        <f t="shared" si="1"/>
        <v>38092</v>
      </c>
      <c r="G37" s="24">
        <f t="shared" si="1"/>
        <v>44162</v>
      </c>
      <c r="H37" s="24">
        <f t="shared" si="1"/>
        <v>39162</v>
      </c>
      <c r="I37" s="24">
        <f t="shared" si="1"/>
        <v>39162</v>
      </c>
      <c r="J37" s="24">
        <f t="shared" si="1"/>
        <v>52391</v>
      </c>
      <c r="K37" s="24">
        <f t="shared" si="1"/>
        <v>43287</v>
      </c>
      <c r="L37" s="24">
        <f t="shared" si="1"/>
        <v>43287</v>
      </c>
      <c r="M37" s="24">
        <f t="shared" si="1"/>
        <v>43287</v>
      </c>
      <c r="N37" s="24">
        <f t="shared" si="1"/>
        <v>39894</v>
      </c>
      <c r="O37" s="25">
        <f>SUM(C37:N37)</f>
        <v>498424</v>
      </c>
      <c r="Q37" s="16">
        <f>24259*2+3908+25236*2+25908*3+3759+2878+27161*5</f>
        <v>323064</v>
      </c>
    </row>
    <row r="38" spans="1:17" ht="15" customHeight="1" x14ac:dyDescent="0.25">
      <c r="A38" s="853" t="s">
        <v>148</v>
      </c>
      <c r="B38" s="27" t="s">
        <v>149</v>
      </c>
      <c r="C38" s="147">
        <v>0</v>
      </c>
      <c r="D38" s="147">
        <v>0</v>
      </c>
      <c r="E38" s="147">
        <v>0</v>
      </c>
      <c r="F38" s="147">
        <v>0</v>
      </c>
      <c r="G38" s="147">
        <v>0</v>
      </c>
      <c r="H38" s="147">
        <v>0</v>
      </c>
      <c r="I38" s="147">
        <v>0</v>
      </c>
      <c r="J38" s="147">
        <v>0</v>
      </c>
      <c r="K38" s="147">
        <v>600</v>
      </c>
      <c r="L38" s="147">
        <v>600</v>
      </c>
      <c r="M38" s="147">
        <v>380</v>
      </c>
      <c r="N38">
        <v>5215</v>
      </c>
      <c r="O38" s="18">
        <f>SUM(C38:N38)</f>
        <v>6795</v>
      </c>
      <c r="P38" s="284"/>
      <c r="Q38" s="16">
        <f>+O17</f>
        <v>13572</v>
      </c>
    </row>
    <row r="39" spans="1:17" ht="15" x14ac:dyDescent="0.2">
      <c r="A39" s="854"/>
      <c r="B39" s="27" t="s">
        <v>150</v>
      </c>
      <c r="C39" s="147">
        <v>0</v>
      </c>
      <c r="D39" s="147">
        <v>0</v>
      </c>
      <c r="E39" s="147">
        <v>0</v>
      </c>
      <c r="F39" s="147">
        <v>0</v>
      </c>
      <c r="G39" s="147">
        <v>0</v>
      </c>
      <c r="H39" s="147">
        <v>0</v>
      </c>
      <c r="I39" s="147">
        <v>0</v>
      </c>
      <c r="J39" s="147">
        <v>0</v>
      </c>
      <c r="K39" s="147">
        <v>0</v>
      </c>
      <c r="L39" s="147">
        <v>0</v>
      </c>
      <c r="M39" s="147">
        <v>0</v>
      </c>
      <c r="N39" s="147">
        <v>0</v>
      </c>
      <c r="O39" s="18">
        <f>SUM(C39:N39)</f>
        <v>0</v>
      </c>
      <c r="Q39" s="16">
        <f>+Q37+Q38</f>
        <v>336636</v>
      </c>
    </row>
    <row r="40" spans="1:17" ht="15" x14ac:dyDescent="0.2">
      <c r="A40" s="854"/>
      <c r="B40" s="27" t="s">
        <v>151</v>
      </c>
      <c r="C40" s="147">
        <v>30</v>
      </c>
      <c r="D40" s="147">
        <v>30</v>
      </c>
      <c r="E40" s="147">
        <v>30</v>
      </c>
      <c r="F40" s="147">
        <v>30</v>
      </c>
      <c r="G40" s="147">
        <v>30</v>
      </c>
      <c r="H40" s="147">
        <v>30</v>
      </c>
      <c r="I40" s="147">
        <v>30</v>
      </c>
      <c r="J40" s="147">
        <v>30</v>
      </c>
      <c r="K40" s="147">
        <v>30</v>
      </c>
      <c r="L40" s="147">
        <v>30</v>
      </c>
      <c r="M40" s="147">
        <v>30</v>
      </c>
      <c r="N40" s="147">
        <v>30</v>
      </c>
      <c r="O40" s="18">
        <f t="shared" ref="O40:O50" si="2">SUM(C40:N40)</f>
        <v>360</v>
      </c>
    </row>
    <row r="41" spans="1:17" ht="15" x14ac:dyDescent="0.2">
      <c r="A41" s="854"/>
      <c r="B41" s="27" t="s">
        <v>152</v>
      </c>
      <c r="C41" s="147">
        <v>0</v>
      </c>
      <c r="D41" s="147">
        <v>0</v>
      </c>
      <c r="E41" s="147">
        <v>0</v>
      </c>
      <c r="F41" s="147">
        <v>0</v>
      </c>
      <c r="G41" s="147">
        <v>0</v>
      </c>
      <c r="H41" s="147">
        <v>0</v>
      </c>
      <c r="I41" s="147">
        <v>0</v>
      </c>
      <c r="J41" s="147">
        <v>0</v>
      </c>
      <c r="K41" s="147">
        <v>0</v>
      </c>
      <c r="L41" s="147">
        <v>0</v>
      </c>
      <c r="M41" s="147">
        <v>0</v>
      </c>
      <c r="N41" s="147">
        <v>0</v>
      </c>
      <c r="O41" s="18">
        <f t="shared" si="2"/>
        <v>0</v>
      </c>
    </row>
    <row r="42" spans="1:17" ht="15" x14ac:dyDescent="0.2">
      <c r="A42" s="854"/>
      <c r="B42" s="27" t="s">
        <v>153</v>
      </c>
      <c r="C42" s="147">
        <v>250</v>
      </c>
      <c r="D42" s="147">
        <v>250</v>
      </c>
      <c r="E42" s="147">
        <v>250</v>
      </c>
      <c r="F42" s="147">
        <v>250</v>
      </c>
      <c r="G42" s="147">
        <v>250</v>
      </c>
      <c r="H42" s="147">
        <v>250</v>
      </c>
      <c r="I42" s="147">
        <v>250</v>
      </c>
      <c r="J42" s="147">
        <v>250</v>
      </c>
      <c r="K42" s="147">
        <v>250</v>
      </c>
      <c r="L42" s="147">
        <v>250</v>
      </c>
      <c r="M42" s="147">
        <v>250</v>
      </c>
      <c r="N42" s="147">
        <v>250</v>
      </c>
      <c r="O42" s="18">
        <f t="shared" si="2"/>
        <v>3000</v>
      </c>
    </row>
    <row r="43" spans="1:17" ht="15" x14ac:dyDescent="0.2">
      <c r="A43" s="854"/>
      <c r="B43" s="27" t="s">
        <v>154</v>
      </c>
      <c r="C43" s="147">
        <v>6000</v>
      </c>
      <c r="D43" s="147">
        <v>6000</v>
      </c>
      <c r="E43" s="147">
        <v>6000</v>
      </c>
      <c r="F43" s="147">
        <v>6000</v>
      </c>
      <c r="G43" s="147">
        <v>6000</v>
      </c>
      <c r="H43" s="147">
        <v>6000</v>
      </c>
      <c r="I43" s="147">
        <v>6000</v>
      </c>
      <c r="J43" s="147">
        <v>6000</v>
      </c>
      <c r="K43" s="147">
        <v>6000</v>
      </c>
      <c r="L43" s="147">
        <v>6000</v>
      </c>
      <c r="M43" s="147">
        <v>6000</v>
      </c>
      <c r="N43" s="147">
        <v>6000</v>
      </c>
      <c r="O43" s="18">
        <f t="shared" si="2"/>
        <v>72000</v>
      </c>
    </row>
    <row r="44" spans="1:17" ht="15" x14ac:dyDescent="0.2">
      <c r="A44" s="854"/>
      <c r="B44" s="27" t="s">
        <v>155</v>
      </c>
      <c r="C44" s="147">
        <v>200</v>
      </c>
      <c r="D44" s="147">
        <v>200</v>
      </c>
      <c r="E44" s="147">
        <v>200</v>
      </c>
      <c r="F44" s="147">
        <v>200</v>
      </c>
      <c r="G44" s="147">
        <v>200</v>
      </c>
      <c r="H44" s="147">
        <v>200</v>
      </c>
      <c r="I44" s="147">
        <v>200</v>
      </c>
      <c r="J44" s="147">
        <v>200</v>
      </c>
      <c r="K44" s="147">
        <v>200</v>
      </c>
      <c r="L44" s="147">
        <v>200</v>
      </c>
      <c r="M44" s="147">
        <v>200</v>
      </c>
      <c r="N44" s="147">
        <v>300</v>
      </c>
      <c r="O44" s="18">
        <f t="shared" si="2"/>
        <v>2500</v>
      </c>
    </row>
    <row r="45" spans="1:17" ht="15" x14ac:dyDescent="0.2">
      <c r="A45" s="854"/>
      <c r="B45" s="27" t="s">
        <v>281</v>
      </c>
      <c r="C45" s="147">
        <v>310</v>
      </c>
      <c r="D45" s="147">
        <v>310</v>
      </c>
      <c r="E45" s="147">
        <v>310</v>
      </c>
      <c r="F45" s="147">
        <v>310</v>
      </c>
      <c r="G45" s="147">
        <v>310</v>
      </c>
      <c r="H45" s="147">
        <v>310</v>
      </c>
      <c r="I45" s="147">
        <v>310</v>
      </c>
      <c r="J45" s="147">
        <v>310</v>
      </c>
      <c r="K45" s="147">
        <v>310</v>
      </c>
      <c r="L45" s="147">
        <v>310</v>
      </c>
      <c r="M45" s="147">
        <v>310</v>
      </c>
      <c r="N45" s="147">
        <v>310</v>
      </c>
      <c r="O45" s="18">
        <f t="shared" si="2"/>
        <v>3720</v>
      </c>
    </row>
    <row r="46" spans="1:17" ht="30" x14ac:dyDescent="0.2">
      <c r="A46" s="854"/>
      <c r="B46" s="27" t="s">
        <v>1239</v>
      </c>
      <c r="C46" s="147">
        <v>0</v>
      </c>
      <c r="D46" s="147">
        <v>0</v>
      </c>
      <c r="E46" s="147">
        <v>0</v>
      </c>
      <c r="F46" s="147">
        <v>0</v>
      </c>
      <c r="G46" s="147">
        <v>0</v>
      </c>
      <c r="H46" s="147">
        <v>0</v>
      </c>
      <c r="I46" s="147">
        <v>0</v>
      </c>
      <c r="J46" s="147">
        <v>0</v>
      </c>
      <c r="K46" s="147">
        <v>0</v>
      </c>
      <c r="L46" s="147">
        <v>0</v>
      </c>
      <c r="M46" s="147">
        <v>0</v>
      </c>
      <c r="N46" s="147">
        <v>0</v>
      </c>
      <c r="O46" s="18">
        <f t="shared" si="2"/>
        <v>0</v>
      </c>
    </row>
    <row r="47" spans="1:17" ht="28.5" customHeight="1" x14ac:dyDescent="0.2">
      <c r="A47" s="855"/>
      <c r="B47" s="30" t="s">
        <v>1240</v>
      </c>
      <c r="C47" s="147">
        <v>2800</v>
      </c>
      <c r="D47" s="147">
        <v>2800</v>
      </c>
      <c r="E47" s="147">
        <v>2800</v>
      </c>
      <c r="F47" s="147">
        <v>2800</v>
      </c>
      <c r="G47" s="147">
        <v>2800</v>
      </c>
      <c r="H47" s="147">
        <v>2800</v>
      </c>
      <c r="I47" s="147">
        <v>2800</v>
      </c>
      <c r="J47" s="147">
        <v>2800</v>
      </c>
      <c r="K47" s="147">
        <v>2800</v>
      </c>
      <c r="L47" s="147">
        <v>0</v>
      </c>
      <c r="M47" s="147">
        <v>0</v>
      </c>
      <c r="N47" s="147">
        <v>0</v>
      </c>
      <c r="O47" s="31">
        <f t="shared" si="2"/>
        <v>25200</v>
      </c>
    </row>
    <row r="48" spans="1:17" ht="28.5" customHeight="1" x14ac:dyDescent="0.2">
      <c r="A48" s="856"/>
      <c r="B48" s="127" t="s">
        <v>514</v>
      </c>
      <c r="C48" s="147">
        <v>0</v>
      </c>
      <c r="D48" s="147">
        <v>0</v>
      </c>
      <c r="E48" s="147">
        <v>0</v>
      </c>
      <c r="F48" s="147">
        <v>0</v>
      </c>
      <c r="G48" s="147">
        <v>0</v>
      </c>
      <c r="H48" s="147">
        <v>0</v>
      </c>
      <c r="I48" s="147">
        <v>0</v>
      </c>
      <c r="J48" s="147">
        <v>0</v>
      </c>
      <c r="K48" s="147">
        <v>0</v>
      </c>
      <c r="L48" s="147">
        <v>0</v>
      </c>
      <c r="M48" s="147">
        <v>0</v>
      </c>
      <c r="N48" s="147">
        <v>0</v>
      </c>
      <c r="O48" s="31">
        <f t="shared" si="2"/>
        <v>0</v>
      </c>
    </row>
    <row r="49" spans="1:19" ht="15" x14ac:dyDescent="0.2">
      <c r="A49" s="857" t="s">
        <v>160</v>
      </c>
      <c r="B49" s="858"/>
      <c r="C49" s="33">
        <f>SUM(C38:C48)</f>
        <v>9590</v>
      </c>
      <c r="D49" s="33">
        <f t="shared" ref="D49:N49" si="3">SUM(D38:D48)</f>
        <v>9590</v>
      </c>
      <c r="E49" s="33">
        <f t="shared" si="3"/>
        <v>9590</v>
      </c>
      <c r="F49" s="33">
        <f t="shared" si="3"/>
        <v>9590</v>
      </c>
      <c r="G49" s="33">
        <f t="shared" si="3"/>
        <v>9590</v>
      </c>
      <c r="H49" s="33">
        <f t="shared" si="3"/>
        <v>9590</v>
      </c>
      <c r="I49" s="33">
        <f t="shared" si="3"/>
        <v>9590</v>
      </c>
      <c r="J49" s="33">
        <f t="shared" si="3"/>
        <v>9590</v>
      </c>
      <c r="K49" s="33">
        <f t="shared" si="3"/>
        <v>10190</v>
      </c>
      <c r="L49" s="33">
        <f t="shared" si="3"/>
        <v>7390</v>
      </c>
      <c r="M49" s="33">
        <f t="shared" si="3"/>
        <v>7170</v>
      </c>
      <c r="N49" s="33">
        <f t="shared" si="3"/>
        <v>12105</v>
      </c>
      <c r="O49" s="34">
        <f t="shared" si="2"/>
        <v>113575</v>
      </c>
    </row>
    <row r="50" spans="1:19" ht="15.75" thickBot="1" x14ac:dyDescent="0.25">
      <c r="A50" s="859" t="s">
        <v>161</v>
      </c>
      <c r="B50" s="860"/>
      <c r="C50" s="35">
        <f t="shared" ref="C50:N50" si="4">C37-C49</f>
        <v>27790</v>
      </c>
      <c r="D50" s="35">
        <f t="shared" si="4"/>
        <v>30638</v>
      </c>
      <c r="E50" s="35">
        <f t="shared" si="4"/>
        <v>28502</v>
      </c>
      <c r="F50" s="35">
        <f t="shared" si="4"/>
        <v>28502</v>
      </c>
      <c r="G50" s="35">
        <f t="shared" si="4"/>
        <v>34572</v>
      </c>
      <c r="H50" s="35">
        <f t="shared" si="4"/>
        <v>29572</v>
      </c>
      <c r="I50" s="35">
        <f t="shared" si="4"/>
        <v>29572</v>
      </c>
      <c r="J50" s="35">
        <f t="shared" si="4"/>
        <v>42801</v>
      </c>
      <c r="K50" s="35">
        <f t="shared" si="4"/>
        <v>33097</v>
      </c>
      <c r="L50" s="35">
        <f t="shared" si="4"/>
        <v>35897</v>
      </c>
      <c r="M50" s="35">
        <f t="shared" si="4"/>
        <v>36117</v>
      </c>
      <c r="N50" s="35">
        <f t="shared" si="4"/>
        <v>27789</v>
      </c>
      <c r="O50" s="36">
        <f t="shared" si="2"/>
        <v>384849</v>
      </c>
      <c r="Q50" s="16">
        <f>14404+11666+3908+12644+15381+13159*2+12524+3759+2878+14412*2+17306+16505+17206</f>
        <v>183323</v>
      </c>
    </row>
    <row r="51" spans="1:19" x14ac:dyDescent="0.2">
      <c r="J51" s="128">
        <f>+J37-SUM(J22:J36)</f>
        <v>43287</v>
      </c>
      <c r="Q51" s="38"/>
    </row>
    <row r="52" spans="1:19" ht="13.5" thickBot="1" x14ac:dyDescent="0.25">
      <c r="J52" s="38">
        <f>+J51-J49</f>
        <v>33697</v>
      </c>
    </row>
    <row r="53" spans="1:19" ht="13.5" thickBot="1" x14ac:dyDescent="0.25">
      <c r="B53" s="789" t="s">
        <v>162</v>
      </c>
      <c r="C53" s="861"/>
      <c r="D53" s="861"/>
      <c r="E53" s="861"/>
      <c r="F53" s="862"/>
      <c r="G53" s="863">
        <f>O37</f>
        <v>498424</v>
      </c>
      <c r="H53" s="864"/>
      <c r="J53" s="38"/>
    </row>
    <row r="54" spans="1:19" ht="13.5" thickBot="1" x14ac:dyDescent="0.25"/>
    <row r="55" spans="1:19" x14ac:dyDescent="0.2">
      <c r="B55" s="830" t="s">
        <v>163</v>
      </c>
      <c r="C55" s="833" t="s">
        <v>164</v>
      </c>
      <c r="D55" s="836" t="s">
        <v>229</v>
      </c>
      <c r="E55" s="837"/>
      <c r="F55" s="838"/>
      <c r="G55" s="839">
        <v>40000</v>
      </c>
      <c r="H55" s="840"/>
    </row>
    <row r="56" spans="1:19" x14ac:dyDescent="0.2">
      <c r="B56" s="831"/>
      <c r="C56" s="834"/>
      <c r="D56" s="841" t="s">
        <v>166</v>
      </c>
      <c r="E56" s="842"/>
      <c r="F56" s="843"/>
      <c r="G56" s="844">
        <f>+O44</f>
        <v>2500</v>
      </c>
      <c r="H56" s="845"/>
      <c r="I56" s="39"/>
      <c r="J56" s="846"/>
      <c r="K56" s="846"/>
      <c r="L56" s="846"/>
      <c r="M56" s="847"/>
      <c r="N56" s="847"/>
      <c r="O56" s="847"/>
    </row>
    <row r="57" spans="1:19" ht="13.5" thickBot="1" x14ac:dyDescent="0.25">
      <c r="B57" s="832"/>
      <c r="C57" s="835"/>
      <c r="D57" s="848" t="s">
        <v>266</v>
      </c>
      <c r="E57" s="849"/>
      <c r="F57" s="850"/>
      <c r="G57" s="851">
        <v>0</v>
      </c>
      <c r="H57" s="852"/>
      <c r="J57" s="47"/>
      <c r="K57" s="47"/>
      <c r="L57" s="47"/>
      <c r="M57" s="47"/>
      <c r="N57" s="47"/>
      <c r="O57" s="47"/>
    </row>
    <row r="58" spans="1:19" ht="13.5" thickBot="1" x14ac:dyDescent="0.25">
      <c r="B58" s="48"/>
      <c r="J58" s="47"/>
      <c r="K58" s="47"/>
      <c r="L58" s="47"/>
      <c r="M58" s="47"/>
      <c r="N58" s="47"/>
      <c r="O58" s="47"/>
    </row>
    <row r="59" spans="1:19" ht="13.5" thickBot="1" x14ac:dyDescent="0.25">
      <c r="B59" s="789" t="s">
        <v>168</v>
      </c>
      <c r="C59" s="790"/>
      <c r="D59" s="790"/>
      <c r="E59" s="790"/>
      <c r="F59" s="791"/>
      <c r="G59" s="825">
        <f>+G53-SUM(G55:H57)</f>
        <v>455924</v>
      </c>
      <c r="H59" s="826"/>
      <c r="J59" s="827" t="s">
        <v>169</v>
      </c>
      <c r="K59" s="828"/>
      <c r="L59" s="828"/>
      <c r="M59" s="828"/>
      <c r="N59" s="828"/>
      <c r="O59" s="829"/>
    </row>
    <row r="60" spans="1:19" ht="13.5" thickBot="1" x14ac:dyDescent="0.25">
      <c r="B60" s="49"/>
      <c r="C60" s="50"/>
      <c r="D60" s="50"/>
      <c r="E60" s="50"/>
      <c r="F60" s="50"/>
      <c r="G60" s="45"/>
      <c r="H60" s="50"/>
      <c r="J60" s="129"/>
      <c r="K60" s="130"/>
      <c r="L60" s="130"/>
      <c r="M60" s="130"/>
      <c r="N60" s="130"/>
      <c r="O60" s="131"/>
    </row>
    <row r="61" spans="1:19" ht="13.5" thickBot="1" x14ac:dyDescent="0.25">
      <c r="B61" s="789" t="s">
        <v>170</v>
      </c>
      <c r="C61" s="790"/>
      <c r="D61" s="790"/>
      <c r="E61" s="790"/>
      <c r="F61" s="791"/>
      <c r="G61" s="805"/>
      <c r="H61" s="791"/>
      <c r="J61" s="129"/>
      <c r="K61" s="130"/>
      <c r="L61" s="130"/>
      <c r="M61" s="130"/>
      <c r="N61" s="130"/>
      <c r="O61" s="131"/>
    </row>
    <row r="62" spans="1:19" ht="12.75" customHeight="1" x14ac:dyDescent="0.2">
      <c r="B62" s="57" t="s">
        <v>171</v>
      </c>
      <c r="C62" s="806" t="s">
        <v>172</v>
      </c>
      <c r="D62" s="807"/>
      <c r="E62" s="807"/>
      <c r="F62" s="808"/>
      <c r="G62" s="809">
        <v>0</v>
      </c>
      <c r="H62" s="809"/>
      <c r="I62" s="58"/>
      <c r="J62" s="810" t="s">
        <v>173</v>
      </c>
      <c r="K62" s="811"/>
      <c r="L62" s="811"/>
      <c r="M62" s="811"/>
      <c r="N62" s="811"/>
      <c r="O62" s="812"/>
      <c r="Q62" s="59"/>
      <c r="R62" s="59"/>
      <c r="S62" s="59"/>
    </row>
    <row r="63" spans="1:19" ht="13.5" thickBot="1" x14ac:dyDescent="0.25">
      <c r="D63" s="37"/>
      <c r="I63" s="58"/>
      <c r="J63" s="60" t="s">
        <v>1241</v>
      </c>
      <c r="K63" s="132"/>
      <c r="L63" s="132"/>
      <c r="M63" s="133"/>
      <c r="N63" s="133"/>
      <c r="O63" s="134"/>
      <c r="Q63" s="59"/>
      <c r="R63" s="59"/>
      <c r="S63" s="59"/>
    </row>
    <row r="64" spans="1:19" ht="13.5" thickBot="1" x14ac:dyDescent="0.25">
      <c r="B64" s="789" t="s">
        <v>175</v>
      </c>
      <c r="C64" s="790"/>
      <c r="D64" s="790"/>
      <c r="E64" s="790"/>
      <c r="F64" s="791"/>
      <c r="G64" s="805">
        <f>+G59-G62</f>
        <v>455924</v>
      </c>
      <c r="H64" s="791"/>
      <c r="I64" s="63"/>
      <c r="J64" s="64"/>
      <c r="K64" s="39"/>
      <c r="L64" s="39"/>
      <c r="M64" s="39"/>
      <c r="N64" s="39"/>
      <c r="O64" s="65"/>
      <c r="Q64" s="59"/>
      <c r="R64" s="59"/>
      <c r="S64" s="59"/>
    </row>
    <row r="65" spans="2:19" ht="12.75" customHeight="1" x14ac:dyDescent="0.2">
      <c r="B65" s="48"/>
      <c r="C65" s="48"/>
      <c r="I65" s="63"/>
      <c r="J65" s="64"/>
      <c r="K65" s="39"/>
      <c r="L65" s="39"/>
      <c r="M65" s="39"/>
      <c r="N65" s="39"/>
      <c r="O65" s="65"/>
      <c r="Q65" s="59"/>
      <c r="R65" s="59"/>
      <c r="S65" s="59"/>
    </row>
    <row r="66" spans="2:19" x14ac:dyDescent="0.2">
      <c r="B66" s="66" t="s">
        <v>176</v>
      </c>
      <c r="C66" s="48"/>
      <c r="I66" s="63"/>
      <c r="J66" s="67"/>
      <c r="K66" s="68"/>
      <c r="L66" s="68"/>
      <c r="M66" s="68"/>
      <c r="N66" s="68"/>
      <c r="O66" s="69"/>
      <c r="Q66" s="59"/>
      <c r="R66" s="59"/>
      <c r="S66" s="59"/>
    </row>
    <row r="67" spans="2:19" ht="26.25" customHeight="1" thickBot="1" x14ac:dyDescent="0.25">
      <c r="B67" s="66"/>
      <c r="C67" s="48"/>
      <c r="G67" s="70" t="s">
        <v>177</v>
      </c>
      <c r="H67" s="70" t="s">
        <v>178</v>
      </c>
      <c r="I67" s="63"/>
      <c r="J67" s="810" t="s">
        <v>179</v>
      </c>
      <c r="K67" s="811"/>
      <c r="L67" s="71"/>
      <c r="M67" s="71"/>
      <c r="N67" s="71"/>
      <c r="O67" s="72"/>
      <c r="Q67" s="59"/>
      <c r="R67" s="59"/>
      <c r="S67" s="59"/>
    </row>
    <row r="68" spans="2:19" ht="12.75" customHeight="1" x14ac:dyDescent="0.2">
      <c r="B68" s="802" t="s">
        <v>180</v>
      </c>
      <c r="C68" s="821" t="s">
        <v>181</v>
      </c>
      <c r="D68" s="823" t="s">
        <v>182</v>
      </c>
      <c r="E68" s="824"/>
      <c r="F68" s="824"/>
      <c r="G68" s="73">
        <f>+O43</f>
        <v>72000</v>
      </c>
      <c r="H68" s="74">
        <f t="shared" ref="H68:H76" si="5">+G68</f>
        <v>72000</v>
      </c>
      <c r="I68" s="63"/>
      <c r="J68" s="75" t="s">
        <v>183</v>
      </c>
      <c r="K68" s="58"/>
      <c r="L68" s="58"/>
      <c r="M68" s="58"/>
      <c r="N68" s="58"/>
      <c r="O68" s="76"/>
      <c r="Q68" s="59"/>
      <c r="R68" s="59"/>
      <c r="S68" s="59"/>
    </row>
    <row r="69" spans="2:19" ht="12.75" customHeight="1" x14ac:dyDescent="0.2">
      <c r="B69" s="803"/>
      <c r="C69" s="822"/>
      <c r="D69" s="782" t="s">
        <v>184</v>
      </c>
      <c r="E69" s="783"/>
      <c r="F69" s="783"/>
      <c r="G69" s="77">
        <v>0</v>
      </c>
      <c r="H69" s="78">
        <f t="shared" si="5"/>
        <v>0</v>
      </c>
      <c r="I69" s="63"/>
      <c r="J69" s="79"/>
      <c r="K69" s="68"/>
      <c r="L69" s="68"/>
      <c r="M69" s="68"/>
      <c r="N69" s="68"/>
      <c r="O69" s="69"/>
      <c r="Q69" s="59"/>
      <c r="R69" s="59"/>
      <c r="S69" s="59"/>
    </row>
    <row r="70" spans="2:19" ht="12.75" customHeight="1" x14ac:dyDescent="0.2">
      <c r="B70" s="803"/>
      <c r="C70" s="822"/>
      <c r="D70" s="819" t="s">
        <v>185</v>
      </c>
      <c r="E70" s="820"/>
      <c r="F70" s="820"/>
      <c r="G70" s="80">
        <f>O40</f>
        <v>360</v>
      </c>
      <c r="H70" s="78">
        <f t="shared" si="5"/>
        <v>360</v>
      </c>
      <c r="I70" s="63"/>
      <c r="J70" s="67"/>
      <c r="K70" s="68"/>
      <c r="L70" s="68"/>
      <c r="M70" s="68"/>
      <c r="N70" s="68"/>
      <c r="O70" s="69"/>
    </row>
    <row r="71" spans="2:19" x14ac:dyDescent="0.2">
      <c r="B71" s="803"/>
      <c r="C71" s="822"/>
      <c r="D71" s="782" t="s">
        <v>186</v>
      </c>
      <c r="E71" s="783"/>
      <c r="F71" s="783"/>
      <c r="G71" s="81">
        <v>0</v>
      </c>
      <c r="H71" s="78">
        <f t="shared" si="5"/>
        <v>0</v>
      </c>
      <c r="I71" s="63"/>
      <c r="J71" s="82" t="s">
        <v>187</v>
      </c>
      <c r="K71" s="71"/>
      <c r="L71" s="71"/>
      <c r="M71" s="71"/>
      <c r="N71" s="71"/>
      <c r="O71" s="72"/>
    </row>
    <row r="72" spans="2:19" ht="12.75" customHeight="1" x14ac:dyDescent="0.2">
      <c r="B72" s="803"/>
      <c r="C72" s="822"/>
      <c r="D72" s="784" t="s">
        <v>188</v>
      </c>
      <c r="E72" s="783"/>
      <c r="F72" s="783"/>
      <c r="G72" s="80">
        <v>0</v>
      </c>
      <c r="H72" s="78">
        <f t="shared" si="5"/>
        <v>0</v>
      </c>
      <c r="I72" s="63"/>
      <c r="J72" s="75" t="s">
        <v>189</v>
      </c>
      <c r="K72" s="50"/>
      <c r="L72" s="50"/>
      <c r="M72" s="50"/>
      <c r="N72" s="50"/>
      <c r="O72" s="83">
        <f>O42</f>
        <v>3000</v>
      </c>
    </row>
    <row r="73" spans="2:19" ht="14.25" customHeight="1" x14ac:dyDescent="0.2">
      <c r="B73" s="803"/>
      <c r="C73" s="822"/>
      <c r="D73" s="782" t="s">
        <v>190</v>
      </c>
      <c r="E73" s="783"/>
      <c r="F73" s="783"/>
      <c r="G73" s="84">
        <v>0</v>
      </c>
      <c r="H73" s="78">
        <f t="shared" si="5"/>
        <v>0</v>
      </c>
      <c r="I73" s="63"/>
      <c r="J73" s="64"/>
      <c r="K73" s="39"/>
      <c r="L73" s="39"/>
      <c r="M73" s="39"/>
      <c r="N73" s="39"/>
      <c r="O73" s="65"/>
    </row>
    <row r="74" spans="2:19" x14ac:dyDescent="0.2">
      <c r="B74" s="803"/>
      <c r="C74" s="822"/>
      <c r="D74" s="782" t="s">
        <v>191</v>
      </c>
      <c r="E74" s="783"/>
      <c r="F74" s="783"/>
      <c r="G74" s="81">
        <v>0</v>
      </c>
      <c r="H74" s="78">
        <f t="shared" si="5"/>
        <v>0</v>
      </c>
      <c r="I74" s="58"/>
      <c r="J74" s="150"/>
      <c r="K74" s="50"/>
      <c r="L74" s="50"/>
      <c r="M74" s="50"/>
      <c r="N74" s="50"/>
      <c r="O74" s="83"/>
    </row>
    <row r="75" spans="2:19" x14ac:dyDescent="0.2">
      <c r="B75" s="803"/>
      <c r="C75" s="88" t="s">
        <v>192</v>
      </c>
      <c r="D75" s="813" t="s">
        <v>193</v>
      </c>
      <c r="E75" s="814"/>
      <c r="F75" s="814"/>
      <c r="G75" s="80">
        <v>0</v>
      </c>
      <c r="H75" s="78">
        <f t="shared" si="5"/>
        <v>0</v>
      </c>
      <c r="I75" s="58"/>
      <c r="J75" s="79"/>
      <c r="K75" s="39"/>
      <c r="L75" s="39"/>
      <c r="M75" s="39"/>
      <c r="N75" s="39"/>
      <c r="O75" s="65"/>
    </row>
    <row r="76" spans="2:19" ht="13.5" customHeight="1" thickBot="1" x14ac:dyDescent="0.25">
      <c r="B76" s="803"/>
      <c r="C76" s="88" t="s">
        <v>194</v>
      </c>
      <c r="D76" s="815" t="s">
        <v>195</v>
      </c>
      <c r="E76" s="815"/>
      <c r="F76" s="815"/>
      <c r="G76" s="89">
        <v>0</v>
      </c>
      <c r="H76" s="90">
        <f t="shared" si="5"/>
        <v>0</v>
      </c>
      <c r="I76" s="63"/>
      <c r="J76" s="67"/>
      <c r="K76" s="68"/>
      <c r="L76" s="68"/>
      <c r="M76" s="91"/>
      <c r="N76" s="91"/>
      <c r="O76" s="92"/>
    </row>
    <row r="77" spans="2:19" ht="13.5" thickBot="1" x14ac:dyDescent="0.25">
      <c r="B77" s="803"/>
      <c r="C77" s="93"/>
      <c r="D77" s="94"/>
      <c r="E77" s="816" t="s">
        <v>117</v>
      </c>
      <c r="F77" s="817"/>
      <c r="G77" s="95">
        <f>SUM(G68:G76)</f>
        <v>72360</v>
      </c>
      <c r="H77" s="96">
        <f>IF(SUM(G68:G74)&lt;150000,SUM(G68:G74),150000)+IF(+G75&lt;20000,+G75,20000)</f>
        <v>72360</v>
      </c>
      <c r="I77" s="63"/>
      <c r="J77" s="140"/>
      <c r="K77" s="141"/>
      <c r="L77" s="141"/>
      <c r="M77" s="142"/>
      <c r="N77" s="142"/>
      <c r="O77" s="143"/>
    </row>
    <row r="78" spans="2:19" ht="12.75" customHeight="1" x14ac:dyDescent="0.2">
      <c r="B78" s="803"/>
      <c r="C78" s="100" t="s">
        <v>196</v>
      </c>
      <c r="D78" s="782" t="s">
        <v>187</v>
      </c>
      <c r="E78" s="783"/>
      <c r="F78" s="818"/>
      <c r="G78" s="73">
        <f>+O42</f>
        <v>3000</v>
      </c>
      <c r="H78" s="101">
        <f>+IF(+G78&lt;25000,+G78,25000)</f>
        <v>3000</v>
      </c>
      <c r="I78" s="87"/>
    </row>
    <row r="79" spans="2:19" x14ac:dyDescent="0.2">
      <c r="B79" s="803"/>
      <c r="C79" s="100" t="s">
        <v>197</v>
      </c>
      <c r="D79" s="784" t="s">
        <v>198</v>
      </c>
      <c r="E79" s="785"/>
      <c r="F79" s="786"/>
      <c r="G79" s="102"/>
      <c r="H79" s="103">
        <f>+IF(+G79&lt;40000,+G79,40000)</f>
        <v>0</v>
      </c>
      <c r="I79" s="63"/>
    </row>
    <row r="80" spans="2:19" x14ac:dyDescent="0.2">
      <c r="B80" s="803"/>
      <c r="C80" s="100" t="s">
        <v>199</v>
      </c>
      <c r="D80" s="784" t="s">
        <v>200</v>
      </c>
      <c r="E80" s="785"/>
      <c r="F80" s="786"/>
      <c r="G80" s="81"/>
      <c r="H80" s="104">
        <v>0</v>
      </c>
      <c r="I80" s="63"/>
      <c r="J80" s="416"/>
      <c r="K80" s="416"/>
      <c r="L80" s="416"/>
      <c r="M80" s="416"/>
    </row>
    <row r="81" spans="2:12" x14ac:dyDescent="0.2">
      <c r="B81" s="803"/>
      <c r="C81" s="100" t="s">
        <v>201</v>
      </c>
      <c r="D81" s="784" t="s">
        <v>202</v>
      </c>
      <c r="E81" s="785"/>
      <c r="F81" s="786"/>
      <c r="G81" s="81"/>
      <c r="H81" s="104">
        <v>0</v>
      </c>
      <c r="I81" s="63"/>
    </row>
    <row r="82" spans="2:12" ht="13.5" thickBot="1" x14ac:dyDescent="0.25">
      <c r="B82" s="804"/>
      <c r="C82" s="100" t="s">
        <v>203</v>
      </c>
      <c r="D82" s="784" t="s">
        <v>204</v>
      </c>
      <c r="E82" s="785"/>
      <c r="F82" s="786"/>
      <c r="G82" s="102"/>
      <c r="H82" s="103">
        <f>+IF(+G82&lt;100000,+G82,10000)</f>
        <v>0</v>
      </c>
      <c r="I82" s="63"/>
    </row>
    <row r="83" spans="2:12" ht="13.5" thickBot="1" x14ac:dyDescent="0.25">
      <c r="B83" s="787" t="s">
        <v>205</v>
      </c>
      <c r="C83" s="788"/>
      <c r="D83" s="788"/>
      <c r="E83" s="788"/>
      <c r="F83" s="788"/>
      <c r="G83" s="107">
        <f>SUM(G78:G82)</f>
        <v>3000</v>
      </c>
      <c r="H83" s="108">
        <f>SUM(H77:H82)</f>
        <v>75360</v>
      </c>
    </row>
    <row r="84" spans="2:12" ht="13.5" thickBot="1" x14ac:dyDescent="0.25"/>
    <row r="85" spans="2:12" ht="13.5" thickBot="1" x14ac:dyDescent="0.25">
      <c r="B85" s="789" t="s">
        <v>206</v>
      </c>
      <c r="C85" s="790"/>
      <c r="D85" s="790"/>
      <c r="E85" s="790"/>
      <c r="F85" s="791"/>
      <c r="G85" s="1055">
        <f>ROUND(+G64-H83,-1)</f>
        <v>380560</v>
      </c>
      <c r="H85" s="1056"/>
      <c r="J85" s="109">
        <f>C37+D37+E37+F37</f>
        <v>153792</v>
      </c>
      <c r="K85" s="16" t="s">
        <v>235</v>
      </c>
    </row>
    <row r="86" spans="2:12" x14ac:dyDescent="0.2">
      <c r="B86" s="110"/>
      <c r="F86" s="105"/>
      <c r="J86" s="109">
        <f>G37+H37+I37</f>
        <v>122486</v>
      </c>
      <c r="K86" s="16" t="s">
        <v>236</v>
      </c>
    </row>
    <row r="87" spans="2:12" x14ac:dyDescent="0.2">
      <c r="C87" s="793" t="s">
        <v>207</v>
      </c>
      <c r="D87" s="794"/>
      <c r="E87" s="111" t="s">
        <v>208</v>
      </c>
      <c r="F87" s="111" t="s">
        <v>209</v>
      </c>
      <c r="G87" s="111" t="s">
        <v>210</v>
      </c>
      <c r="H87" s="111" t="s">
        <v>211</v>
      </c>
      <c r="J87" s="109">
        <f>J37+K37+L37</f>
        <v>138965</v>
      </c>
      <c r="K87" s="47" t="s">
        <v>237</v>
      </c>
    </row>
    <row r="88" spans="2:12" x14ac:dyDescent="0.2">
      <c r="C88" s="795" t="str">
        <f>IF(I6="M","0          - 250000","0          -  500000")</f>
        <v>0          - 250000</v>
      </c>
      <c r="D88" s="796"/>
      <c r="E88" s="112">
        <v>0</v>
      </c>
      <c r="F88" s="113">
        <f>IF(I6="M",(IF(G85&lt;250000,G85,250000)),(IF(G85&lt;250000,G85,250000)))</f>
        <v>250000</v>
      </c>
      <c r="G88" s="113">
        <f>G85-F88</f>
        <v>130560</v>
      </c>
      <c r="H88" s="113">
        <f>E88*F88</f>
        <v>0</v>
      </c>
      <c r="J88" s="16">
        <f>M37+N37</f>
        <v>83181</v>
      </c>
      <c r="K88" s="1" t="s">
        <v>238</v>
      </c>
    </row>
    <row r="89" spans="2:12" x14ac:dyDescent="0.2">
      <c r="C89" s="795" t="str">
        <f>IF(I6="M","250001 - 500000","250001-500000")</f>
        <v>250001 - 500000</v>
      </c>
      <c r="D89" s="796"/>
      <c r="E89" s="112">
        <v>0.05</v>
      </c>
      <c r="F89" s="113">
        <f>IF(I6="M",(IF(G88&lt;250000,G88,250000)),(IF(G88&lt;250000,G88,250000)))</f>
        <v>130560</v>
      </c>
      <c r="G89" s="113">
        <f>G88-F89</f>
        <v>0</v>
      </c>
      <c r="H89" s="114">
        <f>ROUND(E89*F89,0.1)</f>
        <v>6528</v>
      </c>
      <c r="J89" s="115">
        <f>SUM(J85:J88)</f>
        <v>498424</v>
      </c>
    </row>
    <row r="90" spans="2:12" x14ac:dyDescent="0.2">
      <c r="C90" s="797" t="s">
        <v>212</v>
      </c>
      <c r="D90" s="798"/>
      <c r="E90" s="112">
        <v>0.2</v>
      </c>
      <c r="F90" s="113">
        <f>IF(G89&lt;500000,G89,500000)</f>
        <v>0</v>
      </c>
      <c r="G90" s="113">
        <f>G89-F90</f>
        <v>0</v>
      </c>
      <c r="H90" s="114">
        <f>ROUND(E90*F90,0.1)</f>
        <v>0</v>
      </c>
      <c r="J90" s="16">
        <f>+G85</f>
        <v>380560</v>
      </c>
    </row>
    <row r="91" spans="2:12" x14ac:dyDescent="0.2">
      <c r="C91" s="795" t="s">
        <v>213</v>
      </c>
      <c r="D91" s="796"/>
      <c r="E91" s="112">
        <v>0.3</v>
      </c>
      <c r="F91" s="113">
        <f>G90</f>
        <v>0</v>
      </c>
      <c r="G91" s="113">
        <f>G90-F91</f>
        <v>0</v>
      </c>
      <c r="H91" s="114">
        <f>ROUND(E91*F91,0.1)</f>
        <v>0</v>
      </c>
      <c r="J91" s="16">
        <f>+J89-J90</f>
        <v>117864</v>
      </c>
    </row>
    <row r="92" spans="2:12" ht="12.75" customHeight="1" thickBot="1" x14ac:dyDescent="0.25">
      <c r="B92" s="116"/>
      <c r="C92" s="117"/>
      <c r="D92" s="47"/>
      <c r="E92" s="47"/>
      <c r="F92" s="47"/>
      <c r="J92" s="16">
        <f>ROUND(+G85/12,0.1)</f>
        <v>31713</v>
      </c>
      <c r="K92" s="223" t="s">
        <v>416</v>
      </c>
    </row>
    <row r="93" spans="2:12" ht="13.5" thickBot="1" x14ac:dyDescent="0.25">
      <c r="B93" s="799" t="s">
        <v>239</v>
      </c>
      <c r="C93" s="800"/>
      <c r="D93" s="800"/>
      <c r="E93" s="800"/>
      <c r="F93" s="801"/>
      <c r="G93" s="771">
        <f>H88+H89+H90+H91</f>
        <v>6528</v>
      </c>
      <c r="H93" s="772"/>
    </row>
    <row r="94" spans="2:12" ht="13.5" thickBot="1" x14ac:dyDescent="0.25">
      <c r="B94" s="119" t="s">
        <v>215</v>
      </c>
      <c r="C94" s="120"/>
      <c r="D94" s="120"/>
      <c r="E94" s="120"/>
      <c r="F94" s="120"/>
      <c r="G94" s="884">
        <f>IF(G85&lt;350000,2500,0)</f>
        <v>0</v>
      </c>
      <c r="H94" s="885">
        <f>IF(H92&lt;200000,0,IF(H92&lt;220000,((H92-200000)*10%),IF(H92&lt;=500000,2000,IF(H92&gt;=500000,0))))</f>
        <v>0</v>
      </c>
      <c r="J94" s="1"/>
      <c r="K94" s="121"/>
      <c r="L94" s="121"/>
    </row>
    <row r="95" spans="2:12" ht="13.5" thickBot="1" x14ac:dyDescent="0.25">
      <c r="B95" s="122" t="s">
        <v>216</v>
      </c>
      <c r="C95" s="123"/>
      <c r="D95" s="123"/>
      <c r="E95" s="123"/>
      <c r="F95" s="123"/>
      <c r="G95" s="771">
        <f>IF((G93-G94)&lt;0,0,(G93-G94))</f>
        <v>6528</v>
      </c>
      <c r="H95" s="772"/>
      <c r="I95" s="37"/>
    </row>
    <row r="96" spans="2:12" ht="13.5" thickBot="1" x14ac:dyDescent="0.25">
      <c r="B96" s="773" t="s">
        <v>240</v>
      </c>
      <c r="C96" s="774"/>
      <c r="D96" s="774"/>
      <c r="E96" s="774"/>
      <c r="F96" s="775"/>
      <c r="G96" s="776">
        <f>ROUND((IF(G95&gt;0,(G95*4%),0)),0)</f>
        <v>261</v>
      </c>
      <c r="H96" s="777"/>
      <c r="I96" s="37"/>
    </row>
    <row r="97" spans="2:9" ht="13.5" thickBot="1" x14ac:dyDescent="0.25">
      <c r="B97" s="778" t="s">
        <v>218</v>
      </c>
      <c r="C97" s="779"/>
      <c r="D97" s="779"/>
      <c r="E97" s="779"/>
      <c r="F97" s="779"/>
      <c r="G97" s="780">
        <f>G95+G96</f>
        <v>6789</v>
      </c>
      <c r="H97" s="781"/>
      <c r="I97" s="121"/>
    </row>
    <row r="98" spans="2:9" ht="13.5" thickBot="1" x14ac:dyDescent="0.25">
      <c r="B98" s="765" t="s">
        <v>219</v>
      </c>
      <c r="C98" s="766"/>
      <c r="D98" s="766"/>
      <c r="E98" s="766"/>
      <c r="F98" s="766"/>
      <c r="G98" s="767">
        <f>O38</f>
        <v>6795</v>
      </c>
      <c r="H98" s="768"/>
      <c r="I98" s="121"/>
    </row>
    <row r="99" spans="2:9" ht="13.5" thickBot="1" x14ac:dyDescent="0.25">
      <c r="B99" s="765" t="str">
        <f>IF(G99&gt;0,"TAX PAYABLE","TAX REFUND")</f>
        <v>TAX REFUND</v>
      </c>
      <c r="C99" s="766"/>
      <c r="D99" s="766"/>
      <c r="E99" s="766"/>
      <c r="F99" s="766"/>
      <c r="G99" s="767">
        <f>+G97-G98</f>
        <v>-6</v>
      </c>
      <c r="H99" s="768"/>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c r="I106" s="121"/>
    </row>
    <row r="107" spans="2:9"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0:F90 B99:F99 B93:F97">
    <cfRule type="cellIs" dxfId="275" priority="3" stopIfTrue="1" operator="equal">
      <formula>"TAX PAYABLE"</formula>
    </cfRule>
    <cfRule type="cellIs" dxfId="274" priority="4" stopIfTrue="1" operator="equal">
      <formula>"TAX REFUND"</formula>
    </cfRule>
  </conditionalFormatting>
  <conditionalFormatting sqref="G90:H90">
    <cfRule type="cellIs" dxfId="273" priority="5" stopIfTrue="1" operator="lessThan">
      <formula>0</formula>
    </cfRule>
    <cfRule type="cellIs" dxfId="272" priority="6" stopIfTrue="1" operator="greaterThan">
      <formula>0</formula>
    </cfRule>
  </conditionalFormatting>
  <conditionalFormatting sqref="G99:H99">
    <cfRule type="cellIs" dxfId="271" priority="1" stopIfTrue="1" operator="greaterThan">
      <formula>0</formula>
    </cfRule>
    <cfRule type="cellIs" dxfId="270"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$Q$8:$Q$9</formula1>
    </dataValidation>
  </dataValidations>
  <pageMargins left="0.7" right="0.7" top="0.75" bottom="0.75" header="0.3" footer="0.3"/>
  <pageSetup paperSize="5" orientation="landscape" horizontalDpi="300" verticalDpi="300" r:id="rId1"/>
  <headerFooter alignWithMargins="0"/>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7"/>
  <sheetViews>
    <sheetView topLeftCell="A62" workbookViewId="0">
      <selection activeCell="G78" sqref="G78"/>
    </sheetView>
  </sheetViews>
  <sheetFormatPr defaultRowHeight="12.75" x14ac:dyDescent="0.2"/>
  <cols>
    <col min="1" max="1" width="3.85546875" style="16" customWidth="1"/>
    <col min="2" max="2" width="17" style="16" customWidth="1"/>
    <col min="3" max="3" width="9.140625" style="16"/>
    <col min="4" max="4" width="7.85546875" style="16" customWidth="1"/>
    <col min="5" max="5" width="8.5703125" style="16" bestFit="1" customWidth="1"/>
    <col min="6" max="6" width="9.28515625" style="16" bestFit="1" customWidth="1"/>
    <col min="7" max="7" width="8.42578125" style="16" bestFit="1" customWidth="1"/>
    <col min="8" max="8" width="8.85546875" style="16" bestFit="1" customWidth="1"/>
    <col min="9" max="9" width="9.85546875" style="16" customWidth="1"/>
    <col min="10" max="10" width="9.28515625" style="16" customWidth="1"/>
    <col min="11" max="13" width="10" style="16" bestFit="1" customWidth="1"/>
    <col min="14" max="14" width="8.140625" style="16" customWidth="1"/>
    <col min="15" max="15" width="7.140625" style="16" bestFit="1" customWidth="1"/>
    <col min="16" max="256" width="9.140625" style="16"/>
    <col min="257" max="257" width="3.85546875" style="16" customWidth="1"/>
    <col min="258" max="258" width="17" style="16" customWidth="1"/>
    <col min="259" max="259" width="9.140625" style="16"/>
    <col min="260" max="260" width="7.85546875" style="16" customWidth="1"/>
    <col min="261" max="261" width="8.5703125" style="16" bestFit="1" customWidth="1"/>
    <col min="262" max="262" width="9.28515625" style="16" bestFit="1" customWidth="1"/>
    <col min="263" max="263" width="8.42578125" style="16" bestFit="1" customWidth="1"/>
    <col min="264" max="264" width="8.85546875" style="16" bestFit="1" customWidth="1"/>
    <col min="265" max="265" width="9.85546875" style="16" customWidth="1"/>
    <col min="266" max="266" width="9.28515625" style="16" customWidth="1"/>
    <col min="267" max="269" width="10" style="16" bestFit="1" customWidth="1"/>
    <col min="270" max="270" width="8.140625" style="16" customWidth="1"/>
    <col min="271" max="271" width="7.140625" style="16" bestFit="1" customWidth="1"/>
    <col min="272" max="512" width="9.140625" style="16"/>
    <col min="513" max="513" width="3.85546875" style="16" customWidth="1"/>
    <col min="514" max="514" width="17" style="16" customWidth="1"/>
    <col min="515" max="515" width="9.140625" style="16"/>
    <col min="516" max="516" width="7.85546875" style="16" customWidth="1"/>
    <col min="517" max="517" width="8.5703125" style="16" bestFit="1" customWidth="1"/>
    <col min="518" max="518" width="9.28515625" style="16" bestFit="1" customWidth="1"/>
    <col min="519" max="519" width="8.42578125" style="16" bestFit="1" customWidth="1"/>
    <col min="520" max="520" width="8.85546875" style="16" bestFit="1" customWidth="1"/>
    <col min="521" max="521" width="9.85546875" style="16" customWidth="1"/>
    <col min="522" max="522" width="9.28515625" style="16" customWidth="1"/>
    <col min="523" max="525" width="10" style="16" bestFit="1" customWidth="1"/>
    <col min="526" max="526" width="8.140625" style="16" customWidth="1"/>
    <col min="527" max="527" width="7.140625" style="16" bestFit="1" customWidth="1"/>
    <col min="528" max="768" width="9.140625" style="16"/>
    <col min="769" max="769" width="3.85546875" style="16" customWidth="1"/>
    <col min="770" max="770" width="17" style="16" customWidth="1"/>
    <col min="771" max="771" width="9.140625" style="16"/>
    <col min="772" max="772" width="7.85546875" style="16" customWidth="1"/>
    <col min="773" max="773" width="8.5703125" style="16" bestFit="1" customWidth="1"/>
    <col min="774" max="774" width="9.28515625" style="16" bestFit="1" customWidth="1"/>
    <col min="775" max="775" width="8.42578125" style="16" bestFit="1" customWidth="1"/>
    <col min="776" max="776" width="8.85546875" style="16" bestFit="1" customWidth="1"/>
    <col min="777" max="777" width="9.85546875" style="16" customWidth="1"/>
    <col min="778" max="778" width="9.28515625" style="16" customWidth="1"/>
    <col min="779" max="781" width="10" style="16" bestFit="1" customWidth="1"/>
    <col min="782" max="782" width="8.140625" style="16" customWidth="1"/>
    <col min="783" max="783" width="7.140625" style="16" bestFit="1" customWidth="1"/>
    <col min="784" max="1024" width="9.140625" style="16"/>
    <col min="1025" max="1025" width="3.85546875" style="16" customWidth="1"/>
    <col min="1026" max="1026" width="17" style="16" customWidth="1"/>
    <col min="1027" max="1027" width="9.140625" style="16"/>
    <col min="1028" max="1028" width="7.85546875" style="16" customWidth="1"/>
    <col min="1029" max="1029" width="8.5703125" style="16" bestFit="1" customWidth="1"/>
    <col min="1030" max="1030" width="9.28515625" style="16" bestFit="1" customWidth="1"/>
    <col min="1031" max="1031" width="8.42578125" style="16" bestFit="1" customWidth="1"/>
    <col min="1032" max="1032" width="8.85546875" style="16" bestFit="1" customWidth="1"/>
    <col min="1033" max="1033" width="9.85546875" style="16" customWidth="1"/>
    <col min="1034" max="1034" width="9.28515625" style="16" customWidth="1"/>
    <col min="1035" max="1037" width="10" style="16" bestFit="1" customWidth="1"/>
    <col min="1038" max="1038" width="8.140625" style="16" customWidth="1"/>
    <col min="1039" max="1039" width="7.140625" style="16" bestFit="1" customWidth="1"/>
    <col min="1040" max="1280" width="9.140625" style="16"/>
    <col min="1281" max="1281" width="3.85546875" style="16" customWidth="1"/>
    <col min="1282" max="1282" width="17" style="16" customWidth="1"/>
    <col min="1283" max="1283" width="9.140625" style="16"/>
    <col min="1284" max="1284" width="7.85546875" style="16" customWidth="1"/>
    <col min="1285" max="1285" width="8.5703125" style="16" bestFit="1" customWidth="1"/>
    <col min="1286" max="1286" width="9.28515625" style="16" bestFit="1" customWidth="1"/>
    <col min="1287" max="1287" width="8.42578125" style="16" bestFit="1" customWidth="1"/>
    <col min="1288" max="1288" width="8.85546875" style="16" bestFit="1" customWidth="1"/>
    <col min="1289" max="1289" width="9.85546875" style="16" customWidth="1"/>
    <col min="1290" max="1290" width="9.28515625" style="16" customWidth="1"/>
    <col min="1291" max="1293" width="10" style="16" bestFit="1" customWidth="1"/>
    <col min="1294" max="1294" width="8.140625" style="16" customWidth="1"/>
    <col min="1295" max="1295" width="7.140625" style="16" bestFit="1" customWidth="1"/>
    <col min="1296" max="1536" width="9.140625" style="16"/>
    <col min="1537" max="1537" width="3.85546875" style="16" customWidth="1"/>
    <col min="1538" max="1538" width="17" style="16" customWidth="1"/>
    <col min="1539" max="1539" width="9.140625" style="16"/>
    <col min="1540" max="1540" width="7.85546875" style="16" customWidth="1"/>
    <col min="1541" max="1541" width="8.5703125" style="16" bestFit="1" customWidth="1"/>
    <col min="1542" max="1542" width="9.28515625" style="16" bestFit="1" customWidth="1"/>
    <col min="1543" max="1543" width="8.42578125" style="16" bestFit="1" customWidth="1"/>
    <col min="1544" max="1544" width="8.85546875" style="16" bestFit="1" customWidth="1"/>
    <col min="1545" max="1545" width="9.85546875" style="16" customWidth="1"/>
    <col min="1546" max="1546" width="9.28515625" style="16" customWidth="1"/>
    <col min="1547" max="1549" width="10" style="16" bestFit="1" customWidth="1"/>
    <col min="1550" max="1550" width="8.140625" style="16" customWidth="1"/>
    <col min="1551" max="1551" width="7.140625" style="16" bestFit="1" customWidth="1"/>
    <col min="1552" max="1792" width="9.140625" style="16"/>
    <col min="1793" max="1793" width="3.85546875" style="16" customWidth="1"/>
    <col min="1794" max="1794" width="17" style="16" customWidth="1"/>
    <col min="1795" max="1795" width="9.140625" style="16"/>
    <col min="1796" max="1796" width="7.85546875" style="16" customWidth="1"/>
    <col min="1797" max="1797" width="8.5703125" style="16" bestFit="1" customWidth="1"/>
    <col min="1798" max="1798" width="9.28515625" style="16" bestFit="1" customWidth="1"/>
    <col min="1799" max="1799" width="8.42578125" style="16" bestFit="1" customWidth="1"/>
    <col min="1800" max="1800" width="8.85546875" style="16" bestFit="1" customWidth="1"/>
    <col min="1801" max="1801" width="9.85546875" style="16" customWidth="1"/>
    <col min="1802" max="1802" width="9.28515625" style="16" customWidth="1"/>
    <col min="1803" max="1805" width="10" style="16" bestFit="1" customWidth="1"/>
    <col min="1806" max="1806" width="8.140625" style="16" customWidth="1"/>
    <col min="1807" max="1807" width="7.140625" style="16" bestFit="1" customWidth="1"/>
    <col min="1808" max="2048" width="9.140625" style="16"/>
    <col min="2049" max="2049" width="3.85546875" style="16" customWidth="1"/>
    <col min="2050" max="2050" width="17" style="16" customWidth="1"/>
    <col min="2051" max="2051" width="9.140625" style="16"/>
    <col min="2052" max="2052" width="7.85546875" style="16" customWidth="1"/>
    <col min="2053" max="2053" width="8.5703125" style="16" bestFit="1" customWidth="1"/>
    <col min="2054" max="2054" width="9.28515625" style="16" bestFit="1" customWidth="1"/>
    <col min="2055" max="2055" width="8.42578125" style="16" bestFit="1" customWidth="1"/>
    <col min="2056" max="2056" width="8.85546875" style="16" bestFit="1" customWidth="1"/>
    <col min="2057" max="2057" width="9.85546875" style="16" customWidth="1"/>
    <col min="2058" max="2058" width="9.28515625" style="16" customWidth="1"/>
    <col min="2059" max="2061" width="10" style="16" bestFit="1" customWidth="1"/>
    <col min="2062" max="2062" width="8.140625" style="16" customWidth="1"/>
    <col min="2063" max="2063" width="7.140625" style="16" bestFit="1" customWidth="1"/>
    <col min="2064" max="2304" width="9.140625" style="16"/>
    <col min="2305" max="2305" width="3.85546875" style="16" customWidth="1"/>
    <col min="2306" max="2306" width="17" style="16" customWidth="1"/>
    <col min="2307" max="2307" width="9.140625" style="16"/>
    <col min="2308" max="2308" width="7.85546875" style="16" customWidth="1"/>
    <col min="2309" max="2309" width="8.5703125" style="16" bestFit="1" customWidth="1"/>
    <col min="2310" max="2310" width="9.28515625" style="16" bestFit="1" customWidth="1"/>
    <col min="2311" max="2311" width="8.42578125" style="16" bestFit="1" customWidth="1"/>
    <col min="2312" max="2312" width="8.85546875" style="16" bestFit="1" customWidth="1"/>
    <col min="2313" max="2313" width="9.85546875" style="16" customWidth="1"/>
    <col min="2314" max="2314" width="9.28515625" style="16" customWidth="1"/>
    <col min="2315" max="2317" width="10" style="16" bestFit="1" customWidth="1"/>
    <col min="2318" max="2318" width="8.140625" style="16" customWidth="1"/>
    <col min="2319" max="2319" width="7.140625" style="16" bestFit="1" customWidth="1"/>
    <col min="2320" max="2560" width="9.140625" style="16"/>
    <col min="2561" max="2561" width="3.85546875" style="16" customWidth="1"/>
    <col min="2562" max="2562" width="17" style="16" customWidth="1"/>
    <col min="2563" max="2563" width="9.140625" style="16"/>
    <col min="2564" max="2564" width="7.85546875" style="16" customWidth="1"/>
    <col min="2565" max="2565" width="8.5703125" style="16" bestFit="1" customWidth="1"/>
    <col min="2566" max="2566" width="9.28515625" style="16" bestFit="1" customWidth="1"/>
    <col min="2567" max="2567" width="8.42578125" style="16" bestFit="1" customWidth="1"/>
    <col min="2568" max="2568" width="8.85546875" style="16" bestFit="1" customWidth="1"/>
    <col min="2569" max="2569" width="9.85546875" style="16" customWidth="1"/>
    <col min="2570" max="2570" width="9.28515625" style="16" customWidth="1"/>
    <col min="2571" max="2573" width="10" style="16" bestFit="1" customWidth="1"/>
    <col min="2574" max="2574" width="8.140625" style="16" customWidth="1"/>
    <col min="2575" max="2575" width="7.140625" style="16" bestFit="1" customWidth="1"/>
    <col min="2576" max="2816" width="9.140625" style="16"/>
    <col min="2817" max="2817" width="3.85546875" style="16" customWidth="1"/>
    <col min="2818" max="2818" width="17" style="16" customWidth="1"/>
    <col min="2819" max="2819" width="9.140625" style="16"/>
    <col min="2820" max="2820" width="7.85546875" style="16" customWidth="1"/>
    <col min="2821" max="2821" width="8.5703125" style="16" bestFit="1" customWidth="1"/>
    <col min="2822" max="2822" width="9.28515625" style="16" bestFit="1" customWidth="1"/>
    <col min="2823" max="2823" width="8.42578125" style="16" bestFit="1" customWidth="1"/>
    <col min="2824" max="2824" width="8.85546875" style="16" bestFit="1" customWidth="1"/>
    <col min="2825" max="2825" width="9.85546875" style="16" customWidth="1"/>
    <col min="2826" max="2826" width="9.28515625" style="16" customWidth="1"/>
    <col min="2827" max="2829" width="10" style="16" bestFit="1" customWidth="1"/>
    <col min="2830" max="2830" width="8.140625" style="16" customWidth="1"/>
    <col min="2831" max="2831" width="7.140625" style="16" bestFit="1" customWidth="1"/>
    <col min="2832" max="3072" width="9.140625" style="16"/>
    <col min="3073" max="3073" width="3.85546875" style="16" customWidth="1"/>
    <col min="3074" max="3074" width="17" style="16" customWidth="1"/>
    <col min="3075" max="3075" width="9.140625" style="16"/>
    <col min="3076" max="3076" width="7.85546875" style="16" customWidth="1"/>
    <col min="3077" max="3077" width="8.5703125" style="16" bestFit="1" customWidth="1"/>
    <col min="3078" max="3078" width="9.28515625" style="16" bestFit="1" customWidth="1"/>
    <col min="3079" max="3079" width="8.42578125" style="16" bestFit="1" customWidth="1"/>
    <col min="3080" max="3080" width="8.85546875" style="16" bestFit="1" customWidth="1"/>
    <col min="3081" max="3081" width="9.85546875" style="16" customWidth="1"/>
    <col min="3082" max="3082" width="9.28515625" style="16" customWidth="1"/>
    <col min="3083" max="3085" width="10" style="16" bestFit="1" customWidth="1"/>
    <col min="3086" max="3086" width="8.140625" style="16" customWidth="1"/>
    <col min="3087" max="3087" width="7.140625" style="16" bestFit="1" customWidth="1"/>
    <col min="3088" max="3328" width="9.140625" style="16"/>
    <col min="3329" max="3329" width="3.85546875" style="16" customWidth="1"/>
    <col min="3330" max="3330" width="17" style="16" customWidth="1"/>
    <col min="3331" max="3331" width="9.140625" style="16"/>
    <col min="3332" max="3332" width="7.85546875" style="16" customWidth="1"/>
    <col min="3333" max="3333" width="8.5703125" style="16" bestFit="1" customWidth="1"/>
    <col min="3334" max="3334" width="9.28515625" style="16" bestFit="1" customWidth="1"/>
    <col min="3335" max="3335" width="8.42578125" style="16" bestFit="1" customWidth="1"/>
    <col min="3336" max="3336" width="8.85546875" style="16" bestFit="1" customWidth="1"/>
    <col min="3337" max="3337" width="9.85546875" style="16" customWidth="1"/>
    <col min="3338" max="3338" width="9.28515625" style="16" customWidth="1"/>
    <col min="3339" max="3341" width="10" style="16" bestFit="1" customWidth="1"/>
    <col min="3342" max="3342" width="8.140625" style="16" customWidth="1"/>
    <col min="3343" max="3343" width="7.140625" style="16" bestFit="1" customWidth="1"/>
    <col min="3344" max="3584" width="9.140625" style="16"/>
    <col min="3585" max="3585" width="3.85546875" style="16" customWidth="1"/>
    <col min="3586" max="3586" width="17" style="16" customWidth="1"/>
    <col min="3587" max="3587" width="9.140625" style="16"/>
    <col min="3588" max="3588" width="7.85546875" style="16" customWidth="1"/>
    <col min="3589" max="3589" width="8.5703125" style="16" bestFit="1" customWidth="1"/>
    <col min="3590" max="3590" width="9.28515625" style="16" bestFit="1" customWidth="1"/>
    <col min="3591" max="3591" width="8.42578125" style="16" bestFit="1" customWidth="1"/>
    <col min="3592" max="3592" width="8.85546875" style="16" bestFit="1" customWidth="1"/>
    <col min="3593" max="3593" width="9.85546875" style="16" customWidth="1"/>
    <col min="3594" max="3594" width="9.28515625" style="16" customWidth="1"/>
    <col min="3595" max="3597" width="10" style="16" bestFit="1" customWidth="1"/>
    <col min="3598" max="3598" width="8.140625" style="16" customWidth="1"/>
    <col min="3599" max="3599" width="7.140625" style="16" bestFit="1" customWidth="1"/>
    <col min="3600" max="3840" width="9.140625" style="16"/>
    <col min="3841" max="3841" width="3.85546875" style="16" customWidth="1"/>
    <col min="3842" max="3842" width="17" style="16" customWidth="1"/>
    <col min="3843" max="3843" width="9.140625" style="16"/>
    <col min="3844" max="3844" width="7.85546875" style="16" customWidth="1"/>
    <col min="3845" max="3845" width="8.5703125" style="16" bestFit="1" customWidth="1"/>
    <col min="3846" max="3846" width="9.28515625" style="16" bestFit="1" customWidth="1"/>
    <col min="3847" max="3847" width="8.42578125" style="16" bestFit="1" customWidth="1"/>
    <col min="3848" max="3848" width="8.85546875" style="16" bestFit="1" customWidth="1"/>
    <col min="3849" max="3849" width="9.85546875" style="16" customWidth="1"/>
    <col min="3850" max="3850" width="9.28515625" style="16" customWidth="1"/>
    <col min="3851" max="3853" width="10" style="16" bestFit="1" customWidth="1"/>
    <col min="3854" max="3854" width="8.140625" style="16" customWidth="1"/>
    <col min="3855" max="3855" width="7.140625" style="16" bestFit="1" customWidth="1"/>
    <col min="3856" max="4096" width="9.140625" style="16"/>
    <col min="4097" max="4097" width="3.85546875" style="16" customWidth="1"/>
    <col min="4098" max="4098" width="17" style="16" customWidth="1"/>
    <col min="4099" max="4099" width="9.140625" style="16"/>
    <col min="4100" max="4100" width="7.85546875" style="16" customWidth="1"/>
    <col min="4101" max="4101" width="8.5703125" style="16" bestFit="1" customWidth="1"/>
    <col min="4102" max="4102" width="9.28515625" style="16" bestFit="1" customWidth="1"/>
    <col min="4103" max="4103" width="8.42578125" style="16" bestFit="1" customWidth="1"/>
    <col min="4104" max="4104" width="8.85546875" style="16" bestFit="1" customWidth="1"/>
    <col min="4105" max="4105" width="9.85546875" style="16" customWidth="1"/>
    <col min="4106" max="4106" width="9.28515625" style="16" customWidth="1"/>
    <col min="4107" max="4109" width="10" style="16" bestFit="1" customWidth="1"/>
    <col min="4110" max="4110" width="8.140625" style="16" customWidth="1"/>
    <col min="4111" max="4111" width="7.140625" style="16" bestFit="1" customWidth="1"/>
    <col min="4112" max="4352" width="9.140625" style="16"/>
    <col min="4353" max="4353" width="3.85546875" style="16" customWidth="1"/>
    <col min="4354" max="4354" width="17" style="16" customWidth="1"/>
    <col min="4355" max="4355" width="9.140625" style="16"/>
    <col min="4356" max="4356" width="7.85546875" style="16" customWidth="1"/>
    <col min="4357" max="4357" width="8.5703125" style="16" bestFit="1" customWidth="1"/>
    <col min="4358" max="4358" width="9.28515625" style="16" bestFit="1" customWidth="1"/>
    <col min="4359" max="4359" width="8.42578125" style="16" bestFit="1" customWidth="1"/>
    <col min="4360" max="4360" width="8.85546875" style="16" bestFit="1" customWidth="1"/>
    <col min="4361" max="4361" width="9.85546875" style="16" customWidth="1"/>
    <col min="4362" max="4362" width="9.28515625" style="16" customWidth="1"/>
    <col min="4363" max="4365" width="10" style="16" bestFit="1" customWidth="1"/>
    <col min="4366" max="4366" width="8.140625" style="16" customWidth="1"/>
    <col min="4367" max="4367" width="7.140625" style="16" bestFit="1" customWidth="1"/>
    <col min="4368" max="4608" width="9.140625" style="16"/>
    <col min="4609" max="4609" width="3.85546875" style="16" customWidth="1"/>
    <col min="4610" max="4610" width="17" style="16" customWidth="1"/>
    <col min="4611" max="4611" width="9.140625" style="16"/>
    <col min="4612" max="4612" width="7.85546875" style="16" customWidth="1"/>
    <col min="4613" max="4613" width="8.5703125" style="16" bestFit="1" customWidth="1"/>
    <col min="4614" max="4614" width="9.28515625" style="16" bestFit="1" customWidth="1"/>
    <col min="4615" max="4615" width="8.42578125" style="16" bestFit="1" customWidth="1"/>
    <col min="4616" max="4616" width="8.85546875" style="16" bestFit="1" customWidth="1"/>
    <col min="4617" max="4617" width="9.85546875" style="16" customWidth="1"/>
    <col min="4618" max="4618" width="9.28515625" style="16" customWidth="1"/>
    <col min="4619" max="4621" width="10" style="16" bestFit="1" customWidth="1"/>
    <col min="4622" max="4622" width="8.140625" style="16" customWidth="1"/>
    <col min="4623" max="4623" width="7.140625" style="16" bestFit="1" customWidth="1"/>
    <col min="4624" max="4864" width="9.140625" style="16"/>
    <col min="4865" max="4865" width="3.85546875" style="16" customWidth="1"/>
    <col min="4866" max="4866" width="17" style="16" customWidth="1"/>
    <col min="4867" max="4867" width="9.140625" style="16"/>
    <col min="4868" max="4868" width="7.85546875" style="16" customWidth="1"/>
    <col min="4869" max="4869" width="8.5703125" style="16" bestFit="1" customWidth="1"/>
    <col min="4870" max="4870" width="9.28515625" style="16" bestFit="1" customWidth="1"/>
    <col min="4871" max="4871" width="8.42578125" style="16" bestFit="1" customWidth="1"/>
    <col min="4872" max="4872" width="8.85546875" style="16" bestFit="1" customWidth="1"/>
    <col min="4873" max="4873" width="9.85546875" style="16" customWidth="1"/>
    <col min="4874" max="4874" width="9.28515625" style="16" customWidth="1"/>
    <col min="4875" max="4877" width="10" style="16" bestFit="1" customWidth="1"/>
    <col min="4878" max="4878" width="8.140625" style="16" customWidth="1"/>
    <col min="4879" max="4879" width="7.140625" style="16" bestFit="1" customWidth="1"/>
    <col min="4880" max="5120" width="9.140625" style="16"/>
    <col min="5121" max="5121" width="3.85546875" style="16" customWidth="1"/>
    <col min="5122" max="5122" width="17" style="16" customWidth="1"/>
    <col min="5123" max="5123" width="9.140625" style="16"/>
    <col min="5124" max="5124" width="7.85546875" style="16" customWidth="1"/>
    <col min="5125" max="5125" width="8.5703125" style="16" bestFit="1" customWidth="1"/>
    <col min="5126" max="5126" width="9.28515625" style="16" bestFit="1" customWidth="1"/>
    <col min="5127" max="5127" width="8.42578125" style="16" bestFit="1" customWidth="1"/>
    <col min="5128" max="5128" width="8.85546875" style="16" bestFit="1" customWidth="1"/>
    <col min="5129" max="5129" width="9.85546875" style="16" customWidth="1"/>
    <col min="5130" max="5130" width="9.28515625" style="16" customWidth="1"/>
    <col min="5131" max="5133" width="10" style="16" bestFit="1" customWidth="1"/>
    <col min="5134" max="5134" width="8.140625" style="16" customWidth="1"/>
    <col min="5135" max="5135" width="7.140625" style="16" bestFit="1" customWidth="1"/>
    <col min="5136" max="5376" width="9.140625" style="16"/>
    <col min="5377" max="5377" width="3.85546875" style="16" customWidth="1"/>
    <col min="5378" max="5378" width="17" style="16" customWidth="1"/>
    <col min="5379" max="5379" width="9.140625" style="16"/>
    <col min="5380" max="5380" width="7.85546875" style="16" customWidth="1"/>
    <col min="5381" max="5381" width="8.5703125" style="16" bestFit="1" customWidth="1"/>
    <col min="5382" max="5382" width="9.28515625" style="16" bestFit="1" customWidth="1"/>
    <col min="5383" max="5383" width="8.42578125" style="16" bestFit="1" customWidth="1"/>
    <col min="5384" max="5384" width="8.85546875" style="16" bestFit="1" customWidth="1"/>
    <col min="5385" max="5385" width="9.85546875" style="16" customWidth="1"/>
    <col min="5386" max="5386" width="9.28515625" style="16" customWidth="1"/>
    <col min="5387" max="5389" width="10" style="16" bestFit="1" customWidth="1"/>
    <col min="5390" max="5390" width="8.140625" style="16" customWidth="1"/>
    <col min="5391" max="5391" width="7.140625" style="16" bestFit="1" customWidth="1"/>
    <col min="5392" max="5632" width="9.140625" style="16"/>
    <col min="5633" max="5633" width="3.85546875" style="16" customWidth="1"/>
    <col min="5634" max="5634" width="17" style="16" customWidth="1"/>
    <col min="5635" max="5635" width="9.140625" style="16"/>
    <col min="5636" max="5636" width="7.85546875" style="16" customWidth="1"/>
    <col min="5637" max="5637" width="8.5703125" style="16" bestFit="1" customWidth="1"/>
    <col min="5638" max="5638" width="9.28515625" style="16" bestFit="1" customWidth="1"/>
    <col min="5639" max="5639" width="8.42578125" style="16" bestFit="1" customWidth="1"/>
    <col min="5640" max="5640" width="8.85546875" style="16" bestFit="1" customWidth="1"/>
    <col min="5641" max="5641" width="9.85546875" style="16" customWidth="1"/>
    <col min="5642" max="5642" width="9.28515625" style="16" customWidth="1"/>
    <col min="5643" max="5645" width="10" style="16" bestFit="1" customWidth="1"/>
    <col min="5646" max="5646" width="8.140625" style="16" customWidth="1"/>
    <col min="5647" max="5647" width="7.140625" style="16" bestFit="1" customWidth="1"/>
    <col min="5648" max="5888" width="9.140625" style="16"/>
    <col min="5889" max="5889" width="3.85546875" style="16" customWidth="1"/>
    <col min="5890" max="5890" width="17" style="16" customWidth="1"/>
    <col min="5891" max="5891" width="9.140625" style="16"/>
    <col min="5892" max="5892" width="7.85546875" style="16" customWidth="1"/>
    <col min="5893" max="5893" width="8.5703125" style="16" bestFit="1" customWidth="1"/>
    <col min="5894" max="5894" width="9.28515625" style="16" bestFit="1" customWidth="1"/>
    <col min="5895" max="5895" width="8.42578125" style="16" bestFit="1" customWidth="1"/>
    <col min="5896" max="5896" width="8.85546875" style="16" bestFit="1" customWidth="1"/>
    <col min="5897" max="5897" width="9.85546875" style="16" customWidth="1"/>
    <col min="5898" max="5898" width="9.28515625" style="16" customWidth="1"/>
    <col min="5899" max="5901" width="10" style="16" bestFit="1" customWidth="1"/>
    <col min="5902" max="5902" width="8.140625" style="16" customWidth="1"/>
    <col min="5903" max="5903" width="7.140625" style="16" bestFit="1" customWidth="1"/>
    <col min="5904" max="6144" width="9.140625" style="16"/>
    <col min="6145" max="6145" width="3.85546875" style="16" customWidth="1"/>
    <col min="6146" max="6146" width="17" style="16" customWidth="1"/>
    <col min="6147" max="6147" width="9.140625" style="16"/>
    <col min="6148" max="6148" width="7.85546875" style="16" customWidth="1"/>
    <col min="6149" max="6149" width="8.5703125" style="16" bestFit="1" customWidth="1"/>
    <col min="6150" max="6150" width="9.28515625" style="16" bestFit="1" customWidth="1"/>
    <col min="6151" max="6151" width="8.42578125" style="16" bestFit="1" customWidth="1"/>
    <col min="6152" max="6152" width="8.85546875" style="16" bestFit="1" customWidth="1"/>
    <col min="6153" max="6153" width="9.85546875" style="16" customWidth="1"/>
    <col min="6154" max="6154" width="9.28515625" style="16" customWidth="1"/>
    <col min="6155" max="6157" width="10" style="16" bestFit="1" customWidth="1"/>
    <col min="6158" max="6158" width="8.140625" style="16" customWidth="1"/>
    <col min="6159" max="6159" width="7.140625" style="16" bestFit="1" customWidth="1"/>
    <col min="6160" max="6400" width="9.140625" style="16"/>
    <col min="6401" max="6401" width="3.85546875" style="16" customWidth="1"/>
    <col min="6402" max="6402" width="17" style="16" customWidth="1"/>
    <col min="6403" max="6403" width="9.140625" style="16"/>
    <col min="6404" max="6404" width="7.85546875" style="16" customWidth="1"/>
    <col min="6405" max="6405" width="8.5703125" style="16" bestFit="1" customWidth="1"/>
    <col min="6406" max="6406" width="9.28515625" style="16" bestFit="1" customWidth="1"/>
    <col min="6407" max="6407" width="8.42578125" style="16" bestFit="1" customWidth="1"/>
    <col min="6408" max="6408" width="8.85546875" style="16" bestFit="1" customWidth="1"/>
    <col min="6409" max="6409" width="9.85546875" style="16" customWidth="1"/>
    <col min="6410" max="6410" width="9.28515625" style="16" customWidth="1"/>
    <col min="6411" max="6413" width="10" style="16" bestFit="1" customWidth="1"/>
    <col min="6414" max="6414" width="8.140625" style="16" customWidth="1"/>
    <col min="6415" max="6415" width="7.140625" style="16" bestFit="1" customWidth="1"/>
    <col min="6416" max="6656" width="9.140625" style="16"/>
    <col min="6657" max="6657" width="3.85546875" style="16" customWidth="1"/>
    <col min="6658" max="6658" width="17" style="16" customWidth="1"/>
    <col min="6659" max="6659" width="9.140625" style="16"/>
    <col min="6660" max="6660" width="7.85546875" style="16" customWidth="1"/>
    <col min="6661" max="6661" width="8.5703125" style="16" bestFit="1" customWidth="1"/>
    <col min="6662" max="6662" width="9.28515625" style="16" bestFit="1" customWidth="1"/>
    <col min="6663" max="6663" width="8.42578125" style="16" bestFit="1" customWidth="1"/>
    <col min="6664" max="6664" width="8.85546875" style="16" bestFit="1" customWidth="1"/>
    <col min="6665" max="6665" width="9.85546875" style="16" customWidth="1"/>
    <col min="6666" max="6666" width="9.28515625" style="16" customWidth="1"/>
    <col min="6667" max="6669" width="10" style="16" bestFit="1" customWidth="1"/>
    <col min="6670" max="6670" width="8.140625" style="16" customWidth="1"/>
    <col min="6671" max="6671" width="7.140625" style="16" bestFit="1" customWidth="1"/>
    <col min="6672" max="6912" width="9.140625" style="16"/>
    <col min="6913" max="6913" width="3.85546875" style="16" customWidth="1"/>
    <col min="6914" max="6914" width="17" style="16" customWidth="1"/>
    <col min="6915" max="6915" width="9.140625" style="16"/>
    <col min="6916" max="6916" width="7.85546875" style="16" customWidth="1"/>
    <col min="6917" max="6917" width="8.5703125" style="16" bestFit="1" customWidth="1"/>
    <col min="6918" max="6918" width="9.28515625" style="16" bestFit="1" customWidth="1"/>
    <col min="6919" max="6919" width="8.42578125" style="16" bestFit="1" customWidth="1"/>
    <col min="6920" max="6920" width="8.85546875" style="16" bestFit="1" customWidth="1"/>
    <col min="6921" max="6921" width="9.85546875" style="16" customWidth="1"/>
    <col min="6922" max="6922" width="9.28515625" style="16" customWidth="1"/>
    <col min="6923" max="6925" width="10" style="16" bestFit="1" customWidth="1"/>
    <col min="6926" max="6926" width="8.140625" style="16" customWidth="1"/>
    <col min="6927" max="6927" width="7.140625" style="16" bestFit="1" customWidth="1"/>
    <col min="6928" max="7168" width="9.140625" style="16"/>
    <col min="7169" max="7169" width="3.85546875" style="16" customWidth="1"/>
    <col min="7170" max="7170" width="17" style="16" customWidth="1"/>
    <col min="7171" max="7171" width="9.140625" style="16"/>
    <col min="7172" max="7172" width="7.85546875" style="16" customWidth="1"/>
    <col min="7173" max="7173" width="8.5703125" style="16" bestFit="1" customWidth="1"/>
    <col min="7174" max="7174" width="9.28515625" style="16" bestFit="1" customWidth="1"/>
    <col min="7175" max="7175" width="8.42578125" style="16" bestFit="1" customWidth="1"/>
    <col min="7176" max="7176" width="8.85546875" style="16" bestFit="1" customWidth="1"/>
    <col min="7177" max="7177" width="9.85546875" style="16" customWidth="1"/>
    <col min="7178" max="7178" width="9.28515625" style="16" customWidth="1"/>
    <col min="7179" max="7181" width="10" style="16" bestFit="1" customWidth="1"/>
    <col min="7182" max="7182" width="8.140625" style="16" customWidth="1"/>
    <col min="7183" max="7183" width="7.140625" style="16" bestFit="1" customWidth="1"/>
    <col min="7184" max="7424" width="9.140625" style="16"/>
    <col min="7425" max="7425" width="3.85546875" style="16" customWidth="1"/>
    <col min="7426" max="7426" width="17" style="16" customWidth="1"/>
    <col min="7427" max="7427" width="9.140625" style="16"/>
    <col min="7428" max="7428" width="7.85546875" style="16" customWidth="1"/>
    <col min="7429" max="7429" width="8.5703125" style="16" bestFit="1" customWidth="1"/>
    <col min="7430" max="7430" width="9.28515625" style="16" bestFit="1" customWidth="1"/>
    <col min="7431" max="7431" width="8.42578125" style="16" bestFit="1" customWidth="1"/>
    <col min="7432" max="7432" width="8.85546875" style="16" bestFit="1" customWidth="1"/>
    <col min="7433" max="7433" width="9.85546875" style="16" customWidth="1"/>
    <col min="7434" max="7434" width="9.28515625" style="16" customWidth="1"/>
    <col min="7435" max="7437" width="10" style="16" bestFit="1" customWidth="1"/>
    <col min="7438" max="7438" width="8.140625" style="16" customWidth="1"/>
    <col min="7439" max="7439" width="7.140625" style="16" bestFit="1" customWidth="1"/>
    <col min="7440" max="7680" width="9.140625" style="16"/>
    <col min="7681" max="7681" width="3.85546875" style="16" customWidth="1"/>
    <col min="7682" max="7682" width="17" style="16" customWidth="1"/>
    <col min="7683" max="7683" width="9.140625" style="16"/>
    <col min="7684" max="7684" width="7.85546875" style="16" customWidth="1"/>
    <col min="7685" max="7685" width="8.5703125" style="16" bestFit="1" customWidth="1"/>
    <col min="7686" max="7686" width="9.28515625" style="16" bestFit="1" customWidth="1"/>
    <col min="7687" max="7687" width="8.42578125" style="16" bestFit="1" customWidth="1"/>
    <col min="7688" max="7688" width="8.85546875" style="16" bestFit="1" customWidth="1"/>
    <col min="7689" max="7689" width="9.85546875" style="16" customWidth="1"/>
    <col min="7690" max="7690" width="9.28515625" style="16" customWidth="1"/>
    <col min="7691" max="7693" width="10" style="16" bestFit="1" customWidth="1"/>
    <col min="7694" max="7694" width="8.140625" style="16" customWidth="1"/>
    <col min="7695" max="7695" width="7.140625" style="16" bestFit="1" customWidth="1"/>
    <col min="7696" max="7936" width="9.140625" style="16"/>
    <col min="7937" max="7937" width="3.85546875" style="16" customWidth="1"/>
    <col min="7938" max="7938" width="17" style="16" customWidth="1"/>
    <col min="7939" max="7939" width="9.140625" style="16"/>
    <col min="7940" max="7940" width="7.85546875" style="16" customWidth="1"/>
    <col min="7941" max="7941" width="8.5703125" style="16" bestFit="1" customWidth="1"/>
    <col min="7942" max="7942" width="9.28515625" style="16" bestFit="1" customWidth="1"/>
    <col min="7943" max="7943" width="8.42578125" style="16" bestFit="1" customWidth="1"/>
    <col min="7944" max="7944" width="8.85546875" style="16" bestFit="1" customWidth="1"/>
    <col min="7945" max="7945" width="9.85546875" style="16" customWidth="1"/>
    <col min="7946" max="7946" width="9.28515625" style="16" customWidth="1"/>
    <col min="7947" max="7949" width="10" style="16" bestFit="1" customWidth="1"/>
    <col min="7950" max="7950" width="8.140625" style="16" customWidth="1"/>
    <col min="7951" max="7951" width="7.140625" style="16" bestFit="1" customWidth="1"/>
    <col min="7952" max="8192" width="9.140625" style="16"/>
    <col min="8193" max="8193" width="3.85546875" style="16" customWidth="1"/>
    <col min="8194" max="8194" width="17" style="16" customWidth="1"/>
    <col min="8195" max="8195" width="9.140625" style="16"/>
    <col min="8196" max="8196" width="7.85546875" style="16" customWidth="1"/>
    <col min="8197" max="8197" width="8.5703125" style="16" bestFit="1" customWidth="1"/>
    <col min="8198" max="8198" width="9.28515625" style="16" bestFit="1" customWidth="1"/>
    <col min="8199" max="8199" width="8.42578125" style="16" bestFit="1" customWidth="1"/>
    <col min="8200" max="8200" width="8.85546875" style="16" bestFit="1" customWidth="1"/>
    <col min="8201" max="8201" width="9.85546875" style="16" customWidth="1"/>
    <col min="8202" max="8202" width="9.28515625" style="16" customWidth="1"/>
    <col min="8203" max="8205" width="10" style="16" bestFit="1" customWidth="1"/>
    <col min="8206" max="8206" width="8.140625" style="16" customWidth="1"/>
    <col min="8207" max="8207" width="7.140625" style="16" bestFit="1" customWidth="1"/>
    <col min="8208" max="8448" width="9.140625" style="16"/>
    <col min="8449" max="8449" width="3.85546875" style="16" customWidth="1"/>
    <col min="8450" max="8450" width="17" style="16" customWidth="1"/>
    <col min="8451" max="8451" width="9.140625" style="16"/>
    <col min="8452" max="8452" width="7.85546875" style="16" customWidth="1"/>
    <col min="8453" max="8453" width="8.5703125" style="16" bestFit="1" customWidth="1"/>
    <col min="8454" max="8454" width="9.28515625" style="16" bestFit="1" customWidth="1"/>
    <col min="8455" max="8455" width="8.42578125" style="16" bestFit="1" customWidth="1"/>
    <col min="8456" max="8456" width="8.85546875" style="16" bestFit="1" customWidth="1"/>
    <col min="8457" max="8457" width="9.85546875" style="16" customWidth="1"/>
    <col min="8458" max="8458" width="9.28515625" style="16" customWidth="1"/>
    <col min="8459" max="8461" width="10" style="16" bestFit="1" customWidth="1"/>
    <col min="8462" max="8462" width="8.140625" style="16" customWidth="1"/>
    <col min="8463" max="8463" width="7.140625" style="16" bestFit="1" customWidth="1"/>
    <col min="8464" max="8704" width="9.140625" style="16"/>
    <col min="8705" max="8705" width="3.85546875" style="16" customWidth="1"/>
    <col min="8706" max="8706" width="17" style="16" customWidth="1"/>
    <col min="8707" max="8707" width="9.140625" style="16"/>
    <col min="8708" max="8708" width="7.85546875" style="16" customWidth="1"/>
    <col min="8709" max="8709" width="8.5703125" style="16" bestFit="1" customWidth="1"/>
    <col min="8710" max="8710" width="9.28515625" style="16" bestFit="1" customWidth="1"/>
    <col min="8711" max="8711" width="8.42578125" style="16" bestFit="1" customWidth="1"/>
    <col min="8712" max="8712" width="8.85546875" style="16" bestFit="1" customWidth="1"/>
    <col min="8713" max="8713" width="9.85546875" style="16" customWidth="1"/>
    <col min="8714" max="8714" width="9.28515625" style="16" customWidth="1"/>
    <col min="8715" max="8717" width="10" style="16" bestFit="1" customWidth="1"/>
    <col min="8718" max="8718" width="8.140625" style="16" customWidth="1"/>
    <col min="8719" max="8719" width="7.140625" style="16" bestFit="1" customWidth="1"/>
    <col min="8720" max="8960" width="9.140625" style="16"/>
    <col min="8961" max="8961" width="3.85546875" style="16" customWidth="1"/>
    <col min="8962" max="8962" width="17" style="16" customWidth="1"/>
    <col min="8963" max="8963" width="9.140625" style="16"/>
    <col min="8964" max="8964" width="7.85546875" style="16" customWidth="1"/>
    <col min="8965" max="8965" width="8.5703125" style="16" bestFit="1" customWidth="1"/>
    <col min="8966" max="8966" width="9.28515625" style="16" bestFit="1" customWidth="1"/>
    <col min="8967" max="8967" width="8.42578125" style="16" bestFit="1" customWidth="1"/>
    <col min="8968" max="8968" width="8.85546875" style="16" bestFit="1" customWidth="1"/>
    <col min="8969" max="8969" width="9.85546875" style="16" customWidth="1"/>
    <col min="8970" max="8970" width="9.28515625" style="16" customWidth="1"/>
    <col min="8971" max="8973" width="10" style="16" bestFit="1" customWidth="1"/>
    <col min="8974" max="8974" width="8.140625" style="16" customWidth="1"/>
    <col min="8975" max="8975" width="7.140625" style="16" bestFit="1" customWidth="1"/>
    <col min="8976" max="9216" width="9.140625" style="16"/>
    <col min="9217" max="9217" width="3.85546875" style="16" customWidth="1"/>
    <col min="9218" max="9218" width="17" style="16" customWidth="1"/>
    <col min="9219" max="9219" width="9.140625" style="16"/>
    <col min="9220" max="9220" width="7.85546875" style="16" customWidth="1"/>
    <col min="9221" max="9221" width="8.5703125" style="16" bestFit="1" customWidth="1"/>
    <col min="9222" max="9222" width="9.28515625" style="16" bestFit="1" customWidth="1"/>
    <col min="9223" max="9223" width="8.42578125" style="16" bestFit="1" customWidth="1"/>
    <col min="9224" max="9224" width="8.85546875" style="16" bestFit="1" customWidth="1"/>
    <col min="9225" max="9225" width="9.85546875" style="16" customWidth="1"/>
    <col min="9226" max="9226" width="9.28515625" style="16" customWidth="1"/>
    <col min="9227" max="9229" width="10" style="16" bestFit="1" customWidth="1"/>
    <col min="9230" max="9230" width="8.140625" style="16" customWidth="1"/>
    <col min="9231" max="9231" width="7.140625" style="16" bestFit="1" customWidth="1"/>
    <col min="9232" max="9472" width="9.140625" style="16"/>
    <col min="9473" max="9473" width="3.85546875" style="16" customWidth="1"/>
    <col min="9474" max="9474" width="17" style="16" customWidth="1"/>
    <col min="9475" max="9475" width="9.140625" style="16"/>
    <col min="9476" max="9476" width="7.85546875" style="16" customWidth="1"/>
    <col min="9477" max="9477" width="8.5703125" style="16" bestFit="1" customWidth="1"/>
    <col min="9478" max="9478" width="9.28515625" style="16" bestFit="1" customWidth="1"/>
    <col min="9479" max="9479" width="8.42578125" style="16" bestFit="1" customWidth="1"/>
    <col min="9480" max="9480" width="8.85546875" style="16" bestFit="1" customWidth="1"/>
    <col min="9481" max="9481" width="9.85546875" style="16" customWidth="1"/>
    <col min="9482" max="9482" width="9.28515625" style="16" customWidth="1"/>
    <col min="9483" max="9485" width="10" style="16" bestFit="1" customWidth="1"/>
    <col min="9486" max="9486" width="8.140625" style="16" customWidth="1"/>
    <col min="9487" max="9487" width="7.140625" style="16" bestFit="1" customWidth="1"/>
    <col min="9488" max="9728" width="9.140625" style="16"/>
    <col min="9729" max="9729" width="3.85546875" style="16" customWidth="1"/>
    <col min="9730" max="9730" width="17" style="16" customWidth="1"/>
    <col min="9731" max="9731" width="9.140625" style="16"/>
    <col min="9732" max="9732" width="7.85546875" style="16" customWidth="1"/>
    <col min="9733" max="9733" width="8.5703125" style="16" bestFit="1" customWidth="1"/>
    <col min="9734" max="9734" width="9.28515625" style="16" bestFit="1" customWidth="1"/>
    <col min="9735" max="9735" width="8.42578125" style="16" bestFit="1" customWidth="1"/>
    <col min="9736" max="9736" width="8.85546875" style="16" bestFit="1" customWidth="1"/>
    <col min="9737" max="9737" width="9.85546875" style="16" customWidth="1"/>
    <col min="9738" max="9738" width="9.28515625" style="16" customWidth="1"/>
    <col min="9739" max="9741" width="10" style="16" bestFit="1" customWidth="1"/>
    <col min="9742" max="9742" width="8.140625" style="16" customWidth="1"/>
    <col min="9743" max="9743" width="7.140625" style="16" bestFit="1" customWidth="1"/>
    <col min="9744" max="9984" width="9.140625" style="16"/>
    <col min="9985" max="9985" width="3.85546875" style="16" customWidth="1"/>
    <col min="9986" max="9986" width="17" style="16" customWidth="1"/>
    <col min="9987" max="9987" width="9.140625" style="16"/>
    <col min="9988" max="9988" width="7.85546875" style="16" customWidth="1"/>
    <col min="9989" max="9989" width="8.5703125" style="16" bestFit="1" customWidth="1"/>
    <col min="9990" max="9990" width="9.28515625" style="16" bestFit="1" customWidth="1"/>
    <col min="9991" max="9991" width="8.42578125" style="16" bestFit="1" customWidth="1"/>
    <col min="9992" max="9992" width="8.85546875" style="16" bestFit="1" customWidth="1"/>
    <col min="9993" max="9993" width="9.85546875" style="16" customWidth="1"/>
    <col min="9994" max="9994" width="9.28515625" style="16" customWidth="1"/>
    <col min="9995" max="9997" width="10" style="16" bestFit="1" customWidth="1"/>
    <col min="9998" max="9998" width="8.140625" style="16" customWidth="1"/>
    <col min="9999" max="9999" width="7.140625" style="16" bestFit="1" customWidth="1"/>
    <col min="10000" max="10240" width="9.140625" style="16"/>
    <col min="10241" max="10241" width="3.85546875" style="16" customWidth="1"/>
    <col min="10242" max="10242" width="17" style="16" customWidth="1"/>
    <col min="10243" max="10243" width="9.140625" style="16"/>
    <col min="10244" max="10244" width="7.85546875" style="16" customWidth="1"/>
    <col min="10245" max="10245" width="8.5703125" style="16" bestFit="1" customWidth="1"/>
    <col min="10246" max="10246" width="9.28515625" style="16" bestFit="1" customWidth="1"/>
    <col min="10247" max="10247" width="8.42578125" style="16" bestFit="1" customWidth="1"/>
    <col min="10248" max="10248" width="8.85546875" style="16" bestFit="1" customWidth="1"/>
    <col min="10249" max="10249" width="9.85546875" style="16" customWidth="1"/>
    <col min="10250" max="10250" width="9.28515625" style="16" customWidth="1"/>
    <col min="10251" max="10253" width="10" style="16" bestFit="1" customWidth="1"/>
    <col min="10254" max="10254" width="8.140625" style="16" customWidth="1"/>
    <col min="10255" max="10255" width="7.140625" style="16" bestFit="1" customWidth="1"/>
    <col min="10256" max="10496" width="9.140625" style="16"/>
    <col min="10497" max="10497" width="3.85546875" style="16" customWidth="1"/>
    <col min="10498" max="10498" width="17" style="16" customWidth="1"/>
    <col min="10499" max="10499" width="9.140625" style="16"/>
    <col min="10500" max="10500" width="7.85546875" style="16" customWidth="1"/>
    <col min="10501" max="10501" width="8.5703125" style="16" bestFit="1" customWidth="1"/>
    <col min="10502" max="10502" width="9.28515625" style="16" bestFit="1" customWidth="1"/>
    <col min="10503" max="10503" width="8.42578125" style="16" bestFit="1" customWidth="1"/>
    <col min="10504" max="10504" width="8.85546875" style="16" bestFit="1" customWidth="1"/>
    <col min="10505" max="10505" width="9.85546875" style="16" customWidth="1"/>
    <col min="10506" max="10506" width="9.28515625" style="16" customWidth="1"/>
    <col min="10507" max="10509" width="10" style="16" bestFit="1" customWidth="1"/>
    <col min="10510" max="10510" width="8.140625" style="16" customWidth="1"/>
    <col min="10511" max="10511" width="7.140625" style="16" bestFit="1" customWidth="1"/>
    <col min="10512" max="10752" width="9.140625" style="16"/>
    <col min="10753" max="10753" width="3.85546875" style="16" customWidth="1"/>
    <col min="10754" max="10754" width="17" style="16" customWidth="1"/>
    <col min="10755" max="10755" width="9.140625" style="16"/>
    <col min="10756" max="10756" width="7.85546875" style="16" customWidth="1"/>
    <col min="10757" max="10757" width="8.5703125" style="16" bestFit="1" customWidth="1"/>
    <col min="10758" max="10758" width="9.28515625" style="16" bestFit="1" customWidth="1"/>
    <col min="10759" max="10759" width="8.42578125" style="16" bestFit="1" customWidth="1"/>
    <col min="10760" max="10760" width="8.85546875" style="16" bestFit="1" customWidth="1"/>
    <col min="10761" max="10761" width="9.85546875" style="16" customWidth="1"/>
    <col min="10762" max="10762" width="9.28515625" style="16" customWidth="1"/>
    <col min="10763" max="10765" width="10" style="16" bestFit="1" customWidth="1"/>
    <col min="10766" max="10766" width="8.140625" style="16" customWidth="1"/>
    <col min="10767" max="10767" width="7.140625" style="16" bestFit="1" customWidth="1"/>
    <col min="10768" max="11008" width="9.140625" style="16"/>
    <col min="11009" max="11009" width="3.85546875" style="16" customWidth="1"/>
    <col min="11010" max="11010" width="17" style="16" customWidth="1"/>
    <col min="11011" max="11011" width="9.140625" style="16"/>
    <col min="11012" max="11012" width="7.85546875" style="16" customWidth="1"/>
    <col min="11013" max="11013" width="8.5703125" style="16" bestFit="1" customWidth="1"/>
    <col min="11014" max="11014" width="9.28515625" style="16" bestFit="1" customWidth="1"/>
    <col min="11015" max="11015" width="8.42578125" style="16" bestFit="1" customWidth="1"/>
    <col min="11016" max="11016" width="8.85546875" style="16" bestFit="1" customWidth="1"/>
    <col min="11017" max="11017" width="9.85546875" style="16" customWidth="1"/>
    <col min="11018" max="11018" width="9.28515625" style="16" customWidth="1"/>
    <col min="11019" max="11021" width="10" style="16" bestFit="1" customWidth="1"/>
    <col min="11022" max="11022" width="8.140625" style="16" customWidth="1"/>
    <col min="11023" max="11023" width="7.140625" style="16" bestFit="1" customWidth="1"/>
    <col min="11024" max="11264" width="9.140625" style="16"/>
    <col min="11265" max="11265" width="3.85546875" style="16" customWidth="1"/>
    <col min="11266" max="11266" width="17" style="16" customWidth="1"/>
    <col min="11267" max="11267" width="9.140625" style="16"/>
    <col min="11268" max="11268" width="7.85546875" style="16" customWidth="1"/>
    <col min="11269" max="11269" width="8.5703125" style="16" bestFit="1" customWidth="1"/>
    <col min="11270" max="11270" width="9.28515625" style="16" bestFit="1" customWidth="1"/>
    <col min="11271" max="11271" width="8.42578125" style="16" bestFit="1" customWidth="1"/>
    <col min="11272" max="11272" width="8.85546875" style="16" bestFit="1" customWidth="1"/>
    <col min="11273" max="11273" width="9.85546875" style="16" customWidth="1"/>
    <col min="11274" max="11274" width="9.28515625" style="16" customWidth="1"/>
    <col min="11275" max="11277" width="10" style="16" bestFit="1" customWidth="1"/>
    <col min="11278" max="11278" width="8.140625" style="16" customWidth="1"/>
    <col min="11279" max="11279" width="7.140625" style="16" bestFit="1" customWidth="1"/>
    <col min="11280" max="11520" width="9.140625" style="16"/>
    <col min="11521" max="11521" width="3.85546875" style="16" customWidth="1"/>
    <col min="11522" max="11522" width="17" style="16" customWidth="1"/>
    <col min="11523" max="11523" width="9.140625" style="16"/>
    <col min="11524" max="11524" width="7.85546875" style="16" customWidth="1"/>
    <col min="11525" max="11525" width="8.5703125" style="16" bestFit="1" customWidth="1"/>
    <col min="11526" max="11526" width="9.28515625" style="16" bestFit="1" customWidth="1"/>
    <col min="11527" max="11527" width="8.42578125" style="16" bestFit="1" customWidth="1"/>
    <col min="11528" max="11528" width="8.85546875" style="16" bestFit="1" customWidth="1"/>
    <col min="11529" max="11529" width="9.85546875" style="16" customWidth="1"/>
    <col min="11530" max="11530" width="9.28515625" style="16" customWidth="1"/>
    <col min="11531" max="11533" width="10" style="16" bestFit="1" customWidth="1"/>
    <col min="11534" max="11534" width="8.140625" style="16" customWidth="1"/>
    <col min="11535" max="11535" width="7.140625" style="16" bestFit="1" customWidth="1"/>
    <col min="11536" max="11776" width="9.140625" style="16"/>
    <col min="11777" max="11777" width="3.85546875" style="16" customWidth="1"/>
    <col min="11778" max="11778" width="17" style="16" customWidth="1"/>
    <col min="11779" max="11779" width="9.140625" style="16"/>
    <col min="11780" max="11780" width="7.85546875" style="16" customWidth="1"/>
    <col min="11781" max="11781" width="8.5703125" style="16" bestFit="1" customWidth="1"/>
    <col min="11782" max="11782" width="9.28515625" style="16" bestFit="1" customWidth="1"/>
    <col min="11783" max="11783" width="8.42578125" style="16" bestFit="1" customWidth="1"/>
    <col min="11784" max="11784" width="8.85546875" style="16" bestFit="1" customWidth="1"/>
    <col min="11785" max="11785" width="9.85546875" style="16" customWidth="1"/>
    <col min="11786" max="11786" width="9.28515625" style="16" customWidth="1"/>
    <col min="11787" max="11789" width="10" style="16" bestFit="1" customWidth="1"/>
    <col min="11790" max="11790" width="8.140625" style="16" customWidth="1"/>
    <col min="11791" max="11791" width="7.140625" style="16" bestFit="1" customWidth="1"/>
    <col min="11792" max="12032" width="9.140625" style="16"/>
    <col min="12033" max="12033" width="3.85546875" style="16" customWidth="1"/>
    <col min="12034" max="12034" width="17" style="16" customWidth="1"/>
    <col min="12035" max="12035" width="9.140625" style="16"/>
    <col min="12036" max="12036" width="7.85546875" style="16" customWidth="1"/>
    <col min="12037" max="12037" width="8.5703125" style="16" bestFit="1" customWidth="1"/>
    <col min="12038" max="12038" width="9.28515625" style="16" bestFit="1" customWidth="1"/>
    <col min="12039" max="12039" width="8.42578125" style="16" bestFit="1" customWidth="1"/>
    <col min="12040" max="12040" width="8.85546875" style="16" bestFit="1" customWidth="1"/>
    <col min="12041" max="12041" width="9.85546875" style="16" customWidth="1"/>
    <col min="12042" max="12042" width="9.28515625" style="16" customWidth="1"/>
    <col min="12043" max="12045" width="10" style="16" bestFit="1" customWidth="1"/>
    <col min="12046" max="12046" width="8.140625" style="16" customWidth="1"/>
    <col min="12047" max="12047" width="7.140625" style="16" bestFit="1" customWidth="1"/>
    <col min="12048" max="12288" width="9.140625" style="16"/>
    <col min="12289" max="12289" width="3.85546875" style="16" customWidth="1"/>
    <col min="12290" max="12290" width="17" style="16" customWidth="1"/>
    <col min="12291" max="12291" width="9.140625" style="16"/>
    <col min="12292" max="12292" width="7.85546875" style="16" customWidth="1"/>
    <col min="12293" max="12293" width="8.5703125" style="16" bestFit="1" customWidth="1"/>
    <col min="12294" max="12294" width="9.28515625" style="16" bestFit="1" customWidth="1"/>
    <col min="12295" max="12295" width="8.42578125" style="16" bestFit="1" customWidth="1"/>
    <col min="12296" max="12296" width="8.85546875" style="16" bestFit="1" customWidth="1"/>
    <col min="12297" max="12297" width="9.85546875" style="16" customWidth="1"/>
    <col min="12298" max="12298" width="9.28515625" style="16" customWidth="1"/>
    <col min="12299" max="12301" width="10" style="16" bestFit="1" customWidth="1"/>
    <col min="12302" max="12302" width="8.140625" style="16" customWidth="1"/>
    <col min="12303" max="12303" width="7.140625" style="16" bestFit="1" customWidth="1"/>
    <col min="12304" max="12544" width="9.140625" style="16"/>
    <col min="12545" max="12545" width="3.85546875" style="16" customWidth="1"/>
    <col min="12546" max="12546" width="17" style="16" customWidth="1"/>
    <col min="12547" max="12547" width="9.140625" style="16"/>
    <col min="12548" max="12548" width="7.85546875" style="16" customWidth="1"/>
    <col min="12549" max="12549" width="8.5703125" style="16" bestFit="1" customWidth="1"/>
    <col min="12550" max="12550" width="9.28515625" style="16" bestFit="1" customWidth="1"/>
    <col min="12551" max="12551" width="8.42578125" style="16" bestFit="1" customWidth="1"/>
    <col min="12552" max="12552" width="8.85546875" style="16" bestFit="1" customWidth="1"/>
    <col min="12553" max="12553" width="9.85546875" style="16" customWidth="1"/>
    <col min="12554" max="12554" width="9.28515625" style="16" customWidth="1"/>
    <col min="12555" max="12557" width="10" style="16" bestFit="1" customWidth="1"/>
    <col min="12558" max="12558" width="8.140625" style="16" customWidth="1"/>
    <col min="12559" max="12559" width="7.140625" style="16" bestFit="1" customWidth="1"/>
    <col min="12560" max="12800" width="9.140625" style="16"/>
    <col min="12801" max="12801" width="3.85546875" style="16" customWidth="1"/>
    <col min="12802" max="12802" width="17" style="16" customWidth="1"/>
    <col min="12803" max="12803" width="9.140625" style="16"/>
    <col min="12804" max="12804" width="7.85546875" style="16" customWidth="1"/>
    <col min="12805" max="12805" width="8.5703125" style="16" bestFit="1" customWidth="1"/>
    <col min="12806" max="12806" width="9.28515625" style="16" bestFit="1" customWidth="1"/>
    <col min="12807" max="12807" width="8.42578125" style="16" bestFit="1" customWidth="1"/>
    <col min="12808" max="12808" width="8.85546875" style="16" bestFit="1" customWidth="1"/>
    <col min="12809" max="12809" width="9.85546875" style="16" customWidth="1"/>
    <col min="12810" max="12810" width="9.28515625" style="16" customWidth="1"/>
    <col min="12811" max="12813" width="10" style="16" bestFit="1" customWidth="1"/>
    <col min="12814" max="12814" width="8.140625" style="16" customWidth="1"/>
    <col min="12815" max="12815" width="7.140625" style="16" bestFit="1" customWidth="1"/>
    <col min="12816" max="13056" width="9.140625" style="16"/>
    <col min="13057" max="13057" width="3.85546875" style="16" customWidth="1"/>
    <col min="13058" max="13058" width="17" style="16" customWidth="1"/>
    <col min="13059" max="13059" width="9.140625" style="16"/>
    <col min="13060" max="13060" width="7.85546875" style="16" customWidth="1"/>
    <col min="13061" max="13061" width="8.5703125" style="16" bestFit="1" customWidth="1"/>
    <col min="13062" max="13062" width="9.28515625" style="16" bestFit="1" customWidth="1"/>
    <col min="13063" max="13063" width="8.42578125" style="16" bestFit="1" customWidth="1"/>
    <col min="13064" max="13064" width="8.85546875" style="16" bestFit="1" customWidth="1"/>
    <col min="13065" max="13065" width="9.85546875" style="16" customWidth="1"/>
    <col min="13066" max="13066" width="9.28515625" style="16" customWidth="1"/>
    <col min="13067" max="13069" width="10" style="16" bestFit="1" customWidth="1"/>
    <col min="13070" max="13070" width="8.140625" style="16" customWidth="1"/>
    <col min="13071" max="13071" width="7.140625" style="16" bestFit="1" customWidth="1"/>
    <col min="13072" max="13312" width="9.140625" style="16"/>
    <col min="13313" max="13313" width="3.85546875" style="16" customWidth="1"/>
    <col min="13314" max="13314" width="17" style="16" customWidth="1"/>
    <col min="13315" max="13315" width="9.140625" style="16"/>
    <col min="13316" max="13316" width="7.85546875" style="16" customWidth="1"/>
    <col min="13317" max="13317" width="8.5703125" style="16" bestFit="1" customWidth="1"/>
    <col min="13318" max="13318" width="9.28515625" style="16" bestFit="1" customWidth="1"/>
    <col min="13319" max="13319" width="8.42578125" style="16" bestFit="1" customWidth="1"/>
    <col min="13320" max="13320" width="8.85546875" style="16" bestFit="1" customWidth="1"/>
    <col min="13321" max="13321" width="9.85546875" style="16" customWidth="1"/>
    <col min="13322" max="13322" width="9.28515625" style="16" customWidth="1"/>
    <col min="13323" max="13325" width="10" style="16" bestFit="1" customWidth="1"/>
    <col min="13326" max="13326" width="8.140625" style="16" customWidth="1"/>
    <col min="13327" max="13327" width="7.140625" style="16" bestFit="1" customWidth="1"/>
    <col min="13328" max="13568" width="9.140625" style="16"/>
    <col min="13569" max="13569" width="3.85546875" style="16" customWidth="1"/>
    <col min="13570" max="13570" width="17" style="16" customWidth="1"/>
    <col min="13571" max="13571" width="9.140625" style="16"/>
    <col min="13572" max="13572" width="7.85546875" style="16" customWidth="1"/>
    <col min="13573" max="13573" width="8.5703125" style="16" bestFit="1" customWidth="1"/>
    <col min="13574" max="13574" width="9.28515625" style="16" bestFit="1" customWidth="1"/>
    <col min="13575" max="13575" width="8.42578125" style="16" bestFit="1" customWidth="1"/>
    <col min="13576" max="13576" width="8.85546875" style="16" bestFit="1" customWidth="1"/>
    <col min="13577" max="13577" width="9.85546875" style="16" customWidth="1"/>
    <col min="13578" max="13578" width="9.28515625" style="16" customWidth="1"/>
    <col min="13579" max="13581" width="10" style="16" bestFit="1" customWidth="1"/>
    <col min="13582" max="13582" width="8.140625" style="16" customWidth="1"/>
    <col min="13583" max="13583" width="7.140625" style="16" bestFit="1" customWidth="1"/>
    <col min="13584" max="13824" width="9.140625" style="16"/>
    <col min="13825" max="13825" width="3.85546875" style="16" customWidth="1"/>
    <col min="13826" max="13826" width="17" style="16" customWidth="1"/>
    <col min="13827" max="13827" width="9.140625" style="16"/>
    <col min="13828" max="13828" width="7.85546875" style="16" customWidth="1"/>
    <col min="13829" max="13829" width="8.5703125" style="16" bestFit="1" customWidth="1"/>
    <col min="13830" max="13830" width="9.28515625" style="16" bestFit="1" customWidth="1"/>
    <col min="13831" max="13831" width="8.42578125" style="16" bestFit="1" customWidth="1"/>
    <col min="13832" max="13832" width="8.85546875" style="16" bestFit="1" customWidth="1"/>
    <col min="13833" max="13833" width="9.85546875" style="16" customWidth="1"/>
    <col min="13834" max="13834" width="9.28515625" style="16" customWidth="1"/>
    <col min="13835" max="13837" width="10" style="16" bestFit="1" customWidth="1"/>
    <col min="13838" max="13838" width="8.140625" style="16" customWidth="1"/>
    <col min="13839" max="13839" width="7.140625" style="16" bestFit="1" customWidth="1"/>
    <col min="13840" max="14080" width="9.140625" style="16"/>
    <col min="14081" max="14081" width="3.85546875" style="16" customWidth="1"/>
    <col min="14082" max="14082" width="17" style="16" customWidth="1"/>
    <col min="14083" max="14083" width="9.140625" style="16"/>
    <col min="14084" max="14084" width="7.85546875" style="16" customWidth="1"/>
    <col min="14085" max="14085" width="8.5703125" style="16" bestFit="1" customWidth="1"/>
    <col min="14086" max="14086" width="9.28515625" style="16" bestFit="1" customWidth="1"/>
    <col min="14087" max="14087" width="8.42578125" style="16" bestFit="1" customWidth="1"/>
    <col min="14088" max="14088" width="8.85546875" style="16" bestFit="1" customWidth="1"/>
    <col min="14089" max="14089" width="9.85546875" style="16" customWidth="1"/>
    <col min="14090" max="14090" width="9.28515625" style="16" customWidth="1"/>
    <col min="14091" max="14093" width="10" style="16" bestFit="1" customWidth="1"/>
    <col min="14094" max="14094" width="8.140625" style="16" customWidth="1"/>
    <col min="14095" max="14095" width="7.140625" style="16" bestFit="1" customWidth="1"/>
    <col min="14096" max="14336" width="9.140625" style="16"/>
    <col min="14337" max="14337" width="3.85546875" style="16" customWidth="1"/>
    <col min="14338" max="14338" width="17" style="16" customWidth="1"/>
    <col min="14339" max="14339" width="9.140625" style="16"/>
    <col min="14340" max="14340" width="7.85546875" style="16" customWidth="1"/>
    <col min="14341" max="14341" width="8.5703125" style="16" bestFit="1" customWidth="1"/>
    <col min="14342" max="14342" width="9.28515625" style="16" bestFit="1" customWidth="1"/>
    <col min="14343" max="14343" width="8.42578125" style="16" bestFit="1" customWidth="1"/>
    <col min="14344" max="14344" width="8.85546875" style="16" bestFit="1" customWidth="1"/>
    <col min="14345" max="14345" width="9.85546875" style="16" customWidth="1"/>
    <col min="14346" max="14346" width="9.28515625" style="16" customWidth="1"/>
    <col min="14347" max="14349" width="10" style="16" bestFit="1" customWidth="1"/>
    <col min="14350" max="14350" width="8.140625" style="16" customWidth="1"/>
    <col min="14351" max="14351" width="7.140625" style="16" bestFit="1" customWidth="1"/>
    <col min="14352" max="14592" width="9.140625" style="16"/>
    <col min="14593" max="14593" width="3.85546875" style="16" customWidth="1"/>
    <col min="14594" max="14594" width="17" style="16" customWidth="1"/>
    <col min="14595" max="14595" width="9.140625" style="16"/>
    <col min="14596" max="14596" width="7.85546875" style="16" customWidth="1"/>
    <col min="14597" max="14597" width="8.5703125" style="16" bestFit="1" customWidth="1"/>
    <col min="14598" max="14598" width="9.28515625" style="16" bestFit="1" customWidth="1"/>
    <col min="14599" max="14599" width="8.42578125" style="16" bestFit="1" customWidth="1"/>
    <col min="14600" max="14600" width="8.85546875" style="16" bestFit="1" customWidth="1"/>
    <col min="14601" max="14601" width="9.85546875" style="16" customWidth="1"/>
    <col min="14602" max="14602" width="9.28515625" style="16" customWidth="1"/>
    <col min="14603" max="14605" width="10" style="16" bestFit="1" customWidth="1"/>
    <col min="14606" max="14606" width="8.140625" style="16" customWidth="1"/>
    <col min="14607" max="14607" width="7.140625" style="16" bestFit="1" customWidth="1"/>
    <col min="14608" max="14848" width="9.140625" style="16"/>
    <col min="14849" max="14849" width="3.85546875" style="16" customWidth="1"/>
    <col min="14850" max="14850" width="17" style="16" customWidth="1"/>
    <col min="14851" max="14851" width="9.140625" style="16"/>
    <col min="14852" max="14852" width="7.85546875" style="16" customWidth="1"/>
    <col min="14853" max="14853" width="8.5703125" style="16" bestFit="1" customWidth="1"/>
    <col min="14854" max="14854" width="9.28515625" style="16" bestFit="1" customWidth="1"/>
    <col min="14855" max="14855" width="8.42578125" style="16" bestFit="1" customWidth="1"/>
    <col min="14856" max="14856" width="8.85546875" style="16" bestFit="1" customWidth="1"/>
    <col min="14857" max="14857" width="9.85546875" style="16" customWidth="1"/>
    <col min="14858" max="14858" width="9.28515625" style="16" customWidth="1"/>
    <col min="14859" max="14861" width="10" style="16" bestFit="1" customWidth="1"/>
    <col min="14862" max="14862" width="8.140625" style="16" customWidth="1"/>
    <col min="14863" max="14863" width="7.140625" style="16" bestFit="1" customWidth="1"/>
    <col min="14864" max="15104" width="9.140625" style="16"/>
    <col min="15105" max="15105" width="3.85546875" style="16" customWidth="1"/>
    <col min="15106" max="15106" width="17" style="16" customWidth="1"/>
    <col min="15107" max="15107" width="9.140625" style="16"/>
    <col min="15108" max="15108" width="7.85546875" style="16" customWidth="1"/>
    <col min="15109" max="15109" width="8.5703125" style="16" bestFit="1" customWidth="1"/>
    <col min="15110" max="15110" width="9.28515625" style="16" bestFit="1" customWidth="1"/>
    <col min="15111" max="15111" width="8.42578125" style="16" bestFit="1" customWidth="1"/>
    <col min="15112" max="15112" width="8.85546875" style="16" bestFit="1" customWidth="1"/>
    <col min="15113" max="15113" width="9.85546875" style="16" customWidth="1"/>
    <col min="15114" max="15114" width="9.28515625" style="16" customWidth="1"/>
    <col min="15115" max="15117" width="10" style="16" bestFit="1" customWidth="1"/>
    <col min="15118" max="15118" width="8.140625" style="16" customWidth="1"/>
    <col min="15119" max="15119" width="7.140625" style="16" bestFit="1" customWidth="1"/>
    <col min="15120" max="15360" width="9.140625" style="16"/>
    <col min="15361" max="15361" width="3.85546875" style="16" customWidth="1"/>
    <col min="15362" max="15362" width="17" style="16" customWidth="1"/>
    <col min="15363" max="15363" width="9.140625" style="16"/>
    <col min="15364" max="15364" width="7.85546875" style="16" customWidth="1"/>
    <col min="15365" max="15365" width="8.5703125" style="16" bestFit="1" customWidth="1"/>
    <col min="15366" max="15366" width="9.28515625" style="16" bestFit="1" customWidth="1"/>
    <col min="15367" max="15367" width="8.42578125" style="16" bestFit="1" customWidth="1"/>
    <col min="15368" max="15368" width="8.85546875" style="16" bestFit="1" customWidth="1"/>
    <col min="15369" max="15369" width="9.85546875" style="16" customWidth="1"/>
    <col min="15370" max="15370" width="9.28515625" style="16" customWidth="1"/>
    <col min="15371" max="15373" width="10" style="16" bestFit="1" customWidth="1"/>
    <col min="15374" max="15374" width="8.140625" style="16" customWidth="1"/>
    <col min="15375" max="15375" width="7.140625" style="16" bestFit="1" customWidth="1"/>
    <col min="15376" max="15616" width="9.140625" style="16"/>
    <col min="15617" max="15617" width="3.85546875" style="16" customWidth="1"/>
    <col min="15618" max="15618" width="17" style="16" customWidth="1"/>
    <col min="15619" max="15619" width="9.140625" style="16"/>
    <col min="15620" max="15620" width="7.85546875" style="16" customWidth="1"/>
    <col min="15621" max="15621" width="8.5703125" style="16" bestFit="1" customWidth="1"/>
    <col min="15622" max="15622" width="9.28515625" style="16" bestFit="1" customWidth="1"/>
    <col min="15623" max="15623" width="8.42578125" style="16" bestFit="1" customWidth="1"/>
    <col min="15624" max="15624" width="8.85546875" style="16" bestFit="1" customWidth="1"/>
    <col min="15625" max="15625" width="9.85546875" style="16" customWidth="1"/>
    <col min="15626" max="15626" width="9.28515625" style="16" customWidth="1"/>
    <col min="15627" max="15629" width="10" style="16" bestFit="1" customWidth="1"/>
    <col min="15630" max="15630" width="8.140625" style="16" customWidth="1"/>
    <col min="15631" max="15631" width="7.140625" style="16" bestFit="1" customWidth="1"/>
    <col min="15632" max="15872" width="9.140625" style="16"/>
    <col min="15873" max="15873" width="3.85546875" style="16" customWidth="1"/>
    <col min="15874" max="15874" width="17" style="16" customWidth="1"/>
    <col min="15875" max="15875" width="9.140625" style="16"/>
    <col min="15876" max="15876" width="7.85546875" style="16" customWidth="1"/>
    <col min="15877" max="15877" width="8.5703125" style="16" bestFit="1" customWidth="1"/>
    <col min="15878" max="15878" width="9.28515625" style="16" bestFit="1" customWidth="1"/>
    <col min="15879" max="15879" width="8.42578125" style="16" bestFit="1" customWidth="1"/>
    <col min="15880" max="15880" width="8.85546875" style="16" bestFit="1" customWidth="1"/>
    <col min="15881" max="15881" width="9.85546875" style="16" customWidth="1"/>
    <col min="15882" max="15882" width="9.28515625" style="16" customWidth="1"/>
    <col min="15883" max="15885" width="10" style="16" bestFit="1" customWidth="1"/>
    <col min="15886" max="15886" width="8.140625" style="16" customWidth="1"/>
    <col min="15887" max="15887" width="7.140625" style="16" bestFit="1" customWidth="1"/>
    <col min="15888" max="16128" width="9.140625" style="16"/>
    <col min="16129" max="16129" width="3.85546875" style="16" customWidth="1"/>
    <col min="16130" max="16130" width="17" style="16" customWidth="1"/>
    <col min="16131" max="16131" width="9.140625" style="16"/>
    <col min="16132" max="16132" width="7.85546875" style="16" customWidth="1"/>
    <col min="16133" max="16133" width="8.5703125" style="16" bestFit="1" customWidth="1"/>
    <col min="16134" max="16134" width="9.28515625" style="16" bestFit="1" customWidth="1"/>
    <col min="16135" max="16135" width="8.42578125" style="16" bestFit="1" customWidth="1"/>
    <col min="16136" max="16136" width="8.85546875" style="16" bestFit="1" customWidth="1"/>
    <col min="16137" max="16137" width="9.85546875" style="16" customWidth="1"/>
    <col min="16138" max="16138" width="9.28515625" style="16" customWidth="1"/>
    <col min="16139" max="16141" width="10" style="16" bestFit="1" customWidth="1"/>
    <col min="16142" max="16142" width="8.140625" style="16" customWidth="1"/>
    <col min="16143" max="16143" width="7.140625" style="16" bestFit="1" customWidth="1"/>
    <col min="16144" max="16384" width="9.140625" style="16"/>
  </cols>
  <sheetData>
    <row r="1" spans="1:17" x14ac:dyDescent="0.2">
      <c r="A1" s="867" t="s">
        <v>449</v>
      </c>
      <c r="B1" s="868"/>
      <c r="C1" s="868"/>
      <c r="D1" s="869"/>
      <c r="E1" s="868"/>
      <c r="F1" s="868"/>
      <c r="G1" s="867" t="s">
        <v>102</v>
      </c>
      <c r="H1" s="869"/>
      <c r="I1" s="869" t="s">
        <v>1197</v>
      </c>
      <c r="J1" s="868"/>
      <c r="K1" s="868"/>
      <c r="L1" s="870"/>
      <c r="M1" s="870"/>
      <c r="N1" s="870"/>
      <c r="O1" s="870"/>
      <c r="P1" s="1"/>
      <c r="Q1" s="1"/>
    </row>
    <row r="2" spans="1:17" x14ac:dyDescent="0.2">
      <c r="A2" s="867" t="s">
        <v>103</v>
      </c>
      <c r="B2" s="868"/>
      <c r="C2" s="868"/>
      <c r="D2" s="869" t="s">
        <v>1242</v>
      </c>
      <c r="E2" s="868"/>
      <c r="F2" s="868"/>
      <c r="G2" s="867" t="s">
        <v>104</v>
      </c>
      <c r="H2" s="869"/>
      <c r="I2" s="869" t="s">
        <v>105</v>
      </c>
      <c r="J2" s="868"/>
      <c r="K2" s="868"/>
      <c r="L2" s="870"/>
      <c r="M2" s="870"/>
      <c r="N2" s="870"/>
      <c r="O2" s="870"/>
      <c r="P2" s="1"/>
      <c r="Q2" s="1"/>
    </row>
    <row r="3" spans="1:17" x14ac:dyDescent="0.2">
      <c r="A3" s="867" t="s">
        <v>106</v>
      </c>
      <c r="B3" s="868"/>
      <c r="C3" s="868"/>
      <c r="D3" s="881"/>
      <c r="E3" s="882"/>
      <c r="F3" s="882"/>
      <c r="G3" s="867" t="s">
        <v>107</v>
      </c>
      <c r="H3" s="869"/>
      <c r="I3" s="869" t="s">
        <v>108</v>
      </c>
      <c r="J3" s="868"/>
      <c r="K3" s="868"/>
      <c r="L3" s="870"/>
      <c r="M3" s="870"/>
      <c r="N3" s="870"/>
      <c r="O3" s="870"/>
      <c r="P3" s="1"/>
      <c r="Q3" s="1"/>
    </row>
    <row r="4" spans="1:17" x14ac:dyDescent="0.2">
      <c r="A4" s="867" t="s">
        <v>109</v>
      </c>
      <c r="B4" s="868"/>
      <c r="C4" s="868"/>
      <c r="D4" s="869"/>
      <c r="E4" s="868"/>
      <c r="F4" s="868"/>
      <c r="G4" s="867" t="s">
        <v>110</v>
      </c>
      <c r="H4" s="869"/>
      <c r="I4" s="869" t="s">
        <v>1238</v>
      </c>
      <c r="J4" s="868"/>
      <c r="K4" s="868"/>
      <c r="L4" s="870"/>
      <c r="M4" s="870"/>
      <c r="N4" s="870"/>
      <c r="O4" s="870"/>
      <c r="P4" s="1"/>
      <c r="Q4" s="1"/>
    </row>
    <row r="5" spans="1:17" x14ac:dyDescent="0.2">
      <c r="A5" s="867" t="s">
        <v>112</v>
      </c>
      <c r="B5" s="868"/>
      <c r="C5" s="868"/>
      <c r="D5" s="869"/>
      <c r="E5" s="868"/>
      <c r="F5" s="868"/>
      <c r="G5" s="867"/>
      <c r="H5" s="868"/>
      <c r="I5" s="869" t="s">
        <v>113</v>
      </c>
      <c r="J5" s="868"/>
      <c r="K5" s="868"/>
      <c r="L5" s="870"/>
      <c r="M5" s="870"/>
      <c r="N5" s="870"/>
      <c r="O5" s="870"/>
      <c r="P5" s="1"/>
      <c r="Q5" s="1"/>
    </row>
    <row r="6" spans="1:17" x14ac:dyDescent="0.2">
      <c r="A6" s="871" t="s">
        <v>114</v>
      </c>
      <c r="B6" s="872"/>
      <c r="C6" s="872"/>
      <c r="D6" s="868" t="s">
        <v>1198</v>
      </c>
      <c r="E6" s="868"/>
      <c r="F6" s="868"/>
      <c r="G6" s="871" t="s">
        <v>115</v>
      </c>
      <c r="H6" s="871"/>
      <c r="I6" s="2" t="s">
        <v>222</v>
      </c>
      <c r="J6" s="888"/>
      <c r="K6" s="888"/>
      <c r="L6" s="888"/>
      <c r="M6" s="888"/>
      <c r="N6" s="888"/>
      <c r="O6" s="889"/>
      <c r="P6" s="1"/>
      <c r="Q6" s="1"/>
    </row>
    <row r="7" spans="1:17" ht="13.5" thickBot="1" x14ac:dyDescent="0.25">
      <c r="A7" s="3"/>
      <c r="B7" s="4"/>
      <c r="C7" s="5"/>
      <c r="D7" s="6"/>
      <c r="E7" s="6"/>
      <c r="F7" s="6"/>
      <c r="G7" s="6"/>
      <c r="H7" s="6"/>
      <c r="I7" s="6"/>
      <c r="J7" s="7"/>
      <c r="K7" s="8"/>
      <c r="L7" s="875" t="s">
        <v>223</v>
      </c>
      <c r="M7" s="875"/>
      <c r="N7" s="875"/>
      <c r="O7" s="875"/>
      <c r="P7" s="1"/>
      <c r="Q7" s="1"/>
    </row>
    <row r="8" spans="1:17" ht="15" x14ac:dyDescent="0.25">
      <c r="A8" s="876" t="s">
        <v>1197</v>
      </c>
      <c r="B8" s="877"/>
      <c r="C8" s="9">
        <v>43160</v>
      </c>
      <c r="D8" s="9">
        <v>43191</v>
      </c>
      <c r="E8" s="9">
        <v>43221</v>
      </c>
      <c r="F8" s="9">
        <v>43252</v>
      </c>
      <c r="G8" s="9">
        <v>43282</v>
      </c>
      <c r="H8" s="9">
        <v>43313</v>
      </c>
      <c r="I8" s="9">
        <v>43344</v>
      </c>
      <c r="J8" s="9">
        <v>43374</v>
      </c>
      <c r="K8" s="9">
        <v>43405</v>
      </c>
      <c r="L8" s="9">
        <v>43435</v>
      </c>
      <c r="M8" s="9">
        <v>43466</v>
      </c>
      <c r="N8" s="9">
        <v>43497</v>
      </c>
      <c r="O8" s="10" t="s">
        <v>117</v>
      </c>
      <c r="P8" s="11"/>
      <c r="Q8" s="484" t="s">
        <v>116</v>
      </c>
    </row>
    <row r="9" spans="1:17" ht="15.75" x14ac:dyDescent="0.25">
      <c r="A9" s="12"/>
      <c r="B9" s="13" t="s">
        <v>118</v>
      </c>
      <c r="C9" s="14">
        <v>30200</v>
      </c>
      <c r="D9" s="14">
        <v>30200</v>
      </c>
      <c r="E9" s="14">
        <v>30200</v>
      </c>
      <c r="F9" s="14">
        <v>30200</v>
      </c>
      <c r="G9" s="14">
        <v>31100</v>
      </c>
      <c r="H9" s="14">
        <v>31100</v>
      </c>
      <c r="I9" s="14">
        <v>31100</v>
      </c>
      <c r="J9" s="14">
        <v>31100</v>
      </c>
      <c r="K9" s="14">
        <v>31100</v>
      </c>
      <c r="L9" s="14">
        <v>31100</v>
      </c>
      <c r="M9" s="14">
        <v>31100</v>
      </c>
      <c r="N9" s="14">
        <v>31100</v>
      </c>
      <c r="O9" s="15">
        <f>SUM(C9:N9)</f>
        <v>369600</v>
      </c>
      <c r="Q9" s="200" t="s">
        <v>222</v>
      </c>
    </row>
    <row r="10" spans="1:17" ht="15.75" x14ac:dyDescent="0.25">
      <c r="A10" s="12"/>
      <c r="B10" s="13" t="s">
        <v>119</v>
      </c>
      <c r="C10" s="17">
        <v>0</v>
      </c>
      <c r="D10" s="17">
        <v>0</v>
      </c>
      <c r="E10" s="17">
        <v>0</v>
      </c>
      <c r="F10" s="17">
        <v>0</v>
      </c>
      <c r="G10" s="17">
        <v>0</v>
      </c>
      <c r="H10" s="17">
        <v>0</v>
      </c>
      <c r="I10" s="17">
        <v>0</v>
      </c>
      <c r="J10" s="17">
        <v>0</v>
      </c>
      <c r="K10" s="17">
        <v>0</v>
      </c>
      <c r="L10" s="17">
        <v>0</v>
      </c>
      <c r="M10" s="17">
        <v>0</v>
      </c>
      <c r="N10" s="17">
        <v>0</v>
      </c>
      <c r="O10" s="18">
        <f t="shared" ref="O10:O50" si="0">SUM(C10:N10)</f>
        <v>0</v>
      </c>
      <c r="Q10" s="200"/>
    </row>
    <row r="11" spans="1:17" ht="15" x14ac:dyDescent="0.2">
      <c r="A11" s="12"/>
      <c r="B11" s="13" t="s">
        <v>120</v>
      </c>
      <c r="C11" s="17">
        <v>1510</v>
      </c>
      <c r="D11" s="17">
        <v>2114</v>
      </c>
      <c r="E11" s="17">
        <v>2114</v>
      </c>
      <c r="F11" s="17">
        <v>2114</v>
      </c>
      <c r="G11" s="17">
        <v>2177</v>
      </c>
      <c r="H11" s="17">
        <v>2177</v>
      </c>
      <c r="I11" s="17">
        <v>2177</v>
      </c>
      <c r="J11" s="17">
        <v>2799</v>
      </c>
      <c r="K11" s="17">
        <v>2799</v>
      </c>
      <c r="L11" s="17">
        <v>2799</v>
      </c>
      <c r="M11" s="17">
        <v>2799</v>
      </c>
      <c r="N11" s="17">
        <v>2799</v>
      </c>
      <c r="O11" s="18">
        <f>SUM(C11:N11)</f>
        <v>28378</v>
      </c>
    </row>
    <row r="12" spans="1:17"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 t="shared" si="0"/>
        <v>0</v>
      </c>
    </row>
    <row r="13" spans="1:17"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si="0"/>
        <v>0</v>
      </c>
    </row>
    <row r="14" spans="1:17" ht="15" x14ac:dyDescent="0.2">
      <c r="A14" s="12"/>
      <c r="B14" s="13" t="s">
        <v>123</v>
      </c>
      <c r="C14" s="17">
        <v>3780</v>
      </c>
      <c r="D14" s="17">
        <v>3852</v>
      </c>
      <c r="E14" s="17">
        <v>3852</v>
      </c>
      <c r="F14" s="17">
        <v>3852</v>
      </c>
      <c r="G14" s="17">
        <v>3852</v>
      </c>
      <c r="H14" s="17">
        <v>3852</v>
      </c>
      <c r="I14" s="17">
        <v>3852</v>
      </c>
      <c r="J14" s="17">
        <v>3924</v>
      </c>
      <c r="K14" s="17">
        <v>3924</v>
      </c>
      <c r="L14" s="17">
        <v>3924</v>
      </c>
      <c r="M14" s="17">
        <v>3924</v>
      </c>
      <c r="N14" s="17">
        <v>3924</v>
      </c>
      <c r="O14" s="18">
        <f>SUM(C14:N14)</f>
        <v>46512</v>
      </c>
    </row>
    <row r="15" spans="1:17"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7" ht="15" x14ac:dyDescent="0.2">
      <c r="A16" s="12"/>
      <c r="B16" s="13" t="s">
        <v>125</v>
      </c>
      <c r="C16" s="17">
        <v>0</v>
      </c>
      <c r="D16" s="17">
        <v>0</v>
      </c>
      <c r="E16" s="17">
        <v>0</v>
      </c>
      <c r="F16" s="17">
        <v>0</v>
      </c>
      <c r="G16" s="17">
        <v>5000</v>
      </c>
      <c r="H16" s="17">
        <v>0</v>
      </c>
      <c r="I16" s="17">
        <v>0</v>
      </c>
      <c r="J16" s="17">
        <v>0</v>
      </c>
      <c r="K16" s="17">
        <v>0</v>
      </c>
      <c r="L16" s="17">
        <v>0</v>
      </c>
      <c r="M16" s="17">
        <v>0</v>
      </c>
      <c r="N16" s="17">
        <v>0</v>
      </c>
      <c r="O16" s="18">
        <f t="shared" si="0"/>
        <v>5000</v>
      </c>
    </row>
    <row r="17" spans="1:19" x14ac:dyDescent="0.2">
      <c r="A17" s="12"/>
      <c r="B17" s="166" t="s">
        <v>280</v>
      </c>
      <c r="C17" s="17">
        <v>0</v>
      </c>
      <c r="D17" s="17">
        <v>0</v>
      </c>
      <c r="E17" s="17">
        <v>0</v>
      </c>
      <c r="F17" s="17">
        <v>0</v>
      </c>
      <c r="G17" s="17">
        <v>0</v>
      </c>
      <c r="H17" s="17">
        <v>0</v>
      </c>
      <c r="I17" s="17">
        <v>0</v>
      </c>
      <c r="J17" s="17">
        <v>2301</v>
      </c>
      <c r="K17" s="17">
        <v>2301</v>
      </c>
      <c r="L17" s="17">
        <v>2301</v>
      </c>
      <c r="M17" s="17">
        <v>2301</v>
      </c>
      <c r="N17" s="17">
        <v>0</v>
      </c>
      <c r="O17" s="18">
        <f t="shared" si="0"/>
        <v>9204</v>
      </c>
    </row>
    <row r="18" spans="1:19" ht="15" hidden="1" x14ac:dyDescent="0.2">
      <c r="A18" s="12"/>
      <c r="B18" s="13" t="s">
        <v>609</v>
      </c>
      <c r="C18" s="17">
        <v>0</v>
      </c>
      <c r="D18" s="17">
        <v>0</v>
      </c>
      <c r="E18" s="17">
        <v>0</v>
      </c>
      <c r="F18" s="17">
        <v>0</v>
      </c>
      <c r="G18" s="17">
        <v>0</v>
      </c>
      <c r="H18" s="17">
        <v>0</v>
      </c>
      <c r="I18" s="17">
        <v>0</v>
      </c>
      <c r="J18" s="17">
        <v>0</v>
      </c>
      <c r="K18" s="17">
        <v>0</v>
      </c>
      <c r="L18" s="17">
        <v>0</v>
      </c>
      <c r="M18" s="17">
        <v>0</v>
      </c>
      <c r="N18" s="17">
        <v>0</v>
      </c>
      <c r="O18" s="18">
        <f t="shared" si="0"/>
        <v>0</v>
      </c>
    </row>
    <row r="19" spans="1:19" ht="15.75" x14ac:dyDescent="0.25">
      <c r="A19" s="12"/>
      <c r="B19" s="13" t="s">
        <v>128</v>
      </c>
      <c r="C19" s="17">
        <v>7248</v>
      </c>
      <c r="D19" s="17">
        <v>7248</v>
      </c>
      <c r="E19" s="17">
        <v>7248</v>
      </c>
      <c r="F19" s="17">
        <v>7248</v>
      </c>
      <c r="G19" s="17">
        <v>7464</v>
      </c>
      <c r="H19" s="17">
        <v>7464</v>
      </c>
      <c r="I19" s="17">
        <v>7464</v>
      </c>
      <c r="J19" s="17">
        <v>7464</v>
      </c>
      <c r="K19" s="17">
        <v>0</v>
      </c>
      <c r="L19" s="17">
        <v>0</v>
      </c>
      <c r="M19" s="17">
        <v>0</v>
      </c>
      <c r="N19" s="17">
        <v>0</v>
      </c>
      <c r="O19" s="18">
        <f t="shared" si="0"/>
        <v>58848</v>
      </c>
      <c r="S19" s="200"/>
    </row>
    <row r="20" spans="1:19" ht="15" x14ac:dyDescent="0.2">
      <c r="A20" s="12"/>
      <c r="B20" s="13" t="s">
        <v>129</v>
      </c>
      <c r="C20" s="17">
        <v>0</v>
      </c>
      <c r="D20" s="17">
        <v>0</v>
      </c>
      <c r="E20" s="17">
        <v>0</v>
      </c>
      <c r="F20" s="17">
        <v>52500</v>
      </c>
      <c r="G20" s="17">
        <v>0</v>
      </c>
      <c r="H20" s="17">
        <v>0</v>
      </c>
      <c r="I20" s="17">
        <v>0</v>
      </c>
      <c r="J20" s="17">
        <v>0</v>
      </c>
      <c r="K20" s="17">
        <v>0</v>
      </c>
      <c r="L20" s="17">
        <v>0</v>
      </c>
      <c r="M20" s="17">
        <v>0</v>
      </c>
      <c r="N20" s="17">
        <v>0</v>
      </c>
      <c r="O20" s="18">
        <f t="shared" si="0"/>
        <v>52500</v>
      </c>
    </row>
    <row r="21" spans="1:19" ht="15" hidden="1" x14ac:dyDescent="0.2">
      <c r="A21" s="878"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9" ht="15" x14ac:dyDescent="0.2">
      <c r="A22" s="879"/>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9" ht="15" hidden="1" x14ac:dyDescent="0.2">
      <c r="A23" s="879"/>
      <c r="B23" s="19" t="s">
        <v>133</v>
      </c>
      <c r="C23" s="17">
        <v>0</v>
      </c>
      <c r="D23" s="17">
        <v>0</v>
      </c>
      <c r="E23" s="17">
        <v>0</v>
      </c>
      <c r="F23" s="17">
        <v>0</v>
      </c>
      <c r="G23" s="17">
        <v>0</v>
      </c>
      <c r="H23" s="17">
        <v>0</v>
      </c>
      <c r="I23" s="17">
        <v>0</v>
      </c>
      <c r="J23" s="17">
        <v>0</v>
      </c>
      <c r="K23" s="17">
        <v>0</v>
      </c>
      <c r="L23" s="17">
        <v>0</v>
      </c>
      <c r="M23" s="17">
        <v>0</v>
      </c>
      <c r="N23" s="17">
        <v>0</v>
      </c>
      <c r="O23" s="18">
        <f t="shared" si="0"/>
        <v>0</v>
      </c>
    </row>
    <row r="24" spans="1:19" ht="15" hidden="1" x14ac:dyDescent="0.2">
      <c r="A24" s="879"/>
      <c r="B24" s="19" t="s">
        <v>134</v>
      </c>
      <c r="C24" s="17">
        <v>0</v>
      </c>
      <c r="D24" s="17">
        <v>0</v>
      </c>
      <c r="E24" s="17">
        <v>0</v>
      </c>
      <c r="F24" s="17">
        <v>0</v>
      </c>
      <c r="G24" s="17">
        <v>0</v>
      </c>
      <c r="H24" s="17">
        <v>0</v>
      </c>
      <c r="I24" s="17">
        <v>0</v>
      </c>
      <c r="J24" s="17">
        <v>0</v>
      </c>
      <c r="K24" s="17">
        <v>0</v>
      </c>
      <c r="L24" s="17">
        <v>0</v>
      </c>
      <c r="M24" s="17">
        <v>0</v>
      </c>
      <c r="N24" s="17">
        <v>0</v>
      </c>
      <c r="O24" s="18">
        <f t="shared" si="0"/>
        <v>0</v>
      </c>
    </row>
    <row r="25" spans="1:19" ht="15" hidden="1" x14ac:dyDescent="0.2">
      <c r="A25" s="879"/>
      <c r="B25" s="19" t="s">
        <v>135</v>
      </c>
      <c r="C25" s="17">
        <v>0</v>
      </c>
      <c r="D25" s="17">
        <v>0</v>
      </c>
      <c r="E25" s="17">
        <v>0</v>
      </c>
      <c r="F25" s="17">
        <v>0</v>
      </c>
      <c r="G25" s="17">
        <v>0</v>
      </c>
      <c r="H25" s="17">
        <v>0</v>
      </c>
      <c r="I25" s="17">
        <v>0</v>
      </c>
      <c r="J25" s="17">
        <v>0</v>
      </c>
      <c r="K25" s="17">
        <v>0</v>
      </c>
      <c r="L25" s="17">
        <v>0</v>
      </c>
      <c r="M25" s="17">
        <v>0</v>
      </c>
      <c r="N25" s="17">
        <v>0</v>
      </c>
      <c r="O25" s="18">
        <f t="shared" si="0"/>
        <v>0</v>
      </c>
    </row>
    <row r="26" spans="1:19" ht="15" hidden="1" x14ac:dyDescent="0.2">
      <c r="A26" s="879"/>
      <c r="B26" s="19" t="s">
        <v>136</v>
      </c>
      <c r="C26" s="17">
        <v>0</v>
      </c>
      <c r="D26" s="17">
        <v>0</v>
      </c>
      <c r="E26" s="17">
        <v>0</v>
      </c>
      <c r="F26" s="17">
        <v>0</v>
      </c>
      <c r="G26" s="17">
        <v>0</v>
      </c>
      <c r="H26" s="17">
        <v>0</v>
      </c>
      <c r="I26" s="17">
        <v>0</v>
      </c>
      <c r="J26" s="17">
        <v>0</v>
      </c>
      <c r="K26" s="17">
        <v>0</v>
      </c>
      <c r="L26" s="17">
        <v>0</v>
      </c>
      <c r="M26" s="17">
        <v>0</v>
      </c>
      <c r="N26" s="17">
        <v>0</v>
      </c>
      <c r="O26" s="18">
        <f t="shared" si="0"/>
        <v>0</v>
      </c>
    </row>
    <row r="27" spans="1:19" ht="15" hidden="1" x14ac:dyDescent="0.2">
      <c r="A27" s="879"/>
      <c r="B27" s="19" t="s">
        <v>137</v>
      </c>
      <c r="C27" s="17">
        <v>0</v>
      </c>
      <c r="D27" s="17">
        <v>0</v>
      </c>
      <c r="E27" s="17">
        <v>0</v>
      </c>
      <c r="F27" s="17">
        <v>0</v>
      </c>
      <c r="G27" s="17">
        <v>0</v>
      </c>
      <c r="H27" s="17">
        <v>0</v>
      </c>
      <c r="I27" s="17">
        <v>0</v>
      </c>
      <c r="J27" s="17">
        <v>0</v>
      </c>
      <c r="K27" s="17">
        <v>0</v>
      </c>
      <c r="L27" s="17">
        <v>0</v>
      </c>
      <c r="M27" s="17">
        <v>0</v>
      </c>
      <c r="N27" s="17">
        <v>0</v>
      </c>
      <c r="O27" s="18">
        <f t="shared" si="0"/>
        <v>0</v>
      </c>
    </row>
    <row r="28" spans="1:19" ht="15" hidden="1" x14ac:dyDescent="0.2">
      <c r="A28" s="879"/>
      <c r="B28" s="19" t="s">
        <v>138</v>
      </c>
      <c r="C28" s="17">
        <v>0</v>
      </c>
      <c r="D28" s="17">
        <v>0</v>
      </c>
      <c r="E28" s="17">
        <v>0</v>
      </c>
      <c r="F28" s="17">
        <v>0</v>
      </c>
      <c r="G28" s="17">
        <v>0</v>
      </c>
      <c r="H28" s="17">
        <v>0</v>
      </c>
      <c r="I28" s="17">
        <v>0</v>
      </c>
      <c r="J28" s="17">
        <v>0</v>
      </c>
      <c r="K28" s="17">
        <v>0</v>
      </c>
      <c r="L28" s="17">
        <v>0</v>
      </c>
      <c r="M28" s="17">
        <v>0</v>
      </c>
      <c r="N28" s="17">
        <v>0</v>
      </c>
      <c r="O28" s="18">
        <f t="shared" si="0"/>
        <v>0</v>
      </c>
    </row>
    <row r="29" spans="1:19" ht="15" hidden="1" x14ac:dyDescent="0.2">
      <c r="A29" s="879"/>
      <c r="B29" s="19" t="s">
        <v>139</v>
      </c>
      <c r="C29" s="17">
        <v>0</v>
      </c>
      <c r="D29" s="17">
        <v>0</v>
      </c>
      <c r="E29" s="17">
        <v>0</v>
      </c>
      <c r="F29" s="17">
        <v>0</v>
      </c>
      <c r="G29" s="17">
        <v>0</v>
      </c>
      <c r="H29" s="17">
        <v>0</v>
      </c>
      <c r="I29" s="17">
        <v>0</v>
      </c>
      <c r="J29" s="17">
        <v>0</v>
      </c>
      <c r="K29" s="17">
        <v>0</v>
      </c>
      <c r="L29" s="17">
        <v>0</v>
      </c>
      <c r="M29" s="17">
        <v>0</v>
      </c>
      <c r="N29" s="17">
        <v>0</v>
      </c>
      <c r="O29" s="18">
        <f t="shared" si="0"/>
        <v>0</v>
      </c>
    </row>
    <row r="30" spans="1:19" ht="15" hidden="1" x14ac:dyDescent="0.2">
      <c r="A30" s="879"/>
      <c r="B30" s="19" t="s">
        <v>140</v>
      </c>
      <c r="C30" s="17">
        <v>0</v>
      </c>
      <c r="D30" s="17">
        <v>0</v>
      </c>
      <c r="E30" s="17">
        <v>0</v>
      </c>
      <c r="F30" s="17">
        <v>0</v>
      </c>
      <c r="G30" s="17">
        <v>0</v>
      </c>
      <c r="H30" s="17">
        <v>0</v>
      </c>
      <c r="I30" s="17">
        <v>0</v>
      </c>
      <c r="J30" s="17">
        <v>0</v>
      </c>
      <c r="K30" s="17">
        <v>0</v>
      </c>
      <c r="L30" s="17">
        <v>0</v>
      </c>
      <c r="M30" s="17">
        <v>0</v>
      </c>
      <c r="N30" s="17">
        <v>0</v>
      </c>
      <c r="O30" s="18">
        <f t="shared" si="0"/>
        <v>0</v>
      </c>
    </row>
    <row r="31" spans="1:19" ht="15" hidden="1" x14ac:dyDescent="0.2">
      <c r="A31" s="879"/>
      <c r="B31" s="19" t="s">
        <v>225</v>
      </c>
      <c r="C31" s="17">
        <v>0</v>
      </c>
      <c r="D31" s="17">
        <v>0</v>
      </c>
      <c r="E31" s="17">
        <v>0</v>
      </c>
      <c r="F31" s="17">
        <v>0</v>
      </c>
      <c r="G31" s="17">
        <v>0</v>
      </c>
      <c r="H31" s="17">
        <v>0</v>
      </c>
      <c r="I31" s="17">
        <v>0</v>
      </c>
      <c r="J31" s="17">
        <v>0</v>
      </c>
      <c r="K31" s="17">
        <v>0</v>
      </c>
      <c r="L31" s="17">
        <v>0</v>
      </c>
      <c r="M31" s="17">
        <v>0</v>
      </c>
      <c r="N31" s="17">
        <v>0</v>
      </c>
      <c r="O31" s="18">
        <f t="shared" si="0"/>
        <v>0</v>
      </c>
    </row>
    <row r="32" spans="1:19" ht="23.25" x14ac:dyDescent="0.2">
      <c r="A32" s="879"/>
      <c r="B32" s="21" t="s">
        <v>142</v>
      </c>
      <c r="C32" s="17">
        <v>0</v>
      </c>
      <c r="D32" s="17">
        <v>0</v>
      </c>
      <c r="E32" s="17">
        <v>0</v>
      </c>
      <c r="F32" s="17">
        <v>0</v>
      </c>
      <c r="G32" s="17">
        <v>0</v>
      </c>
      <c r="H32" s="17">
        <v>0</v>
      </c>
      <c r="I32" s="17">
        <v>0</v>
      </c>
      <c r="J32" s="17">
        <v>0</v>
      </c>
      <c r="K32" s="17">
        <v>0</v>
      </c>
      <c r="L32" s="17">
        <v>0</v>
      </c>
      <c r="M32" s="17">
        <v>0</v>
      </c>
      <c r="N32" s="17">
        <v>0</v>
      </c>
      <c r="O32" s="18">
        <f t="shared" si="0"/>
        <v>0</v>
      </c>
    </row>
    <row r="33" spans="1:17" ht="15" hidden="1" x14ac:dyDescent="0.2">
      <c r="A33" s="880"/>
      <c r="B33" s="19" t="s">
        <v>226</v>
      </c>
      <c r="C33" s="17">
        <v>0</v>
      </c>
      <c r="D33" s="17">
        <v>0</v>
      </c>
      <c r="E33" s="17">
        <v>0</v>
      </c>
      <c r="F33" s="17">
        <v>0</v>
      </c>
      <c r="G33" s="17">
        <v>0</v>
      </c>
      <c r="H33" s="17">
        <v>0</v>
      </c>
      <c r="I33" s="17">
        <v>0</v>
      </c>
      <c r="J33" s="17">
        <v>0</v>
      </c>
      <c r="K33" s="17">
        <v>0</v>
      </c>
      <c r="L33" s="17">
        <v>0</v>
      </c>
      <c r="M33" s="17">
        <v>0</v>
      </c>
      <c r="N33" s="17">
        <v>0</v>
      </c>
      <c r="O33" s="18">
        <f t="shared" si="0"/>
        <v>0</v>
      </c>
    </row>
    <row r="34" spans="1:17" ht="15" x14ac:dyDescent="0.2">
      <c r="A34" s="865" t="s">
        <v>144</v>
      </c>
      <c r="B34" s="866"/>
      <c r="C34" s="17">
        <v>0</v>
      </c>
      <c r="D34" s="17">
        <v>0</v>
      </c>
      <c r="E34" s="17">
        <v>0</v>
      </c>
      <c r="F34" s="17">
        <v>0</v>
      </c>
      <c r="G34" s="17">
        <v>0</v>
      </c>
      <c r="H34" s="17">
        <v>0</v>
      </c>
      <c r="I34" s="17">
        <v>0</v>
      </c>
      <c r="J34" s="17">
        <v>0</v>
      </c>
      <c r="K34" s="17">
        <v>0</v>
      </c>
      <c r="L34" s="17">
        <v>0</v>
      </c>
      <c r="M34" s="17">
        <v>0</v>
      </c>
      <c r="N34" s="17">
        <v>0</v>
      </c>
      <c r="O34" s="18">
        <f t="shared" si="0"/>
        <v>0</v>
      </c>
    </row>
    <row r="35" spans="1:17" ht="15" customHeight="1" x14ac:dyDescent="0.2">
      <c r="A35" s="865" t="s">
        <v>145</v>
      </c>
      <c r="B35" s="866"/>
      <c r="C35" s="17">
        <v>0</v>
      </c>
      <c r="D35" s="17">
        <v>216</v>
      </c>
      <c r="E35" s="17">
        <v>0</v>
      </c>
      <c r="F35" s="17">
        <v>0</v>
      </c>
      <c r="G35" s="17">
        <v>0</v>
      </c>
      <c r="H35" s="17">
        <v>0</v>
      </c>
      <c r="I35" s="17">
        <v>0</v>
      </c>
      <c r="J35" s="17">
        <v>216</v>
      </c>
      <c r="K35" s="17">
        <v>0</v>
      </c>
      <c r="L35" s="17">
        <v>0</v>
      </c>
      <c r="M35" s="17">
        <v>0</v>
      </c>
      <c r="N35" s="17">
        <v>0</v>
      </c>
      <c r="O35" s="18">
        <f>SUM(C35:N35)</f>
        <v>432</v>
      </c>
    </row>
    <row r="36" spans="1:17" ht="15" x14ac:dyDescent="0.2">
      <c r="A36" s="865" t="s">
        <v>146</v>
      </c>
      <c r="B36" s="866"/>
      <c r="C36" s="17">
        <v>0</v>
      </c>
      <c r="D36" s="17">
        <v>1812</v>
      </c>
      <c r="E36" s="17">
        <v>0</v>
      </c>
      <c r="F36" s="17">
        <v>0</v>
      </c>
      <c r="G36" s="17">
        <v>0</v>
      </c>
      <c r="H36" s="17">
        <v>0</v>
      </c>
      <c r="I36" s="17">
        <v>0</v>
      </c>
      <c r="J36" s="17">
        <v>1866</v>
      </c>
      <c r="K36" s="17">
        <v>0</v>
      </c>
      <c r="L36" s="17">
        <v>0</v>
      </c>
      <c r="M36" s="17">
        <v>0</v>
      </c>
      <c r="N36" s="17">
        <v>0</v>
      </c>
      <c r="O36" s="18">
        <f t="shared" si="0"/>
        <v>3678</v>
      </c>
    </row>
    <row r="37" spans="1:17" ht="15" x14ac:dyDescent="0.2">
      <c r="A37" s="22"/>
      <c r="B37" s="23" t="s">
        <v>147</v>
      </c>
      <c r="C37" s="24">
        <f>SUM(C9:C36)</f>
        <v>42738</v>
      </c>
      <c r="D37" s="24">
        <f t="shared" ref="D37:N37" si="1">SUM(D9:D36)</f>
        <v>45442</v>
      </c>
      <c r="E37" s="24">
        <f t="shared" si="1"/>
        <v>43414</v>
      </c>
      <c r="F37" s="24">
        <f t="shared" si="1"/>
        <v>95914</v>
      </c>
      <c r="G37" s="24">
        <f t="shared" si="1"/>
        <v>49593</v>
      </c>
      <c r="H37" s="24">
        <f t="shared" si="1"/>
        <v>44593</v>
      </c>
      <c r="I37" s="24">
        <f t="shared" si="1"/>
        <v>44593</v>
      </c>
      <c r="J37" s="24">
        <f t="shared" si="1"/>
        <v>56578</v>
      </c>
      <c r="K37" s="24">
        <f t="shared" si="1"/>
        <v>40124</v>
      </c>
      <c r="L37" s="24">
        <f t="shared" si="1"/>
        <v>40124</v>
      </c>
      <c r="M37" s="24">
        <f t="shared" si="1"/>
        <v>40124</v>
      </c>
      <c r="N37" s="24">
        <f t="shared" si="1"/>
        <v>37823</v>
      </c>
      <c r="O37" s="25">
        <f t="shared" si="0"/>
        <v>581060</v>
      </c>
    </row>
    <row r="38" spans="1:17" ht="15.75" x14ac:dyDescent="0.25">
      <c r="A38" s="853" t="s">
        <v>148</v>
      </c>
      <c r="B38" s="27" t="s">
        <v>149</v>
      </c>
      <c r="C38" s="147">
        <v>0</v>
      </c>
      <c r="D38" s="147">
        <v>0</v>
      </c>
      <c r="E38" s="147">
        <v>0</v>
      </c>
      <c r="F38" s="147">
        <v>0</v>
      </c>
      <c r="G38" s="147">
        <v>0</v>
      </c>
      <c r="H38" s="147">
        <v>0</v>
      </c>
      <c r="I38" s="147">
        <v>0</v>
      </c>
      <c r="J38" s="147">
        <v>0</v>
      </c>
      <c r="K38" s="147">
        <v>1500</v>
      </c>
      <c r="L38" s="147">
        <v>2155</v>
      </c>
      <c r="M38" s="147">
        <v>2150</v>
      </c>
      <c r="N38">
        <v>2235</v>
      </c>
      <c r="O38" s="18">
        <f t="shared" si="0"/>
        <v>8040</v>
      </c>
      <c r="P38" s="284"/>
      <c r="Q38" s="16">
        <f>+O17</f>
        <v>9204</v>
      </c>
    </row>
    <row r="39" spans="1:17" ht="15" x14ac:dyDescent="0.2">
      <c r="A39" s="854"/>
      <c r="B39" s="27" t="s">
        <v>150</v>
      </c>
      <c r="C39" s="147">
        <v>0</v>
      </c>
      <c r="D39" s="147">
        <v>0</v>
      </c>
      <c r="E39" s="147">
        <v>0</v>
      </c>
      <c r="F39" s="147">
        <v>0</v>
      </c>
      <c r="G39" s="147">
        <v>0</v>
      </c>
      <c r="H39" s="147">
        <v>0</v>
      </c>
      <c r="I39" s="147">
        <v>0</v>
      </c>
      <c r="J39" s="147">
        <v>0</v>
      </c>
      <c r="K39" s="147">
        <v>0</v>
      </c>
      <c r="L39" s="147">
        <v>0</v>
      </c>
      <c r="M39" s="147">
        <v>0</v>
      </c>
      <c r="N39" s="147">
        <v>0</v>
      </c>
      <c r="O39" s="18">
        <f t="shared" si="0"/>
        <v>0</v>
      </c>
      <c r="Q39" s="16">
        <f>+Q37+Q38</f>
        <v>9204</v>
      </c>
    </row>
    <row r="40" spans="1:17" ht="15" x14ac:dyDescent="0.2">
      <c r="A40" s="854"/>
      <c r="B40" s="27" t="s">
        <v>151</v>
      </c>
      <c r="C40" s="147">
        <v>30</v>
      </c>
      <c r="D40" s="147">
        <v>30</v>
      </c>
      <c r="E40" s="147">
        <v>30</v>
      </c>
      <c r="F40" s="147">
        <v>30</v>
      </c>
      <c r="G40" s="147">
        <v>30</v>
      </c>
      <c r="H40" s="147">
        <v>30</v>
      </c>
      <c r="I40" s="147">
        <v>30</v>
      </c>
      <c r="J40" s="147">
        <v>30</v>
      </c>
      <c r="K40" s="147">
        <v>30</v>
      </c>
      <c r="L40" s="147">
        <v>30</v>
      </c>
      <c r="M40" s="147">
        <v>30</v>
      </c>
      <c r="N40" s="147">
        <v>30</v>
      </c>
      <c r="O40" s="18">
        <f t="shared" si="0"/>
        <v>360</v>
      </c>
    </row>
    <row r="41" spans="1:17" ht="15" x14ac:dyDescent="0.2">
      <c r="A41" s="854"/>
      <c r="B41" s="27" t="s">
        <v>152</v>
      </c>
      <c r="C41" s="147">
        <v>0</v>
      </c>
      <c r="D41" s="147">
        <v>0</v>
      </c>
      <c r="E41" s="147">
        <v>0</v>
      </c>
      <c r="F41" s="147">
        <v>0</v>
      </c>
      <c r="G41" s="147">
        <v>0</v>
      </c>
      <c r="H41" s="147">
        <v>0</v>
      </c>
      <c r="I41" s="147">
        <v>0</v>
      </c>
      <c r="J41" s="147">
        <v>0</v>
      </c>
      <c r="K41" s="147">
        <v>0</v>
      </c>
      <c r="L41" s="147">
        <v>0</v>
      </c>
      <c r="M41" s="147">
        <v>0</v>
      </c>
      <c r="N41" s="147">
        <v>0</v>
      </c>
      <c r="O41" s="18">
        <f t="shared" si="0"/>
        <v>0</v>
      </c>
    </row>
    <row r="42" spans="1:17" ht="15" x14ac:dyDescent="0.2">
      <c r="A42" s="854"/>
      <c r="B42" s="27" t="s">
        <v>153</v>
      </c>
      <c r="C42" s="147">
        <v>250</v>
      </c>
      <c r="D42" s="147">
        <v>250</v>
      </c>
      <c r="E42" s="147">
        <v>250</v>
      </c>
      <c r="F42" s="147">
        <v>250</v>
      </c>
      <c r="G42" s="147">
        <v>250</v>
      </c>
      <c r="H42" s="147">
        <v>250</v>
      </c>
      <c r="I42" s="147">
        <v>250</v>
      </c>
      <c r="J42" s="147">
        <v>250</v>
      </c>
      <c r="K42" s="147">
        <v>250</v>
      </c>
      <c r="L42" s="147">
        <v>250</v>
      </c>
      <c r="M42" s="147">
        <v>250</v>
      </c>
      <c r="N42" s="147">
        <v>250</v>
      </c>
      <c r="O42" s="18">
        <f t="shared" si="0"/>
        <v>3000</v>
      </c>
    </row>
    <row r="43" spans="1:17" ht="15" x14ac:dyDescent="0.2">
      <c r="A43" s="854"/>
      <c r="B43" s="27" t="s">
        <v>154</v>
      </c>
      <c r="C43" s="147">
        <v>5000</v>
      </c>
      <c r="D43" s="147">
        <v>5000</v>
      </c>
      <c r="E43" s="147">
        <v>5000</v>
      </c>
      <c r="F43" s="147">
        <v>5000</v>
      </c>
      <c r="G43" s="147">
        <v>5000</v>
      </c>
      <c r="H43" s="147">
        <v>5000</v>
      </c>
      <c r="I43" s="147">
        <v>5000</v>
      </c>
      <c r="J43" s="147">
        <v>5000</v>
      </c>
      <c r="K43" s="147">
        <v>5000</v>
      </c>
      <c r="L43" s="147">
        <v>5000</v>
      </c>
      <c r="M43" s="147">
        <v>5000</v>
      </c>
      <c r="N43" s="147">
        <v>5000</v>
      </c>
      <c r="O43" s="18">
        <f t="shared" si="0"/>
        <v>60000</v>
      </c>
    </row>
    <row r="44" spans="1:17" ht="15" x14ac:dyDescent="0.2">
      <c r="A44" s="854"/>
      <c r="B44" s="27" t="s">
        <v>155</v>
      </c>
      <c r="C44" s="147">
        <v>200</v>
      </c>
      <c r="D44" s="147">
        <v>200</v>
      </c>
      <c r="E44" s="147">
        <v>200</v>
      </c>
      <c r="F44" s="147">
        <v>200</v>
      </c>
      <c r="G44" s="147">
        <v>200</v>
      </c>
      <c r="H44" s="147">
        <v>200</v>
      </c>
      <c r="I44" s="147">
        <v>200</v>
      </c>
      <c r="J44" s="147">
        <v>200</v>
      </c>
      <c r="K44" s="147">
        <v>200</v>
      </c>
      <c r="L44" s="147">
        <v>200</v>
      </c>
      <c r="M44" s="147">
        <v>200</v>
      </c>
      <c r="N44" s="147">
        <v>300</v>
      </c>
      <c r="O44" s="18">
        <f t="shared" si="0"/>
        <v>2500</v>
      </c>
    </row>
    <row r="45" spans="1:17" ht="15" x14ac:dyDescent="0.2">
      <c r="A45" s="854"/>
      <c r="B45" s="27" t="s">
        <v>156</v>
      </c>
      <c r="C45" s="147">
        <v>0</v>
      </c>
      <c r="D45" s="147">
        <v>0</v>
      </c>
      <c r="E45" s="147">
        <v>0</v>
      </c>
      <c r="F45" s="147">
        <v>0</v>
      </c>
      <c r="G45" s="147">
        <v>0</v>
      </c>
      <c r="H45" s="147">
        <v>0</v>
      </c>
      <c r="I45" s="147">
        <v>0</v>
      </c>
      <c r="J45" s="147">
        <v>0</v>
      </c>
      <c r="K45" s="147">
        <v>0</v>
      </c>
      <c r="L45" s="147">
        <v>0</v>
      </c>
      <c r="M45" s="147">
        <v>0</v>
      </c>
      <c r="N45" s="147">
        <v>0</v>
      </c>
      <c r="O45" s="18">
        <f t="shared" si="0"/>
        <v>0</v>
      </c>
    </row>
    <row r="46" spans="1:17" ht="15" x14ac:dyDescent="0.2">
      <c r="A46" s="854"/>
      <c r="B46" s="27" t="s">
        <v>157</v>
      </c>
      <c r="C46" s="147">
        <v>0</v>
      </c>
      <c r="D46" s="147">
        <v>0</v>
      </c>
      <c r="E46" s="147">
        <v>0</v>
      </c>
      <c r="F46" s="147">
        <v>0</v>
      </c>
      <c r="G46" s="147">
        <v>0</v>
      </c>
      <c r="H46" s="147">
        <v>0</v>
      </c>
      <c r="I46" s="147">
        <v>0</v>
      </c>
      <c r="J46" s="147">
        <v>0</v>
      </c>
      <c r="K46" s="147">
        <v>0</v>
      </c>
      <c r="L46" s="147">
        <v>0</v>
      </c>
      <c r="M46" s="147">
        <v>0</v>
      </c>
      <c r="N46" s="147">
        <v>0</v>
      </c>
      <c r="O46" s="18">
        <f t="shared" si="0"/>
        <v>0</v>
      </c>
    </row>
    <row r="47" spans="1:17" ht="21" x14ac:dyDescent="0.2">
      <c r="A47" s="855"/>
      <c r="B47" s="485" t="s">
        <v>158</v>
      </c>
      <c r="C47" s="147">
        <v>2229</v>
      </c>
      <c r="D47" s="147">
        <v>2229</v>
      </c>
      <c r="E47" s="147">
        <v>2229</v>
      </c>
      <c r="F47" s="147">
        <v>2229</v>
      </c>
      <c r="G47" s="147">
        <v>2229</v>
      </c>
      <c r="H47" s="147">
        <v>2229</v>
      </c>
      <c r="I47" s="147">
        <v>2229</v>
      </c>
      <c r="J47" s="147">
        <v>2229</v>
      </c>
      <c r="K47" s="147">
        <v>2229</v>
      </c>
      <c r="L47" s="147">
        <v>2229</v>
      </c>
      <c r="M47" s="147">
        <v>2229</v>
      </c>
      <c r="N47" s="147">
        <v>2229</v>
      </c>
      <c r="O47" s="31">
        <f t="shared" si="0"/>
        <v>26748</v>
      </c>
    </row>
    <row r="48" spans="1:17" ht="38.25" x14ac:dyDescent="0.2">
      <c r="A48" s="856"/>
      <c r="B48" s="169" t="s">
        <v>1243</v>
      </c>
      <c r="C48" s="147">
        <v>0</v>
      </c>
      <c r="D48" s="147">
        <v>0</v>
      </c>
      <c r="E48" s="147">
        <v>0</v>
      </c>
      <c r="F48" s="147">
        <v>0</v>
      </c>
      <c r="G48" s="147">
        <v>0</v>
      </c>
      <c r="H48" s="147">
        <v>0</v>
      </c>
      <c r="I48" s="147">
        <v>0</v>
      </c>
      <c r="J48" s="147">
        <v>0</v>
      </c>
      <c r="K48" s="147">
        <v>0</v>
      </c>
      <c r="L48" s="147">
        <v>0</v>
      </c>
      <c r="M48" s="147">
        <v>0</v>
      </c>
      <c r="N48" s="147">
        <v>0</v>
      </c>
      <c r="O48" s="31">
        <f t="shared" si="0"/>
        <v>0</v>
      </c>
    </row>
    <row r="49" spans="1:19" ht="15" x14ac:dyDescent="0.2">
      <c r="A49" s="857" t="s">
        <v>160</v>
      </c>
      <c r="B49" s="858"/>
      <c r="C49" s="33">
        <f>SUM(C38:C48)</f>
        <v>7709</v>
      </c>
      <c r="D49" s="33">
        <f t="shared" ref="D49:N49" si="2">SUM(D38:D48)</f>
        <v>7709</v>
      </c>
      <c r="E49" s="33">
        <f t="shared" si="2"/>
        <v>7709</v>
      </c>
      <c r="F49" s="33">
        <f t="shared" si="2"/>
        <v>7709</v>
      </c>
      <c r="G49" s="33">
        <f t="shared" si="2"/>
        <v>7709</v>
      </c>
      <c r="H49" s="33">
        <f t="shared" si="2"/>
        <v>7709</v>
      </c>
      <c r="I49" s="33">
        <f t="shared" si="2"/>
        <v>7709</v>
      </c>
      <c r="J49" s="33">
        <f t="shared" si="2"/>
        <v>7709</v>
      </c>
      <c r="K49" s="33">
        <f t="shared" si="2"/>
        <v>9209</v>
      </c>
      <c r="L49" s="33">
        <f t="shared" si="2"/>
        <v>9864</v>
      </c>
      <c r="M49" s="33">
        <f t="shared" si="2"/>
        <v>9859</v>
      </c>
      <c r="N49" s="33">
        <f t="shared" si="2"/>
        <v>10044</v>
      </c>
      <c r="O49" s="34">
        <f t="shared" si="0"/>
        <v>100648</v>
      </c>
    </row>
    <row r="50" spans="1:19" ht="15.75" thickBot="1" x14ac:dyDescent="0.25">
      <c r="A50" s="859" t="s">
        <v>161</v>
      </c>
      <c r="B50" s="860"/>
      <c r="C50" s="35">
        <f>+C37-C49</f>
        <v>35029</v>
      </c>
      <c r="D50" s="35">
        <f t="shared" ref="D50:N50" si="3">+D37-D49</f>
        <v>37733</v>
      </c>
      <c r="E50" s="35">
        <f t="shared" si="3"/>
        <v>35705</v>
      </c>
      <c r="F50" s="35">
        <f t="shared" si="3"/>
        <v>88205</v>
      </c>
      <c r="G50" s="35">
        <f t="shared" si="3"/>
        <v>41884</v>
      </c>
      <c r="H50" s="35">
        <f t="shared" si="3"/>
        <v>36884</v>
      </c>
      <c r="I50" s="35">
        <f t="shared" si="3"/>
        <v>36884</v>
      </c>
      <c r="J50" s="35">
        <f t="shared" si="3"/>
        <v>48869</v>
      </c>
      <c r="K50" s="35">
        <f t="shared" si="3"/>
        <v>30915</v>
      </c>
      <c r="L50" s="35">
        <f t="shared" si="3"/>
        <v>30260</v>
      </c>
      <c r="M50" s="35">
        <f t="shared" si="3"/>
        <v>30265</v>
      </c>
      <c r="N50" s="35">
        <f t="shared" si="3"/>
        <v>27779</v>
      </c>
      <c r="O50" s="36">
        <f t="shared" si="0"/>
        <v>480412</v>
      </c>
      <c r="Q50" s="16">
        <f>15927+12939+3672+16845*2+17475*2+18010+17475+3531+3454+19027+18652*3+18552</f>
        <v>237183</v>
      </c>
    </row>
    <row r="51" spans="1:19" x14ac:dyDescent="0.2">
      <c r="J51" s="128">
        <f>+J37-SUM(J22:J36)</f>
        <v>47588</v>
      </c>
      <c r="Q51" s="38"/>
    </row>
    <row r="52" spans="1:19" ht="13.5" thickBot="1" x14ac:dyDescent="0.25">
      <c r="B52" s="37"/>
      <c r="J52" s="38">
        <f>+J51-J49</f>
        <v>39879</v>
      </c>
      <c r="Q52" s="38"/>
    </row>
    <row r="53" spans="1:19" ht="13.5" thickBot="1" x14ac:dyDescent="0.25">
      <c r="B53" s="789" t="s">
        <v>162</v>
      </c>
      <c r="C53" s="861"/>
      <c r="D53" s="861"/>
      <c r="E53" s="861"/>
      <c r="F53" s="862"/>
      <c r="G53" s="863">
        <f>+O37</f>
        <v>581060</v>
      </c>
      <c r="H53" s="864"/>
    </row>
    <row r="54" spans="1:19" ht="13.5" thickBot="1" x14ac:dyDescent="0.25">
      <c r="B54" s="37"/>
    </row>
    <row r="55" spans="1:19" x14ac:dyDescent="0.2">
      <c r="B55" s="830" t="s">
        <v>163</v>
      </c>
      <c r="C55" s="833" t="s">
        <v>164</v>
      </c>
      <c r="D55" s="836" t="s">
        <v>229</v>
      </c>
      <c r="E55" s="837"/>
      <c r="F55" s="838"/>
      <c r="G55" s="839">
        <v>40000</v>
      </c>
      <c r="H55" s="840"/>
    </row>
    <row r="56" spans="1:19" x14ac:dyDescent="0.2">
      <c r="B56" s="831"/>
      <c r="C56" s="834"/>
      <c r="D56" s="841" t="s">
        <v>166</v>
      </c>
      <c r="E56" s="842"/>
      <c r="F56" s="843"/>
      <c r="G56" s="844">
        <v>2500</v>
      </c>
      <c r="H56" s="845"/>
      <c r="I56" s="39"/>
      <c r="J56" s="846"/>
      <c r="K56" s="846"/>
      <c r="L56" s="846"/>
      <c r="M56" s="847"/>
      <c r="N56" s="847"/>
      <c r="O56" s="847"/>
    </row>
    <row r="57" spans="1:19" ht="13.5" thickBot="1" x14ac:dyDescent="0.25">
      <c r="B57" s="832"/>
      <c r="C57" s="835"/>
      <c r="D57" s="848" t="s">
        <v>129</v>
      </c>
      <c r="E57" s="849"/>
      <c r="F57" s="850"/>
      <c r="G57" s="851">
        <v>0</v>
      </c>
      <c r="H57" s="852"/>
      <c r="J57" s="47"/>
      <c r="K57" s="47"/>
      <c r="L57" s="47"/>
      <c r="M57" s="47"/>
      <c r="N57" s="47"/>
      <c r="O57" s="47"/>
    </row>
    <row r="58" spans="1:19" ht="13.5" thickBot="1" x14ac:dyDescent="0.25">
      <c r="B58" s="48"/>
      <c r="J58" s="47"/>
      <c r="K58" s="47"/>
      <c r="L58" s="47"/>
      <c r="M58" s="47"/>
      <c r="N58" s="47"/>
      <c r="O58" s="47"/>
    </row>
    <row r="59" spans="1:19" ht="13.5" thickBot="1" x14ac:dyDescent="0.25">
      <c r="B59" s="789" t="s">
        <v>168</v>
      </c>
      <c r="C59" s="790"/>
      <c r="D59" s="790"/>
      <c r="E59" s="790"/>
      <c r="F59" s="791"/>
      <c r="G59" s="825">
        <f>+G53-SUM(G55:H57)</f>
        <v>538560</v>
      </c>
      <c r="H59" s="826"/>
      <c r="J59" s="827" t="s">
        <v>169</v>
      </c>
      <c r="K59" s="828"/>
      <c r="L59" s="828"/>
      <c r="M59" s="828"/>
      <c r="N59" s="828"/>
      <c r="O59" s="829"/>
    </row>
    <row r="60" spans="1:19" ht="13.5" thickBot="1" x14ac:dyDescent="0.25">
      <c r="B60" s="49"/>
      <c r="C60" s="50"/>
      <c r="D60" s="50"/>
      <c r="E60" s="50"/>
      <c r="F60" s="50"/>
      <c r="G60" s="45"/>
      <c r="H60" s="50"/>
      <c r="J60" s="129"/>
      <c r="K60" s="130"/>
      <c r="L60" s="130"/>
      <c r="M60" s="130"/>
      <c r="N60" s="130"/>
      <c r="O60" s="131"/>
    </row>
    <row r="61" spans="1:19" ht="13.5" thickBot="1" x14ac:dyDescent="0.25">
      <c r="B61" s="789" t="s">
        <v>170</v>
      </c>
      <c r="C61" s="790"/>
      <c r="D61" s="790"/>
      <c r="E61" s="790"/>
      <c r="F61" s="791"/>
      <c r="G61" s="805"/>
      <c r="H61" s="791"/>
      <c r="J61" s="129"/>
      <c r="K61" s="130"/>
      <c r="L61" s="130"/>
      <c r="M61" s="130"/>
      <c r="N61" s="130"/>
      <c r="O61" s="131"/>
    </row>
    <row r="62" spans="1:19" ht="12.75" customHeight="1" x14ac:dyDescent="0.2">
      <c r="B62" s="57" t="s">
        <v>171</v>
      </c>
      <c r="C62" s="806" t="s">
        <v>172</v>
      </c>
      <c r="D62" s="807"/>
      <c r="E62" s="807"/>
      <c r="F62" s="808"/>
      <c r="G62" s="809">
        <v>11193</v>
      </c>
      <c r="H62" s="809"/>
      <c r="I62" s="58"/>
      <c r="J62" s="810" t="s">
        <v>173</v>
      </c>
      <c r="K62" s="811"/>
      <c r="L62" s="811"/>
      <c r="M62" s="811"/>
      <c r="N62" s="811"/>
      <c r="O62" s="812"/>
      <c r="Q62" s="59"/>
      <c r="R62" s="59"/>
      <c r="S62" s="59"/>
    </row>
    <row r="63" spans="1:19" ht="13.5" thickBot="1" x14ac:dyDescent="0.25">
      <c r="B63" s="37"/>
      <c r="D63" s="37"/>
      <c r="I63" s="58"/>
      <c r="J63" s="60" t="s">
        <v>1244</v>
      </c>
      <c r="K63" s="132"/>
      <c r="L63" s="132"/>
      <c r="M63" s="133"/>
      <c r="N63" s="133" t="s">
        <v>396</v>
      </c>
      <c r="O63" s="134"/>
      <c r="Q63" s="59"/>
      <c r="R63" s="59"/>
      <c r="S63" s="59"/>
    </row>
    <row r="64" spans="1:19" ht="13.5" thickBot="1" x14ac:dyDescent="0.25">
      <c r="B64" s="789" t="s">
        <v>175</v>
      </c>
      <c r="C64" s="790"/>
      <c r="D64" s="790"/>
      <c r="E64" s="790"/>
      <c r="F64" s="791"/>
      <c r="G64" s="805">
        <f>+G59-G62</f>
        <v>527367</v>
      </c>
      <c r="H64" s="791"/>
      <c r="I64" s="63"/>
      <c r="J64" s="75"/>
      <c r="K64" s="39"/>
      <c r="L64" s="39"/>
      <c r="M64" s="39"/>
      <c r="N64" s="39" t="s">
        <v>388</v>
      </c>
      <c r="O64" s="65"/>
      <c r="Q64" s="59"/>
      <c r="R64" s="59"/>
      <c r="S64" s="59"/>
    </row>
    <row r="65" spans="2:19" ht="12.75" customHeight="1" x14ac:dyDescent="0.2">
      <c r="B65" s="48"/>
      <c r="C65" s="48"/>
      <c r="I65" s="63"/>
      <c r="J65" s="64"/>
      <c r="K65" s="39"/>
      <c r="L65" s="39"/>
      <c r="M65" s="39"/>
      <c r="N65" s="39"/>
      <c r="O65" s="65"/>
      <c r="Q65" s="59"/>
      <c r="R65" s="59"/>
      <c r="S65" s="59"/>
    </row>
    <row r="66" spans="2:19" x14ac:dyDescent="0.2">
      <c r="B66" s="66" t="s">
        <v>176</v>
      </c>
      <c r="C66" s="48"/>
      <c r="I66" s="63"/>
      <c r="J66" s="67"/>
      <c r="K66" s="68"/>
      <c r="L66" s="68"/>
      <c r="M66" s="68"/>
      <c r="N66" s="68"/>
      <c r="O66" s="69"/>
      <c r="Q66" s="59"/>
      <c r="R66" s="59"/>
      <c r="S66" s="59"/>
    </row>
    <row r="67" spans="2:19" ht="23.25" thickBot="1" x14ac:dyDescent="0.25">
      <c r="B67" s="66"/>
      <c r="C67" s="48"/>
      <c r="G67" s="70" t="s">
        <v>177</v>
      </c>
      <c r="H67" s="70" t="s">
        <v>178</v>
      </c>
      <c r="I67" s="63"/>
      <c r="J67" s="810" t="s">
        <v>179</v>
      </c>
      <c r="K67" s="811"/>
      <c r="L67" s="71"/>
      <c r="M67" s="71"/>
      <c r="N67" s="71"/>
      <c r="O67" s="72"/>
      <c r="Q67" s="59"/>
      <c r="R67" s="59"/>
      <c r="S67" s="59"/>
    </row>
    <row r="68" spans="2:19" x14ac:dyDescent="0.2">
      <c r="B68" s="802" t="s">
        <v>180</v>
      </c>
      <c r="C68" s="821" t="s">
        <v>181</v>
      </c>
      <c r="D68" s="823" t="s">
        <v>182</v>
      </c>
      <c r="E68" s="824"/>
      <c r="F68" s="824"/>
      <c r="G68" s="73">
        <f>+O43</f>
        <v>60000</v>
      </c>
      <c r="H68" s="74">
        <f>+G68</f>
        <v>60000</v>
      </c>
      <c r="I68" s="63"/>
      <c r="J68" s="75" t="s">
        <v>231</v>
      </c>
      <c r="K68" s="58"/>
      <c r="L68" s="58"/>
      <c r="M68" s="135" t="s">
        <v>232</v>
      </c>
      <c r="N68" s="58"/>
      <c r="O68" s="76"/>
      <c r="Q68" s="59"/>
      <c r="R68" s="59"/>
      <c r="S68" s="59"/>
    </row>
    <row r="69" spans="2:19" x14ac:dyDescent="0.2">
      <c r="B69" s="803"/>
      <c r="C69" s="822"/>
      <c r="D69" s="782" t="s">
        <v>184</v>
      </c>
      <c r="E69" s="783"/>
      <c r="F69" s="783"/>
      <c r="G69" s="77">
        <f>+O47</f>
        <v>26748</v>
      </c>
      <c r="H69" s="78">
        <f>+G69</f>
        <v>26748</v>
      </c>
      <c r="I69" s="63"/>
      <c r="J69" s="79"/>
      <c r="K69" s="486">
        <v>925860539</v>
      </c>
      <c r="L69" s="486">
        <v>922301309</v>
      </c>
      <c r="M69" s="486">
        <v>907550714</v>
      </c>
      <c r="N69" s="68"/>
      <c r="O69" s="69"/>
      <c r="Q69" s="59"/>
      <c r="R69" s="59"/>
      <c r="S69" s="59"/>
    </row>
    <row r="70" spans="2:19" ht="12.75" customHeight="1" x14ac:dyDescent="0.2">
      <c r="B70" s="803"/>
      <c r="C70" s="822"/>
      <c r="D70" s="819" t="s">
        <v>185</v>
      </c>
      <c r="E70" s="820"/>
      <c r="F70" s="820"/>
      <c r="G70" s="80">
        <f>+O40</f>
        <v>360</v>
      </c>
      <c r="H70" s="78">
        <f>+G70</f>
        <v>360</v>
      </c>
      <c r="I70" s="63"/>
      <c r="J70" s="67"/>
      <c r="K70" s="68"/>
      <c r="L70" s="68"/>
      <c r="M70" s="68"/>
      <c r="N70" s="68"/>
      <c r="O70" s="69"/>
    </row>
    <row r="71" spans="2:19" x14ac:dyDescent="0.2">
      <c r="B71" s="803"/>
      <c r="C71" s="822"/>
      <c r="D71" s="782" t="s">
        <v>186</v>
      </c>
      <c r="E71" s="783"/>
      <c r="F71" s="783"/>
      <c r="G71" s="81">
        <v>0</v>
      </c>
      <c r="H71" s="78">
        <f>+G71</f>
        <v>0</v>
      </c>
      <c r="I71" s="63"/>
      <c r="J71" s="82" t="s">
        <v>187</v>
      </c>
      <c r="K71" s="71"/>
      <c r="L71" s="71"/>
      <c r="M71" s="71"/>
      <c r="N71" s="71"/>
      <c r="O71" s="72"/>
    </row>
    <row r="72" spans="2:19" x14ac:dyDescent="0.2">
      <c r="B72" s="803"/>
      <c r="C72" s="822"/>
      <c r="D72" s="784" t="s">
        <v>188</v>
      </c>
      <c r="E72" s="783"/>
      <c r="F72" s="783"/>
      <c r="G72" s="80">
        <v>0</v>
      </c>
      <c r="H72" s="78">
        <v>0</v>
      </c>
      <c r="I72" s="63"/>
      <c r="J72" s="75" t="s">
        <v>189</v>
      </c>
      <c r="K72" s="50"/>
      <c r="L72" s="50"/>
      <c r="M72" s="50"/>
      <c r="N72" s="50"/>
      <c r="O72" s="83">
        <f>O42</f>
        <v>3000</v>
      </c>
    </row>
    <row r="73" spans="2:19" x14ac:dyDescent="0.2">
      <c r="B73" s="803"/>
      <c r="C73" s="822"/>
      <c r="D73" s="782" t="s">
        <v>190</v>
      </c>
      <c r="E73" s="783"/>
      <c r="F73" s="783"/>
      <c r="G73" s="84">
        <v>0</v>
      </c>
      <c r="H73" s="78">
        <f>+G73</f>
        <v>0</v>
      </c>
      <c r="I73" s="63"/>
      <c r="J73" s="64"/>
      <c r="K73" s="39"/>
      <c r="L73" s="39"/>
      <c r="M73" s="39"/>
      <c r="N73" s="39"/>
      <c r="O73" s="65"/>
    </row>
    <row r="74" spans="2:19" x14ac:dyDescent="0.2">
      <c r="B74" s="803"/>
      <c r="C74" s="822"/>
      <c r="D74" s="782" t="s">
        <v>191</v>
      </c>
      <c r="E74" s="783"/>
      <c r="F74" s="783"/>
      <c r="G74" s="81">
        <v>32807</v>
      </c>
      <c r="H74" s="78">
        <f>+G74</f>
        <v>32807</v>
      </c>
      <c r="I74" s="58"/>
      <c r="J74" s="150"/>
      <c r="K74" s="50"/>
      <c r="L74" s="50"/>
      <c r="M74" s="50"/>
      <c r="N74" s="50"/>
      <c r="O74" s="83"/>
    </row>
    <row r="75" spans="2:19" x14ac:dyDescent="0.2">
      <c r="B75" s="803"/>
      <c r="C75" s="88" t="s">
        <v>192</v>
      </c>
      <c r="D75" s="813" t="s">
        <v>193</v>
      </c>
      <c r="E75" s="814"/>
      <c r="F75" s="814"/>
      <c r="G75" s="80">
        <v>0</v>
      </c>
      <c r="H75" s="78">
        <f>+G75</f>
        <v>0</v>
      </c>
      <c r="I75" s="58"/>
      <c r="J75" s="79"/>
      <c r="K75" s="39"/>
      <c r="L75" s="39"/>
      <c r="M75" s="39"/>
      <c r="N75" s="39"/>
      <c r="O75" s="65"/>
    </row>
    <row r="76" spans="2:19" ht="13.5" customHeight="1" thickBot="1" x14ac:dyDescent="0.25">
      <c r="B76" s="803"/>
      <c r="C76" s="88" t="s">
        <v>194</v>
      </c>
      <c r="D76" s="815" t="s">
        <v>195</v>
      </c>
      <c r="E76" s="815"/>
      <c r="F76" s="815"/>
      <c r="G76" s="89">
        <v>0</v>
      </c>
      <c r="H76" s="90">
        <f>+G76</f>
        <v>0</v>
      </c>
      <c r="I76" s="63"/>
      <c r="J76" s="67"/>
      <c r="K76" s="68"/>
      <c r="L76" s="68"/>
      <c r="M76" s="91"/>
      <c r="N76" s="91"/>
      <c r="O76" s="92"/>
    </row>
    <row r="77" spans="2:19" ht="13.5" thickBot="1" x14ac:dyDescent="0.25">
      <c r="B77" s="803"/>
      <c r="C77" s="93"/>
      <c r="D77" s="94"/>
      <c r="E77" s="816" t="s">
        <v>117</v>
      </c>
      <c r="F77" s="817"/>
      <c r="G77" s="95">
        <f>SUM(G68:G76)</f>
        <v>119915</v>
      </c>
      <c r="H77" s="96">
        <f>IF(SUM(G68:G74)&lt;150000,SUM(G68:G74),150000)+IF(+G75&lt;20000,+G75,20000)</f>
        <v>119915</v>
      </c>
      <c r="I77" s="63"/>
      <c r="J77" s="140"/>
      <c r="K77" s="141"/>
      <c r="L77" s="141"/>
      <c r="M77" s="142"/>
      <c r="N77" s="142"/>
      <c r="O77" s="143"/>
    </row>
    <row r="78" spans="2:19" x14ac:dyDescent="0.2">
      <c r="B78" s="803"/>
      <c r="C78" s="100" t="s">
        <v>196</v>
      </c>
      <c r="D78" s="782" t="s">
        <v>187</v>
      </c>
      <c r="E78" s="783"/>
      <c r="F78" s="818"/>
      <c r="G78" s="73">
        <f>+O42</f>
        <v>3000</v>
      </c>
      <c r="H78" s="101">
        <f>+IF(+G78&lt;25000,+G78,25000)</f>
        <v>3000</v>
      </c>
      <c r="I78" s="87"/>
    </row>
    <row r="79" spans="2:19" x14ac:dyDescent="0.2">
      <c r="B79" s="803"/>
      <c r="C79" s="100" t="s">
        <v>197</v>
      </c>
      <c r="D79" s="784" t="s">
        <v>198</v>
      </c>
      <c r="E79" s="785"/>
      <c r="F79" s="786"/>
      <c r="G79" s="102"/>
      <c r="H79" s="103">
        <v>0</v>
      </c>
      <c r="I79" s="63"/>
    </row>
    <row r="80" spans="2:19" x14ac:dyDescent="0.2">
      <c r="B80" s="803"/>
      <c r="C80" s="100" t="s">
        <v>199</v>
      </c>
      <c r="D80" s="784" t="s">
        <v>200</v>
      </c>
      <c r="E80" s="785"/>
      <c r="F80" s="786"/>
      <c r="G80" s="81"/>
      <c r="H80" s="104">
        <v>0</v>
      </c>
      <c r="I80" s="63"/>
      <c r="J80" s="416"/>
      <c r="K80" s="416"/>
      <c r="L80" s="416"/>
      <c r="M80" s="416"/>
    </row>
    <row r="81" spans="2:12" x14ac:dyDescent="0.2">
      <c r="B81" s="803"/>
      <c r="C81" s="100" t="s">
        <v>201</v>
      </c>
      <c r="D81" s="784" t="s">
        <v>202</v>
      </c>
      <c r="E81" s="785"/>
      <c r="F81" s="786"/>
      <c r="G81" s="81"/>
      <c r="H81" s="104">
        <v>0</v>
      </c>
      <c r="I81" s="63"/>
    </row>
    <row r="82" spans="2:12" ht="13.5" thickBot="1" x14ac:dyDescent="0.25">
      <c r="B82" s="804"/>
      <c r="C82" s="100" t="s">
        <v>203</v>
      </c>
      <c r="D82" s="784" t="s">
        <v>204</v>
      </c>
      <c r="E82" s="785"/>
      <c r="F82" s="786"/>
      <c r="G82" s="102"/>
      <c r="H82" s="103">
        <v>0</v>
      </c>
      <c r="I82" s="63"/>
    </row>
    <row r="83" spans="2:12" ht="13.5" thickBot="1" x14ac:dyDescent="0.25">
      <c r="B83" s="787" t="s">
        <v>205</v>
      </c>
      <c r="C83" s="788"/>
      <c r="D83" s="788"/>
      <c r="E83" s="788"/>
      <c r="F83" s="788"/>
      <c r="G83" s="107">
        <f>SUM(G78:G82)</f>
        <v>3000</v>
      </c>
      <c r="H83" s="108">
        <f>SUM(H77:H82)</f>
        <v>122915</v>
      </c>
    </row>
    <row r="84" spans="2:12" ht="13.5" thickBot="1" x14ac:dyDescent="0.25">
      <c r="B84" s="37"/>
    </row>
    <row r="85" spans="2:12" ht="13.5" thickBot="1" x14ac:dyDescent="0.25">
      <c r="B85" s="789" t="s">
        <v>206</v>
      </c>
      <c r="C85" s="790"/>
      <c r="D85" s="790"/>
      <c r="E85" s="790"/>
      <c r="F85" s="791"/>
      <c r="G85" s="1055">
        <f>ROUND(+G64-H83,-1)</f>
        <v>404450</v>
      </c>
      <c r="H85" s="1056"/>
      <c r="J85" s="109">
        <f>C37+D37+E37+F37</f>
        <v>227508</v>
      </c>
      <c r="K85" s="16" t="s">
        <v>235</v>
      </c>
    </row>
    <row r="86" spans="2:12" x14ac:dyDescent="0.2">
      <c r="B86" s="110"/>
      <c r="F86" s="105"/>
      <c r="J86" s="109">
        <f>G37+H37+I37</f>
        <v>138779</v>
      </c>
      <c r="K86" s="16" t="s">
        <v>236</v>
      </c>
    </row>
    <row r="87" spans="2:12" x14ac:dyDescent="0.2">
      <c r="B87" s="37"/>
      <c r="C87" s="793" t="s">
        <v>207</v>
      </c>
      <c r="D87" s="794"/>
      <c r="E87" s="111" t="s">
        <v>208</v>
      </c>
      <c r="F87" s="111" t="s">
        <v>209</v>
      </c>
      <c r="G87" s="111" t="s">
        <v>210</v>
      </c>
      <c r="H87" s="111" t="s">
        <v>211</v>
      </c>
      <c r="J87" s="109">
        <f>J37+K37+L37</f>
        <v>136826</v>
      </c>
      <c r="K87" s="47" t="s">
        <v>237</v>
      </c>
    </row>
    <row r="88" spans="2:12" x14ac:dyDescent="0.2">
      <c r="B88" s="37"/>
      <c r="C88" s="795" t="str">
        <f>IF(I6="M","0          - 250000","0          -  250000")</f>
        <v>0          -  250000</v>
      </c>
      <c r="D88" s="796"/>
      <c r="E88" s="112">
        <v>0</v>
      </c>
      <c r="F88" s="113">
        <f>IF(I6="M",(IF(G85&lt;250000,G85,250000)),(IF(G85&lt;250000,G85,250000)))</f>
        <v>250000</v>
      </c>
      <c r="G88" s="113">
        <f>G85-F88</f>
        <v>154450</v>
      </c>
      <c r="H88" s="113">
        <f>E88*F88</f>
        <v>0</v>
      </c>
      <c r="J88" s="16">
        <f>M37+N37</f>
        <v>77947</v>
      </c>
      <c r="K88" s="1" t="s">
        <v>238</v>
      </c>
    </row>
    <row r="89" spans="2:12" x14ac:dyDescent="0.2">
      <c r="B89" s="37"/>
      <c r="C89" s="795" t="str">
        <f>IF(I6="M","250001 - 500000","250001-500000")</f>
        <v>250001-500000</v>
      </c>
      <c r="D89" s="796"/>
      <c r="E89" s="112">
        <v>0.05</v>
      </c>
      <c r="F89" s="113">
        <f>IF(I6="M",(IF(G88&lt;250000,G88,250000)),(IF(G88&lt;250000,G88,250000)))</f>
        <v>154450</v>
      </c>
      <c r="G89" s="113">
        <f>G88-F89</f>
        <v>0</v>
      </c>
      <c r="H89" s="114">
        <f>ROUND(E89*F89,0.1)</f>
        <v>7723</v>
      </c>
      <c r="J89" s="115">
        <f>SUM(J85:J88)</f>
        <v>581060</v>
      </c>
    </row>
    <row r="90" spans="2:12" x14ac:dyDescent="0.2">
      <c r="B90" s="37"/>
      <c r="C90" s="797" t="s">
        <v>212</v>
      </c>
      <c r="D90" s="798"/>
      <c r="E90" s="112">
        <v>0.2</v>
      </c>
      <c r="F90" s="113">
        <f>IF(G89&lt;500000,G89,500000)</f>
        <v>0</v>
      </c>
      <c r="G90" s="113">
        <f>G89-F90</f>
        <v>0</v>
      </c>
      <c r="H90" s="114">
        <f>ROUND(E90*F90,0.1)</f>
        <v>0</v>
      </c>
      <c r="J90" s="16">
        <f>+G85</f>
        <v>404450</v>
      </c>
    </row>
    <row r="91" spans="2:12" x14ac:dyDescent="0.2">
      <c r="B91" s="37"/>
      <c r="C91" s="795" t="s">
        <v>213</v>
      </c>
      <c r="D91" s="796"/>
      <c r="E91" s="112">
        <v>0.3</v>
      </c>
      <c r="F91" s="113">
        <f>G90</f>
        <v>0</v>
      </c>
      <c r="G91" s="113">
        <f>G90-F91</f>
        <v>0</v>
      </c>
      <c r="H91" s="114">
        <f>ROUND(E91*F91,0.1)</f>
        <v>0</v>
      </c>
      <c r="J91" s="16">
        <f>+J89-J90</f>
        <v>176610</v>
      </c>
    </row>
    <row r="92" spans="2:12" ht="13.5" thickBot="1" x14ac:dyDescent="0.25">
      <c r="B92" s="116"/>
      <c r="C92" s="117"/>
      <c r="D92" s="47"/>
      <c r="E92" s="47"/>
      <c r="F92" s="47"/>
      <c r="J92" s="16">
        <f>ROUND(+G85/12,0.1)</f>
        <v>33704</v>
      </c>
      <c r="K92" s="223"/>
    </row>
    <row r="93" spans="2:12" ht="13.5" thickBot="1" x14ac:dyDescent="0.25">
      <c r="B93" s="799" t="s">
        <v>239</v>
      </c>
      <c r="C93" s="800"/>
      <c r="D93" s="800"/>
      <c r="E93" s="800"/>
      <c r="F93" s="801"/>
      <c r="G93" s="771">
        <f>H88+H89+H90+H91</f>
        <v>7723</v>
      </c>
      <c r="H93" s="772"/>
    </row>
    <row r="94" spans="2:12" ht="13.5" thickBot="1" x14ac:dyDescent="0.25">
      <c r="B94" s="119" t="s">
        <v>215</v>
      </c>
      <c r="C94" s="120"/>
      <c r="D94" s="120"/>
      <c r="E94" s="120"/>
      <c r="F94" s="120"/>
      <c r="G94" s="884">
        <f>IF((G64&lt;500000),5000,0)</f>
        <v>0</v>
      </c>
      <c r="H94" s="885">
        <f>IF(H92&lt;200000,0,IF(H92&lt;220000,((H92-200000)*10%),IF(H92&lt;=500000,2000,IF(H92&gt;=500000,0))))</f>
        <v>0</v>
      </c>
      <c r="J94" s="1"/>
      <c r="K94" s="121"/>
      <c r="L94" s="121"/>
    </row>
    <row r="95" spans="2:12" ht="13.5" thickBot="1" x14ac:dyDescent="0.25">
      <c r="B95" s="122" t="s">
        <v>216</v>
      </c>
      <c r="C95" s="123"/>
      <c r="D95" s="123"/>
      <c r="E95" s="123"/>
      <c r="F95" s="123"/>
      <c r="G95" s="771">
        <f>IF((G93-G94)&lt;0,0,(G93-G94))</f>
        <v>7723</v>
      </c>
      <c r="H95" s="772"/>
      <c r="I95" s="37"/>
    </row>
    <row r="96" spans="2:12" ht="13.5" thickBot="1" x14ac:dyDescent="0.25">
      <c r="B96" s="773" t="s">
        <v>240</v>
      </c>
      <c r="C96" s="774"/>
      <c r="D96" s="774"/>
      <c r="E96" s="774"/>
      <c r="F96" s="775"/>
      <c r="G96" s="776">
        <f>ROUND((IF(G95&gt;0,(G95*4%),0)),0)</f>
        <v>309</v>
      </c>
      <c r="H96" s="777"/>
      <c r="I96" s="37"/>
    </row>
    <row r="97" spans="2:9" ht="13.5" thickBot="1" x14ac:dyDescent="0.25">
      <c r="B97" s="778" t="s">
        <v>218</v>
      </c>
      <c r="C97" s="779"/>
      <c r="D97" s="779"/>
      <c r="E97" s="779"/>
      <c r="F97" s="779"/>
      <c r="G97" s="780">
        <f>G95+G96</f>
        <v>8032</v>
      </c>
      <c r="H97" s="781"/>
      <c r="I97" s="121"/>
    </row>
    <row r="98" spans="2:9" ht="13.5" thickBot="1" x14ac:dyDescent="0.25">
      <c r="B98" s="765" t="s">
        <v>219</v>
      </c>
      <c r="C98" s="766"/>
      <c r="D98" s="766"/>
      <c r="E98" s="766"/>
      <c r="F98" s="766"/>
      <c r="G98" s="767">
        <f>O38</f>
        <v>8040</v>
      </c>
      <c r="H98" s="768"/>
      <c r="I98" s="121"/>
    </row>
    <row r="99" spans="2:9" ht="13.5" thickBot="1" x14ac:dyDescent="0.25">
      <c r="B99" s="765" t="str">
        <f>IF(G99&gt;0,"TAX PAYABLE","TAX REFUND")</f>
        <v>TAX REFUND</v>
      </c>
      <c r="C99" s="766"/>
      <c r="D99" s="766"/>
      <c r="E99" s="766"/>
      <c r="F99" s="766"/>
      <c r="G99" s="767">
        <f>+G97-G98</f>
        <v>-8</v>
      </c>
      <c r="H99" s="768"/>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c r="I106" s="121"/>
    </row>
    <row r="107" spans="2:9"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G90:H90">
    <cfRule type="cellIs" dxfId="269" priority="5" stopIfTrue="1" operator="lessThan">
      <formula>0</formula>
    </cfRule>
    <cfRule type="cellIs" dxfId="268" priority="6" stopIfTrue="1" operator="greaterThan">
      <formula>0</formula>
    </cfRule>
  </conditionalFormatting>
  <conditionalFormatting sqref="C90:F90 B99:F99 B93:F97">
    <cfRule type="cellIs" dxfId="267" priority="3" stopIfTrue="1" operator="equal">
      <formula>"TAX PAYABLE"</formula>
    </cfRule>
    <cfRule type="cellIs" dxfId="266" priority="4" stopIfTrue="1" operator="equal">
      <formula>"TAX REFUND"</formula>
    </cfRule>
  </conditionalFormatting>
  <conditionalFormatting sqref="G99:H99">
    <cfRule type="cellIs" dxfId="265" priority="1" stopIfTrue="1" operator="greaterThan">
      <formula>0</formula>
    </cfRule>
    <cfRule type="cellIs" dxfId="264"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$Q$8:$Q$9</formula1>
    </dataValidation>
  </dataValidations>
  <pageMargins left="0.75" right="0.75" top="1" bottom="1" header="0.5" footer="0.5"/>
  <pageSetup orientation="portrait" verticalDpi="0" r:id="rId1"/>
  <headerFooter alignWithMargins="0"/>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7"/>
  <sheetViews>
    <sheetView topLeftCell="A59" workbookViewId="0">
      <selection activeCell="J79" sqref="J79"/>
    </sheetView>
  </sheetViews>
  <sheetFormatPr defaultRowHeight="12.75" x14ac:dyDescent="0.2"/>
  <cols>
    <col min="1" max="1" width="5" style="16" customWidth="1"/>
    <col min="2" max="2" width="18.28515625" style="37" customWidth="1"/>
    <col min="3" max="3" width="11.140625" style="16" bestFit="1" customWidth="1"/>
    <col min="4" max="4" width="8.28515625" style="16" customWidth="1"/>
    <col min="5" max="5" width="8.5703125" style="16" bestFit="1" customWidth="1"/>
    <col min="6" max="6" width="9.28515625" style="16" bestFit="1" customWidth="1"/>
    <col min="7" max="7" width="10.42578125" style="16" bestFit="1" customWidth="1"/>
    <col min="8" max="8" width="9.140625" style="16"/>
    <col min="9" max="9" width="9.28515625" style="16" customWidth="1"/>
    <col min="10" max="10" width="9.5703125" style="16" customWidth="1"/>
    <col min="11" max="11" width="8.85546875" style="16" customWidth="1"/>
    <col min="12" max="12" width="9.5703125" style="16" customWidth="1"/>
    <col min="13" max="13" width="8.7109375" style="16" customWidth="1"/>
    <col min="14" max="14" width="9" style="16" customWidth="1"/>
    <col min="15" max="15" width="7.140625" style="16" bestFit="1" customWidth="1"/>
    <col min="16" max="20" width="9.140625" style="16"/>
    <col min="21" max="21" width="12.42578125" style="16" customWidth="1"/>
    <col min="22" max="22" width="9.140625" style="16"/>
    <col min="23" max="23" width="12" style="16" customWidth="1"/>
    <col min="24" max="256" width="9.140625" style="16"/>
    <col min="257" max="257" width="5" style="16" customWidth="1"/>
    <col min="258" max="258" width="18.28515625" style="16" customWidth="1"/>
    <col min="259" max="259" width="11.140625" style="16" bestFit="1" customWidth="1"/>
    <col min="260" max="260" width="8.28515625" style="16" customWidth="1"/>
    <col min="261" max="261" width="8.5703125" style="16" bestFit="1" customWidth="1"/>
    <col min="262" max="262" width="9.28515625" style="16" bestFit="1" customWidth="1"/>
    <col min="263" max="263" width="10.42578125" style="16" bestFit="1" customWidth="1"/>
    <col min="264" max="264" width="9.140625" style="16"/>
    <col min="265" max="265" width="9.28515625" style="16" customWidth="1"/>
    <col min="266" max="266" width="9.5703125" style="16" customWidth="1"/>
    <col min="267" max="267" width="8.85546875" style="16" customWidth="1"/>
    <col min="268" max="268" width="9.5703125" style="16" customWidth="1"/>
    <col min="269" max="269" width="8.7109375" style="16" customWidth="1"/>
    <col min="270" max="270" width="9" style="16" customWidth="1"/>
    <col min="271" max="271" width="7.140625" style="16" bestFit="1" customWidth="1"/>
    <col min="272" max="276" width="9.140625" style="16"/>
    <col min="277" max="277" width="12.42578125" style="16" customWidth="1"/>
    <col min="278" max="278" width="9.140625" style="16"/>
    <col min="279" max="279" width="12" style="16" customWidth="1"/>
    <col min="280" max="512" width="9.140625" style="16"/>
    <col min="513" max="513" width="5" style="16" customWidth="1"/>
    <col min="514" max="514" width="18.28515625" style="16" customWidth="1"/>
    <col min="515" max="515" width="11.140625" style="16" bestFit="1" customWidth="1"/>
    <col min="516" max="516" width="8.28515625" style="16" customWidth="1"/>
    <col min="517" max="517" width="8.5703125" style="16" bestFit="1" customWidth="1"/>
    <col min="518" max="518" width="9.28515625" style="16" bestFit="1" customWidth="1"/>
    <col min="519" max="519" width="10.42578125" style="16" bestFit="1" customWidth="1"/>
    <col min="520" max="520" width="9.140625" style="16"/>
    <col min="521" max="521" width="9.28515625" style="16" customWidth="1"/>
    <col min="522" max="522" width="9.5703125" style="16" customWidth="1"/>
    <col min="523" max="523" width="8.85546875" style="16" customWidth="1"/>
    <col min="524" max="524" width="9.5703125" style="16" customWidth="1"/>
    <col min="525" max="525" width="8.7109375" style="16" customWidth="1"/>
    <col min="526" max="526" width="9" style="16" customWidth="1"/>
    <col min="527" max="527" width="7.140625" style="16" bestFit="1" customWidth="1"/>
    <col min="528" max="532" width="9.140625" style="16"/>
    <col min="533" max="533" width="12.42578125" style="16" customWidth="1"/>
    <col min="534" max="534" width="9.140625" style="16"/>
    <col min="535" max="535" width="12" style="16" customWidth="1"/>
    <col min="536" max="768" width="9.140625" style="16"/>
    <col min="769" max="769" width="5" style="16" customWidth="1"/>
    <col min="770" max="770" width="18.28515625" style="16" customWidth="1"/>
    <col min="771" max="771" width="11.140625" style="16" bestFit="1" customWidth="1"/>
    <col min="772" max="772" width="8.28515625" style="16" customWidth="1"/>
    <col min="773" max="773" width="8.5703125" style="16" bestFit="1" customWidth="1"/>
    <col min="774" max="774" width="9.28515625" style="16" bestFit="1" customWidth="1"/>
    <col min="775" max="775" width="10.42578125" style="16" bestFit="1" customWidth="1"/>
    <col min="776" max="776" width="9.140625" style="16"/>
    <col min="777" max="777" width="9.28515625" style="16" customWidth="1"/>
    <col min="778" max="778" width="9.5703125" style="16" customWidth="1"/>
    <col min="779" max="779" width="8.85546875" style="16" customWidth="1"/>
    <col min="780" max="780" width="9.5703125" style="16" customWidth="1"/>
    <col min="781" max="781" width="8.7109375" style="16" customWidth="1"/>
    <col min="782" max="782" width="9" style="16" customWidth="1"/>
    <col min="783" max="783" width="7.140625" style="16" bestFit="1" customWidth="1"/>
    <col min="784" max="788" width="9.140625" style="16"/>
    <col min="789" max="789" width="12.42578125" style="16" customWidth="1"/>
    <col min="790" max="790" width="9.140625" style="16"/>
    <col min="791" max="791" width="12" style="16" customWidth="1"/>
    <col min="792" max="1024" width="9.140625" style="16"/>
    <col min="1025" max="1025" width="5" style="16" customWidth="1"/>
    <col min="1026" max="1026" width="18.28515625" style="16" customWidth="1"/>
    <col min="1027" max="1027" width="11.140625" style="16" bestFit="1" customWidth="1"/>
    <col min="1028" max="1028" width="8.28515625" style="16" customWidth="1"/>
    <col min="1029" max="1029" width="8.5703125" style="16" bestFit="1" customWidth="1"/>
    <col min="1030" max="1030" width="9.28515625" style="16" bestFit="1" customWidth="1"/>
    <col min="1031" max="1031" width="10.42578125" style="16" bestFit="1" customWidth="1"/>
    <col min="1032" max="1032" width="9.140625" style="16"/>
    <col min="1033" max="1033" width="9.28515625" style="16" customWidth="1"/>
    <col min="1034" max="1034" width="9.5703125" style="16" customWidth="1"/>
    <col min="1035" max="1035" width="8.85546875" style="16" customWidth="1"/>
    <col min="1036" max="1036" width="9.5703125" style="16" customWidth="1"/>
    <col min="1037" max="1037" width="8.7109375" style="16" customWidth="1"/>
    <col min="1038" max="1038" width="9" style="16" customWidth="1"/>
    <col min="1039" max="1039" width="7.140625" style="16" bestFit="1" customWidth="1"/>
    <col min="1040" max="1044" width="9.140625" style="16"/>
    <col min="1045" max="1045" width="12.42578125" style="16" customWidth="1"/>
    <col min="1046" max="1046" width="9.140625" style="16"/>
    <col min="1047" max="1047" width="12" style="16" customWidth="1"/>
    <col min="1048" max="1280" width="9.140625" style="16"/>
    <col min="1281" max="1281" width="5" style="16" customWidth="1"/>
    <col min="1282" max="1282" width="18.28515625" style="16" customWidth="1"/>
    <col min="1283" max="1283" width="11.140625" style="16" bestFit="1" customWidth="1"/>
    <col min="1284" max="1284" width="8.28515625" style="16" customWidth="1"/>
    <col min="1285" max="1285" width="8.5703125" style="16" bestFit="1" customWidth="1"/>
    <col min="1286" max="1286" width="9.28515625" style="16" bestFit="1" customWidth="1"/>
    <col min="1287" max="1287" width="10.42578125" style="16" bestFit="1" customWidth="1"/>
    <col min="1288" max="1288" width="9.140625" style="16"/>
    <col min="1289" max="1289" width="9.28515625" style="16" customWidth="1"/>
    <col min="1290" max="1290" width="9.5703125" style="16" customWidth="1"/>
    <col min="1291" max="1291" width="8.85546875" style="16" customWidth="1"/>
    <col min="1292" max="1292" width="9.5703125" style="16" customWidth="1"/>
    <col min="1293" max="1293" width="8.7109375" style="16" customWidth="1"/>
    <col min="1294" max="1294" width="9" style="16" customWidth="1"/>
    <col min="1295" max="1295" width="7.140625" style="16" bestFit="1" customWidth="1"/>
    <col min="1296" max="1300" width="9.140625" style="16"/>
    <col min="1301" max="1301" width="12.42578125" style="16" customWidth="1"/>
    <col min="1302" max="1302" width="9.140625" style="16"/>
    <col min="1303" max="1303" width="12" style="16" customWidth="1"/>
    <col min="1304" max="1536" width="9.140625" style="16"/>
    <col min="1537" max="1537" width="5" style="16" customWidth="1"/>
    <col min="1538" max="1538" width="18.28515625" style="16" customWidth="1"/>
    <col min="1539" max="1539" width="11.140625" style="16" bestFit="1" customWidth="1"/>
    <col min="1540" max="1540" width="8.28515625" style="16" customWidth="1"/>
    <col min="1541" max="1541" width="8.5703125" style="16" bestFit="1" customWidth="1"/>
    <col min="1542" max="1542" width="9.28515625" style="16" bestFit="1" customWidth="1"/>
    <col min="1543" max="1543" width="10.42578125" style="16" bestFit="1" customWidth="1"/>
    <col min="1544" max="1544" width="9.140625" style="16"/>
    <col min="1545" max="1545" width="9.28515625" style="16" customWidth="1"/>
    <col min="1546" max="1546" width="9.5703125" style="16" customWidth="1"/>
    <col min="1547" max="1547" width="8.85546875" style="16" customWidth="1"/>
    <col min="1548" max="1548" width="9.5703125" style="16" customWidth="1"/>
    <col min="1549" max="1549" width="8.7109375" style="16" customWidth="1"/>
    <col min="1550" max="1550" width="9" style="16" customWidth="1"/>
    <col min="1551" max="1551" width="7.140625" style="16" bestFit="1" customWidth="1"/>
    <col min="1552" max="1556" width="9.140625" style="16"/>
    <col min="1557" max="1557" width="12.42578125" style="16" customWidth="1"/>
    <col min="1558" max="1558" width="9.140625" style="16"/>
    <col min="1559" max="1559" width="12" style="16" customWidth="1"/>
    <col min="1560" max="1792" width="9.140625" style="16"/>
    <col min="1793" max="1793" width="5" style="16" customWidth="1"/>
    <col min="1794" max="1794" width="18.28515625" style="16" customWidth="1"/>
    <col min="1795" max="1795" width="11.140625" style="16" bestFit="1" customWidth="1"/>
    <col min="1796" max="1796" width="8.28515625" style="16" customWidth="1"/>
    <col min="1797" max="1797" width="8.5703125" style="16" bestFit="1" customWidth="1"/>
    <col min="1798" max="1798" width="9.28515625" style="16" bestFit="1" customWidth="1"/>
    <col min="1799" max="1799" width="10.42578125" style="16" bestFit="1" customWidth="1"/>
    <col min="1800" max="1800" width="9.140625" style="16"/>
    <col min="1801" max="1801" width="9.28515625" style="16" customWidth="1"/>
    <col min="1802" max="1802" width="9.5703125" style="16" customWidth="1"/>
    <col min="1803" max="1803" width="8.85546875" style="16" customWidth="1"/>
    <col min="1804" max="1804" width="9.5703125" style="16" customWidth="1"/>
    <col min="1805" max="1805" width="8.7109375" style="16" customWidth="1"/>
    <col min="1806" max="1806" width="9" style="16" customWidth="1"/>
    <col min="1807" max="1807" width="7.140625" style="16" bestFit="1" customWidth="1"/>
    <col min="1808" max="1812" width="9.140625" style="16"/>
    <col min="1813" max="1813" width="12.42578125" style="16" customWidth="1"/>
    <col min="1814" max="1814" width="9.140625" style="16"/>
    <col min="1815" max="1815" width="12" style="16" customWidth="1"/>
    <col min="1816" max="2048" width="9.140625" style="16"/>
    <col min="2049" max="2049" width="5" style="16" customWidth="1"/>
    <col min="2050" max="2050" width="18.28515625" style="16" customWidth="1"/>
    <col min="2051" max="2051" width="11.140625" style="16" bestFit="1" customWidth="1"/>
    <col min="2052" max="2052" width="8.28515625" style="16" customWidth="1"/>
    <col min="2053" max="2053" width="8.5703125" style="16" bestFit="1" customWidth="1"/>
    <col min="2054" max="2054" width="9.28515625" style="16" bestFit="1" customWidth="1"/>
    <col min="2055" max="2055" width="10.42578125" style="16" bestFit="1" customWidth="1"/>
    <col min="2056" max="2056" width="9.140625" style="16"/>
    <col min="2057" max="2057" width="9.28515625" style="16" customWidth="1"/>
    <col min="2058" max="2058" width="9.5703125" style="16" customWidth="1"/>
    <col min="2059" max="2059" width="8.85546875" style="16" customWidth="1"/>
    <col min="2060" max="2060" width="9.5703125" style="16" customWidth="1"/>
    <col min="2061" max="2061" width="8.7109375" style="16" customWidth="1"/>
    <col min="2062" max="2062" width="9" style="16" customWidth="1"/>
    <col min="2063" max="2063" width="7.140625" style="16" bestFit="1" customWidth="1"/>
    <col min="2064" max="2068" width="9.140625" style="16"/>
    <col min="2069" max="2069" width="12.42578125" style="16" customWidth="1"/>
    <col min="2070" max="2070" width="9.140625" style="16"/>
    <col min="2071" max="2071" width="12" style="16" customWidth="1"/>
    <col min="2072" max="2304" width="9.140625" style="16"/>
    <col min="2305" max="2305" width="5" style="16" customWidth="1"/>
    <col min="2306" max="2306" width="18.28515625" style="16" customWidth="1"/>
    <col min="2307" max="2307" width="11.140625" style="16" bestFit="1" customWidth="1"/>
    <col min="2308" max="2308" width="8.28515625" style="16" customWidth="1"/>
    <col min="2309" max="2309" width="8.5703125" style="16" bestFit="1" customWidth="1"/>
    <col min="2310" max="2310" width="9.28515625" style="16" bestFit="1" customWidth="1"/>
    <col min="2311" max="2311" width="10.42578125" style="16" bestFit="1" customWidth="1"/>
    <col min="2312" max="2312" width="9.140625" style="16"/>
    <col min="2313" max="2313" width="9.28515625" style="16" customWidth="1"/>
    <col min="2314" max="2314" width="9.5703125" style="16" customWidth="1"/>
    <col min="2315" max="2315" width="8.85546875" style="16" customWidth="1"/>
    <col min="2316" max="2316" width="9.5703125" style="16" customWidth="1"/>
    <col min="2317" max="2317" width="8.7109375" style="16" customWidth="1"/>
    <col min="2318" max="2318" width="9" style="16" customWidth="1"/>
    <col min="2319" max="2319" width="7.140625" style="16" bestFit="1" customWidth="1"/>
    <col min="2320" max="2324" width="9.140625" style="16"/>
    <col min="2325" max="2325" width="12.42578125" style="16" customWidth="1"/>
    <col min="2326" max="2326" width="9.140625" style="16"/>
    <col min="2327" max="2327" width="12" style="16" customWidth="1"/>
    <col min="2328" max="2560" width="9.140625" style="16"/>
    <col min="2561" max="2561" width="5" style="16" customWidth="1"/>
    <col min="2562" max="2562" width="18.28515625" style="16" customWidth="1"/>
    <col min="2563" max="2563" width="11.140625" style="16" bestFit="1" customWidth="1"/>
    <col min="2564" max="2564" width="8.28515625" style="16" customWidth="1"/>
    <col min="2565" max="2565" width="8.5703125" style="16" bestFit="1" customWidth="1"/>
    <col min="2566" max="2566" width="9.28515625" style="16" bestFit="1" customWidth="1"/>
    <col min="2567" max="2567" width="10.42578125" style="16" bestFit="1" customWidth="1"/>
    <col min="2568" max="2568" width="9.140625" style="16"/>
    <col min="2569" max="2569" width="9.28515625" style="16" customWidth="1"/>
    <col min="2570" max="2570" width="9.5703125" style="16" customWidth="1"/>
    <col min="2571" max="2571" width="8.85546875" style="16" customWidth="1"/>
    <col min="2572" max="2572" width="9.5703125" style="16" customWidth="1"/>
    <col min="2573" max="2573" width="8.7109375" style="16" customWidth="1"/>
    <col min="2574" max="2574" width="9" style="16" customWidth="1"/>
    <col min="2575" max="2575" width="7.140625" style="16" bestFit="1" customWidth="1"/>
    <col min="2576" max="2580" width="9.140625" style="16"/>
    <col min="2581" max="2581" width="12.42578125" style="16" customWidth="1"/>
    <col min="2582" max="2582" width="9.140625" style="16"/>
    <col min="2583" max="2583" width="12" style="16" customWidth="1"/>
    <col min="2584" max="2816" width="9.140625" style="16"/>
    <col min="2817" max="2817" width="5" style="16" customWidth="1"/>
    <col min="2818" max="2818" width="18.28515625" style="16" customWidth="1"/>
    <col min="2819" max="2819" width="11.140625" style="16" bestFit="1" customWidth="1"/>
    <col min="2820" max="2820" width="8.28515625" style="16" customWidth="1"/>
    <col min="2821" max="2821" width="8.5703125" style="16" bestFit="1" customWidth="1"/>
    <col min="2822" max="2822" width="9.28515625" style="16" bestFit="1" customWidth="1"/>
    <col min="2823" max="2823" width="10.42578125" style="16" bestFit="1" customWidth="1"/>
    <col min="2824" max="2824" width="9.140625" style="16"/>
    <col min="2825" max="2825" width="9.28515625" style="16" customWidth="1"/>
    <col min="2826" max="2826" width="9.5703125" style="16" customWidth="1"/>
    <col min="2827" max="2827" width="8.85546875" style="16" customWidth="1"/>
    <col min="2828" max="2828" width="9.5703125" style="16" customWidth="1"/>
    <col min="2829" max="2829" width="8.7109375" style="16" customWidth="1"/>
    <col min="2830" max="2830" width="9" style="16" customWidth="1"/>
    <col min="2831" max="2831" width="7.140625" style="16" bestFit="1" customWidth="1"/>
    <col min="2832" max="2836" width="9.140625" style="16"/>
    <col min="2837" max="2837" width="12.42578125" style="16" customWidth="1"/>
    <col min="2838" max="2838" width="9.140625" style="16"/>
    <col min="2839" max="2839" width="12" style="16" customWidth="1"/>
    <col min="2840" max="3072" width="9.140625" style="16"/>
    <col min="3073" max="3073" width="5" style="16" customWidth="1"/>
    <col min="3074" max="3074" width="18.28515625" style="16" customWidth="1"/>
    <col min="3075" max="3075" width="11.140625" style="16" bestFit="1" customWidth="1"/>
    <col min="3076" max="3076" width="8.28515625" style="16" customWidth="1"/>
    <col min="3077" max="3077" width="8.5703125" style="16" bestFit="1" customWidth="1"/>
    <col min="3078" max="3078" width="9.28515625" style="16" bestFit="1" customWidth="1"/>
    <col min="3079" max="3079" width="10.42578125" style="16" bestFit="1" customWidth="1"/>
    <col min="3080" max="3080" width="9.140625" style="16"/>
    <col min="3081" max="3081" width="9.28515625" style="16" customWidth="1"/>
    <col min="3082" max="3082" width="9.5703125" style="16" customWidth="1"/>
    <col min="3083" max="3083" width="8.85546875" style="16" customWidth="1"/>
    <col min="3084" max="3084" width="9.5703125" style="16" customWidth="1"/>
    <col min="3085" max="3085" width="8.7109375" style="16" customWidth="1"/>
    <col min="3086" max="3086" width="9" style="16" customWidth="1"/>
    <col min="3087" max="3087" width="7.140625" style="16" bestFit="1" customWidth="1"/>
    <col min="3088" max="3092" width="9.140625" style="16"/>
    <col min="3093" max="3093" width="12.42578125" style="16" customWidth="1"/>
    <col min="3094" max="3094" width="9.140625" style="16"/>
    <col min="3095" max="3095" width="12" style="16" customWidth="1"/>
    <col min="3096" max="3328" width="9.140625" style="16"/>
    <col min="3329" max="3329" width="5" style="16" customWidth="1"/>
    <col min="3330" max="3330" width="18.28515625" style="16" customWidth="1"/>
    <col min="3331" max="3331" width="11.140625" style="16" bestFit="1" customWidth="1"/>
    <col min="3332" max="3332" width="8.28515625" style="16" customWidth="1"/>
    <col min="3333" max="3333" width="8.5703125" style="16" bestFit="1" customWidth="1"/>
    <col min="3334" max="3334" width="9.28515625" style="16" bestFit="1" customWidth="1"/>
    <col min="3335" max="3335" width="10.42578125" style="16" bestFit="1" customWidth="1"/>
    <col min="3336" max="3336" width="9.140625" style="16"/>
    <col min="3337" max="3337" width="9.28515625" style="16" customWidth="1"/>
    <col min="3338" max="3338" width="9.5703125" style="16" customWidth="1"/>
    <col min="3339" max="3339" width="8.85546875" style="16" customWidth="1"/>
    <col min="3340" max="3340" width="9.5703125" style="16" customWidth="1"/>
    <col min="3341" max="3341" width="8.7109375" style="16" customWidth="1"/>
    <col min="3342" max="3342" width="9" style="16" customWidth="1"/>
    <col min="3343" max="3343" width="7.140625" style="16" bestFit="1" customWidth="1"/>
    <col min="3344" max="3348" width="9.140625" style="16"/>
    <col min="3349" max="3349" width="12.42578125" style="16" customWidth="1"/>
    <col min="3350" max="3350" width="9.140625" style="16"/>
    <col min="3351" max="3351" width="12" style="16" customWidth="1"/>
    <col min="3352" max="3584" width="9.140625" style="16"/>
    <col min="3585" max="3585" width="5" style="16" customWidth="1"/>
    <col min="3586" max="3586" width="18.28515625" style="16" customWidth="1"/>
    <col min="3587" max="3587" width="11.140625" style="16" bestFit="1" customWidth="1"/>
    <col min="3588" max="3588" width="8.28515625" style="16" customWidth="1"/>
    <col min="3589" max="3589" width="8.5703125" style="16" bestFit="1" customWidth="1"/>
    <col min="3590" max="3590" width="9.28515625" style="16" bestFit="1" customWidth="1"/>
    <col min="3591" max="3591" width="10.42578125" style="16" bestFit="1" customWidth="1"/>
    <col min="3592" max="3592" width="9.140625" style="16"/>
    <col min="3593" max="3593" width="9.28515625" style="16" customWidth="1"/>
    <col min="3594" max="3594" width="9.5703125" style="16" customWidth="1"/>
    <col min="3595" max="3595" width="8.85546875" style="16" customWidth="1"/>
    <col min="3596" max="3596" width="9.5703125" style="16" customWidth="1"/>
    <col min="3597" max="3597" width="8.7109375" style="16" customWidth="1"/>
    <col min="3598" max="3598" width="9" style="16" customWidth="1"/>
    <col min="3599" max="3599" width="7.140625" style="16" bestFit="1" customWidth="1"/>
    <col min="3600" max="3604" width="9.140625" style="16"/>
    <col min="3605" max="3605" width="12.42578125" style="16" customWidth="1"/>
    <col min="3606" max="3606" width="9.140625" style="16"/>
    <col min="3607" max="3607" width="12" style="16" customWidth="1"/>
    <col min="3608" max="3840" width="9.140625" style="16"/>
    <col min="3841" max="3841" width="5" style="16" customWidth="1"/>
    <col min="3842" max="3842" width="18.28515625" style="16" customWidth="1"/>
    <col min="3843" max="3843" width="11.140625" style="16" bestFit="1" customWidth="1"/>
    <col min="3844" max="3844" width="8.28515625" style="16" customWidth="1"/>
    <col min="3845" max="3845" width="8.5703125" style="16" bestFit="1" customWidth="1"/>
    <col min="3846" max="3846" width="9.28515625" style="16" bestFit="1" customWidth="1"/>
    <col min="3847" max="3847" width="10.42578125" style="16" bestFit="1" customWidth="1"/>
    <col min="3848" max="3848" width="9.140625" style="16"/>
    <col min="3849" max="3849" width="9.28515625" style="16" customWidth="1"/>
    <col min="3850" max="3850" width="9.5703125" style="16" customWidth="1"/>
    <col min="3851" max="3851" width="8.85546875" style="16" customWidth="1"/>
    <col min="3852" max="3852" width="9.5703125" style="16" customWidth="1"/>
    <col min="3853" max="3853" width="8.7109375" style="16" customWidth="1"/>
    <col min="3854" max="3854" width="9" style="16" customWidth="1"/>
    <col min="3855" max="3855" width="7.140625" style="16" bestFit="1" customWidth="1"/>
    <col min="3856" max="3860" width="9.140625" style="16"/>
    <col min="3861" max="3861" width="12.42578125" style="16" customWidth="1"/>
    <col min="3862" max="3862" width="9.140625" style="16"/>
    <col min="3863" max="3863" width="12" style="16" customWidth="1"/>
    <col min="3864" max="4096" width="9.140625" style="16"/>
    <col min="4097" max="4097" width="5" style="16" customWidth="1"/>
    <col min="4098" max="4098" width="18.28515625" style="16" customWidth="1"/>
    <col min="4099" max="4099" width="11.140625" style="16" bestFit="1" customWidth="1"/>
    <col min="4100" max="4100" width="8.28515625" style="16" customWidth="1"/>
    <col min="4101" max="4101" width="8.5703125" style="16" bestFit="1" customWidth="1"/>
    <col min="4102" max="4102" width="9.28515625" style="16" bestFit="1" customWidth="1"/>
    <col min="4103" max="4103" width="10.42578125" style="16" bestFit="1" customWidth="1"/>
    <col min="4104" max="4104" width="9.140625" style="16"/>
    <col min="4105" max="4105" width="9.28515625" style="16" customWidth="1"/>
    <col min="4106" max="4106" width="9.5703125" style="16" customWidth="1"/>
    <col min="4107" max="4107" width="8.85546875" style="16" customWidth="1"/>
    <col min="4108" max="4108" width="9.5703125" style="16" customWidth="1"/>
    <col min="4109" max="4109" width="8.7109375" style="16" customWidth="1"/>
    <col min="4110" max="4110" width="9" style="16" customWidth="1"/>
    <col min="4111" max="4111" width="7.140625" style="16" bestFit="1" customWidth="1"/>
    <col min="4112" max="4116" width="9.140625" style="16"/>
    <col min="4117" max="4117" width="12.42578125" style="16" customWidth="1"/>
    <col min="4118" max="4118" width="9.140625" style="16"/>
    <col min="4119" max="4119" width="12" style="16" customWidth="1"/>
    <col min="4120" max="4352" width="9.140625" style="16"/>
    <col min="4353" max="4353" width="5" style="16" customWidth="1"/>
    <col min="4354" max="4354" width="18.28515625" style="16" customWidth="1"/>
    <col min="4355" max="4355" width="11.140625" style="16" bestFit="1" customWidth="1"/>
    <col min="4356" max="4356" width="8.28515625" style="16" customWidth="1"/>
    <col min="4357" max="4357" width="8.5703125" style="16" bestFit="1" customWidth="1"/>
    <col min="4358" max="4358" width="9.28515625" style="16" bestFit="1" customWidth="1"/>
    <col min="4359" max="4359" width="10.42578125" style="16" bestFit="1" customWidth="1"/>
    <col min="4360" max="4360" width="9.140625" style="16"/>
    <col min="4361" max="4361" width="9.28515625" style="16" customWidth="1"/>
    <col min="4362" max="4362" width="9.5703125" style="16" customWidth="1"/>
    <col min="4363" max="4363" width="8.85546875" style="16" customWidth="1"/>
    <col min="4364" max="4364" width="9.5703125" style="16" customWidth="1"/>
    <col min="4365" max="4365" width="8.7109375" style="16" customWidth="1"/>
    <col min="4366" max="4366" width="9" style="16" customWidth="1"/>
    <col min="4367" max="4367" width="7.140625" style="16" bestFit="1" customWidth="1"/>
    <col min="4368" max="4372" width="9.140625" style="16"/>
    <col min="4373" max="4373" width="12.42578125" style="16" customWidth="1"/>
    <col min="4374" max="4374" width="9.140625" style="16"/>
    <col min="4375" max="4375" width="12" style="16" customWidth="1"/>
    <col min="4376" max="4608" width="9.140625" style="16"/>
    <col min="4609" max="4609" width="5" style="16" customWidth="1"/>
    <col min="4610" max="4610" width="18.28515625" style="16" customWidth="1"/>
    <col min="4611" max="4611" width="11.140625" style="16" bestFit="1" customWidth="1"/>
    <col min="4612" max="4612" width="8.28515625" style="16" customWidth="1"/>
    <col min="4613" max="4613" width="8.5703125" style="16" bestFit="1" customWidth="1"/>
    <col min="4614" max="4614" width="9.28515625" style="16" bestFit="1" customWidth="1"/>
    <col min="4615" max="4615" width="10.42578125" style="16" bestFit="1" customWidth="1"/>
    <col min="4616" max="4616" width="9.140625" style="16"/>
    <col min="4617" max="4617" width="9.28515625" style="16" customWidth="1"/>
    <col min="4618" max="4618" width="9.5703125" style="16" customWidth="1"/>
    <col min="4619" max="4619" width="8.85546875" style="16" customWidth="1"/>
    <col min="4620" max="4620" width="9.5703125" style="16" customWidth="1"/>
    <col min="4621" max="4621" width="8.7109375" style="16" customWidth="1"/>
    <col min="4622" max="4622" width="9" style="16" customWidth="1"/>
    <col min="4623" max="4623" width="7.140625" style="16" bestFit="1" customWidth="1"/>
    <col min="4624" max="4628" width="9.140625" style="16"/>
    <col min="4629" max="4629" width="12.42578125" style="16" customWidth="1"/>
    <col min="4630" max="4630" width="9.140625" style="16"/>
    <col min="4631" max="4631" width="12" style="16" customWidth="1"/>
    <col min="4632" max="4864" width="9.140625" style="16"/>
    <col min="4865" max="4865" width="5" style="16" customWidth="1"/>
    <col min="4866" max="4866" width="18.28515625" style="16" customWidth="1"/>
    <col min="4867" max="4867" width="11.140625" style="16" bestFit="1" customWidth="1"/>
    <col min="4868" max="4868" width="8.28515625" style="16" customWidth="1"/>
    <col min="4869" max="4869" width="8.5703125" style="16" bestFit="1" customWidth="1"/>
    <col min="4870" max="4870" width="9.28515625" style="16" bestFit="1" customWidth="1"/>
    <col min="4871" max="4871" width="10.42578125" style="16" bestFit="1" customWidth="1"/>
    <col min="4872" max="4872" width="9.140625" style="16"/>
    <col min="4873" max="4873" width="9.28515625" style="16" customWidth="1"/>
    <col min="4874" max="4874" width="9.5703125" style="16" customWidth="1"/>
    <col min="4875" max="4875" width="8.85546875" style="16" customWidth="1"/>
    <col min="4876" max="4876" width="9.5703125" style="16" customWidth="1"/>
    <col min="4877" max="4877" width="8.7109375" style="16" customWidth="1"/>
    <col min="4878" max="4878" width="9" style="16" customWidth="1"/>
    <col min="4879" max="4879" width="7.140625" style="16" bestFit="1" customWidth="1"/>
    <col min="4880" max="4884" width="9.140625" style="16"/>
    <col min="4885" max="4885" width="12.42578125" style="16" customWidth="1"/>
    <col min="4886" max="4886" width="9.140625" style="16"/>
    <col min="4887" max="4887" width="12" style="16" customWidth="1"/>
    <col min="4888" max="5120" width="9.140625" style="16"/>
    <col min="5121" max="5121" width="5" style="16" customWidth="1"/>
    <col min="5122" max="5122" width="18.28515625" style="16" customWidth="1"/>
    <col min="5123" max="5123" width="11.140625" style="16" bestFit="1" customWidth="1"/>
    <col min="5124" max="5124" width="8.28515625" style="16" customWidth="1"/>
    <col min="5125" max="5125" width="8.5703125" style="16" bestFit="1" customWidth="1"/>
    <col min="5126" max="5126" width="9.28515625" style="16" bestFit="1" customWidth="1"/>
    <col min="5127" max="5127" width="10.42578125" style="16" bestFit="1" customWidth="1"/>
    <col min="5128" max="5128" width="9.140625" style="16"/>
    <col min="5129" max="5129" width="9.28515625" style="16" customWidth="1"/>
    <col min="5130" max="5130" width="9.5703125" style="16" customWidth="1"/>
    <col min="5131" max="5131" width="8.85546875" style="16" customWidth="1"/>
    <col min="5132" max="5132" width="9.5703125" style="16" customWidth="1"/>
    <col min="5133" max="5133" width="8.7109375" style="16" customWidth="1"/>
    <col min="5134" max="5134" width="9" style="16" customWidth="1"/>
    <col min="5135" max="5135" width="7.140625" style="16" bestFit="1" customWidth="1"/>
    <col min="5136" max="5140" width="9.140625" style="16"/>
    <col min="5141" max="5141" width="12.42578125" style="16" customWidth="1"/>
    <col min="5142" max="5142" width="9.140625" style="16"/>
    <col min="5143" max="5143" width="12" style="16" customWidth="1"/>
    <col min="5144" max="5376" width="9.140625" style="16"/>
    <col min="5377" max="5377" width="5" style="16" customWidth="1"/>
    <col min="5378" max="5378" width="18.28515625" style="16" customWidth="1"/>
    <col min="5379" max="5379" width="11.140625" style="16" bestFit="1" customWidth="1"/>
    <col min="5380" max="5380" width="8.28515625" style="16" customWidth="1"/>
    <col min="5381" max="5381" width="8.5703125" style="16" bestFit="1" customWidth="1"/>
    <col min="5382" max="5382" width="9.28515625" style="16" bestFit="1" customWidth="1"/>
    <col min="5383" max="5383" width="10.42578125" style="16" bestFit="1" customWidth="1"/>
    <col min="5384" max="5384" width="9.140625" style="16"/>
    <col min="5385" max="5385" width="9.28515625" style="16" customWidth="1"/>
    <col min="5386" max="5386" width="9.5703125" style="16" customWidth="1"/>
    <col min="5387" max="5387" width="8.85546875" style="16" customWidth="1"/>
    <col min="5388" max="5388" width="9.5703125" style="16" customWidth="1"/>
    <col min="5389" max="5389" width="8.7109375" style="16" customWidth="1"/>
    <col min="5390" max="5390" width="9" style="16" customWidth="1"/>
    <col min="5391" max="5391" width="7.140625" style="16" bestFit="1" customWidth="1"/>
    <col min="5392" max="5396" width="9.140625" style="16"/>
    <col min="5397" max="5397" width="12.42578125" style="16" customWidth="1"/>
    <col min="5398" max="5398" width="9.140625" style="16"/>
    <col min="5399" max="5399" width="12" style="16" customWidth="1"/>
    <col min="5400" max="5632" width="9.140625" style="16"/>
    <col min="5633" max="5633" width="5" style="16" customWidth="1"/>
    <col min="5634" max="5634" width="18.28515625" style="16" customWidth="1"/>
    <col min="5635" max="5635" width="11.140625" style="16" bestFit="1" customWidth="1"/>
    <col min="5636" max="5636" width="8.28515625" style="16" customWidth="1"/>
    <col min="5637" max="5637" width="8.5703125" style="16" bestFit="1" customWidth="1"/>
    <col min="5638" max="5638" width="9.28515625" style="16" bestFit="1" customWidth="1"/>
    <col min="5639" max="5639" width="10.42578125" style="16" bestFit="1" customWidth="1"/>
    <col min="5640" max="5640" width="9.140625" style="16"/>
    <col min="5641" max="5641" width="9.28515625" style="16" customWidth="1"/>
    <col min="5642" max="5642" width="9.5703125" style="16" customWidth="1"/>
    <col min="5643" max="5643" width="8.85546875" style="16" customWidth="1"/>
    <col min="5644" max="5644" width="9.5703125" style="16" customWidth="1"/>
    <col min="5645" max="5645" width="8.7109375" style="16" customWidth="1"/>
    <col min="5646" max="5646" width="9" style="16" customWidth="1"/>
    <col min="5647" max="5647" width="7.140625" style="16" bestFit="1" customWidth="1"/>
    <col min="5648" max="5652" width="9.140625" style="16"/>
    <col min="5653" max="5653" width="12.42578125" style="16" customWidth="1"/>
    <col min="5654" max="5654" width="9.140625" style="16"/>
    <col min="5655" max="5655" width="12" style="16" customWidth="1"/>
    <col min="5656" max="5888" width="9.140625" style="16"/>
    <col min="5889" max="5889" width="5" style="16" customWidth="1"/>
    <col min="5890" max="5890" width="18.28515625" style="16" customWidth="1"/>
    <col min="5891" max="5891" width="11.140625" style="16" bestFit="1" customWidth="1"/>
    <col min="5892" max="5892" width="8.28515625" style="16" customWidth="1"/>
    <col min="5893" max="5893" width="8.5703125" style="16" bestFit="1" customWidth="1"/>
    <col min="5894" max="5894" width="9.28515625" style="16" bestFit="1" customWidth="1"/>
    <col min="5895" max="5895" width="10.42578125" style="16" bestFit="1" customWidth="1"/>
    <col min="5896" max="5896" width="9.140625" style="16"/>
    <col min="5897" max="5897" width="9.28515625" style="16" customWidth="1"/>
    <col min="5898" max="5898" width="9.5703125" style="16" customWidth="1"/>
    <col min="5899" max="5899" width="8.85546875" style="16" customWidth="1"/>
    <col min="5900" max="5900" width="9.5703125" style="16" customWidth="1"/>
    <col min="5901" max="5901" width="8.7109375" style="16" customWidth="1"/>
    <col min="5902" max="5902" width="9" style="16" customWidth="1"/>
    <col min="5903" max="5903" width="7.140625" style="16" bestFit="1" customWidth="1"/>
    <col min="5904" max="5908" width="9.140625" style="16"/>
    <col min="5909" max="5909" width="12.42578125" style="16" customWidth="1"/>
    <col min="5910" max="5910" width="9.140625" style="16"/>
    <col min="5911" max="5911" width="12" style="16" customWidth="1"/>
    <col min="5912" max="6144" width="9.140625" style="16"/>
    <col min="6145" max="6145" width="5" style="16" customWidth="1"/>
    <col min="6146" max="6146" width="18.28515625" style="16" customWidth="1"/>
    <col min="6147" max="6147" width="11.140625" style="16" bestFit="1" customWidth="1"/>
    <col min="6148" max="6148" width="8.28515625" style="16" customWidth="1"/>
    <col min="6149" max="6149" width="8.5703125" style="16" bestFit="1" customWidth="1"/>
    <col min="6150" max="6150" width="9.28515625" style="16" bestFit="1" customWidth="1"/>
    <col min="6151" max="6151" width="10.42578125" style="16" bestFit="1" customWidth="1"/>
    <col min="6152" max="6152" width="9.140625" style="16"/>
    <col min="6153" max="6153" width="9.28515625" style="16" customWidth="1"/>
    <col min="6154" max="6154" width="9.5703125" style="16" customWidth="1"/>
    <col min="6155" max="6155" width="8.85546875" style="16" customWidth="1"/>
    <col min="6156" max="6156" width="9.5703125" style="16" customWidth="1"/>
    <col min="6157" max="6157" width="8.7109375" style="16" customWidth="1"/>
    <col min="6158" max="6158" width="9" style="16" customWidth="1"/>
    <col min="6159" max="6159" width="7.140625" style="16" bestFit="1" customWidth="1"/>
    <col min="6160" max="6164" width="9.140625" style="16"/>
    <col min="6165" max="6165" width="12.42578125" style="16" customWidth="1"/>
    <col min="6166" max="6166" width="9.140625" style="16"/>
    <col min="6167" max="6167" width="12" style="16" customWidth="1"/>
    <col min="6168" max="6400" width="9.140625" style="16"/>
    <col min="6401" max="6401" width="5" style="16" customWidth="1"/>
    <col min="6402" max="6402" width="18.28515625" style="16" customWidth="1"/>
    <col min="6403" max="6403" width="11.140625" style="16" bestFit="1" customWidth="1"/>
    <col min="6404" max="6404" width="8.28515625" style="16" customWidth="1"/>
    <col min="6405" max="6405" width="8.5703125" style="16" bestFit="1" customWidth="1"/>
    <col min="6406" max="6406" width="9.28515625" style="16" bestFit="1" customWidth="1"/>
    <col min="6407" max="6407" width="10.42578125" style="16" bestFit="1" customWidth="1"/>
    <col min="6408" max="6408" width="9.140625" style="16"/>
    <col min="6409" max="6409" width="9.28515625" style="16" customWidth="1"/>
    <col min="6410" max="6410" width="9.5703125" style="16" customWidth="1"/>
    <col min="6411" max="6411" width="8.85546875" style="16" customWidth="1"/>
    <col min="6412" max="6412" width="9.5703125" style="16" customWidth="1"/>
    <col min="6413" max="6413" width="8.7109375" style="16" customWidth="1"/>
    <col min="6414" max="6414" width="9" style="16" customWidth="1"/>
    <col min="6415" max="6415" width="7.140625" style="16" bestFit="1" customWidth="1"/>
    <col min="6416" max="6420" width="9.140625" style="16"/>
    <col min="6421" max="6421" width="12.42578125" style="16" customWidth="1"/>
    <col min="6422" max="6422" width="9.140625" style="16"/>
    <col min="6423" max="6423" width="12" style="16" customWidth="1"/>
    <col min="6424" max="6656" width="9.140625" style="16"/>
    <col min="6657" max="6657" width="5" style="16" customWidth="1"/>
    <col min="6658" max="6658" width="18.28515625" style="16" customWidth="1"/>
    <col min="6659" max="6659" width="11.140625" style="16" bestFit="1" customWidth="1"/>
    <col min="6660" max="6660" width="8.28515625" style="16" customWidth="1"/>
    <col min="6661" max="6661" width="8.5703125" style="16" bestFit="1" customWidth="1"/>
    <col min="6662" max="6662" width="9.28515625" style="16" bestFit="1" customWidth="1"/>
    <col min="6663" max="6663" width="10.42578125" style="16" bestFit="1" customWidth="1"/>
    <col min="6664" max="6664" width="9.140625" style="16"/>
    <col min="6665" max="6665" width="9.28515625" style="16" customWidth="1"/>
    <col min="6666" max="6666" width="9.5703125" style="16" customWidth="1"/>
    <col min="6667" max="6667" width="8.85546875" style="16" customWidth="1"/>
    <col min="6668" max="6668" width="9.5703125" style="16" customWidth="1"/>
    <col min="6669" max="6669" width="8.7109375" style="16" customWidth="1"/>
    <col min="6670" max="6670" width="9" style="16" customWidth="1"/>
    <col min="6671" max="6671" width="7.140625" style="16" bestFit="1" customWidth="1"/>
    <col min="6672" max="6676" width="9.140625" style="16"/>
    <col min="6677" max="6677" width="12.42578125" style="16" customWidth="1"/>
    <col min="6678" max="6678" width="9.140625" style="16"/>
    <col min="6679" max="6679" width="12" style="16" customWidth="1"/>
    <col min="6680" max="6912" width="9.140625" style="16"/>
    <col min="6913" max="6913" width="5" style="16" customWidth="1"/>
    <col min="6914" max="6914" width="18.28515625" style="16" customWidth="1"/>
    <col min="6915" max="6915" width="11.140625" style="16" bestFit="1" customWidth="1"/>
    <col min="6916" max="6916" width="8.28515625" style="16" customWidth="1"/>
    <col min="6917" max="6917" width="8.5703125" style="16" bestFit="1" customWidth="1"/>
    <col min="6918" max="6918" width="9.28515625" style="16" bestFit="1" customWidth="1"/>
    <col min="6919" max="6919" width="10.42578125" style="16" bestFit="1" customWidth="1"/>
    <col min="6920" max="6920" width="9.140625" style="16"/>
    <col min="6921" max="6921" width="9.28515625" style="16" customWidth="1"/>
    <col min="6922" max="6922" width="9.5703125" style="16" customWidth="1"/>
    <col min="6923" max="6923" width="8.85546875" style="16" customWidth="1"/>
    <col min="6924" max="6924" width="9.5703125" style="16" customWidth="1"/>
    <col min="6925" max="6925" width="8.7109375" style="16" customWidth="1"/>
    <col min="6926" max="6926" width="9" style="16" customWidth="1"/>
    <col min="6927" max="6927" width="7.140625" style="16" bestFit="1" customWidth="1"/>
    <col min="6928" max="6932" width="9.140625" style="16"/>
    <col min="6933" max="6933" width="12.42578125" style="16" customWidth="1"/>
    <col min="6934" max="6934" width="9.140625" style="16"/>
    <col min="6935" max="6935" width="12" style="16" customWidth="1"/>
    <col min="6936" max="7168" width="9.140625" style="16"/>
    <col min="7169" max="7169" width="5" style="16" customWidth="1"/>
    <col min="7170" max="7170" width="18.28515625" style="16" customWidth="1"/>
    <col min="7171" max="7171" width="11.140625" style="16" bestFit="1" customWidth="1"/>
    <col min="7172" max="7172" width="8.28515625" style="16" customWidth="1"/>
    <col min="7173" max="7173" width="8.5703125" style="16" bestFit="1" customWidth="1"/>
    <col min="7174" max="7174" width="9.28515625" style="16" bestFit="1" customWidth="1"/>
    <col min="7175" max="7175" width="10.42578125" style="16" bestFit="1" customWidth="1"/>
    <col min="7176" max="7176" width="9.140625" style="16"/>
    <col min="7177" max="7177" width="9.28515625" style="16" customWidth="1"/>
    <col min="7178" max="7178" width="9.5703125" style="16" customWidth="1"/>
    <col min="7179" max="7179" width="8.85546875" style="16" customWidth="1"/>
    <col min="7180" max="7180" width="9.5703125" style="16" customWidth="1"/>
    <col min="7181" max="7181" width="8.7109375" style="16" customWidth="1"/>
    <col min="7182" max="7182" width="9" style="16" customWidth="1"/>
    <col min="7183" max="7183" width="7.140625" style="16" bestFit="1" customWidth="1"/>
    <col min="7184" max="7188" width="9.140625" style="16"/>
    <col min="7189" max="7189" width="12.42578125" style="16" customWidth="1"/>
    <col min="7190" max="7190" width="9.140625" style="16"/>
    <col min="7191" max="7191" width="12" style="16" customWidth="1"/>
    <col min="7192" max="7424" width="9.140625" style="16"/>
    <col min="7425" max="7425" width="5" style="16" customWidth="1"/>
    <col min="7426" max="7426" width="18.28515625" style="16" customWidth="1"/>
    <col min="7427" max="7427" width="11.140625" style="16" bestFit="1" customWidth="1"/>
    <col min="7428" max="7428" width="8.28515625" style="16" customWidth="1"/>
    <col min="7429" max="7429" width="8.5703125" style="16" bestFit="1" customWidth="1"/>
    <col min="7430" max="7430" width="9.28515625" style="16" bestFit="1" customWidth="1"/>
    <col min="7431" max="7431" width="10.42578125" style="16" bestFit="1" customWidth="1"/>
    <col min="7432" max="7432" width="9.140625" style="16"/>
    <col min="7433" max="7433" width="9.28515625" style="16" customWidth="1"/>
    <col min="7434" max="7434" width="9.5703125" style="16" customWidth="1"/>
    <col min="7435" max="7435" width="8.85546875" style="16" customWidth="1"/>
    <col min="7436" max="7436" width="9.5703125" style="16" customWidth="1"/>
    <col min="7437" max="7437" width="8.7109375" style="16" customWidth="1"/>
    <col min="7438" max="7438" width="9" style="16" customWidth="1"/>
    <col min="7439" max="7439" width="7.140625" style="16" bestFit="1" customWidth="1"/>
    <col min="7440" max="7444" width="9.140625" style="16"/>
    <col min="7445" max="7445" width="12.42578125" style="16" customWidth="1"/>
    <col min="7446" max="7446" width="9.140625" style="16"/>
    <col min="7447" max="7447" width="12" style="16" customWidth="1"/>
    <col min="7448" max="7680" width="9.140625" style="16"/>
    <col min="7681" max="7681" width="5" style="16" customWidth="1"/>
    <col min="7682" max="7682" width="18.28515625" style="16" customWidth="1"/>
    <col min="7683" max="7683" width="11.140625" style="16" bestFit="1" customWidth="1"/>
    <col min="7684" max="7684" width="8.28515625" style="16" customWidth="1"/>
    <col min="7685" max="7685" width="8.5703125" style="16" bestFit="1" customWidth="1"/>
    <col min="7686" max="7686" width="9.28515625" style="16" bestFit="1" customWidth="1"/>
    <col min="7687" max="7687" width="10.42578125" style="16" bestFit="1" customWidth="1"/>
    <col min="7688" max="7688" width="9.140625" style="16"/>
    <col min="7689" max="7689" width="9.28515625" style="16" customWidth="1"/>
    <col min="7690" max="7690" width="9.5703125" style="16" customWidth="1"/>
    <col min="7691" max="7691" width="8.85546875" style="16" customWidth="1"/>
    <col min="7692" max="7692" width="9.5703125" style="16" customWidth="1"/>
    <col min="7693" max="7693" width="8.7109375" style="16" customWidth="1"/>
    <col min="7694" max="7694" width="9" style="16" customWidth="1"/>
    <col min="7695" max="7695" width="7.140625" style="16" bestFit="1" customWidth="1"/>
    <col min="7696" max="7700" width="9.140625" style="16"/>
    <col min="7701" max="7701" width="12.42578125" style="16" customWidth="1"/>
    <col min="7702" max="7702" width="9.140625" style="16"/>
    <col min="7703" max="7703" width="12" style="16" customWidth="1"/>
    <col min="7704" max="7936" width="9.140625" style="16"/>
    <col min="7937" max="7937" width="5" style="16" customWidth="1"/>
    <col min="7938" max="7938" width="18.28515625" style="16" customWidth="1"/>
    <col min="7939" max="7939" width="11.140625" style="16" bestFit="1" customWidth="1"/>
    <col min="7940" max="7940" width="8.28515625" style="16" customWidth="1"/>
    <col min="7941" max="7941" width="8.5703125" style="16" bestFit="1" customWidth="1"/>
    <col min="7942" max="7942" width="9.28515625" style="16" bestFit="1" customWidth="1"/>
    <col min="7943" max="7943" width="10.42578125" style="16" bestFit="1" customWidth="1"/>
    <col min="7944" max="7944" width="9.140625" style="16"/>
    <col min="7945" max="7945" width="9.28515625" style="16" customWidth="1"/>
    <col min="7946" max="7946" width="9.5703125" style="16" customWidth="1"/>
    <col min="7947" max="7947" width="8.85546875" style="16" customWidth="1"/>
    <col min="7948" max="7948" width="9.5703125" style="16" customWidth="1"/>
    <col min="7949" max="7949" width="8.7109375" style="16" customWidth="1"/>
    <col min="7950" max="7950" width="9" style="16" customWidth="1"/>
    <col min="7951" max="7951" width="7.140625" style="16" bestFit="1" customWidth="1"/>
    <col min="7952" max="7956" width="9.140625" style="16"/>
    <col min="7957" max="7957" width="12.42578125" style="16" customWidth="1"/>
    <col min="7958" max="7958" width="9.140625" style="16"/>
    <col min="7959" max="7959" width="12" style="16" customWidth="1"/>
    <col min="7960" max="8192" width="9.140625" style="16"/>
    <col min="8193" max="8193" width="5" style="16" customWidth="1"/>
    <col min="8194" max="8194" width="18.28515625" style="16" customWidth="1"/>
    <col min="8195" max="8195" width="11.140625" style="16" bestFit="1" customWidth="1"/>
    <col min="8196" max="8196" width="8.28515625" style="16" customWidth="1"/>
    <col min="8197" max="8197" width="8.5703125" style="16" bestFit="1" customWidth="1"/>
    <col min="8198" max="8198" width="9.28515625" style="16" bestFit="1" customWidth="1"/>
    <col min="8199" max="8199" width="10.42578125" style="16" bestFit="1" customWidth="1"/>
    <col min="8200" max="8200" width="9.140625" style="16"/>
    <col min="8201" max="8201" width="9.28515625" style="16" customWidth="1"/>
    <col min="8202" max="8202" width="9.5703125" style="16" customWidth="1"/>
    <col min="8203" max="8203" width="8.85546875" style="16" customWidth="1"/>
    <col min="8204" max="8204" width="9.5703125" style="16" customWidth="1"/>
    <col min="8205" max="8205" width="8.7109375" style="16" customWidth="1"/>
    <col min="8206" max="8206" width="9" style="16" customWidth="1"/>
    <col min="8207" max="8207" width="7.140625" style="16" bestFit="1" customWidth="1"/>
    <col min="8208" max="8212" width="9.140625" style="16"/>
    <col min="8213" max="8213" width="12.42578125" style="16" customWidth="1"/>
    <col min="8214" max="8214" width="9.140625" style="16"/>
    <col min="8215" max="8215" width="12" style="16" customWidth="1"/>
    <col min="8216" max="8448" width="9.140625" style="16"/>
    <col min="8449" max="8449" width="5" style="16" customWidth="1"/>
    <col min="8450" max="8450" width="18.28515625" style="16" customWidth="1"/>
    <col min="8451" max="8451" width="11.140625" style="16" bestFit="1" customWidth="1"/>
    <col min="8452" max="8452" width="8.28515625" style="16" customWidth="1"/>
    <col min="8453" max="8453" width="8.5703125" style="16" bestFit="1" customWidth="1"/>
    <col min="8454" max="8454" width="9.28515625" style="16" bestFit="1" customWidth="1"/>
    <col min="8455" max="8455" width="10.42578125" style="16" bestFit="1" customWidth="1"/>
    <col min="8456" max="8456" width="9.140625" style="16"/>
    <col min="8457" max="8457" width="9.28515625" style="16" customWidth="1"/>
    <col min="8458" max="8458" width="9.5703125" style="16" customWidth="1"/>
    <col min="8459" max="8459" width="8.85546875" style="16" customWidth="1"/>
    <col min="8460" max="8460" width="9.5703125" style="16" customWidth="1"/>
    <col min="8461" max="8461" width="8.7109375" style="16" customWidth="1"/>
    <col min="8462" max="8462" width="9" style="16" customWidth="1"/>
    <col min="8463" max="8463" width="7.140625" style="16" bestFit="1" customWidth="1"/>
    <col min="8464" max="8468" width="9.140625" style="16"/>
    <col min="8469" max="8469" width="12.42578125" style="16" customWidth="1"/>
    <col min="8470" max="8470" width="9.140625" style="16"/>
    <col min="8471" max="8471" width="12" style="16" customWidth="1"/>
    <col min="8472" max="8704" width="9.140625" style="16"/>
    <col min="8705" max="8705" width="5" style="16" customWidth="1"/>
    <col min="8706" max="8706" width="18.28515625" style="16" customWidth="1"/>
    <col min="8707" max="8707" width="11.140625" style="16" bestFit="1" customWidth="1"/>
    <col min="8708" max="8708" width="8.28515625" style="16" customWidth="1"/>
    <col min="8709" max="8709" width="8.5703125" style="16" bestFit="1" customWidth="1"/>
    <col min="8710" max="8710" width="9.28515625" style="16" bestFit="1" customWidth="1"/>
    <col min="8711" max="8711" width="10.42578125" style="16" bestFit="1" customWidth="1"/>
    <col min="8712" max="8712" width="9.140625" style="16"/>
    <col min="8713" max="8713" width="9.28515625" style="16" customWidth="1"/>
    <col min="8714" max="8714" width="9.5703125" style="16" customWidth="1"/>
    <col min="8715" max="8715" width="8.85546875" style="16" customWidth="1"/>
    <col min="8716" max="8716" width="9.5703125" style="16" customWidth="1"/>
    <col min="8717" max="8717" width="8.7109375" style="16" customWidth="1"/>
    <col min="8718" max="8718" width="9" style="16" customWidth="1"/>
    <col min="8719" max="8719" width="7.140625" style="16" bestFit="1" customWidth="1"/>
    <col min="8720" max="8724" width="9.140625" style="16"/>
    <col min="8725" max="8725" width="12.42578125" style="16" customWidth="1"/>
    <col min="8726" max="8726" width="9.140625" style="16"/>
    <col min="8727" max="8727" width="12" style="16" customWidth="1"/>
    <col min="8728" max="8960" width="9.140625" style="16"/>
    <col min="8961" max="8961" width="5" style="16" customWidth="1"/>
    <col min="8962" max="8962" width="18.28515625" style="16" customWidth="1"/>
    <col min="8963" max="8963" width="11.140625" style="16" bestFit="1" customWidth="1"/>
    <col min="8964" max="8964" width="8.28515625" style="16" customWidth="1"/>
    <col min="8965" max="8965" width="8.5703125" style="16" bestFit="1" customWidth="1"/>
    <col min="8966" max="8966" width="9.28515625" style="16" bestFit="1" customWidth="1"/>
    <col min="8967" max="8967" width="10.42578125" style="16" bestFit="1" customWidth="1"/>
    <col min="8968" max="8968" width="9.140625" style="16"/>
    <col min="8969" max="8969" width="9.28515625" style="16" customWidth="1"/>
    <col min="8970" max="8970" width="9.5703125" style="16" customWidth="1"/>
    <col min="8971" max="8971" width="8.85546875" style="16" customWidth="1"/>
    <col min="8972" max="8972" width="9.5703125" style="16" customWidth="1"/>
    <col min="8973" max="8973" width="8.7109375" style="16" customWidth="1"/>
    <col min="8974" max="8974" width="9" style="16" customWidth="1"/>
    <col min="8975" max="8975" width="7.140625" style="16" bestFit="1" customWidth="1"/>
    <col min="8976" max="8980" width="9.140625" style="16"/>
    <col min="8981" max="8981" width="12.42578125" style="16" customWidth="1"/>
    <col min="8982" max="8982" width="9.140625" style="16"/>
    <col min="8983" max="8983" width="12" style="16" customWidth="1"/>
    <col min="8984" max="9216" width="9.140625" style="16"/>
    <col min="9217" max="9217" width="5" style="16" customWidth="1"/>
    <col min="9218" max="9218" width="18.28515625" style="16" customWidth="1"/>
    <col min="9219" max="9219" width="11.140625" style="16" bestFit="1" customWidth="1"/>
    <col min="9220" max="9220" width="8.28515625" style="16" customWidth="1"/>
    <col min="9221" max="9221" width="8.5703125" style="16" bestFit="1" customWidth="1"/>
    <col min="9222" max="9222" width="9.28515625" style="16" bestFit="1" customWidth="1"/>
    <col min="9223" max="9223" width="10.42578125" style="16" bestFit="1" customWidth="1"/>
    <col min="9224" max="9224" width="9.140625" style="16"/>
    <col min="9225" max="9225" width="9.28515625" style="16" customWidth="1"/>
    <col min="9226" max="9226" width="9.5703125" style="16" customWidth="1"/>
    <col min="9227" max="9227" width="8.85546875" style="16" customWidth="1"/>
    <col min="9228" max="9228" width="9.5703125" style="16" customWidth="1"/>
    <col min="9229" max="9229" width="8.7109375" style="16" customWidth="1"/>
    <col min="9230" max="9230" width="9" style="16" customWidth="1"/>
    <col min="9231" max="9231" width="7.140625" style="16" bestFit="1" customWidth="1"/>
    <col min="9232" max="9236" width="9.140625" style="16"/>
    <col min="9237" max="9237" width="12.42578125" style="16" customWidth="1"/>
    <col min="9238" max="9238" width="9.140625" style="16"/>
    <col min="9239" max="9239" width="12" style="16" customWidth="1"/>
    <col min="9240" max="9472" width="9.140625" style="16"/>
    <col min="9473" max="9473" width="5" style="16" customWidth="1"/>
    <col min="9474" max="9474" width="18.28515625" style="16" customWidth="1"/>
    <col min="9475" max="9475" width="11.140625" style="16" bestFit="1" customWidth="1"/>
    <col min="9476" max="9476" width="8.28515625" style="16" customWidth="1"/>
    <col min="9477" max="9477" width="8.5703125" style="16" bestFit="1" customWidth="1"/>
    <col min="9478" max="9478" width="9.28515625" style="16" bestFit="1" customWidth="1"/>
    <col min="9479" max="9479" width="10.42578125" style="16" bestFit="1" customWidth="1"/>
    <col min="9480" max="9480" width="9.140625" style="16"/>
    <col min="9481" max="9481" width="9.28515625" style="16" customWidth="1"/>
    <col min="9482" max="9482" width="9.5703125" style="16" customWidth="1"/>
    <col min="9483" max="9483" width="8.85546875" style="16" customWidth="1"/>
    <col min="9484" max="9484" width="9.5703125" style="16" customWidth="1"/>
    <col min="9485" max="9485" width="8.7109375" style="16" customWidth="1"/>
    <col min="9486" max="9486" width="9" style="16" customWidth="1"/>
    <col min="9487" max="9487" width="7.140625" style="16" bestFit="1" customWidth="1"/>
    <col min="9488" max="9492" width="9.140625" style="16"/>
    <col min="9493" max="9493" width="12.42578125" style="16" customWidth="1"/>
    <col min="9494" max="9494" width="9.140625" style="16"/>
    <col min="9495" max="9495" width="12" style="16" customWidth="1"/>
    <col min="9496" max="9728" width="9.140625" style="16"/>
    <col min="9729" max="9729" width="5" style="16" customWidth="1"/>
    <col min="9730" max="9730" width="18.28515625" style="16" customWidth="1"/>
    <col min="9731" max="9731" width="11.140625" style="16" bestFit="1" customWidth="1"/>
    <col min="9732" max="9732" width="8.28515625" style="16" customWidth="1"/>
    <col min="9733" max="9733" width="8.5703125" style="16" bestFit="1" customWidth="1"/>
    <col min="9734" max="9734" width="9.28515625" style="16" bestFit="1" customWidth="1"/>
    <col min="9735" max="9735" width="10.42578125" style="16" bestFit="1" customWidth="1"/>
    <col min="9736" max="9736" width="9.140625" style="16"/>
    <col min="9737" max="9737" width="9.28515625" style="16" customWidth="1"/>
    <col min="9738" max="9738" width="9.5703125" style="16" customWidth="1"/>
    <col min="9739" max="9739" width="8.85546875" style="16" customWidth="1"/>
    <col min="9740" max="9740" width="9.5703125" style="16" customWidth="1"/>
    <col min="9741" max="9741" width="8.7109375" style="16" customWidth="1"/>
    <col min="9742" max="9742" width="9" style="16" customWidth="1"/>
    <col min="9743" max="9743" width="7.140625" style="16" bestFit="1" customWidth="1"/>
    <col min="9744" max="9748" width="9.140625" style="16"/>
    <col min="9749" max="9749" width="12.42578125" style="16" customWidth="1"/>
    <col min="9750" max="9750" width="9.140625" style="16"/>
    <col min="9751" max="9751" width="12" style="16" customWidth="1"/>
    <col min="9752" max="9984" width="9.140625" style="16"/>
    <col min="9985" max="9985" width="5" style="16" customWidth="1"/>
    <col min="9986" max="9986" width="18.28515625" style="16" customWidth="1"/>
    <col min="9987" max="9987" width="11.140625" style="16" bestFit="1" customWidth="1"/>
    <col min="9988" max="9988" width="8.28515625" style="16" customWidth="1"/>
    <col min="9989" max="9989" width="8.5703125" style="16" bestFit="1" customWidth="1"/>
    <col min="9990" max="9990" width="9.28515625" style="16" bestFit="1" customWidth="1"/>
    <col min="9991" max="9991" width="10.42578125" style="16" bestFit="1" customWidth="1"/>
    <col min="9992" max="9992" width="9.140625" style="16"/>
    <col min="9993" max="9993" width="9.28515625" style="16" customWidth="1"/>
    <col min="9994" max="9994" width="9.5703125" style="16" customWidth="1"/>
    <col min="9995" max="9995" width="8.85546875" style="16" customWidth="1"/>
    <col min="9996" max="9996" width="9.5703125" style="16" customWidth="1"/>
    <col min="9997" max="9997" width="8.7109375" style="16" customWidth="1"/>
    <col min="9998" max="9998" width="9" style="16" customWidth="1"/>
    <col min="9999" max="9999" width="7.140625" style="16" bestFit="1" customWidth="1"/>
    <col min="10000" max="10004" width="9.140625" style="16"/>
    <col min="10005" max="10005" width="12.42578125" style="16" customWidth="1"/>
    <col min="10006" max="10006" width="9.140625" style="16"/>
    <col min="10007" max="10007" width="12" style="16" customWidth="1"/>
    <col min="10008" max="10240" width="9.140625" style="16"/>
    <col min="10241" max="10241" width="5" style="16" customWidth="1"/>
    <col min="10242" max="10242" width="18.28515625" style="16" customWidth="1"/>
    <col min="10243" max="10243" width="11.140625" style="16" bestFit="1" customWidth="1"/>
    <col min="10244" max="10244" width="8.28515625" style="16" customWidth="1"/>
    <col min="10245" max="10245" width="8.5703125" style="16" bestFit="1" customWidth="1"/>
    <col min="10246" max="10246" width="9.28515625" style="16" bestFit="1" customWidth="1"/>
    <col min="10247" max="10247" width="10.42578125" style="16" bestFit="1" customWidth="1"/>
    <col min="10248" max="10248" width="9.140625" style="16"/>
    <col min="10249" max="10249" width="9.28515625" style="16" customWidth="1"/>
    <col min="10250" max="10250" width="9.5703125" style="16" customWidth="1"/>
    <col min="10251" max="10251" width="8.85546875" style="16" customWidth="1"/>
    <col min="10252" max="10252" width="9.5703125" style="16" customWidth="1"/>
    <col min="10253" max="10253" width="8.7109375" style="16" customWidth="1"/>
    <col min="10254" max="10254" width="9" style="16" customWidth="1"/>
    <col min="10255" max="10255" width="7.140625" style="16" bestFit="1" customWidth="1"/>
    <col min="10256" max="10260" width="9.140625" style="16"/>
    <col min="10261" max="10261" width="12.42578125" style="16" customWidth="1"/>
    <col min="10262" max="10262" width="9.140625" style="16"/>
    <col min="10263" max="10263" width="12" style="16" customWidth="1"/>
    <col min="10264" max="10496" width="9.140625" style="16"/>
    <col min="10497" max="10497" width="5" style="16" customWidth="1"/>
    <col min="10498" max="10498" width="18.28515625" style="16" customWidth="1"/>
    <col min="10499" max="10499" width="11.140625" style="16" bestFit="1" customWidth="1"/>
    <col min="10500" max="10500" width="8.28515625" style="16" customWidth="1"/>
    <col min="10501" max="10501" width="8.5703125" style="16" bestFit="1" customWidth="1"/>
    <col min="10502" max="10502" width="9.28515625" style="16" bestFit="1" customWidth="1"/>
    <col min="10503" max="10503" width="10.42578125" style="16" bestFit="1" customWidth="1"/>
    <col min="10504" max="10504" width="9.140625" style="16"/>
    <col min="10505" max="10505" width="9.28515625" style="16" customWidth="1"/>
    <col min="10506" max="10506" width="9.5703125" style="16" customWidth="1"/>
    <col min="10507" max="10507" width="8.85546875" style="16" customWidth="1"/>
    <col min="10508" max="10508" width="9.5703125" style="16" customWidth="1"/>
    <col min="10509" max="10509" width="8.7109375" style="16" customWidth="1"/>
    <col min="10510" max="10510" width="9" style="16" customWidth="1"/>
    <col min="10511" max="10511" width="7.140625" style="16" bestFit="1" customWidth="1"/>
    <col min="10512" max="10516" width="9.140625" style="16"/>
    <col min="10517" max="10517" width="12.42578125" style="16" customWidth="1"/>
    <col min="10518" max="10518" width="9.140625" style="16"/>
    <col min="10519" max="10519" width="12" style="16" customWidth="1"/>
    <col min="10520" max="10752" width="9.140625" style="16"/>
    <col min="10753" max="10753" width="5" style="16" customWidth="1"/>
    <col min="10754" max="10754" width="18.28515625" style="16" customWidth="1"/>
    <col min="10755" max="10755" width="11.140625" style="16" bestFit="1" customWidth="1"/>
    <col min="10756" max="10756" width="8.28515625" style="16" customWidth="1"/>
    <col min="10757" max="10757" width="8.5703125" style="16" bestFit="1" customWidth="1"/>
    <col min="10758" max="10758" width="9.28515625" style="16" bestFit="1" customWidth="1"/>
    <col min="10759" max="10759" width="10.42578125" style="16" bestFit="1" customWidth="1"/>
    <col min="10760" max="10760" width="9.140625" style="16"/>
    <col min="10761" max="10761" width="9.28515625" style="16" customWidth="1"/>
    <col min="10762" max="10762" width="9.5703125" style="16" customWidth="1"/>
    <col min="10763" max="10763" width="8.85546875" style="16" customWidth="1"/>
    <col min="10764" max="10764" width="9.5703125" style="16" customWidth="1"/>
    <col min="10765" max="10765" width="8.7109375" style="16" customWidth="1"/>
    <col min="10766" max="10766" width="9" style="16" customWidth="1"/>
    <col min="10767" max="10767" width="7.140625" style="16" bestFit="1" customWidth="1"/>
    <col min="10768" max="10772" width="9.140625" style="16"/>
    <col min="10773" max="10773" width="12.42578125" style="16" customWidth="1"/>
    <col min="10774" max="10774" width="9.140625" style="16"/>
    <col min="10775" max="10775" width="12" style="16" customWidth="1"/>
    <col min="10776" max="11008" width="9.140625" style="16"/>
    <col min="11009" max="11009" width="5" style="16" customWidth="1"/>
    <col min="11010" max="11010" width="18.28515625" style="16" customWidth="1"/>
    <col min="11011" max="11011" width="11.140625" style="16" bestFit="1" customWidth="1"/>
    <col min="11012" max="11012" width="8.28515625" style="16" customWidth="1"/>
    <col min="11013" max="11013" width="8.5703125" style="16" bestFit="1" customWidth="1"/>
    <col min="11014" max="11014" width="9.28515625" style="16" bestFit="1" customWidth="1"/>
    <col min="11015" max="11015" width="10.42578125" style="16" bestFit="1" customWidth="1"/>
    <col min="11016" max="11016" width="9.140625" style="16"/>
    <col min="11017" max="11017" width="9.28515625" style="16" customWidth="1"/>
    <col min="11018" max="11018" width="9.5703125" style="16" customWidth="1"/>
    <col min="11019" max="11019" width="8.85546875" style="16" customWidth="1"/>
    <col min="11020" max="11020" width="9.5703125" style="16" customWidth="1"/>
    <col min="11021" max="11021" width="8.7109375" style="16" customWidth="1"/>
    <col min="11022" max="11022" width="9" style="16" customWidth="1"/>
    <col min="11023" max="11023" width="7.140625" style="16" bestFit="1" customWidth="1"/>
    <col min="11024" max="11028" width="9.140625" style="16"/>
    <col min="11029" max="11029" width="12.42578125" style="16" customWidth="1"/>
    <col min="11030" max="11030" width="9.140625" style="16"/>
    <col min="11031" max="11031" width="12" style="16" customWidth="1"/>
    <col min="11032" max="11264" width="9.140625" style="16"/>
    <col min="11265" max="11265" width="5" style="16" customWidth="1"/>
    <col min="11266" max="11266" width="18.28515625" style="16" customWidth="1"/>
    <col min="11267" max="11267" width="11.140625" style="16" bestFit="1" customWidth="1"/>
    <col min="11268" max="11268" width="8.28515625" style="16" customWidth="1"/>
    <col min="11269" max="11269" width="8.5703125" style="16" bestFit="1" customWidth="1"/>
    <col min="11270" max="11270" width="9.28515625" style="16" bestFit="1" customWidth="1"/>
    <col min="11271" max="11271" width="10.42578125" style="16" bestFit="1" customWidth="1"/>
    <col min="11272" max="11272" width="9.140625" style="16"/>
    <col min="11273" max="11273" width="9.28515625" style="16" customWidth="1"/>
    <col min="11274" max="11274" width="9.5703125" style="16" customWidth="1"/>
    <col min="11275" max="11275" width="8.85546875" style="16" customWidth="1"/>
    <col min="11276" max="11276" width="9.5703125" style="16" customWidth="1"/>
    <col min="11277" max="11277" width="8.7109375" style="16" customWidth="1"/>
    <col min="11278" max="11278" width="9" style="16" customWidth="1"/>
    <col min="11279" max="11279" width="7.140625" style="16" bestFit="1" customWidth="1"/>
    <col min="11280" max="11284" width="9.140625" style="16"/>
    <col min="11285" max="11285" width="12.42578125" style="16" customWidth="1"/>
    <col min="11286" max="11286" width="9.140625" style="16"/>
    <col min="11287" max="11287" width="12" style="16" customWidth="1"/>
    <col min="11288" max="11520" width="9.140625" style="16"/>
    <col min="11521" max="11521" width="5" style="16" customWidth="1"/>
    <col min="11522" max="11522" width="18.28515625" style="16" customWidth="1"/>
    <col min="11523" max="11523" width="11.140625" style="16" bestFit="1" customWidth="1"/>
    <col min="11524" max="11524" width="8.28515625" style="16" customWidth="1"/>
    <col min="11525" max="11525" width="8.5703125" style="16" bestFit="1" customWidth="1"/>
    <col min="11526" max="11526" width="9.28515625" style="16" bestFit="1" customWidth="1"/>
    <col min="11527" max="11527" width="10.42578125" style="16" bestFit="1" customWidth="1"/>
    <col min="11528" max="11528" width="9.140625" style="16"/>
    <col min="11529" max="11529" width="9.28515625" style="16" customWidth="1"/>
    <col min="11530" max="11530" width="9.5703125" style="16" customWidth="1"/>
    <col min="11531" max="11531" width="8.85546875" style="16" customWidth="1"/>
    <col min="11532" max="11532" width="9.5703125" style="16" customWidth="1"/>
    <col min="11533" max="11533" width="8.7109375" style="16" customWidth="1"/>
    <col min="11534" max="11534" width="9" style="16" customWidth="1"/>
    <col min="11535" max="11535" width="7.140625" style="16" bestFit="1" customWidth="1"/>
    <col min="11536" max="11540" width="9.140625" style="16"/>
    <col min="11541" max="11541" width="12.42578125" style="16" customWidth="1"/>
    <col min="11542" max="11542" width="9.140625" style="16"/>
    <col min="11543" max="11543" width="12" style="16" customWidth="1"/>
    <col min="11544" max="11776" width="9.140625" style="16"/>
    <col min="11777" max="11777" width="5" style="16" customWidth="1"/>
    <col min="11778" max="11778" width="18.28515625" style="16" customWidth="1"/>
    <col min="11779" max="11779" width="11.140625" style="16" bestFit="1" customWidth="1"/>
    <col min="11780" max="11780" width="8.28515625" style="16" customWidth="1"/>
    <col min="11781" max="11781" width="8.5703125" style="16" bestFit="1" customWidth="1"/>
    <col min="11782" max="11782" width="9.28515625" style="16" bestFit="1" customWidth="1"/>
    <col min="11783" max="11783" width="10.42578125" style="16" bestFit="1" customWidth="1"/>
    <col min="11784" max="11784" width="9.140625" style="16"/>
    <col min="11785" max="11785" width="9.28515625" style="16" customWidth="1"/>
    <col min="11786" max="11786" width="9.5703125" style="16" customWidth="1"/>
    <col min="11787" max="11787" width="8.85546875" style="16" customWidth="1"/>
    <col min="11788" max="11788" width="9.5703125" style="16" customWidth="1"/>
    <col min="11789" max="11789" width="8.7109375" style="16" customWidth="1"/>
    <col min="11790" max="11790" width="9" style="16" customWidth="1"/>
    <col min="11791" max="11791" width="7.140625" style="16" bestFit="1" customWidth="1"/>
    <col min="11792" max="11796" width="9.140625" style="16"/>
    <col min="11797" max="11797" width="12.42578125" style="16" customWidth="1"/>
    <col min="11798" max="11798" width="9.140625" style="16"/>
    <col min="11799" max="11799" width="12" style="16" customWidth="1"/>
    <col min="11800" max="12032" width="9.140625" style="16"/>
    <col min="12033" max="12033" width="5" style="16" customWidth="1"/>
    <col min="12034" max="12034" width="18.28515625" style="16" customWidth="1"/>
    <col min="12035" max="12035" width="11.140625" style="16" bestFit="1" customWidth="1"/>
    <col min="12036" max="12036" width="8.28515625" style="16" customWidth="1"/>
    <col min="12037" max="12037" width="8.5703125" style="16" bestFit="1" customWidth="1"/>
    <col min="12038" max="12038" width="9.28515625" style="16" bestFit="1" customWidth="1"/>
    <col min="12039" max="12039" width="10.42578125" style="16" bestFit="1" customWidth="1"/>
    <col min="12040" max="12040" width="9.140625" style="16"/>
    <col min="12041" max="12041" width="9.28515625" style="16" customWidth="1"/>
    <col min="12042" max="12042" width="9.5703125" style="16" customWidth="1"/>
    <col min="12043" max="12043" width="8.85546875" style="16" customWidth="1"/>
    <col min="12044" max="12044" width="9.5703125" style="16" customWidth="1"/>
    <col min="12045" max="12045" width="8.7109375" style="16" customWidth="1"/>
    <col min="12046" max="12046" width="9" style="16" customWidth="1"/>
    <col min="12047" max="12047" width="7.140625" style="16" bestFit="1" customWidth="1"/>
    <col min="12048" max="12052" width="9.140625" style="16"/>
    <col min="12053" max="12053" width="12.42578125" style="16" customWidth="1"/>
    <col min="12054" max="12054" width="9.140625" style="16"/>
    <col min="12055" max="12055" width="12" style="16" customWidth="1"/>
    <col min="12056" max="12288" width="9.140625" style="16"/>
    <col min="12289" max="12289" width="5" style="16" customWidth="1"/>
    <col min="12290" max="12290" width="18.28515625" style="16" customWidth="1"/>
    <col min="12291" max="12291" width="11.140625" style="16" bestFit="1" customWidth="1"/>
    <col min="12292" max="12292" width="8.28515625" style="16" customWidth="1"/>
    <col min="12293" max="12293" width="8.5703125" style="16" bestFit="1" customWidth="1"/>
    <col min="12294" max="12294" width="9.28515625" style="16" bestFit="1" customWidth="1"/>
    <col min="12295" max="12295" width="10.42578125" style="16" bestFit="1" customWidth="1"/>
    <col min="12296" max="12296" width="9.140625" style="16"/>
    <col min="12297" max="12297" width="9.28515625" style="16" customWidth="1"/>
    <col min="12298" max="12298" width="9.5703125" style="16" customWidth="1"/>
    <col min="12299" max="12299" width="8.85546875" style="16" customWidth="1"/>
    <col min="12300" max="12300" width="9.5703125" style="16" customWidth="1"/>
    <col min="12301" max="12301" width="8.7109375" style="16" customWidth="1"/>
    <col min="12302" max="12302" width="9" style="16" customWidth="1"/>
    <col min="12303" max="12303" width="7.140625" style="16" bestFit="1" customWidth="1"/>
    <col min="12304" max="12308" width="9.140625" style="16"/>
    <col min="12309" max="12309" width="12.42578125" style="16" customWidth="1"/>
    <col min="12310" max="12310" width="9.140625" style="16"/>
    <col min="12311" max="12311" width="12" style="16" customWidth="1"/>
    <col min="12312" max="12544" width="9.140625" style="16"/>
    <col min="12545" max="12545" width="5" style="16" customWidth="1"/>
    <col min="12546" max="12546" width="18.28515625" style="16" customWidth="1"/>
    <col min="12547" max="12547" width="11.140625" style="16" bestFit="1" customWidth="1"/>
    <col min="12548" max="12548" width="8.28515625" style="16" customWidth="1"/>
    <col min="12549" max="12549" width="8.5703125" style="16" bestFit="1" customWidth="1"/>
    <col min="12550" max="12550" width="9.28515625" style="16" bestFit="1" customWidth="1"/>
    <col min="12551" max="12551" width="10.42578125" style="16" bestFit="1" customWidth="1"/>
    <col min="12552" max="12552" width="9.140625" style="16"/>
    <col min="12553" max="12553" width="9.28515625" style="16" customWidth="1"/>
    <col min="12554" max="12554" width="9.5703125" style="16" customWidth="1"/>
    <col min="12555" max="12555" width="8.85546875" style="16" customWidth="1"/>
    <col min="12556" max="12556" width="9.5703125" style="16" customWidth="1"/>
    <col min="12557" max="12557" width="8.7109375" style="16" customWidth="1"/>
    <col min="12558" max="12558" width="9" style="16" customWidth="1"/>
    <col min="12559" max="12559" width="7.140625" style="16" bestFit="1" customWidth="1"/>
    <col min="12560" max="12564" width="9.140625" style="16"/>
    <col min="12565" max="12565" width="12.42578125" style="16" customWidth="1"/>
    <col min="12566" max="12566" width="9.140625" style="16"/>
    <col min="12567" max="12567" width="12" style="16" customWidth="1"/>
    <col min="12568" max="12800" width="9.140625" style="16"/>
    <col min="12801" max="12801" width="5" style="16" customWidth="1"/>
    <col min="12802" max="12802" width="18.28515625" style="16" customWidth="1"/>
    <col min="12803" max="12803" width="11.140625" style="16" bestFit="1" customWidth="1"/>
    <col min="12804" max="12804" width="8.28515625" style="16" customWidth="1"/>
    <col min="12805" max="12805" width="8.5703125" style="16" bestFit="1" customWidth="1"/>
    <col min="12806" max="12806" width="9.28515625" style="16" bestFit="1" customWidth="1"/>
    <col min="12807" max="12807" width="10.42578125" style="16" bestFit="1" customWidth="1"/>
    <col min="12808" max="12808" width="9.140625" style="16"/>
    <col min="12809" max="12809" width="9.28515625" style="16" customWidth="1"/>
    <col min="12810" max="12810" width="9.5703125" style="16" customWidth="1"/>
    <col min="12811" max="12811" width="8.85546875" style="16" customWidth="1"/>
    <col min="12812" max="12812" width="9.5703125" style="16" customWidth="1"/>
    <col min="12813" max="12813" width="8.7109375" style="16" customWidth="1"/>
    <col min="12814" max="12814" width="9" style="16" customWidth="1"/>
    <col min="12815" max="12815" width="7.140625" style="16" bestFit="1" customWidth="1"/>
    <col min="12816" max="12820" width="9.140625" style="16"/>
    <col min="12821" max="12821" width="12.42578125" style="16" customWidth="1"/>
    <col min="12822" max="12822" width="9.140625" style="16"/>
    <col min="12823" max="12823" width="12" style="16" customWidth="1"/>
    <col min="12824" max="13056" width="9.140625" style="16"/>
    <col min="13057" max="13057" width="5" style="16" customWidth="1"/>
    <col min="13058" max="13058" width="18.28515625" style="16" customWidth="1"/>
    <col min="13059" max="13059" width="11.140625" style="16" bestFit="1" customWidth="1"/>
    <col min="13060" max="13060" width="8.28515625" style="16" customWidth="1"/>
    <col min="13061" max="13061" width="8.5703125" style="16" bestFit="1" customWidth="1"/>
    <col min="13062" max="13062" width="9.28515625" style="16" bestFit="1" customWidth="1"/>
    <col min="13063" max="13063" width="10.42578125" style="16" bestFit="1" customWidth="1"/>
    <col min="13064" max="13064" width="9.140625" style="16"/>
    <col min="13065" max="13065" width="9.28515625" style="16" customWidth="1"/>
    <col min="13066" max="13066" width="9.5703125" style="16" customWidth="1"/>
    <col min="13067" max="13067" width="8.85546875" style="16" customWidth="1"/>
    <col min="13068" max="13068" width="9.5703125" style="16" customWidth="1"/>
    <col min="13069" max="13069" width="8.7109375" style="16" customWidth="1"/>
    <col min="13070" max="13070" width="9" style="16" customWidth="1"/>
    <col min="13071" max="13071" width="7.140625" style="16" bestFit="1" customWidth="1"/>
    <col min="13072" max="13076" width="9.140625" style="16"/>
    <col min="13077" max="13077" width="12.42578125" style="16" customWidth="1"/>
    <col min="13078" max="13078" width="9.140625" style="16"/>
    <col min="13079" max="13079" width="12" style="16" customWidth="1"/>
    <col min="13080" max="13312" width="9.140625" style="16"/>
    <col min="13313" max="13313" width="5" style="16" customWidth="1"/>
    <col min="13314" max="13314" width="18.28515625" style="16" customWidth="1"/>
    <col min="13315" max="13315" width="11.140625" style="16" bestFit="1" customWidth="1"/>
    <col min="13316" max="13316" width="8.28515625" style="16" customWidth="1"/>
    <col min="13317" max="13317" width="8.5703125" style="16" bestFit="1" customWidth="1"/>
    <col min="13318" max="13318" width="9.28515625" style="16" bestFit="1" customWidth="1"/>
    <col min="13319" max="13319" width="10.42578125" style="16" bestFit="1" customWidth="1"/>
    <col min="13320" max="13320" width="9.140625" style="16"/>
    <col min="13321" max="13321" width="9.28515625" style="16" customWidth="1"/>
    <col min="13322" max="13322" width="9.5703125" style="16" customWidth="1"/>
    <col min="13323" max="13323" width="8.85546875" style="16" customWidth="1"/>
    <col min="13324" max="13324" width="9.5703125" style="16" customWidth="1"/>
    <col min="13325" max="13325" width="8.7109375" style="16" customWidth="1"/>
    <col min="13326" max="13326" width="9" style="16" customWidth="1"/>
    <col min="13327" max="13327" width="7.140625" style="16" bestFit="1" customWidth="1"/>
    <col min="13328" max="13332" width="9.140625" style="16"/>
    <col min="13333" max="13333" width="12.42578125" style="16" customWidth="1"/>
    <col min="13334" max="13334" width="9.140625" style="16"/>
    <col min="13335" max="13335" width="12" style="16" customWidth="1"/>
    <col min="13336" max="13568" width="9.140625" style="16"/>
    <col min="13569" max="13569" width="5" style="16" customWidth="1"/>
    <col min="13570" max="13570" width="18.28515625" style="16" customWidth="1"/>
    <col min="13571" max="13571" width="11.140625" style="16" bestFit="1" customWidth="1"/>
    <col min="13572" max="13572" width="8.28515625" style="16" customWidth="1"/>
    <col min="13573" max="13573" width="8.5703125" style="16" bestFit="1" customWidth="1"/>
    <col min="13574" max="13574" width="9.28515625" style="16" bestFit="1" customWidth="1"/>
    <col min="13575" max="13575" width="10.42578125" style="16" bestFit="1" customWidth="1"/>
    <col min="13576" max="13576" width="9.140625" style="16"/>
    <col min="13577" max="13577" width="9.28515625" style="16" customWidth="1"/>
    <col min="13578" max="13578" width="9.5703125" style="16" customWidth="1"/>
    <col min="13579" max="13579" width="8.85546875" style="16" customWidth="1"/>
    <col min="13580" max="13580" width="9.5703125" style="16" customWidth="1"/>
    <col min="13581" max="13581" width="8.7109375" style="16" customWidth="1"/>
    <col min="13582" max="13582" width="9" style="16" customWidth="1"/>
    <col min="13583" max="13583" width="7.140625" style="16" bestFit="1" customWidth="1"/>
    <col min="13584" max="13588" width="9.140625" style="16"/>
    <col min="13589" max="13589" width="12.42578125" style="16" customWidth="1"/>
    <col min="13590" max="13590" width="9.140625" style="16"/>
    <col min="13591" max="13591" width="12" style="16" customWidth="1"/>
    <col min="13592" max="13824" width="9.140625" style="16"/>
    <col min="13825" max="13825" width="5" style="16" customWidth="1"/>
    <col min="13826" max="13826" width="18.28515625" style="16" customWidth="1"/>
    <col min="13827" max="13827" width="11.140625" style="16" bestFit="1" customWidth="1"/>
    <col min="13828" max="13828" width="8.28515625" style="16" customWidth="1"/>
    <col min="13829" max="13829" width="8.5703125" style="16" bestFit="1" customWidth="1"/>
    <col min="13830" max="13830" width="9.28515625" style="16" bestFit="1" customWidth="1"/>
    <col min="13831" max="13831" width="10.42578125" style="16" bestFit="1" customWidth="1"/>
    <col min="13832" max="13832" width="9.140625" style="16"/>
    <col min="13833" max="13833" width="9.28515625" style="16" customWidth="1"/>
    <col min="13834" max="13834" width="9.5703125" style="16" customWidth="1"/>
    <col min="13835" max="13835" width="8.85546875" style="16" customWidth="1"/>
    <col min="13836" max="13836" width="9.5703125" style="16" customWidth="1"/>
    <col min="13837" max="13837" width="8.7109375" style="16" customWidth="1"/>
    <col min="13838" max="13838" width="9" style="16" customWidth="1"/>
    <col min="13839" max="13839" width="7.140625" style="16" bestFit="1" customWidth="1"/>
    <col min="13840" max="13844" width="9.140625" style="16"/>
    <col min="13845" max="13845" width="12.42578125" style="16" customWidth="1"/>
    <col min="13846" max="13846" width="9.140625" style="16"/>
    <col min="13847" max="13847" width="12" style="16" customWidth="1"/>
    <col min="13848" max="14080" width="9.140625" style="16"/>
    <col min="14081" max="14081" width="5" style="16" customWidth="1"/>
    <col min="14082" max="14082" width="18.28515625" style="16" customWidth="1"/>
    <col min="14083" max="14083" width="11.140625" style="16" bestFit="1" customWidth="1"/>
    <col min="14084" max="14084" width="8.28515625" style="16" customWidth="1"/>
    <col min="14085" max="14085" width="8.5703125" style="16" bestFit="1" customWidth="1"/>
    <col min="14086" max="14086" width="9.28515625" style="16" bestFit="1" customWidth="1"/>
    <col min="14087" max="14087" width="10.42578125" style="16" bestFit="1" customWidth="1"/>
    <col min="14088" max="14088" width="9.140625" style="16"/>
    <col min="14089" max="14089" width="9.28515625" style="16" customWidth="1"/>
    <col min="14090" max="14090" width="9.5703125" style="16" customWidth="1"/>
    <col min="14091" max="14091" width="8.85546875" style="16" customWidth="1"/>
    <col min="14092" max="14092" width="9.5703125" style="16" customWidth="1"/>
    <col min="14093" max="14093" width="8.7109375" style="16" customWidth="1"/>
    <col min="14094" max="14094" width="9" style="16" customWidth="1"/>
    <col min="14095" max="14095" width="7.140625" style="16" bestFit="1" customWidth="1"/>
    <col min="14096" max="14100" width="9.140625" style="16"/>
    <col min="14101" max="14101" width="12.42578125" style="16" customWidth="1"/>
    <col min="14102" max="14102" width="9.140625" style="16"/>
    <col min="14103" max="14103" width="12" style="16" customWidth="1"/>
    <col min="14104" max="14336" width="9.140625" style="16"/>
    <col min="14337" max="14337" width="5" style="16" customWidth="1"/>
    <col min="14338" max="14338" width="18.28515625" style="16" customWidth="1"/>
    <col min="14339" max="14339" width="11.140625" style="16" bestFit="1" customWidth="1"/>
    <col min="14340" max="14340" width="8.28515625" style="16" customWidth="1"/>
    <col min="14341" max="14341" width="8.5703125" style="16" bestFit="1" customWidth="1"/>
    <col min="14342" max="14342" width="9.28515625" style="16" bestFit="1" customWidth="1"/>
    <col min="14343" max="14343" width="10.42578125" style="16" bestFit="1" customWidth="1"/>
    <col min="14344" max="14344" width="9.140625" style="16"/>
    <col min="14345" max="14345" width="9.28515625" style="16" customWidth="1"/>
    <col min="14346" max="14346" width="9.5703125" style="16" customWidth="1"/>
    <col min="14347" max="14347" width="8.85546875" style="16" customWidth="1"/>
    <col min="14348" max="14348" width="9.5703125" style="16" customWidth="1"/>
    <col min="14349" max="14349" width="8.7109375" style="16" customWidth="1"/>
    <col min="14350" max="14350" width="9" style="16" customWidth="1"/>
    <col min="14351" max="14351" width="7.140625" style="16" bestFit="1" customWidth="1"/>
    <col min="14352" max="14356" width="9.140625" style="16"/>
    <col min="14357" max="14357" width="12.42578125" style="16" customWidth="1"/>
    <col min="14358" max="14358" width="9.140625" style="16"/>
    <col min="14359" max="14359" width="12" style="16" customWidth="1"/>
    <col min="14360" max="14592" width="9.140625" style="16"/>
    <col min="14593" max="14593" width="5" style="16" customWidth="1"/>
    <col min="14594" max="14594" width="18.28515625" style="16" customWidth="1"/>
    <col min="14595" max="14595" width="11.140625" style="16" bestFit="1" customWidth="1"/>
    <col min="14596" max="14596" width="8.28515625" style="16" customWidth="1"/>
    <col min="14597" max="14597" width="8.5703125" style="16" bestFit="1" customWidth="1"/>
    <col min="14598" max="14598" width="9.28515625" style="16" bestFit="1" customWidth="1"/>
    <col min="14599" max="14599" width="10.42578125" style="16" bestFit="1" customWidth="1"/>
    <col min="14600" max="14600" width="9.140625" style="16"/>
    <col min="14601" max="14601" width="9.28515625" style="16" customWidth="1"/>
    <col min="14602" max="14602" width="9.5703125" style="16" customWidth="1"/>
    <col min="14603" max="14603" width="8.85546875" style="16" customWidth="1"/>
    <col min="14604" max="14604" width="9.5703125" style="16" customWidth="1"/>
    <col min="14605" max="14605" width="8.7109375" style="16" customWidth="1"/>
    <col min="14606" max="14606" width="9" style="16" customWidth="1"/>
    <col min="14607" max="14607" width="7.140625" style="16" bestFit="1" customWidth="1"/>
    <col min="14608" max="14612" width="9.140625" style="16"/>
    <col min="14613" max="14613" width="12.42578125" style="16" customWidth="1"/>
    <col min="14614" max="14614" width="9.140625" style="16"/>
    <col min="14615" max="14615" width="12" style="16" customWidth="1"/>
    <col min="14616" max="14848" width="9.140625" style="16"/>
    <col min="14849" max="14849" width="5" style="16" customWidth="1"/>
    <col min="14850" max="14850" width="18.28515625" style="16" customWidth="1"/>
    <col min="14851" max="14851" width="11.140625" style="16" bestFit="1" customWidth="1"/>
    <col min="14852" max="14852" width="8.28515625" style="16" customWidth="1"/>
    <col min="14853" max="14853" width="8.5703125" style="16" bestFit="1" customWidth="1"/>
    <col min="14854" max="14854" width="9.28515625" style="16" bestFit="1" customWidth="1"/>
    <col min="14855" max="14855" width="10.42578125" style="16" bestFit="1" customWidth="1"/>
    <col min="14856" max="14856" width="9.140625" style="16"/>
    <col min="14857" max="14857" width="9.28515625" style="16" customWidth="1"/>
    <col min="14858" max="14858" width="9.5703125" style="16" customWidth="1"/>
    <col min="14859" max="14859" width="8.85546875" style="16" customWidth="1"/>
    <col min="14860" max="14860" width="9.5703125" style="16" customWidth="1"/>
    <col min="14861" max="14861" width="8.7109375" style="16" customWidth="1"/>
    <col min="14862" max="14862" width="9" style="16" customWidth="1"/>
    <col min="14863" max="14863" width="7.140625" style="16" bestFit="1" customWidth="1"/>
    <col min="14864" max="14868" width="9.140625" style="16"/>
    <col min="14869" max="14869" width="12.42578125" style="16" customWidth="1"/>
    <col min="14870" max="14870" width="9.140625" style="16"/>
    <col min="14871" max="14871" width="12" style="16" customWidth="1"/>
    <col min="14872" max="15104" width="9.140625" style="16"/>
    <col min="15105" max="15105" width="5" style="16" customWidth="1"/>
    <col min="15106" max="15106" width="18.28515625" style="16" customWidth="1"/>
    <col min="15107" max="15107" width="11.140625" style="16" bestFit="1" customWidth="1"/>
    <col min="15108" max="15108" width="8.28515625" style="16" customWidth="1"/>
    <col min="15109" max="15109" width="8.5703125" style="16" bestFit="1" customWidth="1"/>
    <col min="15110" max="15110" width="9.28515625" style="16" bestFit="1" customWidth="1"/>
    <col min="15111" max="15111" width="10.42578125" style="16" bestFit="1" customWidth="1"/>
    <col min="15112" max="15112" width="9.140625" style="16"/>
    <col min="15113" max="15113" width="9.28515625" style="16" customWidth="1"/>
    <col min="15114" max="15114" width="9.5703125" style="16" customWidth="1"/>
    <col min="15115" max="15115" width="8.85546875" style="16" customWidth="1"/>
    <col min="15116" max="15116" width="9.5703125" style="16" customWidth="1"/>
    <col min="15117" max="15117" width="8.7109375" style="16" customWidth="1"/>
    <col min="15118" max="15118" width="9" style="16" customWidth="1"/>
    <col min="15119" max="15119" width="7.140625" style="16" bestFit="1" customWidth="1"/>
    <col min="15120" max="15124" width="9.140625" style="16"/>
    <col min="15125" max="15125" width="12.42578125" style="16" customWidth="1"/>
    <col min="15126" max="15126" width="9.140625" style="16"/>
    <col min="15127" max="15127" width="12" style="16" customWidth="1"/>
    <col min="15128" max="15360" width="9.140625" style="16"/>
    <col min="15361" max="15361" width="5" style="16" customWidth="1"/>
    <col min="15362" max="15362" width="18.28515625" style="16" customWidth="1"/>
    <col min="15363" max="15363" width="11.140625" style="16" bestFit="1" customWidth="1"/>
    <col min="15364" max="15364" width="8.28515625" style="16" customWidth="1"/>
    <col min="15365" max="15365" width="8.5703125" style="16" bestFit="1" customWidth="1"/>
    <col min="15366" max="15366" width="9.28515625" style="16" bestFit="1" customWidth="1"/>
    <col min="15367" max="15367" width="10.42578125" style="16" bestFit="1" customWidth="1"/>
    <col min="15368" max="15368" width="9.140625" style="16"/>
    <col min="15369" max="15369" width="9.28515625" style="16" customWidth="1"/>
    <col min="15370" max="15370" width="9.5703125" style="16" customWidth="1"/>
    <col min="15371" max="15371" width="8.85546875" style="16" customWidth="1"/>
    <col min="15372" max="15372" width="9.5703125" style="16" customWidth="1"/>
    <col min="15373" max="15373" width="8.7109375" style="16" customWidth="1"/>
    <col min="15374" max="15374" width="9" style="16" customWidth="1"/>
    <col min="15375" max="15375" width="7.140625" style="16" bestFit="1" customWidth="1"/>
    <col min="15376" max="15380" width="9.140625" style="16"/>
    <col min="15381" max="15381" width="12.42578125" style="16" customWidth="1"/>
    <col min="15382" max="15382" width="9.140625" style="16"/>
    <col min="15383" max="15383" width="12" style="16" customWidth="1"/>
    <col min="15384" max="15616" width="9.140625" style="16"/>
    <col min="15617" max="15617" width="5" style="16" customWidth="1"/>
    <col min="15618" max="15618" width="18.28515625" style="16" customWidth="1"/>
    <col min="15619" max="15619" width="11.140625" style="16" bestFit="1" customWidth="1"/>
    <col min="15620" max="15620" width="8.28515625" style="16" customWidth="1"/>
    <col min="15621" max="15621" width="8.5703125" style="16" bestFit="1" customWidth="1"/>
    <col min="15622" max="15622" width="9.28515625" style="16" bestFit="1" customWidth="1"/>
    <col min="15623" max="15623" width="10.42578125" style="16" bestFit="1" customWidth="1"/>
    <col min="15624" max="15624" width="9.140625" style="16"/>
    <col min="15625" max="15625" width="9.28515625" style="16" customWidth="1"/>
    <col min="15626" max="15626" width="9.5703125" style="16" customWidth="1"/>
    <col min="15627" max="15627" width="8.85546875" style="16" customWidth="1"/>
    <col min="15628" max="15628" width="9.5703125" style="16" customWidth="1"/>
    <col min="15629" max="15629" width="8.7109375" style="16" customWidth="1"/>
    <col min="15630" max="15630" width="9" style="16" customWidth="1"/>
    <col min="15631" max="15631" width="7.140625" style="16" bestFit="1" customWidth="1"/>
    <col min="15632" max="15636" width="9.140625" style="16"/>
    <col min="15637" max="15637" width="12.42578125" style="16" customWidth="1"/>
    <col min="15638" max="15638" width="9.140625" style="16"/>
    <col min="15639" max="15639" width="12" style="16" customWidth="1"/>
    <col min="15640" max="15872" width="9.140625" style="16"/>
    <col min="15873" max="15873" width="5" style="16" customWidth="1"/>
    <col min="15874" max="15874" width="18.28515625" style="16" customWidth="1"/>
    <col min="15875" max="15875" width="11.140625" style="16" bestFit="1" customWidth="1"/>
    <col min="15876" max="15876" width="8.28515625" style="16" customWidth="1"/>
    <col min="15877" max="15877" width="8.5703125" style="16" bestFit="1" customWidth="1"/>
    <col min="15878" max="15878" width="9.28515625" style="16" bestFit="1" customWidth="1"/>
    <col min="15879" max="15879" width="10.42578125" style="16" bestFit="1" customWidth="1"/>
    <col min="15880" max="15880" width="9.140625" style="16"/>
    <col min="15881" max="15881" width="9.28515625" style="16" customWidth="1"/>
    <col min="15882" max="15882" width="9.5703125" style="16" customWidth="1"/>
    <col min="15883" max="15883" width="8.85546875" style="16" customWidth="1"/>
    <col min="15884" max="15884" width="9.5703125" style="16" customWidth="1"/>
    <col min="15885" max="15885" width="8.7109375" style="16" customWidth="1"/>
    <col min="15886" max="15886" width="9" style="16" customWidth="1"/>
    <col min="15887" max="15887" width="7.140625" style="16" bestFit="1" customWidth="1"/>
    <col min="15888" max="15892" width="9.140625" style="16"/>
    <col min="15893" max="15893" width="12.42578125" style="16" customWidth="1"/>
    <col min="15894" max="15894" width="9.140625" style="16"/>
    <col min="15895" max="15895" width="12" style="16" customWidth="1"/>
    <col min="15896" max="16128" width="9.140625" style="16"/>
    <col min="16129" max="16129" width="5" style="16" customWidth="1"/>
    <col min="16130" max="16130" width="18.28515625" style="16" customWidth="1"/>
    <col min="16131" max="16131" width="11.140625" style="16" bestFit="1" customWidth="1"/>
    <col min="16132" max="16132" width="8.28515625" style="16" customWidth="1"/>
    <col min="16133" max="16133" width="8.5703125" style="16" bestFit="1" customWidth="1"/>
    <col min="16134" max="16134" width="9.28515625" style="16" bestFit="1" customWidth="1"/>
    <col min="16135" max="16135" width="10.42578125" style="16" bestFit="1" customWidth="1"/>
    <col min="16136" max="16136" width="9.140625" style="16"/>
    <col min="16137" max="16137" width="9.28515625" style="16" customWidth="1"/>
    <col min="16138" max="16138" width="9.5703125" style="16" customWidth="1"/>
    <col min="16139" max="16139" width="8.85546875" style="16" customWidth="1"/>
    <col min="16140" max="16140" width="9.5703125" style="16" customWidth="1"/>
    <col min="16141" max="16141" width="8.7109375" style="16" customWidth="1"/>
    <col min="16142" max="16142" width="9" style="16" customWidth="1"/>
    <col min="16143" max="16143" width="7.140625" style="16" bestFit="1" customWidth="1"/>
    <col min="16144" max="16148" width="9.140625" style="16"/>
    <col min="16149" max="16149" width="12.42578125" style="16" customWidth="1"/>
    <col min="16150" max="16150" width="9.140625" style="16"/>
    <col min="16151" max="16151" width="12" style="16" customWidth="1"/>
    <col min="16152" max="16384" width="9.140625" style="16"/>
  </cols>
  <sheetData>
    <row r="1" spans="1:17" s="1" customFormat="1" x14ac:dyDescent="0.2">
      <c r="A1" s="867" t="s">
        <v>449</v>
      </c>
      <c r="B1" s="868"/>
      <c r="C1" s="868"/>
      <c r="D1" s="908"/>
      <c r="E1" s="1169"/>
      <c r="F1" s="1170"/>
      <c r="G1" s="867" t="s">
        <v>102</v>
      </c>
      <c r="H1" s="869"/>
      <c r="I1" s="869" t="s">
        <v>1199</v>
      </c>
      <c r="J1" s="868"/>
      <c r="K1" s="868"/>
      <c r="L1" s="870"/>
      <c r="M1" s="870"/>
      <c r="N1" s="870"/>
      <c r="O1" s="870"/>
    </row>
    <row r="2" spans="1:17" s="1" customFormat="1" x14ac:dyDescent="0.2">
      <c r="A2" s="867" t="s">
        <v>103</v>
      </c>
      <c r="B2" s="868"/>
      <c r="C2" s="868"/>
      <c r="D2" s="908"/>
      <c r="E2" s="1169"/>
      <c r="F2" s="1170"/>
      <c r="G2" s="867" t="s">
        <v>104</v>
      </c>
      <c r="H2" s="869"/>
      <c r="I2" s="869" t="s">
        <v>105</v>
      </c>
      <c r="J2" s="868"/>
      <c r="K2" s="868"/>
      <c r="L2" s="870"/>
      <c r="M2" s="870"/>
      <c r="N2" s="870"/>
      <c r="O2" s="870"/>
    </row>
    <row r="3" spans="1:17" s="1" customFormat="1" x14ac:dyDescent="0.2">
      <c r="A3" s="867" t="s">
        <v>106</v>
      </c>
      <c r="B3" s="868"/>
      <c r="C3" s="868"/>
      <c r="D3" s="905" t="s">
        <v>1245</v>
      </c>
      <c r="E3" s="1169"/>
      <c r="F3" s="1170"/>
      <c r="G3" s="867" t="s">
        <v>107</v>
      </c>
      <c r="H3" s="869"/>
      <c r="I3" s="869" t="s">
        <v>108</v>
      </c>
      <c r="J3" s="868"/>
      <c r="K3" s="868"/>
      <c r="L3" s="870"/>
      <c r="M3" s="870"/>
      <c r="N3" s="870"/>
      <c r="O3" s="870"/>
    </row>
    <row r="4" spans="1:17" s="1" customFormat="1" x14ac:dyDescent="0.2">
      <c r="A4" s="867" t="s">
        <v>109</v>
      </c>
      <c r="B4" s="868"/>
      <c r="C4" s="868"/>
      <c r="D4" s="908"/>
      <c r="E4" s="1169"/>
      <c r="F4" s="1170"/>
      <c r="G4" s="867" t="s">
        <v>110</v>
      </c>
      <c r="H4" s="869"/>
      <c r="I4" s="869" t="s">
        <v>339</v>
      </c>
      <c r="J4" s="868"/>
      <c r="K4" s="868"/>
      <c r="L4" s="870"/>
      <c r="M4" s="870"/>
      <c r="N4" s="870"/>
      <c r="O4" s="870"/>
    </row>
    <row r="5" spans="1:17" s="1" customFormat="1" x14ac:dyDescent="0.2">
      <c r="A5" s="867" t="s">
        <v>112</v>
      </c>
      <c r="B5" s="868"/>
      <c r="C5" s="868"/>
      <c r="D5" s="908"/>
      <c r="E5" s="1169"/>
      <c r="F5" s="1170"/>
      <c r="G5" s="867"/>
      <c r="H5" s="868"/>
      <c r="I5" s="869" t="s">
        <v>113</v>
      </c>
      <c r="J5" s="868"/>
      <c r="K5" s="868"/>
      <c r="L5" s="870"/>
      <c r="M5" s="870"/>
      <c r="N5" s="870"/>
      <c r="O5" s="870"/>
    </row>
    <row r="6" spans="1:17" s="1" customFormat="1" x14ac:dyDescent="0.2">
      <c r="A6" s="871" t="s">
        <v>114</v>
      </c>
      <c r="B6" s="872"/>
      <c r="C6" s="872"/>
      <c r="D6" s="1171" t="s">
        <v>1200</v>
      </c>
      <c r="E6" s="1172"/>
      <c r="F6" s="1173"/>
      <c r="G6" s="871" t="s">
        <v>115</v>
      </c>
      <c r="H6" s="871"/>
      <c r="I6" s="2" t="s">
        <v>222</v>
      </c>
      <c r="J6" s="888"/>
      <c r="K6" s="888"/>
      <c r="L6" s="888"/>
      <c r="M6" s="888"/>
      <c r="N6" s="888"/>
      <c r="O6" s="889"/>
    </row>
    <row r="7" spans="1:17" s="1" customFormat="1" ht="13.5" thickBot="1" x14ac:dyDescent="0.25">
      <c r="A7" s="3"/>
      <c r="B7" s="4"/>
      <c r="C7" s="5"/>
      <c r="D7" s="6"/>
      <c r="E7" s="6"/>
      <c r="F7" s="6"/>
      <c r="G7" s="6"/>
      <c r="H7" s="6"/>
      <c r="I7" s="6"/>
      <c r="J7" s="7"/>
      <c r="K7" s="8"/>
      <c r="L7" s="875" t="s">
        <v>223</v>
      </c>
      <c r="M7" s="875"/>
      <c r="N7" s="875"/>
      <c r="O7" s="875"/>
    </row>
    <row r="8" spans="1:17" s="11" customFormat="1" x14ac:dyDescent="0.2">
      <c r="A8" s="876" t="str">
        <f>I1</f>
        <v>Ms. Minal M. Toraskar</v>
      </c>
      <c r="B8" s="877"/>
      <c r="C8" s="9">
        <v>43160</v>
      </c>
      <c r="D8" s="9">
        <v>43191</v>
      </c>
      <c r="E8" s="9">
        <v>43221</v>
      </c>
      <c r="F8" s="9">
        <v>43252</v>
      </c>
      <c r="G8" s="9">
        <v>43282</v>
      </c>
      <c r="H8" s="9">
        <v>43313</v>
      </c>
      <c r="I8" s="9">
        <v>43344</v>
      </c>
      <c r="J8" s="9">
        <v>43374</v>
      </c>
      <c r="K8" s="9">
        <v>43405</v>
      </c>
      <c r="L8" s="9">
        <v>43435</v>
      </c>
      <c r="M8" s="9">
        <v>43466</v>
      </c>
      <c r="N8" s="9">
        <v>43497</v>
      </c>
      <c r="O8" s="10" t="s">
        <v>117</v>
      </c>
      <c r="Q8" s="11" t="s">
        <v>116</v>
      </c>
    </row>
    <row r="9" spans="1:17" ht="15" x14ac:dyDescent="0.2">
      <c r="A9" s="12"/>
      <c r="B9" s="13" t="s">
        <v>118</v>
      </c>
      <c r="C9" s="14">
        <v>19900</v>
      </c>
      <c r="D9" s="14">
        <v>19900</v>
      </c>
      <c r="E9" s="14">
        <v>19900</v>
      </c>
      <c r="F9" s="14">
        <v>19900</v>
      </c>
      <c r="G9" s="14">
        <v>19900</v>
      </c>
      <c r="H9" s="14">
        <v>19900</v>
      </c>
      <c r="I9" s="14">
        <v>19900</v>
      </c>
      <c r="J9" s="14">
        <v>19900</v>
      </c>
      <c r="K9" s="14">
        <v>19900</v>
      </c>
      <c r="L9" s="14">
        <v>19900</v>
      </c>
      <c r="M9" s="14">
        <v>19900</v>
      </c>
      <c r="N9" s="14">
        <v>19900</v>
      </c>
      <c r="O9" s="15">
        <f>SUM(C9:N9)</f>
        <v>238800</v>
      </c>
      <c r="Q9" s="16" t="s">
        <v>222</v>
      </c>
    </row>
    <row r="10" spans="1:17"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7" ht="15" x14ac:dyDescent="0.2">
      <c r="A11" s="12"/>
      <c r="B11" s="13" t="s">
        <v>120</v>
      </c>
      <c r="C11" s="17">
        <v>995</v>
      </c>
      <c r="D11" s="17">
        <v>1393</v>
      </c>
      <c r="E11" s="17">
        <v>1393</v>
      </c>
      <c r="F11" s="17">
        <v>1393</v>
      </c>
      <c r="G11" s="17">
        <v>1393</v>
      </c>
      <c r="H11" s="17">
        <v>1393</v>
      </c>
      <c r="I11" s="17">
        <v>1393</v>
      </c>
      <c r="J11" s="17">
        <v>1791</v>
      </c>
      <c r="K11" s="17">
        <v>1791</v>
      </c>
      <c r="L11" s="17">
        <v>1791</v>
      </c>
      <c r="M11" s="17">
        <v>1791</v>
      </c>
      <c r="N11" s="17">
        <v>1791</v>
      </c>
      <c r="O11" s="18">
        <f>SUM(C11:N11)</f>
        <v>18308</v>
      </c>
    </row>
    <row r="12" spans="1:17"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7"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7" ht="15" x14ac:dyDescent="0.2">
      <c r="A14" s="12"/>
      <c r="B14" s="13" t="s">
        <v>123</v>
      </c>
      <c r="C14" s="17">
        <v>1418</v>
      </c>
      <c r="D14" s="17">
        <v>1445</v>
      </c>
      <c r="E14" s="17">
        <v>1445</v>
      </c>
      <c r="F14" s="17">
        <v>1445</v>
      </c>
      <c r="G14" s="17">
        <v>1445</v>
      </c>
      <c r="H14" s="17">
        <v>1445</v>
      </c>
      <c r="I14" s="17">
        <v>1445</v>
      </c>
      <c r="J14" s="17">
        <v>1472</v>
      </c>
      <c r="K14" s="17">
        <v>1472</v>
      </c>
      <c r="L14" s="17">
        <v>1472</v>
      </c>
      <c r="M14" s="17">
        <v>1472</v>
      </c>
      <c r="N14" s="17">
        <v>1472</v>
      </c>
      <c r="O14" s="18">
        <f t="shared" si="0"/>
        <v>17448</v>
      </c>
    </row>
    <row r="15" spans="1:17"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7" ht="15" hidden="1"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hidden="1" x14ac:dyDescent="0.2">
      <c r="A18" s="12"/>
      <c r="B18" s="13" t="s">
        <v>609</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4776</v>
      </c>
      <c r="D19" s="17">
        <v>4776</v>
      </c>
      <c r="E19" s="17">
        <v>4776</v>
      </c>
      <c r="F19" s="17">
        <v>4776</v>
      </c>
      <c r="G19" s="17">
        <v>4776</v>
      </c>
      <c r="H19" s="17">
        <v>4776</v>
      </c>
      <c r="I19" s="17">
        <v>4776</v>
      </c>
      <c r="J19" s="17">
        <v>4776</v>
      </c>
      <c r="K19" s="17">
        <v>4776</v>
      </c>
      <c r="L19" s="17">
        <v>4776</v>
      </c>
      <c r="M19" s="17">
        <v>4776</v>
      </c>
      <c r="N19" s="17">
        <v>4776</v>
      </c>
      <c r="O19" s="18">
        <f t="shared" si="0"/>
        <v>57312</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78"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79"/>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5" ht="15" hidden="1" customHeight="1" x14ac:dyDescent="0.2">
      <c r="A23" s="879"/>
      <c r="B23" s="19" t="s">
        <v>133</v>
      </c>
      <c r="C23" s="28">
        <v>0</v>
      </c>
      <c r="D23" s="28">
        <v>0</v>
      </c>
      <c r="E23" s="28">
        <v>0</v>
      </c>
      <c r="F23" s="28">
        <v>0</v>
      </c>
      <c r="G23" s="28">
        <v>0</v>
      </c>
      <c r="H23" s="28">
        <v>0</v>
      </c>
      <c r="I23" s="28">
        <v>0</v>
      </c>
      <c r="J23" s="28">
        <v>0</v>
      </c>
      <c r="K23" s="28">
        <v>0</v>
      </c>
      <c r="L23" s="28">
        <v>0</v>
      </c>
      <c r="M23" s="28">
        <v>0</v>
      </c>
      <c r="N23" s="28">
        <v>0</v>
      </c>
      <c r="O23" s="18">
        <f t="shared" si="0"/>
        <v>0</v>
      </c>
    </row>
    <row r="24" spans="1:15" ht="15" hidden="1" customHeight="1" x14ac:dyDescent="0.2">
      <c r="A24" s="879"/>
      <c r="B24" s="19" t="s">
        <v>134</v>
      </c>
      <c r="C24" s="28">
        <v>0</v>
      </c>
      <c r="D24" s="28">
        <v>0</v>
      </c>
      <c r="E24" s="28">
        <v>0</v>
      </c>
      <c r="F24" s="28">
        <v>0</v>
      </c>
      <c r="G24" s="28">
        <v>0</v>
      </c>
      <c r="H24" s="28">
        <v>0</v>
      </c>
      <c r="I24" s="28">
        <v>0</v>
      </c>
      <c r="J24" s="28">
        <v>0</v>
      </c>
      <c r="K24" s="28">
        <v>0</v>
      </c>
      <c r="L24" s="28">
        <v>0</v>
      </c>
      <c r="M24" s="28">
        <v>0</v>
      </c>
      <c r="N24" s="28">
        <v>0</v>
      </c>
      <c r="O24" s="18">
        <f t="shared" si="0"/>
        <v>0</v>
      </c>
    </row>
    <row r="25" spans="1:15" ht="15" hidden="1" customHeight="1" x14ac:dyDescent="0.2">
      <c r="A25" s="879"/>
      <c r="B25" s="19" t="s">
        <v>135</v>
      </c>
      <c r="C25" s="28">
        <v>0</v>
      </c>
      <c r="D25" s="28">
        <v>0</v>
      </c>
      <c r="E25" s="28">
        <v>0</v>
      </c>
      <c r="F25" s="28">
        <v>0</v>
      </c>
      <c r="G25" s="28">
        <v>0</v>
      </c>
      <c r="H25" s="28">
        <v>0</v>
      </c>
      <c r="I25" s="28">
        <v>0</v>
      </c>
      <c r="J25" s="28">
        <v>0</v>
      </c>
      <c r="K25" s="28">
        <v>0</v>
      </c>
      <c r="L25" s="28">
        <v>0</v>
      </c>
      <c r="M25" s="28">
        <v>0</v>
      </c>
      <c r="N25" s="28">
        <v>0</v>
      </c>
      <c r="O25" s="18">
        <f t="shared" si="0"/>
        <v>0</v>
      </c>
    </row>
    <row r="26" spans="1:15" ht="15" hidden="1" customHeight="1" x14ac:dyDescent="0.2">
      <c r="A26" s="879"/>
      <c r="B26" s="19" t="s">
        <v>136</v>
      </c>
      <c r="C26" s="28">
        <v>0</v>
      </c>
      <c r="D26" s="28">
        <v>0</v>
      </c>
      <c r="E26" s="28">
        <v>0</v>
      </c>
      <c r="F26" s="28">
        <v>0</v>
      </c>
      <c r="G26" s="28">
        <v>0</v>
      </c>
      <c r="H26" s="28">
        <v>0</v>
      </c>
      <c r="I26" s="28">
        <v>0</v>
      </c>
      <c r="J26" s="28">
        <v>0</v>
      </c>
      <c r="K26" s="28">
        <v>0</v>
      </c>
      <c r="L26" s="28">
        <v>0</v>
      </c>
      <c r="M26" s="28">
        <v>0</v>
      </c>
      <c r="N26" s="28">
        <v>0</v>
      </c>
      <c r="O26" s="18">
        <f t="shared" si="0"/>
        <v>0</v>
      </c>
    </row>
    <row r="27" spans="1:15" ht="15" hidden="1" customHeight="1" x14ac:dyDescent="0.2">
      <c r="A27" s="879"/>
      <c r="B27" s="19" t="s">
        <v>137</v>
      </c>
      <c r="C27" s="28">
        <v>0</v>
      </c>
      <c r="D27" s="28">
        <v>0</v>
      </c>
      <c r="E27" s="28">
        <v>0</v>
      </c>
      <c r="F27" s="28">
        <v>0</v>
      </c>
      <c r="G27" s="28">
        <v>0</v>
      </c>
      <c r="H27" s="28">
        <v>0</v>
      </c>
      <c r="I27" s="28">
        <v>0</v>
      </c>
      <c r="J27" s="28">
        <v>0</v>
      </c>
      <c r="K27" s="28">
        <v>0</v>
      </c>
      <c r="L27" s="28">
        <v>0</v>
      </c>
      <c r="M27" s="28">
        <v>0</v>
      </c>
      <c r="N27" s="28">
        <v>0</v>
      </c>
      <c r="O27" s="18">
        <f t="shared" si="0"/>
        <v>0</v>
      </c>
    </row>
    <row r="28" spans="1:15" ht="15" hidden="1" customHeight="1" x14ac:dyDescent="0.2">
      <c r="A28" s="879"/>
      <c r="B28" s="19" t="s">
        <v>138</v>
      </c>
      <c r="C28" s="28">
        <v>0</v>
      </c>
      <c r="D28" s="28">
        <v>0</v>
      </c>
      <c r="E28" s="28">
        <v>0</v>
      </c>
      <c r="F28" s="28">
        <v>0</v>
      </c>
      <c r="G28" s="28">
        <v>0</v>
      </c>
      <c r="H28" s="28">
        <v>0</v>
      </c>
      <c r="I28" s="28">
        <v>0</v>
      </c>
      <c r="J28" s="28">
        <v>0</v>
      </c>
      <c r="K28" s="28">
        <v>0</v>
      </c>
      <c r="L28" s="28">
        <v>0</v>
      </c>
      <c r="M28" s="28">
        <v>0</v>
      </c>
      <c r="N28" s="28">
        <v>0</v>
      </c>
      <c r="O28" s="18">
        <f t="shared" si="0"/>
        <v>0</v>
      </c>
    </row>
    <row r="29" spans="1:15" ht="15" hidden="1" customHeight="1" x14ac:dyDescent="0.2">
      <c r="A29" s="879"/>
      <c r="B29" s="19" t="s">
        <v>139</v>
      </c>
      <c r="C29" s="28">
        <v>0</v>
      </c>
      <c r="D29" s="28">
        <v>0</v>
      </c>
      <c r="E29" s="28">
        <v>0</v>
      </c>
      <c r="F29" s="28">
        <v>0</v>
      </c>
      <c r="G29" s="28">
        <v>0</v>
      </c>
      <c r="H29" s="28">
        <v>0</v>
      </c>
      <c r="I29" s="28">
        <v>0</v>
      </c>
      <c r="J29" s="28">
        <v>0</v>
      </c>
      <c r="K29" s="28">
        <v>0</v>
      </c>
      <c r="L29" s="28">
        <v>0</v>
      </c>
      <c r="M29" s="28">
        <v>0</v>
      </c>
      <c r="N29" s="28">
        <v>0</v>
      </c>
      <c r="O29" s="18">
        <f t="shared" si="0"/>
        <v>0</v>
      </c>
    </row>
    <row r="30" spans="1:15" ht="15" hidden="1" customHeight="1" x14ac:dyDescent="0.2">
      <c r="A30" s="879"/>
      <c r="B30" s="19" t="s">
        <v>140</v>
      </c>
      <c r="C30" s="28">
        <v>0</v>
      </c>
      <c r="D30" s="28">
        <v>0</v>
      </c>
      <c r="E30" s="28">
        <v>0</v>
      </c>
      <c r="F30" s="28">
        <v>0</v>
      </c>
      <c r="G30" s="28">
        <v>0</v>
      </c>
      <c r="H30" s="28">
        <v>0</v>
      </c>
      <c r="I30" s="28">
        <v>0</v>
      </c>
      <c r="J30" s="28">
        <v>0</v>
      </c>
      <c r="K30" s="28">
        <v>0</v>
      </c>
      <c r="L30" s="28">
        <v>0</v>
      </c>
      <c r="M30" s="28">
        <v>0</v>
      </c>
      <c r="N30" s="28">
        <v>0</v>
      </c>
      <c r="O30" s="18">
        <f t="shared" si="0"/>
        <v>0</v>
      </c>
    </row>
    <row r="31" spans="1:15" ht="15" hidden="1" customHeight="1" x14ac:dyDescent="0.2">
      <c r="A31" s="879"/>
      <c r="B31" s="19" t="s">
        <v>225</v>
      </c>
      <c r="C31" s="28">
        <v>0</v>
      </c>
      <c r="D31" s="28">
        <v>0</v>
      </c>
      <c r="E31" s="28">
        <v>0</v>
      </c>
      <c r="F31" s="28">
        <v>0</v>
      </c>
      <c r="G31" s="28">
        <v>0</v>
      </c>
      <c r="H31" s="28">
        <v>0</v>
      </c>
      <c r="I31" s="28">
        <v>0</v>
      </c>
      <c r="J31" s="28">
        <v>0</v>
      </c>
      <c r="K31" s="28">
        <v>0</v>
      </c>
      <c r="L31" s="28">
        <v>0</v>
      </c>
      <c r="M31" s="28">
        <v>0</v>
      </c>
      <c r="N31" s="28">
        <v>0</v>
      </c>
      <c r="O31" s="18">
        <f t="shared" si="0"/>
        <v>0</v>
      </c>
    </row>
    <row r="32" spans="1:15" ht="15" customHeight="1" x14ac:dyDescent="0.2">
      <c r="A32" s="879"/>
      <c r="B32" s="21" t="s">
        <v>142</v>
      </c>
      <c r="C32" s="28">
        <v>0</v>
      </c>
      <c r="D32" s="28">
        <v>0</v>
      </c>
      <c r="E32" s="28">
        <v>0</v>
      </c>
      <c r="F32" s="28">
        <v>0</v>
      </c>
      <c r="G32" s="28">
        <v>0</v>
      </c>
      <c r="H32" s="28">
        <v>0</v>
      </c>
      <c r="I32" s="28">
        <v>0</v>
      </c>
      <c r="J32" s="28">
        <v>0</v>
      </c>
      <c r="K32" s="28">
        <v>0</v>
      </c>
      <c r="L32" s="28">
        <v>0</v>
      </c>
      <c r="M32" s="28">
        <v>0</v>
      </c>
      <c r="N32" s="28">
        <v>0</v>
      </c>
      <c r="O32" s="18">
        <f t="shared" si="0"/>
        <v>0</v>
      </c>
    </row>
    <row r="33" spans="1:17" ht="15" hidden="1" customHeight="1" x14ac:dyDescent="0.2">
      <c r="A33" s="880"/>
      <c r="B33" s="19" t="s">
        <v>226</v>
      </c>
      <c r="C33" s="28">
        <v>0</v>
      </c>
      <c r="D33" s="28">
        <v>0</v>
      </c>
      <c r="E33" s="28">
        <v>0</v>
      </c>
      <c r="F33" s="28">
        <v>0</v>
      </c>
      <c r="G33" s="28">
        <v>0</v>
      </c>
      <c r="H33" s="28">
        <v>0</v>
      </c>
      <c r="I33" s="28">
        <v>0</v>
      </c>
      <c r="J33" s="28">
        <v>0</v>
      </c>
      <c r="K33" s="28">
        <v>0</v>
      </c>
      <c r="L33" s="28">
        <v>0</v>
      </c>
      <c r="M33" s="28">
        <v>0</v>
      </c>
      <c r="N33" s="28">
        <v>0</v>
      </c>
      <c r="O33" s="18">
        <f t="shared" si="0"/>
        <v>0</v>
      </c>
    </row>
    <row r="34" spans="1:17" ht="15" customHeight="1" x14ac:dyDescent="0.2">
      <c r="A34" s="865" t="s">
        <v>143</v>
      </c>
      <c r="B34" s="866"/>
      <c r="C34" s="28">
        <v>0</v>
      </c>
      <c r="D34" s="28">
        <v>0</v>
      </c>
      <c r="E34" s="28">
        <v>0</v>
      </c>
      <c r="F34" s="28">
        <v>0</v>
      </c>
      <c r="G34" s="28">
        <v>0</v>
      </c>
      <c r="H34" s="28">
        <v>0</v>
      </c>
      <c r="I34" s="28">
        <v>0</v>
      </c>
      <c r="J34" s="28">
        <v>0</v>
      </c>
      <c r="K34" s="28">
        <v>0</v>
      </c>
      <c r="L34" s="28">
        <v>0</v>
      </c>
      <c r="M34" s="28">
        <v>0</v>
      </c>
      <c r="N34" s="28">
        <v>0</v>
      </c>
      <c r="O34" s="18">
        <f t="shared" si="0"/>
        <v>0</v>
      </c>
    </row>
    <row r="35" spans="1:17" ht="15" customHeight="1" x14ac:dyDescent="0.2">
      <c r="A35" s="865" t="s">
        <v>145</v>
      </c>
      <c r="B35" s="866"/>
      <c r="C35" s="28">
        <v>0</v>
      </c>
      <c r="D35" s="28">
        <v>81</v>
      </c>
      <c r="E35" s="28">
        <v>0</v>
      </c>
      <c r="F35" s="28">
        <v>0</v>
      </c>
      <c r="G35" s="28">
        <v>0</v>
      </c>
      <c r="H35" s="28">
        <v>0</v>
      </c>
      <c r="I35" s="28">
        <v>0</v>
      </c>
      <c r="J35" s="28">
        <v>81</v>
      </c>
      <c r="K35" s="28">
        <v>0</v>
      </c>
      <c r="L35" s="28">
        <v>0</v>
      </c>
      <c r="M35" s="28">
        <v>0</v>
      </c>
      <c r="N35" s="28">
        <v>0</v>
      </c>
      <c r="O35" s="18">
        <f t="shared" si="0"/>
        <v>162</v>
      </c>
    </row>
    <row r="36" spans="1:17" ht="15" customHeight="1" x14ac:dyDescent="0.2">
      <c r="A36" s="865" t="s">
        <v>146</v>
      </c>
      <c r="B36" s="866"/>
      <c r="C36" s="28">
        <v>0</v>
      </c>
      <c r="D36" s="28">
        <v>1194</v>
      </c>
      <c r="E36" s="28">
        <v>0</v>
      </c>
      <c r="F36" s="28">
        <v>0</v>
      </c>
      <c r="G36" s="28">
        <v>0</v>
      </c>
      <c r="H36" s="28">
        <v>0</v>
      </c>
      <c r="I36" s="28">
        <v>0</v>
      </c>
      <c r="J36" s="28">
        <v>1194</v>
      </c>
      <c r="K36" s="28">
        <v>0</v>
      </c>
      <c r="L36" s="28">
        <v>0</v>
      </c>
      <c r="M36" s="28">
        <v>0</v>
      </c>
      <c r="N36" s="28">
        <v>0</v>
      </c>
      <c r="O36" s="18">
        <f t="shared" si="0"/>
        <v>2388</v>
      </c>
    </row>
    <row r="37" spans="1:17" ht="15" customHeight="1" x14ac:dyDescent="0.2">
      <c r="A37" s="22"/>
      <c r="B37" s="23" t="s">
        <v>147</v>
      </c>
      <c r="C37" s="24">
        <f t="shared" ref="C37:N37" si="1">SUM(C9:C36)</f>
        <v>27089</v>
      </c>
      <c r="D37" s="24">
        <f t="shared" si="1"/>
        <v>28789</v>
      </c>
      <c r="E37" s="24">
        <f t="shared" si="1"/>
        <v>27514</v>
      </c>
      <c r="F37" s="24">
        <f t="shared" si="1"/>
        <v>27514</v>
      </c>
      <c r="G37" s="24">
        <f t="shared" si="1"/>
        <v>27514</v>
      </c>
      <c r="H37" s="24">
        <f t="shared" si="1"/>
        <v>27514</v>
      </c>
      <c r="I37" s="24">
        <f t="shared" si="1"/>
        <v>27514</v>
      </c>
      <c r="J37" s="24">
        <f t="shared" si="1"/>
        <v>36122</v>
      </c>
      <c r="K37" s="24">
        <f t="shared" si="1"/>
        <v>27939</v>
      </c>
      <c r="L37" s="24">
        <f t="shared" si="1"/>
        <v>27939</v>
      </c>
      <c r="M37" s="24">
        <f t="shared" si="1"/>
        <v>27939</v>
      </c>
      <c r="N37" s="24">
        <f t="shared" si="1"/>
        <v>27939</v>
      </c>
      <c r="O37" s="25">
        <f>SUM(C37:N37)</f>
        <v>341326</v>
      </c>
      <c r="Q37" s="16">
        <f>16748*2+2680+17418*5+2514+3454+18256*5</f>
        <v>220514</v>
      </c>
    </row>
    <row r="38" spans="1:17" ht="15" customHeight="1" x14ac:dyDescent="0.2">
      <c r="A38" s="853" t="s">
        <v>148</v>
      </c>
      <c r="B38" s="27" t="s">
        <v>149</v>
      </c>
      <c r="C38" s="147">
        <v>0</v>
      </c>
      <c r="D38" s="147">
        <v>0</v>
      </c>
      <c r="E38" s="147">
        <v>0</v>
      </c>
      <c r="F38" s="147">
        <v>0</v>
      </c>
      <c r="G38" s="147">
        <v>0</v>
      </c>
      <c r="H38" s="147">
        <v>0</v>
      </c>
      <c r="I38" s="147">
        <v>0</v>
      </c>
      <c r="J38" s="147">
        <v>0</v>
      </c>
      <c r="K38" s="147">
        <v>0</v>
      </c>
      <c r="L38" s="147">
        <v>0</v>
      </c>
      <c r="M38" s="147">
        <v>0</v>
      </c>
      <c r="N38" s="147">
        <v>500</v>
      </c>
      <c r="O38" s="18">
        <f>SUM(C38:N38)</f>
        <v>500</v>
      </c>
      <c r="P38" s="284"/>
    </row>
    <row r="39" spans="1:17" ht="15" x14ac:dyDescent="0.2">
      <c r="A39" s="854"/>
      <c r="B39" s="27" t="s">
        <v>150</v>
      </c>
      <c r="C39" s="147">
        <v>0</v>
      </c>
      <c r="D39" s="147">
        <v>0</v>
      </c>
      <c r="E39" s="147">
        <v>0</v>
      </c>
      <c r="F39" s="147">
        <v>0</v>
      </c>
      <c r="G39" s="147">
        <v>0</v>
      </c>
      <c r="H39" s="147">
        <v>0</v>
      </c>
      <c r="I39" s="147">
        <v>0</v>
      </c>
      <c r="J39" s="147">
        <v>0</v>
      </c>
      <c r="K39" s="147">
        <v>0</v>
      </c>
      <c r="L39" s="147">
        <v>0</v>
      </c>
      <c r="M39" s="147">
        <v>0</v>
      </c>
      <c r="N39" s="147">
        <v>0</v>
      </c>
      <c r="O39" s="18">
        <f>SUM(C39:N39)</f>
        <v>0</v>
      </c>
    </row>
    <row r="40" spans="1:17" ht="15" x14ac:dyDescent="0.2">
      <c r="A40" s="854"/>
      <c r="B40" s="27" t="s">
        <v>151</v>
      </c>
      <c r="C40" s="147">
        <v>30</v>
      </c>
      <c r="D40" s="147">
        <v>30</v>
      </c>
      <c r="E40" s="147">
        <v>30</v>
      </c>
      <c r="F40" s="147">
        <v>30</v>
      </c>
      <c r="G40" s="147">
        <v>30</v>
      </c>
      <c r="H40" s="147">
        <v>30</v>
      </c>
      <c r="I40" s="147">
        <v>30</v>
      </c>
      <c r="J40" s="147">
        <v>30</v>
      </c>
      <c r="K40" s="147">
        <v>30</v>
      </c>
      <c r="L40" s="147">
        <v>30</v>
      </c>
      <c r="M40" s="147">
        <v>30</v>
      </c>
      <c r="N40" s="147">
        <v>30</v>
      </c>
      <c r="O40" s="18">
        <f t="shared" ref="O40:O50" si="2">SUM(C40:N40)</f>
        <v>360</v>
      </c>
    </row>
    <row r="41" spans="1:17" ht="15" x14ac:dyDescent="0.2">
      <c r="A41" s="854"/>
      <c r="B41" s="27" t="s">
        <v>152</v>
      </c>
      <c r="C41" s="147">
        <v>0</v>
      </c>
      <c r="D41" s="147">
        <v>0</v>
      </c>
      <c r="E41" s="147">
        <v>0</v>
      </c>
      <c r="F41" s="147">
        <v>0</v>
      </c>
      <c r="G41" s="147">
        <v>0</v>
      </c>
      <c r="H41" s="147">
        <v>0</v>
      </c>
      <c r="I41" s="147">
        <v>0</v>
      </c>
      <c r="J41" s="147">
        <v>0</v>
      </c>
      <c r="K41" s="147">
        <v>0</v>
      </c>
      <c r="L41" s="147">
        <v>0</v>
      </c>
      <c r="M41" s="147">
        <v>0</v>
      </c>
      <c r="N41" s="147">
        <v>0</v>
      </c>
      <c r="O41" s="18">
        <f t="shared" si="2"/>
        <v>0</v>
      </c>
    </row>
    <row r="42" spans="1:17" ht="15" x14ac:dyDescent="0.2">
      <c r="A42" s="854"/>
      <c r="B42" s="27" t="s">
        <v>153</v>
      </c>
      <c r="C42" s="147">
        <v>0</v>
      </c>
      <c r="D42" s="147">
        <v>0</v>
      </c>
      <c r="E42" s="147">
        <v>0</v>
      </c>
      <c r="F42" s="147">
        <v>0</v>
      </c>
      <c r="G42" s="147">
        <v>0</v>
      </c>
      <c r="H42" s="147">
        <v>0</v>
      </c>
      <c r="I42" s="147">
        <v>0</v>
      </c>
      <c r="J42" s="147">
        <v>0</v>
      </c>
      <c r="K42" s="147">
        <v>0</v>
      </c>
      <c r="L42" s="147">
        <v>0</v>
      </c>
      <c r="M42" s="147">
        <v>0</v>
      </c>
      <c r="N42" s="147">
        <v>0</v>
      </c>
      <c r="O42" s="18">
        <f t="shared" si="2"/>
        <v>0</v>
      </c>
    </row>
    <row r="43" spans="1:17" ht="15" x14ac:dyDescent="0.2">
      <c r="A43" s="854"/>
      <c r="B43" s="27" t="s">
        <v>154</v>
      </c>
      <c r="C43" s="147">
        <v>0</v>
      </c>
      <c r="D43" s="147">
        <v>0</v>
      </c>
      <c r="E43" s="147">
        <v>0</v>
      </c>
      <c r="F43" s="147">
        <v>0</v>
      </c>
      <c r="G43" s="147">
        <v>0</v>
      </c>
      <c r="H43" s="147">
        <v>0</v>
      </c>
      <c r="I43" s="147">
        <v>0</v>
      </c>
      <c r="J43" s="147">
        <v>0</v>
      </c>
      <c r="K43" s="147">
        <v>0</v>
      </c>
      <c r="L43" s="147">
        <v>0</v>
      </c>
      <c r="M43" s="147">
        <v>0</v>
      </c>
      <c r="N43" s="147">
        <v>0</v>
      </c>
      <c r="O43" s="18">
        <f t="shared" si="2"/>
        <v>0</v>
      </c>
    </row>
    <row r="44" spans="1:17" ht="15" x14ac:dyDescent="0.2">
      <c r="A44" s="854"/>
      <c r="B44" s="27" t="s">
        <v>155</v>
      </c>
      <c r="C44" s="147">
        <v>200</v>
      </c>
      <c r="D44" s="147">
        <v>200</v>
      </c>
      <c r="E44" s="147">
        <v>200</v>
      </c>
      <c r="F44" s="147">
        <v>200</v>
      </c>
      <c r="G44" s="147">
        <v>200</v>
      </c>
      <c r="H44" s="147">
        <v>200</v>
      </c>
      <c r="I44" s="147">
        <v>200</v>
      </c>
      <c r="J44" s="147">
        <v>200</v>
      </c>
      <c r="K44" s="147">
        <v>200</v>
      </c>
      <c r="L44" s="147">
        <v>200</v>
      </c>
      <c r="M44" s="147">
        <v>200</v>
      </c>
      <c r="N44" s="147">
        <v>300</v>
      </c>
      <c r="O44" s="18">
        <f t="shared" si="2"/>
        <v>2500</v>
      </c>
    </row>
    <row r="45" spans="1:17" ht="15" x14ac:dyDescent="0.2">
      <c r="A45" s="854"/>
      <c r="B45" s="27" t="s">
        <v>156</v>
      </c>
      <c r="C45" s="147">
        <v>0</v>
      </c>
      <c r="D45" s="147">
        <v>0</v>
      </c>
      <c r="E45" s="147">
        <v>0</v>
      </c>
      <c r="F45" s="147">
        <v>0</v>
      </c>
      <c r="G45" s="147">
        <v>0</v>
      </c>
      <c r="H45" s="147">
        <v>0</v>
      </c>
      <c r="I45" s="147">
        <v>0</v>
      </c>
      <c r="J45" s="147">
        <v>0</v>
      </c>
      <c r="K45" s="147">
        <v>0</v>
      </c>
      <c r="L45" s="147">
        <v>0</v>
      </c>
      <c r="M45" s="147">
        <v>0</v>
      </c>
      <c r="N45" s="147">
        <v>0</v>
      </c>
      <c r="O45" s="18">
        <f t="shared" si="2"/>
        <v>0</v>
      </c>
    </row>
    <row r="46" spans="1:17" ht="15" x14ac:dyDescent="0.2">
      <c r="A46" s="854"/>
      <c r="B46" s="27" t="s">
        <v>157</v>
      </c>
      <c r="C46" s="147">
        <v>0</v>
      </c>
      <c r="D46" s="147">
        <v>0</v>
      </c>
      <c r="E46" s="147">
        <v>0</v>
      </c>
      <c r="F46" s="147">
        <v>0</v>
      </c>
      <c r="G46" s="147">
        <v>0</v>
      </c>
      <c r="H46" s="147">
        <v>0</v>
      </c>
      <c r="I46" s="147">
        <v>0</v>
      </c>
      <c r="J46" s="147">
        <v>0</v>
      </c>
      <c r="K46" s="147">
        <v>0</v>
      </c>
      <c r="L46" s="147">
        <v>0</v>
      </c>
      <c r="M46" s="147">
        <v>0</v>
      </c>
      <c r="N46" s="147">
        <v>0</v>
      </c>
      <c r="O46" s="18">
        <f t="shared" si="2"/>
        <v>0</v>
      </c>
    </row>
    <row r="47" spans="1:17" ht="28.5" customHeight="1" x14ac:dyDescent="0.2">
      <c r="A47" s="855"/>
      <c r="B47" s="30" t="s">
        <v>158</v>
      </c>
      <c r="C47" s="147">
        <v>3258</v>
      </c>
      <c r="D47" s="147">
        <v>3258</v>
      </c>
      <c r="E47" s="147">
        <v>3258</v>
      </c>
      <c r="F47" s="147">
        <v>3258</v>
      </c>
      <c r="G47" s="147">
        <v>3258</v>
      </c>
      <c r="H47" s="147">
        <v>3258</v>
      </c>
      <c r="I47" s="147">
        <v>3258</v>
      </c>
      <c r="J47" s="147">
        <v>3258</v>
      </c>
      <c r="K47" s="147">
        <v>0</v>
      </c>
      <c r="L47" s="147">
        <v>0</v>
      </c>
      <c r="M47" s="147">
        <v>0</v>
      </c>
      <c r="N47" s="147">
        <v>0</v>
      </c>
      <c r="O47" s="31">
        <f t="shared" si="2"/>
        <v>26064</v>
      </c>
    </row>
    <row r="48" spans="1:17" ht="30" x14ac:dyDescent="0.2">
      <c r="A48" s="856"/>
      <c r="B48" s="127" t="s">
        <v>228</v>
      </c>
      <c r="C48" s="147">
        <v>0</v>
      </c>
      <c r="D48" s="147">
        <v>0</v>
      </c>
      <c r="E48" s="147">
        <v>0</v>
      </c>
      <c r="F48" s="147">
        <v>0</v>
      </c>
      <c r="G48" s="147">
        <v>0</v>
      </c>
      <c r="H48" s="147">
        <v>0</v>
      </c>
      <c r="I48" s="147">
        <v>0</v>
      </c>
      <c r="J48" s="147">
        <v>0</v>
      </c>
      <c r="K48" s="147">
        <v>0</v>
      </c>
      <c r="L48" s="147">
        <v>0</v>
      </c>
      <c r="M48" s="147">
        <v>0</v>
      </c>
      <c r="N48" s="147">
        <v>0</v>
      </c>
      <c r="O48" s="31">
        <f t="shared" si="2"/>
        <v>0</v>
      </c>
    </row>
    <row r="49" spans="1:19" ht="15" x14ac:dyDescent="0.2">
      <c r="A49" s="857" t="s">
        <v>160</v>
      </c>
      <c r="B49" s="858"/>
      <c r="C49" s="33">
        <f t="shared" ref="C49:M49" si="3">SUM(C38:C48)</f>
        <v>3488</v>
      </c>
      <c r="D49" s="33">
        <f t="shared" si="3"/>
        <v>3488</v>
      </c>
      <c r="E49" s="33">
        <f t="shared" si="3"/>
        <v>3488</v>
      </c>
      <c r="F49" s="33">
        <f t="shared" si="3"/>
        <v>3488</v>
      </c>
      <c r="G49" s="33">
        <v>3488</v>
      </c>
      <c r="H49" s="33">
        <v>3488</v>
      </c>
      <c r="I49" s="33">
        <f t="shared" si="3"/>
        <v>3488</v>
      </c>
      <c r="J49" s="33">
        <f t="shared" si="3"/>
        <v>3488</v>
      </c>
      <c r="K49" s="33">
        <f t="shared" si="3"/>
        <v>230</v>
      </c>
      <c r="L49" s="33">
        <f t="shared" si="3"/>
        <v>230</v>
      </c>
      <c r="M49" s="33">
        <f t="shared" si="3"/>
        <v>230</v>
      </c>
      <c r="N49" s="33">
        <f>SUM(N38:N48)</f>
        <v>830</v>
      </c>
      <c r="O49" s="34">
        <f>SUM(C49:N49)</f>
        <v>29424</v>
      </c>
    </row>
    <row r="50" spans="1:19" ht="15.75" thickBot="1" x14ac:dyDescent="0.25">
      <c r="A50" s="859" t="s">
        <v>161</v>
      </c>
      <c r="B50" s="860"/>
      <c r="C50" s="35">
        <f t="shared" ref="C50:N50" si="4">C37-C49</f>
        <v>23601</v>
      </c>
      <c r="D50" s="35">
        <f t="shared" si="4"/>
        <v>25301</v>
      </c>
      <c r="E50" s="35">
        <f t="shared" si="4"/>
        <v>24026</v>
      </c>
      <c r="F50" s="35">
        <f t="shared" si="4"/>
        <v>24026</v>
      </c>
      <c r="G50" s="35">
        <f t="shared" si="4"/>
        <v>24026</v>
      </c>
      <c r="H50" s="35">
        <f t="shared" si="4"/>
        <v>24026</v>
      </c>
      <c r="I50" s="35">
        <f t="shared" si="4"/>
        <v>24026</v>
      </c>
      <c r="J50" s="35">
        <f t="shared" si="4"/>
        <v>32634</v>
      </c>
      <c r="K50" s="35">
        <f t="shared" si="4"/>
        <v>27709</v>
      </c>
      <c r="L50" s="35">
        <f t="shared" si="4"/>
        <v>27709</v>
      </c>
      <c r="M50" s="35">
        <f t="shared" si="4"/>
        <v>27709</v>
      </c>
      <c r="N50" s="35">
        <f t="shared" si="4"/>
        <v>27109</v>
      </c>
      <c r="O50" s="36">
        <f t="shared" si="2"/>
        <v>311902</v>
      </c>
      <c r="Q50" s="16">
        <f>12885+12885+2680+13555*5+2514+3454+14393+14393*3+14293</f>
        <v>174058</v>
      </c>
    </row>
    <row r="51" spans="1:19" x14ac:dyDescent="0.2">
      <c r="J51" s="128">
        <f>+J37-SUM(J22:J36)</f>
        <v>27939</v>
      </c>
      <c r="Q51" s="38"/>
    </row>
    <row r="52" spans="1:19" ht="13.5" thickBot="1" x14ac:dyDescent="0.25">
      <c r="J52" s="38">
        <f>+J51-J49</f>
        <v>24451</v>
      </c>
    </row>
    <row r="53" spans="1:19" ht="13.5" thickBot="1" x14ac:dyDescent="0.25">
      <c r="B53" s="789" t="s">
        <v>162</v>
      </c>
      <c r="C53" s="861"/>
      <c r="D53" s="861"/>
      <c r="E53" s="861"/>
      <c r="F53" s="862"/>
      <c r="G53" s="863">
        <f>O37</f>
        <v>341326</v>
      </c>
      <c r="H53" s="864"/>
    </row>
    <row r="54" spans="1:19" ht="13.5" thickBot="1" x14ac:dyDescent="0.25"/>
    <row r="55" spans="1:19" x14ac:dyDescent="0.2">
      <c r="B55" s="830" t="s">
        <v>163</v>
      </c>
      <c r="C55" s="833" t="s">
        <v>164</v>
      </c>
      <c r="D55" s="836" t="s">
        <v>1673</v>
      </c>
      <c r="E55" s="837"/>
      <c r="F55" s="838"/>
      <c r="G55" s="839">
        <v>40000</v>
      </c>
      <c r="H55" s="840"/>
    </row>
    <row r="56" spans="1:19" x14ac:dyDescent="0.2">
      <c r="B56" s="831"/>
      <c r="C56" s="834"/>
      <c r="D56" s="841" t="s">
        <v>166</v>
      </c>
      <c r="E56" s="842"/>
      <c r="F56" s="843"/>
      <c r="G56" s="844">
        <f>+O44</f>
        <v>2500</v>
      </c>
      <c r="H56" s="845"/>
      <c r="I56" s="39"/>
      <c r="J56" s="846"/>
      <c r="K56" s="846"/>
      <c r="L56" s="846"/>
      <c r="M56" s="847"/>
      <c r="N56" s="847"/>
      <c r="O56" s="847"/>
    </row>
    <row r="57" spans="1:19" ht="13.5" thickBot="1" x14ac:dyDescent="0.25">
      <c r="B57" s="832"/>
      <c r="C57" s="835"/>
      <c r="D57" s="848" t="s">
        <v>266</v>
      </c>
      <c r="E57" s="849"/>
      <c r="F57" s="850"/>
      <c r="G57" s="851">
        <v>0</v>
      </c>
      <c r="H57" s="852"/>
      <c r="J57" s="47"/>
      <c r="K57" s="47"/>
      <c r="L57" s="47"/>
      <c r="M57" s="47"/>
      <c r="N57" s="47"/>
      <c r="O57" s="47"/>
    </row>
    <row r="58" spans="1:19" ht="13.5" thickBot="1" x14ac:dyDescent="0.25">
      <c r="B58" s="48"/>
      <c r="J58" s="47"/>
      <c r="K58" s="47"/>
      <c r="L58" s="47"/>
      <c r="M58" s="47"/>
      <c r="N58" s="47"/>
      <c r="O58" s="47"/>
    </row>
    <row r="59" spans="1:19" ht="13.5" thickBot="1" x14ac:dyDescent="0.25">
      <c r="B59" s="789" t="s">
        <v>168</v>
      </c>
      <c r="C59" s="790"/>
      <c r="D59" s="790"/>
      <c r="E59" s="790"/>
      <c r="F59" s="791"/>
      <c r="G59" s="825">
        <f>+G53-SUM(G55:H57)</f>
        <v>298826</v>
      </c>
      <c r="H59" s="826"/>
      <c r="J59" s="827" t="s">
        <v>169</v>
      </c>
      <c r="K59" s="828"/>
      <c r="L59" s="828"/>
      <c r="M59" s="828"/>
      <c r="N59" s="828"/>
      <c r="O59" s="829"/>
    </row>
    <row r="60" spans="1:19" ht="13.5" thickBot="1" x14ac:dyDescent="0.25">
      <c r="B60" s="49"/>
      <c r="C60" s="50"/>
      <c r="D60" s="50"/>
      <c r="E60" s="50"/>
      <c r="F60" s="50"/>
      <c r="G60" s="45"/>
      <c r="H60" s="50"/>
      <c r="J60" s="129"/>
      <c r="K60" s="130"/>
      <c r="L60" s="130"/>
      <c r="M60" s="130"/>
      <c r="N60" s="130"/>
      <c r="O60" s="131"/>
    </row>
    <row r="61" spans="1:19" ht="13.5" thickBot="1" x14ac:dyDescent="0.25">
      <c r="B61" s="789" t="s">
        <v>170</v>
      </c>
      <c r="C61" s="790"/>
      <c r="D61" s="790"/>
      <c r="E61" s="790"/>
      <c r="F61" s="791"/>
      <c r="G61" s="805"/>
      <c r="H61" s="791"/>
      <c r="J61" s="129"/>
      <c r="K61" s="130"/>
      <c r="L61" s="130"/>
      <c r="M61" s="130"/>
      <c r="N61" s="130"/>
      <c r="O61" s="131"/>
    </row>
    <row r="62" spans="1:19" ht="12.75" customHeight="1" x14ac:dyDescent="0.2">
      <c r="B62" s="57" t="s">
        <v>171</v>
      </c>
      <c r="C62" s="806" t="s">
        <v>172</v>
      </c>
      <c r="D62" s="807"/>
      <c r="E62" s="807"/>
      <c r="F62" s="808"/>
      <c r="G62" s="809">
        <v>0</v>
      </c>
      <c r="H62" s="809"/>
      <c r="I62" s="58"/>
      <c r="J62" s="810" t="s">
        <v>173</v>
      </c>
      <c r="K62" s="811"/>
      <c r="L62" s="811"/>
      <c r="M62" s="811"/>
      <c r="N62" s="811"/>
      <c r="O62" s="812"/>
      <c r="Q62" s="59"/>
      <c r="R62" s="59"/>
      <c r="S62" s="59"/>
    </row>
    <row r="63" spans="1:19" ht="13.5" thickBot="1" x14ac:dyDescent="0.25">
      <c r="D63" s="37"/>
      <c r="I63" s="58"/>
      <c r="J63" s="60" t="s">
        <v>254</v>
      </c>
      <c r="K63" s="132"/>
      <c r="L63" s="132"/>
      <c r="M63" s="133"/>
      <c r="N63" s="133"/>
      <c r="O63" s="134"/>
      <c r="Q63" s="59"/>
      <c r="R63" s="59"/>
      <c r="S63" s="59"/>
    </row>
    <row r="64" spans="1:19" ht="13.5" thickBot="1" x14ac:dyDescent="0.25">
      <c r="B64" s="789" t="s">
        <v>175</v>
      </c>
      <c r="C64" s="790"/>
      <c r="D64" s="790"/>
      <c r="E64" s="790"/>
      <c r="F64" s="791"/>
      <c r="G64" s="805">
        <f>+G59-G62</f>
        <v>298826</v>
      </c>
      <c r="H64" s="791"/>
      <c r="I64" s="63"/>
      <c r="J64" s="64"/>
      <c r="K64" s="39"/>
      <c r="L64" s="39"/>
      <c r="M64" s="39"/>
      <c r="N64" s="39"/>
      <c r="O64" s="65"/>
      <c r="Q64" s="59"/>
      <c r="R64" s="59"/>
      <c r="S64" s="59"/>
    </row>
    <row r="65" spans="2:19" ht="12.75" customHeight="1" x14ac:dyDescent="0.2">
      <c r="B65" s="48"/>
      <c r="C65" s="48"/>
      <c r="I65" s="63"/>
      <c r="J65" s="64"/>
      <c r="K65" s="39"/>
      <c r="L65" s="39"/>
      <c r="M65" s="39"/>
      <c r="N65" s="39"/>
      <c r="O65" s="65"/>
      <c r="Q65" s="59"/>
      <c r="R65" s="59"/>
      <c r="S65" s="59"/>
    </row>
    <row r="66" spans="2:19" x14ac:dyDescent="0.2">
      <c r="B66" s="66" t="s">
        <v>176</v>
      </c>
      <c r="C66" s="48"/>
      <c r="I66" s="63"/>
      <c r="J66" s="67"/>
      <c r="K66" s="68"/>
      <c r="L66" s="68"/>
      <c r="M66" s="68"/>
      <c r="N66" s="68"/>
      <c r="O66" s="69"/>
      <c r="Q66" s="59"/>
      <c r="R66" s="59"/>
      <c r="S66" s="59"/>
    </row>
    <row r="67" spans="2:19" ht="26.25" customHeight="1" thickBot="1" x14ac:dyDescent="0.25">
      <c r="B67" s="66"/>
      <c r="C67" s="48"/>
      <c r="G67" s="70" t="s">
        <v>177</v>
      </c>
      <c r="H67" s="70" t="s">
        <v>178</v>
      </c>
      <c r="I67" s="63"/>
      <c r="J67" s="810" t="s">
        <v>179</v>
      </c>
      <c r="K67" s="811"/>
      <c r="L67" s="71"/>
      <c r="M67" s="71"/>
      <c r="N67" s="71"/>
      <c r="O67" s="72"/>
      <c r="Q67" s="59"/>
      <c r="R67" s="59"/>
      <c r="S67" s="59"/>
    </row>
    <row r="68" spans="2:19" ht="12.75" customHeight="1" x14ac:dyDescent="0.2">
      <c r="B68" s="802" t="s">
        <v>180</v>
      </c>
      <c r="C68" s="821" t="s">
        <v>181</v>
      </c>
      <c r="D68" s="823" t="s">
        <v>182</v>
      </c>
      <c r="E68" s="824"/>
      <c r="F68" s="824"/>
      <c r="G68" s="73">
        <f>+O43</f>
        <v>0</v>
      </c>
      <c r="H68" s="74">
        <f t="shared" ref="H68:H76" si="5">+G68</f>
        <v>0</v>
      </c>
      <c r="I68" s="63"/>
      <c r="J68" s="75" t="s">
        <v>231</v>
      </c>
      <c r="K68" s="58"/>
      <c r="L68" s="58"/>
      <c r="M68" s="135" t="s">
        <v>232</v>
      </c>
      <c r="N68" s="58"/>
      <c r="O68" s="76">
        <f>+O47</f>
        <v>26064</v>
      </c>
      <c r="Q68" s="59"/>
      <c r="R68" s="59"/>
      <c r="S68" s="59"/>
    </row>
    <row r="69" spans="2:19" ht="12.75" customHeight="1" x14ac:dyDescent="0.2">
      <c r="B69" s="803"/>
      <c r="C69" s="822"/>
      <c r="D69" s="782" t="s">
        <v>184</v>
      </c>
      <c r="E69" s="783"/>
      <c r="F69" s="783"/>
      <c r="G69" s="77">
        <f>+O47</f>
        <v>26064</v>
      </c>
      <c r="H69" s="78">
        <f t="shared" si="5"/>
        <v>26064</v>
      </c>
      <c r="I69" s="63"/>
      <c r="J69" s="79"/>
      <c r="K69" s="68"/>
      <c r="L69" s="68"/>
      <c r="M69" s="68"/>
      <c r="N69" s="68"/>
      <c r="O69" s="69"/>
      <c r="Q69" s="59"/>
      <c r="R69" s="59"/>
      <c r="S69" s="59"/>
    </row>
    <row r="70" spans="2:19" ht="12.75" customHeight="1" x14ac:dyDescent="0.2">
      <c r="B70" s="803"/>
      <c r="C70" s="822"/>
      <c r="D70" s="819" t="s">
        <v>185</v>
      </c>
      <c r="E70" s="820"/>
      <c r="F70" s="820"/>
      <c r="G70" s="80">
        <f>O40</f>
        <v>360</v>
      </c>
      <c r="H70" s="78">
        <f t="shared" si="5"/>
        <v>360</v>
      </c>
      <c r="I70" s="63"/>
      <c r="J70" s="67"/>
      <c r="K70" s="68"/>
      <c r="L70" s="68"/>
      <c r="M70" s="68"/>
      <c r="N70" s="68"/>
      <c r="O70" s="69"/>
    </row>
    <row r="71" spans="2:19" x14ac:dyDescent="0.2">
      <c r="B71" s="803"/>
      <c r="C71" s="822"/>
      <c r="D71" s="782" t="s">
        <v>186</v>
      </c>
      <c r="E71" s="783"/>
      <c r="F71" s="783"/>
      <c r="G71" s="81">
        <v>0</v>
      </c>
      <c r="H71" s="78">
        <f t="shared" si="5"/>
        <v>0</v>
      </c>
      <c r="I71" s="63"/>
      <c r="J71" s="82" t="s">
        <v>187</v>
      </c>
      <c r="K71" s="71"/>
      <c r="L71" s="71"/>
      <c r="M71" s="71"/>
      <c r="N71" s="71"/>
      <c r="O71" s="72"/>
    </row>
    <row r="72" spans="2:19" ht="12.75" customHeight="1" x14ac:dyDescent="0.2">
      <c r="B72" s="803"/>
      <c r="C72" s="822"/>
      <c r="D72" s="784" t="s">
        <v>188</v>
      </c>
      <c r="E72" s="783"/>
      <c r="F72" s="783"/>
      <c r="G72" s="80">
        <v>0</v>
      </c>
      <c r="H72" s="78">
        <f t="shared" si="5"/>
        <v>0</v>
      </c>
      <c r="I72" s="63"/>
      <c r="J72" s="75" t="s">
        <v>189</v>
      </c>
      <c r="K72" s="50"/>
      <c r="L72" s="50"/>
      <c r="M72" s="50"/>
      <c r="N72" s="50"/>
      <c r="O72" s="83">
        <v>0</v>
      </c>
    </row>
    <row r="73" spans="2:19" ht="14.25" customHeight="1" x14ac:dyDescent="0.2">
      <c r="B73" s="803"/>
      <c r="C73" s="822"/>
      <c r="D73" s="782" t="s">
        <v>190</v>
      </c>
      <c r="E73" s="783"/>
      <c r="F73" s="783"/>
      <c r="G73" s="84">
        <v>0</v>
      </c>
      <c r="H73" s="78">
        <f t="shared" si="5"/>
        <v>0</v>
      </c>
      <c r="I73" s="63"/>
      <c r="J73" s="64"/>
      <c r="K73" s="39"/>
      <c r="L73" s="39"/>
      <c r="M73" s="39"/>
      <c r="N73" s="39"/>
      <c r="O73" s="65"/>
    </row>
    <row r="74" spans="2:19" x14ac:dyDescent="0.2">
      <c r="B74" s="803"/>
      <c r="C74" s="822"/>
      <c r="D74" s="782" t="s">
        <v>191</v>
      </c>
      <c r="E74" s="783"/>
      <c r="F74" s="783"/>
      <c r="G74" s="81">
        <v>0</v>
      </c>
      <c r="H74" s="78">
        <f t="shared" si="5"/>
        <v>0</v>
      </c>
      <c r="I74" s="58"/>
      <c r="J74" s="150"/>
      <c r="K74" s="50"/>
      <c r="L74" s="50"/>
      <c r="M74" s="50"/>
      <c r="N74" s="50"/>
      <c r="O74" s="83"/>
    </row>
    <row r="75" spans="2:19" x14ac:dyDescent="0.2">
      <c r="B75" s="803"/>
      <c r="C75" s="88" t="s">
        <v>192</v>
      </c>
      <c r="D75" s="813" t="s">
        <v>193</v>
      </c>
      <c r="E75" s="814"/>
      <c r="F75" s="814"/>
      <c r="G75" s="80">
        <v>0</v>
      </c>
      <c r="H75" s="78">
        <f t="shared" si="5"/>
        <v>0</v>
      </c>
      <c r="I75" s="58"/>
      <c r="J75" s="79"/>
      <c r="K75" s="39"/>
      <c r="L75" s="39"/>
      <c r="M75" s="39"/>
      <c r="N75" s="39"/>
      <c r="O75" s="65"/>
    </row>
    <row r="76" spans="2:19" ht="13.5" customHeight="1" thickBot="1" x14ac:dyDescent="0.25">
      <c r="B76" s="803"/>
      <c r="C76" s="88" t="s">
        <v>194</v>
      </c>
      <c r="D76" s="815" t="s">
        <v>195</v>
      </c>
      <c r="E76" s="815"/>
      <c r="F76" s="815"/>
      <c r="G76" s="89">
        <v>0</v>
      </c>
      <c r="H76" s="90">
        <f t="shared" si="5"/>
        <v>0</v>
      </c>
      <c r="I76" s="63"/>
      <c r="J76" s="67"/>
      <c r="K76" s="68"/>
      <c r="L76" s="68"/>
      <c r="M76" s="91"/>
      <c r="N76" s="91"/>
      <c r="O76" s="92"/>
    </row>
    <row r="77" spans="2:19" ht="13.5" thickBot="1" x14ac:dyDescent="0.25">
      <c r="B77" s="803"/>
      <c r="C77" s="93"/>
      <c r="D77" s="94"/>
      <c r="E77" s="816" t="s">
        <v>117</v>
      </c>
      <c r="F77" s="817"/>
      <c r="G77" s="95">
        <f>SUM(G68:G76)</f>
        <v>26424</v>
      </c>
      <c r="H77" s="96">
        <f>IF(SUM(G68:G74)&lt;150000,SUM(G68:G74),150000)+IF(+G75&lt;20000,+G75,20000)</f>
        <v>26424</v>
      </c>
      <c r="I77" s="63"/>
      <c r="J77" s="140"/>
      <c r="K77" s="141"/>
      <c r="L77" s="141"/>
      <c r="M77" s="142"/>
      <c r="N77" s="142"/>
      <c r="O77" s="143"/>
    </row>
    <row r="78" spans="2:19" ht="12.75" customHeight="1" x14ac:dyDescent="0.2">
      <c r="B78" s="803"/>
      <c r="C78" s="100" t="s">
        <v>196</v>
      </c>
      <c r="D78" s="782" t="s">
        <v>187</v>
      </c>
      <c r="E78" s="783"/>
      <c r="F78" s="818"/>
      <c r="G78" s="73">
        <f>+O42</f>
        <v>0</v>
      </c>
      <c r="H78" s="101">
        <f>+IF(+G78&lt;25000,+G78,25000)</f>
        <v>0</v>
      </c>
      <c r="I78" s="87"/>
    </row>
    <row r="79" spans="2:19" x14ac:dyDescent="0.2">
      <c r="B79" s="803"/>
      <c r="C79" s="100" t="s">
        <v>197</v>
      </c>
      <c r="D79" s="784" t="s">
        <v>198</v>
      </c>
      <c r="E79" s="785"/>
      <c r="F79" s="786"/>
      <c r="G79" s="102"/>
      <c r="H79" s="103">
        <f>+IF(+G79&lt;40000,+G79,40000)</f>
        <v>0</v>
      </c>
      <c r="I79" s="63"/>
    </row>
    <row r="80" spans="2:19" x14ac:dyDescent="0.2">
      <c r="B80" s="803"/>
      <c r="C80" s="100" t="s">
        <v>199</v>
      </c>
      <c r="D80" s="784" t="s">
        <v>200</v>
      </c>
      <c r="E80" s="785"/>
      <c r="F80" s="786"/>
      <c r="G80" s="81"/>
      <c r="H80" s="104">
        <v>0</v>
      </c>
      <c r="I80" s="63"/>
      <c r="J80" s="416"/>
      <c r="K80" s="416"/>
      <c r="L80" s="416"/>
      <c r="M80" s="416"/>
    </row>
    <row r="81" spans="2:12" x14ac:dyDescent="0.2">
      <c r="B81" s="803"/>
      <c r="C81" s="100" t="s">
        <v>201</v>
      </c>
      <c r="D81" s="784" t="s">
        <v>202</v>
      </c>
      <c r="E81" s="785"/>
      <c r="F81" s="786"/>
      <c r="G81" s="81"/>
      <c r="H81" s="104">
        <v>0</v>
      </c>
      <c r="I81" s="63"/>
    </row>
    <row r="82" spans="2:12" ht="13.5" thickBot="1" x14ac:dyDescent="0.25">
      <c r="B82" s="804"/>
      <c r="C82" s="100" t="s">
        <v>203</v>
      </c>
      <c r="D82" s="784" t="s">
        <v>204</v>
      </c>
      <c r="E82" s="785"/>
      <c r="F82" s="786"/>
      <c r="G82" s="102"/>
      <c r="H82" s="103">
        <f>+IF(+G82&lt;100000,+G82,10000)</f>
        <v>0</v>
      </c>
      <c r="I82" s="63"/>
    </row>
    <row r="83" spans="2:12" ht="13.5" thickBot="1" x14ac:dyDescent="0.25">
      <c r="B83" s="787" t="s">
        <v>205</v>
      </c>
      <c r="C83" s="788"/>
      <c r="D83" s="788"/>
      <c r="E83" s="788"/>
      <c r="F83" s="788"/>
      <c r="G83" s="107">
        <f>SUM(G78:G82)</f>
        <v>0</v>
      </c>
      <c r="H83" s="108">
        <f>SUM(H77:H82)</f>
        <v>26424</v>
      </c>
    </row>
    <row r="84" spans="2:12" ht="13.5" thickBot="1" x14ac:dyDescent="0.25"/>
    <row r="85" spans="2:12" ht="13.5" thickBot="1" x14ac:dyDescent="0.25">
      <c r="B85" s="789" t="s">
        <v>206</v>
      </c>
      <c r="C85" s="790"/>
      <c r="D85" s="790"/>
      <c r="E85" s="790"/>
      <c r="F85" s="791"/>
      <c r="G85" s="487"/>
      <c r="H85" s="488">
        <f>ROUND(+G64-H83,-1)</f>
        <v>272400</v>
      </c>
      <c r="J85" s="109">
        <f>C37+D37+E37+F37</f>
        <v>110906</v>
      </c>
      <c r="K85" s="16" t="s">
        <v>235</v>
      </c>
    </row>
    <row r="86" spans="2:12" x14ac:dyDescent="0.2">
      <c r="B86" s="110"/>
      <c r="F86" s="105"/>
      <c r="J86" s="109">
        <f>G37+H37+I37</f>
        <v>82542</v>
      </c>
      <c r="K86" s="16" t="s">
        <v>236</v>
      </c>
    </row>
    <row r="87" spans="2:12" x14ac:dyDescent="0.2">
      <c r="C87" s="793" t="s">
        <v>207</v>
      </c>
      <c r="D87" s="794"/>
      <c r="E87" s="111" t="s">
        <v>208</v>
      </c>
      <c r="F87" s="111" t="s">
        <v>209</v>
      </c>
      <c r="G87" s="111" t="s">
        <v>210</v>
      </c>
      <c r="H87" s="111" t="s">
        <v>211</v>
      </c>
      <c r="J87" s="109">
        <f>J37+K37+L37</f>
        <v>92000</v>
      </c>
      <c r="K87" s="47" t="s">
        <v>237</v>
      </c>
    </row>
    <row r="88" spans="2:12" x14ac:dyDescent="0.2">
      <c r="C88" s="795" t="str">
        <f>IF(I6="M","0          - 250000","0          -  250000")</f>
        <v>0          -  250000</v>
      </c>
      <c r="D88" s="796"/>
      <c r="E88" s="112">
        <v>0</v>
      </c>
      <c r="F88" s="113">
        <f>IF(I6="M",(IF(H85&lt;250000,H85,250000)),(IF(H85&lt;250000,H85,250000)))</f>
        <v>250000</v>
      </c>
      <c r="G88" s="113">
        <f>H85-F88</f>
        <v>22400</v>
      </c>
      <c r="H88" s="113">
        <f>E88*F88</f>
        <v>0</v>
      </c>
      <c r="J88" s="16">
        <f>M37+N37</f>
        <v>55878</v>
      </c>
      <c r="K88" s="1" t="s">
        <v>238</v>
      </c>
    </row>
    <row r="89" spans="2:12" x14ac:dyDescent="0.2">
      <c r="C89" s="795" t="str">
        <f>IF(I6="M","250001 - 500000","250001-500000")</f>
        <v>250001-500000</v>
      </c>
      <c r="D89" s="796"/>
      <c r="E89" s="112">
        <v>0.05</v>
      </c>
      <c r="F89" s="113">
        <f>IF(I6="M",(IF(G88&lt;250000,G88,250000)),(IF(G88&lt;250000,G88,250000)))</f>
        <v>22400</v>
      </c>
      <c r="G89" s="113">
        <f>G88-F89</f>
        <v>0</v>
      </c>
      <c r="H89" s="114">
        <f>ROUND(E89*F89,0.1)</f>
        <v>1120</v>
      </c>
      <c r="J89" s="115">
        <f>SUM(J85:J88)</f>
        <v>341326</v>
      </c>
    </row>
    <row r="90" spans="2:12" x14ac:dyDescent="0.2">
      <c r="C90" s="797" t="s">
        <v>212</v>
      </c>
      <c r="D90" s="798"/>
      <c r="E90" s="112">
        <v>0.2</v>
      </c>
      <c r="F90" s="113">
        <f>IF(G89&lt;500000,G89,500000)</f>
        <v>0</v>
      </c>
      <c r="G90" s="113">
        <f>G89-F90</f>
        <v>0</v>
      </c>
      <c r="H90" s="114">
        <f>ROUND(E90*F90,0.1)</f>
        <v>0</v>
      </c>
      <c r="J90" s="16">
        <f>+G85</f>
        <v>0</v>
      </c>
    </row>
    <row r="91" spans="2:12" x14ac:dyDescent="0.2">
      <c r="C91" s="795" t="s">
        <v>213</v>
      </c>
      <c r="D91" s="796"/>
      <c r="E91" s="112">
        <v>0.3</v>
      </c>
      <c r="F91" s="113">
        <f>G90</f>
        <v>0</v>
      </c>
      <c r="G91" s="113">
        <f>G90-F91</f>
        <v>0</v>
      </c>
      <c r="H91" s="114">
        <f>ROUND(E91*F91,0.1)</f>
        <v>0</v>
      </c>
      <c r="J91" s="16">
        <f>+J89-J90</f>
        <v>341326</v>
      </c>
    </row>
    <row r="92" spans="2:12" ht="12.75" customHeight="1" thickBot="1" x14ac:dyDescent="0.25">
      <c r="B92" s="116"/>
      <c r="C92" s="117"/>
      <c r="D92" s="47"/>
      <c r="E92" s="47"/>
      <c r="F92" s="47"/>
      <c r="J92" s="16">
        <f>ROUND(+G85/12,0.1)</f>
        <v>0</v>
      </c>
      <c r="K92" s="223"/>
    </row>
    <row r="93" spans="2:12" ht="13.5" thickBot="1" x14ac:dyDescent="0.25">
      <c r="B93" s="799" t="s">
        <v>239</v>
      </c>
      <c r="C93" s="800"/>
      <c r="D93" s="800"/>
      <c r="E93" s="800"/>
      <c r="F93" s="801"/>
      <c r="G93" s="771">
        <f>H88+H89+H90+H91</f>
        <v>1120</v>
      </c>
      <c r="H93" s="772"/>
    </row>
    <row r="94" spans="2:12" ht="13.5" thickBot="1" x14ac:dyDescent="0.25">
      <c r="B94" s="119" t="s">
        <v>215</v>
      </c>
      <c r="C94" s="120"/>
      <c r="D94" s="120"/>
      <c r="E94" s="120"/>
      <c r="F94" s="120"/>
      <c r="G94" s="884">
        <f>IF(H85&lt;350000,2500,0)</f>
        <v>2500</v>
      </c>
      <c r="H94" s="885">
        <f>IF(H92&lt;200000,0,IF(H92&lt;220000,((H92-200000)*10%),IF(H92&lt;=500000,2000,IF(H92&gt;=500000,0))))</f>
        <v>0</v>
      </c>
      <c r="J94" s="1"/>
      <c r="K94" s="121"/>
      <c r="L94" s="121"/>
    </row>
    <row r="95" spans="2:12" ht="13.5" thickBot="1" x14ac:dyDescent="0.25">
      <c r="B95" s="122" t="s">
        <v>216</v>
      </c>
      <c r="C95" s="123"/>
      <c r="D95" s="123"/>
      <c r="E95" s="123"/>
      <c r="F95" s="123"/>
      <c r="G95" s="771">
        <f>IF((G93-G94)&lt;0,0,(G93-G94))</f>
        <v>0</v>
      </c>
      <c r="H95" s="772"/>
      <c r="I95" s="37"/>
    </row>
    <row r="96" spans="2:12" ht="13.5" thickBot="1" x14ac:dyDescent="0.25">
      <c r="B96" s="773" t="s">
        <v>240</v>
      </c>
      <c r="C96" s="774"/>
      <c r="D96" s="774"/>
      <c r="E96" s="774"/>
      <c r="F96" s="775"/>
      <c r="G96" s="776">
        <f>ROUND((IF(G95&gt;0,(G95*4%),0)),0)</f>
        <v>0</v>
      </c>
      <c r="H96" s="777"/>
      <c r="I96" s="37"/>
    </row>
    <row r="97" spans="2:9" ht="13.5" thickBot="1" x14ac:dyDescent="0.25">
      <c r="B97" s="778" t="s">
        <v>218</v>
      </c>
      <c r="C97" s="779"/>
      <c r="D97" s="779"/>
      <c r="E97" s="779"/>
      <c r="F97" s="779"/>
      <c r="G97" s="780">
        <f>+G95+G96</f>
        <v>0</v>
      </c>
      <c r="H97" s="781"/>
      <c r="I97" s="121"/>
    </row>
    <row r="98" spans="2:9" ht="13.5" thickBot="1" x14ac:dyDescent="0.25">
      <c r="B98" s="765" t="s">
        <v>219</v>
      </c>
      <c r="C98" s="766"/>
      <c r="D98" s="766"/>
      <c r="E98" s="766"/>
      <c r="F98" s="766"/>
      <c r="G98" s="767">
        <f>O38</f>
        <v>500</v>
      </c>
      <c r="H98" s="768"/>
      <c r="I98" s="121"/>
    </row>
    <row r="99" spans="2:9" ht="13.5" thickBot="1" x14ac:dyDescent="0.25">
      <c r="B99" s="765" t="str">
        <f>IF(G99&gt;0,"TAX PAYABLE","TAX REFUND")</f>
        <v>TAX REFUND</v>
      </c>
      <c r="C99" s="766"/>
      <c r="D99" s="766"/>
      <c r="E99" s="766"/>
      <c r="F99" s="766"/>
      <c r="G99" s="767">
        <f>+G97-G98</f>
        <v>-500</v>
      </c>
      <c r="H99" s="768"/>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2">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2:F72"/>
    <mergeCell ref="G61:H61"/>
    <mergeCell ref="C62:F62"/>
    <mergeCell ref="G62:H62"/>
    <mergeCell ref="B61:F61"/>
    <mergeCell ref="C88:D88"/>
    <mergeCell ref="D73:F73"/>
    <mergeCell ref="D74:F74"/>
    <mergeCell ref="D81:F81"/>
    <mergeCell ref="D82:F82"/>
    <mergeCell ref="B83:F83"/>
    <mergeCell ref="B85:F85"/>
    <mergeCell ref="C87:D87"/>
    <mergeCell ref="B99:F99"/>
    <mergeCell ref="G99:H99"/>
    <mergeCell ref="G95:H95"/>
    <mergeCell ref="B96:F96"/>
    <mergeCell ref="G96:H96"/>
    <mergeCell ref="B97:F97"/>
    <mergeCell ref="G97:H97"/>
    <mergeCell ref="B98:F98"/>
    <mergeCell ref="G98:H98"/>
    <mergeCell ref="G93:H93"/>
    <mergeCell ref="B68:B82"/>
    <mergeCell ref="C89:D89"/>
    <mergeCell ref="C90:D90"/>
    <mergeCell ref="G94:H94"/>
    <mergeCell ref="C91:D91"/>
    <mergeCell ref="B93:F93"/>
  </mergeCells>
  <conditionalFormatting sqref="B90:F90">
    <cfRule type="cellIs" dxfId="263" priority="85" stopIfTrue="1" operator="equal">
      <formula>"TAX PAYABLE"</formula>
    </cfRule>
    <cfRule type="cellIs" dxfId="262" priority="86" stopIfTrue="1" operator="equal">
      <formula>"TAX REFUND"</formula>
    </cfRule>
  </conditionalFormatting>
  <conditionalFormatting sqref="G90:H90">
    <cfRule type="cellIs" dxfId="261" priority="87" stopIfTrue="1" operator="lessThan">
      <formula>0</formula>
    </cfRule>
    <cfRule type="cellIs" dxfId="260" priority="88" stopIfTrue="1" operator="greaterThan">
      <formula>0</formula>
    </cfRule>
  </conditionalFormatting>
  <conditionalFormatting sqref="B94:F94">
    <cfRule type="cellIs" dxfId="259" priority="89" stopIfTrue="1" operator="equal">
      <formula>"TAX PAYABLE"</formula>
    </cfRule>
    <cfRule type="cellIs" dxfId="258" priority="90" stopIfTrue="1" operator="equal">
      <formula>"TAX REFUND"</formula>
    </cfRule>
  </conditionalFormatting>
  <conditionalFormatting sqref="G94:H94">
    <cfRule type="cellIs" dxfId="257" priority="91" stopIfTrue="1" operator="lessThan">
      <formula>0</formula>
    </cfRule>
    <cfRule type="cellIs" dxfId="256" priority="92" stopIfTrue="1" operator="greaterThan">
      <formula>0</formula>
    </cfRule>
  </conditionalFormatting>
  <conditionalFormatting sqref="B90:F90">
    <cfRule type="cellIs" dxfId="255" priority="83" stopIfTrue="1" operator="equal">
      <formula>"TAX PAYABLE"</formula>
    </cfRule>
    <cfRule type="cellIs" dxfId="254" priority="84" stopIfTrue="1" operator="equal">
      <formula>"TAX REFUND"</formula>
    </cfRule>
  </conditionalFormatting>
  <conditionalFormatting sqref="G90:H90">
    <cfRule type="cellIs" dxfId="253" priority="81" stopIfTrue="1" operator="lessThan">
      <formula>0</formula>
    </cfRule>
    <cfRule type="cellIs" dxfId="252" priority="82" stopIfTrue="1" operator="greaterThan">
      <formula>0</formula>
    </cfRule>
  </conditionalFormatting>
  <conditionalFormatting sqref="B94:F94">
    <cfRule type="cellIs" dxfId="251" priority="79" stopIfTrue="1" operator="equal">
      <formula>"TAX PAYABLE"</formula>
    </cfRule>
    <cfRule type="cellIs" dxfId="250" priority="80" stopIfTrue="1" operator="equal">
      <formula>"TAX REFUND"</formula>
    </cfRule>
  </conditionalFormatting>
  <conditionalFormatting sqref="G94:H94">
    <cfRule type="cellIs" dxfId="249" priority="77" stopIfTrue="1" operator="lessThan">
      <formula>0</formula>
    </cfRule>
    <cfRule type="cellIs" dxfId="248" priority="78" stopIfTrue="1" operator="greaterThan">
      <formula>0</formula>
    </cfRule>
  </conditionalFormatting>
  <conditionalFormatting sqref="B90:F90">
    <cfRule type="cellIs" dxfId="247" priority="75" stopIfTrue="1" operator="equal">
      <formula>"TAX PAYABLE"</formula>
    </cfRule>
    <cfRule type="cellIs" dxfId="246" priority="76" stopIfTrue="1" operator="equal">
      <formula>"TAX REFUND"</formula>
    </cfRule>
  </conditionalFormatting>
  <conditionalFormatting sqref="G90:H90">
    <cfRule type="cellIs" dxfId="245" priority="73" stopIfTrue="1" operator="lessThan">
      <formula>0</formula>
    </cfRule>
    <cfRule type="cellIs" dxfId="244" priority="74" stopIfTrue="1" operator="greaterThan">
      <formula>0</formula>
    </cfRule>
  </conditionalFormatting>
  <conditionalFormatting sqref="B94:F94">
    <cfRule type="cellIs" dxfId="243" priority="71" stopIfTrue="1" operator="equal">
      <formula>"TAX PAYABLE"</formula>
    </cfRule>
    <cfRule type="cellIs" dxfId="242" priority="72" stopIfTrue="1" operator="equal">
      <formula>"TAX REFUND"</formula>
    </cfRule>
  </conditionalFormatting>
  <conditionalFormatting sqref="G94:H94">
    <cfRule type="cellIs" dxfId="241" priority="69" stopIfTrue="1" operator="lessThan">
      <formula>0</formula>
    </cfRule>
    <cfRule type="cellIs" dxfId="240" priority="70" stopIfTrue="1" operator="greaterThan">
      <formula>0</formula>
    </cfRule>
  </conditionalFormatting>
  <conditionalFormatting sqref="B90:F90">
    <cfRule type="cellIs" dxfId="239" priority="67" stopIfTrue="1" operator="equal">
      <formula>"TAX PAYABLE"</formula>
    </cfRule>
    <cfRule type="cellIs" dxfId="238" priority="68" stopIfTrue="1" operator="equal">
      <formula>"TAX REFUND"</formula>
    </cfRule>
  </conditionalFormatting>
  <conditionalFormatting sqref="G90:H90">
    <cfRule type="cellIs" dxfId="237" priority="65" stopIfTrue="1" operator="lessThan">
      <formula>0</formula>
    </cfRule>
    <cfRule type="cellIs" dxfId="236" priority="66" stopIfTrue="1" operator="greaterThan">
      <formula>0</formula>
    </cfRule>
  </conditionalFormatting>
  <conditionalFormatting sqref="B94:F94">
    <cfRule type="cellIs" dxfId="235" priority="63" stopIfTrue="1" operator="equal">
      <formula>"TAX PAYABLE"</formula>
    </cfRule>
    <cfRule type="cellIs" dxfId="234" priority="64" stopIfTrue="1" operator="equal">
      <formula>"TAX REFUND"</formula>
    </cfRule>
  </conditionalFormatting>
  <conditionalFormatting sqref="G94:H94">
    <cfRule type="cellIs" dxfId="233" priority="61" stopIfTrue="1" operator="lessThan">
      <formula>0</formula>
    </cfRule>
    <cfRule type="cellIs" dxfId="232" priority="62" stopIfTrue="1" operator="greaterThan">
      <formula>0</formula>
    </cfRule>
  </conditionalFormatting>
  <conditionalFormatting sqref="B90:F90">
    <cfRule type="cellIs" dxfId="231" priority="59" stopIfTrue="1" operator="equal">
      <formula>"TAX PAYABLE"</formula>
    </cfRule>
    <cfRule type="cellIs" dxfId="230" priority="60" stopIfTrue="1" operator="equal">
      <formula>"TAX REFUND"</formula>
    </cfRule>
  </conditionalFormatting>
  <conditionalFormatting sqref="G90:H90">
    <cfRule type="cellIs" dxfId="229" priority="57" stopIfTrue="1" operator="lessThan">
      <formula>0</formula>
    </cfRule>
    <cfRule type="cellIs" dxfId="228" priority="58" stopIfTrue="1" operator="greaterThan">
      <formula>0</formula>
    </cfRule>
  </conditionalFormatting>
  <conditionalFormatting sqref="B94:F94">
    <cfRule type="cellIs" dxfId="227" priority="55" stopIfTrue="1" operator="equal">
      <formula>"TAX PAYABLE"</formula>
    </cfRule>
    <cfRule type="cellIs" dxfId="226" priority="56" stopIfTrue="1" operator="equal">
      <formula>"TAX REFUND"</formula>
    </cfRule>
  </conditionalFormatting>
  <conditionalFormatting sqref="G94:H94">
    <cfRule type="cellIs" dxfId="225" priority="53" stopIfTrue="1" operator="lessThan">
      <formula>0</formula>
    </cfRule>
    <cfRule type="cellIs" dxfId="224" priority="54" stopIfTrue="1" operator="greaterThan">
      <formula>0</formula>
    </cfRule>
  </conditionalFormatting>
  <conditionalFormatting sqref="B90:F90">
    <cfRule type="cellIs" dxfId="223" priority="51" stopIfTrue="1" operator="equal">
      <formula>"TAX PAYABLE"</formula>
    </cfRule>
    <cfRule type="cellIs" dxfId="222" priority="52" stopIfTrue="1" operator="equal">
      <formula>"TAX REFUND"</formula>
    </cfRule>
  </conditionalFormatting>
  <conditionalFormatting sqref="G90:H90">
    <cfRule type="cellIs" dxfId="221" priority="49" stopIfTrue="1" operator="lessThan">
      <formula>0</formula>
    </cfRule>
    <cfRule type="cellIs" dxfId="220" priority="50" stopIfTrue="1" operator="greaterThan">
      <formula>0</formula>
    </cfRule>
  </conditionalFormatting>
  <conditionalFormatting sqref="B94:F94">
    <cfRule type="cellIs" dxfId="219" priority="47" stopIfTrue="1" operator="equal">
      <formula>"TAX PAYABLE"</formula>
    </cfRule>
    <cfRule type="cellIs" dxfId="218" priority="48" stopIfTrue="1" operator="equal">
      <formula>"TAX REFUND"</formula>
    </cfRule>
  </conditionalFormatting>
  <conditionalFormatting sqref="G94:H94">
    <cfRule type="cellIs" dxfId="217" priority="45" stopIfTrue="1" operator="lessThan">
      <formula>0</formula>
    </cfRule>
    <cfRule type="cellIs" dxfId="216" priority="46" stopIfTrue="1" operator="greaterThan">
      <formula>0</formula>
    </cfRule>
  </conditionalFormatting>
  <conditionalFormatting sqref="B90:F90 B93:F94">
    <cfRule type="cellIs" dxfId="215" priority="43" stopIfTrue="1" operator="equal">
      <formula>"TAX PAYABLE"</formula>
    </cfRule>
    <cfRule type="cellIs" dxfId="214" priority="44" stopIfTrue="1" operator="equal">
      <formula>"TAX REFUND"</formula>
    </cfRule>
  </conditionalFormatting>
  <conditionalFormatting sqref="G90:H90 G94:H94 G93">
    <cfRule type="cellIs" dxfId="213" priority="41" stopIfTrue="1" operator="lessThan">
      <formula>0</formula>
    </cfRule>
    <cfRule type="cellIs" dxfId="212" priority="42" stopIfTrue="1" operator="greaterThan">
      <formula>0</formula>
    </cfRule>
  </conditionalFormatting>
  <conditionalFormatting sqref="B90:F90">
    <cfRule type="cellIs" dxfId="211" priority="39" stopIfTrue="1" operator="equal">
      <formula>"TAX PAYABLE"</formula>
    </cfRule>
    <cfRule type="cellIs" dxfId="210" priority="40" stopIfTrue="1" operator="equal">
      <formula>"TAX REFUND"</formula>
    </cfRule>
  </conditionalFormatting>
  <conditionalFormatting sqref="G90:H90">
    <cfRule type="cellIs" dxfId="209" priority="37" stopIfTrue="1" operator="lessThan">
      <formula>0</formula>
    </cfRule>
    <cfRule type="cellIs" dxfId="208" priority="38" stopIfTrue="1" operator="greaterThan">
      <formula>0</formula>
    </cfRule>
  </conditionalFormatting>
  <conditionalFormatting sqref="B97">
    <cfRule type="cellIs" dxfId="207" priority="35" stopIfTrue="1" operator="equal">
      <formula>"TAX PAYABLE"</formula>
    </cfRule>
    <cfRule type="cellIs" dxfId="206" priority="36" stopIfTrue="1" operator="equal">
      <formula>"TAX REFUND"</formula>
    </cfRule>
  </conditionalFormatting>
  <conditionalFormatting sqref="B99:F99 B93:F96">
    <cfRule type="cellIs" dxfId="205" priority="33" stopIfTrue="1" operator="equal">
      <formula>"TAX PAYABLE"</formula>
    </cfRule>
    <cfRule type="cellIs" dxfId="204" priority="34" stopIfTrue="1" operator="equal">
      <formula>"TAX REFUND"</formula>
    </cfRule>
  </conditionalFormatting>
  <conditionalFormatting sqref="G99:H99">
    <cfRule type="cellIs" dxfId="203" priority="31" stopIfTrue="1" operator="greaterThan">
      <formula>0</formula>
    </cfRule>
    <cfRule type="cellIs" dxfId="202" priority="32" stopIfTrue="1" operator="lessThanOrEqual">
      <formula>0</formula>
    </cfRule>
  </conditionalFormatting>
  <conditionalFormatting sqref="B97">
    <cfRule type="cellIs" dxfId="201" priority="29" stopIfTrue="1" operator="equal">
      <formula>"TAX PAYABLE"</formula>
    </cfRule>
    <cfRule type="cellIs" dxfId="200" priority="30" stopIfTrue="1" operator="equal">
      <formula>"TAX REFUND"</formula>
    </cfRule>
  </conditionalFormatting>
  <conditionalFormatting sqref="B99:F99 B93:F96">
    <cfRule type="cellIs" dxfId="199" priority="27" stopIfTrue="1" operator="equal">
      <formula>"TAX PAYABLE"</formula>
    </cfRule>
    <cfRule type="cellIs" dxfId="198" priority="28" stopIfTrue="1" operator="equal">
      <formula>"TAX REFUND"</formula>
    </cfRule>
  </conditionalFormatting>
  <conditionalFormatting sqref="G99:H99">
    <cfRule type="cellIs" dxfId="197" priority="25" stopIfTrue="1" operator="greaterThan">
      <formula>0</formula>
    </cfRule>
    <cfRule type="cellIs" dxfId="196" priority="26" stopIfTrue="1" operator="lessThanOrEqual">
      <formula>0</formula>
    </cfRule>
  </conditionalFormatting>
  <conditionalFormatting sqref="B93:F94 B99:F99">
    <cfRule type="cellIs" dxfId="195" priority="23" stopIfTrue="1" operator="equal">
      <formula>"TAX PAYABLE"</formula>
    </cfRule>
    <cfRule type="cellIs" dxfId="194" priority="24" stopIfTrue="1" operator="equal">
      <formula>"TAX REFUND"</formula>
    </cfRule>
  </conditionalFormatting>
  <conditionalFormatting sqref="G99:H99">
    <cfRule type="cellIs" dxfId="193" priority="21" stopIfTrue="1" operator="greaterThan">
      <formula>0</formula>
    </cfRule>
    <cfRule type="cellIs" dxfId="192" priority="22" stopIfTrue="1" operator="lessThanOrEqual">
      <formula>0</formula>
    </cfRule>
  </conditionalFormatting>
  <conditionalFormatting sqref="B99:F99 B93:F96">
    <cfRule type="cellIs" dxfId="191" priority="19" stopIfTrue="1" operator="equal">
      <formula>"TAX PAYABLE"</formula>
    </cfRule>
    <cfRule type="cellIs" dxfId="190" priority="20" stopIfTrue="1" operator="equal">
      <formula>"TAX REFUND"</formula>
    </cfRule>
  </conditionalFormatting>
  <conditionalFormatting sqref="G99:H99">
    <cfRule type="cellIs" dxfId="189" priority="17" stopIfTrue="1" operator="greaterThan">
      <formula>0</formula>
    </cfRule>
    <cfRule type="cellIs" dxfId="188" priority="18" stopIfTrue="1" operator="lessThanOrEqual">
      <formula>0</formula>
    </cfRule>
  </conditionalFormatting>
  <conditionalFormatting sqref="B93:F94 B96:F97">
    <cfRule type="cellIs" dxfId="187" priority="15" stopIfTrue="1" operator="equal">
      <formula>"TAX PAYABLE"</formula>
    </cfRule>
    <cfRule type="cellIs" dxfId="186" priority="16" stopIfTrue="1" operator="equal">
      <formula>"TAX REFUND"</formula>
    </cfRule>
  </conditionalFormatting>
  <conditionalFormatting sqref="B99:F99 B93:F96">
    <cfRule type="cellIs" dxfId="185" priority="13" stopIfTrue="1" operator="equal">
      <formula>"TAX PAYABLE"</formula>
    </cfRule>
    <cfRule type="cellIs" dxfId="184" priority="14" stopIfTrue="1" operator="equal">
      <formula>"TAX REFUND"</formula>
    </cfRule>
  </conditionalFormatting>
  <conditionalFormatting sqref="G99:H99">
    <cfRule type="cellIs" dxfId="183" priority="11" stopIfTrue="1" operator="greaterThan">
      <formula>0</formula>
    </cfRule>
    <cfRule type="cellIs" dxfId="182" priority="12" stopIfTrue="1" operator="lessThanOrEqual">
      <formula>0</formula>
    </cfRule>
  </conditionalFormatting>
  <conditionalFormatting sqref="B93:F94 B96:F96">
    <cfRule type="cellIs" dxfId="181" priority="9" stopIfTrue="1" operator="equal">
      <formula>"TAX PAYABLE"</formula>
    </cfRule>
    <cfRule type="cellIs" dxfId="180" priority="10" stopIfTrue="1" operator="equal">
      <formula>"TAX REFUND"</formula>
    </cfRule>
  </conditionalFormatting>
  <conditionalFormatting sqref="B97:F97">
    <cfRule type="cellIs" dxfId="179" priority="7" stopIfTrue="1" operator="equal">
      <formula>"TAX PAYABLE"</formula>
    </cfRule>
    <cfRule type="cellIs" dxfId="178" priority="8" stopIfTrue="1" operator="equal">
      <formula>"TAX REFUND"</formula>
    </cfRule>
  </conditionalFormatting>
  <conditionalFormatting sqref="B99:F99 B93:F96">
    <cfRule type="cellIs" dxfId="177" priority="5" stopIfTrue="1" operator="equal">
      <formula>"TAX PAYABLE"</formula>
    </cfRule>
    <cfRule type="cellIs" dxfId="176" priority="6" stopIfTrue="1" operator="equal">
      <formula>"TAX REFUND"</formula>
    </cfRule>
  </conditionalFormatting>
  <conditionalFormatting sqref="G99:H99">
    <cfRule type="cellIs" dxfId="175" priority="3" stopIfTrue="1" operator="greaterThan">
      <formula>0</formula>
    </cfRule>
    <cfRule type="cellIs" dxfId="174" priority="4" stopIfTrue="1" operator="lessThanOrEqual">
      <formula>0</formula>
    </cfRule>
  </conditionalFormatting>
  <conditionalFormatting sqref="B94:F94">
    <cfRule type="cellIs" dxfId="173" priority="1" stopIfTrue="1" operator="equal">
      <formula>"TAX PAYABLE"</formula>
    </cfRule>
    <cfRule type="cellIs" dxfId="172" priority="2" stopIfTrue="1" operator="equal">
      <formula>"TAX REFUND"</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$Q$8:$Q$9</formula1>
    </dataValidation>
  </dataValidations>
  <pageMargins left="0.7" right="0.7" top="0.75" bottom="0.75" header="0.3" footer="0.3"/>
  <pageSetup paperSize="5" orientation="landscape" horizontalDpi="300" verticalDpi="300" r:id="rId1"/>
  <headerFooter alignWithMargins="0"/>
</worksheet>
</file>

<file path=xl/worksheets/sheet1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V107"/>
  <sheetViews>
    <sheetView workbookViewId="0">
      <selection activeCell="D6" sqref="D6:F6"/>
    </sheetView>
  </sheetViews>
  <sheetFormatPr defaultRowHeight="12.75" x14ac:dyDescent="0.2"/>
  <cols>
    <col min="1" max="1" width="5" style="16" customWidth="1"/>
    <col min="2" max="2" width="19.42578125" style="37" customWidth="1"/>
    <col min="3" max="3" width="10.7109375" style="16" bestFit="1" customWidth="1"/>
    <col min="4" max="4" width="6.7109375" style="16" bestFit="1" customWidth="1"/>
    <col min="5" max="5" width="8.5703125" style="16" bestFit="1" customWidth="1"/>
    <col min="6" max="6" width="9.28515625" style="16" bestFit="1" customWidth="1"/>
    <col min="7" max="7" width="10.42578125" style="16" bestFit="1" customWidth="1"/>
    <col min="8" max="8" width="10.28515625" style="16" bestFit="1" customWidth="1"/>
    <col min="9" max="9" width="7.140625" style="16" bestFit="1" customWidth="1"/>
    <col min="10" max="10" width="7.28515625" style="16" customWidth="1"/>
    <col min="11" max="12" width="7" style="16" bestFit="1" customWidth="1"/>
    <col min="13" max="13" width="6.85546875" style="16" bestFit="1" customWidth="1"/>
    <col min="14" max="14" width="7" style="16" bestFit="1" customWidth="1"/>
    <col min="15" max="15" width="7.140625" style="16" bestFit="1"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9.42578125" style="16" customWidth="1"/>
    <col min="259" max="259" width="10.7109375" style="16" bestFit="1" customWidth="1"/>
    <col min="260" max="260" width="6.7109375" style="16" bestFit="1" customWidth="1"/>
    <col min="261" max="261" width="8.5703125" style="16" bestFit="1" customWidth="1"/>
    <col min="262" max="262" width="9.28515625" style="16" bestFit="1" customWidth="1"/>
    <col min="263" max="263" width="10.42578125" style="16" bestFit="1" customWidth="1"/>
    <col min="264" max="264" width="10.28515625" style="16" bestFit="1" customWidth="1"/>
    <col min="265" max="265" width="7.140625" style="16" bestFit="1" customWidth="1"/>
    <col min="266" max="266" width="7.28515625" style="16" customWidth="1"/>
    <col min="267" max="268" width="7" style="16" bestFit="1" customWidth="1"/>
    <col min="269" max="269" width="6.85546875" style="16" bestFit="1" customWidth="1"/>
    <col min="270" max="270" width="7" style="16" bestFit="1" customWidth="1"/>
    <col min="271" max="271" width="7.140625" style="16" bestFit="1"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9.42578125" style="16" customWidth="1"/>
    <col min="515" max="515" width="10.7109375" style="16" bestFit="1" customWidth="1"/>
    <col min="516" max="516" width="6.7109375" style="16" bestFit="1" customWidth="1"/>
    <col min="517" max="517" width="8.5703125" style="16" bestFit="1" customWidth="1"/>
    <col min="518" max="518" width="9.28515625" style="16" bestFit="1" customWidth="1"/>
    <col min="519" max="519" width="10.42578125" style="16" bestFit="1" customWidth="1"/>
    <col min="520" max="520" width="10.28515625" style="16" bestFit="1" customWidth="1"/>
    <col min="521" max="521" width="7.140625" style="16" bestFit="1" customWidth="1"/>
    <col min="522" max="522" width="7.28515625" style="16" customWidth="1"/>
    <col min="523" max="524" width="7" style="16" bestFit="1" customWidth="1"/>
    <col min="525" max="525" width="6.85546875" style="16" bestFit="1" customWidth="1"/>
    <col min="526" max="526" width="7" style="16" bestFit="1" customWidth="1"/>
    <col min="527" max="527" width="7.140625" style="16" bestFit="1"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9.42578125" style="16" customWidth="1"/>
    <col min="771" max="771" width="10.7109375" style="16" bestFit="1" customWidth="1"/>
    <col min="772" max="772" width="6.7109375" style="16" bestFit="1" customWidth="1"/>
    <col min="773" max="773" width="8.5703125" style="16" bestFit="1" customWidth="1"/>
    <col min="774" max="774" width="9.28515625" style="16" bestFit="1" customWidth="1"/>
    <col min="775" max="775" width="10.42578125" style="16" bestFit="1" customWidth="1"/>
    <col min="776" max="776" width="10.28515625" style="16" bestFit="1" customWidth="1"/>
    <col min="777" max="777" width="7.140625" style="16" bestFit="1" customWidth="1"/>
    <col min="778" max="778" width="7.28515625" style="16" customWidth="1"/>
    <col min="779" max="780" width="7" style="16" bestFit="1" customWidth="1"/>
    <col min="781" max="781" width="6.85546875" style="16" bestFit="1" customWidth="1"/>
    <col min="782" max="782" width="7" style="16" bestFit="1" customWidth="1"/>
    <col min="783" max="783" width="7.140625" style="16" bestFit="1"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9.42578125" style="16" customWidth="1"/>
    <col min="1027" max="1027" width="10.7109375" style="16" bestFit="1" customWidth="1"/>
    <col min="1028" max="1028" width="6.7109375" style="16" bestFit="1" customWidth="1"/>
    <col min="1029" max="1029" width="8.5703125" style="16" bestFit="1" customWidth="1"/>
    <col min="1030" max="1030" width="9.28515625" style="16" bestFit="1" customWidth="1"/>
    <col min="1031" max="1031" width="10.42578125" style="16" bestFit="1" customWidth="1"/>
    <col min="1032" max="1032" width="10.28515625" style="16" bestFit="1" customWidth="1"/>
    <col min="1033" max="1033" width="7.140625" style="16" bestFit="1" customWidth="1"/>
    <col min="1034" max="1034" width="7.28515625" style="16" customWidth="1"/>
    <col min="1035" max="1036" width="7" style="16" bestFit="1" customWidth="1"/>
    <col min="1037" max="1037" width="6.85546875" style="16" bestFit="1" customWidth="1"/>
    <col min="1038" max="1038" width="7" style="16" bestFit="1" customWidth="1"/>
    <col min="1039" max="1039" width="7.140625" style="16" bestFit="1"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9.42578125" style="16" customWidth="1"/>
    <col min="1283" max="1283" width="10.7109375" style="16" bestFit="1" customWidth="1"/>
    <col min="1284" max="1284" width="6.7109375" style="16" bestFit="1" customWidth="1"/>
    <col min="1285" max="1285" width="8.5703125" style="16" bestFit="1" customWidth="1"/>
    <col min="1286" max="1286" width="9.28515625" style="16" bestFit="1" customWidth="1"/>
    <col min="1287" max="1287" width="10.42578125" style="16" bestFit="1" customWidth="1"/>
    <col min="1288" max="1288" width="10.28515625" style="16" bestFit="1" customWidth="1"/>
    <col min="1289" max="1289" width="7.140625" style="16" bestFit="1" customWidth="1"/>
    <col min="1290" max="1290" width="7.28515625" style="16" customWidth="1"/>
    <col min="1291" max="1292" width="7" style="16" bestFit="1" customWidth="1"/>
    <col min="1293" max="1293" width="6.85546875" style="16" bestFit="1" customWidth="1"/>
    <col min="1294" max="1294" width="7" style="16" bestFit="1" customWidth="1"/>
    <col min="1295" max="1295" width="7.140625" style="16" bestFit="1"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9.42578125" style="16" customWidth="1"/>
    <col min="1539" max="1539" width="10.7109375" style="16" bestFit="1" customWidth="1"/>
    <col min="1540" max="1540" width="6.7109375" style="16" bestFit="1" customWidth="1"/>
    <col min="1541" max="1541" width="8.5703125" style="16" bestFit="1" customWidth="1"/>
    <col min="1542" max="1542" width="9.28515625" style="16" bestFit="1" customWidth="1"/>
    <col min="1543" max="1543" width="10.42578125" style="16" bestFit="1" customWidth="1"/>
    <col min="1544" max="1544" width="10.28515625" style="16" bestFit="1" customWidth="1"/>
    <col min="1545" max="1545" width="7.140625" style="16" bestFit="1" customWidth="1"/>
    <col min="1546" max="1546" width="7.28515625" style="16" customWidth="1"/>
    <col min="1547" max="1548" width="7" style="16" bestFit="1" customWidth="1"/>
    <col min="1549" max="1549" width="6.85546875" style="16" bestFit="1" customWidth="1"/>
    <col min="1550" max="1550" width="7" style="16" bestFit="1" customWidth="1"/>
    <col min="1551" max="1551" width="7.140625" style="16" bestFit="1"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9.42578125" style="16" customWidth="1"/>
    <col min="1795" max="1795" width="10.7109375" style="16" bestFit="1" customWidth="1"/>
    <col min="1796" max="1796" width="6.7109375" style="16" bestFit="1" customWidth="1"/>
    <col min="1797" max="1797" width="8.5703125" style="16" bestFit="1" customWidth="1"/>
    <col min="1798" max="1798" width="9.28515625" style="16" bestFit="1" customWidth="1"/>
    <col min="1799" max="1799" width="10.42578125" style="16" bestFit="1" customWidth="1"/>
    <col min="1800" max="1800" width="10.28515625" style="16" bestFit="1" customWidth="1"/>
    <col min="1801" max="1801" width="7.140625" style="16" bestFit="1" customWidth="1"/>
    <col min="1802" max="1802" width="7.28515625" style="16" customWidth="1"/>
    <col min="1803" max="1804" width="7" style="16" bestFit="1" customWidth="1"/>
    <col min="1805" max="1805" width="6.85546875" style="16" bestFit="1" customWidth="1"/>
    <col min="1806" max="1806" width="7" style="16" bestFit="1" customWidth="1"/>
    <col min="1807" max="1807" width="7.140625" style="16" bestFit="1"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9.42578125" style="16" customWidth="1"/>
    <col min="2051" max="2051" width="10.7109375" style="16" bestFit="1" customWidth="1"/>
    <col min="2052" max="2052" width="6.7109375" style="16" bestFit="1" customWidth="1"/>
    <col min="2053" max="2053" width="8.5703125" style="16" bestFit="1" customWidth="1"/>
    <col min="2054" max="2054" width="9.28515625" style="16" bestFit="1" customWidth="1"/>
    <col min="2055" max="2055" width="10.42578125" style="16" bestFit="1" customWidth="1"/>
    <col min="2056" max="2056" width="10.28515625" style="16" bestFit="1" customWidth="1"/>
    <col min="2057" max="2057" width="7.140625" style="16" bestFit="1" customWidth="1"/>
    <col min="2058" max="2058" width="7.28515625" style="16" customWidth="1"/>
    <col min="2059" max="2060" width="7" style="16" bestFit="1" customWidth="1"/>
    <col min="2061" max="2061" width="6.85546875" style="16" bestFit="1" customWidth="1"/>
    <col min="2062" max="2062" width="7" style="16" bestFit="1" customWidth="1"/>
    <col min="2063" max="2063" width="7.140625" style="16" bestFit="1"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9.42578125" style="16" customWidth="1"/>
    <col min="2307" max="2307" width="10.7109375" style="16" bestFit="1" customWidth="1"/>
    <col min="2308" max="2308" width="6.7109375" style="16" bestFit="1" customWidth="1"/>
    <col min="2309" max="2309" width="8.5703125" style="16" bestFit="1" customWidth="1"/>
    <col min="2310" max="2310" width="9.28515625" style="16" bestFit="1" customWidth="1"/>
    <col min="2311" max="2311" width="10.42578125" style="16" bestFit="1" customWidth="1"/>
    <col min="2312" max="2312" width="10.28515625" style="16" bestFit="1" customWidth="1"/>
    <col min="2313" max="2313" width="7.140625" style="16" bestFit="1" customWidth="1"/>
    <col min="2314" max="2314" width="7.28515625" style="16" customWidth="1"/>
    <col min="2315" max="2316" width="7" style="16" bestFit="1" customWidth="1"/>
    <col min="2317" max="2317" width="6.85546875" style="16" bestFit="1" customWidth="1"/>
    <col min="2318" max="2318" width="7" style="16" bestFit="1" customWidth="1"/>
    <col min="2319" max="2319" width="7.140625" style="16" bestFit="1"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9.42578125" style="16" customWidth="1"/>
    <col min="2563" max="2563" width="10.7109375" style="16" bestFit="1" customWidth="1"/>
    <col min="2564" max="2564" width="6.7109375" style="16" bestFit="1" customWidth="1"/>
    <col min="2565" max="2565" width="8.5703125" style="16" bestFit="1" customWidth="1"/>
    <col min="2566" max="2566" width="9.28515625" style="16" bestFit="1" customWidth="1"/>
    <col min="2567" max="2567" width="10.42578125" style="16" bestFit="1" customWidth="1"/>
    <col min="2568" max="2568" width="10.28515625" style="16" bestFit="1" customWidth="1"/>
    <col min="2569" max="2569" width="7.140625" style="16" bestFit="1" customWidth="1"/>
    <col min="2570" max="2570" width="7.28515625" style="16" customWidth="1"/>
    <col min="2571" max="2572" width="7" style="16" bestFit="1" customWidth="1"/>
    <col min="2573" max="2573" width="6.85546875" style="16" bestFit="1" customWidth="1"/>
    <col min="2574" max="2574" width="7" style="16" bestFit="1" customWidth="1"/>
    <col min="2575" max="2575" width="7.140625" style="16" bestFit="1"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9.42578125" style="16" customWidth="1"/>
    <col min="2819" max="2819" width="10.7109375" style="16" bestFit="1" customWidth="1"/>
    <col min="2820" max="2820" width="6.7109375" style="16" bestFit="1" customWidth="1"/>
    <col min="2821" max="2821" width="8.5703125" style="16" bestFit="1" customWidth="1"/>
    <col min="2822" max="2822" width="9.28515625" style="16" bestFit="1" customWidth="1"/>
    <col min="2823" max="2823" width="10.42578125" style="16" bestFit="1" customWidth="1"/>
    <col min="2824" max="2824" width="10.28515625" style="16" bestFit="1" customWidth="1"/>
    <col min="2825" max="2825" width="7.140625" style="16" bestFit="1" customWidth="1"/>
    <col min="2826" max="2826" width="7.28515625" style="16" customWidth="1"/>
    <col min="2827" max="2828" width="7" style="16" bestFit="1" customWidth="1"/>
    <col min="2829" max="2829" width="6.85546875" style="16" bestFit="1" customWidth="1"/>
    <col min="2830" max="2830" width="7" style="16" bestFit="1" customWidth="1"/>
    <col min="2831" max="2831" width="7.140625" style="16" bestFit="1"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9.42578125" style="16" customWidth="1"/>
    <col min="3075" max="3075" width="10.7109375" style="16" bestFit="1" customWidth="1"/>
    <col min="3076" max="3076" width="6.7109375" style="16" bestFit="1" customWidth="1"/>
    <col min="3077" max="3077" width="8.5703125" style="16" bestFit="1" customWidth="1"/>
    <col min="3078" max="3078" width="9.28515625" style="16" bestFit="1" customWidth="1"/>
    <col min="3079" max="3079" width="10.42578125" style="16" bestFit="1" customWidth="1"/>
    <col min="3080" max="3080" width="10.28515625" style="16" bestFit="1" customWidth="1"/>
    <col min="3081" max="3081" width="7.140625" style="16" bestFit="1" customWidth="1"/>
    <col min="3082" max="3082" width="7.28515625" style="16" customWidth="1"/>
    <col min="3083" max="3084" width="7" style="16" bestFit="1" customWidth="1"/>
    <col min="3085" max="3085" width="6.85546875" style="16" bestFit="1" customWidth="1"/>
    <col min="3086" max="3086" width="7" style="16" bestFit="1" customWidth="1"/>
    <col min="3087" max="3087" width="7.140625" style="16" bestFit="1"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9.42578125" style="16" customWidth="1"/>
    <col min="3331" max="3331" width="10.7109375" style="16" bestFit="1" customWidth="1"/>
    <col min="3332" max="3332" width="6.7109375" style="16" bestFit="1" customWidth="1"/>
    <col min="3333" max="3333" width="8.5703125" style="16" bestFit="1" customWidth="1"/>
    <col min="3334" max="3334" width="9.28515625" style="16" bestFit="1" customWidth="1"/>
    <col min="3335" max="3335" width="10.42578125" style="16" bestFit="1" customWidth="1"/>
    <col min="3336" max="3336" width="10.28515625" style="16" bestFit="1" customWidth="1"/>
    <col min="3337" max="3337" width="7.140625" style="16" bestFit="1" customWidth="1"/>
    <col min="3338" max="3338" width="7.28515625" style="16" customWidth="1"/>
    <col min="3339" max="3340" width="7" style="16" bestFit="1" customWidth="1"/>
    <col min="3341" max="3341" width="6.85546875" style="16" bestFit="1" customWidth="1"/>
    <col min="3342" max="3342" width="7" style="16" bestFit="1" customWidth="1"/>
    <col min="3343" max="3343" width="7.140625" style="16" bestFit="1"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9.42578125" style="16" customWidth="1"/>
    <col min="3587" max="3587" width="10.7109375" style="16" bestFit="1" customWidth="1"/>
    <col min="3588" max="3588" width="6.7109375" style="16" bestFit="1" customWidth="1"/>
    <col min="3589" max="3589" width="8.5703125" style="16" bestFit="1" customWidth="1"/>
    <col min="3590" max="3590" width="9.28515625" style="16" bestFit="1" customWidth="1"/>
    <col min="3591" max="3591" width="10.42578125" style="16" bestFit="1" customWidth="1"/>
    <col min="3592" max="3592" width="10.28515625" style="16" bestFit="1" customWidth="1"/>
    <col min="3593" max="3593" width="7.140625" style="16" bestFit="1" customWidth="1"/>
    <col min="3594" max="3594" width="7.28515625" style="16" customWidth="1"/>
    <col min="3595" max="3596" width="7" style="16" bestFit="1" customWidth="1"/>
    <col min="3597" max="3597" width="6.85546875" style="16" bestFit="1" customWidth="1"/>
    <col min="3598" max="3598" width="7" style="16" bestFit="1" customWidth="1"/>
    <col min="3599" max="3599" width="7.140625" style="16" bestFit="1"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9.42578125" style="16" customWidth="1"/>
    <col min="3843" max="3843" width="10.7109375" style="16" bestFit="1" customWidth="1"/>
    <col min="3844" max="3844" width="6.7109375" style="16" bestFit="1" customWidth="1"/>
    <col min="3845" max="3845" width="8.5703125" style="16" bestFit="1" customWidth="1"/>
    <col min="3846" max="3846" width="9.28515625" style="16" bestFit="1" customWidth="1"/>
    <col min="3847" max="3847" width="10.42578125" style="16" bestFit="1" customWidth="1"/>
    <col min="3848" max="3848" width="10.28515625" style="16" bestFit="1" customWidth="1"/>
    <col min="3849" max="3849" width="7.140625" style="16" bestFit="1" customWidth="1"/>
    <col min="3850" max="3850" width="7.28515625" style="16" customWidth="1"/>
    <col min="3851" max="3852" width="7" style="16" bestFit="1" customWidth="1"/>
    <col min="3853" max="3853" width="6.85546875" style="16" bestFit="1" customWidth="1"/>
    <col min="3854" max="3854" width="7" style="16" bestFit="1" customWidth="1"/>
    <col min="3855" max="3855" width="7.140625" style="16" bestFit="1"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9.42578125" style="16" customWidth="1"/>
    <col min="4099" max="4099" width="10.7109375" style="16" bestFit="1" customWidth="1"/>
    <col min="4100" max="4100" width="6.7109375" style="16" bestFit="1" customWidth="1"/>
    <col min="4101" max="4101" width="8.5703125" style="16" bestFit="1" customWidth="1"/>
    <col min="4102" max="4102" width="9.28515625" style="16" bestFit="1" customWidth="1"/>
    <col min="4103" max="4103" width="10.42578125" style="16" bestFit="1" customWidth="1"/>
    <col min="4104" max="4104" width="10.28515625" style="16" bestFit="1" customWidth="1"/>
    <col min="4105" max="4105" width="7.140625" style="16" bestFit="1" customWidth="1"/>
    <col min="4106" max="4106" width="7.28515625" style="16" customWidth="1"/>
    <col min="4107" max="4108" width="7" style="16" bestFit="1" customWidth="1"/>
    <col min="4109" max="4109" width="6.85546875" style="16" bestFit="1" customWidth="1"/>
    <col min="4110" max="4110" width="7" style="16" bestFit="1" customWidth="1"/>
    <col min="4111" max="4111" width="7.140625" style="16" bestFit="1"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9.42578125" style="16" customWidth="1"/>
    <col min="4355" max="4355" width="10.7109375" style="16" bestFit="1" customWidth="1"/>
    <col min="4356" max="4356" width="6.7109375" style="16" bestFit="1" customWidth="1"/>
    <col min="4357" max="4357" width="8.5703125" style="16" bestFit="1" customWidth="1"/>
    <col min="4358" max="4358" width="9.28515625" style="16" bestFit="1" customWidth="1"/>
    <col min="4359" max="4359" width="10.42578125" style="16" bestFit="1" customWidth="1"/>
    <col min="4360" max="4360" width="10.28515625" style="16" bestFit="1" customWidth="1"/>
    <col min="4361" max="4361" width="7.140625" style="16" bestFit="1" customWidth="1"/>
    <col min="4362" max="4362" width="7.28515625" style="16" customWidth="1"/>
    <col min="4363" max="4364" width="7" style="16" bestFit="1" customWidth="1"/>
    <col min="4365" max="4365" width="6.85546875" style="16" bestFit="1" customWidth="1"/>
    <col min="4366" max="4366" width="7" style="16" bestFit="1" customWidth="1"/>
    <col min="4367" max="4367" width="7.140625" style="16" bestFit="1"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9.42578125" style="16" customWidth="1"/>
    <col min="4611" max="4611" width="10.7109375" style="16" bestFit="1" customWidth="1"/>
    <col min="4612" max="4612" width="6.7109375" style="16" bestFit="1" customWidth="1"/>
    <col min="4613" max="4613" width="8.5703125" style="16" bestFit="1" customWidth="1"/>
    <col min="4614" max="4614" width="9.28515625" style="16" bestFit="1" customWidth="1"/>
    <col min="4615" max="4615" width="10.42578125" style="16" bestFit="1" customWidth="1"/>
    <col min="4616" max="4616" width="10.28515625" style="16" bestFit="1" customWidth="1"/>
    <col min="4617" max="4617" width="7.140625" style="16" bestFit="1" customWidth="1"/>
    <col min="4618" max="4618" width="7.28515625" style="16" customWidth="1"/>
    <col min="4619" max="4620" width="7" style="16" bestFit="1" customWidth="1"/>
    <col min="4621" max="4621" width="6.85546875" style="16" bestFit="1" customWidth="1"/>
    <col min="4622" max="4622" width="7" style="16" bestFit="1" customWidth="1"/>
    <col min="4623" max="4623" width="7.140625" style="16" bestFit="1"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9.42578125" style="16" customWidth="1"/>
    <col min="4867" max="4867" width="10.7109375" style="16" bestFit="1" customWidth="1"/>
    <col min="4868" max="4868" width="6.7109375" style="16" bestFit="1" customWidth="1"/>
    <col min="4869" max="4869" width="8.5703125" style="16" bestFit="1" customWidth="1"/>
    <col min="4870" max="4870" width="9.28515625" style="16" bestFit="1" customWidth="1"/>
    <col min="4871" max="4871" width="10.42578125" style="16" bestFit="1" customWidth="1"/>
    <col min="4872" max="4872" width="10.28515625" style="16" bestFit="1" customWidth="1"/>
    <col min="4873" max="4873" width="7.140625" style="16" bestFit="1" customWidth="1"/>
    <col min="4874" max="4874" width="7.28515625" style="16" customWidth="1"/>
    <col min="4875" max="4876" width="7" style="16" bestFit="1" customWidth="1"/>
    <col min="4877" max="4877" width="6.85546875" style="16" bestFit="1" customWidth="1"/>
    <col min="4878" max="4878" width="7" style="16" bestFit="1" customWidth="1"/>
    <col min="4879" max="4879" width="7.140625" style="16" bestFit="1"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9.42578125" style="16" customWidth="1"/>
    <col min="5123" max="5123" width="10.7109375" style="16" bestFit="1" customWidth="1"/>
    <col min="5124" max="5124" width="6.7109375" style="16" bestFit="1" customWidth="1"/>
    <col min="5125" max="5125" width="8.5703125" style="16" bestFit="1" customWidth="1"/>
    <col min="5126" max="5126" width="9.28515625" style="16" bestFit="1" customWidth="1"/>
    <col min="5127" max="5127" width="10.42578125" style="16" bestFit="1" customWidth="1"/>
    <col min="5128" max="5128" width="10.28515625" style="16" bestFit="1" customWidth="1"/>
    <col min="5129" max="5129" width="7.140625" style="16" bestFit="1" customWidth="1"/>
    <col min="5130" max="5130" width="7.28515625" style="16" customWidth="1"/>
    <col min="5131" max="5132" width="7" style="16" bestFit="1" customWidth="1"/>
    <col min="5133" max="5133" width="6.85546875" style="16" bestFit="1" customWidth="1"/>
    <col min="5134" max="5134" width="7" style="16" bestFit="1" customWidth="1"/>
    <col min="5135" max="5135" width="7.140625" style="16" bestFit="1"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9.42578125" style="16" customWidth="1"/>
    <col min="5379" max="5379" width="10.7109375" style="16" bestFit="1" customWidth="1"/>
    <col min="5380" max="5380" width="6.7109375" style="16" bestFit="1" customWidth="1"/>
    <col min="5381" max="5381" width="8.5703125" style="16" bestFit="1" customWidth="1"/>
    <col min="5382" max="5382" width="9.28515625" style="16" bestFit="1" customWidth="1"/>
    <col min="5383" max="5383" width="10.42578125" style="16" bestFit="1" customWidth="1"/>
    <col min="5384" max="5384" width="10.28515625" style="16" bestFit="1" customWidth="1"/>
    <col min="5385" max="5385" width="7.140625" style="16" bestFit="1" customWidth="1"/>
    <col min="5386" max="5386" width="7.28515625" style="16" customWidth="1"/>
    <col min="5387" max="5388" width="7" style="16" bestFit="1" customWidth="1"/>
    <col min="5389" max="5389" width="6.85546875" style="16" bestFit="1" customWidth="1"/>
    <col min="5390" max="5390" width="7" style="16" bestFit="1" customWidth="1"/>
    <col min="5391" max="5391" width="7.140625" style="16" bestFit="1"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9.42578125" style="16" customWidth="1"/>
    <col min="5635" max="5635" width="10.7109375" style="16" bestFit="1" customWidth="1"/>
    <col min="5636" max="5636" width="6.7109375" style="16" bestFit="1" customWidth="1"/>
    <col min="5637" max="5637" width="8.5703125" style="16" bestFit="1" customWidth="1"/>
    <col min="5638" max="5638" width="9.28515625" style="16" bestFit="1" customWidth="1"/>
    <col min="5639" max="5639" width="10.42578125" style="16" bestFit="1" customWidth="1"/>
    <col min="5640" max="5640" width="10.28515625" style="16" bestFit="1" customWidth="1"/>
    <col min="5641" max="5641" width="7.140625" style="16" bestFit="1" customWidth="1"/>
    <col min="5642" max="5642" width="7.28515625" style="16" customWidth="1"/>
    <col min="5643" max="5644" width="7" style="16" bestFit="1" customWidth="1"/>
    <col min="5645" max="5645" width="6.85546875" style="16" bestFit="1" customWidth="1"/>
    <col min="5646" max="5646" width="7" style="16" bestFit="1" customWidth="1"/>
    <col min="5647" max="5647" width="7.140625" style="16" bestFit="1"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9.42578125" style="16" customWidth="1"/>
    <col min="5891" max="5891" width="10.7109375" style="16" bestFit="1" customWidth="1"/>
    <col min="5892" max="5892" width="6.7109375" style="16" bestFit="1" customWidth="1"/>
    <col min="5893" max="5893" width="8.5703125" style="16" bestFit="1" customWidth="1"/>
    <col min="5894" max="5894" width="9.28515625" style="16" bestFit="1" customWidth="1"/>
    <col min="5895" max="5895" width="10.42578125" style="16" bestFit="1" customWidth="1"/>
    <col min="5896" max="5896" width="10.28515625" style="16" bestFit="1" customWidth="1"/>
    <col min="5897" max="5897" width="7.140625" style="16" bestFit="1" customWidth="1"/>
    <col min="5898" max="5898" width="7.28515625" style="16" customWidth="1"/>
    <col min="5899" max="5900" width="7" style="16" bestFit="1" customWidth="1"/>
    <col min="5901" max="5901" width="6.85546875" style="16" bestFit="1" customWidth="1"/>
    <col min="5902" max="5902" width="7" style="16" bestFit="1" customWidth="1"/>
    <col min="5903" max="5903" width="7.140625" style="16" bestFit="1"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9.42578125" style="16" customWidth="1"/>
    <col min="6147" max="6147" width="10.7109375" style="16" bestFit="1" customWidth="1"/>
    <col min="6148" max="6148" width="6.7109375" style="16" bestFit="1" customWidth="1"/>
    <col min="6149" max="6149" width="8.5703125" style="16" bestFit="1" customWidth="1"/>
    <col min="6150" max="6150" width="9.28515625" style="16" bestFit="1" customWidth="1"/>
    <col min="6151" max="6151" width="10.42578125" style="16" bestFit="1" customWidth="1"/>
    <col min="6152" max="6152" width="10.28515625" style="16" bestFit="1" customWidth="1"/>
    <col min="6153" max="6153" width="7.140625" style="16" bestFit="1" customWidth="1"/>
    <col min="6154" max="6154" width="7.28515625" style="16" customWidth="1"/>
    <col min="6155" max="6156" width="7" style="16" bestFit="1" customWidth="1"/>
    <col min="6157" max="6157" width="6.85546875" style="16" bestFit="1" customWidth="1"/>
    <col min="6158" max="6158" width="7" style="16" bestFit="1" customWidth="1"/>
    <col min="6159" max="6159" width="7.140625" style="16" bestFit="1"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9.42578125" style="16" customWidth="1"/>
    <col min="6403" max="6403" width="10.7109375" style="16" bestFit="1" customWidth="1"/>
    <col min="6404" max="6404" width="6.7109375" style="16" bestFit="1" customWidth="1"/>
    <col min="6405" max="6405" width="8.5703125" style="16" bestFit="1" customWidth="1"/>
    <col min="6406" max="6406" width="9.28515625" style="16" bestFit="1" customWidth="1"/>
    <col min="6407" max="6407" width="10.42578125" style="16" bestFit="1" customWidth="1"/>
    <col min="6408" max="6408" width="10.28515625" style="16" bestFit="1" customWidth="1"/>
    <col min="6409" max="6409" width="7.140625" style="16" bestFit="1" customWidth="1"/>
    <col min="6410" max="6410" width="7.28515625" style="16" customWidth="1"/>
    <col min="6411" max="6412" width="7" style="16" bestFit="1" customWidth="1"/>
    <col min="6413" max="6413" width="6.85546875" style="16" bestFit="1" customWidth="1"/>
    <col min="6414" max="6414" width="7" style="16" bestFit="1" customWidth="1"/>
    <col min="6415" max="6415" width="7.140625" style="16" bestFit="1"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9.42578125" style="16" customWidth="1"/>
    <col min="6659" max="6659" width="10.7109375" style="16" bestFit="1" customWidth="1"/>
    <col min="6660" max="6660" width="6.7109375" style="16" bestFit="1" customWidth="1"/>
    <col min="6661" max="6661" width="8.5703125" style="16" bestFit="1" customWidth="1"/>
    <col min="6662" max="6662" width="9.28515625" style="16" bestFit="1" customWidth="1"/>
    <col min="6663" max="6663" width="10.42578125" style="16" bestFit="1" customWidth="1"/>
    <col min="6664" max="6664" width="10.28515625" style="16" bestFit="1" customWidth="1"/>
    <col min="6665" max="6665" width="7.140625" style="16" bestFit="1" customWidth="1"/>
    <col min="6666" max="6666" width="7.28515625" style="16" customWidth="1"/>
    <col min="6667" max="6668" width="7" style="16" bestFit="1" customWidth="1"/>
    <col min="6669" max="6669" width="6.85546875" style="16" bestFit="1" customWidth="1"/>
    <col min="6670" max="6670" width="7" style="16" bestFit="1" customWidth="1"/>
    <col min="6671" max="6671" width="7.140625" style="16" bestFit="1"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9.42578125" style="16" customWidth="1"/>
    <col min="6915" max="6915" width="10.7109375" style="16" bestFit="1" customWidth="1"/>
    <col min="6916" max="6916" width="6.7109375" style="16" bestFit="1" customWidth="1"/>
    <col min="6917" max="6917" width="8.5703125" style="16" bestFit="1" customWidth="1"/>
    <col min="6918" max="6918" width="9.28515625" style="16" bestFit="1" customWidth="1"/>
    <col min="6919" max="6919" width="10.42578125" style="16" bestFit="1" customWidth="1"/>
    <col min="6920" max="6920" width="10.28515625" style="16" bestFit="1" customWidth="1"/>
    <col min="6921" max="6921" width="7.140625" style="16" bestFit="1" customWidth="1"/>
    <col min="6922" max="6922" width="7.28515625" style="16" customWidth="1"/>
    <col min="6923" max="6924" width="7" style="16" bestFit="1" customWidth="1"/>
    <col min="6925" max="6925" width="6.85546875" style="16" bestFit="1" customWidth="1"/>
    <col min="6926" max="6926" width="7" style="16" bestFit="1" customWidth="1"/>
    <col min="6927" max="6927" width="7.140625" style="16" bestFit="1"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9.42578125" style="16" customWidth="1"/>
    <col min="7171" max="7171" width="10.7109375" style="16" bestFit="1" customWidth="1"/>
    <col min="7172" max="7172" width="6.7109375" style="16" bestFit="1" customWidth="1"/>
    <col min="7173" max="7173" width="8.5703125" style="16" bestFit="1" customWidth="1"/>
    <col min="7174" max="7174" width="9.28515625" style="16" bestFit="1" customWidth="1"/>
    <col min="7175" max="7175" width="10.42578125" style="16" bestFit="1" customWidth="1"/>
    <col min="7176" max="7176" width="10.28515625" style="16" bestFit="1" customWidth="1"/>
    <col min="7177" max="7177" width="7.140625" style="16" bestFit="1" customWidth="1"/>
    <col min="7178" max="7178" width="7.28515625" style="16" customWidth="1"/>
    <col min="7179" max="7180" width="7" style="16" bestFit="1" customWidth="1"/>
    <col min="7181" max="7181" width="6.85546875" style="16" bestFit="1" customWidth="1"/>
    <col min="7182" max="7182" width="7" style="16" bestFit="1" customWidth="1"/>
    <col min="7183" max="7183" width="7.140625" style="16" bestFit="1"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9.42578125" style="16" customWidth="1"/>
    <col min="7427" max="7427" width="10.7109375" style="16" bestFit="1" customWidth="1"/>
    <col min="7428" max="7428" width="6.7109375" style="16" bestFit="1" customWidth="1"/>
    <col min="7429" max="7429" width="8.5703125" style="16" bestFit="1" customWidth="1"/>
    <col min="7430" max="7430" width="9.28515625" style="16" bestFit="1" customWidth="1"/>
    <col min="7431" max="7431" width="10.42578125" style="16" bestFit="1" customWidth="1"/>
    <col min="7432" max="7432" width="10.28515625" style="16" bestFit="1" customWidth="1"/>
    <col min="7433" max="7433" width="7.140625" style="16" bestFit="1" customWidth="1"/>
    <col min="7434" max="7434" width="7.28515625" style="16" customWidth="1"/>
    <col min="7435" max="7436" width="7" style="16" bestFit="1" customWidth="1"/>
    <col min="7437" max="7437" width="6.85546875" style="16" bestFit="1" customWidth="1"/>
    <col min="7438" max="7438" width="7" style="16" bestFit="1" customWidth="1"/>
    <col min="7439" max="7439" width="7.140625" style="16" bestFit="1"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9.42578125" style="16" customWidth="1"/>
    <col min="7683" max="7683" width="10.7109375" style="16" bestFit="1" customWidth="1"/>
    <col min="7684" max="7684" width="6.7109375" style="16" bestFit="1" customWidth="1"/>
    <col min="7685" max="7685" width="8.5703125" style="16" bestFit="1" customWidth="1"/>
    <col min="7686" max="7686" width="9.28515625" style="16" bestFit="1" customWidth="1"/>
    <col min="7687" max="7687" width="10.42578125" style="16" bestFit="1" customWidth="1"/>
    <col min="7688" max="7688" width="10.28515625" style="16" bestFit="1" customWidth="1"/>
    <col min="7689" max="7689" width="7.140625" style="16" bestFit="1" customWidth="1"/>
    <col min="7690" max="7690" width="7.28515625" style="16" customWidth="1"/>
    <col min="7691" max="7692" width="7" style="16" bestFit="1" customWidth="1"/>
    <col min="7693" max="7693" width="6.85546875" style="16" bestFit="1" customWidth="1"/>
    <col min="7694" max="7694" width="7" style="16" bestFit="1" customWidth="1"/>
    <col min="7695" max="7695" width="7.140625" style="16" bestFit="1"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9.42578125" style="16" customWidth="1"/>
    <col min="7939" max="7939" width="10.7109375" style="16" bestFit="1" customWidth="1"/>
    <col min="7940" max="7940" width="6.7109375" style="16" bestFit="1" customWidth="1"/>
    <col min="7941" max="7941" width="8.5703125" style="16" bestFit="1" customWidth="1"/>
    <col min="7942" max="7942" width="9.28515625" style="16" bestFit="1" customWidth="1"/>
    <col min="7943" max="7943" width="10.42578125" style="16" bestFit="1" customWidth="1"/>
    <col min="7944" max="7944" width="10.28515625" style="16" bestFit="1" customWidth="1"/>
    <col min="7945" max="7945" width="7.140625" style="16" bestFit="1" customWidth="1"/>
    <col min="7946" max="7946" width="7.28515625" style="16" customWidth="1"/>
    <col min="7947" max="7948" width="7" style="16" bestFit="1" customWidth="1"/>
    <col min="7949" max="7949" width="6.85546875" style="16" bestFit="1" customWidth="1"/>
    <col min="7950" max="7950" width="7" style="16" bestFit="1" customWidth="1"/>
    <col min="7951" max="7951" width="7.140625" style="16" bestFit="1"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9.42578125" style="16" customWidth="1"/>
    <col min="8195" max="8195" width="10.7109375" style="16" bestFit="1" customWidth="1"/>
    <col min="8196" max="8196" width="6.7109375" style="16" bestFit="1" customWidth="1"/>
    <col min="8197" max="8197" width="8.5703125" style="16" bestFit="1" customWidth="1"/>
    <col min="8198" max="8198" width="9.28515625" style="16" bestFit="1" customWidth="1"/>
    <col min="8199" max="8199" width="10.42578125" style="16" bestFit="1" customWidth="1"/>
    <col min="8200" max="8200" width="10.28515625" style="16" bestFit="1" customWidth="1"/>
    <col min="8201" max="8201" width="7.140625" style="16" bestFit="1" customWidth="1"/>
    <col min="8202" max="8202" width="7.28515625" style="16" customWidth="1"/>
    <col min="8203" max="8204" width="7" style="16" bestFit="1" customWidth="1"/>
    <col min="8205" max="8205" width="6.85546875" style="16" bestFit="1" customWidth="1"/>
    <col min="8206" max="8206" width="7" style="16" bestFit="1" customWidth="1"/>
    <col min="8207" max="8207" width="7.140625" style="16" bestFit="1"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9.42578125" style="16" customWidth="1"/>
    <col min="8451" max="8451" width="10.7109375" style="16" bestFit="1" customWidth="1"/>
    <col min="8452" max="8452" width="6.7109375" style="16" bestFit="1" customWidth="1"/>
    <col min="8453" max="8453" width="8.5703125" style="16" bestFit="1" customWidth="1"/>
    <col min="8454" max="8454" width="9.28515625" style="16" bestFit="1" customWidth="1"/>
    <col min="8455" max="8455" width="10.42578125" style="16" bestFit="1" customWidth="1"/>
    <col min="8456" max="8456" width="10.28515625" style="16" bestFit="1" customWidth="1"/>
    <col min="8457" max="8457" width="7.140625" style="16" bestFit="1" customWidth="1"/>
    <col min="8458" max="8458" width="7.28515625" style="16" customWidth="1"/>
    <col min="8459" max="8460" width="7" style="16" bestFit="1" customWidth="1"/>
    <col min="8461" max="8461" width="6.85546875" style="16" bestFit="1" customWidth="1"/>
    <col min="8462" max="8462" width="7" style="16" bestFit="1" customWidth="1"/>
    <col min="8463" max="8463" width="7.140625" style="16" bestFit="1"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9.42578125" style="16" customWidth="1"/>
    <col min="8707" max="8707" width="10.7109375" style="16" bestFit="1" customWidth="1"/>
    <col min="8708" max="8708" width="6.7109375" style="16" bestFit="1" customWidth="1"/>
    <col min="8709" max="8709" width="8.5703125" style="16" bestFit="1" customWidth="1"/>
    <col min="8710" max="8710" width="9.28515625" style="16" bestFit="1" customWidth="1"/>
    <col min="8711" max="8711" width="10.42578125" style="16" bestFit="1" customWidth="1"/>
    <col min="8712" max="8712" width="10.28515625" style="16" bestFit="1" customWidth="1"/>
    <col min="8713" max="8713" width="7.140625" style="16" bestFit="1" customWidth="1"/>
    <col min="8714" max="8714" width="7.28515625" style="16" customWidth="1"/>
    <col min="8715" max="8716" width="7" style="16" bestFit="1" customWidth="1"/>
    <col min="8717" max="8717" width="6.85546875" style="16" bestFit="1" customWidth="1"/>
    <col min="8718" max="8718" width="7" style="16" bestFit="1" customWidth="1"/>
    <col min="8719" max="8719" width="7.140625" style="16" bestFit="1"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9.42578125" style="16" customWidth="1"/>
    <col min="8963" max="8963" width="10.7109375" style="16" bestFit="1" customWidth="1"/>
    <col min="8964" max="8964" width="6.7109375" style="16" bestFit="1" customWidth="1"/>
    <col min="8965" max="8965" width="8.5703125" style="16" bestFit="1" customWidth="1"/>
    <col min="8966" max="8966" width="9.28515625" style="16" bestFit="1" customWidth="1"/>
    <col min="8967" max="8967" width="10.42578125" style="16" bestFit="1" customWidth="1"/>
    <col min="8968" max="8968" width="10.28515625" style="16" bestFit="1" customWidth="1"/>
    <col min="8969" max="8969" width="7.140625" style="16" bestFit="1" customWidth="1"/>
    <col min="8970" max="8970" width="7.28515625" style="16" customWidth="1"/>
    <col min="8971" max="8972" width="7" style="16" bestFit="1" customWidth="1"/>
    <col min="8973" max="8973" width="6.85546875" style="16" bestFit="1" customWidth="1"/>
    <col min="8974" max="8974" width="7" style="16" bestFit="1" customWidth="1"/>
    <col min="8975" max="8975" width="7.140625" style="16" bestFit="1"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9.42578125" style="16" customWidth="1"/>
    <col min="9219" max="9219" width="10.7109375" style="16" bestFit="1" customWidth="1"/>
    <col min="9220" max="9220" width="6.7109375" style="16" bestFit="1" customWidth="1"/>
    <col min="9221" max="9221" width="8.5703125" style="16" bestFit="1" customWidth="1"/>
    <col min="9222" max="9222" width="9.28515625" style="16" bestFit="1" customWidth="1"/>
    <col min="9223" max="9223" width="10.42578125" style="16" bestFit="1" customWidth="1"/>
    <col min="9224" max="9224" width="10.28515625" style="16" bestFit="1" customWidth="1"/>
    <col min="9225" max="9225" width="7.140625" style="16" bestFit="1" customWidth="1"/>
    <col min="9226" max="9226" width="7.28515625" style="16" customWidth="1"/>
    <col min="9227" max="9228" width="7" style="16" bestFit="1" customWidth="1"/>
    <col min="9229" max="9229" width="6.85546875" style="16" bestFit="1" customWidth="1"/>
    <col min="9230" max="9230" width="7" style="16" bestFit="1" customWidth="1"/>
    <col min="9231" max="9231" width="7.140625" style="16" bestFit="1"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9.42578125" style="16" customWidth="1"/>
    <col min="9475" max="9475" width="10.7109375" style="16" bestFit="1" customWidth="1"/>
    <col min="9476" max="9476" width="6.7109375" style="16" bestFit="1" customWidth="1"/>
    <col min="9477" max="9477" width="8.5703125" style="16" bestFit="1" customWidth="1"/>
    <col min="9478" max="9478" width="9.28515625" style="16" bestFit="1" customWidth="1"/>
    <col min="9479" max="9479" width="10.42578125" style="16" bestFit="1" customWidth="1"/>
    <col min="9480" max="9480" width="10.28515625" style="16" bestFit="1" customWidth="1"/>
    <col min="9481" max="9481" width="7.140625" style="16" bestFit="1" customWidth="1"/>
    <col min="9482" max="9482" width="7.28515625" style="16" customWidth="1"/>
    <col min="9483" max="9484" width="7" style="16" bestFit="1" customWidth="1"/>
    <col min="9485" max="9485" width="6.85546875" style="16" bestFit="1" customWidth="1"/>
    <col min="9486" max="9486" width="7" style="16" bestFit="1" customWidth="1"/>
    <col min="9487" max="9487" width="7.140625" style="16" bestFit="1"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9.42578125" style="16" customWidth="1"/>
    <col min="9731" max="9731" width="10.7109375" style="16" bestFit="1" customWidth="1"/>
    <col min="9732" max="9732" width="6.7109375" style="16" bestFit="1" customWidth="1"/>
    <col min="9733" max="9733" width="8.5703125" style="16" bestFit="1" customWidth="1"/>
    <col min="9734" max="9734" width="9.28515625" style="16" bestFit="1" customWidth="1"/>
    <col min="9735" max="9735" width="10.42578125" style="16" bestFit="1" customWidth="1"/>
    <col min="9736" max="9736" width="10.28515625" style="16" bestFit="1" customWidth="1"/>
    <col min="9737" max="9737" width="7.140625" style="16" bestFit="1" customWidth="1"/>
    <col min="9738" max="9738" width="7.28515625" style="16" customWidth="1"/>
    <col min="9739" max="9740" width="7" style="16" bestFit="1" customWidth="1"/>
    <col min="9741" max="9741" width="6.85546875" style="16" bestFit="1" customWidth="1"/>
    <col min="9742" max="9742" width="7" style="16" bestFit="1" customWidth="1"/>
    <col min="9743" max="9743" width="7.140625" style="16" bestFit="1"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9.42578125" style="16" customWidth="1"/>
    <col min="9987" max="9987" width="10.7109375" style="16" bestFit="1" customWidth="1"/>
    <col min="9988" max="9988" width="6.7109375" style="16" bestFit="1" customWidth="1"/>
    <col min="9989" max="9989" width="8.5703125" style="16" bestFit="1" customWidth="1"/>
    <col min="9990" max="9990" width="9.28515625" style="16" bestFit="1" customWidth="1"/>
    <col min="9991" max="9991" width="10.42578125" style="16" bestFit="1" customWidth="1"/>
    <col min="9992" max="9992" width="10.28515625" style="16" bestFit="1" customWidth="1"/>
    <col min="9993" max="9993" width="7.140625" style="16" bestFit="1" customWidth="1"/>
    <col min="9994" max="9994" width="7.28515625" style="16" customWidth="1"/>
    <col min="9995" max="9996" width="7" style="16" bestFit="1" customWidth="1"/>
    <col min="9997" max="9997" width="6.85546875" style="16" bestFit="1" customWidth="1"/>
    <col min="9998" max="9998" width="7" style="16" bestFit="1" customWidth="1"/>
    <col min="9999" max="9999" width="7.140625" style="16" bestFit="1"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9.42578125" style="16" customWidth="1"/>
    <col min="10243" max="10243" width="10.7109375" style="16" bestFit="1" customWidth="1"/>
    <col min="10244" max="10244" width="6.7109375" style="16" bestFit="1" customWidth="1"/>
    <col min="10245" max="10245" width="8.5703125" style="16" bestFit="1" customWidth="1"/>
    <col min="10246" max="10246" width="9.28515625" style="16" bestFit="1" customWidth="1"/>
    <col min="10247" max="10247" width="10.42578125" style="16" bestFit="1" customWidth="1"/>
    <col min="10248" max="10248" width="10.28515625" style="16" bestFit="1" customWidth="1"/>
    <col min="10249" max="10249" width="7.140625" style="16" bestFit="1" customWidth="1"/>
    <col min="10250" max="10250" width="7.28515625" style="16" customWidth="1"/>
    <col min="10251" max="10252" width="7" style="16" bestFit="1" customWidth="1"/>
    <col min="10253" max="10253" width="6.85546875" style="16" bestFit="1" customWidth="1"/>
    <col min="10254" max="10254" width="7" style="16" bestFit="1" customWidth="1"/>
    <col min="10255" max="10255" width="7.140625" style="16" bestFit="1"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9.42578125" style="16" customWidth="1"/>
    <col min="10499" max="10499" width="10.7109375" style="16" bestFit="1" customWidth="1"/>
    <col min="10500" max="10500" width="6.7109375" style="16" bestFit="1" customWidth="1"/>
    <col min="10501" max="10501" width="8.5703125" style="16" bestFit="1" customWidth="1"/>
    <col min="10502" max="10502" width="9.28515625" style="16" bestFit="1" customWidth="1"/>
    <col min="10503" max="10503" width="10.42578125" style="16" bestFit="1" customWidth="1"/>
    <col min="10504" max="10504" width="10.28515625" style="16" bestFit="1" customWidth="1"/>
    <col min="10505" max="10505" width="7.140625" style="16" bestFit="1" customWidth="1"/>
    <col min="10506" max="10506" width="7.28515625" style="16" customWidth="1"/>
    <col min="10507" max="10508" width="7" style="16" bestFit="1" customWidth="1"/>
    <col min="10509" max="10509" width="6.85546875" style="16" bestFit="1" customWidth="1"/>
    <col min="10510" max="10510" width="7" style="16" bestFit="1" customWidth="1"/>
    <col min="10511" max="10511" width="7.140625" style="16" bestFit="1"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9.42578125" style="16" customWidth="1"/>
    <col min="10755" max="10755" width="10.7109375" style="16" bestFit="1" customWidth="1"/>
    <col min="10756" max="10756" width="6.7109375" style="16" bestFit="1" customWidth="1"/>
    <col min="10757" max="10757" width="8.5703125" style="16" bestFit="1" customWidth="1"/>
    <col min="10758" max="10758" width="9.28515625" style="16" bestFit="1" customWidth="1"/>
    <col min="10759" max="10759" width="10.42578125" style="16" bestFit="1" customWidth="1"/>
    <col min="10760" max="10760" width="10.28515625" style="16" bestFit="1" customWidth="1"/>
    <col min="10761" max="10761" width="7.140625" style="16" bestFit="1" customWidth="1"/>
    <col min="10762" max="10762" width="7.28515625" style="16" customWidth="1"/>
    <col min="10763" max="10764" width="7" style="16" bestFit="1" customWidth="1"/>
    <col min="10765" max="10765" width="6.85546875" style="16" bestFit="1" customWidth="1"/>
    <col min="10766" max="10766" width="7" style="16" bestFit="1" customWidth="1"/>
    <col min="10767" max="10767" width="7.140625" style="16" bestFit="1"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9.42578125" style="16" customWidth="1"/>
    <col min="11011" max="11011" width="10.7109375" style="16" bestFit="1" customWidth="1"/>
    <col min="11012" max="11012" width="6.7109375" style="16" bestFit="1" customWidth="1"/>
    <col min="11013" max="11013" width="8.5703125" style="16" bestFit="1" customWidth="1"/>
    <col min="11014" max="11014" width="9.28515625" style="16" bestFit="1" customWidth="1"/>
    <col min="11015" max="11015" width="10.42578125" style="16" bestFit="1" customWidth="1"/>
    <col min="11016" max="11016" width="10.28515625" style="16" bestFit="1" customWidth="1"/>
    <col min="11017" max="11017" width="7.140625" style="16" bestFit="1" customWidth="1"/>
    <col min="11018" max="11018" width="7.28515625" style="16" customWidth="1"/>
    <col min="11019" max="11020" width="7" style="16" bestFit="1" customWidth="1"/>
    <col min="11021" max="11021" width="6.85546875" style="16" bestFit="1" customWidth="1"/>
    <col min="11022" max="11022" width="7" style="16" bestFit="1" customWidth="1"/>
    <col min="11023" max="11023" width="7.140625" style="16" bestFit="1"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9.42578125" style="16" customWidth="1"/>
    <col min="11267" max="11267" width="10.7109375" style="16" bestFit="1" customWidth="1"/>
    <col min="11268" max="11268" width="6.7109375" style="16" bestFit="1" customWidth="1"/>
    <col min="11269" max="11269" width="8.5703125" style="16" bestFit="1" customWidth="1"/>
    <col min="11270" max="11270" width="9.28515625" style="16" bestFit="1" customWidth="1"/>
    <col min="11271" max="11271" width="10.42578125" style="16" bestFit="1" customWidth="1"/>
    <col min="11272" max="11272" width="10.28515625" style="16" bestFit="1" customWidth="1"/>
    <col min="11273" max="11273" width="7.140625" style="16" bestFit="1" customWidth="1"/>
    <col min="11274" max="11274" width="7.28515625" style="16" customWidth="1"/>
    <col min="11275" max="11276" width="7" style="16" bestFit="1" customWidth="1"/>
    <col min="11277" max="11277" width="6.85546875" style="16" bestFit="1" customWidth="1"/>
    <col min="11278" max="11278" width="7" style="16" bestFit="1" customWidth="1"/>
    <col min="11279" max="11279" width="7.140625" style="16" bestFit="1"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9.42578125" style="16" customWidth="1"/>
    <col min="11523" max="11523" width="10.7109375" style="16" bestFit="1" customWidth="1"/>
    <col min="11524" max="11524" width="6.7109375" style="16" bestFit="1" customWidth="1"/>
    <col min="11525" max="11525" width="8.5703125" style="16" bestFit="1" customWidth="1"/>
    <col min="11526" max="11526" width="9.28515625" style="16" bestFit="1" customWidth="1"/>
    <col min="11527" max="11527" width="10.42578125" style="16" bestFit="1" customWidth="1"/>
    <col min="11528" max="11528" width="10.28515625" style="16" bestFit="1" customWidth="1"/>
    <col min="11529" max="11529" width="7.140625" style="16" bestFit="1" customWidth="1"/>
    <col min="11530" max="11530" width="7.28515625" style="16" customWidth="1"/>
    <col min="11531" max="11532" width="7" style="16" bestFit="1" customWidth="1"/>
    <col min="11533" max="11533" width="6.85546875" style="16" bestFit="1" customWidth="1"/>
    <col min="11534" max="11534" width="7" style="16" bestFit="1" customWidth="1"/>
    <col min="11535" max="11535" width="7.140625" style="16" bestFit="1"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9.42578125" style="16" customWidth="1"/>
    <col min="11779" max="11779" width="10.7109375" style="16" bestFit="1" customWidth="1"/>
    <col min="11780" max="11780" width="6.7109375" style="16" bestFit="1" customWidth="1"/>
    <col min="11781" max="11781" width="8.5703125" style="16" bestFit="1" customWidth="1"/>
    <col min="11782" max="11782" width="9.28515625" style="16" bestFit="1" customWidth="1"/>
    <col min="11783" max="11783" width="10.42578125" style="16" bestFit="1" customWidth="1"/>
    <col min="11784" max="11784" width="10.28515625" style="16" bestFit="1" customWidth="1"/>
    <col min="11785" max="11785" width="7.140625" style="16" bestFit="1" customWidth="1"/>
    <col min="11786" max="11786" width="7.28515625" style="16" customWidth="1"/>
    <col min="11787" max="11788" width="7" style="16" bestFit="1" customWidth="1"/>
    <col min="11789" max="11789" width="6.85546875" style="16" bestFit="1" customWidth="1"/>
    <col min="11790" max="11790" width="7" style="16" bestFit="1" customWidth="1"/>
    <col min="11791" max="11791" width="7.140625" style="16" bestFit="1"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9.42578125" style="16" customWidth="1"/>
    <col min="12035" max="12035" width="10.7109375" style="16" bestFit="1" customWidth="1"/>
    <col min="12036" max="12036" width="6.7109375" style="16" bestFit="1" customWidth="1"/>
    <col min="12037" max="12037" width="8.5703125" style="16" bestFit="1" customWidth="1"/>
    <col min="12038" max="12038" width="9.28515625" style="16" bestFit="1" customWidth="1"/>
    <col min="12039" max="12039" width="10.42578125" style="16" bestFit="1" customWidth="1"/>
    <col min="12040" max="12040" width="10.28515625" style="16" bestFit="1" customWidth="1"/>
    <col min="12041" max="12041" width="7.140625" style="16" bestFit="1" customWidth="1"/>
    <col min="12042" max="12042" width="7.28515625" style="16" customWidth="1"/>
    <col min="12043" max="12044" width="7" style="16" bestFit="1" customWidth="1"/>
    <col min="12045" max="12045" width="6.85546875" style="16" bestFit="1" customWidth="1"/>
    <col min="12046" max="12046" width="7" style="16" bestFit="1" customWidth="1"/>
    <col min="12047" max="12047" width="7.140625" style="16" bestFit="1"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9.42578125" style="16" customWidth="1"/>
    <col min="12291" max="12291" width="10.7109375" style="16" bestFit="1" customWidth="1"/>
    <col min="12292" max="12292" width="6.7109375" style="16" bestFit="1" customWidth="1"/>
    <col min="12293" max="12293" width="8.5703125" style="16" bestFit="1" customWidth="1"/>
    <col min="12294" max="12294" width="9.28515625" style="16" bestFit="1" customWidth="1"/>
    <col min="12295" max="12295" width="10.42578125" style="16" bestFit="1" customWidth="1"/>
    <col min="12296" max="12296" width="10.28515625" style="16" bestFit="1" customWidth="1"/>
    <col min="12297" max="12297" width="7.140625" style="16" bestFit="1" customWidth="1"/>
    <col min="12298" max="12298" width="7.28515625" style="16" customWidth="1"/>
    <col min="12299" max="12300" width="7" style="16" bestFit="1" customWidth="1"/>
    <col min="12301" max="12301" width="6.85546875" style="16" bestFit="1" customWidth="1"/>
    <col min="12302" max="12302" width="7" style="16" bestFit="1" customWidth="1"/>
    <col min="12303" max="12303" width="7.140625" style="16" bestFit="1"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9.42578125" style="16" customWidth="1"/>
    <col min="12547" max="12547" width="10.7109375" style="16" bestFit="1" customWidth="1"/>
    <col min="12548" max="12548" width="6.7109375" style="16" bestFit="1" customWidth="1"/>
    <col min="12549" max="12549" width="8.5703125" style="16" bestFit="1" customWidth="1"/>
    <col min="12550" max="12550" width="9.28515625" style="16" bestFit="1" customWidth="1"/>
    <col min="12551" max="12551" width="10.42578125" style="16" bestFit="1" customWidth="1"/>
    <col min="12552" max="12552" width="10.28515625" style="16" bestFit="1" customWidth="1"/>
    <col min="12553" max="12553" width="7.140625" style="16" bestFit="1" customWidth="1"/>
    <col min="12554" max="12554" width="7.28515625" style="16" customWidth="1"/>
    <col min="12555" max="12556" width="7" style="16" bestFit="1" customWidth="1"/>
    <col min="12557" max="12557" width="6.85546875" style="16" bestFit="1" customWidth="1"/>
    <col min="12558" max="12558" width="7" style="16" bestFit="1" customWidth="1"/>
    <col min="12559" max="12559" width="7.140625" style="16" bestFit="1"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9.42578125" style="16" customWidth="1"/>
    <col min="12803" max="12803" width="10.7109375" style="16" bestFit="1" customWidth="1"/>
    <col min="12804" max="12804" width="6.7109375" style="16" bestFit="1" customWidth="1"/>
    <col min="12805" max="12805" width="8.5703125" style="16" bestFit="1" customWidth="1"/>
    <col min="12806" max="12806" width="9.28515625" style="16" bestFit="1" customWidth="1"/>
    <col min="12807" max="12807" width="10.42578125" style="16" bestFit="1" customWidth="1"/>
    <col min="12808" max="12808" width="10.28515625" style="16" bestFit="1" customWidth="1"/>
    <col min="12809" max="12809" width="7.140625" style="16" bestFit="1" customWidth="1"/>
    <col min="12810" max="12810" width="7.28515625" style="16" customWidth="1"/>
    <col min="12811" max="12812" width="7" style="16" bestFit="1" customWidth="1"/>
    <col min="12813" max="12813" width="6.85546875" style="16" bestFit="1" customWidth="1"/>
    <col min="12814" max="12814" width="7" style="16" bestFit="1" customWidth="1"/>
    <col min="12815" max="12815" width="7.140625" style="16" bestFit="1"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9.42578125" style="16" customWidth="1"/>
    <col min="13059" max="13059" width="10.7109375" style="16" bestFit="1" customWidth="1"/>
    <col min="13060" max="13060" width="6.7109375" style="16" bestFit="1" customWidth="1"/>
    <col min="13061" max="13061" width="8.5703125" style="16" bestFit="1" customWidth="1"/>
    <col min="13062" max="13062" width="9.28515625" style="16" bestFit="1" customWidth="1"/>
    <col min="13063" max="13063" width="10.42578125" style="16" bestFit="1" customWidth="1"/>
    <col min="13064" max="13064" width="10.28515625" style="16" bestFit="1" customWidth="1"/>
    <col min="13065" max="13065" width="7.140625" style="16" bestFit="1" customWidth="1"/>
    <col min="13066" max="13066" width="7.28515625" style="16" customWidth="1"/>
    <col min="13067" max="13068" width="7" style="16" bestFit="1" customWidth="1"/>
    <col min="13069" max="13069" width="6.85546875" style="16" bestFit="1" customWidth="1"/>
    <col min="13070" max="13070" width="7" style="16" bestFit="1" customWidth="1"/>
    <col min="13071" max="13071" width="7.140625" style="16" bestFit="1"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9.42578125" style="16" customWidth="1"/>
    <col min="13315" max="13315" width="10.7109375" style="16" bestFit="1" customWidth="1"/>
    <col min="13316" max="13316" width="6.7109375" style="16" bestFit="1" customWidth="1"/>
    <col min="13317" max="13317" width="8.5703125" style="16" bestFit="1" customWidth="1"/>
    <col min="13318" max="13318" width="9.28515625" style="16" bestFit="1" customWidth="1"/>
    <col min="13319" max="13319" width="10.42578125" style="16" bestFit="1" customWidth="1"/>
    <col min="13320" max="13320" width="10.28515625" style="16" bestFit="1" customWidth="1"/>
    <col min="13321" max="13321" width="7.140625" style="16" bestFit="1" customWidth="1"/>
    <col min="13322" max="13322" width="7.28515625" style="16" customWidth="1"/>
    <col min="13323" max="13324" width="7" style="16" bestFit="1" customWidth="1"/>
    <col min="13325" max="13325" width="6.85546875" style="16" bestFit="1" customWidth="1"/>
    <col min="13326" max="13326" width="7" style="16" bestFit="1" customWidth="1"/>
    <col min="13327" max="13327" width="7.140625" style="16" bestFit="1"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9.42578125" style="16" customWidth="1"/>
    <col min="13571" max="13571" width="10.7109375" style="16" bestFit="1" customWidth="1"/>
    <col min="13572" max="13572" width="6.7109375" style="16" bestFit="1" customWidth="1"/>
    <col min="13573" max="13573" width="8.5703125" style="16" bestFit="1" customWidth="1"/>
    <col min="13574" max="13574" width="9.28515625" style="16" bestFit="1" customWidth="1"/>
    <col min="13575" max="13575" width="10.42578125" style="16" bestFit="1" customWidth="1"/>
    <col min="13576" max="13576" width="10.28515625" style="16" bestFit="1" customWidth="1"/>
    <col min="13577" max="13577" width="7.140625" style="16" bestFit="1" customWidth="1"/>
    <col min="13578" max="13578" width="7.28515625" style="16" customWidth="1"/>
    <col min="13579" max="13580" width="7" style="16" bestFit="1" customWidth="1"/>
    <col min="13581" max="13581" width="6.85546875" style="16" bestFit="1" customWidth="1"/>
    <col min="13582" max="13582" width="7" style="16" bestFit="1" customWidth="1"/>
    <col min="13583" max="13583" width="7.140625" style="16" bestFit="1"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9.42578125" style="16" customWidth="1"/>
    <col min="13827" max="13827" width="10.7109375" style="16" bestFit="1" customWidth="1"/>
    <col min="13828" max="13828" width="6.7109375" style="16" bestFit="1" customWidth="1"/>
    <col min="13829" max="13829" width="8.5703125" style="16" bestFit="1" customWidth="1"/>
    <col min="13830" max="13830" width="9.28515625" style="16" bestFit="1" customWidth="1"/>
    <col min="13831" max="13831" width="10.42578125" style="16" bestFit="1" customWidth="1"/>
    <col min="13832" max="13832" width="10.28515625" style="16" bestFit="1" customWidth="1"/>
    <col min="13833" max="13833" width="7.140625" style="16" bestFit="1" customWidth="1"/>
    <col min="13834" max="13834" width="7.28515625" style="16" customWidth="1"/>
    <col min="13835" max="13836" width="7" style="16" bestFit="1" customWidth="1"/>
    <col min="13837" max="13837" width="6.85546875" style="16" bestFit="1" customWidth="1"/>
    <col min="13838" max="13838" width="7" style="16" bestFit="1" customWidth="1"/>
    <col min="13839" max="13839" width="7.140625" style="16" bestFit="1"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9.42578125" style="16" customWidth="1"/>
    <col min="14083" max="14083" width="10.7109375" style="16" bestFit="1" customWidth="1"/>
    <col min="14084" max="14084" width="6.7109375" style="16" bestFit="1" customWidth="1"/>
    <col min="14085" max="14085" width="8.5703125" style="16" bestFit="1" customWidth="1"/>
    <col min="14086" max="14086" width="9.28515625" style="16" bestFit="1" customWidth="1"/>
    <col min="14087" max="14087" width="10.42578125" style="16" bestFit="1" customWidth="1"/>
    <col min="14088" max="14088" width="10.28515625" style="16" bestFit="1" customWidth="1"/>
    <col min="14089" max="14089" width="7.140625" style="16" bestFit="1" customWidth="1"/>
    <col min="14090" max="14090" width="7.28515625" style="16" customWidth="1"/>
    <col min="14091" max="14092" width="7" style="16" bestFit="1" customWidth="1"/>
    <col min="14093" max="14093" width="6.85546875" style="16" bestFit="1" customWidth="1"/>
    <col min="14094" max="14094" width="7" style="16" bestFit="1" customWidth="1"/>
    <col min="14095" max="14095" width="7.140625" style="16" bestFit="1"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9.42578125" style="16" customWidth="1"/>
    <col min="14339" max="14339" width="10.7109375" style="16" bestFit="1" customWidth="1"/>
    <col min="14340" max="14340" width="6.7109375" style="16" bestFit="1" customWidth="1"/>
    <col min="14341" max="14341" width="8.5703125" style="16" bestFit="1" customWidth="1"/>
    <col min="14342" max="14342" width="9.28515625" style="16" bestFit="1" customWidth="1"/>
    <col min="14343" max="14343" width="10.42578125" style="16" bestFit="1" customWidth="1"/>
    <col min="14344" max="14344" width="10.28515625" style="16" bestFit="1" customWidth="1"/>
    <col min="14345" max="14345" width="7.140625" style="16" bestFit="1" customWidth="1"/>
    <col min="14346" max="14346" width="7.28515625" style="16" customWidth="1"/>
    <col min="14347" max="14348" width="7" style="16" bestFit="1" customWidth="1"/>
    <col min="14349" max="14349" width="6.85546875" style="16" bestFit="1" customWidth="1"/>
    <col min="14350" max="14350" width="7" style="16" bestFit="1" customWidth="1"/>
    <col min="14351" max="14351" width="7.140625" style="16" bestFit="1"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9.42578125" style="16" customWidth="1"/>
    <col min="14595" max="14595" width="10.7109375" style="16" bestFit="1" customWidth="1"/>
    <col min="14596" max="14596" width="6.7109375" style="16" bestFit="1" customWidth="1"/>
    <col min="14597" max="14597" width="8.5703125" style="16" bestFit="1" customWidth="1"/>
    <col min="14598" max="14598" width="9.28515625" style="16" bestFit="1" customWidth="1"/>
    <col min="14599" max="14599" width="10.42578125" style="16" bestFit="1" customWidth="1"/>
    <col min="14600" max="14600" width="10.28515625" style="16" bestFit="1" customWidth="1"/>
    <col min="14601" max="14601" width="7.140625" style="16" bestFit="1" customWidth="1"/>
    <col min="14602" max="14602" width="7.28515625" style="16" customWidth="1"/>
    <col min="14603" max="14604" width="7" style="16" bestFit="1" customWidth="1"/>
    <col min="14605" max="14605" width="6.85546875" style="16" bestFit="1" customWidth="1"/>
    <col min="14606" max="14606" width="7" style="16" bestFit="1" customWidth="1"/>
    <col min="14607" max="14607" width="7.140625" style="16" bestFit="1"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9.42578125" style="16" customWidth="1"/>
    <col min="14851" max="14851" width="10.7109375" style="16" bestFit="1" customWidth="1"/>
    <col min="14852" max="14852" width="6.7109375" style="16" bestFit="1" customWidth="1"/>
    <col min="14853" max="14853" width="8.5703125" style="16" bestFit="1" customWidth="1"/>
    <col min="14854" max="14854" width="9.28515625" style="16" bestFit="1" customWidth="1"/>
    <col min="14855" max="14855" width="10.42578125" style="16" bestFit="1" customWidth="1"/>
    <col min="14856" max="14856" width="10.28515625" style="16" bestFit="1" customWidth="1"/>
    <col min="14857" max="14857" width="7.140625" style="16" bestFit="1" customWidth="1"/>
    <col min="14858" max="14858" width="7.28515625" style="16" customWidth="1"/>
    <col min="14859" max="14860" width="7" style="16" bestFit="1" customWidth="1"/>
    <col min="14861" max="14861" width="6.85546875" style="16" bestFit="1" customWidth="1"/>
    <col min="14862" max="14862" width="7" style="16" bestFit="1" customWidth="1"/>
    <col min="14863" max="14863" width="7.140625" style="16" bestFit="1"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9.42578125" style="16" customWidth="1"/>
    <col min="15107" max="15107" width="10.7109375" style="16" bestFit="1" customWidth="1"/>
    <col min="15108" max="15108" width="6.7109375" style="16" bestFit="1" customWidth="1"/>
    <col min="15109" max="15109" width="8.5703125" style="16" bestFit="1" customWidth="1"/>
    <col min="15110" max="15110" width="9.28515625" style="16" bestFit="1" customWidth="1"/>
    <col min="15111" max="15111" width="10.42578125" style="16" bestFit="1" customWidth="1"/>
    <col min="15112" max="15112" width="10.28515625" style="16" bestFit="1" customWidth="1"/>
    <col min="15113" max="15113" width="7.140625" style="16" bestFit="1" customWidth="1"/>
    <col min="15114" max="15114" width="7.28515625" style="16" customWidth="1"/>
    <col min="15115" max="15116" width="7" style="16" bestFit="1" customWidth="1"/>
    <col min="15117" max="15117" width="6.85546875" style="16" bestFit="1" customWidth="1"/>
    <col min="15118" max="15118" width="7" style="16" bestFit="1" customWidth="1"/>
    <col min="15119" max="15119" width="7.140625" style="16" bestFit="1"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9.42578125" style="16" customWidth="1"/>
    <col min="15363" max="15363" width="10.7109375" style="16" bestFit="1" customWidth="1"/>
    <col min="15364" max="15364" width="6.7109375" style="16" bestFit="1" customWidth="1"/>
    <col min="15365" max="15365" width="8.5703125" style="16" bestFit="1" customWidth="1"/>
    <col min="15366" max="15366" width="9.28515625" style="16" bestFit="1" customWidth="1"/>
    <col min="15367" max="15367" width="10.42578125" style="16" bestFit="1" customWidth="1"/>
    <col min="15368" max="15368" width="10.28515625" style="16" bestFit="1" customWidth="1"/>
    <col min="15369" max="15369" width="7.140625" style="16" bestFit="1" customWidth="1"/>
    <col min="15370" max="15370" width="7.28515625" style="16" customWidth="1"/>
    <col min="15371" max="15372" width="7" style="16" bestFit="1" customWidth="1"/>
    <col min="15373" max="15373" width="6.85546875" style="16" bestFit="1" customWidth="1"/>
    <col min="15374" max="15374" width="7" style="16" bestFit="1" customWidth="1"/>
    <col min="15375" max="15375" width="7.140625" style="16" bestFit="1"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9.42578125" style="16" customWidth="1"/>
    <col min="15619" max="15619" width="10.7109375" style="16" bestFit="1" customWidth="1"/>
    <col min="15620" max="15620" width="6.7109375" style="16" bestFit="1" customWidth="1"/>
    <col min="15621" max="15621" width="8.5703125" style="16" bestFit="1" customWidth="1"/>
    <col min="15622" max="15622" width="9.28515625" style="16" bestFit="1" customWidth="1"/>
    <col min="15623" max="15623" width="10.42578125" style="16" bestFit="1" customWidth="1"/>
    <col min="15624" max="15624" width="10.28515625" style="16" bestFit="1" customWidth="1"/>
    <col min="15625" max="15625" width="7.140625" style="16" bestFit="1" customWidth="1"/>
    <col min="15626" max="15626" width="7.28515625" style="16" customWidth="1"/>
    <col min="15627" max="15628" width="7" style="16" bestFit="1" customWidth="1"/>
    <col min="15629" max="15629" width="6.85546875" style="16" bestFit="1" customWidth="1"/>
    <col min="15630" max="15630" width="7" style="16" bestFit="1" customWidth="1"/>
    <col min="15631" max="15631" width="7.140625" style="16" bestFit="1"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9.42578125" style="16" customWidth="1"/>
    <col min="15875" max="15875" width="10.7109375" style="16" bestFit="1" customWidth="1"/>
    <col min="15876" max="15876" width="6.7109375" style="16" bestFit="1" customWidth="1"/>
    <col min="15877" max="15877" width="8.5703125" style="16" bestFit="1" customWidth="1"/>
    <col min="15878" max="15878" width="9.28515625" style="16" bestFit="1" customWidth="1"/>
    <col min="15879" max="15879" width="10.42578125" style="16" bestFit="1" customWidth="1"/>
    <col min="15880" max="15880" width="10.28515625" style="16" bestFit="1" customWidth="1"/>
    <col min="15881" max="15881" width="7.140625" style="16" bestFit="1" customWidth="1"/>
    <col min="15882" max="15882" width="7.28515625" style="16" customWidth="1"/>
    <col min="15883" max="15884" width="7" style="16" bestFit="1" customWidth="1"/>
    <col min="15885" max="15885" width="6.85546875" style="16" bestFit="1" customWidth="1"/>
    <col min="15886" max="15886" width="7" style="16" bestFit="1" customWidth="1"/>
    <col min="15887" max="15887" width="7.140625" style="16" bestFit="1"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9.42578125" style="16" customWidth="1"/>
    <col min="16131" max="16131" width="10.7109375" style="16" bestFit="1" customWidth="1"/>
    <col min="16132" max="16132" width="6.7109375" style="16" bestFit="1" customWidth="1"/>
    <col min="16133" max="16133" width="8.5703125" style="16" bestFit="1" customWidth="1"/>
    <col min="16134" max="16134" width="9.28515625" style="16" bestFit="1" customWidth="1"/>
    <col min="16135" max="16135" width="10.42578125" style="16" bestFit="1" customWidth="1"/>
    <col min="16136" max="16136" width="10.28515625" style="16" bestFit="1" customWidth="1"/>
    <col min="16137" max="16137" width="7.140625" style="16" bestFit="1" customWidth="1"/>
    <col min="16138" max="16138" width="7.28515625" style="16" customWidth="1"/>
    <col min="16139" max="16140" width="7" style="16" bestFit="1" customWidth="1"/>
    <col min="16141" max="16141" width="6.85546875" style="16" bestFit="1" customWidth="1"/>
    <col min="16142" max="16142" width="7" style="16" bestFit="1" customWidth="1"/>
    <col min="16143" max="16143" width="7.140625" style="16" bestFit="1"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22" s="1" customFormat="1" x14ac:dyDescent="0.2">
      <c r="A1" s="867" t="s">
        <v>449</v>
      </c>
      <c r="B1" s="868"/>
      <c r="C1" s="868"/>
      <c r="D1" s="869"/>
      <c r="E1" s="868"/>
      <c r="F1" s="868"/>
      <c r="G1" s="867" t="s">
        <v>102</v>
      </c>
      <c r="H1" s="869"/>
      <c r="I1" s="869" t="s">
        <v>907</v>
      </c>
      <c r="J1" s="868"/>
      <c r="K1" s="868"/>
      <c r="L1" s="870"/>
      <c r="M1" s="870"/>
      <c r="N1" s="870"/>
      <c r="O1" s="870"/>
    </row>
    <row r="2" spans="1:22" s="1" customFormat="1" x14ac:dyDescent="0.2">
      <c r="A2" s="867" t="s">
        <v>103</v>
      </c>
      <c r="B2" s="868"/>
      <c r="C2" s="868"/>
      <c r="D2" s="869"/>
      <c r="E2" s="868"/>
      <c r="F2" s="868"/>
      <c r="G2" s="867" t="s">
        <v>104</v>
      </c>
      <c r="H2" s="869"/>
      <c r="I2" s="869" t="s">
        <v>105</v>
      </c>
      <c r="J2" s="868"/>
      <c r="K2" s="868"/>
      <c r="L2" s="870"/>
      <c r="M2" s="870"/>
      <c r="N2" s="870"/>
      <c r="O2" s="870"/>
    </row>
    <row r="3" spans="1:22" s="1" customFormat="1" x14ac:dyDescent="0.2">
      <c r="A3" s="867" t="s">
        <v>106</v>
      </c>
      <c r="B3" s="868"/>
      <c r="C3" s="868"/>
      <c r="D3" s="881">
        <v>24086</v>
      </c>
      <c r="E3" s="882"/>
      <c r="F3" s="882"/>
      <c r="G3" s="867" t="s">
        <v>107</v>
      </c>
      <c r="H3" s="869"/>
      <c r="I3" s="869" t="s">
        <v>108</v>
      </c>
      <c r="J3" s="868"/>
      <c r="K3" s="868"/>
      <c r="L3" s="870"/>
      <c r="M3" s="870"/>
      <c r="N3" s="870"/>
      <c r="O3" s="870"/>
    </row>
    <row r="4" spans="1:22" s="1" customFormat="1" x14ac:dyDescent="0.2">
      <c r="A4" s="867" t="s">
        <v>109</v>
      </c>
      <c r="B4" s="868"/>
      <c r="C4" s="868"/>
      <c r="D4" s="869"/>
      <c r="E4" s="868"/>
      <c r="F4" s="868"/>
      <c r="G4" s="867" t="s">
        <v>110</v>
      </c>
      <c r="H4" s="869"/>
      <c r="I4" s="869" t="s">
        <v>272</v>
      </c>
      <c r="J4" s="868"/>
      <c r="K4" s="868"/>
      <c r="L4" s="870"/>
      <c r="M4" s="870"/>
      <c r="N4" s="870"/>
      <c r="O4" s="870"/>
    </row>
    <row r="5" spans="1:22" s="1" customFormat="1" x14ac:dyDescent="0.2">
      <c r="A5" s="867" t="s">
        <v>443</v>
      </c>
      <c r="B5" s="868"/>
      <c r="C5" s="868"/>
      <c r="D5" s="869" t="s">
        <v>908</v>
      </c>
      <c r="E5" s="868"/>
      <c r="F5" s="868"/>
      <c r="G5" s="867"/>
      <c r="H5" s="868"/>
      <c r="I5" s="869" t="s">
        <v>113</v>
      </c>
      <c r="J5" s="868"/>
      <c r="K5" s="868"/>
      <c r="L5" s="870"/>
      <c r="M5" s="870"/>
      <c r="N5" s="870"/>
      <c r="O5" s="870"/>
    </row>
    <row r="6" spans="1:22" s="1" customFormat="1" x14ac:dyDescent="0.2">
      <c r="A6" s="871" t="s">
        <v>114</v>
      </c>
      <c r="B6" s="872"/>
      <c r="C6" s="872"/>
      <c r="D6" s="868" t="s">
        <v>909</v>
      </c>
      <c r="E6" s="868"/>
      <c r="F6" s="868"/>
      <c r="G6" s="871" t="s">
        <v>115</v>
      </c>
      <c r="H6" s="871"/>
      <c r="I6" s="2" t="s">
        <v>116</v>
      </c>
      <c r="J6" s="888"/>
      <c r="K6" s="888"/>
      <c r="L6" s="888"/>
      <c r="M6" s="888"/>
      <c r="N6" s="888"/>
      <c r="O6" s="889"/>
    </row>
    <row r="7" spans="1:22" s="1" customFormat="1" ht="13.5" thickBot="1" x14ac:dyDescent="0.25">
      <c r="A7" s="3"/>
      <c r="B7" s="4"/>
      <c r="C7" s="5"/>
      <c r="D7" s="6"/>
      <c r="E7" s="6"/>
      <c r="F7" s="6"/>
      <c r="G7" s="6"/>
      <c r="H7" s="6"/>
      <c r="I7" s="6"/>
      <c r="J7" s="7"/>
      <c r="K7" s="8"/>
      <c r="L7" s="875" t="s">
        <v>223</v>
      </c>
      <c r="M7" s="875"/>
      <c r="N7" s="875"/>
      <c r="O7" s="875"/>
    </row>
    <row r="8" spans="1:22" s="11" customFormat="1" x14ac:dyDescent="0.2">
      <c r="A8" s="876" t="str">
        <f>I1</f>
        <v>Mr. L.S. Mahapadi</v>
      </c>
      <c r="B8" s="877"/>
      <c r="C8" s="9">
        <v>43160</v>
      </c>
      <c r="D8" s="9">
        <v>43191</v>
      </c>
      <c r="E8" s="9">
        <v>43221</v>
      </c>
      <c r="F8" s="9">
        <v>43252</v>
      </c>
      <c r="G8" s="9">
        <v>43282</v>
      </c>
      <c r="H8" s="9">
        <v>43313</v>
      </c>
      <c r="I8" s="9">
        <v>43344</v>
      </c>
      <c r="J8" s="9">
        <v>43374</v>
      </c>
      <c r="K8" s="9">
        <v>43405</v>
      </c>
      <c r="L8" s="9">
        <v>43435</v>
      </c>
      <c r="M8" s="9">
        <v>43466</v>
      </c>
      <c r="N8" s="9">
        <v>43497</v>
      </c>
      <c r="O8" s="10" t="s">
        <v>117</v>
      </c>
    </row>
    <row r="9" spans="1:22" ht="15" x14ac:dyDescent="0.2">
      <c r="A9" s="12"/>
      <c r="B9" s="13" t="s">
        <v>118</v>
      </c>
      <c r="C9" s="14">
        <v>0</v>
      </c>
      <c r="D9" s="14">
        <v>0</v>
      </c>
      <c r="E9" s="14">
        <v>0</v>
      </c>
      <c r="F9" s="14">
        <v>0</v>
      </c>
      <c r="G9" s="14">
        <v>0</v>
      </c>
      <c r="H9" s="14">
        <v>0</v>
      </c>
      <c r="I9" s="14">
        <v>0</v>
      </c>
      <c r="J9" s="14">
        <v>0</v>
      </c>
      <c r="K9" s="14">
        <v>0</v>
      </c>
      <c r="L9" s="14">
        <v>0</v>
      </c>
      <c r="M9" s="14">
        <v>0</v>
      </c>
      <c r="N9" s="14">
        <v>0</v>
      </c>
      <c r="O9" s="15">
        <f>SUM(C9:N9)</f>
        <v>0</v>
      </c>
    </row>
    <row r="10" spans="1:22"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22" ht="15" x14ac:dyDescent="0.2">
      <c r="A11" s="12"/>
      <c r="B11" s="13" t="s">
        <v>120</v>
      </c>
      <c r="C11" s="17">
        <v>0</v>
      </c>
      <c r="D11" s="17">
        <v>0</v>
      </c>
      <c r="E11" s="17">
        <v>0</v>
      </c>
      <c r="F11" s="17">
        <v>0</v>
      </c>
      <c r="G11" s="17">
        <v>0</v>
      </c>
      <c r="H11" s="17">
        <v>0</v>
      </c>
      <c r="I11" s="17">
        <v>0</v>
      </c>
      <c r="J11" s="17">
        <v>0</v>
      </c>
      <c r="K11" s="17">
        <v>0</v>
      </c>
      <c r="L11" s="17">
        <v>0</v>
      </c>
      <c r="M11" s="17">
        <v>0</v>
      </c>
      <c r="N11" s="17">
        <v>0</v>
      </c>
      <c r="O11" s="18">
        <f>SUM(C11:N11)</f>
        <v>0</v>
      </c>
    </row>
    <row r="12" spans="1:22"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22"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22" ht="15" x14ac:dyDescent="0.2">
      <c r="A14" s="12"/>
      <c r="B14" s="13" t="s">
        <v>123</v>
      </c>
      <c r="C14" s="17">
        <v>0</v>
      </c>
      <c r="D14" s="17">
        <v>0</v>
      </c>
      <c r="E14" s="17">
        <v>0</v>
      </c>
      <c r="F14" s="17">
        <v>0</v>
      </c>
      <c r="G14" s="17">
        <v>0</v>
      </c>
      <c r="H14" s="17">
        <v>0</v>
      </c>
      <c r="I14" s="17">
        <v>0</v>
      </c>
      <c r="J14" s="17">
        <v>0</v>
      </c>
      <c r="K14" s="17">
        <v>0</v>
      </c>
      <c r="L14" s="17">
        <v>0</v>
      </c>
      <c r="M14" s="17">
        <v>0</v>
      </c>
      <c r="N14" s="17">
        <v>0</v>
      </c>
      <c r="O14" s="18">
        <f t="shared" si="0"/>
        <v>0</v>
      </c>
    </row>
    <row r="15" spans="1:22"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22" ht="15"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c r="V16" s="16">
        <v>7</v>
      </c>
    </row>
    <row r="17" spans="1:22"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22"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22" ht="15" x14ac:dyDescent="0.2">
      <c r="A19" s="12"/>
      <c r="B19" s="13" t="s">
        <v>128</v>
      </c>
      <c r="C19" s="17">
        <v>0</v>
      </c>
      <c r="D19" s="17">
        <v>0</v>
      </c>
      <c r="E19" s="17">
        <v>0</v>
      </c>
      <c r="F19" s="17">
        <v>0</v>
      </c>
      <c r="G19" s="17">
        <v>0</v>
      </c>
      <c r="H19" s="17">
        <v>0</v>
      </c>
      <c r="I19" s="17">
        <v>0</v>
      </c>
      <c r="J19" s="17">
        <v>0</v>
      </c>
      <c r="K19" s="17">
        <v>0</v>
      </c>
      <c r="L19" s="17">
        <v>0</v>
      </c>
      <c r="M19" s="17">
        <v>0</v>
      </c>
      <c r="N19" s="17">
        <v>0</v>
      </c>
      <c r="O19" s="18">
        <f t="shared" si="0"/>
        <v>0</v>
      </c>
    </row>
    <row r="20" spans="1:22"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22" ht="15" hidden="1" customHeight="1" x14ac:dyDescent="0.2">
      <c r="A21" s="878"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22" ht="15" customHeight="1" x14ac:dyDescent="0.2">
      <c r="A22" s="879"/>
      <c r="B22" s="19" t="s">
        <v>132</v>
      </c>
      <c r="C22" s="17">
        <v>0</v>
      </c>
      <c r="D22" s="17">
        <v>0</v>
      </c>
      <c r="E22" s="17">
        <v>0</v>
      </c>
      <c r="F22" s="17">
        <v>0</v>
      </c>
      <c r="G22" s="17">
        <v>0</v>
      </c>
      <c r="H22" s="17">
        <v>0</v>
      </c>
      <c r="I22" s="17">
        <v>0</v>
      </c>
      <c r="J22" s="17">
        <v>0</v>
      </c>
      <c r="K22" s="17">
        <v>0</v>
      </c>
      <c r="L22" s="17">
        <v>0</v>
      </c>
      <c r="M22" s="17">
        <v>0</v>
      </c>
      <c r="N22" s="17">
        <v>0</v>
      </c>
      <c r="O22" s="18">
        <f t="shared" si="0"/>
        <v>0</v>
      </c>
    </row>
    <row r="23" spans="1:22" ht="15" hidden="1" customHeight="1" x14ac:dyDescent="0.2">
      <c r="A23" s="879"/>
      <c r="B23" s="19" t="s">
        <v>133</v>
      </c>
      <c r="C23" s="17">
        <v>0</v>
      </c>
      <c r="D23" s="17">
        <v>0</v>
      </c>
      <c r="E23" s="17">
        <v>0</v>
      </c>
      <c r="F23" s="17">
        <v>0</v>
      </c>
      <c r="G23" s="17">
        <v>0</v>
      </c>
      <c r="H23" s="17">
        <v>0</v>
      </c>
      <c r="I23" s="17">
        <v>0</v>
      </c>
      <c r="J23" s="17">
        <v>0</v>
      </c>
      <c r="K23" s="17">
        <v>0</v>
      </c>
      <c r="L23" s="17">
        <v>0</v>
      </c>
      <c r="M23" s="17">
        <v>0</v>
      </c>
      <c r="N23" s="17">
        <v>0</v>
      </c>
      <c r="O23" s="18">
        <f t="shared" si="0"/>
        <v>0</v>
      </c>
    </row>
    <row r="24" spans="1:22" ht="15" hidden="1" customHeight="1" x14ac:dyDescent="0.2">
      <c r="A24" s="879"/>
      <c r="B24" s="19" t="s">
        <v>134</v>
      </c>
      <c r="C24" s="17">
        <v>0</v>
      </c>
      <c r="D24" s="17">
        <v>0</v>
      </c>
      <c r="E24" s="17">
        <v>0</v>
      </c>
      <c r="F24" s="17">
        <v>0</v>
      </c>
      <c r="G24" s="17">
        <v>0</v>
      </c>
      <c r="H24" s="17">
        <v>0</v>
      </c>
      <c r="I24" s="17">
        <v>0</v>
      </c>
      <c r="J24" s="17">
        <v>0</v>
      </c>
      <c r="K24" s="17">
        <v>0</v>
      </c>
      <c r="L24" s="17">
        <v>0</v>
      </c>
      <c r="M24" s="17">
        <v>0</v>
      </c>
      <c r="N24" s="17">
        <v>0</v>
      </c>
      <c r="O24" s="18">
        <f t="shared" si="0"/>
        <v>0</v>
      </c>
    </row>
    <row r="25" spans="1:22" ht="15" hidden="1" customHeight="1" x14ac:dyDescent="0.2">
      <c r="A25" s="879"/>
      <c r="B25" s="19" t="s">
        <v>135</v>
      </c>
      <c r="C25" s="17">
        <v>0</v>
      </c>
      <c r="D25" s="17">
        <v>0</v>
      </c>
      <c r="E25" s="17">
        <v>0</v>
      </c>
      <c r="F25" s="17">
        <v>0</v>
      </c>
      <c r="G25" s="17">
        <v>0</v>
      </c>
      <c r="H25" s="17">
        <v>0</v>
      </c>
      <c r="I25" s="17">
        <v>0</v>
      </c>
      <c r="J25" s="17">
        <v>0</v>
      </c>
      <c r="K25" s="17">
        <v>0</v>
      </c>
      <c r="L25" s="17">
        <v>0</v>
      </c>
      <c r="M25" s="17">
        <v>0</v>
      </c>
      <c r="N25" s="17">
        <v>0</v>
      </c>
      <c r="O25" s="18">
        <f t="shared" si="0"/>
        <v>0</v>
      </c>
    </row>
    <row r="26" spans="1:22" ht="15" hidden="1" customHeight="1" x14ac:dyDescent="0.2">
      <c r="A26" s="879"/>
      <c r="B26" s="19" t="s">
        <v>136</v>
      </c>
      <c r="C26" s="17">
        <v>0</v>
      </c>
      <c r="D26" s="17">
        <v>0</v>
      </c>
      <c r="E26" s="17">
        <v>0</v>
      </c>
      <c r="F26" s="17">
        <v>0</v>
      </c>
      <c r="G26" s="17">
        <v>0</v>
      </c>
      <c r="H26" s="17">
        <v>0</v>
      </c>
      <c r="I26" s="17">
        <v>0</v>
      </c>
      <c r="J26" s="17">
        <v>0</v>
      </c>
      <c r="K26" s="17">
        <v>0</v>
      </c>
      <c r="L26" s="17">
        <v>0</v>
      </c>
      <c r="M26" s="17">
        <v>0</v>
      </c>
      <c r="N26" s="17">
        <v>0</v>
      </c>
      <c r="O26" s="18">
        <f t="shared" si="0"/>
        <v>0</v>
      </c>
      <c r="V26" s="16">
        <v>14</v>
      </c>
    </row>
    <row r="27" spans="1:22" ht="15" hidden="1" customHeight="1" x14ac:dyDescent="0.2">
      <c r="A27" s="879"/>
      <c r="B27" s="19" t="s">
        <v>137</v>
      </c>
      <c r="C27" s="17">
        <v>0</v>
      </c>
      <c r="D27" s="17">
        <v>0</v>
      </c>
      <c r="E27" s="17">
        <v>0</v>
      </c>
      <c r="F27" s="17">
        <v>0</v>
      </c>
      <c r="G27" s="17">
        <v>0</v>
      </c>
      <c r="H27" s="17">
        <v>0</v>
      </c>
      <c r="I27" s="17">
        <v>0</v>
      </c>
      <c r="J27" s="17">
        <v>0</v>
      </c>
      <c r="K27" s="17">
        <v>0</v>
      </c>
      <c r="L27" s="17">
        <v>0</v>
      </c>
      <c r="M27" s="17">
        <v>0</v>
      </c>
      <c r="N27" s="17">
        <v>0</v>
      </c>
      <c r="O27" s="18">
        <f t="shared" si="0"/>
        <v>0</v>
      </c>
    </row>
    <row r="28" spans="1:22" ht="15" hidden="1" customHeight="1" x14ac:dyDescent="0.2">
      <c r="A28" s="879"/>
      <c r="B28" s="19" t="s">
        <v>138</v>
      </c>
      <c r="C28" s="17">
        <v>0</v>
      </c>
      <c r="D28" s="17">
        <v>0</v>
      </c>
      <c r="E28" s="17">
        <v>0</v>
      </c>
      <c r="F28" s="17">
        <v>0</v>
      </c>
      <c r="G28" s="17">
        <v>0</v>
      </c>
      <c r="H28" s="17">
        <v>0</v>
      </c>
      <c r="I28" s="17">
        <v>0</v>
      </c>
      <c r="J28" s="17">
        <v>0</v>
      </c>
      <c r="K28" s="17">
        <v>0</v>
      </c>
      <c r="L28" s="17">
        <v>0</v>
      </c>
      <c r="M28" s="17">
        <v>0</v>
      </c>
      <c r="N28" s="17">
        <v>0</v>
      </c>
      <c r="O28" s="18">
        <f t="shared" si="0"/>
        <v>0</v>
      </c>
      <c r="V28" s="16">
        <v>21</v>
      </c>
    </row>
    <row r="29" spans="1:22" ht="15" hidden="1" customHeight="1" x14ac:dyDescent="0.2">
      <c r="A29" s="879"/>
      <c r="B29" s="19" t="s">
        <v>139</v>
      </c>
      <c r="C29" s="17">
        <v>0</v>
      </c>
      <c r="D29" s="17">
        <v>0</v>
      </c>
      <c r="E29" s="17">
        <v>0</v>
      </c>
      <c r="F29" s="17">
        <v>0</v>
      </c>
      <c r="G29" s="17">
        <v>0</v>
      </c>
      <c r="H29" s="17">
        <v>0</v>
      </c>
      <c r="I29" s="17">
        <v>0</v>
      </c>
      <c r="J29" s="17">
        <v>0</v>
      </c>
      <c r="K29" s="17">
        <v>0</v>
      </c>
      <c r="L29" s="17">
        <v>0</v>
      </c>
      <c r="M29" s="17">
        <v>0</v>
      </c>
      <c r="N29" s="17">
        <v>0</v>
      </c>
      <c r="O29" s="18">
        <f t="shared" si="0"/>
        <v>0</v>
      </c>
      <c r="V29" s="16">
        <v>19.758064516129</v>
      </c>
    </row>
    <row r="30" spans="1:22" ht="15" hidden="1" customHeight="1" x14ac:dyDescent="0.2">
      <c r="A30" s="879"/>
      <c r="B30" s="19" t="s">
        <v>140</v>
      </c>
      <c r="C30" s="17">
        <v>0</v>
      </c>
      <c r="D30" s="17">
        <v>0</v>
      </c>
      <c r="E30" s="17">
        <v>0</v>
      </c>
      <c r="F30" s="17">
        <v>0</v>
      </c>
      <c r="G30" s="17">
        <v>0</v>
      </c>
      <c r="H30" s="17">
        <v>0</v>
      </c>
      <c r="I30" s="17">
        <v>0</v>
      </c>
      <c r="J30" s="17">
        <v>0</v>
      </c>
      <c r="K30" s="17">
        <v>0</v>
      </c>
      <c r="L30" s="17">
        <v>0</v>
      </c>
      <c r="M30" s="17">
        <v>0</v>
      </c>
      <c r="N30" s="17">
        <v>0</v>
      </c>
      <c r="O30" s="18">
        <f t="shared" si="0"/>
        <v>0</v>
      </c>
      <c r="V30" s="16">
        <v>20.7741935483871</v>
      </c>
    </row>
    <row r="31" spans="1:22" ht="15" hidden="1" customHeight="1" x14ac:dyDescent="0.2">
      <c r="A31" s="879"/>
      <c r="B31" s="19" t="s">
        <v>225</v>
      </c>
      <c r="C31" s="17">
        <v>0</v>
      </c>
      <c r="D31" s="17">
        <v>0</v>
      </c>
      <c r="E31" s="17">
        <v>0</v>
      </c>
      <c r="F31" s="17">
        <v>0</v>
      </c>
      <c r="G31" s="17">
        <v>0</v>
      </c>
      <c r="H31" s="17">
        <v>0</v>
      </c>
      <c r="I31" s="17">
        <v>0</v>
      </c>
      <c r="J31" s="17">
        <v>0</v>
      </c>
      <c r="K31" s="17">
        <v>0</v>
      </c>
      <c r="L31" s="17">
        <v>0</v>
      </c>
      <c r="M31" s="17">
        <v>0</v>
      </c>
      <c r="N31" s="17">
        <v>0</v>
      </c>
      <c r="O31" s="18">
        <f t="shared" si="0"/>
        <v>0</v>
      </c>
      <c r="V31" s="16">
        <v>21.790322580645199</v>
      </c>
    </row>
    <row r="32" spans="1:22" ht="15" customHeight="1" x14ac:dyDescent="0.2">
      <c r="A32" s="879"/>
      <c r="B32" s="344" t="s">
        <v>143</v>
      </c>
      <c r="C32" s="17">
        <v>0</v>
      </c>
      <c r="D32" s="17">
        <v>0</v>
      </c>
      <c r="E32" s="17">
        <v>0</v>
      </c>
      <c r="F32" s="17">
        <v>0</v>
      </c>
      <c r="G32" s="17">
        <v>0</v>
      </c>
      <c r="H32" s="17">
        <v>0</v>
      </c>
      <c r="I32" s="17">
        <v>0</v>
      </c>
      <c r="J32" s="17">
        <v>0</v>
      </c>
      <c r="K32" s="17">
        <v>0</v>
      </c>
      <c r="L32" s="17">
        <v>0</v>
      </c>
      <c r="M32" s="17">
        <v>0</v>
      </c>
      <c r="N32" s="17">
        <v>0</v>
      </c>
      <c r="O32" s="18">
        <f t="shared" si="0"/>
        <v>0</v>
      </c>
    </row>
    <row r="33" spans="1:16" ht="15" hidden="1" customHeight="1" x14ac:dyDescent="0.2">
      <c r="A33" s="880"/>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865" t="s">
        <v>142</v>
      </c>
      <c r="B34" s="866"/>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865" t="s">
        <v>145</v>
      </c>
      <c r="B35" s="866"/>
      <c r="C35" s="17">
        <v>0</v>
      </c>
      <c r="D35" s="17">
        <v>0</v>
      </c>
      <c r="E35" s="17">
        <v>0</v>
      </c>
      <c r="F35" s="17">
        <v>0</v>
      </c>
      <c r="G35" s="17">
        <v>0</v>
      </c>
      <c r="H35" s="17">
        <v>0</v>
      </c>
      <c r="I35" s="17">
        <v>0</v>
      </c>
      <c r="J35" s="17">
        <v>0</v>
      </c>
      <c r="K35" s="17">
        <v>0</v>
      </c>
      <c r="L35" s="17">
        <v>0</v>
      </c>
      <c r="M35" s="17">
        <v>0</v>
      </c>
      <c r="N35" s="17">
        <v>0</v>
      </c>
      <c r="O35" s="18">
        <f t="shared" si="0"/>
        <v>0</v>
      </c>
    </row>
    <row r="36" spans="1:16" ht="15" customHeight="1" x14ac:dyDescent="0.2">
      <c r="A36" s="865" t="s">
        <v>146</v>
      </c>
      <c r="B36" s="866"/>
      <c r="C36" s="17">
        <v>0</v>
      </c>
      <c r="D36" s="17">
        <v>0</v>
      </c>
      <c r="E36" s="17">
        <v>0</v>
      </c>
      <c r="F36" s="17">
        <v>0</v>
      </c>
      <c r="G36" s="17">
        <v>0</v>
      </c>
      <c r="H36" s="17">
        <v>0</v>
      </c>
      <c r="I36" s="17">
        <v>0</v>
      </c>
      <c r="J36" s="17">
        <v>0</v>
      </c>
      <c r="K36" s="17">
        <v>0</v>
      </c>
      <c r="L36" s="17">
        <v>0</v>
      </c>
      <c r="M36" s="17">
        <v>0</v>
      </c>
      <c r="N36" s="17">
        <v>0</v>
      </c>
      <c r="O36" s="18">
        <f t="shared" si="0"/>
        <v>0</v>
      </c>
    </row>
    <row r="37" spans="1:16" ht="15" customHeight="1" x14ac:dyDescent="0.2">
      <c r="A37" s="22"/>
      <c r="B37" s="23" t="s">
        <v>147</v>
      </c>
      <c r="C37" s="24">
        <f t="shared" ref="C37:N37" si="1">SUM(C9:C36)</f>
        <v>0</v>
      </c>
      <c r="D37" s="24">
        <f t="shared" si="1"/>
        <v>0</v>
      </c>
      <c r="E37" s="24">
        <f t="shared" si="1"/>
        <v>0</v>
      </c>
      <c r="F37" s="24">
        <f t="shared" si="1"/>
        <v>0</v>
      </c>
      <c r="G37" s="24">
        <f t="shared" si="1"/>
        <v>0</v>
      </c>
      <c r="H37" s="24">
        <f t="shared" si="1"/>
        <v>0</v>
      </c>
      <c r="I37" s="24">
        <f t="shared" si="1"/>
        <v>0</v>
      </c>
      <c r="J37" s="24">
        <f t="shared" si="1"/>
        <v>0</v>
      </c>
      <c r="K37" s="24">
        <f t="shared" si="1"/>
        <v>0</v>
      </c>
      <c r="L37" s="24">
        <f t="shared" si="1"/>
        <v>0</v>
      </c>
      <c r="M37" s="24">
        <f t="shared" si="1"/>
        <v>0</v>
      </c>
      <c r="N37" s="24">
        <f t="shared" si="1"/>
        <v>0</v>
      </c>
      <c r="O37" s="25">
        <f>SUM(C37:N37)</f>
        <v>0</v>
      </c>
    </row>
    <row r="38" spans="1:16" ht="15" customHeight="1" x14ac:dyDescent="0.2">
      <c r="A38" s="853" t="s">
        <v>148</v>
      </c>
      <c r="B38" s="27" t="s">
        <v>149</v>
      </c>
      <c r="C38" s="28">
        <v>0</v>
      </c>
      <c r="D38" s="28">
        <v>0</v>
      </c>
      <c r="E38" s="28">
        <v>0</v>
      </c>
      <c r="F38" s="28">
        <v>0</v>
      </c>
      <c r="G38" s="28">
        <v>0</v>
      </c>
      <c r="H38" s="28">
        <v>0</v>
      </c>
      <c r="I38" s="28">
        <v>0</v>
      </c>
      <c r="J38" s="28">
        <v>0</v>
      </c>
      <c r="K38" s="28">
        <v>0</v>
      </c>
      <c r="L38" s="28">
        <v>0</v>
      </c>
      <c r="M38" s="28">
        <v>0</v>
      </c>
      <c r="N38" s="28">
        <v>0</v>
      </c>
      <c r="O38" s="18">
        <f>SUM(C38:N38)</f>
        <v>0</v>
      </c>
      <c r="P38" s="29"/>
    </row>
    <row r="39" spans="1:16" ht="15" x14ac:dyDescent="0.2">
      <c r="A39" s="854"/>
      <c r="B39" s="27" t="s">
        <v>150</v>
      </c>
      <c r="C39" s="28">
        <v>0</v>
      </c>
      <c r="D39" s="28">
        <v>0</v>
      </c>
      <c r="E39" s="28">
        <v>0</v>
      </c>
      <c r="F39" s="28">
        <v>0</v>
      </c>
      <c r="G39" s="28">
        <v>0</v>
      </c>
      <c r="H39" s="28">
        <v>0</v>
      </c>
      <c r="I39" s="28">
        <v>0</v>
      </c>
      <c r="J39" s="28">
        <v>0</v>
      </c>
      <c r="K39" s="28">
        <v>0</v>
      </c>
      <c r="L39" s="28">
        <v>0</v>
      </c>
      <c r="M39" s="28">
        <v>0</v>
      </c>
      <c r="N39" s="28">
        <v>0</v>
      </c>
      <c r="O39" s="18">
        <f>SUM(C39:N39)</f>
        <v>0</v>
      </c>
    </row>
    <row r="40" spans="1:16" ht="15" x14ac:dyDescent="0.2">
      <c r="A40" s="854"/>
      <c r="B40" s="27" t="s">
        <v>151</v>
      </c>
      <c r="C40" s="28">
        <v>0</v>
      </c>
      <c r="D40" s="28">
        <v>0</v>
      </c>
      <c r="E40" s="28">
        <v>0</v>
      </c>
      <c r="F40" s="28">
        <v>0</v>
      </c>
      <c r="G40" s="28">
        <v>0</v>
      </c>
      <c r="H40" s="28">
        <v>0</v>
      </c>
      <c r="I40" s="28">
        <v>0</v>
      </c>
      <c r="J40" s="28">
        <v>0</v>
      </c>
      <c r="K40" s="28">
        <v>0</v>
      </c>
      <c r="L40" s="28">
        <v>0</v>
      </c>
      <c r="M40" s="28">
        <v>0</v>
      </c>
      <c r="N40" s="28">
        <v>0</v>
      </c>
      <c r="O40" s="18">
        <f t="shared" ref="O40:O50" si="2">SUM(C40:N40)</f>
        <v>0</v>
      </c>
    </row>
    <row r="41" spans="1:16" ht="15" x14ac:dyDescent="0.2">
      <c r="A41" s="854"/>
      <c r="B41" s="27" t="s">
        <v>152</v>
      </c>
      <c r="C41" s="28">
        <v>0</v>
      </c>
      <c r="D41" s="28">
        <v>0</v>
      </c>
      <c r="E41" s="28">
        <v>0</v>
      </c>
      <c r="F41" s="28">
        <v>0</v>
      </c>
      <c r="G41" s="28">
        <v>0</v>
      </c>
      <c r="H41" s="28">
        <v>0</v>
      </c>
      <c r="I41" s="28">
        <v>0</v>
      </c>
      <c r="J41" s="28">
        <v>0</v>
      </c>
      <c r="K41" s="28">
        <v>0</v>
      </c>
      <c r="L41" s="28">
        <v>0</v>
      </c>
      <c r="M41" s="28">
        <v>0</v>
      </c>
      <c r="N41" s="28">
        <v>0</v>
      </c>
      <c r="O41" s="18">
        <f t="shared" si="2"/>
        <v>0</v>
      </c>
    </row>
    <row r="42" spans="1:16" ht="15" x14ac:dyDescent="0.2">
      <c r="A42" s="854"/>
      <c r="B42" s="27" t="s">
        <v>153</v>
      </c>
      <c r="C42" s="28">
        <v>0</v>
      </c>
      <c r="D42" s="28">
        <v>0</v>
      </c>
      <c r="E42" s="28">
        <v>0</v>
      </c>
      <c r="F42" s="28">
        <v>0</v>
      </c>
      <c r="G42" s="28">
        <v>0</v>
      </c>
      <c r="H42" s="28">
        <v>0</v>
      </c>
      <c r="I42" s="28">
        <v>0</v>
      </c>
      <c r="J42" s="28">
        <v>0</v>
      </c>
      <c r="K42" s="28">
        <v>0</v>
      </c>
      <c r="L42" s="28">
        <v>0</v>
      </c>
      <c r="M42" s="28">
        <v>0</v>
      </c>
      <c r="N42" s="28">
        <v>0</v>
      </c>
      <c r="O42" s="18">
        <f t="shared" si="2"/>
        <v>0</v>
      </c>
    </row>
    <row r="43" spans="1:16" ht="15" x14ac:dyDescent="0.2">
      <c r="A43" s="854"/>
      <c r="B43" s="27" t="s">
        <v>154</v>
      </c>
      <c r="C43" s="28">
        <v>0</v>
      </c>
      <c r="D43" s="28">
        <v>0</v>
      </c>
      <c r="E43" s="28">
        <v>0</v>
      </c>
      <c r="F43" s="28">
        <v>0</v>
      </c>
      <c r="G43" s="28">
        <v>0</v>
      </c>
      <c r="H43" s="28">
        <v>0</v>
      </c>
      <c r="I43" s="28">
        <v>0</v>
      </c>
      <c r="J43" s="28">
        <v>0</v>
      </c>
      <c r="K43" s="28">
        <v>0</v>
      </c>
      <c r="L43" s="28">
        <v>0</v>
      </c>
      <c r="M43" s="28">
        <v>0</v>
      </c>
      <c r="N43" s="28">
        <v>0</v>
      </c>
      <c r="O43" s="18">
        <f t="shared" si="2"/>
        <v>0</v>
      </c>
    </row>
    <row r="44" spans="1:16" ht="15" x14ac:dyDescent="0.2">
      <c r="A44" s="854"/>
      <c r="B44" s="27" t="s">
        <v>155</v>
      </c>
      <c r="C44" s="28">
        <v>0</v>
      </c>
      <c r="D44" s="28">
        <v>0</v>
      </c>
      <c r="E44" s="28">
        <v>0</v>
      </c>
      <c r="F44" s="28">
        <v>0</v>
      </c>
      <c r="G44" s="28">
        <v>0</v>
      </c>
      <c r="H44" s="28">
        <v>0</v>
      </c>
      <c r="I44" s="28">
        <v>0</v>
      </c>
      <c r="J44" s="28">
        <v>0</v>
      </c>
      <c r="K44" s="28">
        <v>0</v>
      </c>
      <c r="L44" s="28">
        <v>0</v>
      </c>
      <c r="M44" s="28">
        <v>0</v>
      </c>
      <c r="N44" s="28">
        <v>0</v>
      </c>
      <c r="O44" s="18">
        <f t="shared" si="2"/>
        <v>0</v>
      </c>
    </row>
    <row r="45" spans="1:16" ht="30" x14ac:dyDescent="0.2">
      <c r="A45" s="854"/>
      <c r="B45" s="27" t="s">
        <v>371</v>
      </c>
      <c r="C45" s="28">
        <v>0</v>
      </c>
      <c r="D45" s="28">
        <v>0</v>
      </c>
      <c r="E45" s="28">
        <v>0</v>
      </c>
      <c r="F45" s="28">
        <v>0</v>
      </c>
      <c r="G45" s="28">
        <v>0</v>
      </c>
      <c r="H45" s="28">
        <v>0</v>
      </c>
      <c r="I45" s="28">
        <v>0</v>
      </c>
      <c r="J45" s="28">
        <v>0</v>
      </c>
      <c r="K45" s="28">
        <v>0</v>
      </c>
      <c r="L45" s="28">
        <v>0</v>
      </c>
      <c r="M45" s="28">
        <v>0</v>
      </c>
      <c r="N45" s="28">
        <v>0</v>
      </c>
      <c r="O45" s="18">
        <f t="shared" si="2"/>
        <v>0</v>
      </c>
    </row>
    <row r="46" spans="1:16" ht="15" x14ac:dyDescent="0.2">
      <c r="A46" s="854"/>
      <c r="B46" s="27" t="s">
        <v>157</v>
      </c>
      <c r="C46" s="28">
        <v>0</v>
      </c>
      <c r="D46" s="28">
        <v>0</v>
      </c>
      <c r="E46" s="28">
        <v>0</v>
      </c>
      <c r="F46" s="28">
        <v>0</v>
      </c>
      <c r="G46" s="28">
        <v>0</v>
      </c>
      <c r="H46" s="28">
        <v>0</v>
      </c>
      <c r="I46" s="28">
        <v>0</v>
      </c>
      <c r="J46" s="28">
        <v>0</v>
      </c>
      <c r="K46" s="28">
        <v>0</v>
      </c>
      <c r="L46" s="28">
        <v>0</v>
      </c>
      <c r="M46" s="28">
        <v>0</v>
      </c>
      <c r="N46" s="28">
        <v>0</v>
      </c>
      <c r="O46" s="18">
        <f t="shared" si="2"/>
        <v>0</v>
      </c>
    </row>
    <row r="47" spans="1:16" ht="28.5" customHeight="1" x14ac:dyDescent="0.2">
      <c r="A47" s="855"/>
      <c r="B47" s="30" t="s">
        <v>158</v>
      </c>
      <c r="C47" s="28">
        <v>0</v>
      </c>
      <c r="D47" s="28">
        <v>0</v>
      </c>
      <c r="E47" s="28">
        <v>0</v>
      </c>
      <c r="F47" s="28">
        <v>0</v>
      </c>
      <c r="G47" s="28">
        <v>0</v>
      </c>
      <c r="H47" s="28">
        <v>0</v>
      </c>
      <c r="I47" s="28">
        <v>0</v>
      </c>
      <c r="J47" s="28">
        <v>0</v>
      </c>
      <c r="K47" s="28">
        <v>0</v>
      </c>
      <c r="L47" s="28">
        <v>0</v>
      </c>
      <c r="M47" s="28">
        <v>0</v>
      </c>
      <c r="N47" s="28">
        <v>0</v>
      </c>
      <c r="O47" s="31">
        <f t="shared" si="2"/>
        <v>0</v>
      </c>
    </row>
    <row r="48" spans="1:16" ht="45" x14ac:dyDescent="0.2">
      <c r="A48" s="856"/>
      <c r="B48" s="127" t="s">
        <v>910</v>
      </c>
      <c r="C48" s="28">
        <v>0</v>
      </c>
      <c r="D48" s="28">
        <v>0</v>
      </c>
      <c r="E48" s="28">
        <v>0</v>
      </c>
      <c r="F48" s="28">
        <v>0</v>
      </c>
      <c r="G48" s="28">
        <v>0</v>
      </c>
      <c r="H48" s="28">
        <v>0</v>
      </c>
      <c r="I48" s="28">
        <v>0</v>
      </c>
      <c r="J48" s="28">
        <v>0</v>
      </c>
      <c r="K48" s="28">
        <v>0</v>
      </c>
      <c r="L48" s="28">
        <v>0</v>
      </c>
      <c r="M48" s="28">
        <v>0</v>
      </c>
      <c r="N48" s="28">
        <v>0</v>
      </c>
      <c r="O48" s="31">
        <f t="shared" si="2"/>
        <v>0</v>
      </c>
    </row>
    <row r="49" spans="1:18" ht="15" x14ac:dyDescent="0.2">
      <c r="A49" s="857" t="s">
        <v>160</v>
      </c>
      <c r="B49" s="858"/>
      <c r="C49" s="33">
        <f t="shared" ref="C49:N49" si="3">SUM(C38:C48)</f>
        <v>0</v>
      </c>
      <c r="D49" s="33">
        <f t="shared" si="3"/>
        <v>0</v>
      </c>
      <c r="E49" s="33">
        <f t="shared" si="3"/>
        <v>0</v>
      </c>
      <c r="F49" s="33">
        <f t="shared" si="3"/>
        <v>0</v>
      </c>
      <c r="G49" s="33">
        <f t="shared" si="3"/>
        <v>0</v>
      </c>
      <c r="H49" s="33">
        <f t="shared" si="3"/>
        <v>0</v>
      </c>
      <c r="I49" s="33">
        <f t="shared" si="3"/>
        <v>0</v>
      </c>
      <c r="J49" s="33">
        <f t="shared" si="3"/>
        <v>0</v>
      </c>
      <c r="K49" s="33">
        <f t="shared" si="3"/>
        <v>0</v>
      </c>
      <c r="L49" s="33">
        <f t="shared" si="3"/>
        <v>0</v>
      </c>
      <c r="M49" s="33">
        <f t="shared" si="3"/>
        <v>0</v>
      </c>
      <c r="N49" s="33">
        <f t="shared" si="3"/>
        <v>0</v>
      </c>
      <c r="O49" s="34">
        <f t="shared" si="2"/>
        <v>0</v>
      </c>
    </row>
    <row r="50" spans="1:18" ht="15.75" thickBot="1" x14ac:dyDescent="0.25">
      <c r="A50" s="859" t="s">
        <v>161</v>
      </c>
      <c r="B50" s="860"/>
      <c r="C50" s="35">
        <f t="shared" ref="C50:N50" si="4">C37-C49</f>
        <v>0</v>
      </c>
      <c r="D50" s="35">
        <f t="shared" si="4"/>
        <v>0</v>
      </c>
      <c r="E50" s="35">
        <f t="shared" si="4"/>
        <v>0</v>
      </c>
      <c r="F50" s="35">
        <f t="shared" si="4"/>
        <v>0</v>
      </c>
      <c r="G50" s="35">
        <f t="shared" si="4"/>
        <v>0</v>
      </c>
      <c r="H50" s="35">
        <f t="shared" si="4"/>
        <v>0</v>
      </c>
      <c r="I50" s="35">
        <f t="shared" si="4"/>
        <v>0</v>
      </c>
      <c r="J50" s="35">
        <f t="shared" si="4"/>
        <v>0</v>
      </c>
      <c r="K50" s="35">
        <f t="shared" si="4"/>
        <v>0</v>
      </c>
      <c r="L50" s="35">
        <f t="shared" si="4"/>
        <v>0</v>
      </c>
      <c r="M50" s="35">
        <f t="shared" si="4"/>
        <v>0</v>
      </c>
      <c r="N50" s="35">
        <f t="shared" si="4"/>
        <v>0</v>
      </c>
      <c r="O50" s="36">
        <f t="shared" si="2"/>
        <v>0</v>
      </c>
      <c r="Q50" s="16">
        <f>18255+17655+15000+4084+18566+18686+20375*2+20000+3930+3454+21310*2+7500+21310+2000+20410+20278</f>
        <v>274498</v>
      </c>
    </row>
    <row r="51" spans="1:18" x14ac:dyDescent="0.2">
      <c r="C51" s="38"/>
      <c r="J51" s="300">
        <f>+J37-SUM(J22:J36)</f>
        <v>0</v>
      </c>
      <c r="Q51" s="38"/>
    </row>
    <row r="52" spans="1:18" ht="13.5" thickBot="1" x14ac:dyDescent="0.25">
      <c r="J52" s="38">
        <f>+J51-J49</f>
        <v>0</v>
      </c>
    </row>
    <row r="53" spans="1:18" ht="13.5" thickBot="1" x14ac:dyDescent="0.25">
      <c r="B53" s="789" t="s">
        <v>162</v>
      </c>
      <c r="C53" s="861"/>
      <c r="D53" s="861"/>
      <c r="E53" s="861"/>
      <c r="F53" s="862"/>
      <c r="G53" s="863">
        <f>O37</f>
        <v>0</v>
      </c>
      <c r="H53" s="864"/>
    </row>
    <row r="54" spans="1:18" ht="13.5" thickBot="1" x14ac:dyDescent="0.25"/>
    <row r="55" spans="1:18" x14ac:dyDescent="0.2">
      <c r="B55" s="830" t="s">
        <v>163</v>
      </c>
      <c r="C55" s="833" t="s">
        <v>164</v>
      </c>
      <c r="D55" s="836" t="s">
        <v>229</v>
      </c>
      <c r="E55" s="837"/>
      <c r="F55" s="838"/>
      <c r="G55" s="839">
        <v>40000</v>
      </c>
      <c r="H55" s="840"/>
    </row>
    <row r="56" spans="1:18" x14ac:dyDescent="0.2">
      <c r="B56" s="831"/>
      <c r="C56" s="834"/>
      <c r="D56" s="841" t="s">
        <v>166</v>
      </c>
      <c r="E56" s="842"/>
      <c r="F56" s="843"/>
      <c r="G56" s="844">
        <f>+O44</f>
        <v>0</v>
      </c>
      <c r="H56" s="845"/>
      <c r="I56" s="39"/>
      <c r="J56" s="846"/>
      <c r="K56" s="846"/>
      <c r="L56" s="846"/>
      <c r="M56" s="847"/>
      <c r="N56" s="847"/>
      <c r="O56" s="847"/>
    </row>
    <row r="57" spans="1:18" ht="13.5" thickBot="1" x14ac:dyDescent="0.25">
      <c r="B57" s="832"/>
      <c r="C57" s="835"/>
      <c r="D57" s="848" t="s">
        <v>243</v>
      </c>
      <c r="E57" s="849"/>
      <c r="F57" s="850"/>
      <c r="G57" s="851">
        <f>IF(O18&gt;15000,15000,+O18)</f>
        <v>0</v>
      </c>
      <c r="H57" s="852"/>
      <c r="J57" s="47"/>
      <c r="K57" s="47"/>
      <c r="L57" s="47"/>
      <c r="M57" s="47"/>
      <c r="N57" s="47"/>
      <c r="O57" s="47"/>
    </row>
    <row r="58" spans="1:18" ht="13.5" thickBot="1" x14ac:dyDescent="0.25">
      <c r="B58" s="48"/>
      <c r="J58" s="47"/>
      <c r="K58" s="47"/>
      <c r="L58" s="47"/>
      <c r="M58" s="47"/>
      <c r="N58" s="47"/>
      <c r="O58" s="47"/>
    </row>
    <row r="59" spans="1:18" ht="13.5" thickBot="1" x14ac:dyDescent="0.25">
      <c r="B59" s="789" t="s">
        <v>168</v>
      </c>
      <c r="C59" s="790"/>
      <c r="D59" s="790"/>
      <c r="E59" s="790"/>
      <c r="F59" s="791"/>
      <c r="G59" s="825">
        <f>+G53-SUM(G55:H57)</f>
        <v>-40000</v>
      </c>
      <c r="H59" s="826"/>
      <c r="J59" s="827" t="s">
        <v>169</v>
      </c>
      <c r="K59" s="828"/>
      <c r="L59" s="828"/>
      <c r="M59" s="828"/>
      <c r="N59" s="828"/>
      <c r="O59" s="829"/>
    </row>
    <row r="60" spans="1:18" ht="13.5" thickBot="1" x14ac:dyDescent="0.25">
      <c r="B60" s="49"/>
      <c r="C60" s="50"/>
      <c r="D60" s="50"/>
      <c r="E60" s="50"/>
      <c r="F60" s="50"/>
      <c r="G60" s="45"/>
      <c r="H60" s="50"/>
      <c r="J60" s="129"/>
      <c r="K60" s="130"/>
      <c r="L60" s="130"/>
      <c r="M60" s="130"/>
      <c r="N60" s="130"/>
      <c r="O60" s="131"/>
    </row>
    <row r="61" spans="1:18" ht="13.5" thickBot="1" x14ac:dyDescent="0.25">
      <c r="B61" s="789" t="s">
        <v>170</v>
      </c>
      <c r="C61" s="790"/>
      <c r="D61" s="790"/>
      <c r="E61" s="790"/>
      <c r="F61" s="791"/>
      <c r="G61" s="805"/>
      <c r="H61" s="791"/>
      <c r="J61" s="129"/>
      <c r="K61" s="130"/>
      <c r="L61" s="130"/>
      <c r="M61" s="130"/>
      <c r="N61" s="130"/>
      <c r="O61" s="131"/>
    </row>
    <row r="62" spans="1:18" ht="12.75" customHeight="1" x14ac:dyDescent="0.2">
      <c r="B62" s="57" t="s">
        <v>171</v>
      </c>
      <c r="C62" s="806" t="s">
        <v>172</v>
      </c>
      <c r="D62" s="807"/>
      <c r="E62" s="807"/>
      <c r="F62" s="808"/>
      <c r="G62" s="809">
        <v>27894</v>
      </c>
      <c r="H62" s="809"/>
      <c r="I62" s="58"/>
      <c r="J62" s="810" t="s">
        <v>173</v>
      </c>
      <c r="K62" s="811"/>
      <c r="L62" s="811"/>
      <c r="M62" s="811"/>
      <c r="N62" s="811"/>
      <c r="O62" s="812"/>
      <c r="Q62" s="59"/>
      <c r="R62" s="59"/>
    </row>
    <row r="63" spans="1:18" ht="13.5" thickBot="1" x14ac:dyDescent="0.25">
      <c r="D63" s="37"/>
      <c r="I63" s="58"/>
      <c r="J63" s="60" t="s">
        <v>911</v>
      </c>
      <c r="K63" s="132"/>
      <c r="L63" s="132"/>
      <c r="M63" s="133"/>
      <c r="N63" s="133"/>
      <c r="O63" s="134"/>
      <c r="Q63" s="59"/>
      <c r="R63" s="59"/>
    </row>
    <row r="64" spans="1:18" ht="13.5" thickBot="1" x14ac:dyDescent="0.25">
      <c r="B64" s="789" t="s">
        <v>175</v>
      </c>
      <c r="C64" s="790"/>
      <c r="D64" s="790"/>
      <c r="E64" s="790"/>
      <c r="F64" s="791"/>
      <c r="G64" s="805">
        <f>+G59-G62</f>
        <v>-67894</v>
      </c>
      <c r="H64" s="791"/>
      <c r="I64" s="63"/>
      <c r="J64" s="64"/>
      <c r="K64" s="39"/>
      <c r="L64" s="39"/>
      <c r="M64" s="39"/>
      <c r="N64" s="39"/>
      <c r="O64" s="65"/>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6.25" customHeight="1" thickBot="1" x14ac:dyDescent="0.25">
      <c r="B67" s="66"/>
      <c r="C67" s="48"/>
      <c r="G67" s="70" t="s">
        <v>177</v>
      </c>
      <c r="H67" s="70" t="s">
        <v>178</v>
      </c>
      <c r="I67" s="63"/>
      <c r="J67" s="810" t="s">
        <v>179</v>
      </c>
      <c r="K67" s="811"/>
      <c r="L67" s="71"/>
      <c r="M67" s="71"/>
      <c r="N67" s="71"/>
      <c r="O67" s="72"/>
      <c r="Q67" s="59"/>
      <c r="R67" s="59"/>
    </row>
    <row r="68" spans="2:18" ht="12.75" customHeight="1" x14ac:dyDescent="0.2">
      <c r="B68" s="802" t="s">
        <v>180</v>
      </c>
      <c r="C68" s="821" t="s">
        <v>181</v>
      </c>
      <c r="D68" s="823" t="s">
        <v>182</v>
      </c>
      <c r="E68" s="824"/>
      <c r="F68" s="824"/>
      <c r="G68" s="73">
        <f>+O43</f>
        <v>0</v>
      </c>
      <c r="H68" s="74">
        <f t="shared" ref="H68:H76" si="5">+G68</f>
        <v>0</v>
      </c>
      <c r="I68" s="63"/>
      <c r="J68" s="181" t="s">
        <v>912</v>
      </c>
      <c r="K68" s="58"/>
      <c r="L68" s="58"/>
      <c r="M68" s="135" t="s">
        <v>232</v>
      </c>
      <c r="N68" s="135" t="s">
        <v>233</v>
      </c>
      <c r="O68" s="76">
        <f>510*12</f>
        <v>6120</v>
      </c>
      <c r="Q68" s="59"/>
      <c r="R68" s="59"/>
    </row>
    <row r="69" spans="2:18" ht="12.75" customHeight="1" x14ac:dyDescent="0.2">
      <c r="B69" s="803"/>
      <c r="C69" s="822"/>
      <c r="D69" s="782" t="s">
        <v>184</v>
      </c>
      <c r="E69" s="783"/>
      <c r="F69" s="783"/>
      <c r="G69" s="77">
        <f>+O47+510*12</f>
        <v>6120</v>
      </c>
      <c r="H69" s="78">
        <f t="shared" si="5"/>
        <v>6120</v>
      </c>
      <c r="I69" s="63"/>
      <c r="J69" s="79"/>
      <c r="K69" s="68"/>
      <c r="L69" s="68"/>
      <c r="M69" s="68"/>
      <c r="N69" s="68"/>
      <c r="O69" s="69"/>
      <c r="Q69" s="59"/>
      <c r="R69" s="59"/>
    </row>
    <row r="70" spans="2:18" ht="12.75" customHeight="1" x14ac:dyDescent="0.2">
      <c r="B70" s="803"/>
      <c r="C70" s="822"/>
      <c r="D70" s="819" t="s">
        <v>185</v>
      </c>
      <c r="E70" s="820"/>
      <c r="F70" s="820"/>
      <c r="G70" s="80">
        <f>O40</f>
        <v>0</v>
      </c>
      <c r="H70" s="78">
        <f t="shared" si="5"/>
        <v>0</v>
      </c>
      <c r="I70" s="63"/>
      <c r="J70" s="67"/>
      <c r="K70" s="68"/>
      <c r="L70" s="68"/>
      <c r="M70" s="68"/>
      <c r="N70" s="68"/>
      <c r="O70" s="69"/>
    </row>
    <row r="71" spans="2:18" x14ac:dyDescent="0.2">
      <c r="B71" s="803"/>
      <c r="C71" s="822"/>
      <c r="D71" s="782" t="s">
        <v>913</v>
      </c>
      <c r="E71" s="783"/>
      <c r="F71" s="783"/>
      <c r="G71" s="81">
        <v>0</v>
      </c>
      <c r="H71" s="78">
        <f t="shared" si="5"/>
        <v>0</v>
      </c>
      <c r="I71" s="63"/>
      <c r="J71" s="82" t="s">
        <v>187</v>
      </c>
      <c r="K71" s="71"/>
      <c r="L71" s="71"/>
      <c r="M71" s="71"/>
      <c r="N71" s="71"/>
      <c r="O71" s="72"/>
    </row>
    <row r="72" spans="2:18" ht="12.75" customHeight="1" x14ac:dyDescent="0.2">
      <c r="B72" s="803"/>
      <c r="C72" s="822"/>
      <c r="D72" s="784" t="s">
        <v>188</v>
      </c>
      <c r="E72" s="783"/>
      <c r="F72" s="783"/>
      <c r="G72" s="80">
        <v>0</v>
      </c>
      <c r="H72" s="78">
        <f t="shared" si="5"/>
        <v>0</v>
      </c>
      <c r="I72" s="63"/>
      <c r="J72" s="75" t="s">
        <v>189</v>
      </c>
      <c r="K72" s="50"/>
      <c r="L72" s="50"/>
      <c r="M72" s="50"/>
      <c r="N72" s="50"/>
      <c r="O72" s="83">
        <v>0</v>
      </c>
    </row>
    <row r="73" spans="2:18" ht="14.25" customHeight="1" x14ac:dyDescent="0.2">
      <c r="B73" s="803"/>
      <c r="C73" s="822"/>
      <c r="D73" s="782" t="s">
        <v>190</v>
      </c>
      <c r="E73" s="783"/>
      <c r="F73" s="783"/>
      <c r="G73" s="84">
        <v>0</v>
      </c>
      <c r="H73" s="78">
        <f t="shared" si="5"/>
        <v>0</v>
      </c>
      <c r="I73" s="63"/>
      <c r="J73" s="64"/>
      <c r="K73" s="39"/>
      <c r="L73" s="39"/>
      <c r="M73" s="39"/>
      <c r="N73" s="39"/>
      <c r="O73" s="65"/>
    </row>
    <row r="74" spans="2:18" x14ac:dyDescent="0.2">
      <c r="B74" s="803"/>
      <c r="C74" s="822"/>
      <c r="D74" s="782" t="s">
        <v>191</v>
      </c>
      <c r="E74" s="783"/>
      <c r="F74" s="783"/>
      <c r="G74" s="81">
        <v>25146</v>
      </c>
      <c r="H74" s="78">
        <f t="shared" si="5"/>
        <v>25146</v>
      </c>
      <c r="I74" s="58"/>
      <c r="J74" s="150"/>
      <c r="K74" s="50"/>
      <c r="L74" s="50"/>
      <c r="M74" s="50"/>
      <c r="N74" s="50"/>
      <c r="O74" s="83"/>
    </row>
    <row r="75" spans="2:18" x14ac:dyDescent="0.2">
      <c r="B75" s="803"/>
      <c r="C75" s="88" t="s">
        <v>192</v>
      </c>
      <c r="D75" s="813" t="s">
        <v>193</v>
      </c>
      <c r="E75" s="814"/>
      <c r="F75" s="814"/>
      <c r="G75" s="80">
        <v>0</v>
      </c>
      <c r="H75" s="78">
        <f t="shared" si="5"/>
        <v>0</v>
      </c>
      <c r="I75" s="58"/>
      <c r="J75" s="79"/>
      <c r="K75" s="39"/>
      <c r="L75" s="39"/>
      <c r="M75" s="39"/>
      <c r="N75" s="39"/>
      <c r="O75" s="65"/>
    </row>
    <row r="76" spans="2:18" ht="13.5" customHeight="1" thickBot="1" x14ac:dyDescent="0.25">
      <c r="B76" s="803"/>
      <c r="C76" s="88" t="s">
        <v>194</v>
      </c>
      <c r="D76" s="815" t="s">
        <v>195</v>
      </c>
      <c r="E76" s="815"/>
      <c r="F76" s="815"/>
      <c r="G76" s="89">
        <v>0</v>
      </c>
      <c r="H76" s="90">
        <f t="shared" si="5"/>
        <v>0</v>
      </c>
      <c r="I76" s="63"/>
      <c r="J76" s="67"/>
      <c r="K76" s="68"/>
      <c r="L76" s="68"/>
      <c r="M76" s="91"/>
      <c r="N76" s="91"/>
      <c r="O76" s="92"/>
    </row>
    <row r="77" spans="2:18" ht="13.5" thickBot="1" x14ac:dyDescent="0.25">
      <c r="B77" s="803"/>
      <c r="C77" s="93"/>
      <c r="D77" s="94"/>
      <c r="E77" s="816" t="s">
        <v>117</v>
      </c>
      <c r="F77" s="817"/>
      <c r="G77" s="95">
        <f>SUM(G68:G76)</f>
        <v>31266</v>
      </c>
      <c r="H77" s="96">
        <f>IF(SUM(G68:G74)&lt;150000,SUM(G68:G74),150000)+IF(+G75&lt;20000,+G75,20000)</f>
        <v>31266</v>
      </c>
      <c r="I77" s="63"/>
      <c r="J77" s="140"/>
      <c r="K77" s="141"/>
      <c r="L77" s="141"/>
      <c r="M77" s="142"/>
      <c r="N77" s="142"/>
      <c r="O77" s="143"/>
    </row>
    <row r="78" spans="2:18" ht="12.75" customHeight="1" x14ac:dyDescent="0.2">
      <c r="B78" s="803"/>
      <c r="C78" s="100" t="s">
        <v>196</v>
      </c>
      <c r="D78" s="782" t="s">
        <v>187</v>
      </c>
      <c r="E78" s="783"/>
      <c r="F78" s="818"/>
      <c r="G78" s="73">
        <f>+O42</f>
        <v>0</v>
      </c>
      <c r="H78" s="101">
        <f>+IF(+G78&lt;25000,+G78,25000)</f>
        <v>0</v>
      </c>
      <c r="I78" s="87"/>
    </row>
    <row r="79" spans="2:18" x14ac:dyDescent="0.2">
      <c r="B79" s="803"/>
      <c r="C79" s="100" t="s">
        <v>197</v>
      </c>
      <c r="D79" s="784" t="s">
        <v>198</v>
      </c>
      <c r="E79" s="785"/>
      <c r="F79" s="786"/>
      <c r="G79" s="102"/>
      <c r="H79" s="103">
        <f>+IF(+G79&lt;40000,+G79,40000)</f>
        <v>0</v>
      </c>
      <c r="I79" s="63"/>
    </row>
    <row r="80" spans="2:18" ht="15" x14ac:dyDescent="0.25">
      <c r="B80" s="803"/>
      <c r="C80" s="100" t="s">
        <v>199</v>
      </c>
      <c r="D80" s="784" t="s">
        <v>200</v>
      </c>
      <c r="E80" s="785"/>
      <c r="F80" s="786"/>
      <c r="G80" s="81"/>
      <c r="H80" s="104">
        <v>0</v>
      </c>
      <c r="I80" s="63"/>
      <c r="J80" s="264"/>
      <c r="K80" s="264"/>
      <c r="L80" s="264"/>
    </row>
    <row r="81" spans="2:12" x14ac:dyDescent="0.2">
      <c r="B81" s="803"/>
      <c r="C81" s="100" t="s">
        <v>201</v>
      </c>
      <c r="D81" s="784" t="s">
        <v>202</v>
      </c>
      <c r="E81" s="785"/>
      <c r="F81" s="786"/>
      <c r="G81" s="81"/>
      <c r="H81" s="104">
        <v>0</v>
      </c>
      <c r="I81" s="63"/>
    </row>
    <row r="82" spans="2:12" ht="13.5" thickBot="1" x14ac:dyDescent="0.25">
      <c r="B82" s="804"/>
      <c r="C82" s="100" t="s">
        <v>203</v>
      </c>
      <c r="D82" s="784" t="s">
        <v>204</v>
      </c>
      <c r="E82" s="785"/>
      <c r="F82" s="786"/>
      <c r="G82" s="102"/>
      <c r="H82" s="103">
        <f>+IF(+G82&lt;100000,+G82,10000)</f>
        <v>0</v>
      </c>
      <c r="I82" s="63"/>
      <c r="J82" s="106"/>
    </row>
    <row r="83" spans="2:12" ht="13.5" thickBot="1" x14ac:dyDescent="0.25">
      <c r="B83" s="787" t="s">
        <v>205</v>
      </c>
      <c r="C83" s="788"/>
      <c r="D83" s="788"/>
      <c r="E83" s="788"/>
      <c r="F83" s="788"/>
      <c r="G83" s="107">
        <f>SUM(G78:G82)</f>
        <v>0</v>
      </c>
      <c r="H83" s="108">
        <f>SUM(H77:H82)</f>
        <v>31266</v>
      </c>
    </row>
    <row r="84" spans="2:12" ht="13.5" thickBot="1" x14ac:dyDescent="0.25"/>
    <row r="85" spans="2:12" ht="13.5" thickBot="1" x14ac:dyDescent="0.25">
      <c r="B85" s="789" t="s">
        <v>206</v>
      </c>
      <c r="C85" s="790"/>
      <c r="D85" s="790"/>
      <c r="E85" s="790"/>
      <c r="F85" s="791"/>
      <c r="G85" s="792">
        <f>+G64-H83</f>
        <v>-99160</v>
      </c>
      <c r="H85" s="791"/>
      <c r="J85" s="109">
        <f>C37+D37+E37+F37</f>
        <v>0</v>
      </c>
      <c r="K85" s="16" t="s">
        <v>235</v>
      </c>
      <c r="L85" s="87"/>
    </row>
    <row r="86" spans="2:12" x14ac:dyDescent="0.2">
      <c r="B86" s="110"/>
      <c r="F86" s="105"/>
      <c r="J86" s="109">
        <f>G37+H37+I37</f>
        <v>0</v>
      </c>
      <c r="K86" s="16" t="s">
        <v>236</v>
      </c>
      <c r="L86" s="87"/>
    </row>
    <row r="87" spans="2:12" x14ac:dyDescent="0.2">
      <c r="C87" s="793" t="s">
        <v>207</v>
      </c>
      <c r="D87" s="794"/>
      <c r="E87" s="111" t="s">
        <v>208</v>
      </c>
      <c r="F87" s="111" t="s">
        <v>209</v>
      </c>
      <c r="G87" s="111" t="s">
        <v>210</v>
      </c>
      <c r="H87" s="111" t="s">
        <v>211</v>
      </c>
      <c r="J87" s="206">
        <f>J37+K37+L37</f>
        <v>0</v>
      </c>
      <c r="K87" s="47" t="s">
        <v>237</v>
      </c>
      <c r="L87" s="87"/>
    </row>
    <row r="88" spans="2:12" x14ac:dyDescent="0.2">
      <c r="C88" s="795" t="str">
        <f>IF(I6="M","0          - 250000","0          -  250000")</f>
        <v>0          - 250000</v>
      </c>
      <c r="D88" s="796"/>
      <c r="E88" s="112">
        <v>0</v>
      </c>
      <c r="F88" s="113">
        <f>IF(I6="M",(IF(G85&lt;250000,G85,250000)),(IF(G85&lt;250000,G85,250000)))</f>
        <v>-99160</v>
      </c>
      <c r="G88" s="113">
        <f>G85-F88</f>
        <v>0</v>
      </c>
      <c r="H88" s="113">
        <f>E88*F88</f>
        <v>0</v>
      </c>
      <c r="J88" s="207">
        <f>M37+N37</f>
        <v>0</v>
      </c>
      <c r="K88" s="1" t="s">
        <v>238</v>
      </c>
      <c r="L88" s="87"/>
    </row>
    <row r="89" spans="2:12" x14ac:dyDescent="0.2">
      <c r="C89" s="795" t="str">
        <f>IF(I6="M","250001 - 500000","250001-500000")</f>
        <v>250001 - 500000</v>
      </c>
      <c r="D89" s="796"/>
      <c r="E89" s="112">
        <v>0.05</v>
      </c>
      <c r="F89" s="113">
        <f>IF(I6="M",(IF(G88&lt;250000,G88,250000)),(IF(G88&lt;250000,G88,250000)))</f>
        <v>0</v>
      </c>
      <c r="G89" s="113">
        <f>G88-F89</f>
        <v>0</v>
      </c>
      <c r="H89" s="114">
        <f>ROUND(E89*F89,0.1)</f>
        <v>0</v>
      </c>
      <c r="J89" s="115">
        <f>SUM(J85:J88)</f>
        <v>0</v>
      </c>
      <c r="L89" s="87"/>
    </row>
    <row r="90" spans="2:12" x14ac:dyDescent="0.2">
      <c r="C90" s="797" t="s">
        <v>212</v>
      </c>
      <c r="D90" s="798"/>
      <c r="E90" s="112">
        <v>0.2</v>
      </c>
      <c r="F90" s="113">
        <f>IF(G89&lt;500000,G89,500000)</f>
        <v>0</v>
      </c>
      <c r="G90" s="113">
        <f>G89-F90</f>
        <v>0</v>
      </c>
      <c r="H90" s="114">
        <f>ROUND(E90*F90,0.1)</f>
        <v>0</v>
      </c>
      <c r="J90" s="16">
        <f>+G85</f>
        <v>-99160</v>
      </c>
      <c r="L90" s="87"/>
    </row>
    <row r="91" spans="2:12" x14ac:dyDescent="0.2">
      <c r="C91" s="795" t="s">
        <v>213</v>
      </c>
      <c r="D91" s="796"/>
      <c r="E91" s="112">
        <v>0.3</v>
      </c>
      <c r="F91" s="113">
        <f>G90</f>
        <v>0</v>
      </c>
      <c r="G91" s="113">
        <f>G90-F91</f>
        <v>0</v>
      </c>
      <c r="H91" s="114">
        <f>ROUND(E91*F91,0.1)</f>
        <v>0</v>
      </c>
      <c r="J91" s="16">
        <f>+J89-J90</f>
        <v>99160</v>
      </c>
      <c r="L91" s="87"/>
    </row>
    <row r="92" spans="2:12" ht="12.75" customHeight="1" thickBot="1" x14ac:dyDescent="0.25">
      <c r="B92" s="116"/>
      <c r="C92" s="117"/>
      <c r="D92" s="47"/>
      <c r="E92" s="47"/>
      <c r="F92" s="47"/>
    </row>
    <row r="93" spans="2:12" ht="13.5" thickBot="1" x14ac:dyDescent="0.25">
      <c r="B93" s="799" t="s">
        <v>239</v>
      </c>
      <c r="C93" s="800"/>
      <c r="D93" s="800"/>
      <c r="E93" s="800"/>
      <c r="F93" s="801"/>
      <c r="G93" s="771">
        <f>H88+H89+H90+H91</f>
        <v>0</v>
      </c>
      <c r="H93" s="772"/>
    </row>
    <row r="94" spans="2:12" ht="13.5" thickBot="1" x14ac:dyDescent="0.25">
      <c r="B94" s="119" t="s">
        <v>215</v>
      </c>
      <c r="C94" s="120"/>
      <c r="D94" s="120"/>
      <c r="E94" s="120"/>
      <c r="F94" s="120"/>
      <c r="G94" s="895">
        <f>IF((G64&lt;500000),5000,0)</f>
        <v>5000</v>
      </c>
      <c r="H94" s="896">
        <f>IF(H92&lt;200000,0,IF(H92&lt;220000,((H92-200000)*10%),IF(H92&lt;=500000,2000,IF(H92&gt;=500000,0))))</f>
        <v>0</v>
      </c>
      <c r="J94" s="1"/>
      <c r="K94" s="121"/>
      <c r="L94" s="121"/>
    </row>
    <row r="95" spans="2:12" ht="13.5" thickBot="1" x14ac:dyDescent="0.25">
      <c r="B95" s="122" t="s">
        <v>216</v>
      </c>
      <c r="C95" s="123"/>
      <c r="D95" s="123"/>
      <c r="E95" s="123"/>
      <c r="F95" s="123"/>
      <c r="G95" s="897">
        <f>IF((G93-G94)&lt;0,0,(G93-G94))</f>
        <v>0</v>
      </c>
      <c r="H95" s="898"/>
      <c r="I95" s="37"/>
    </row>
    <row r="96" spans="2:12" ht="13.5" thickBot="1" x14ac:dyDescent="0.25">
      <c r="B96" s="773" t="s">
        <v>217</v>
      </c>
      <c r="C96" s="774"/>
      <c r="D96" s="774"/>
      <c r="E96" s="774"/>
      <c r="F96" s="775"/>
      <c r="G96" s="899">
        <f>ROUND((IF(G95&gt;0,(G95*3%),0)),0)</f>
        <v>0</v>
      </c>
      <c r="H96" s="900"/>
      <c r="I96" s="37"/>
    </row>
    <row r="97" spans="2:9" ht="13.5" thickBot="1" x14ac:dyDescent="0.25">
      <c r="B97" s="778" t="s">
        <v>218</v>
      </c>
      <c r="C97" s="779"/>
      <c r="D97" s="779"/>
      <c r="E97" s="779"/>
      <c r="F97" s="779"/>
      <c r="G97" s="901">
        <f>G95+G96</f>
        <v>0</v>
      </c>
      <c r="H97" s="902"/>
      <c r="I97" s="121"/>
    </row>
    <row r="98" spans="2:9" ht="13.5" thickBot="1" x14ac:dyDescent="0.25">
      <c r="B98" s="765" t="s">
        <v>219</v>
      </c>
      <c r="C98" s="766"/>
      <c r="D98" s="766"/>
      <c r="E98" s="766"/>
      <c r="F98" s="766"/>
      <c r="G98" s="893">
        <f>O38</f>
        <v>0</v>
      </c>
      <c r="H98" s="894"/>
      <c r="I98" s="121"/>
    </row>
    <row r="99" spans="2:9" ht="13.5" thickBot="1" x14ac:dyDescent="0.25">
      <c r="B99" s="765" t="str">
        <f>IF(G99&gt;0,"TAX PAYABLE","TAX REFUND")</f>
        <v>TAX REFUND</v>
      </c>
      <c r="C99" s="766"/>
      <c r="D99" s="766"/>
      <c r="E99" s="766"/>
      <c r="F99" s="766"/>
      <c r="G99" s="893">
        <f>+G97-G98</f>
        <v>0</v>
      </c>
      <c r="H99" s="894"/>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0:F90 B99:F99 B93:F97">
    <cfRule type="cellIs" dxfId="171" priority="3" stopIfTrue="1" operator="equal">
      <formula>"TAX PAYABLE"</formula>
    </cfRule>
    <cfRule type="cellIs" dxfId="170" priority="4" stopIfTrue="1" operator="equal">
      <formula>"TAX REFUND"</formula>
    </cfRule>
  </conditionalFormatting>
  <conditionalFormatting sqref="G90:H90">
    <cfRule type="cellIs" dxfId="169" priority="5" stopIfTrue="1" operator="lessThan">
      <formula>0</formula>
    </cfRule>
    <cfRule type="cellIs" dxfId="168" priority="6" stopIfTrue="1" operator="greaterThan">
      <formula>0</formula>
    </cfRule>
  </conditionalFormatting>
  <conditionalFormatting sqref="G99:H99">
    <cfRule type="cellIs" dxfId="167" priority="1" stopIfTrue="1" operator="greaterThan">
      <formula>0</formula>
    </cfRule>
    <cfRule type="cellIs" dxfId="166"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legacyDrawing r:id="rId2"/>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7"/>
  <sheetViews>
    <sheetView topLeftCell="A4" zoomScaleNormal="100" workbookViewId="0">
      <selection activeCell="C38" sqref="C38:F38"/>
    </sheetView>
  </sheetViews>
  <sheetFormatPr defaultRowHeight="12.75" x14ac:dyDescent="0.2"/>
  <cols>
    <col min="1" max="1" width="5" style="16" customWidth="1"/>
    <col min="2" max="2" width="20" style="37" customWidth="1"/>
    <col min="3" max="4" width="9" style="16" customWidth="1"/>
    <col min="5" max="5" width="10.7109375" style="16" customWidth="1"/>
    <col min="6" max="14" width="9" style="16" customWidth="1"/>
    <col min="15" max="15" width="7.8554687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20" style="16" customWidth="1"/>
    <col min="259" max="260" width="9" style="16" customWidth="1"/>
    <col min="261" max="261" width="10.7109375" style="16" customWidth="1"/>
    <col min="262" max="270" width="9" style="16" customWidth="1"/>
    <col min="271" max="271" width="7.8554687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20" style="16" customWidth="1"/>
    <col min="515" max="516" width="9" style="16" customWidth="1"/>
    <col min="517" max="517" width="10.7109375" style="16" customWidth="1"/>
    <col min="518" max="526" width="9" style="16" customWidth="1"/>
    <col min="527" max="527" width="7.8554687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20" style="16" customWidth="1"/>
    <col min="771" max="772" width="9" style="16" customWidth="1"/>
    <col min="773" max="773" width="10.7109375" style="16" customWidth="1"/>
    <col min="774" max="782" width="9" style="16" customWidth="1"/>
    <col min="783" max="783" width="7.8554687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20" style="16" customWidth="1"/>
    <col min="1027" max="1028" width="9" style="16" customWidth="1"/>
    <col min="1029" max="1029" width="10.7109375" style="16" customWidth="1"/>
    <col min="1030" max="1038" width="9" style="16" customWidth="1"/>
    <col min="1039" max="1039" width="7.8554687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20" style="16" customWidth="1"/>
    <col min="1283" max="1284" width="9" style="16" customWidth="1"/>
    <col min="1285" max="1285" width="10.7109375" style="16" customWidth="1"/>
    <col min="1286" max="1294" width="9" style="16" customWidth="1"/>
    <col min="1295" max="1295" width="7.8554687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20" style="16" customWidth="1"/>
    <col min="1539" max="1540" width="9" style="16" customWidth="1"/>
    <col min="1541" max="1541" width="10.7109375" style="16" customWidth="1"/>
    <col min="1542" max="1550" width="9" style="16" customWidth="1"/>
    <col min="1551" max="1551" width="7.8554687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20" style="16" customWidth="1"/>
    <col min="1795" max="1796" width="9" style="16" customWidth="1"/>
    <col min="1797" max="1797" width="10.7109375" style="16" customWidth="1"/>
    <col min="1798" max="1806" width="9" style="16" customWidth="1"/>
    <col min="1807" max="1807" width="7.8554687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20" style="16" customWidth="1"/>
    <col min="2051" max="2052" width="9" style="16" customWidth="1"/>
    <col min="2053" max="2053" width="10.7109375" style="16" customWidth="1"/>
    <col min="2054" max="2062" width="9" style="16" customWidth="1"/>
    <col min="2063" max="2063" width="7.8554687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20" style="16" customWidth="1"/>
    <col min="2307" max="2308" width="9" style="16" customWidth="1"/>
    <col min="2309" max="2309" width="10.7109375" style="16" customWidth="1"/>
    <col min="2310" max="2318" width="9" style="16" customWidth="1"/>
    <col min="2319" max="2319" width="7.8554687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20" style="16" customWidth="1"/>
    <col min="2563" max="2564" width="9" style="16" customWidth="1"/>
    <col min="2565" max="2565" width="10.7109375" style="16" customWidth="1"/>
    <col min="2566" max="2574" width="9" style="16" customWidth="1"/>
    <col min="2575" max="2575" width="7.8554687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20" style="16" customWidth="1"/>
    <col min="2819" max="2820" width="9" style="16" customWidth="1"/>
    <col min="2821" max="2821" width="10.7109375" style="16" customWidth="1"/>
    <col min="2822" max="2830" width="9" style="16" customWidth="1"/>
    <col min="2831" max="2831" width="7.8554687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20" style="16" customWidth="1"/>
    <col min="3075" max="3076" width="9" style="16" customWidth="1"/>
    <col min="3077" max="3077" width="10.7109375" style="16" customWidth="1"/>
    <col min="3078" max="3086" width="9" style="16" customWidth="1"/>
    <col min="3087" max="3087" width="7.8554687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20" style="16" customWidth="1"/>
    <col min="3331" max="3332" width="9" style="16" customWidth="1"/>
    <col min="3333" max="3333" width="10.7109375" style="16" customWidth="1"/>
    <col min="3334" max="3342" width="9" style="16" customWidth="1"/>
    <col min="3343" max="3343" width="7.8554687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20" style="16" customWidth="1"/>
    <col min="3587" max="3588" width="9" style="16" customWidth="1"/>
    <col min="3589" max="3589" width="10.7109375" style="16" customWidth="1"/>
    <col min="3590" max="3598" width="9" style="16" customWidth="1"/>
    <col min="3599" max="3599" width="7.8554687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20" style="16" customWidth="1"/>
    <col min="3843" max="3844" width="9" style="16" customWidth="1"/>
    <col min="3845" max="3845" width="10.7109375" style="16" customWidth="1"/>
    <col min="3846" max="3854" width="9" style="16" customWidth="1"/>
    <col min="3855" max="3855" width="7.8554687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20" style="16" customWidth="1"/>
    <col min="4099" max="4100" width="9" style="16" customWidth="1"/>
    <col min="4101" max="4101" width="10.7109375" style="16" customWidth="1"/>
    <col min="4102" max="4110" width="9" style="16" customWidth="1"/>
    <col min="4111" max="4111" width="7.8554687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20" style="16" customWidth="1"/>
    <col min="4355" max="4356" width="9" style="16" customWidth="1"/>
    <col min="4357" max="4357" width="10.7109375" style="16" customWidth="1"/>
    <col min="4358" max="4366" width="9" style="16" customWidth="1"/>
    <col min="4367" max="4367" width="7.8554687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20" style="16" customWidth="1"/>
    <col min="4611" max="4612" width="9" style="16" customWidth="1"/>
    <col min="4613" max="4613" width="10.7109375" style="16" customWidth="1"/>
    <col min="4614" max="4622" width="9" style="16" customWidth="1"/>
    <col min="4623" max="4623" width="7.8554687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20" style="16" customWidth="1"/>
    <col min="4867" max="4868" width="9" style="16" customWidth="1"/>
    <col min="4869" max="4869" width="10.7109375" style="16" customWidth="1"/>
    <col min="4870" max="4878" width="9" style="16" customWidth="1"/>
    <col min="4879" max="4879" width="7.8554687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20" style="16" customWidth="1"/>
    <col min="5123" max="5124" width="9" style="16" customWidth="1"/>
    <col min="5125" max="5125" width="10.7109375" style="16" customWidth="1"/>
    <col min="5126" max="5134" width="9" style="16" customWidth="1"/>
    <col min="5135" max="5135" width="7.8554687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20" style="16" customWidth="1"/>
    <col min="5379" max="5380" width="9" style="16" customWidth="1"/>
    <col min="5381" max="5381" width="10.7109375" style="16" customWidth="1"/>
    <col min="5382" max="5390" width="9" style="16" customWidth="1"/>
    <col min="5391" max="5391" width="7.8554687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20" style="16" customWidth="1"/>
    <col min="5635" max="5636" width="9" style="16" customWidth="1"/>
    <col min="5637" max="5637" width="10.7109375" style="16" customWidth="1"/>
    <col min="5638" max="5646" width="9" style="16" customWidth="1"/>
    <col min="5647" max="5647" width="7.8554687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20" style="16" customWidth="1"/>
    <col min="5891" max="5892" width="9" style="16" customWidth="1"/>
    <col min="5893" max="5893" width="10.7109375" style="16" customWidth="1"/>
    <col min="5894" max="5902" width="9" style="16" customWidth="1"/>
    <col min="5903" max="5903" width="7.8554687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20" style="16" customWidth="1"/>
    <col min="6147" max="6148" width="9" style="16" customWidth="1"/>
    <col min="6149" max="6149" width="10.7109375" style="16" customWidth="1"/>
    <col min="6150" max="6158" width="9" style="16" customWidth="1"/>
    <col min="6159" max="6159" width="7.8554687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20" style="16" customWidth="1"/>
    <col min="6403" max="6404" width="9" style="16" customWidth="1"/>
    <col min="6405" max="6405" width="10.7109375" style="16" customWidth="1"/>
    <col min="6406" max="6414" width="9" style="16" customWidth="1"/>
    <col min="6415" max="6415" width="7.8554687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20" style="16" customWidth="1"/>
    <col min="6659" max="6660" width="9" style="16" customWidth="1"/>
    <col min="6661" max="6661" width="10.7109375" style="16" customWidth="1"/>
    <col min="6662" max="6670" width="9" style="16" customWidth="1"/>
    <col min="6671" max="6671" width="7.8554687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20" style="16" customWidth="1"/>
    <col min="6915" max="6916" width="9" style="16" customWidth="1"/>
    <col min="6917" max="6917" width="10.7109375" style="16" customWidth="1"/>
    <col min="6918" max="6926" width="9" style="16" customWidth="1"/>
    <col min="6927" max="6927" width="7.8554687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20" style="16" customWidth="1"/>
    <col min="7171" max="7172" width="9" style="16" customWidth="1"/>
    <col min="7173" max="7173" width="10.7109375" style="16" customWidth="1"/>
    <col min="7174" max="7182" width="9" style="16" customWidth="1"/>
    <col min="7183" max="7183" width="7.8554687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20" style="16" customWidth="1"/>
    <col min="7427" max="7428" width="9" style="16" customWidth="1"/>
    <col min="7429" max="7429" width="10.7109375" style="16" customWidth="1"/>
    <col min="7430" max="7438" width="9" style="16" customWidth="1"/>
    <col min="7439" max="7439" width="7.8554687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20" style="16" customWidth="1"/>
    <col min="7683" max="7684" width="9" style="16" customWidth="1"/>
    <col min="7685" max="7685" width="10.7109375" style="16" customWidth="1"/>
    <col min="7686" max="7694" width="9" style="16" customWidth="1"/>
    <col min="7695" max="7695" width="7.8554687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20" style="16" customWidth="1"/>
    <col min="7939" max="7940" width="9" style="16" customWidth="1"/>
    <col min="7941" max="7941" width="10.7109375" style="16" customWidth="1"/>
    <col min="7942" max="7950" width="9" style="16" customWidth="1"/>
    <col min="7951" max="7951" width="7.8554687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20" style="16" customWidth="1"/>
    <col min="8195" max="8196" width="9" style="16" customWidth="1"/>
    <col min="8197" max="8197" width="10.7109375" style="16" customWidth="1"/>
    <col min="8198" max="8206" width="9" style="16" customWidth="1"/>
    <col min="8207" max="8207" width="7.8554687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20" style="16" customWidth="1"/>
    <col min="8451" max="8452" width="9" style="16" customWidth="1"/>
    <col min="8453" max="8453" width="10.7109375" style="16" customWidth="1"/>
    <col min="8454" max="8462" width="9" style="16" customWidth="1"/>
    <col min="8463" max="8463" width="7.8554687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20" style="16" customWidth="1"/>
    <col min="8707" max="8708" width="9" style="16" customWidth="1"/>
    <col min="8709" max="8709" width="10.7109375" style="16" customWidth="1"/>
    <col min="8710" max="8718" width="9" style="16" customWidth="1"/>
    <col min="8719" max="8719" width="7.8554687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20" style="16" customWidth="1"/>
    <col min="8963" max="8964" width="9" style="16" customWidth="1"/>
    <col min="8965" max="8965" width="10.7109375" style="16" customWidth="1"/>
    <col min="8966" max="8974" width="9" style="16" customWidth="1"/>
    <col min="8975" max="8975" width="7.8554687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20" style="16" customWidth="1"/>
    <col min="9219" max="9220" width="9" style="16" customWidth="1"/>
    <col min="9221" max="9221" width="10.7109375" style="16" customWidth="1"/>
    <col min="9222" max="9230" width="9" style="16" customWidth="1"/>
    <col min="9231" max="9231" width="7.8554687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20" style="16" customWidth="1"/>
    <col min="9475" max="9476" width="9" style="16" customWidth="1"/>
    <col min="9477" max="9477" width="10.7109375" style="16" customWidth="1"/>
    <col min="9478" max="9486" width="9" style="16" customWidth="1"/>
    <col min="9487" max="9487" width="7.8554687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20" style="16" customWidth="1"/>
    <col min="9731" max="9732" width="9" style="16" customWidth="1"/>
    <col min="9733" max="9733" width="10.7109375" style="16" customWidth="1"/>
    <col min="9734" max="9742" width="9" style="16" customWidth="1"/>
    <col min="9743" max="9743" width="7.8554687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20" style="16" customWidth="1"/>
    <col min="9987" max="9988" width="9" style="16" customWidth="1"/>
    <col min="9989" max="9989" width="10.7109375" style="16" customWidth="1"/>
    <col min="9990" max="9998" width="9" style="16" customWidth="1"/>
    <col min="9999" max="9999" width="7.8554687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20" style="16" customWidth="1"/>
    <col min="10243" max="10244" width="9" style="16" customWidth="1"/>
    <col min="10245" max="10245" width="10.7109375" style="16" customWidth="1"/>
    <col min="10246" max="10254" width="9" style="16" customWidth="1"/>
    <col min="10255" max="10255" width="7.8554687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20" style="16" customWidth="1"/>
    <col min="10499" max="10500" width="9" style="16" customWidth="1"/>
    <col min="10501" max="10501" width="10.7109375" style="16" customWidth="1"/>
    <col min="10502" max="10510" width="9" style="16" customWidth="1"/>
    <col min="10511" max="10511" width="7.8554687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20" style="16" customWidth="1"/>
    <col min="10755" max="10756" width="9" style="16" customWidth="1"/>
    <col min="10757" max="10757" width="10.7109375" style="16" customWidth="1"/>
    <col min="10758" max="10766" width="9" style="16" customWidth="1"/>
    <col min="10767" max="10767" width="7.8554687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20" style="16" customWidth="1"/>
    <col min="11011" max="11012" width="9" style="16" customWidth="1"/>
    <col min="11013" max="11013" width="10.7109375" style="16" customWidth="1"/>
    <col min="11014" max="11022" width="9" style="16" customWidth="1"/>
    <col min="11023" max="11023" width="7.8554687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20" style="16" customWidth="1"/>
    <col min="11267" max="11268" width="9" style="16" customWidth="1"/>
    <col min="11269" max="11269" width="10.7109375" style="16" customWidth="1"/>
    <col min="11270" max="11278" width="9" style="16" customWidth="1"/>
    <col min="11279" max="11279" width="7.8554687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20" style="16" customWidth="1"/>
    <col min="11523" max="11524" width="9" style="16" customWidth="1"/>
    <col min="11525" max="11525" width="10.7109375" style="16" customWidth="1"/>
    <col min="11526" max="11534" width="9" style="16" customWidth="1"/>
    <col min="11535" max="11535" width="7.8554687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20" style="16" customWidth="1"/>
    <col min="11779" max="11780" width="9" style="16" customWidth="1"/>
    <col min="11781" max="11781" width="10.7109375" style="16" customWidth="1"/>
    <col min="11782" max="11790" width="9" style="16" customWidth="1"/>
    <col min="11791" max="11791" width="7.8554687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20" style="16" customWidth="1"/>
    <col min="12035" max="12036" width="9" style="16" customWidth="1"/>
    <col min="12037" max="12037" width="10.7109375" style="16" customWidth="1"/>
    <col min="12038" max="12046" width="9" style="16" customWidth="1"/>
    <col min="12047" max="12047" width="7.8554687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20" style="16" customWidth="1"/>
    <col min="12291" max="12292" width="9" style="16" customWidth="1"/>
    <col min="12293" max="12293" width="10.7109375" style="16" customWidth="1"/>
    <col min="12294" max="12302" width="9" style="16" customWidth="1"/>
    <col min="12303" max="12303" width="7.8554687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20" style="16" customWidth="1"/>
    <col min="12547" max="12548" width="9" style="16" customWidth="1"/>
    <col min="12549" max="12549" width="10.7109375" style="16" customWidth="1"/>
    <col min="12550" max="12558" width="9" style="16" customWidth="1"/>
    <col min="12559" max="12559" width="7.8554687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20" style="16" customWidth="1"/>
    <col min="12803" max="12804" width="9" style="16" customWidth="1"/>
    <col min="12805" max="12805" width="10.7109375" style="16" customWidth="1"/>
    <col min="12806" max="12814" width="9" style="16" customWidth="1"/>
    <col min="12815" max="12815" width="7.8554687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20" style="16" customWidth="1"/>
    <col min="13059" max="13060" width="9" style="16" customWidth="1"/>
    <col min="13061" max="13061" width="10.7109375" style="16" customWidth="1"/>
    <col min="13062" max="13070" width="9" style="16" customWidth="1"/>
    <col min="13071" max="13071" width="7.8554687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20" style="16" customWidth="1"/>
    <col min="13315" max="13316" width="9" style="16" customWidth="1"/>
    <col min="13317" max="13317" width="10.7109375" style="16" customWidth="1"/>
    <col min="13318" max="13326" width="9" style="16" customWidth="1"/>
    <col min="13327" max="13327" width="7.8554687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20" style="16" customWidth="1"/>
    <col min="13571" max="13572" width="9" style="16" customWidth="1"/>
    <col min="13573" max="13573" width="10.7109375" style="16" customWidth="1"/>
    <col min="13574" max="13582" width="9" style="16" customWidth="1"/>
    <col min="13583" max="13583" width="7.8554687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20" style="16" customWidth="1"/>
    <col min="13827" max="13828" width="9" style="16" customWidth="1"/>
    <col min="13829" max="13829" width="10.7109375" style="16" customWidth="1"/>
    <col min="13830" max="13838" width="9" style="16" customWidth="1"/>
    <col min="13839" max="13839" width="7.8554687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20" style="16" customWidth="1"/>
    <col min="14083" max="14084" width="9" style="16" customWidth="1"/>
    <col min="14085" max="14085" width="10.7109375" style="16" customWidth="1"/>
    <col min="14086" max="14094" width="9" style="16" customWidth="1"/>
    <col min="14095" max="14095" width="7.8554687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20" style="16" customWidth="1"/>
    <col min="14339" max="14340" width="9" style="16" customWidth="1"/>
    <col min="14341" max="14341" width="10.7109375" style="16" customWidth="1"/>
    <col min="14342" max="14350" width="9" style="16" customWidth="1"/>
    <col min="14351" max="14351" width="7.8554687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20" style="16" customWidth="1"/>
    <col min="14595" max="14596" width="9" style="16" customWidth="1"/>
    <col min="14597" max="14597" width="10.7109375" style="16" customWidth="1"/>
    <col min="14598" max="14606" width="9" style="16" customWidth="1"/>
    <col min="14607" max="14607" width="7.8554687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20" style="16" customWidth="1"/>
    <col min="14851" max="14852" width="9" style="16" customWidth="1"/>
    <col min="14853" max="14853" width="10.7109375" style="16" customWidth="1"/>
    <col min="14854" max="14862" width="9" style="16" customWidth="1"/>
    <col min="14863" max="14863" width="7.8554687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20" style="16" customWidth="1"/>
    <col min="15107" max="15108" width="9" style="16" customWidth="1"/>
    <col min="15109" max="15109" width="10.7109375" style="16" customWidth="1"/>
    <col min="15110" max="15118" width="9" style="16" customWidth="1"/>
    <col min="15119" max="15119" width="7.8554687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20" style="16" customWidth="1"/>
    <col min="15363" max="15364" width="9" style="16" customWidth="1"/>
    <col min="15365" max="15365" width="10.7109375" style="16" customWidth="1"/>
    <col min="15366" max="15374" width="9" style="16" customWidth="1"/>
    <col min="15375" max="15375" width="7.8554687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20" style="16" customWidth="1"/>
    <col min="15619" max="15620" width="9" style="16" customWidth="1"/>
    <col min="15621" max="15621" width="10.7109375" style="16" customWidth="1"/>
    <col min="15622" max="15630" width="9" style="16" customWidth="1"/>
    <col min="15631" max="15631" width="7.8554687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20" style="16" customWidth="1"/>
    <col min="15875" max="15876" width="9" style="16" customWidth="1"/>
    <col min="15877" max="15877" width="10.7109375" style="16" customWidth="1"/>
    <col min="15878" max="15886" width="9" style="16" customWidth="1"/>
    <col min="15887" max="15887" width="7.8554687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20" style="16" customWidth="1"/>
    <col min="16131" max="16132" width="9" style="16" customWidth="1"/>
    <col min="16133" max="16133" width="10.7109375" style="16" customWidth="1"/>
    <col min="16134" max="16142" width="9" style="16" customWidth="1"/>
    <col min="16143" max="16143" width="7.8554687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67" t="s">
        <v>100</v>
      </c>
      <c r="B1" s="868"/>
      <c r="C1" s="868"/>
      <c r="D1" s="869"/>
      <c r="E1" s="868"/>
      <c r="F1" s="868"/>
      <c r="G1" s="867" t="s">
        <v>102</v>
      </c>
      <c r="H1" s="869"/>
      <c r="I1" s="869" t="s">
        <v>1159</v>
      </c>
      <c r="J1" s="868"/>
      <c r="K1" s="868"/>
      <c r="L1" s="870"/>
      <c r="M1" s="870"/>
      <c r="N1" s="870"/>
      <c r="O1" s="870"/>
    </row>
    <row r="2" spans="1:15" s="1" customFormat="1" x14ac:dyDescent="0.2">
      <c r="A2" s="867" t="s">
        <v>103</v>
      </c>
      <c r="B2" s="868"/>
      <c r="C2" s="868"/>
      <c r="D2" s="869"/>
      <c r="E2" s="868"/>
      <c r="F2" s="868"/>
      <c r="G2" s="867" t="s">
        <v>104</v>
      </c>
      <c r="H2" s="869"/>
      <c r="I2" s="869" t="s">
        <v>105</v>
      </c>
      <c r="J2" s="868"/>
      <c r="K2" s="868"/>
      <c r="L2" s="870"/>
      <c r="M2" s="870"/>
      <c r="N2" s="870"/>
      <c r="O2" s="870"/>
    </row>
    <row r="3" spans="1:15" s="1" customFormat="1" x14ac:dyDescent="0.2">
      <c r="A3" s="867" t="s">
        <v>106</v>
      </c>
      <c r="B3" s="868"/>
      <c r="C3" s="868"/>
      <c r="D3" s="883"/>
      <c r="E3" s="868"/>
      <c r="F3" s="868"/>
      <c r="G3" s="867" t="s">
        <v>107</v>
      </c>
      <c r="H3" s="869"/>
      <c r="I3" s="869" t="s">
        <v>108</v>
      </c>
      <c r="J3" s="868"/>
      <c r="K3" s="868"/>
      <c r="L3" s="870"/>
      <c r="M3" s="870"/>
      <c r="N3" s="870"/>
      <c r="O3" s="870"/>
    </row>
    <row r="4" spans="1:15" s="1" customFormat="1" x14ac:dyDescent="0.2">
      <c r="A4" s="867" t="s">
        <v>109</v>
      </c>
      <c r="B4" s="868"/>
      <c r="C4" s="868"/>
      <c r="D4" s="869"/>
      <c r="E4" s="868"/>
      <c r="F4" s="868"/>
      <c r="G4" s="867" t="s">
        <v>110</v>
      </c>
      <c r="H4" s="869"/>
      <c r="I4" s="869" t="s">
        <v>1160</v>
      </c>
      <c r="J4" s="868"/>
      <c r="K4" s="868"/>
      <c r="L4" s="870"/>
      <c r="M4" s="870"/>
      <c r="N4" s="870"/>
      <c r="O4" s="870"/>
    </row>
    <row r="5" spans="1:15" s="1" customFormat="1" x14ac:dyDescent="0.2">
      <c r="A5" s="867" t="s">
        <v>112</v>
      </c>
      <c r="B5" s="868"/>
      <c r="C5" s="868"/>
      <c r="D5" s="869"/>
      <c r="E5" s="868"/>
      <c r="F5" s="868"/>
      <c r="G5" s="867"/>
      <c r="H5" s="868"/>
      <c r="I5" s="869" t="s">
        <v>113</v>
      </c>
      <c r="J5" s="868"/>
      <c r="K5" s="868"/>
      <c r="L5" s="870"/>
      <c r="M5" s="870"/>
      <c r="N5" s="870"/>
      <c r="O5" s="870"/>
    </row>
    <row r="6" spans="1:15" s="1" customFormat="1" x14ac:dyDescent="0.2">
      <c r="A6" s="871" t="s">
        <v>114</v>
      </c>
      <c r="B6" s="872"/>
      <c r="C6" s="872"/>
      <c r="D6" s="868" t="s">
        <v>1348</v>
      </c>
      <c r="E6" s="868"/>
      <c r="F6" s="868"/>
      <c r="G6" s="871" t="s">
        <v>115</v>
      </c>
      <c r="H6" s="871"/>
      <c r="I6" s="2" t="s">
        <v>116</v>
      </c>
      <c r="J6" s="888"/>
      <c r="K6" s="888"/>
      <c r="L6" s="888"/>
      <c r="M6" s="888"/>
      <c r="N6" s="888"/>
      <c r="O6" s="889"/>
    </row>
    <row r="7" spans="1:15" s="1" customFormat="1" ht="13.5" thickBot="1" x14ac:dyDescent="0.25">
      <c r="A7" s="3"/>
      <c r="B7" s="4"/>
      <c r="C7" s="5"/>
      <c r="D7" s="6"/>
      <c r="E7" s="6"/>
      <c r="F7" s="6"/>
      <c r="G7" s="6"/>
      <c r="H7" s="6"/>
      <c r="I7" s="6"/>
      <c r="J7" s="7"/>
      <c r="K7" s="8"/>
      <c r="L7" s="875" t="s">
        <v>223</v>
      </c>
      <c r="M7" s="875"/>
      <c r="N7" s="875"/>
      <c r="O7" s="875"/>
    </row>
    <row r="8" spans="1:15" s="11" customFormat="1" x14ac:dyDescent="0.2">
      <c r="A8" s="876" t="str">
        <f>I1</f>
        <v>Ms.Kranti Waingankar</v>
      </c>
      <c r="B8" s="877"/>
      <c r="C8" s="144">
        <v>43160</v>
      </c>
      <c r="D8" s="144">
        <v>43191</v>
      </c>
      <c r="E8" s="144">
        <v>43221</v>
      </c>
      <c r="F8" s="144">
        <v>43252</v>
      </c>
      <c r="G8" s="144">
        <v>43282</v>
      </c>
      <c r="H8" s="144">
        <v>43313</v>
      </c>
      <c r="I8" s="144">
        <v>43344</v>
      </c>
      <c r="J8" s="144">
        <v>43374</v>
      </c>
      <c r="K8" s="144">
        <v>43405</v>
      </c>
      <c r="L8" s="144">
        <v>43435</v>
      </c>
      <c r="M8" s="144">
        <v>43466</v>
      </c>
      <c r="N8" s="144">
        <v>43497</v>
      </c>
      <c r="O8" s="10" t="s">
        <v>117</v>
      </c>
    </row>
    <row r="9" spans="1:15" ht="15" x14ac:dyDescent="0.2">
      <c r="A9" s="12"/>
      <c r="B9" s="13" t="s">
        <v>118</v>
      </c>
      <c r="C9" s="14">
        <v>55200</v>
      </c>
      <c r="D9" s="14">
        <v>55200</v>
      </c>
      <c r="E9" s="14">
        <v>55200</v>
      </c>
      <c r="F9" s="14">
        <v>55200</v>
      </c>
      <c r="G9" s="14">
        <v>56900</v>
      </c>
      <c r="H9" s="14">
        <v>56900</v>
      </c>
      <c r="I9" s="14">
        <v>56900</v>
      </c>
      <c r="J9" s="14">
        <v>56900</v>
      </c>
      <c r="K9" s="14">
        <v>56900</v>
      </c>
      <c r="L9" s="14">
        <v>56900</v>
      </c>
      <c r="M9" s="14">
        <v>56900</v>
      </c>
      <c r="N9" s="14">
        <v>56900</v>
      </c>
      <c r="O9" s="15">
        <f>SUM(C9:N9)</f>
        <v>676000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2760</v>
      </c>
      <c r="D11" s="17">
        <v>2760</v>
      </c>
      <c r="E11" s="17">
        <v>3864</v>
      </c>
      <c r="F11" s="17">
        <v>3864</v>
      </c>
      <c r="G11" s="17">
        <v>3983</v>
      </c>
      <c r="H11" s="17">
        <v>3983</v>
      </c>
      <c r="I11" s="17">
        <v>3983</v>
      </c>
      <c r="J11" s="17">
        <v>5121</v>
      </c>
      <c r="K11" s="17">
        <v>5121</v>
      </c>
      <c r="L11" s="17">
        <v>5121</v>
      </c>
      <c r="M11" s="17">
        <v>5121</v>
      </c>
      <c r="N11" s="17">
        <v>5121</v>
      </c>
      <c r="O11" s="18">
        <f>SUM(C11:N11)</f>
        <v>50802</v>
      </c>
    </row>
    <row r="12" spans="1:15"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x14ac:dyDescent="0.2">
      <c r="A14" s="12"/>
      <c r="B14" s="13" t="s">
        <v>123</v>
      </c>
      <c r="C14" s="17">
        <v>3780</v>
      </c>
      <c r="D14" s="17">
        <v>3780</v>
      </c>
      <c r="E14" s="17">
        <v>3852</v>
      </c>
      <c r="F14" s="17">
        <v>3852</v>
      </c>
      <c r="G14" s="17">
        <v>3852</v>
      </c>
      <c r="H14" s="17">
        <v>3852</v>
      </c>
      <c r="I14" s="17">
        <v>3852</v>
      </c>
      <c r="J14" s="17">
        <v>3924</v>
      </c>
      <c r="K14" s="17">
        <v>3924</v>
      </c>
      <c r="L14" s="17">
        <v>3924</v>
      </c>
      <c r="M14" s="17">
        <v>3924</v>
      </c>
      <c r="N14" s="17">
        <v>3924</v>
      </c>
      <c r="O14" s="18">
        <f t="shared" si="0"/>
        <v>46440</v>
      </c>
    </row>
    <row r="15" spans="1:15"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13248</v>
      </c>
      <c r="D19" s="17">
        <v>13248</v>
      </c>
      <c r="E19" s="17">
        <v>13248</v>
      </c>
      <c r="F19" s="17">
        <v>13248</v>
      </c>
      <c r="G19" s="17">
        <v>13656</v>
      </c>
      <c r="H19" s="17">
        <v>13656</v>
      </c>
      <c r="I19" s="17">
        <v>13656</v>
      </c>
      <c r="J19" s="17">
        <v>13656</v>
      </c>
      <c r="K19" s="17">
        <v>13656</v>
      </c>
      <c r="L19" s="17">
        <v>13656</v>
      </c>
      <c r="M19" s="17">
        <v>13656</v>
      </c>
      <c r="N19" s="17">
        <v>13656</v>
      </c>
      <c r="O19" s="18">
        <f t="shared" si="0"/>
        <v>162240</v>
      </c>
    </row>
    <row r="20" spans="1:15" ht="15" customHeight="1" x14ac:dyDescent="0.2">
      <c r="A20" s="12"/>
      <c r="B20" s="13" t="s">
        <v>141</v>
      </c>
      <c r="C20" s="17">
        <v>0</v>
      </c>
      <c r="D20" s="17">
        <v>19688</v>
      </c>
      <c r="E20" s="17">
        <v>0</v>
      </c>
      <c r="F20" s="17">
        <v>0</v>
      </c>
      <c r="G20" s="17">
        <v>0</v>
      </c>
      <c r="H20" s="17">
        <v>0</v>
      </c>
      <c r="I20" s="17">
        <v>0</v>
      </c>
      <c r="J20" s="17">
        <v>0</v>
      </c>
      <c r="K20" s="17">
        <v>0</v>
      </c>
      <c r="L20" s="17">
        <v>0</v>
      </c>
      <c r="M20" s="17">
        <v>0</v>
      </c>
      <c r="N20" s="17">
        <v>0</v>
      </c>
      <c r="O20" s="18">
        <f t="shared" si="0"/>
        <v>19688</v>
      </c>
    </row>
    <row r="21" spans="1:15" ht="15" hidden="1" customHeight="1" x14ac:dyDescent="0.2">
      <c r="A21" s="878"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79"/>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5" ht="15" hidden="1" customHeight="1" x14ac:dyDescent="0.2">
      <c r="A23" s="879"/>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79"/>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79"/>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79"/>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79"/>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79"/>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79"/>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79"/>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79"/>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79"/>
      <c r="B32" s="21" t="s">
        <v>142</v>
      </c>
      <c r="C32" s="17">
        <v>0</v>
      </c>
      <c r="D32" s="17">
        <v>0</v>
      </c>
      <c r="E32" s="17">
        <v>0</v>
      </c>
      <c r="F32" s="17">
        <v>0</v>
      </c>
      <c r="G32" s="17">
        <v>0</v>
      </c>
      <c r="H32" s="17">
        <v>0</v>
      </c>
      <c r="I32" s="17">
        <v>0</v>
      </c>
      <c r="J32" s="17">
        <v>0</v>
      </c>
      <c r="K32" s="17">
        <v>0</v>
      </c>
      <c r="L32" s="17">
        <v>0</v>
      </c>
      <c r="M32" s="17">
        <v>0</v>
      </c>
      <c r="N32" s="17">
        <v>0</v>
      </c>
      <c r="O32" s="18">
        <f t="shared" si="0"/>
        <v>0</v>
      </c>
    </row>
    <row r="33" spans="1:16" ht="15" hidden="1" customHeight="1" x14ac:dyDescent="0.2">
      <c r="A33" s="880"/>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865" t="s">
        <v>144</v>
      </c>
      <c r="B34" s="866"/>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865" t="s">
        <v>145</v>
      </c>
      <c r="B35" s="866"/>
      <c r="C35" s="17">
        <v>216</v>
      </c>
      <c r="D35" s="17">
        <v>0</v>
      </c>
      <c r="E35" s="17">
        <v>0</v>
      </c>
      <c r="F35" s="17">
        <v>0</v>
      </c>
      <c r="G35" s="17">
        <v>0</v>
      </c>
      <c r="H35" s="17">
        <v>0</v>
      </c>
      <c r="I35" s="17">
        <v>0</v>
      </c>
      <c r="J35" s="17">
        <v>216</v>
      </c>
      <c r="K35" s="17">
        <v>0</v>
      </c>
      <c r="L35" s="17">
        <v>0</v>
      </c>
      <c r="M35" s="17">
        <v>0</v>
      </c>
      <c r="N35" s="17">
        <v>0</v>
      </c>
      <c r="O35" s="18">
        <f t="shared" si="0"/>
        <v>432</v>
      </c>
    </row>
    <row r="36" spans="1:16" ht="15" customHeight="1" x14ac:dyDescent="0.2">
      <c r="A36" s="865" t="s">
        <v>146</v>
      </c>
      <c r="B36" s="866"/>
      <c r="C36" s="17">
        <v>3312</v>
      </c>
      <c r="D36" s="17">
        <v>0</v>
      </c>
      <c r="E36" s="17">
        <v>0</v>
      </c>
      <c r="F36" s="17">
        <v>0</v>
      </c>
      <c r="G36" s="17">
        <v>0</v>
      </c>
      <c r="H36" s="17">
        <v>0</v>
      </c>
      <c r="I36" s="17">
        <v>0</v>
      </c>
      <c r="J36" s="17">
        <v>3414</v>
      </c>
      <c r="K36" s="17">
        <v>0</v>
      </c>
      <c r="L36" s="17">
        <v>0</v>
      </c>
      <c r="M36" s="17">
        <v>0</v>
      </c>
      <c r="N36" s="17">
        <v>0</v>
      </c>
      <c r="O36" s="18">
        <f t="shared" si="0"/>
        <v>6726</v>
      </c>
    </row>
    <row r="37" spans="1:16" ht="15" customHeight="1" x14ac:dyDescent="0.2">
      <c r="A37" s="22"/>
      <c r="B37" s="23" t="s">
        <v>147</v>
      </c>
      <c r="C37" s="24">
        <f t="shared" ref="C37:N37" si="1">SUM(C9:C36)</f>
        <v>78516</v>
      </c>
      <c r="D37" s="24">
        <f t="shared" si="1"/>
        <v>94676</v>
      </c>
      <c r="E37" s="24">
        <f t="shared" si="1"/>
        <v>76164</v>
      </c>
      <c r="F37" s="24">
        <f t="shared" si="1"/>
        <v>76164</v>
      </c>
      <c r="G37" s="24">
        <f t="shared" si="1"/>
        <v>78391</v>
      </c>
      <c r="H37" s="24">
        <f t="shared" si="1"/>
        <v>78391</v>
      </c>
      <c r="I37" s="24">
        <f t="shared" si="1"/>
        <v>78391</v>
      </c>
      <c r="J37" s="24">
        <f t="shared" si="1"/>
        <v>90139</v>
      </c>
      <c r="K37" s="24">
        <f t="shared" si="1"/>
        <v>79601</v>
      </c>
      <c r="L37" s="24">
        <f t="shared" si="1"/>
        <v>79601</v>
      </c>
      <c r="M37" s="24">
        <f t="shared" si="1"/>
        <v>79601</v>
      </c>
      <c r="N37" s="24">
        <f t="shared" si="1"/>
        <v>79601</v>
      </c>
      <c r="O37" s="25">
        <f>SUM(C37:N37)</f>
        <v>969236</v>
      </c>
    </row>
    <row r="38" spans="1:16" ht="15" customHeight="1" x14ac:dyDescent="0.2">
      <c r="A38" s="853" t="s">
        <v>148</v>
      </c>
      <c r="B38" s="27" t="s">
        <v>149</v>
      </c>
      <c r="C38" s="147">
        <v>0</v>
      </c>
      <c r="D38" s="147">
        <v>4500</v>
      </c>
      <c r="E38" s="147">
        <v>4500</v>
      </c>
      <c r="F38" s="147">
        <v>4500</v>
      </c>
      <c r="G38" s="147">
        <v>4500</v>
      </c>
      <c r="H38" s="147">
        <v>4500</v>
      </c>
      <c r="I38" s="147">
        <v>4500</v>
      </c>
      <c r="J38" s="147">
        <v>4500</v>
      </c>
      <c r="K38" s="147">
        <v>0</v>
      </c>
      <c r="L38" s="147">
        <v>12261</v>
      </c>
      <c r="M38" s="147">
        <v>12260</v>
      </c>
      <c r="N38" s="147">
        <v>12925</v>
      </c>
      <c r="O38" s="18">
        <f>SUM(C38:N38)</f>
        <v>68946</v>
      </c>
      <c r="P38" s="29"/>
    </row>
    <row r="39" spans="1:16" ht="15" x14ac:dyDescent="0.2">
      <c r="A39" s="854"/>
      <c r="B39" s="27" t="s">
        <v>150</v>
      </c>
      <c r="C39" s="147">
        <v>0</v>
      </c>
      <c r="D39" s="147">
        <v>0</v>
      </c>
      <c r="E39" s="147">
        <v>0</v>
      </c>
      <c r="F39" s="147">
        <v>0</v>
      </c>
      <c r="G39" s="147">
        <v>0</v>
      </c>
      <c r="H39" s="147">
        <v>0</v>
      </c>
      <c r="I39" s="147">
        <v>0</v>
      </c>
      <c r="J39" s="147">
        <v>0</v>
      </c>
      <c r="K39" s="147">
        <v>0</v>
      </c>
      <c r="L39" s="147">
        <v>0</v>
      </c>
      <c r="M39" s="147">
        <v>0</v>
      </c>
      <c r="N39" s="147">
        <v>0</v>
      </c>
      <c r="O39" s="18">
        <f>SUM(C39:N39)</f>
        <v>0</v>
      </c>
    </row>
    <row r="40" spans="1:16" ht="15" x14ac:dyDescent="0.2">
      <c r="A40" s="854"/>
      <c r="B40" s="27" t="s">
        <v>151</v>
      </c>
      <c r="C40" s="147">
        <v>60</v>
      </c>
      <c r="D40" s="147">
        <v>60</v>
      </c>
      <c r="E40" s="147">
        <v>60</v>
      </c>
      <c r="F40" s="147">
        <v>60</v>
      </c>
      <c r="G40" s="147">
        <v>60</v>
      </c>
      <c r="H40" s="147">
        <v>60</v>
      </c>
      <c r="I40" s="147">
        <v>60</v>
      </c>
      <c r="J40" s="147">
        <v>60</v>
      </c>
      <c r="K40" s="147">
        <v>60</v>
      </c>
      <c r="L40" s="147">
        <v>60</v>
      </c>
      <c r="M40" s="147">
        <v>60</v>
      </c>
      <c r="N40" s="147">
        <v>60</v>
      </c>
      <c r="O40" s="18">
        <f t="shared" ref="O40:O50" si="2">SUM(C40:N40)</f>
        <v>720</v>
      </c>
    </row>
    <row r="41" spans="1:16" ht="15" x14ac:dyDescent="0.2">
      <c r="A41" s="854"/>
      <c r="B41" s="27" t="s">
        <v>152</v>
      </c>
      <c r="C41" s="147">
        <v>0</v>
      </c>
      <c r="D41" s="147">
        <v>0</v>
      </c>
      <c r="E41" s="147">
        <v>0</v>
      </c>
      <c r="F41" s="147">
        <v>0</v>
      </c>
      <c r="G41" s="147">
        <v>0</v>
      </c>
      <c r="H41" s="147">
        <v>0</v>
      </c>
      <c r="I41" s="147">
        <v>0</v>
      </c>
      <c r="J41" s="147">
        <v>0</v>
      </c>
      <c r="K41" s="147">
        <v>0</v>
      </c>
      <c r="L41" s="147">
        <v>0</v>
      </c>
      <c r="M41" s="147">
        <v>0</v>
      </c>
      <c r="N41" s="147">
        <v>0</v>
      </c>
      <c r="O41" s="18">
        <f t="shared" si="2"/>
        <v>0</v>
      </c>
    </row>
    <row r="42" spans="1:16" ht="15" x14ac:dyDescent="0.2">
      <c r="A42" s="854"/>
      <c r="B42" s="27" t="s">
        <v>153</v>
      </c>
      <c r="C42" s="147">
        <v>650</v>
      </c>
      <c r="D42" s="147">
        <v>650</v>
      </c>
      <c r="E42" s="147">
        <v>650</v>
      </c>
      <c r="F42" s="147">
        <v>650</v>
      </c>
      <c r="G42" s="147">
        <v>650</v>
      </c>
      <c r="H42" s="147">
        <v>650</v>
      </c>
      <c r="I42" s="147">
        <v>650</v>
      </c>
      <c r="J42" s="147">
        <v>650</v>
      </c>
      <c r="K42" s="147">
        <v>650</v>
      </c>
      <c r="L42" s="147">
        <v>650</v>
      </c>
      <c r="M42" s="147">
        <v>650</v>
      </c>
      <c r="N42" s="147">
        <v>650</v>
      </c>
      <c r="O42" s="18">
        <f t="shared" si="2"/>
        <v>7800</v>
      </c>
    </row>
    <row r="43" spans="1:16" ht="15" x14ac:dyDescent="0.2">
      <c r="A43" s="854"/>
      <c r="B43" s="27" t="s">
        <v>154</v>
      </c>
      <c r="C43" s="147">
        <v>25000</v>
      </c>
      <c r="D43" s="147">
        <v>25000</v>
      </c>
      <c r="E43" s="147">
        <v>25000</v>
      </c>
      <c r="F43" s="147">
        <v>25000</v>
      </c>
      <c r="G43" s="147">
        <v>25000</v>
      </c>
      <c r="H43" s="147">
        <v>25000</v>
      </c>
      <c r="I43" s="147">
        <v>25000</v>
      </c>
      <c r="J43" s="147">
        <v>25000</v>
      </c>
      <c r="K43" s="147">
        <v>25000</v>
      </c>
      <c r="L43" s="147">
        <v>25000</v>
      </c>
      <c r="M43" s="147">
        <v>25000</v>
      </c>
      <c r="N43" s="147">
        <v>25000</v>
      </c>
      <c r="O43" s="18">
        <f>SUM(C43:N43)</f>
        <v>300000</v>
      </c>
      <c r="P43" s="170"/>
    </row>
    <row r="44" spans="1:16" ht="15" x14ac:dyDescent="0.2">
      <c r="A44" s="854"/>
      <c r="B44" s="27" t="s">
        <v>155</v>
      </c>
      <c r="C44" s="147">
        <v>200</v>
      </c>
      <c r="D44" s="147">
        <v>200</v>
      </c>
      <c r="E44" s="147">
        <v>200</v>
      </c>
      <c r="F44" s="147">
        <v>200</v>
      </c>
      <c r="G44" s="147">
        <v>200</v>
      </c>
      <c r="H44" s="147">
        <v>200</v>
      </c>
      <c r="I44" s="147">
        <v>200</v>
      </c>
      <c r="J44" s="147">
        <v>200</v>
      </c>
      <c r="K44" s="147">
        <v>200</v>
      </c>
      <c r="L44" s="147">
        <v>200</v>
      </c>
      <c r="M44" s="147">
        <v>200</v>
      </c>
      <c r="N44" s="147">
        <v>300</v>
      </c>
      <c r="O44" s="18">
        <f t="shared" si="2"/>
        <v>2500</v>
      </c>
    </row>
    <row r="45" spans="1:16" ht="15" x14ac:dyDescent="0.2">
      <c r="A45" s="854"/>
      <c r="B45" s="27" t="s">
        <v>156</v>
      </c>
      <c r="C45" s="147">
        <v>0</v>
      </c>
      <c r="D45" s="147">
        <v>0</v>
      </c>
      <c r="E45" s="147">
        <v>0</v>
      </c>
      <c r="F45" s="147">
        <v>0</v>
      </c>
      <c r="G45" s="147">
        <v>0</v>
      </c>
      <c r="H45" s="147">
        <v>0</v>
      </c>
      <c r="I45" s="147">
        <v>0</v>
      </c>
      <c r="J45" s="147">
        <v>0</v>
      </c>
      <c r="K45" s="147">
        <v>0</v>
      </c>
      <c r="L45" s="147">
        <v>0</v>
      </c>
      <c r="M45" s="147">
        <v>0</v>
      </c>
      <c r="N45" s="147">
        <v>0</v>
      </c>
      <c r="O45" s="18">
        <f t="shared" si="2"/>
        <v>0</v>
      </c>
    </row>
    <row r="46" spans="1:16" ht="15" x14ac:dyDescent="0.2">
      <c r="A46" s="854"/>
      <c r="B46" s="27" t="s">
        <v>157</v>
      </c>
      <c r="C46" s="147">
        <v>0</v>
      </c>
      <c r="D46" s="147">
        <v>0</v>
      </c>
      <c r="E46" s="147">
        <v>0</v>
      </c>
      <c r="F46" s="147">
        <v>0</v>
      </c>
      <c r="G46" s="147">
        <v>0</v>
      </c>
      <c r="H46" s="147">
        <v>0</v>
      </c>
      <c r="I46" s="147">
        <v>0</v>
      </c>
      <c r="J46" s="147">
        <v>0</v>
      </c>
      <c r="K46" s="147">
        <v>0</v>
      </c>
      <c r="L46" s="147">
        <v>0</v>
      </c>
      <c r="M46" s="147">
        <v>0</v>
      </c>
      <c r="N46" s="147">
        <v>0</v>
      </c>
      <c r="O46" s="18">
        <f t="shared" si="2"/>
        <v>0</v>
      </c>
    </row>
    <row r="47" spans="1:16" ht="28.5" customHeight="1" x14ac:dyDescent="0.2">
      <c r="A47" s="855"/>
      <c r="B47" s="30" t="s">
        <v>158</v>
      </c>
      <c r="C47" s="147">
        <v>2839</v>
      </c>
      <c r="D47" s="147">
        <v>2839</v>
      </c>
      <c r="E47" s="147">
        <v>2839</v>
      </c>
      <c r="F47" s="147">
        <v>2839</v>
      </c>
      <c r="G47" s="147">
        <v>2839</v>
      </c>
      <c r="H47" s="147">
        <v>2839</v>
      </c>
      <c r="I47" s="147">
        <v>2839</v>
      </c>
      <c r="J47" s="147">
        <v>2839</v>
      </c>
      <c r="K47" s="147">
        <v>2839</v>
      </c>
      <c r="L47" s="147">
        <v>2839</v>
      </c>
      <c r="M47" s="147">
        <v>2839</v>
      </c>
      <c r="N47" s="147">
        <v>2839</v>
      </c>
      <c r="O47" s="31">
        <f t="shared" si="2"/>
        <v>34068</v>
      </c>
    </row>
    <row r="48" spans="1:16" ht="23.25" x14ac:dyDescent="0.2">
      <c r="A48" s="856"/>
      <c r="B48" s="160" t="s">
        <v>1156</v>
      </c>
      <c r="C48" s="147">
        <v>0</v>
      </c>
      <c r="D48" s="147">
        <v>0</v>
      </c>
      <c r="E48" s="147">
        <v>0</v>
      </c>
      <c r="F48" s="147">
        <v>0</v>
      </c>
      <c r="G48" s="147">
        <v>0</v>
      </c>
      <c r="H48" s="147">
        <v>0</v>
      </c>
      <c r="I48" s="147">
        <v>0</v>
      </c>
      <c r="J48" s="147">
        <v>0</v>
      </c>
      <c r="K48" s="147">
        <v>0</v>
      </c>
      <c r="L48" s="147">
        <v>0</v>
      </c>
      <c r="M48" s="147">
        <v>0</v>
      </c>
      <c r="N48" s="147">
        <v>0</v>
      </c>
      <c r="O48" s="31">
        <f t="shared" si="2"/>
        <v>0</v>
      </c>
    </row>
    <row r="49" spans="1:18" ht="15" x14ac:dyDescent="0.2">
      <c r="A49" s="857" t="s">
        <v>160</v>
      </c>
      <c r="B49" s="858"/>
      <c r="C49" s="33">
        <f>SUM(C37:C48)</f>
        <v>107265</v>
      </c>
      <c r="D49" s="33">
        <f>SUM(D37:D48)</f>
        <v>127925</v>
      </c>
      <c r="E49" s="33">
        <f>SUM(E37:E48)</f>
        <v>109413</v>
      </c>
      <c r="F49" s="33">
        <f>SUM(F37:F48)</f>
        <v>109413</v>
      </c>
      <c r="G49" s="33">
        <f>SUM(G38:G48)</f>
        <v>33249</v>
      </c>
      <c r="H49" s="33">
        <f t="shared" ref="H49:N49" si="3">SUM(H38:H48)</f>
        <v>33249</v>
      </c>
      <c r="I49" s="33">
        <f t="shared" si="3"/>
        <v>33249</v>
      </c>
      <c r="J49" s="33">
        <f t="shared" si="3"/>
        <v>33249</v>
      </c>
      <c r="K49" s="33">
        <f t="shared" si="3"/>
        <v>28749</v>
      </c>
      <c r="L49" s="33">
        <f t="shared" si="3"/>
        <v>41010</v>
      </c>
      <c r="M49" s="33">
        <f t="shared" si="3"/>
        <v>41009</v>
      </c>
      <c r="N49" s="33">
        <f t="shared" si="3"/>
        <v>41774</v>
      </c>
      <c r="O49" s="34">
        <f t="shared" si="2"/>
        <v>739554</v>
      </c>
    </row>
    <row r="50" spans="1:18" ht="15.75" thickBot="1" x14ac:dyDescent="0.25">
      <c r="A50" s="859" t="s">
        <v>161</v>
      </c>
      <c r="B50" s="860"/>
      <c r="C50" s="35">
        <f>C37-C49</f>
        <v>-28749</v>
      </c>
      <c r="D50" s="35">
        <f t="shared" ref="D50:N50" si="4">D37-D49</f>
        <v>-33249</v>
      </c>
      <c r="E50" s="35">
        <f t="shared" si="4"/>
        <v>-33249</v>
      </c>
      <c r="F50" s="35">
        <f t="shared" si="4"/>
        <v>-33249</v>
      </c>
      <c r="G50" s="35">
        <f t="shared" si="4"/>
        <v>45142</v>
      </c>
      <c r="H50" s="35">
        <f t="shared" si="4"/>
        <v>45142</v>
      </c>
      <c r="I50" s="35">
        <f t="shared" si="4"/>
        <v>45142</v>
      </c>
      <c r="J50" s="35">
        <f t="shared" si="4"/>
        <v>56890</v>
      </c>
      <c r="K50" s="35">
        <f t="shared" si="4"/>
        <v>50852</v>
      </c>
      <c r="L50" s="35">
        <f t="shared" si="4"/>
        <v>38591</v>
      </c>
      <c r="M50" s="35">
        <f t="shared" si="4"/>
        <v>38592</v>
      </c>
      <c r="N50" s="35">
        <f t="shared" si="4"/>
        <v>37827</v>
      </c>
      <c r="O50" s="36">
        <f t="shared" si="2"/>
        <v>229682</v>
      </c>
    </row>
    <row r="51" spans="1:18" x14ac:dyDescent="0.2">
      <c r="J51" s="295">
        <f>+J37-SUM(J22:J36)</f>
        <v>79601</v>
      </c>
    </row>
    <row r="52" spans="1:18" ht="13.5" thickBot="1" x14ac:dyDescent="0.25">
      <c r="J52" s="38">
        <f>+J51-J49</f>
        <v>46352</v>
      </c>
    </row>
    <row r="53" spans="1:18" ht="13.5" thickBot="1" x14ac:dyDescent="0.25">
      <c r="B53" s="789" t="s">
        <v>162</v>
      </c>
      <c r="C53" s="861"/>
      <c r="D53" s="861"/>
      <c r="E53" s="861"/>
      <c r="F53" s="862"/>
      <c r="G53" s="863">
        <f>O37</f>
        <v>969236</v>
      </c>
      <c r="H53" s="864"/>
    </row>
    <row r="54" spans="1:18" ht="13.5" thickBot="1" x14ac:dyDescent="0.25"/>
    <row r="55" spans="1:18" x14ac:dyDescent="0.2">
      <c r="B55" s="830" t="s">
        <v>163</v>
      </c>
      <c r="C55" s="833" t="s">
        <v>164</v>
      </c>
      <c r="D55" s="836" t="s">
        <v>229</v>
      </c>
      <c r="E55" s="837"/>
      <c r="F55" s="838"/>
      <c r="G55" s="839">
        <v>40000</v>
      </c>
      <c r="H55" s="840"/>
    </row>
    <row r="56" spans="1:18" x14ac:dyDescent="0.2">
      <c r="B56" s="831"/>
      <c r="C56" s="834"/>
      <c r="D56" s="841" t="s">
        <v>166</v>
      </c>
      <c r="E56" s="842"/>
      <c r="F56" s="843"/>
      <c r="G56" s="844">
        <f>+O44</f>
        <v>2500</v>
      </c>
      <c r="H56" s="845"/>
      <c r="I56" s="39"/>
      <c r="J56" s="846"/>
      <c r="K56" s="846"/>
      <c r="L56" s="846"/>
      <c r="M56" s="847"/>
      <c r="N56" s="847"/>
      <c r="O56" s="847"/>
    </row>
    <row r="57" spans="1:18" ht="13.5" thickBot="1" x14ac:dyDescent="0.25">
      <c r="B57" s="832"/>
      <c r="C57" s="835"/>
      <c r="D57" s="848" t="s">
        <v>266</v>
      </c>
      <c r="E57" s="849"/>
      <c r="F57" s="850"/>
      <c r="G57" s="851">
        <v>0</v>
      </c>
      <c r="H57" s="852"/>
      <c r="J57" s="47"/>
      <c r="K57" s="47"/>
      <c r="L57" s="47"/>
      <c r="M57" s="47"/>
      <c r="N57" s="47"/>
      <c r="O57" s="47"/>
    </row>
    <row r="58" spans="1:18" ht="13.5" thickBot="1" x14ac:dyDescent="0.25">
      <c r="B58" s="48"/>
      <c r="J58" s="47"/>
      <c r="K58" s="47"/>
      <c r="L58" s="47"/>
      <c r="M58" s="47"/>
      <c r="N58" s="47"/>
      <c r="O58" s="47"/>
    </row>
    <row r="59" spans="1:18" ht="13.5" thickBot="1" x14ac:dyDescent="0.25">
      <c r="B59" s="789" t="s">
        <v>168</v>
      </c>
      <c r="C59" s="790"/>
      <c r="D59" s="790"/>
      <c r="E59" s="790"/>
      <c r="F59" s="791"/>
      <c r="G59" s="825">
        <f>+G53-SUM(G55:H57)</f>
        <v>926736</v>
      </c>
      <c r="H59" s="826"/>
      <c r="J59" s="827" t="s">
        <v>169</v>
      </c>
      <c r="K59" s="828"/>
      <c r="L59" s="828"/>
      <c r="M59" s="828"/>
      <c r="N59" s="828"/>
      <c r="O59" s="829"/>
    </row>
    <row r="60" spans="1:18" ht="13.5" thickBot="1" x14ac:dyDescent="0.25">
      <c r="B60" s="49"/>
      <c r="C60" s="50"/>
      <c r="D60" s="50"/>
      <c r="E60" s="50"/>
      <c r="F60" s="50"/>
      <c r="G60" s="45"/>
      <c r="H60" s="50"/>
      <c r="J60" s="129"/>
      <c r="K60" s="130"/>
      <c r="L60" s="130"/>
      <c r="M60" s="130"/>
      <c r="N60" s="130"/>
      <c r="O60" s="131"/>
    </row>
    <row r="61" spans="1:18" ht="13.5" thickBot="1" x14ac:dyDescent="0.25">
      <c r="B61" s="789" t="s">
        <v>170</v>
      </c>
      <c r="C61" s="790"/>
      <c r="D61" s="790"/>
      <c r="E61" s="790"/>
      <c r="F61" s="791"/>
      <c r="G61" s="805"/>
      <c r="H61" s="791"/>
      <c r="J61" s="129"/>
      <c r="K61" s="130"/>
      <c r="L61" s="130"/>
      <c r="M61" s="130"/>
      <c r="N61" s="130"/>
      <c r="O61" s="131"/>
    </row>
    <row r="62" spans="1:18" ht="12.75" customHeight="1" x14ac:dyDescent="0.2">
      <c r="B62" s="57" t="s">
        <v>171</v>
      </c>
      <c r="C62" s="806" t="s">
        <v>172</v>
      </c>
      <c r="D62" s="807"/>
      <c r="E62" s="807"/>
      <c r="F62" s="808"/>
      <c r="G62" s="809">
        <v>0</v>
      </c>
      <c r="H62" s="809"/>
      <c r="I62" s="58"/>
      <c r="J62" s="810" t="s">
        <v>173</v>
      </c>
      <c r="K62" s="811"/>
      <c r="L62" s="811"/>
      <c r="M62" s="811"/>
      <c r="N62" s="811"/>
      <c r="O62" s="812"/>
      <c r="Q62" s="59"/>
      <c r="R62" s="59"/>
    </row>
    <row r="63" spans="1:18" ht="13.5" thickBot="1" x14ac:dyDescent="0.25">
      <c r="D63" s="37"/>
      <c r="I63" s="58"/>
      <c r="J63" s="60" t="s">
        <v>254</v>
      </c>
      <c r="K63" s="132"/>
      <c r="L63" s="132"/>
      <c r="M63" s="133"/>
      <c r="N63" s="133"/>
      <c r="O63" s="134"/>
      <c r="Q63" s="59"/>
      <c r="R63" s="59"/>
    </row>
    <row r="64" spans="1:18" ht="13.5" thickBot="1" x14ac:dyDescent="0.25">
      <c r="B64" s="789" t="s">
        <v>175</v>
      </c>
      <c r="C64" s="790"/>
      <c r="D64" s="790"/>
      <c r="E64" s="790"/>
      <c r="F64" s="791"/>
      <c r="G64" s="805">
        <f>+G59-G62</f>
        <v>926736</v>
      </c>
      <c r="H64" s="791"/>
      <c r="I64" s="63"/>
      <c r="J64" s="75"/>
      <c r="K64" s="39"/>
      <c r="L64" s="39"/>
      <c r="M64" s="39"/>
      <c r="N64" s="39"/>
      <c r="O64" s="65"/>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6.25" customHeight="1" thickBot="1" x14ac:dyDescent="0.25">
      <c r="B67" s="66"/>
      <c r="C67" s="48"/>
      <c r="G67" s="70" t="s">
        <v>177</v>
      </c>
      <c r="H67" s="70" t="s">
        <v>178</v>
      </c>
      <c r="I67" s="63"/>
      <c r="J67" s="810" t="s">
        <v>179</v>
      </c>
      <c r="K67" s="811"/>
      <c r="L67" s="71"/>
      <c r="M67" s="71"/>
      <c r="N67" s="71"/>
      <c r="O67" s="72"/>
      <c r="Q67" s="59"/>
      <c r="R67" s="59"/>
    </row>
    <row r="68" spans="2:18" ht="12.75" customHeight="1" x14ac:dyDescent="0.2">
      <c r="B68" s="802" t="s">
        <v>180</v>
      </c>
      <c r="C68" s="821" t="s">
        <v>181</v>
      </c>
      <c r="D68" s="823" t="s">
        <v>182</v>
      </c>
      <c r="E68" s="824"/>
      <c r="F68" s="824"/>
      <c r="G68" s="73">
        <f>+O43</f>
        <v>300000</v>
      </c>
      <c r="H68" s="74">
        <f>+G68</f>
        <v>300000</v>
      </c>
      <c r="I68" s="63"/>
      <c r="J68" s="75" t="s">
        <v>231</v>
      </c>
      <c r="K68" s="58"/>
      <c r="L68" s="58"/>
      <c r="M68" s="58" t="s">
        <v>232</v>
      </c>
      <c r="N68" s="58" t="s">
        <v>233</v>
      </c>
      <c r="O68" s="76">
        <v>0</v>
      </c>
      <c r="Q68" s="59"/>
      <c r="R68" s="59"/>
    </row>
    <row r="69" spans="2:18" ht="12.75" customHeight="1" x14ac:dyDescent="0.2">
      <c r="B69" s="803"/>
      <c r="C69" s="822"/>
      <c r="D69" s="782" t="s">
        <v>184</v>
      </c>
      <c r="E69" s="783"/>
      <c r="F69" s="783"/>
      <c r="G69" s="77">
        <f>+O47</f>
        <v>34068</v>
      </c>
      <c r="H69" s="78">
        <f t="shared" ref="H69:H76" si="5">+G69</f>
        <v>34068</v>
      </c>
      <c r="I69" s="63"/>
      <c r="J69" s="79"/>
      <c r="K69" s="68"/>
      <c r="L69" s="68"/>
      <c r="M69" s="68"/>
      <c r="N69" s="68"/>
      <c r="O69" s="69"/>
      <c r="Q69" s="59"/>
      <c r="R69" s="59"/>
    </row>
    <row r="70" spans="2:18" ht="12.75" customHeight="1" x14ac:dyDescent="0.2">
      <c r="B70" s="803"/>
      <c r="C70" s="822"/>
      <c r="D70" s="819" t="s">
        <v>185</v>
      </c>
      <c r="E70" s="820"/>
      <c r="F70" s="820"/>
      <c r="G70" s="80">
        <f>O40</f>
        <v>720</v>
      </c>
      <c r="H70" s="78">
        <f t="shared" si="5"/>
        <v>720</v>
      </c>
      <c r="I70" s="63"/>
      <c r="J70" s="67"/>
      <c r="K70" s="68"/>
      <c r="L70" s="68"/>
      <c r="M70" s="68"/>
      <c r="N70" s="68"/>
      <c r="O70" s="69"/>
    </row>
    <row r="71" spans="2:18" x14ac:dyDescent="0.2">
      <c r="B71" s="803"/>
      <c r="C71" s="822"/>
      <c r="D71" s="782" t="s">
        <v>186</v>
      </c>
      <c r="E71" s="783"/>
      <c r="F71" s="783"/>
      <c r="G71" s="81">
        <v>0</v>
      </c>
      <c r="H71" s="78">
        <f t="shared" si="5"/>
        <v>0</v>
      </c>
      <c r="I71" s="63"/>
      <c r="J71" s="82" t="s">
        <v>187</v>
      </c>
      <c r="K71" s="71"/>
      <c r="L71" s="71"/>
      <c r="M71" s="71"/>
      <c r="N71" s="71"/>
      <c r="O71" s="72"/>
    </row>
    <row r="72" spans="2:18" ht="12.75" customHeight="1" x14ac:dyDescent="0.2">
      <c r="B72" s="803"/>
      <c r="C72" s="822"/>
      <c r="D72" s="784" t="s">
        <v>188</v>
      </c>
      <c r="E72" s="783"/>
      <c r="F72" s="783"/>
      <c r="G72" s="80">
        <v>0</v>
      </c>
      <c r="H72" s="78">
        <f t="shared" si="5"/>
        <v>0</v>
      </c>
      <c r="I72" s="63"/>
      <c r="J72" s="75" t="s">
        <v>189</v>
      </c>
      <c r="K72" s="50"/>
      <c r="L72" s="50"/>
      <c r="M72" s="50"/>
      <c r="N72" s="50"/>
      <c r="O72" s="83">
        <f>O42</f>
        <v>7800</v>
      </c>
    </row>
    <row r="73" spans="2:18" ht="14.25" customHeight="1" x14ac:dyDescent="0.2">
      <c r="B73" s="803"/>
      <c r="C73" s="822"/>
      <c r="D73" s="782" t="s">
        <v>190</v>
      </c>
      <c r="E73" s="783"/>
      <c r="F73" s="783"/>
      <c r="G73" s="84">
        <v>0</v>
      </c>
      <c r="H73" s="78">
        <f t="shared" si="5"/>
        <v>0</v>
      </c>
      <c r="I73" s="63"/>
      <c r="J73" s="75" t="s">
        <v>1157</v>
      </c>
      <c r="K73" s="39"/>
      <c r="L73" s="39"/>
      <c r="M73" s="39"/>
      <c r="N73" s="39"/>
      <c r="O73" s="65"/>
    </row>
    <row r="74" spans="2:18" x14ac:dyDescent="0.2">
      <c r="B74" s="803"/>
      <c r="C74" s="822"/>
      <c r="D74" s="782" t="s">
        <v>191</v>
      </c>
      <c r="E74" s="783"/>
      <c r="F74" s="783"/>
      <c r="G74" s="81">
        <v>0</v>
      </c>
      <c r="H74" s="78">
        <f t="shared" si="5"/>
        <v>0</v>
      </c>
      <c r="I74" s="58"/>
      <c r="J74" s="137" t="s">
        <v>1158</v>
      </c>
      <c r="K74" s="50"/>
      <c r="L74" s="50"/>
      <c r="M74" s="50"/>
      <c r="N74" s="50"/>
      <c r="O74" s="83"/>
    </row>
    <row r="75" spans="2:18" x14ac:dyDescent="0.2">
      <c r="B75" s="803"/>
      <c r="C75" s="88" t="s">
        <v>192</v>
      </c>
      <c r="D75" s="813" t="s">
        <v>193</v>
      </c>
      <c r="E75" s="814"/>
      <c r="F75" s="814"/>
      <c r="G75" s="80">
        <v>0</v>
      </c>
      <c r="H75" s="78">
        <f t="shared" si="5"/>
        <v>0</v>
      </c>
      <c r="I75" s="58"/>
      <c r="J75" s="85"/>
      <c r="K75" s="138"/>
      <c r="L75" s="138"/>
      <c r="M75" s="138"/>
      <c r="N75" s="138"/>
      <c r="O75" s="139"/>
    </row>
    <row r="76" spans="2:18" ht="13.5" customHeight="1" thickBot="1" x14ac:dyDescent="0.25">
      <c r="B76" s="803"/>
      <c r="C76" s="88" t="s">
        <v>194</v>
      </c>
      <c r="D76" s="815" t="s">
        <v>195</v>
      </c>
      <c r="E76" s="815"/>
      <c r="F76" s="815"/>
      <c r="G76" s="89">
        <v>0</v>
      </c>
      <c r="H76" s="90">
        <f t="shared" si="5"/>
        <v>0</v>
      </c>
      <c r="I76" s="63"/>
      <c r="J76" s="75"/>
      <c r="K76" s="68"/>
      <c r="L76" s="68"/>
      <c r="M76" s="91"/>
      <c r="N76" s="91"/>
      <c r="O76" s="92"/>
    </row>
    <row r="77" spans="2:18" ht="13.5" thickBot="1" x14ac:dyDescent="0.25">
      <c r="B77" s="803"/>
      <c r="C77" s="93"/>
      <c r="D77" s="94"/>
      <c r="E77" s="816" t="s">
        <v>117</v>
      </c>
      <c r="F77" s="817"/>
      <c r="G77" s="95">
        <f>SUM(G68:G76)</f>
        <v>334788</v>
      </c>
      <c r="H77" s="96">
        <f>IF(SUM(G68:G74)&lt;150000,SUM(G68:G74),150000)+IF(+G75&lt;20000,+G75,20000)</f>
        <v>150000</v>
      </c>
      <c r="I77" s="63"/>
      <c r="J77" s="140"/>
      <c r="K77" s="141"/>
      <c r="L77" s="141"/>
      <c r="M77" s="142"/>
      <c r="N77" s="142"/>
      <c r="O77" s="143"/>
    </row>
    <row r="78" spans="2:18" ht="12.75" customHeight="1" x14ac:dyDescent="0.2">
      <c r="B78" s="803"/>
      <c r="C78" s="100" t="s">
        <v>196</v>
      </c>
      <c r="D78" s="782" t="s">
        <v>187</v>
      </c>
      <c r="E78" s="783"/>
      <c r="F78" s="818"/>
      <c r="G78" s="73">
        <f>+O42+O73</f>
        <v>7800</v>
      </c>
      <c r="H78" s="101">
        <f>+IF(+G78&lt;25000,+G78,25000)</f>
        <v>7800</v>
      </c>
      <c r="I78" s="87"/>
    </row>
    <row r="79" spans="2:18" x14ac:dyDescent="0.2">
      <c r="B79" s="803"/>
      <c r="C79" s="100" t="s">
        <v>197</v>
      </c>
      <c r="D79" s="784" t="s">
        <v>198</v>
      </c>
      <c r="E79" s="785"/>
      <c r="F79" s="786"/>
      <c r="G79" s="102"/>
      <c r="H79" s="103">
        <f>+IF(+G79&lt;40000,+G79,40000)</f>
        <v>0</v>
      </c>
      <c r="I79" s="63"/>
    </row>
    <row r="80" spans="2:18" x14ac:dyDescent="0.2">
      <c r="B80" s="803"/>
      <c r="C80" s="100" t="s">
        <v>199</v>
      </c>
      <c r="D80" s="784" t="s">
        <v>200</v>
      </c>
      <c r="E80" s="785"/>
      <c r="F80" s="786"/>
      <c r="G80" s="81"/>
      <c r="H80" s="104">
        <v>0</v>
      </c>
      <c r="I80" s="63"/>
      <c r="J80" s="106"/>
    </row>
    <row r="81" spans="2:12" x14ac:dyDescent="0.2">
      <c r="B81" s="803"/>
      <c r="C81" s="100" t="s">
        <v>201</v>
      </c>
      <c r="D81" s="784" t="s">
        <v>202</v>
      </c>
      <c r="E81" s="785"/>
      <c r="F81" s="786"/>
      <c r="G81" s="81"/>
      <c r="H81" s="104">
        <v>0</v>
      </c>
      <c r="I81" s="63"/>
    </row>
    <row r="82" spans="2:12" ht="13.5" thickBot="1" x14ac:dyDescent="0.25">
      <c r="B82" s="804"/>
      <c r="C82" s="100" t="s">
        <v>203</v>
      </c>
      <c r="D82" s="784" t="s">
        <v>204</v>
      </c>
      <c r="E82" s="785"/>
      <c r="F82" s="786"/>
      <c r="G82" s="102"/>
      <c r="H82" s="103">
        <f>+IF(+G82&lt;100000,+G82,10000)</f>
        <v>0</v>
      </c>
      <c r="I82" s="63"/>
    </row>
    <row r="83" spans="2:12" ht="13.5" thickBot="1" x14ac:dyDescent="0.25">
      <c r="B83" s="787" t="s">
        <v>205</v>
      </c>
      <c r="C83" s="788"/>
      <c r="D83" s="788"/>
      <c r="E83" s="788"/>
      <c r="F83" s="788"/>
      <c r="G83" s="107">
        <f>SUM(G78:G82)</f>
        <v>7800</v>
      </c>
      <c r="H83" s="108">
        <f>SUM(H77:H82)</f>
        <v>157800</v>
      </c>
    </row>
    <row r="84" spans="2:12" ht="13.5" thickBot="1" x14ac:dyDescent="0.25"/>
    <row r="85" spans="2:12" ht="13.5" thickBot="1" x14ac:dyDescent="0.25">
      <c r="B85" s="789" t="s">
        <v>206</v>
      </c>
      <c r="C85" s="790"/>
      <c r="D85" s="790"/>
      <c r="E85" s="790"/>
      <c r="F85" s="791"/>
      <c r="G85" s="792">
        <f>+G64-H83</f>
        <v>768936</v>
      </c>
      <c r="H85" s="791"/>
      <c r="J85" s="109">
        <f>C37+D37+E37+F37</f>
        <v>325520</v>
      </c>
      <c r="K85" s="16" t="s">
        <v>235</v>
      </c>
    </row>
    <row r="86" spans="2:12" x14ac:dyDescent="0.2">
      <c r="B86" s="110"/>
      <c r="F86" s="105"/>
      <c r="J86" s="109">
        <f>G37+H37+I37</f>
        <v>235173</v>
      </c>
      <c r="K86" s="16" t="s">
        <v>236</v>
      </c>
    </row>
    <row r="87" spans="2:12" x14ac:dyDescent="0.2">
      <c r="C87" s="793" t="s">
        <v>207</v>
      </c>
      <c r="D87" s="794"/>
      <c r="E87" s="111" t="s">
        <v>208</v>
      </c>
      <c r="F87" s="111" t="s">
        <v>209</v>
      </c>
      <c r="G87" s="111" t="s">
        <v>210</v>
      </c>
      <c r="H87" s="111" t="s">
        <v>211</v>
      </c>
      <c r="J87" s="109">
        <f>J37+K37+L37</f>
        <v>249341</v>
      </c>
      <c r="K87" s="47" t="s">
        <v>237</v>
      </c>
    </row>
    <row r="88" spans="2:12" x14ac:dyDescent="0.2">
      <c r="C88" s="795" t="str">
        <f>IF(I6="M","0          - 250000","0          -  250000")</f>
        <v>0          - 250000</v>
      </c>
      <c r="D88" s="796"/>
      <c r="E88" s="112">
        <v>0</v>
      </c>
      <c r="F88" s="113">
        <f>IF(I6="M",(IF(G85&lt;250000,G85,250000)),(IF(G85&lt;250000,G85,250000)))</f>
        <v>250000</v>
      </c>
      <c r="G88" s="113">
        <f>G85-F88</f>
        <v>518936</v>
      </c>
      <c r="H88" s="113">
        <f>E88*F88</f>
        <v>0</v>
      </c>
      <c r="J88" s="16">
        <f>M37+N37</f>
        <v>159202</v>
      </c>
      <c r="K88" s="1" t="s">
        <v>238</v>
      </c>
    </row>
    <row r="89" spans="2:12" x14ac:dyDescent="0.2">
      <c r="C89" s="795" t="str">
        <f>IF(I6="M","250001 - 500000","250001-500000")</f>
        <v>250001 - 500000</v>
      </c>
      <c r="D89" s="796"/>
      <c r="E89" s="112">
        <v>0.05</v>
      </c>
      <c r="F89" s="113">
        <f>IF(I6="M",(IF(G88&lt;250000,G88,250000)),(IF(G88&lt;250000,G88,250000)))</f>
        <v>250000</v>
      </c>
      <c r="G89" s="113">
        <f>G88-F89</f>
        <v>268936</v>
      </c>
      <c r="H89" s="114">
        <f>ROUND(E89*F89,0.1)</f>
        <v>12500</v>
      </c>
      <c r="J89" s="115">
        <f>SUM(J85:J88)</f>
        <v>969236</v>
      </c>
    </row>
    <row r="90" spans="2:12" x14ac:dyDescent="0.2">
      <c r="C90" s="797" t="s">
        <v>212</v>
      </c>
      <c r="D90" s="798"/>
      <c r="E90" s="112">
        <v>0.2</v>
      </c>
      <c r="F90" s="113">
        <f>IF(G89&lt;500000,G89,500000)</f>
        <v>268936</v>
      </c>
      <c r="G90" s="113">
        <f>G89-F90</f>
        <v>0</v>
      </c>
      <c r="H90" s="114">
        <f>ROUND(E90*F90,0.1)</f>
        <v>53787</v>
      </c>
      <c r="J90" s="16">
        <f>+G85</f>
        <v>768936</v>
      </c>
    </row>
    <row r="91" spans="2:12" x14ac:dyDescent="0.2">
      <c r="C91" s="795" t="s">
        <v>213</v>
      </c>
      <c r="D91" s="796"/>
      <c r="E91" s="112">
        <v>0.3</v>
      </c>
      <c r="F91" s="113">
        <f>G90</f>
        <v>0</v>
      </c>
      <c r="G91" s="113">
        <f>G90-F91</f>
        <v>0</v>
      </c>
      <c r="H91" s="114">
        <f>ROUND(E91*F91,0.1)</f>
        <v>0</v>
      </c>
      <c r="J91" s="16">
        <f>+J89-J90</f>
        <v>200300</v>
      </c>
    </row>
    <row r="92" spans="2:12" ht="12.75" customHeight="1" thickBot="1" x14ac:dyDescent="0.25">
      <c r="B92" s="116"/>
      <c r="C92" s="117"/>
      <c r="D92" s="47"/>
      <c r="E92" s="47"/>
      <c r="F92" s="47"/>
      <c r="J92" s="87"/>
      <c r="K92" s="118"/>
    </row>
    <row r="93" spans="2:12" ht="13.5" thickBot="1" x14ac:dyDescent="0.25">
      <c r="B93" s="799" t="s">
        <v>239</v>
      </c>
      <c r="C93" s="800"/>
      <c r="D93" s="800"/>
      <c r="E93" s="800"/>
      <c r="F93" s="801"/>
      <c r="G93" s="771">
        <f>H88+H89+H90+H91</f>
        <v>66287</v>
      </c>
      <c r="H93" s="772"/>
      <c r="J93" s="87"/>
      <c r="K93" s="87"/>
    </row>
    <row r="94" spans="2:12" ht="13.5" thickBot="1" x14ac:dyDescent="0.25">
      <c r="B94" s="119" t="s">
        <v>215</v>
      </c>
      <c r="C94" s="120"/>
      <c r="D94" s="120"/>
      <c r="E94" s="120"/>
      <c r="F94" s="120"/>
      <c r="G94" s="895">
        <f>IF((G64&lt;500000),5000,0)</f>
        <v>0</v>
      </c>
      <c r="H94" s="896">
        <f>IF(H92&lt;200000,0,IF(H92&lt;220000,((H92-200000)*10%),IF(H92&lt;=500000,2000,IF(H92&gt;=500000,0))))</f>
        <v>0</v>
      </c>
      <c r="J94" s="1"/>
      <c r="K94" s="121"/>
      <c r="L94" s="121"/>
    </row>
    <row r="95" spans="2:12" ht="13.5" thickBot="1" x14ac:dyDescent="0.25">
      <c r="B95" s="122" t="s">
        <v>216</v>
      </c>
      <c r="C95" s="123"/>
      <c r="D95" s="123"/>
      <c r="E95" s="123"/>
      <c r="F95" s="123"/>
      <c r="G95" s="897">
        <f>IF((G93-G94)&lt;0,0,(G93-G94))</f>
        <v>66287</v>
      </c>
      <c r="H95" s="898"/>
      <c r="I95" s="37"/>
    </row>
    <row r="96" spans="2:12" ht="13.5" thickBot="1" x14ac:dyDescent="0.25">
      <c r="B96" s="773" t="s">
        <v>217</v>
      </c>
      <c r="C96" s="774"/>
      <c r="D96" s="774"/>
      <c r="E96" s="774"/>
      <c r="F96" s="775"/>
      <c r="G96" s="899">
        <f>ROUND((IF(G95&gt;0,(G95*4%),0)),0)</f>
        <v>2651</v>
      </c>
      <c r="H96" s="900"/>
      <c r="I96" s="37"/>
    </row>
    <row r="97" spans="2:9" ht="13.5" thickBot="1" x14ac:dyDescent="0.25">
      <c r="B97" s="778" t="s">
        <v>218</v>
      </c>
      <c r="C97" s="779"/>
      <c r="D97" s="779"/>
      <c r="E97" s="779"/>
      <c r="F97" s="779"/>
      <c r="G97" s="901">
        <f>G95+G96</f>
        <v>68938</v>
      </c>
      <c r="H97" s="902"/>
      <c r="I97" s="121"/>
    </row>
    <row r="98" spans="2:9" ht="13.5" thickBot="1" x14ac:dyDescent="0.25">
      <c r="B98" s="765" t="s">
        <v>219</v>
      </c>
      <c r="C98" s="766"/>
      <c r="D98" s="766"/>
      <c r="E98" s="766"/>
      <c r="F98" s="766"/>
      <c r="G98" s="893">
        <f>O38</f>
        <v>68946</v>
      </c>
      <c r="H98" s="894"/>
      <c r="I98" s="121"/>
    </row>
    <row r="99" spans="2:9" ht="13.5" thickBot="1" x14ac:dyDescent="0.25">
      <c r="B99" s="765" t="str">
        <f>IF(G99&gt;0,"TAX PAYABLE","TAX REFUND")</f>
        <v>TAX REFUND</v>
      </c>
      <c r="C99" s="766"/>
      <c r="D99" s="766"/>
      <c r="E99" s="766"/>
      <c r="F99" s="766"/>
      <c r="G99" s="893">
        <f>+G97-G98</f>
        <v>-8</v>
      </c>
      <c r="H99" s="894"/>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0:F90 B99:F99 B93:F97">
    <cfRule type="cellIs" dxfId="165" priority="1" stopIfTrue="1" operator="equal">
      <formula>"TAX PAYABLE"</formula>
    </cfRule>
    <cfRule type="cellIs" dxfId="164" priority="2" stopIfTrue="1" operator="equal">
      <formula>"TAX REFUND"</formula>
    </cfRule>
  </conditionalFormatting>
  <conditionalFormatting sqref="G90:H90">
    <cfRule type="cellIs" dxfId="163" priority="3" stopIfTrue="1" operator="lessThan">
      <formula>0</formula>
    </cfRule>
    <cfRule type="cellIs" dxfId="162" priority="4" stopIfTrue="1" operator="greaterThan">
      <formula>0</formula>
    </cfRule>
  </conditionalFormatting>
  <conditionalFormatting sqref="G99:H99">
    <cfRule type="cellIs" dxfId="161" priority="5" stopIfTrue="1" operator="greaterThan">
      <formula>0</formula>
    </cfRule>
    <cfRule type="cellIs" dxfId="160" priority="6"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5" right="0.75" top="1" bottom="1" header="0.5" footer="0.5"/>
  <pageSetup scale="80" orientation="landscape" verticalDpi="0" r:id="rId1"/>
  <headerFooter alignWithMargins="0"/>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07"/>
  <sheetViews>
    <sheetView workbookViewId="0">
      <selection activeCell="C37" sqref="C37"/>
    </sheetView>
  </sheetViews>
  <sheetFormatPr defaultRowHeight="12.75" x14ac:dyDescent="0.2"/>
  <cols>
    <col min="1" max="1" width="5" style="16" customWidth="1"/>
    <col min="2" max="2" width="18.42578125" style="37" customWidth="1"/>
    <col min="3" max="3" width="10.7109375" style="16" bestFit="1" customWidth="1"/>
    <col min="4" max="4" width="6.7109375" style="16" bestFit="1" customWidth="1"/>
    <col min="5" max="5" width="8.5703125" style="16" bestFit="1" customWidth="1"/>
    <col min="6" max="6" width="9.28515625" style="16" bestFit="1" customWidth="1"/>
    <col min="7" max="7" width="10.42578125" style="16" bestFit="1" customWidth="1"/>
    <col min="8" max="8" width="10.28515625" style="16" bestFit="1" customWidth="1"/>
    <col min="9" max="9" width="7.140625" style="16" bestFit="1" customWidth="1"/>
    <col min="10" max="10" width="7.140625" style="16" customWidth="1"/>
    <col min="11" max="12" width="7" style="16" bestFit="1" customWidth="1"/>
    <col min="13" max="13" width="6.85546875" style="16" bestFit="1" customWidth="1"/>
    <col min="14" max="14" width="7" style="16" bestFit="1" customWidth="1"/>
    <col min="15" max="15" width="7.140625" style="16" bestFit="1"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8.42578125" style="16" customWidth="1"/>
    <col min="259" max="259" width="10.7109375" style="16" bestFit="1" customWidth="1"/>
    <col min="260" max="260" width="6.7109375" style="16" bestFit="1" customWidth="1"/>
    <col min="261" max="261" width="8.5703125" style="16" bestFit="1" customWidth="1"/>
    <col min="262" max="262" width="9.28515625" style="16" bestFit="1" customWidth="1"/>
    <col min="263" max="263" width="10.42578125" style="16" bestFit="1" customWidth="1"/>
    <col min="264" max="264" width="10.28515625" style="16" bestFit="1" customWidth="1"/>
    <col min="265" max="265" width="7.140625" style="16" bestFit="1" customWidth="1"/>
    <col min="266" max="266" width="7.140625" style="16" customWidth="1"/>
    <col min="267" max="268" width="7" style="16" bestFit="1" customWidth="1"/>
    <col min="269" max="269" width="6.85546875" style="16" bestFit="1" customWidth="1"/>
    <col min="270" max="270" width="7" style="16" bestFit="1" customWidth="1"/>
    <col min="271" max="271" width="7.140625" style="16" bestFit="1"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8.42578125" style="16" customWidth="1"/>
    <col min="515" max="515" width="10.7109375" style="16" bestFit="1" customWidth="1"/>
    <col min="516" max="516" width="6.7109375" style="16" bestFit="1" customWidth="1"/>
    <col min="517" max="517" width="8.5703125" style="16" bestFit="1" customWidth="1"/>
    <col min="518" max="518" width="9.28515625" style="16" bestFit="1" customWidth="1"/>
    <col min="519" max="519" width="10.42578125" style="16" bestFit="1" customWidth="1"/>
    <col min="520" max="520" width="10.28515625" style="16" bestFit="1" customWidth="1"/>
    <col min="521" max="521" width="7.140625" style="16" bestFit="1" customWidth="1"/>
    <col min="522" max="522" width="7.140625" style="16" customWidth="1"/>
    <col min="523" max="524" width="7" style="16" bestFit="1" customWidth="1"/>
    <col min="525" max="525" width="6.85546875" style="16" bestFit="1" customWidth="1"/>
    <col min="526" max="526" width="7" style="16" bestFit="1" customWidth="1"/>
    <col min="527" max="527" width="7.140625" style="16" bestFit="1"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8.42578125" style="16" customWidth="1"/>
    <col min="771" max="771" width="10.7109375" style="16" bestFit="1" customWidth="1"/>
    <col min="772" max="772" width="6.7109375" style="16" bestFit="1" customWidth="1"/>
    <col min="773" max="773" width="8.5703125" style="16" bestFit="1" customWidth="1"/>
    <col min="774" max="774" width="9.28515625" style="16" bestFit="1" customWidth="1"/>
    <col min="775" max="775" width="10.42578125" style="16" bestFit="1" customWidth="1"/>
    <col min="776" max="776" width="10.28515625" style="16" bestFit="1" customWidth="1"/>
    <col min="777" max="777" width="7.140625" style="16" bestFit="1" customWidth="1"/>
    <col min="778" max="778" width="7.140625" style="16" customWidth="1"/>
    <col min="779" max="780" width="7" style="16" bestFit="1" customWidth="1"/>
    <col min="781" max="781" width="6.85546875" style="16" bestFit="1" customWidth="1"/>
    <col min="782" max="782" width="7" style="16" bestFit="1" customWidth="1"/>
    <col min="783" max="783" width="7.140625" style="16" bestFit="1"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8.42578125" style="16" customWidth="1"/>
    <col min="1027" max="1027" width="10.7109375" style="16" bestFit="1" customWidth="1"/>
    <col min="1028" max="1028" width="6.7109375" style="16" bestFit="1" customWidth="1"/>
    <col min="1029" max="1029" width="8.5703125" style="16" bestFit="1" customWidth="1"/>
    <col min="1030" max="1030" width="9.28515625" style="16" bestFit="1" customWidth="1"/>
    <col min="1031" max="1031" width="10.42578125" style="16" bestFit="1" customWidth="1"/>
    <col min="1032" max="1032" width="10.28515625" style="16" bestFit="1" customWidth="1"/>
    <col min="1033" max="1033" width="7.140625" style="16" bestFit="1" customWidth="1"/>
    <col min="1034" max="1034" width="7.140625" style="16" customWidth="1"/>
    <col min="1035" max="1036" width="7" style="16" bestFit="1" customWidth="1"/>
    <col min="1037" max="1037" width="6.85546875" style="16" bestFit="1" customWidth="1"/>
    <col min="1038" max="1038" width="7" style="16" bestFit="1" customWidth="1"/>
    <col min="1039" max="1039" width="7.140625" style="16" bestFit="1"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8.42578125" style="16" customWidth="1"/>
    <col min="1283" max="1283" width="10.7109375" style="16" bestFit="1" customWidth="1"/>
    <col min="1284" max="1284" width="6.7109375" style="16" bestFit="1" customWidth="1"/>
    <col min="1285" max="1285" width="8.5703125" style="16" bestFit="1" customWidth="1"/>
    <col min="1286" max="1286" width="9.28515625" style="16" bestFit="1" customWidth="1"/>
    <col min="1287" max="1287" width="10.42578125" style="16" bestFit="1" customWidth="1"/>
    <col min="1288" max="1288" width="10.28515625" style="16" bestFit="1" customWidth="1"/>
    <col min="1289" max="1289" width="7.140625" style="16" bestFit="1" customWidth="1"/>
    <col min="1290" max="1290" width="7.140625" style="16" customWidth="1"/>
    <col min="1291" max="1292" width="7" style="16" bestFit="1" customWidth="1"/>
    <col min="1293" max="1293" width="6.85546875" style="16" bestFit="1" customWidth="1"/>
    <col min="1294" max="1294" width="7" style="16" bestFit="1" customWidth="1"/>
    <col min="1295" max="1295" width="7.140625" style="16" bestFit="1"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8.42578125" style="16" customWidth="1"/>
    <col min="1539" max="1539" width="10.7109375" style="16" bestFit="1" customWidth="1"/>
    <col min="1540" max="1540" width="6.7109375" style="16" bestFit="1" customWidth="1"/>
    <col min="1541" max="1541" width="8.5703125" style="16" bestFit="1" customWidth="1"/>
    <col min="1542" max="1542" width="9.28515625" style="16" bestFit="1" customWidth="1"/>
    <col min="1543" max="1543" width="10.42578125" style="16" bestFit="1" customWidth="1"/>
    <col min="1544" max="1544" width="10.28515625" style="16" bestFit="1" customWidth="1"/>
    <col min="1545" max="1545" width="7.140625" style="16" bestFit="1" customWidth="1"/>
    <col min="1546" max="1546" width="7.140625" style="16" customWidth="1"/>
    <col min="1547" max="1548" width="7" style="16" bestFit="1" customWidth="1"/>
    <col min="1549" max="1549" width="6.85546875" style="16" bestFit="1" customWidth="1"/>
    <col min="1550" max="1550" width="7" style="16" bestFit="1" customWidth="1"/>
    <col min="1551" max="1551" width="7.140625" style="16" bestFit="1"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8.42578125" style="16" customWidth="1"/>
    <col min="1795" max="1795" width="10.7109375" style="16" bestFit="1" customWidth="1"/>
    <col min="1796" max="1796" width="6.7109375" style="16" bestFit="1" customWidth="1"/>
    <col min="1797" max="1797" width="8.5703125" style="16" bestFit="1" customWidth="1"/>
    <col min="1798" max="1798" width="9.28515625" style="16" bestFit="1" customWidth="1"/>
    <col min="1799" max="1799" width="10.42578125" style="16" bestFit="1" customWidth="1"/>
    <col min="1800" max="1800" width="10.28515625" style="16" bestFit="1" customWidth="1"/>
    <col min="1801" max="1801" width="7.140625" style="16" bestFit="1" customWidth="1"/>
    <col min="1802" max="1802" width="7.140625" style="16" customWidth="1"/>
    <col min="1803" max="1804" width="7" style="16" bestFit="1" customWidth="1"/>
    <col min="1805" max="1805" width="6.85546875" style="16" bestFit="1" customWidth="1"/>
    <col min="1806" max="1806" width="7" style="16" bestFit="1" customWidth="1"/>
    <col min="1807" max="1807" width="7.140625" style="16" bestFit="1"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8.42578125" style="16" customWidth="1"/>
    <col min="2051" max="2051" width="10.7109375" style="16" bestFit="1" customWidth="1"/>
    <col min="2052" max="2052" width="6.7109375" style="16" bestFit="1" customWidth="1"/>
    <col min="2053" max="2053" width="8.5703125" style="16" bestFit="1" customWidth="1"/>
    <col min="2054" max="2054" width="9.28515625" style="16" bestFit="1" customWidth="1"/>
    <col min="2055" max="2055" width="10.42578125" style="16" bestFit="1" customWidth="1"/>
    <col min="2056" max="2056" width="10.28515625" style="16" bestFit="1" customWidth="1"/>
    <col min="2057" max="2057" width="7.140625" style="16" bestFit="1" customWidth="1"/>
    <col min="2058" max="2058" width="7.140625" style="16" customWidth="1"/>
    <col min="2059" max="2060" width="7" style="16" bestFit="1" customWidth="1"/>
    <col min="2061" max="2061" width="6.85546875" style="16" bestFit="1" customWidth="1"/>
    <col min="2062" max="2062" width="7" style="16" bestFit="1" customWidth="1"/>
    <col min="2063" max="2063" width="7.140625" style="16" bestFit="1"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8.42578125" style="16" customWidth="1"/>
    <col min="2307" max="2307" width="10.7109375" style="16" bestFit="1" customWidth="1"/>
    <col min="2308" max="2308" width="6.7109375" style="16" bestFit="1" customWidth="1"/>
    <col min="2309" max="2309" width="8.5703125" style="16" bestFit="1" customWidth="1"/>
    <col min="2310" max="2310" width="9.28515625" style="16" bestFit="1" customWidth="1"/>
    <col min="2311" max="2311" width="10.42578125" style="16" bestFit="1" customWidth="1"/>
    <col min="2312" max="2312" width="10.28515625" style="16" bestFit="1" customWidth="1"/>
    <col min="2313" max="2313" width="7.140625" style="16" bestFit="1" customWidth="1"/>
    <col min="2314" max="2314" width="7.140625" style="16" customWidth="1"/>
    <col min="2315" max="2316" width="7" style="16" bestFit="1" customWidth="1"/>
    <col min="2317" max="2317" width="6.85546875" style="16" bestFit="1" customWidth="1"/>
    <col min="2318" max="2318" width="7" style="16" bestFit="1" customWidth="1"/>
    <col min="2319" max="2319" width="7.140625" style="16" bestFit="1"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8.42578125" style="16" customWidth="1"/>
    <col min="2563" max="2563" width="10.7109375" style="16" bestFit="1" customWidth="1"/>
    <col min="2564" max="2564" width="6.7109375" style="16" bestFit="1" customWidth="1"/>
    <col min="2565" max="2565" width="8.5703125" style="16" bestFit="1" customWidth="1"/>
    <col min="2566" max="2566" width="9.28515625" style="16" bestFit="1" customWidth="1"/>
    <col min="2567" max="2567" width="10.42578125" style="16" bestFit="1" customWidth="1"/>
    <col min="2568" max="2568" width="10.28515625" style="16" bestFit="1" customWidth="1"/>
    <col min="2569" max="2569" width="7.140625" style="16" bestFit="1" customWidth="1"/>
    <col min="2570" max="2570" width="7.140625" style="16" customWidth="1"/>
    <col min="2571" max="2572" width="7" style="16" bestFit="1" customWidth="1"/>
    <col min="2573" max="2573" width="6.85546875" style="16" bestFit="1" customWidth="1"/>
    <col min="2574" max="2574" width="7" style="16" bestFit="1" customWidth="1"/>
    <col min="2575" max="2575" width="7.140625" style="16" bestFit="1"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8.42578125" style="16" customWidth="1"/>
    <col min="2819" max="2819" width="10.7109375" style="16" bestFit="1" customWidth="1"/>
    <col min="2820" max="2820" width="6.7109375" style="16" bestFit="1" customWidth="1"/>
    <col min="2821" max="2821" width="8.5703125" style="16" bestFit="1" customWidth="1"/>
    <col min="2822" max="2822" width="9.28515625" style="16" bestFit="1" customWidth="1"/>
    <col min="2823" max="2823" width="10.42578125" style="16" bestFit="1" customWidth="1"/>
    <col min="2824" max="2824" width="10.28515625" style="16" bestFit="1" customWidth="1"/>
    <col min="2825" max="2825" width="7.140625" style="16" bestFit="1" customWidth="1"/>
    <col min="2826" max="2826" width="7.140625" style="16" customWidth="1"/>
    <col min="2827" max="2828" width="7" style="16" bestFit="1" customWidth="1"/>
    <col min="2829" max="2829" width="6.85546875" style="16" bestFit="1" customWidth="1"/>
    <col min="2830" max="2830" width="7" style="16" bestFit="1" customWidth="1"/>
    <col min="2831" max="2831" width="7.140625" style="16" bestFit="1"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8.42578125" style="16" customWidth="1"/>
    <col min="3075" max="3075" width="10.7109375" style="16" bestFit="1" customWidth="1"/>
    <col min="3076" max="3076" width="6.7109375" style="16" bestFit="1" customWidth="1"/>
    <col min="3077" max="3077" width="8.5703125" style="16" bestFit="1" customWidth="1"/>
    <col min="3078" max="3078" width="9.28515625" style="16" bestFit="1" customWidth="1"/>
    <col min="3079" max="3079" width="10.42578125" style="16" bestFit="1" customWidth="1"/>
    <col min="3080" max="3080" width="10.28515625" style="16" bestFit="1" customWidth="1"/>
    <col min="3081" max="3081" width="7.140625" style="16" bestFit="1" customWidth="1"/>
    <col min="3082" max="3082" width="7.140625" style="16" customWidth="1"/>
    <col min="3083" max="3084" width="7" style="16" bestFit="1" customWidth="1"/>
    <col min="3085" max="3085" width="6.85546875" style="16" bestFit="1" customWidth="1"/>
    <col min="3086" max="3086" width="7" style="16" bestFit="1" customWidth="1"/>
    <col min="3087" max="3087" width="7.140625" style="16" bestFit="1"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8.42578125" style="16" customWidth="1"/>
    <col min="3331" max="3331" width="10.7109375" style="16" bestFit="1" customWidth="1"/>
    <col min="3332" max="3332" width="6.7109375" style="16" bestFit="1" customWidth="1"/>
    <col min="3333" max="3333" width="8.5703125" style="16" bestFit="1" customWidth="1"/>
    <col min="3334" max="3334" width="9.28515625" style="16" bestFit="1" customWidth="1"/>
    <col min="3335" max="3335" width="10.42578125" style="16" bestFit="1" customWidth="1"/>
    <col min="3336" max="3336" width="10.28515625" style="16" bestFit="1" customWidth="1"/>
    <col min="3337" max="3337" width="7.140625" style="16" bestFit="1" customWidth="1"/>
    <col min="3338" max="3338" width="7.140625" style="16" customWidth="1"/>
    <col min="3339" max="3340" width="7" style="16" bestFit="1" customWidth="1"/>
    <col min="3341" max="3341" width="6.85546875" style="16" bestFit="1" customWidth="1"/>
    <col min="3342" max="3342" width="7" style="16" bestFit="1" customWidth="1"/>
    <col min="3343" max="3343" width="7.140625" style="16" bestFit="1"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8.42578125" style="16" customWidth="1"/>
    <col min="3587" max="3587" width="10.7109375" style="16" bestFit="1" customWidth="1"/>
    <col min="3588" max="3588" width="6.7109375" style="16" bestFit="1" customWidth="1"/>
    <col min="3589" max="3589" width="8.5703125" style="16" bestFit="1" customWidth="1"/>
    <col min="3590" max="3590" width="9.28515625" style="16" bestFit="1" customWidth="1"/>
    <col min="3591" max="3591" width="10.42578125" style="16" bestFit="1" customWidth="1"/>
    <col min="3592" max="3592" width="10.28515625" style="16" bestFit="1" customWidth="1"/>
    <col min="3593" max="3593" width="7.140625" style="16" bestFit="1" customWidth="1"/>
    <col min="3594" max="3594" width="7.140625" style="16" customWidth="1"/>
    <col min="3595" max="3596" width="7" style="16" bestFit="1" customWidth="1"/>
    <col min="3597" max="3597" width="6.85546875" style="16" bestFit="1" customWidth="1"/>
    <col min="3598" max="3598" width="7" style="16" bestFit="1" customWidth="1"/>
    <col min="3599" max="3599" width="7.140625" style="16" bestFit="1"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8.42578125" style="16" customWidth="1"/>
    <col min="3843" max="3843" width="10.7109375" style="16" bestFit="1" customWidth="1"/>
    <col min="3844" max="3844" width="6.7109375" style="16" bestFit="1" customWidth="1"/>
    <col min="3845" max="3845" width="8.5703125" style="16" bestFit="1" customWidth="1"/>
    <col min="3846" max="3846" width="9.28515625" style="16" bestFit="1" customWidth="1"/>
    <col min="3847" max="3847" width="10.42578125" style="16" bestFit="1" customWidth="1"/>
    <col min="3848" max="3848" width="10.28515625" style="16" bestFit="1" customWidth="1"/>
    <col min="3849" max="3849" width="7.140625" style="16" bestFit="1" customWidth="1"/>
    <col min="3850" max="3850" width="7.140625" style="16" customWidth="1"/>
    <col min="3851" max="3852" width="7" style="16" bestFit="1" customWidth="1"/>
    <col min="3853" max="3853" width="6.85546875" style="16" bestFit="1" customWidth="1"/>
    <col min="3854" max="3854" width="7" style="16" bestFit="1" customWidth="1"/>
    <col min="3855" max="3855" width="7.140625" style="16" bestFit="1"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8.42578125" style="16" customWidth="1"/>
    <col min="4099" max="4099" width="10.7109375" style="16" bestFit="1" customWidth="1"/>
    <col min="4100" max="4100" width="6.7109375" style="16" bestFit="1" customWidth="1"/>
    <col min="4101" max="4101" width="8.5703125" style="16" bestFit="1" customWidth="1"/>
    <col min="4102" max="4102" width="9.28515625" style="16" bestFit="1" customWidth="1"/>
    <col min="4103" max="4103" width="10.42578125" style="16" bestFit="1" customWidth="1"/>
    <col min="4104" max="4104" width="10.28515625" style="16" bestFit="1" customWidth="1"/>
    <col min="4105" max="4105" width="7.140625" style="16" bestFit="1" customWidth="1"/>
    <col min="4106" max="4106" width="7.140625" style="16" customWidth="1"/>
    <col min="4107" max="4108" width="7" style="16" bestFit="1" customWidth="1"/>
    <col min="4109" max="4109" width="6.85546875" style="16" bestFit="1" customWidth="1"/>
    <col min="4110" max="4110" width="7" style="16" bestFit="1" customWidth="1"/>
    <col min="4111" max="4111" width="7.140625" style="16" bestFit="1"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8.42578125" style="16" customWidth="1"/>
    <col min="4355" max="4355" width="10.7109375" style="16" bestFit="1" customWidth="1"/>
    <col min="4356" max="4356" width="6.7109375" style="16" bestFit="1" customWidth="1"/>
    <col min="4357" max="4357" width="8.5703125" style="16" bestFit="1" customWidth="1"/>
    <col min="4358" max="4358" width="9.28515625" style="16" bestFit="1" customWidth="1"/>
    <col min="4359" max="4359" width="10.42578125" style="16" bestFit="1" customWidth="1"/>
    <col min="4360" max="4360" width="10.28515625" style="16" bestFit="1" customWidth="1"/>
    <col min="4361" max="4361" width="7.140625" style="16" bestFit="1" customWidth="1"/>
    <col min="4362" max="4362" width="7.140625" style="16" customWidth="1"/>
    <col min="4363" max="4364" width="7" style="16" bestFit="1" customWidth="1"/>
    <col min="4365" max="4365" width="6.85546875" style="16" bestFit="1" customWidth="1"/>
    <col min="4366" max="4366" width="7" style="16" bestFit="1" customWidth="1"/>
    <col min="4367" max="4367" width="7.140625" style="16" bestFit="1"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8.42578125" style="16" customWidth="1"/>
    <col min="4611" max="4611" width="10.7109375" style="16" bestFit="1" customWidth="1"/>
    <col min="4612" max="4612" width="6.7109375" style="16" bestFit="1" customWidth="1"/>
    <col min="4613" max="4613" width="8.5703125" style="16" bestFit="1" customWidth="1"/>
    <col min="4614" max="4614" width="9.28515625" style="16" bestFit="1" customWidth="1"/>
    <col min="4615" max="4615" width="10.42578125" style="16" bestFit="1" customWidth="1"/>
    <col min="4616" max="4616" width="10.28515625" style="16" bestFit="1" customWidth="1"/>
    <col min="4617" max="4617" width="7.140625" style="16" bestFit="1" customWidth="1"/>
    <col min="4618" max="4618" width="7.140625" style="16" customWidth="1"/>
    <col min="4619" max="4620" width="7" style="16" bestFit="1" customWidth="1"/>
    <col min="4621" max="4621" width="6.85546875" style="16" bestFit="1" customWidth="1"/>
    <col min="4622" max="4622" width="7" style="16" bestFit="1" customWidth="1"/>
    <col min="4623" max="4623" width="7.140625" style="16" bestFit="1"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8.42578125" style="16" customWidth="1"/>
    <col min="4867" max="4867" width="10.7109375" style="16" bestFit="1" customWidth="1"/>
    <col min="4868" max="4868" width="6.7109375" style="16" bestFit="1" customWidth="1"/>
    <col min="4869" max="4869" width="8.5703125" style="16" bestFit="1" customWidth="1"/>
    <col min="4870" max="4870" width="9.28515625" style="16" bestFit="1" customWidth="1"/>
    <col min="4871" max="4871" width="10.42578125" style="16" bestFit="1" customWidth="1"/>
    <col min="4872" max="4872" width="10.28515625" style="16" bestFit="1" customWidth="1"/>
    <col min="4873" max="4873" width="7.140625" style="16" bestFit="1" customWidth="1"/>
    <col min="4874" max="4874" width="7.140625" style="16" customWidth="1"/>
    <col min="4875" max="4876" width="7" style="16" bestFit="1" customWidth="1"/>
    <col min="4877" max="4877" width="6.85546875" style="16" bestFit="1" customWidth="1"/>
    <col min="4878" max="4878" width="7" style="16" bestFit="1" customWidth="1"/>
    <col min="4879" max="4879" width="7.140625" style="16" bestFit="1"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8.42578125" style="16" customWidth="1"/>
    <col min="5123" max="5123" width="10.7109375" style="16" bestFit="1" customWidth="1"/>
    <col min="5124" max="5124" width="6.7109375" style="16" bestFit="1" customWidth="1"/>
    <col min="5125" max="5125" width="8.5703125" style="16" bestFit="1" customWidth="1"/>
    <col min="5126" max="5126" width="9.28515625" style="16" bestFit="1" customWidth="1"/>
    <col min="5127" max="5127" width="10.42578125" style="16" bestFit="1" customWidth="1"/>
    <col min="5128" max="5128" width="10.28515625" style="16" bestFit="1" customWidth="1"/>
    <col min="5129" max="5129" width="7.140625" style="16" bestFit="1" customWidth="1"/>
    <col min="5130" max="5130" width="7.140625" style="16" customWidth="1"/>
    <col min="5131" max="5132" width="7" style="16" bestFit="1" customWidth="1"/>
    <col min="5133" max="5133" width="6.85546875" style="16" bestFit="1" customWidth="1"/>
    <col min="5134" max="5134" width="7" style="16" bestFit="1" customWidth="1"/>
    <col min="5135" max="5135" width="7.140625" style="16" bestFit="1"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8.42578125" style="16" customWidth="1"/>
    <col min="5379" max="5379" width="10.7109375" style="16" bestFit="1" customWidth="1"/>
    <col min="5380" max="5380" width="6.7109375" style="16" bestFit="1" customWidth="1"/>
    <col min="5381" max="5381" width="8.5703125" style="16" bestFit="1" customWidth="1"/>
    <col min="5382" max="5382" width="9.28515625" style="16" bestFit="1" customWidth="1"/>
    <col min="5383" max="5383" width="10.42578125" style="16" bestFit="1" customWidth="1"/>
    <col min="5384" max="5384" width="10.28515625" style="16" bestFit="1" customWidth="1"/>
    <col min="5385" max="5385" width="7.140625" style="16" bestFit="1" customWidth="1"/>
    <col min="5386" max="5386" width="7.140625" style="16" customWidth="1"/>
    <col min="5387" max="5388" width="7" style="16" bestFit="1" customWidth="1"/>
    <col min="5389" max="5389" width="6.85546875" style="16" bestFit="1" customWidth="1"/>
    <col min="5390" max="5390" width="7" style="16" bestFit="1" customWidth="1"/>
    <col min="5391" max="5391" width="7.140625" style="16" bestFit="1"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8.42578125" style="16" customWidth="1"/>
    <col min="5635" max="5635" width="10.7109375" style="16" bestFit="1" customWidth="1"/>
    <col min="5636" max="5636" width="6.7109375" style="16" bestFit="1" customWidth="1"/>
    <col min="5637" max="5637" width="8.5703125" style="16" bestFit="1" customWidth="1"/>
    <col min="5638" max="5638" width="9.28515625" style="16" bestFit="1" customWidth="1"/>
    <col min="5639" max="5639" width="10.42578125" style="16" bestFit="1" customWidth="1"/>
    <col min="5640" max="5640" width="10.28515625" style="16" bestFit="1" customWidth="1"/>
    <col min="5641" max="5641" width="7.140625" style="16" bestFit="1" customWidth="1"/>
    <col min="5642" max="5642" width="7.140625" style="16" customWidth="1"/>
    <col min="5643" max="5644" width="7" style="16" bestFit="1" customWidth="1"/>
    <col min="5645" max="5645" width="6.85546875" style="16" bestFit="1" customWidth="1"/>
    <col min="5646" max="5646" width="7" style="16" bestFit="1" customWidth="1"/>
    <col min="5647" max="5647" width="7.140625" style="16" bestFit="1"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8.42578125" style="16" customWidth="1"/>
    <col min="5891" max="5891" width="10.7109375" style="16" bestFit="1" customWidth="1"/>
    <col min="5892" max="5892" width="6.7109375" style="16" bestFit="1" customWidth="1"/>
    <col min="5893" max="5893" width="8.5703125" style="16" bestFit="1" customWidth="1"/>
    <col min="5894" max="5894" width="9.28515625" style="16" bestFit="1" customWidth="1"/>
    <col min="5895" max="5895" width="10.42578125" style="16" bestFit="1" customWidth="1"/>
    <col min="5896" max="5896" width="10.28515625" style="16" bestFit="1" customWidth="1"/>
    <col min="5897" max="5897" width="7.140625" style="16" bestFit="1" customWidth="1"/>
    <col min="5898" max="5898" width="7.140625" style="16" customWidth="1"/>
    <col min="5899" max="5900" width="7" style="16" bestFit="1" customWidth="1"/>
    <col min="5901" max="5901" width="6.85546875" style="16" bestFit="1" customWidth="1"/>
    <col min="5902" max="5902" width="7" style="16" bestFit="1" customWidth="1"/>
    <col min="5903" max="5903" width="7.140625" style="16" bestFit="1"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8.42578125" style="16" customWidth="1"/>
    <col min="6147" max="6147" width="10.7109375" style="16" bestFit="1" customWidth="1"/>
    <col min="6148" max="6148" width="6.7109375" style="16" bestFit="1" customWidth="1"/>
    <col min="6149" max="6149" width="8.5703125" style="16" bestFit="1" customWidth="1"/>
    <col min="6150" max="6150" width="9.28515625" style="16" bestFit="1" customWidth="1"/>
    <col min="6151" max="6151" width="10.42578125" style="16" bestFit="1" customWidth="1"/>
    <col min="6152" max="6152" width="10.28515625" style="16" bestFit="1" customWidth="1"/>
    <col min="6153" max="6153" width="7.140625" style="16" bestFit="1" customWidth="1"/>
    <col min="6154" max="6154" width="7.140625" style="16" customWidth="1"/>
    <col min="6155" max="6156" width="7" style="16" bestFit="1" customWidth="1"/>
    <col min="6157" max="6157" width="6.85546875" style="16" bestFit="1" customWidth="1"/>
    <col min="6158" max="6158" width="7" style="16" bestFit="1" customWidth="1"/>
    <col min="6159" max="6159" width="7.140625" style="16" bestFit="1"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8.42578125" style="16" customWidth="1"/>
    <col min="6403" max="6403" width="10.7109375" style="16" bestFit="1" customWidth="1"/>
    <col min="6404" max="6404" width="6.7109375" style="16" bestFit="1" customWidth="1"/>
    <col min="6405" max="6405" width="8.5703125" style="16" bestFit="1" customWidth="1"/>
    <col min="6406" max="6406" width="9.28515625" style="16" bestFit="1" customWidth="1"/>
    <col min="6407" max="6407" width="10.42578125" style="16" bestFit="1" customWidth="1"/>
    <col min="6408" max="6408" width="10.28515625" style="16" bestFit="1" customWidth="1"/>
    <col min="6409" max="6409" width="7.140625" style="16" bestFit="1" customWidth="1"/>
    <col min="6410" max="6410" width="7.140625" style="16" customWidth="1"/>
    <col min="6411" max="6412" width="7" style="16" bestFit="1" customWidth="1"/>
    <col min="6413" max="6413" width="6.85546875" style="16" bestFit="1" customWidth="1"/>
    <col min="6414" max="6414" width="7" style="16" bestFit="1" customWidth="1"/>
    <col min="6415" max="6415" width="7.140625" style="16" bestFit="1"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8.42578125" style="16" customWidth="1"/>
    <col min="6659" max="6659" width="10.7109375" style="16" bestFit="1" customWidth="1"/>
    <col min="6660" max="6660" width="6.7109375" style="16" bestFit="1" customWidth="1"/>
    <col min="6661" max="6661" width="8.5703125" style="16" bestFit="1" customWidth="1"/>
    <col min="6662" max="6662" width="9.28515625" style="16" bestFit="1" customWidth="1"/>
    <col min="6663" max="6663" width="10.42578125" style="16" bestFit="1" customWidth="1"/>
    <col min="6664" max="6664" width="10.28515625" style="16" bestFit="1" customWidth="1"/>
    <col min="6665" max="6665" width="7.140625" style="16" bestFit="1" customWidth="1"/>
    <col min="6666" max="6666" width="7.140625" style="16" customWidth="1"/>
    <col min="6667" max="6668" width="7" style="16" bestFit="1" customWidth="1"/>
    <col min="6669" max="6669" width="6.85546875" style="16" bestFit="1" customWidth="1"/>
    <col min="6670" max="6670" width="7" style="16" bestFit="1" customWidth="1"/>
    <col min="6671" max="6671" width="7.140625" style="16" bestFit="1"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8.42578125" style="16" customWidth="1"/>
    <col min="6915" max="6915" width="10.7109375" style="16" bestFit="1" customWidth="1"/>
    <col min="6916" max="6916" width="6.7109375" style="16" bestFit="1" customWidth="1"/>
    <col min="6917" max="6917" width="8.5703125" style="16" bestFit="1" customWidth="1"/>
    <col min="6918" max="6918" width="9.28515625" style="16" bestFit="1" customWidth="1"/>
    <col min="6919" max="6919" width="10.42578125" style="16" bestFit="1" customWidth="1"/>
    <col min="6920" max="6920" width="10.28515625" style="16" bestFit="1" customWidth="1"/>
    <col min="6921" max="6921" width="7.140625" style="16" bestFit="1" customWidth="1"/>
    <col min="6922" max="6922" width="7.140625" style="16" customWidth="1"/>
    <col min="6923" max="6924" width="7" style="16" bestFit="1" customWidth="1"/>
    <col min="6925" max="6925" width="6.85546875" style="16" bestFit="1" customWidth="1"/>
    <col min="6926" max="6926" width="7" style="16" bestFit="1" customWidth="1"/>
    <col min="6927" max="6927" width="7.140625" style="16" bestFit="1"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8.42578125" style="16" customWidth="1"/>
    <col min="7171" max="7171" width="10.7109375" style="16" bestFit="1" customWidth="1"/>
    <col min="7172" max="7172" width="6.7109375" style="16" bestFit="1" customWidth="1"/>
    <col min="7173" max="7173" width="8.5703125" style="16" bestFit="1" customWidth="1"/>
    <col min="7174" max="7174" width="9.28515625" style="16" bestFit="1" customWidth="1"/>
    <col min="7175" max="7175" width="10.42578125" style="16" bestFit="1" customWidth="1"/>
    <col min="7176" max="7176" width="10.28515625" style="16" bestFit="1" customWidth="1"/>
    <col min="7177" max="7177" width="7.140625" style="16" bestFit="1" customWidth="1"/>
    <col min="7178" max="7178" width="7.140625" style="16" customWidth="1"/>
    <col min="7179" max="7180" width="7" style="16" bestFit="1" customWidth="1"/>
    <col min="7181" max="7181" width="6.85546875" style="16" bestFit="1" customWidth="1"/>
    <col min="7182" max="7182" width="7" style="16" bestFit="1" customWidth="1"/>
    <col min="7183" max="7183" width="7.140625" style="16" bestFit="1"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8.42578125" style="16" customWidth="1"/>
    <col min="7427" max="7427" width="10.7109375" style="16" bestFit="1" customWidth="1"/>
    <col min="7428" max="7428" width="6.7109375" style="16" bestFit="1" customWidth="1"/>
    <col min="7429" max="7429" width="8.5703125" style="16" bestFit="1" customWidth="1"/>
    <col min="7430" max="7430" width="9.28515625" style="16" bestFit="1" customWidth="1"/>
    <col min="7431" max="7431" width="10.42578125" style="16" bestFit="1" customWidth="1"/>
    <col min="7432" max="7432" width="10.28515625" style="16" bestFit="1" customWidth="1"/>
    <col min="7433" max="7433" width="7.140625" style="16" bestFit="1" customWidth="1"/>
    <col min="7434" max="7434" width="7.140625" style="16" customWidth="1"/>
    <col min="7435" max="7436" width="7" style="16" bestFit="1" customWidth="1"/>
    <col min="7437" max="7437" width="6.85546875" style="16" bestFit="1" customWidth="1"/>
    <col min="7438" max="7438" width="7" style="16" bestFit="1" customWidth="1"/>
    <col min="7439" max="7439" width="7.140625" style="16" bestFit="1"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8.42578125" style="16" customWidth="1"/>
    <col min="7683" max="7683" width="10.7109375" style="16" bestFit="1" customWidth="1"/>
    <col min="7684" max="7684" width="6.7109375" style="16" bestFit="1" customWidth="1"/>
    <col min="7685" max="7685" width="8.5703125" style="16" bestFit="1" customWidth="1"/>
    <col min="7686" max="7686" width="9.28515625" style="16" bestFit="1" customWidth="1"/>
    <col min="7687" max="7687" width="10.42578125" style="16" bestFit="1" customWidth="1"/>
    <col min="7688" max="7688" width="10.28515625" style="16" bestFit="1" customWidth="1"/>
    <col min="7689" max="7689" width="7.140625" style="16" bestFit="1" customWidth="1"/>
    <col min="7690" max="7690" width="7.140625" style="16" customWidth="1"/>
    <col min="7691" max="7692" width="7" style="16" bestFit="1" customWidth="1"/>
    <col min="7693" max="7693" width="6.85546875" style="16" bestFit="1" customWidth="1"/>
    <col min="7694" max="7694" width="7" style="16" bestFit="1" customWidth="1"/>
    <col min="7695" max="7695" width="7.140625" style="16" bestFit="1"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8.42578125" style="16" customWidth="1"/>
    <col min="7939" max="7939" width="10.7109375" style="16" bestFit="1" customWidth="1"/>
    <col min="7940" max="7940" width="6.7109375" style="16" bestFit="1" customWidth="1"/>
    <col min="7941" max="7941" width="8.5703125" style="16" bestFit="1" customWidth="1"/>
    <col min="7942" max="7942" width="9.28515625" style="16" bestFit="1" customWidth="1"/>
    <col min="7943" max="7943" width="10.42578125" style="16" bestFit="1" customWidth="1"/>
    <col min="7944" max="7944" width="10.28515625" style="16" bestFit="1" customWidth="1"/>
    <col min="7945" max="7945" width="7.140625" style="16" bestFit="1" customWidth="1"/>
    <col min="7946" max="7946" width="7.140625" style="16" customWidth="1"/>
    <col min="7947" max="7948" width="7" style="16" bestFit="1" customWidth="1"/>
    <col min="7949" max="7949" width="6.85546875" style="16" bestFit="1" customWidth="1"/>
    <col min="7950" max="7950" width="7" style="16" bestFit="1" customWidth="1"/>
    <col min="7951" max="7951" width="7.140625" style="16" bestFit="1"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8.42578125" style="16" customWidth="1"/>
    <col min="8195" max="8195" width="10.7109375" style="16" bestFit="1" customWidth="1"/>
    <col min="8196" max="8196" width="6.7109375" style="16" bestFit="1" customWidth="1"/>
    <col min="8197" max="8197" width="8.5703125" style="16" bestFit="1" customWidth="1"/>
    <col min="8198" max="8198" width="9.28515625" style="16" bestFit="1" customWidth="1"/>
    <col min="8199" max="8199" width="10.42578125" style="16" bestFit="1" customWidth="1"/>
    <col min="8200" max="8200" width="10.28515625" style="16" bestFit="1" customWidth="1"/>
    <col min="8201" max="8201" width="7.140625" style="16" bestFit="1" customWidth="1"/>
    <col min="8202" max="8202" width="7.140625" style="16" customWidth="1"/>
    <col min="8203" max="8204" width="7" style="16" bestFit="1" customWidth="1"/>
    <col min="8205" max="8205" width="6.85546875" style="16" bestFit="1" customWidth="1"/>
    <col min="8206" max="8206" width="7" style="16" bestFit="1" customWidth="1"/>
    <col min="8207" max="8207" width="7.140625" style="16" bestFit="1"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8.42578125" style="16" customWidth="1"/>
    <col min="8451" max="8451" width="10.7109375" style="16" bestFit="1" customWidth="1"/>
    <col min="8452" max="8452" width="6.7109375" style="16" bestFit="1" customWidth="1"/>
    <col min="8453" max="8453" width="8.5703125" style="16" bestFit="1" customWidth="1"/>
    <col min="8454" max="8454" width="9.28515625" style="16" bestFit="1" customWidth="1"/>
    <col min="8455" max="8455" width="10.42578125" style="16" bestFit="1" customWidth="1"/>
    <col min="8456" max="8456" width="10.28515625" style="16" bestFit="1" customWidth="1"/>
    <col min="8457" max="8457" width="7.140625" style="16" bestFit="1" customWidth="1"/>
    <col min="8458" max="8458" width="7.140625" style="16" customWidth="1"/>
    <col min="8459" max="8460" width="7" style="16" bestFit="1" customWidth="1"/>
    <col min="8461" max="8461" width="6.85546875" style="16" bestFit="1" customWidth="1"/>
    <col min="8462" max="8462" width="7" style="16" bestFit="1" customWidth="1"/>
    <col min="8463" max="8463" width="7.140625" style="16" bestFit="1"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8.42578125" style="16" customWidth="1"/>
    <col min="8707" max="8707" width="10.7109375" style="16" bestFit="1" customWidth="1"/>
    <col min="8708" max="8708" width="6.7109375" style="16" bestFit="1" customWidth="1"/>
    <col min="8709" max="8709" width="8.5703125" style="16" bestFit="1" customWidth="1"/>
    <col min="8710" max="8710" width="9.28515625" style="16" bestFit="1" customWidth="1"/>
    <col min="8711" max="8711" width="10.42578125" style="16" bestFit="1" customWidth="1"/>
    <col min="8712" max="8712" width="10.28515625" style="16" bestFit="1" customWidth="1"/>
    <col min="8713" max="8713" width="7.140625" style="16" bestFit="1" customWidth="1"/>
    <col min="8714" max="8714" width="7.140625" style="16" customWidth="1"/>
    <col min="8715" max="8716" width="7" style="16" bestFit="1" customWidth="1"/>
    <col min="8717" max="8717" width="6.85546875" style="16" bestFit="1" customWidth="1"/>
    <col min="8718" max="8718" width="7" style="16" bestFit="1" customWidth="1"/>
    <col min="8719" max="8719" width="7.140625" style="16" bestFit="1"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8.42578125" style="16" customWidth="1"/>
    <col min="8963" max="8963" width="10.7109375" style="16" bestFit="1" customWidth="1"/>
    <col min="8964" max="8964" width="6.7109375" style="16" bestFit="1" customWidth="1"/>
    <col min="8965" max="8965" width="8.5703125" style="16" bestFit="1" customWidth="1"/>
    <col min="8966" max="8966" width="9.28515625" style="16" bestFit="1" customWidth="1"/>
    <col min="8967" max="8967" width="10.42578125" style="16" bestFit="1" customWidth="1"/>
    <col min="8968" max="8968" width="10.28515625" style="16" bestFit="1" customWidth="1"/>
    <col min="8969" max="8969" width="7.140625" style="16" bestFit="1" customWidth="1"/>
    <col min="8970" max="8970" width="7.140625" style="16" customWidth="1"/>
    <col min="8971" max="8972" width="7" style="16" bestFit="1" customWidth="1"/>
    <col min="8973" max="8973" width="6.85546875" style="16" bestFit="1" customWidth="1"/>
    <col min="8974" max="8974" width="7" style="16" bestFit="1" customWidth="1"/>
    <col min="8975" max="8975" width="7.140625" style="16" bestFit="1"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8.42578125" style="16" customWidth="1"/>
    <col min="9219" max="9219" width="10.7109375" style="16" bestFit="1" customWidth="1"/>
    <col min="9220" max="9220" width="6.7109375" style="16" bestFit="1" customWidth="1"/>
    <col min="9221" max="9221" width="8.5703125" style="16" bestFit="1" customWidth="1"/>
    <col min="9222" max="9222" width="9.28515625" style="16" bestFit="1" customWidth="1"/>
    <col min="9223" max="9223" width="10.42578125" style="16" bestFit="1" customWidth="1"/>
    <col min="9224" max="9224" width="10.28515625" style="16" bestFit="1" customWidth="1"/>
    <col min="9225" max="9225" width="7.140625" style="16" bestFit="1" customWidth="1"/>
    <col min="9226" max="9226" width="7.140625" style="16" customWidth="1"/>
    <col min="9227" max="9228" width="7" style="16" bestFit="1" customWidth="1"/>
    <col min="9229" max="9229" width="6.85546875" style="16" bestFit="1" customWidth="1"/>
    <col min="9230" max="9230" width="7" style="16" bestFit="1" customWidth="1"/>
    <col min="9231" max="9231" width="7.140625" style="16" bestFit="1"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8.42578125" style="16" customWidth="1"/>
    <col min="9475" max="9475" width="10.7109375" style="16" bestFit="1" customWidth="1"/>
    <col min="9476" max="9476" width="6.7109375" style="16" bestFit="1" customWidth="1"/>
    <col min="9477" max="9477" width="8.5703125" style="16" bestFit="1" customWidth="1"/>
    <col min="9478" max="9478" width="9.28515625" style="16" bestFit="1" customWidth="1"/>
    <col min="9479" max="9479" width="10.42578125" style="16" bestFit="1" customWidth="1"/>
    <col min="9480" max="9480" width="10.28515625" style="16" bestFit="1" customWidth="1"/>
    <col min="9481" max="9481" width="7.140625" style="16" bestFit="1" customWidth="1"/>
    <col min="9482" max="9482" width="7.140625" style="16" customWidth="1"/>
    <col min="9483" max="9484" width="7" style="16" bestFit="1" customWidth="1"/>
    <col min="9485" max="9485" width="6.85546875" style="16" bestFit="1" customWidth="1"/>
    <col min="9486" max="9486" width="7" style="16" bestFit="1" customWidth="1"/>
    <col min="9487" max="9487" width="7.140625" style="16" bestFit="1"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8.42578125" style="16" customWidth="1"/>
    <col min="9731" max="9731" width="10.7109375" style="16" bestFit="1" customWidth="1"/>
    <col min="9732" max="9732" width="6.7109375" style="16" bestFit="1" customWidth="1"/>
    <col min="9733" max="9733" width="8.5703125" style="16" bestFit="1" customWidth="1"/>
    <col min="9734" max="9734" width="9.28515625" style="16" bestFit="1" customWidth="1"/>
    <col min="9735" max="9735" width="10.42578125" style="16" bestFit="1" customWidth="1"/>
    <col min="9736" max="9736" width="10.28515625" style="16" bestFit="1" customWidth="1"/>
    <col min="9737" max="9737" width="7.140625" style="16" bestFit="1" customWidth="1"/>
    <col min="9738" max="9738" width="7.140625" style="16" customWidth="1"/>
    <col min="9739" max="9740" width="7" style="16" bestFit="1" customWidth="1"/>
    <col min="9741" max="9741" width="6.85546875" style="16" bestFit="1" customWidth="1"/>
    <col min="9742" max="9742" width="7" style="16" bestFit="1" customWidth="1"/>
    <col min="9743" max="9743" width="7.140625" style="16" bestFit="1"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8.42578125" style="16" customWidth="1"/>
    <col min="9987" max="9987" width="10.7109375" style="16" bestFit="1" customWidth="1"/>
    <col min="9988" max="9988" width="6.7109375" style="16" bestFit="1" customWidth="1"/>
    <col min="9989" max="9989" width="8.5703125" style="16" bestFit="1" customWidth="1"/>
    <col min="9990" max="9990" width="9.28515625" style="16" bestFit="1" customWidth="1"/>
    <col min="9991" max="9991" width="10.42578125" style="16" bestFit="1" customWidth="1"/>
    <col min="9992" max="9992" width="10.28515625" style="16" bestFit="1" customWidth="1"/>
    <col min="9993" max="9993" width="7.140625" style="16" bestFit="1" customWidth="1"/>
    <col min="9994" max="9994" width="7.140625" style="16" customWidth="1"/>
    <col min="9995" max="9996" width="7" style="16" bestFit="1" customWidth="1"/>
    <col min="9997" max="9997" width="6.85546875" style="16" bestFit="1" customWidth="1"/>
    <col min="9998" max="9998" width="7" style="16" bestFit="1" customWidth="1"/>
    <col min="9999" max="9999" width="7.140625" style="16" bestFit="1"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8.42578125" style="16" customWidth="1"/>
    <col min="10243" max="10243" width="10.7109375" style="16" bestFit="1" customWidth="1"/>
    <col min="10244" max="10244" width="6.7109375" style="16" bestFit="1" customWidth="1"/>
    <col min="10245" max="10245" width="8.5703125" style="16" bestFit="1" customWidth="1"/>
    <col min="10246" max="10246" width="9.28515625" style="16" bestFit="1" customWidth="1"/>
    <col min="10247" max="10247" width="10.42578125" style="16" bestFit="1" customWidth="1"/>
    <col min="10248" max="10248" width="10.28515625" style="16" bestFit="1" customWidth="1"/>
    <col min="10249" max="10249" width="7.140625" style="16" bestFit="1" customWidth="1"/>
    <col min="10250" max="10250" width="7.140625" style="16" customWidth="1"/>
    <col min="10251" max="10252" width="7" style="16" bestFit="1" customWidth="1"/>
    <col min="10253" max="10253" width="6.85546875" style="16" bestFit="1" customWidth="1"/>
    <col min="10254" max="10254" width="7" style="16" bestFit="1" customWidth="1"/>
    <col min="10255" max="10255" width="7.140625" style="16" bestFit="1"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8.42578125" style="16" customWidth="1"/>
    <col min="10499" max="10499" width="10.7109375" style="16" bestFit="1" customWidth="1"/>
    <col min="10500" max="10500" width="6.7109375" style="16" bestFit="1" customWidth="1"/>
    <col min="10501" max="10501" width="8.5703125" style="16" bestFit="1" customWidth="1"/>
    <col min="10502" max="10502" width="9.28515625" style="16" bestFit="1" customWidth="1"/>
    <col min="10503" max="10503" width="10.42578125" style="16" bestFit="1" customWidth="1"/>
    <col min="10504" max="10504" width="10.28515625" style="16" bestFit="1" customWidth="1"/>
    <col min="10505" max="10505" width="7.140625" style="16" bestFit="1" customWidth="1"/>
    <col min="10506" max="10506" width="7.140625" style="16" customWidth="1"/>
    <col min="10507" max="10508" width="7" style="16" bestFit="1" customWidth="1"/>
    <col min="10509" max="10509" width="6.85546875" style="16" bestFit="1" customWidth="1"/>
    <col min="10510" max="10510" width="7" style="16" bestFit="1" customWidth="1"/>
    <col min="10511" max="10511" width="7.140625" style="16" bestFit="1"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8.42578125" style="16" customWidth="1"/>
    <col min="10755" max="10755" width="10.7109375" style="16" bestFit="1" customWidth="1"/>
    <col min="10756" max="10756" width="6.7109375" style="16" bestFit="1" customWidth="1"/>
    <col min="10757" max="10757" width="8.5703125" style="16" bestFit="1" customWidth="1"/>
    <col min="10758" max="10758" width="9.28515625" style="16" bestFit="1" customWidth="1"/>
    <col min="10759" max="10759" width="10.42578125" style="16" bestFit="1" customWidth="1"/>
    <col min="10760" max="10760" width="10.28515625" style="16" bestFit="1" customWidth="1"/>
    <col min="10761" max="10761" width="7.140625" style="16" bestFit="1" customWidth="1"/>
    <col min="10762" max="10762" width="7.140625" style="16" customWidth="1"/>
    <col min="10763" max="10764" width="7" style="16" bestFit="1" customWidth="1"/>
    <col min="10765" max="10765" width="6.85546875" style="16" bestFit="1" customWidth="1"/>
    <col min="10766" max="10766" width="7" style="16" bestFit="1" customWidth="1"/>
    <col min="10767" max="10767" width="7.140625" style="16" bestFit="1"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8.42578125" style="16" customWidth="1"/>
    <col min="11011" max="11011" width="10.7109375" style="16" bestFit="1" customWidth="1"/>
    <col min="11012" max="11012" width="6.7109375" style="16" bestFit="1" customWidth="1"/>
    <col min="11013" max="11013" width="8.5703125" style="16" bestFit="1" customWidth="1"/>
    <col min="11014" max="11014" width="9.28515625" style="16" bestFit="1" customWidth="1"/>
    <col min="11015" max="11015" width="10.42578125" style="16" bestFit="1" customWidth="1"/>
    <col min="11016" max="11016" width="10.28515625" style="16" bestFit="1" customWidth="1"/>
    <col min="11017" max="11017" width="7.140625" style="16" bestFit="1" customWidth="1"/>
    <col min="11018" max="11018" width="7.140625" style="16" customWidth="1"/>
    <col min="11019" max="11020" width="7" style="16" bestFit="1" customWidth="1"/>
    <col min="11021" max="11021" width="6.85546875" style="16" bestFit="1" customWidth="1"/>
    <col min="11022" max="11022" width="7" style="16" bestFit="1" customWidth="1"/>
    <col min="11023" max="11023" width="7.140625" style="16" bestFit="1"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8.42578125" style="16" customWidth="1"/>
    <col min="11267" max="11267" width="10.7109375" style="16" bestFit="1" customWidth="1"/>
    <col min="11268" max="11268" width="6.7109375" style="16" bestFit="1" customWidth="1"/>
    <col min="11269" max="11269" width="8.5703125" style="16" bestFit="1" customWidth="1"/>
    <col min="11270" max="11270" width="9.28515625" style="16" bestFit="1" customWidth="1"/>
    <col min="11271" max="11271" width="10.42578125" style="16" bestFit="1" customWidth="1"/>
    <col min="11272" max="11272" width="10.28515625" style="16" bestFit="1" customWidth="1"/>
    <col min="11273" max="11273" width="7.140625" style="16" bestFit="1" customWidth="1"/>
    <col min="11274" max="11274" width="7.140625" style="16" customWidth="1"/>
    <col min="11275" max="11276" width="7" style="16" bestFit="1" customWidth="1"/>
    <col min="11277" max="11277" width="6.85546875" style="16" bestFit="1" customWidth="1"/>
    <col min="11278" max="11278" width="7" style="16" bestFit="1" customWidth="1"/>
    <col min="11279" max="11279" width="7.140625" style="16" bestFit="1"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8.42578125" style="16" customWidth="1"/>
    <col min="11523" max="11523" width="10.7109375" style="16" bestFit="1" customWidth="1"/>
    <col min="11524" max="11524" width="6.7109375" style="16" bestFit="1" customWidth="1"/>
    <col min="11525" max="11525" width="8.5703125" style="16" bestFit="1" customWidth="1"/>
    <col min="11526" max="11526" width="9.28515625" style="16" bestFit="1" customWidth="1"/>
    <col min="11527" max="11527" width="10.42578125" style="16" bestFit="1" customWidth="1"/>
    <col min="11528" max="11528" width="10.28515625" style="16" bestFit="1" customWidth="1"/>
    <col min="11529" max="11529" width="7.140625" style="16" bestFit="1" customWidth="1"/>
    <col min="11530" max="11530" width="7.140625" style="16" customWidth="1"/>
    <col min="11531" max="11532" width="7" style="16" bestFit="1" customWidth="1"/>
    <col min="11533" max="11533" width="6.85546875" style="16" bestFit="1" customWidth="1"/>
    <col min="11534" max="11534" width="7" style="16" bestFit="1" customWidth="1"/>
    <col min="11535" max="11535" width="7.140625" style="16" bestFit="1"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8.42578125" style="16" customWidth="1"/>
    <col min="11779" max="11779" width="10.7109375" style="16" bestFit="1" customWidth="1"/>
    <col min="11780" max="11780" width="6.7109375" style="16" bestFit="1" customWidth="1"/>
    <col min="11781" max="11781" width="8.5703125" style="16" bestFit="1" customWidth="1"/>
    <col min="11782" max="11782" width="9.28515625" style="16" bestFit="1" customWidth="1"/>
    <col min="11783" max="11783" width="10.42578125" style="16" bestFit="1" customWidth="1"/>
    <col min="11784" max="11784" width="10.28515625" style="16" bestFit="1" customWidth="1"/>
    <col min="11785" max="11785" width="7.140625" style="16" bestFit="1" customWidth="1"/>
    <col min="11786" max="11786" width="7.140625" style="16" customWidth="1"/>
    <col min="11787" max="11788" width="7" style="16" bestFit="1" customWidth="1"/>
    <col min="11789" max="11789" width="6.85546875" style="16" bestFit="1" customWidth="1"/>
    <col min="11790" max="11790" width="7" style="16" bestFit="1" customWidth="1"/>
    <col min="11791" max="11791" width="7.140625" style="16" bestFit="1"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8.42578125" style="16" customWidth="1"/>
    <col min="12035" max="12035" width="10.7109375" style="16" bestFit="1" customWidth="1"/>
    <col min="12036" max="12036" width="6.7109375" style="16" bestFit="1" customWidth="1"/>
    <col min="12037" max="12037" width="8.5703125" style="16" bestFit="1" customWidth="1"/>
    <col min="12038" max="12038" width="9.28515625" style="16" bestFit="1" customWidth="1"/>
    <col min="12039" max="12039" width="10.42578125" style="16" bestFit="1" customWidth="1"/>
    <col min="12040" max="12040" width="10.28515625" style="16" bestFit="1" customWidth="1"/>
    <col min="12041" max="12041" width="7.140625" style="16" bestFit="1" customWidth="1"/>
    <col min="12042" max="12042" width="7.140625" style="16" customWidth="1"/>
    <col min="12043" max="12044" width="7" style="16" bestFit="1" customWidth="1"/>
    <col min="12045" max="12045" width="6.85546875" style="16" bestFit="1" customWidth="1"/>
    <col min="12046" max="12046" width="7" style="16" bestFit="1" customWidth="1"/>
    <col min="12047" max="12047" width="7.140625" style="16" bestFit="1"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8.42578125" style="16" customWidth="1"/>
    <col min="12291" max="12291" width="10.7109375" style="16" bestFit="1" customWidth="1"/>
    <col min="12292" max="12292" width="6.7109375" style="16" bestFit="1" customWidth="1"/>
    <col min="12293" max="12293" width="8.5703125" style="16" bestFit="1" customWidth="1"/>
    <col min="12294" max="12294" width="9.28515625" style="16" bestFit="1" customWidth="1"/>
    <col min="12295" max="12295" width="10.42578125" style="16" bestFit="1" customWidth="1"/>
    <col min="12296" max="12296" width="10.28515625" style="16" bestFit="1" customWidth="1"/>
    <col min="12297" max="12297" width="7.140625" style="16" bestFit="1" customWidth="1"/>
    <col min="12298" max="12298" width="7.140625" style="16" customWidth="1"/>
    <col min="12299" max="12300" width="7" style="16" bestFit="1" customWidth="1"/>
    <col min="12301" max="12301" width="6.85546875" style="16" bestFit="1" customWidth="1"/>
    <col min="12302" max="12302" width="7" style="16" bestFit="1" customWidth="1"/>
    <col min="12303" max="12303" width="7.140625" style="16" bestFit="1"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8.42578125" style="16" customWidth="1"/>
    <col min="12547" max="12547" width="10.7109375" style="16" bestFit="1" customWidth="1"/>
    <col min="12548" max="12548" width="6.7109375" style="16" bestFit="1" customWidth="1"/>
    <col min="12549" max="12549" width="8.5703125" style="16" bestFit="1" customWidth="1"/>
    <col min="12550" max="12550" width="9.28515625" style="16" bestFit="1" customWidth="1"/>
    <col min="12551" max="12551" width="10.42578125" style="16" bestFit="1" customWidth="1"/>
    <col min="12552" max="12552" width="10.28515625" style="16" bestFit="1" customWidth="1"/>
    <col min="12553" max="12553" width="7.140625" style="16" bestFit="1" customWidth="1"/>
    <col min="12554" max="12554" width="7.140625" style="16" customWidth="1"/>
    <col min="12555" max="12556" width="7" style="16" bestFit="1" customWidth="1"/>
    <col min="12557" max="12557" width="6.85546875" style="16" bestFit="1" customWidth="1"/>
    <col min="12558" max="12558" width="7" style="16" bestFit="1" customWidth="1"/>
    <col min="12559" max="12559" width="7.140625" style="16" bestFit="1"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8.42578125" style="16" customWidth="1"/>
    <col min="12803" max="12803" width="10.7109375" style="16" bestFit="1" customWidth="1"/>
    <col min="12804" max="12804" width="6.7109375" style="16" bestFit="1" customWidth="1"/>
    <col min="12805" max="12805" width="8.5703125" style="16" bestFit="1" customWidth="1"/>
    <col min="12806" max="12806" width="9.28515625" style="16" bestFit="1" customWidth="1"/>
    <col min="12807" max="12807" width="10.42578125" style="16" bestFit="1" customWidth="1"/>
    <col min="12808" max="12808" width="10.28515625" style="16" bestFit="1" customWidth="1"/>
    <col min="12809" max="12809" width="7.140625" style="16" bestFit="1" customWidth="1"/>
    <col min="12810" max="12810" width="7.140625" style="16" customWidth="1"/>
    <col min="12811" max="12812" width="7" style="16" bestFit="1" customWidth="1"/>
    <col min="12813" max="12813" width="6.85546875" style="16" bestFit="1" customWidth="1"/>
    <col min="12814" max="12814" width="7" style="16" bestFit="1" customWidth="1"/>
    <col min="12815" max="12815" width="7.140625" style="16" bestFit="1"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8.42578125" style="16" customWidth="1"/>
    <col min="13059" max="13059" width="10.7109375" style="16" bestFit="1" customWidth="1"/>
    <col min="13060" max="13060" width="6.7109375" style="16" bestFit="1" customWidth="1"/>
    <col min="13061" max="13061" width="8.5703125" style="16" bestFit="1" customWidth="1"/>
    <col min="13062" max="13062" width="9.28515625" style="16" bestFit="1" customWidth="1"/>
    <col min="13063" max="13063" width="10.42578125" style="16" bestFit="1" customWidth="1"/>
    <col min="13064" max="13064" width="10.28515625" style="16" bestFit="1" customWidth="1"/>
    <col min="13065" max="13065" width="7.140625" style="16" bestFit="1" customWidth="1"/>
    <col min="13066" max="13066" width="7.140625" style="16" customWidth="1"/>
    <col min="13067" max="13068" width="7" style="16" bestFit="1" customWidth="1"/>
    <col min="13069" max="13069" width="6.85546875" style="16" bestFit="1" customWidth="1"/>
    <col min="13070" max="13070" width="7" style="16" bestFit="1" customWidth="1"/>
    <col min="13071" max="13071" width="7.140625" style="16" bestFit="1"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8.42578125" style="16" customWidth="1"/>
    <col min="13315" max="13315" width="10.7109375" style="16" bestFit="1" customWidth="1"/>
    <col min="13316" max="13316" width="6.7109375" style="16" bestFit="1" customWidth="1"/>
    <col min="13317" max="13317" width="8.5703125" style="16" bestFit="1" customWidth="1"/>
    <col min="13318" max="13318" width="9.28515625" style="16" bestFit="1" customWidth="1"/>
    <col min="13319" max="13319" width="10.42578125" style="16" bestFit="1" customWidth="1"/>
    <col min="13320" max="13320" width="10.28515625" style="16" bestFit="1" customWidth="1"/>
    <col min="13321" max="13321" width="7.140625" style="16" bestFit="1" customWidth="1"/>
    <col min="13322" max="13322" width="7.140625" style="16" customWidth="1"/>
    <col min="13323" max="13324" width="7" style="16" bestFit="1" customWidth="1"/>
    <col min="13325" max="13325" width="6.85546875" style="16" bestFit="1" customWidth="1"/>
    <col min="13326" max="13326" width="7" style="16" bestFit="1" customWidth="1"/>
    <col min="13327" max="13327" width="7.140625" style="16" bestFit="1"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8.42578125" style="16" customWidth="1"/>
    <col min="13571" max="13571" width="10.7109375" style="16" bestFit="1" customWidth="1"/>
    <col min="13572" max="13572" width="6.7109375" style="16" bestFit="1" customWidth="1"/>
    <col min="13573" max="13573" width="8.5703125" style="16" bestFit="1" customWidth="1"/>
    <col min="13574" max="13574" width="9.28515625" style="16" bestFit="1" customWidth="1"/>
    <col min="13575" max="13575" width="10.42578125" style="16" bestFit="1" customWidth="1"/>
    <col min="13576" max="13576" width="10.28515625" style="16" bestFit="1" customWidth="1"/>
    <col min="13577" max="13577" width="7.140625" style="16" bestFit="1" customWidth="1"/>
    <col min="13578" max="13578" width="7.140625" style="16" customWidth="1"/>
    <col min="13579" max="13580" width="7" style="16" bestFit="1" customWidth="1"/>
    <col min="13581" max="13581" width="6.85546875" style="16" bestFit="1" customWidth="1"/>
    <col min="13582" max="13582" width="7" style="16" bestFit="1" customWidth="1"/>
    <col min="13583" max="13583" width="7.140625" style="16" bestFit="1"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8.42578125" style="16" customWidth="1"/>
    <col min="13827" max="13827" width="10.7109375" style="16" bestFit="1" customWidth="1"/>
    <col min="13828" max="13828" width="6.7109375" style="16" bestFit="1" customWidth="1"/>
    <col min="13829" max="13829" width="8.5703125" style="16" bestFit="1" customWidth="1"/>
    <col min="13830" max="13830" width="9.28515625" style="16" bestFit="1" customWidth="1"/>
    <col min="13831" max="13831" width="10.42578125" style="16" bestFit="1" customWidth="1"/>
    <col min="13832" max="13832" width="10.28515625" style="16" bestFit="1" customWidth="1"/>
    <col min="13833" max="13833" width="7.140625" style="16" bestFit="1" customWidth="1"/>
    <col min="13834" max="13834" width="7.140625" style="16" customWidth="1"/>
    <col min="13835" max="13836" width="7" style="16" bestFit="1" customWidth="1"/>
    <col min="13837" max="13837" width="6.85546875" style="16" bestFit="1" customWidth="1"/>
    <col min="13838" max="13838" width="7" style="16" bestFit="1" customWidth="1"/>
    <col min="13839" max="13839" width="7.140625" style="16" bestFit="1"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8.42578125" style="16" customWidth="1"/>
    <col min="14083" max="14083" width="10.7109375" style="16" bestFit="1" customWidth="1"/>
    <col min="14084" max="14084" width="6.7109375" style="16" bestFit="1" customWidth="1"/>
    <col min="14085" max="14085" width="8.5703125" style="16" bestFit="1" customWidth="1"/>
    <col min="14086" max="14086" width="9.28515625" style="16" bestFit="1" customWidth="1"/>
    <col min="14087" max="14087" width="10.42578125" style="16" bestFit="1" customWidth="1"/>
    <col min="14088" max="14088" width="10.28515625" style="16" bestFit="1" customWidth="1"/>
    <col min="14089" max="14089" width="7.140625" style="16" bestFit="1" customWidth="1"/>
    <col min="14090" max="14090" width="7.140625" style="16" customWidth="1"/>
    <col min="14091" max="14092" width="7" style="16" bestFit="1" customWidth="1"/>
    <col min="14093" max="14093" width="6.85546875" style="16" bestFit="1" customWidth="1"/>
    <col min="14094" max="14094" width="7" style="16" bestFit="1" customWidth="1"/>
    <col min="14095" max="14095" width="7.140625" style="16" bestFit="1"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8.42578125" style="16" customWidth="1"/>
    <col min="14339" max="14339" width="10.7109375" style="16" bestFit="1" customWidth="1"/>
    <col min="14340" max="14340" width="6.7109375" style="16" bestFit="1" customWidth="1"/>
    <col min="14341" max="14341" width="8.5703125" style="16" bestFit="1" customWidth="1"/>
    <col min="14342" max="14342" width="9.28515625" style="16" bestFit="1" customWidth="1"/>
    <col min="14343" max="14343" width="10.42578125" style="16" bestFit="1" customWidth="1"/>
    <col min="14344" max="14344" width="10.28515625" style="16" bestFit="1" customWidth="1"/>
    <col min="14345" max="14345" width="7.140625" style="16" bestFit="1" customWidth="1"/>
    <col min="14346" max="14346" width="7.140625" style="16" customWidth="1"/>
    <col min="14347" max="14348" width="7" style="16" bestFit="1" customWidth="1"/>
    <col min="14349" max="14349" width="6.85546875" style="16" bestFit="1" customWidth="1"/>
    <col min="14350" max="14350" width="7" style="16" bestFit="1" customWidth="1"/>
    <col min="14351" max="14351" width="7.140625" style="16" bestFit="1"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8.42578125" style="16" customWidth="1"/>
    <col min="14595" max="14595" width="10.7109375" style="16" bestFit="1" customWidth="1"/>
    <col min="14596" max="14596" width="6.7109375" style="16" bestFit="1" customWidth="1"/>
    <col min="14597" max="14597" width="8.5703125" style="16" bestFit="1" customWidth="1"/>
    <col min="14598" max="14598" width="9.28515625" style="16" bestFit="1" customWidth="1"/>
    <col min="14599" max="14599" width="10.42578125" style="16" bestFit="1" customWidth="1"/>
    <col min="14600" max="14600" width="10.28515625" style="16" bestFit="1" customWidth="1"/>
    <col min="14601" max="14601" width="7.140625" style="16" bestFit="1" customWidth="1"/>
    <col min="14602" max="14602" width="7.140625" style="16" customWidth="1"/>
    <col min="14603" max="14604" width="7" style="16" bestFit="1" customWidth="1"/>
    <col min="14605" max="14605" width="6.85546875" style="16" bestFit="1" customWidth="1"/>
    <col min="14606" max="14606" width="7" style="16" bestFit="1" customWidth="1"/>
    <col min="14607" max="14607" width="7.140625" style="16" bestFit="1"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8.42578125" style="16" customWidth="1"/>
    <col min="14851" max="14851" width="10.7109375" style="16" bestFit="1" customWidth="1"/>
    <col min="14852" max="14852" width="6.7109375" style="16" bestFit="1" customWidth="1"/>
    <col min="14853" max="14853" width="8.5703125" style="16" bestFit="1" customWidth="1"/>
    <col min="14854" max="14854" width="9.28515625" style="16" bestFit="1" customWidth="1"/>
    <col min="14855" max="14855" width="10.42578125" style="16" bestFit="1" customWidth="1"/>
    <col min="14856" max="14856" width="10.28515625" style="16" bestFit="1" customWidth="1"/>
    <col min="14857" max="14857" width="7.140625" style="16" bestFit="1" customWidth="1"/>
    <col min="14858" max="14858" width="7.140625" style="16" customWidth="1"/>
    <col min="14859" max="14860" width="7" style="16" bestFit="1" customWidth="1"/>
    <col min="14861" max="14861" width="6.85546875" style="16" bestFit="1" customWidth="1"/>
    <col min="14862" max="14862" width="7" style="16" bestFit="1" customWidth="1"/>
    <col min="14863" max="14863" width="7.140625" style="16" bestFit="1"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8.42578125" style="16" customWidth="1"/>
    <col min="15107" max="15107" width="10.7109375" style="16" bestFit="1" customWidth="1"/>
    <col min="15108" max="15108" width="6.7109375" style="16" bestFit="1" customWidth="1"/>
    <col min="15109" max="15109" width="8.5703125" style="16" bestFit="1" customWidth="1"/>
    <col min="15110" max="15110" width="9.28515625" style="16" bestFit="1" customWidth="1"/>
    <col min="15111" max="15111" width="10.42578125" style="16" bestFit="1" customWidth="1"/>
    <col min="15112" max="15112" width="10.28515625" style="16" bestFit="1" customWidth="1"/>
    <col min="15113" max="15113" width="7.140625" style="16" bestFit="1" customWidth="1"/>
    <col min="15114" max="15114" width="7.140625" style="16" customWidth="1"/>
    <col min="15115" max="15116" width="7" style="16" bestFit="1" customWidth="1"/>
    <col min="15117" max="15117" width="6.85546875" style="16" bestFit="1" customWidth="1"/>
    <col min="15118" max="15118" width="7" style="16" bestFit="1" customWidth="1"/>
    <col min="15119" max="15119" width="7.140625" style="16" bestFit="1"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8.42578125" style="16" customWidth="1"/>
    <col min="15363" max="15363" width="10.7109375" style="16" bestFit="1" customWidth="1"/>
    <col min="15364" max="15364" width="6.7109375" style="16" bestFit="1" customWidth="1"/>
    <col min="15365" max="15365" width="8.5703125" style="16" bestFit="1" customWidth="1"/>
    <col min="15366" max="15366" width="9.28515625" style="16" bestFit="1" customWidth="1"/>
    <col min="15367" max="15367" width="10.42578125" style="16" bestFit="1" customWidth="1"/>
    <col min="15368" max="15368" width="10.28515625" style="16" bestFit="1" customWidth="1"/>
    <col min="15369" max="15369" width="7.140625" style="16" bestFit="1" customWidth="1"/>
    <col min="15370" max="15370" width="7.140625" style="16" customWidth="1"/>
    <col min="15371" max="15372" width="7" style="16" bestFit="1" customWidth="1"/>
    <col min="15373" max="15373" width="6.85546875" style="16" bestFit="1" customWidth="1"/>
    <col min="15374" max="15374" width="7" style="16" bestFit="1" customWidth="1"/>
    <col min="15375" max="15375" width="7.140625" style="16" bestFit="1"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8.42578125" style="16" customWidth="1"/>
    <col min="15619" max="15619" width="10.7109375" style="16" bestFit="1" customWidth="1"/>
    <col min="15620" max="15620" width="6.7109375" style="16" bestFit="1" customWidth="1"/>
    <col min="15621" max="15621" width="8.5703125" style="16" bestFit="1" customWidth="1"/>
    <col min="15622" max="15622" width="9.28515625" style="16" bestFit="1" customWidth="1"/>
    <col min="15623" max="15623" width="10.42578125" style="16" bestFit="1" customWidth="1"/>
    <col min="15624" max="15624" width="10.28515625" style="16" bestFit="1" customWidth="1"/>
    <col min="15625" max="15625" width="7.140625" style="16" bestFit="1" customWidth="1"/>
    <col min="15626" max="15626" width="7.140625" style="16" customWidth="1"/>
    <col min="15627" max="15628" width="7" style="16" bestFit="1" customWidth="1"/>
    <col min="15629" max="15629" width="6.85546875" style="16" bestFit="1" customWidth="1"/>
    <col min="15630" max="15630" width="7" style="16" bestFit="1" customWidth="1"/>
    <col min="15631" max="15631" width="7.140625" style="16" bestFit="1"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8.42578125" style="16" customWidth="1"/>
    <col min="15875" max="15875" width="10.7109375" style="16" bestFit="1" customWidth="1"/>
    <col min="15876" max="15876" width="6.7109375" style="16" bestFit="1" customWidth="1"/>
    <col min="15877" max="15877" width="8.5703125" style="16" bestFit="1" customWidth="1"/>
    <col min="15878" max="15878" width="9.28515625" style="16" bestFit="1" customWidth="1"/>
    <col min="15879" max="15879" width="10.42578125" style="16" bestFit="1" customWidth="1"/>
    <col min="15880" max="15880" width="10.28515625" style="16" bestFit="1" customWidth="1"/>
    <col min="15881" max="15881" width="7.140625" style="16" bestFit="1" customWidth="1"/>
    <col min="15882" max="15882" width="7.140625" style="16" customWidth="1"/>
    <col min="15883" max="15884" width="7" style="16" bestFit="1" customWidth="1"/>
    <col min="15885" max="15885" width="6.85546875" style="16" bestFit="1" customWidth="1"/>
    <col min="15886" max="15886" width="7" style="16" bestFit="1" customWidth="1"/>
    <col min="15887" max="15887" width="7.140625" style="16" bestFit="1"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8.42578125" style="16" customWidth="1"/>
    <col min="16131" max="16131" width="10.7109375" style="16" bestFit="1" customWidth="1"/>
    <col min="16132" max="16132" width="6.7109375" style="16" bestFit="1" customWidth="1"/>
    <col min="16133" max="16133" width="8.5703125" style="16" bestFit="1" customWidth="1"/>
    <col min="16134" max="16134" width="9.28515625" style="16" bestFit="1" customWidth="1"/>
    <col min="16135" max="16135" width="10.42578125" style="16" bestFit="1" customWidth="1"/>
    <col min="16136" max="16136" width="10.28515625" style="16" bestFit="1" customWidth="1"/>
    <col min="16137" max="16137" width="7.140625" style="16" bestFit="1" customWidth="1"/>
    <col min="16138" max="16138" width="7.140625" style="16" customWidth="1"/>
    <col min="16139" max="16140" width="7" style="16" bestFit="1" customWidth="1"/>
    <col min="16141" max="16141" width="6.85546875" style="16" bestFit="1" customWidth="1"/>
    <col min="16142" max="16142" width="7" style="16" bestFit="1" customWidth="1"/>
    <col min="16143" max="16143" width="7.140625" style="16" bestFit="1"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67" t="s">
        <v>449</v>
      </c>
      <c r="B1" s="868"/>
      <c r="C1" s="868"/>
      <c r="D1" s="869"/>
      <c r="E1" s="868"/>
      <c r="F1" s="868"/>
      <c r="G1" s="867" t="s">
        <v>102</v>
      </c>
      <c r="H1" s="869"/>
      <c r="I1" s="869" t="s">
        <v>950</v>
      </c>
      <c r="J1" s="868"/>
      <c r="K1" s="868"/>
      <c r="L1" s="870"/>
      <c r="M1" s="870"/>
      <c r="N1" s="870"/>
      <c r="O1" s="870"/>
    </row>
    <row r="2" spans="1:15" s="1" customFormat="1" x14ac:dyDescent="0.2">
      <c r="A2" s="867" t="s">
        <v>103</v>
      </c>
      <c r="B2" s="868"/>
      <c r="C2" s="868"/>
      <c r="D2" s="869"/>
      <c r="E2" s="868"/>
      <c r="F2" s="868"/>
      <c r="G2" s="867" t="s">
        <v>104</v>
      </c>
      <c r="H2" s="869"/>
      <c r="I2" s="869" t="s">
        <v>105</v>
      </c>
      <c r="J2" s="868"/>
      <c r="K2" s="868"/>
      <c r="L2" s="870"/>
      <c r="M2" s="870"/>
      <c r="N2" s="870"/>
      <c r="O2" s="870"/>
    </row>
    <row r="3" spans="1:15" s="1" customFormat="1" x14ac:dyDescent="0.2">
      <c r="A3" s="867" t="s">
        <v>106</v>
      </c>
      <c r="B3" s="868"/>
      <c r="C3" s="868"/>
      <c r="D3" s="881">
        <v>22842</v>
      </c>
      <c r="E3" s="882"/>
      <c r="F3" s="882"/>
      <c r="G3" s="867" t="s">
        <v>107</v>
      </c>
      <c r="H3" s="869"/>
      <c r="I3" s="869" t="s">
        <v>108</v>
      </c>
      <c r="J3" s="868"/>
      <c r="K3" s="868"/>
      <c r="L3" s="870"/>
      <c r="M3" s="870"/>
      <c r="N3" s="870"/>
      <c r="O3" s="870"/>
    </row>
    <row r="4" spans="1:15" s="1" customFormat="1" x14ac:dyDescent="0.2">
      <c r="A4" s="867" t="s">
        <v>109</v>
      </c>
      <c r="B4" s="868"/>
      <c r="C4" s="868"/>
      <c r="D4" s="883"/>
      <c r="E4" s="868"/>
      <c r="F4" s="868"/>
      <c r="G4" s="867" t="s">
        <v>110</v>
      </c>
      <c r="H4" s="869"/>
      <c r="I4" s="869" t="s">
        <v>300</v>
      </c>
      <c r="J4" s="868"/>
      <c r="K4" s="868"/>
      <c r="L4" s="870"/>
      <c r="M4" s="870"/>
      <c r="N4" s="870"/>
      <c r="O4" s="870"/>
    </row>
    <row r="5" spans="1:15" s="1" customFormat="1" x14ac:dyDescent="0.2">
      <c r="A5" s="867" t="s">
        <v>443</v>
      </c>
      <c r="B5" s="868"/>
      <c r="C5" s="868"/>
      <c r="D5" s="869" t="s">
        <v>1013</v>
      </c>
      <c r="E5" s="868"/>
      <c r="F5" s="868"/>
      <c r="G5" s="867"/>
      <c r="H5" s="868"/>
      <c r="I5" s="869" t="s">
        <v>113</v>
      </c>
      <c r="J5" s="868"/>
      <c r="K5" s="868"/>
      <c r="L5" s="870"/>
      <c r="M5" s="870"/>
      <c r="N5" s="870"/>
      <c r="O5" s="870"/>
    </row>
    <row r="6" spans="1:15" s="1" customFormat="1" x14ac:dyDescent="0.2">
      <c r="A6" s="871" t="s">
        <v>114</v>
      </c>
      <c r="B6" s="872"/>
      <c r="C6" s="872"/>
      <c r="D6" s="868" t="s">
        <v>951</v>
      </c>
      <c r="E6" s="868"/>
      <c r="F6" s="868"/>
      <c r="G6" s="871" t="s">
        <v>115</v>
      </c>
      <c r="H6" s="871"/>
      <c r="I6" s="2" t="s">
        <v>116</v>
      </c>
      <c r="J6" s="873" t="s">
        <v>1014</v>
      </c>
      <c r="K6" s="873"/>
      <c r="L6" s="873"/>
      <c r="M6" s="873"/>
      <c r="N6" s="873"/>
      <c r="O6" s="874"/>
    </row>
    <row r="7" spans="1:15" s="1" customFormat="1" ht="13.5" thickBot="1" x14ac:dyDescent="0.25">
      <c r="A7" s="3"/>
      <c r="B7" s="4"/>
      <c r="C7" s="5"/>
      <c r="D7" s="6"/>
      <c r="E7" s="6"/>
      <c r="F7" s="6"/>
      <c r="G7" s="6"/>
      <c r="H7" s="6"/>
      <c r="I7" s="6"/>
      <c r="J7" s="7"/>
      <c r="K7" s="8"/>
      <c r="L7" s="875" t="s">
        <v>223</v>
      </c>
      <c r="M7" s="875"/>
      <c r="N7" s="875"/>
      <c r="O7" s="875"/>
    </row>
    <row r="8" spans="1:15" s="11" customFormat="1" x14ac:dyDescent="0.2">
      <c r="A8" s="876" t="str">
        <f>I1</f>
        <v>Mr. S.I. Kamble</v>
      </c>
      <c r="B8" s="877"/>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0</v>
      </c>
      <c r="D9" s="14">
        <v>0</v>
      </c>
      <c r="E9" s="14">
        <v>0</v>
      </c>
      <c r="F9" s="14">
        <v>0</v>
      </c>
      <c r="G9" s="14">
        <v>0</v>
      </c>
      <c r="H9" s="14">
        <v>0</v>
      </c>
      <c r="I9" s="14">
        <v>0</v>
      </c>
      <c r="J9" s="14">
        <v>0</v>
      </c>
      <c r="K9" s="14">
        <v>0</v>
      </c>
      <c r="L9" s="14">
        <v>0</v>
      </c>
      <c r="M9" s="14">
        <v>0</v>
      </c>
      <c r="N9" s="14">
        <v>0</v>
      </c>
      <c r="O9" s="15">
        <f>SUM(C9:N9)</f>
        <v>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0</v>
      </c>
      <c r="D11" s="17">
        <v>0</v>
      </c>
      <c r="E11" s="17">
        <v>0</v>
      </c>
      <c r="F11" s="17">
        <v>0</v>
      </c>
      <c r="G11" s="17">
        <v>0</v>
      </c>
      <c r="H11" s="17">
        <v>0</v>
      </c>
      <c r="I11" s="17">
        <v>0</v>
      </c>
      <c r="J11" s="17">
        <v>0</v>
      </c>
      <c r="K11" s="17">
        <v>0</v>
      </c>
      <c r="L11" s="17">
        <v>0</v>
      </c>
      <c r="M11" s="17">
        <v>0</v>
      </c>
      <c r="N11" s="17">
        <v>0</v>
      </c>
      <c r="O11" s="18">
        <f>SUM(C11:N11)</f>
        <v>0</v>
      </c>
    </row>
    <row r="12" spans="1:15"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x14ac:dyDescent="0.2">
      <c r="A14" s="12"/>
      <c r="B14" s="13" t="s">
        <v>123</v>
      </c>
      <c r="C14" s="17">
        <v>0</v>
      </c>
      <c r="D14" s="17">
        <v>0</v>
      </c>
      <c r="E14" s="17">
        <v>0</v>
      </c>
      <c r="F14" s="17">
        <v>0</v>
      </c>
      <c r="G14" s="17">
        <v>0</v>
      </c>
      <c r="H14" s="17">
        <v>0</v>
      </c>
      <c r="I14" s="17">
        <v>0</v>
      </c>
      <c r="J14" s="17">
        <v>0</v>
      </c>
      <c r="K14" s="17">
        <v>0</v>
      </c>
      <c r="L14" s="17">
        <v>0</v>
      </c>
      <c r="M14" s="17">
        <v>0</v>
      </c>
      <c r="N14" s="17">
        <v>0</v>
      </c>
      <c r="O14" s="18">
        <f t="shared" si="0"/>
        <v>0</v>
      </c>
    </row>
    <row r="15" spans="1:15"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row>
    <row r="17" spans="1:15" x14ac:dyDescent="0.2">
      <c r="A17" s="12"/>
      <c r="B17" s="217" t="s">
        <v>280</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15" x14ac:dyDescent="0.2">
      <c r="A19" s="12"/>
      <c r="B19" s="217" t="s">
        <v>1015</v>
      </c>
      <c r="C19" s="17">
        <v>0</v>
      </c>
      <c r="D19" s="17">
        <v>0</v>
      </c>
      <c r="E19" s="17">
        <v>0</v>
      </c>
      <c r="F19" s="17">
        <v>0</v>
      </c>
      <c r="G19" s="17">
        <v>0</v>
      </c>
      <c r="H19" s="17">
        <v>0</v>
      </c>
      <c r="I19" s="17">
        <v>0</v>
      </c>
      <c r="J19" s="17">
        <v>0</v>
      </c>
      <c r="K19" s="17">
        <v>0</v>
      </c>
      <c r="L19" s="17">
        <v>0</v>
      </c>
      <c r="M19" s="17">
        <v>0</v>
      </c>
      <c r="N19" s="17">
        <v>0</v>
      </c>
      <c r="O19" s="18">
        <f t="shared" si="0"/>
        <v>0</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78"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79"/>
      <c r="B22" s="19" t="s">
        <v>132</v>
      </c>
      <c r="C22" s="17">
        <v>0</v>
      </c>
      <c r="D22" s="17">
        <v>0</v>
      </c>
      <c r="E22" s="17">
        <v>0</v>
      </c>
      <c r="F22" s="17">
        <v>0</v>
      </c>
      <c r="G22" s="17">
        <v>0</v>
      </c>
      <c r="H22" s="17">
        <v>0</v>
      </c>
      <c r="I22" s="17">
        <v>0</v>
      </c>
      <c r="J22" s="17">
        <v>0</v>
      </c>
      <c r="K22" s="17">
        <v>0</v>
      </c>
      <c r="L22" s="17">
        <v>0</v>
      </c>
      <c r="M22" s="17">
        <v>0</v>
      </c>
      <c r="N22" s="17">
        <v>0</v>
      </c>
      <c r="O22" s="18">
        <f t="shared" si="0"/>
        <v>0</v>
      </c>
    </row>
    <row r="23" spans="1:15" ht="15" hidden="1" customHeight="1" x14ac:dyDescent="0.2">
      <c r="A23" s="879"/>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79"/>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79"/>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79"/>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79"/>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79"/>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79"/>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79"/>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79"/>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79"/>
      <c r="B32" s="21" t="s">
        <v>142</v>
      </c>
      <c r="C32" s="17">
        <v>0</v>
      </c>
      <c r="D32" s="17">
        <v>0</v>
      </c>
      <c r="E32" s="17">
        <v>0</v>
      </c>
      <c r="F32" s="17">
        <v>0</v>
      </c>
      <c r="G32" s="17">
        <v>0</v>
      </c>
      <c r="H32" s="17">
        <v>0</v>
      </c>
      <c r="I32" s="17">
        <v>0</v>
      </c>
      <c r="J32" s="17">
        <v>0</v>
      </c>
      <c r="K32" s="17">
        <v>0</v>
      </c>
      <c r="L32" s="17">
        <v>0</v>
      </c>
      <c r="M32" s="17">
        <v>0</v>
      </c>
      <c r="N32" s="17">
        <v>0</v>
      </c>
      <c r="O32" s="18">
        <f t="shared" si="0"/>
        <v>0</v>
      </c>
    </row>
    <row r="33" spans="1:20" ht="15" hidden="1" customHeight="1" x14ac:dyDescent="0.2">
      <c r="A33" s="880"/>
      <c r="B33" s="19" t="s">
        <v>226</v>
      </c>
      <c r="C33" s="17">
        <v>0</v>
      </c>
      <c r="D33" s="17">
        <v>0</v>
      </c>
      <c r="E33" s="17">
        <v>0</v>
      </c>
      <c r="F33" s="17">
        <v>0</v>
      </c>
      <c r="G33" s="17">
        <v>0</v>
      </c>
      <c r="H33" s="17">
        <v>0</v>
      </c>
      <c r="I33" s="17">
        <v>0</v>
      </c>
      <c r="J33" s="17">
        <v>0</v>
      </c>
      <c r="K33" s="17">
        <v>0</v>
      </c>
      <c r="L33" s="17">
        <v>0</v>
      </c>
      <c r="M33" s="17">
        <v>0</v>
      </c>
      <c r="N33" s="17">
        <v>0</v>
      </c>
      <c r="O33" s="18">
        <f t="shared" si="0"/>
        <v>0</v>
      </c>
    </row>
    <row r="34" spans="1:20" ht="15" customHeight="1" x14ac:dyDescent="0.2">
      <c r="A34" s="865" t="s">
        <v>144</v>
      </c>
      <c r="B34" s="866"/>
      <c r="C34" s="17">
        <v>0</v>
      </c>
      <c r="D34" s="17">
        <v>0</v>
      </c>
      <c r="E34" s="17">
        <v>0</v>
      </c>
      <c r="F34" s="17">
        <v>0</v>
      </c>
      <c r="G34" s="17">
        <v>0</v>
      </c>
      <c r="H34" s="17">
        <v>0</v>
      </c>
      <c r="I34" s="17">
        <v>0</v>
      </c>
      <c r="J34" s="17">
        <v>0</v>
      </c>
      <c r="K34" s="17">
        <v>0</v>
      </c>
      <c r="L34" s="17">
        <v>0</v>
      </c>
      <c r="M34" s="17">
        <v>0</v>
      </c>
      <c r="N34" s="17">
        <v>0</v>
      </c>
      <c r="O34" s="18">
        <f t="shared" si="0"/>
        <v>0</v>
      </c>
    </row>
    <row r="35" spans="1:20" ht="15" customHeight="1" x14ac:dyDescent="0.2">
      <c r="A35" s="865" t="s">
        <v>145</v>
      </c>
      <c r="B35" s="866"/>
      <c r="C35" s="17">
        <v>0</v>
      </c>
      <c r="D35" s="17">
        <v>0</v>
      </c>
      <c r="E35" s="17">
        <v>0</v>
      </c>
      <c r="F35" s="17">
        <v>0</v>
      </c>
      <c r="G35" s="17">
        <v>0</v>
      </c>
      <c r="H35" s="17">
        <v>0</v>
      </c>
      <c r="I35" s="17">
        <v>0</v>
      </c>
      <c r="J35" s="17">
        <v>0</v>
      </c>
      <c r="K35" s="17">
        <v>0</v>
      </c>
      <c r="L35" s="17">
        <v>0</v>
      </c>
      <c r="M35" s="17">
        <v>0</v>
      </c>
      <c r="N35" s="17">
        <v>0</v>
      </c>
      <c r="O35" s="18">
        <f t="shared" si="0"/>
        <v>0</v>
      </c>
    </row>
    <row r="36" spans="1:20" ht="15" customHeight="1" x14ac:dyDescent="0.2">
      <c r="A36" s="865" t="s">
        <v>146</v>
      </c>
      <c r="B36" s="866"/>
      <c r="C36" s="17">
        <v>0</v>
      </c>
      <c r="D36" s="17">
        <v>0</v>
      </c>
      <c r="E36" s="17">
        <v>0</v>
      </c>
      <c r="F36" s="17">
        <v>0</v>
      </c>
      <c r="G36" s="17">
        <v>0</v>
      </c>
      <c r="H36" s="17">
        <v>0</v>
      </c>
      <c r="I36" s="17">
        <v>0</v>
      </c>
      <c r="J36" s="17">
        <v>0</v>
      </c>
      <c r="K36" s="17">
        <v>0</v>
      </c>
      <c r="L36" s="17">
        <v>0</v>
      </c>
      <c r="M36" s="17">
        <v>0</v>
      </c>
      <c r="N36" s="17">
        <v>0</v>
      </c>
      <c r="O36" s="18">
        <f t="shared" si="0"/>
        <v>0</v>
      </c>
    </row>
    <row r="37" spans="1:20" ht="15" customHeight="1" x14ac:dyDescent="0.2">
      <c r="A37" s="22"/>
      <c r="B37" s="23" t="s">
        <v>147</v>
      </c>
      <c r="C37" s="24">
        <f t="shared" ref="C37:N37" si="1">SUM(C9:C36)</f>
        <v>0</v>
      </c>
      <c r="D37" s="24">
        <f t="shared" si="1"/>
        <v>0</v>
      </c>
      <c r="E37" s="24">
        <f t="shared" si="1"/>
        <v>0</v>
      </c>
      <c r="F37" s="24">
        <f t="shared" si="1"/>
        <v>0</v>
      </c>
      <c r="G37" s="24">
        <f t="shared" si="1"/>
        <v>0</v>
      </c>
      <c r="H37" s="24">
        <f t="shared" si="1"/>
        <v>0</v>
      </c>
      <c r="I37" s="24">
        <f t="shared" si="1"/>
        <v>0</v>
      </c>
      <c r="J37" s="24">
        <f t="shared" si="1"/>
        <v>0</v>
      </c>
      <c r="K37" s="24">
        <f t="shared" si="1"/>
        <v>0</v>
      </c>
      <c r="L37" s="24">
        <f t="shared" si="1"/>
        <v>0</v>
      </c>
      <c r="M37" s="24">
        <f t="shared" si="1"/>
        <v>0</v>
      </c>
      <c r="N37" s="24">
        <f t="shared" si="1"/>
        <v>0</v>
      </c>
      <c r="O37" s="25">
        <f>SUM(C37:N37)</f>
        <v>0</v>
      </c>
      <c r="Q37" s="16">
        <f>28489+30346+28988+5380+30333*2+31161*3+5181+3454+32888*5</f>
        <v>420427</v>
      </c>
    </row>
    <row r="38" spans="1:20" ht="15" customHeight="1" x14ac:dyDescent="0.2">
      <c r="A38" s="853" t="s">
        <v>148</v>
      </c>
      <c r="B38" s="27" t="s">
        <v>149</v>
      </c>
      <c r="C38" s="28">
        <v>0</v>
      </c>
      <c r="D38" s="28">
        <v>0</v>
      </c>
      <c r="E38" s="28">
        <v>0</v>
      </c>
      <c r="F38" s="28">
        <v>0</v>
      </c>
      <c r="G38" s="28">
        <v>0</v>
      </c>
      <c r="H38" s="28">
        <v>0</v>
      </c>
      <c r="I38" s="28">
        <v>0</v>
      </c>
      <c r="J38" s="28">
        <v>0</v>
      </c>
      <c r="K38" s="28">
        <v>0</v>
      </c>
      <c r="L38" s="28">
        <v>0</v>
      </c>
      <c r="M38" s="28">
        <v>0</v>
      </c>
      <c r="N38" s="28">
        <v>0</v>
      </c>
      <c r="O38" s="18">
        <f>SUM(C38:N38)</f>
        <v>0</v>
      </c>
      <c r="P38" s="29" t="s">
        <v>524</v>
      </c>
      <c r="Q38" s="16">
        <f>+O17</f>
        <v>0</v>
      </c>
    </row>
    <row r="39" spans="1:20" ht="15" x14ac:dyDescent="0.2">
      <c r="A39" s="854"/>
      <c r="B39" s="27" t="s">
        <v>150</v>
      </c>
      <c r="C39" s="28">
        <v>0</v>
      </c>
      <c r="D39" s="28">
        <v>0</v>
      </c>
      <c r="E39" s="28">
        <v>0</v>
      </c>
      <c r="F39" s="28">
        <v>0</v>
      </c>
      <c r="G39" s="28">
        <v>0</v>
      </c>
      <c r="H39" s="28">
        <v>0</v>
      </c>
      <c r="I39" s="28">
        <v>0</v>
      </c>
      <c r="J39" s="28">
        <v>0</v>
      </c>
      <c r="K39" s="28">
        <v>0</v>
      </c>
      <c r="L39" s="28">
        <v>0</v>
      </c>
      <c r="M39" s="28">
        <v>0</v>
      </c>
      <c r="N39" s="28">
        <v>0</v>
      </c>
      <c r="O39" s="18">
        <f>SUM(C39:N39)</f>
        <v>0</v>
      </c>
      <c r="Q39" s="16">
        <f>+O18</f>
        <v>0</v>
      </c>
    </row>
    <row r="40" spans="1:20" ht="15" x14ac:dyDescent="0.2">
      <c r="A40" s="854"/>
      <c r="B40" s="27" t="s">
        <v>151</v>
      </c>
      <c r="C40" s="28">
        <v>0</v>
      </c>
      <c r="D40" s="28">
        <v>0</v>
      </c>
      <c r="E40" s="28">
        <v>0</v>
      </c>
      <c r="F40" s="28">
        <v>0</v>
      </c>
      <c r="G40" s="28">
        <v>0</v>
      </c>
      <c r="H40" s="28">
        <v>0</v>
      </c>
      <c r="I40" s="28">
        <v>0</v>
      </c>
      <c r="J40" s="28">
        <v>0</v>
      </c>
      <c r="K40" s="28">
        <v>0</v>
      </c>
      <c r="L40" s="28">
        <v>0</v>
      </c>
      <c r="M40" s="28">
        <v>0</v>
      </c>
      <c r="N40" s="28">
        <v>0</v>
      </c>
      <c r="O40" s="18">
        <f t="shared" ref="O40:O50" si="2">SUM(C40:N40)</f>
        <v>0</v>
      </c>
      <c r="Q40" s="16">
        <f>+Q37+Q38+Q39</f>
        <v>420427</v>
      </c>
    </row>
    <row r="41" spans="1:20" ht="15" x14ac:dyDescent="0.2">
      <c r="A41" s="854"/>
      <c r="B41" s="27" t="s">
        <v>152</v>
      </c>
      <c r="C41" s="28">
        <v>0</v>
      </c>
      <c r="D41" s="28">
        <v>0</v>
      </c>
      <c r="E41" s="28">
        <v>0</v>
      </c>
      <c r="F41" s="28">
        <v>0</v>
      </c>
      <c r="G41" s="28">
        <v>0</v>
      </c>
      <c r="H41" s="28">
        <v>0</v>
      </c>
      <c r="I41" s="28">
        <v>0</v>
      </c>
      <c r="J41" s="28">
        <v>0</v>
      </c>
      <c r="K41" s="28">
        <v>0</v>
      </c>
      <c r="L41" s="28">
        <v>0</v>
      </c>
      <c r="M41" s="28">
        <v>0</v>
      </c>
      <c r="N41" s="28">
        <v>0</v>
      </c>
      <c r="O41" s="18">
        <f t="shared" si="2"/>
        <v>0</v>
      </c>
    </row>
    <row r="42" spans="1:20" ht="15" x14ac:dyDescent="0.2">
      <c r="A42" s="854"/>
      <c r="B42" s="27" t="s">
        <v>153</v>
      </c>
      <c r="C42" s="28">
        <v>0</v>
      </c>
      <c r="D42" s="28">
        <v>0</v>
      </c>
      <c r="E42" s="28">
        <v>0</v>
      </c>
      <c r="F42" s="28">
        <v>0</v>
      </c>
      <c r="G42" s="28">
        <v>0</v>
      </c>
      <c r="H42" s="28">
        <v>0</v>
      </c>
      <c r="I42" s="28">
        <v>0</v>
      </c>
      <c r="J42" s="28">
        <v>0</v>
      </c>
      <c r="K42" s="28">
        <v>0</v>
      </c>
      <c r="L42" s="28">
        <v>0</v>
      </c>
      <c r="M42" s="28">
        <v>0</v>
      </c>
      <c r="N42" s="28">
        <v>0</v>
      </c>
      <c r="O42" s="18">
        <f t="shared" si="2"/>
        <v>0</v>
      </c>
    </row>
    <row r="43" spans="1:20" ht="15" x14ac:dyDescent="0.2">
      <c r="A43" s="854"/>
      <c r="B43" s="27" t="s">
        <v>154</v>
      </c>
      <c r="C43" s="28">
        <v>0</v>
      </c>
      <c r="D43" s="28">
        <v>0</v>
      </c>
      <c r="E43" s="28">
        <v>0</v>
      </c>
      <c r="F43" s="28">
        <v>0</v>
      </c>
      <c r="G43" s="28">
        <v>0</v>
      </c>
      <c r="H43" s="28">
        <v>0</v>
      </c>
      <c r="I43" s="28">
        <v>0</v>
      </c>
      <c r="J43" s="28">
        <v>0</v>
      </c>
      <c r="K43" s="28">
        <v>0</v>
      </c>
      <c r="L43" s="28">
        <v>0</v>
      </c>
      <c r="M43" s="28">
        <v>0</v>
      </c>
      <c r="N43" s="28">
        <v>0</v>
      </c>
      <c r="O43" s="18">
        <f t="shared" si="2"/>
        <v>0</v>
      </c>
    </row>
    <row r="44" spans="1:20" ht="15" x14ac:dyDescent="0.2">
      <c r="A44" s="854"/>
      <c r="B44" s="27" t="s">
        <v>155</v>
      </c>
      <c r="C44" s="28">
        <v>0</v>
      </c>
      <c r="D44" s="28">
        <v>0</v>
      </c>
      <c r="E44" s="28">
        <v>0</v>
      </c>
      <c r="F44" s="28">
        <v>0</v>
      </c>
      <c r="G44" s="28">
        <v>0</v>
      </c>
      <c r="H44" s="28">
        <v>0</v>
      </c>
      <c r="I44" s="28">
        <v>0</v>
      </c>
      <c r="J44" s="28">
        <v>0</v>
      </c>
      <c r="K44" s="28">
        <v>0</v>
      </c>
      <c r="L44" s="28">
        <v>0</v>
      </c>
      <c r="M44" s="28">
        <v>0</v>
      </c>
      <c r="N44" s="28">
        <v>0</v>
      </c>
      <c r="O44" s="18">
        <f t="shared" si="2"/>
        <v>0</v>
      </c>
      <c r="T44" s="1" t="s">
        <v>1016</v>
      </c>
    </row>
    <row r="45" spans="1:20" ht="15" x14ac:dyDescent="0.2">
      <c r="A45" s="854"/>
      <c r="B45" s="27" t="s">
        <v>1017</v>
      </c>
      <c r="C45" s="28">
        <v>0</v>
      </c>
      <c r="D45" s="28">
        <v>0</v>
      </c>
      <c r="E45" s="28">
        <v>0</v>
      </c>
      <c r="F45" s="28">
        <v>0</v>
      </c>
      <c r="G45" s="28">
        <v>0</v>
      </c>
      <c r="H45" s="28">
        <v>0</v>
      </c>
      <c r="I45" s="28">
        <v>0</v>
      </c>
      <c r="J45" s="28">
        <v>0</v>
      </c>
      <c r="K45" s="28">
        <v>0</v>
      </c>
      <c r="L45" s="28">
        <v>0</v>
      </c>
      <c r="M45" s="28">
        <v>0</v>
      </c>
      <c r="N45" s="28">
        <v>0</v>
      </c>
      <c r="O45" s="18">
        <f t="shared" si="2"/>
        <v>0</v>
      </c>
    </row>
    <row r="46" spans="1:20" ht="15" x14ac:dyDescent="0.2">
      <c r="A46" s="854"/>
      <c r="B46" s="27" t="s">
        <v>157</v>
      </c>
      <c r="C46" s="28">
        <v>0</v>
      </c>
      <c r="D46" s="28">
        <v>0</v>
      </c>
      <c r="E46" s="28">
        <v>0</v>
      </c>
      <c r="F46" s="28">
        <v>0</v>
      </c>
      <c r="G46" s="28">
        <v>0</v>
      </c>
      <c r="H46" s="28">
        <v>0</v>
      </c>
      <c r="I46" s="28">
        <v>0</v>
      </c>
      <c r="J46" s="28">
        <v>0</v>
      </c>
      <c r="K46" s="28">
        <v>0</v>
      </c>
      <c r="L46" s="28">
        <v>0</v>
      </c>
      <c r="M46" s="28">
        <v>0</v>
      </c>
      <c r="N46" s="28">
        <v>0</v>
      </c>
      <c r="O46" s="18">
        <f t="shared" si="2"/>
        <v>0</v>
      </c>
    </row>
    <row r="47" spans="1:20" ht="28.5" customHeight="1" x14ac:dyDescent="0.2">
      <c r="A47" s="855"/>
      <c r="B47" s="30" t="s">
        <v>158</v>
      </c>
      <c r="C47" s="28">
        <v>0</v>
      </c>
      <c r="D47" s="28">
        <v>0</v>
      </c>
      <c r="E47" s="28">
        <v>0</v>
      </c>
      <c r="F47" s="28">
        <v>0</v>
      </c>
      <c r="G47" s="28">
        <v>0</v>
      </c>
      <c r="H47" s="28">
        <v>0</v>
      </c>
      <c r="I47" s="28">
        <v>0</v>
      </c>
      <c r="J47" s="28">
        <v>0</v>
      </c>
      <c r="K47" s="28">
        <v>0</v>
      </c>
      <c r="L47" s="28">
        <v>0</v>
      </c>
      <c r="M47" s="28">
        <v>0</v>
      </c>
      <c r="N47" s="28">
        <v>0</v>
      </c>
      <c r="O47" s="31">
        <f t="shared" si="2"/>
        <v>0</v>
      </c>
    </row>
    <row r="48" spans="1:20" ht="23.25" x14ac:dyDescent="0.2">
      <c r="A48" s="856"/>
      <c r="B48" s="160" t="s">
        <v>1018</v>
      </c>
      <c r="C48" s="28">
        <v>0</v>
      </c>
      <c r="D48" s="28">
        <v>0</v>
      </c>
      <c r="E48" s="28">
        <v>0</v>
      </c>
      <c r="F48" s="28">
        <v>0</v>
      </c>
      <c r="G48" s="28">
        <v>0</v>
      </c>
      <c r="H48" s="28">
        <v>0</v>
      </c>
      <c r="I48" s="28">
        <v>0</v>
      </c>
      <c r="J48" s="28">
        <v>0</v>
      </c>
      <c r="K48" s="28">
        <v>0</v>
      </c>
      <c r="L48" s="28">
        <v>0</v>
      </c>
      <c r="M48" s="28">
        <v>0</v>
      </c>
      <c r="N48" s="28">
        <v>0</v>
      </c>
      <c r="O48" s="31">
        <f t="shared" si="2"/>
        <v>0</v>
      </c>
    </row>
    <row r="49" spans="1:18" ht="15" x14ac:dyDescent="0.2">
      <c r="A49" s="857" t="s">
        <v>160</v>
      </c>
      <c r="B49" s="858"/>
      <c r="C49" s="33">
        <f t="shared" ref="C49:N49" si="3">SUM(C38:C48)</f>
        <v>0</v>
      </c>
      <c r="D49" s="33">
        <f t="shared" si="3"/>
        <v>0</v>
      </c>
      <c r="E49" s="33">
        <f t="shared" si="3"/>
        <v>0</v>
      </c>
      <c r="F49" s="33">
        <f t="shared" si="3"/>
        <v>0</v>
      </c>
      <c r="G49" s="33">
        <f t="shared" si="3"/>
        <v>0</v>
      </c>
      <c r="H49" s="33">
        <f t="shared" si="3"/>
        <v>0</v>
      </c>
      <c r="I49" s="33">
        <f t="shared" si="3"/>
        <v>0</v>
      </c>
      <c r="J49" s="33">
        <f t="shared" si="3"/>
        <v>0</v>
      </c>
      <c r="K49" s="33">
        <f t="shared" si="3"/>
        <v>0</v>
      </c>
      <c r="L49" s="33">
        <f t="shared" si="3"/>
        <v>0</v>
      </c>
      <c r="M49" s="33">
        <f t="shared" si="3"/>
        <v>0</v>
      </c>
      <c r="N49" s="33">
        <f t="shared" si="3"/>
        <v>0</v>
      </c>
      <c r="O49" s="34">
        <f t="shared" si="2"/>
        <v>0</v>
      </c>
    </row>
    <row r="50" spans="1:18" ht="15.75" thickBot="1" x14ac:dyDescent="0.25">
      <c r="A50" s="859" t="s">
        <v>161</v>
      </c>
      <c r="B50" s="860"/>
      <c r="C50" s="35">
        <f t="shared" ref="C50:N50" si="4">C37-C49</f>
        <v>0</v>
      </c>
      <c r="D50" s="35">
        <f t="shared" si="4"/>
        <v>0</v>
      </c>
      <c r="E50" s="35">
        <f t="shared" si="4"/>
        <v>0</v>
      </c>
      <c r="F50" s="35">
        <f t="shared" si="4"/>
        <v>0</v>
      </c>
      <c r="G50" s="35">
        <f t="shared" si="4"/>
        <v>0</v>
      </c>
      <c r="H50" s="35">
        <f t="shared" si="4"/>
        <v>0</v>
      </c>
      <c r="I50" s="35">
        <f t="shared" si="4"/>
        <v>0</v>
      </c>
      <c r="J50" s="35">
        <f t="shared" si="4"/>
        <v>0</v>
      </c>
      <c r="K50" s="35">
        <f t="shared" si="4"/>
        <v>0</v>
      </c>
      <c r="L50" s="35">
        <f t="shared" si="4"/>
        <v>0</v>
      </c>
      <c r="M50" s="35">
        <f t="shared" si="4"/>
        <v>0</v>
      </c>
      <c r="N50" s="35">
        <f t="shared" si="4"/>
        <v>0</v>
      </c>
      <c r="O50" s="36">
        <f t="shared" si="2"/>
        <v>0</v>
      </c>
      <c r="Q50" s="16">
        <f>11532+30346+14183+5380+15418+15538+16366+17341+16966+5181+3454+17868+12493*2+12393+12233</f>
        <v>219185</v>
      </c>
    </row>
    <row r="51" spans="1:18" x14ac:dyDescent="0.2">
      <c r="J51" s="300">
        <f>+J37-SUM(J22:J36)</f>
        <v>0</v>
      </c>
      <c r="K51" s="38"/>
      <c r="Q51" s="16">
        <v>9405</v>
      </c>
    </row>
    <row r="52" spans="1:18" ht="13.5" thickBot="1" x14ac:dyDescent="0.25">
      <c r="J52" s="38">
        <f>+J51-J49</f>
        <v>0</v>
      </c>
      <c r="Q52" s="16">
        <f>+Q50+Q51</f>
        <v>228590</v>
      </c>
    </row>
    <row r="53" spans="1:18" ht="13.5" thickBot="1" x14ac:dyDescent="0.25">
      <c r="B53" s="789" t="s">
        <v>162</v>
      </c>
      <c r="C53" s="861"/>
      <c r="D53" s="861"/>
      <c r="E53" s="861"/>
      <c r="F53" s="862"/>
      <c r="G53" s="863">
        <f>O37</f>
        <v>0</v>
      </c>
      <c r="H53" s="864"/>
      <c r="Q53" s="38"/>
    </row>
    <row r="54" spans="1:18" ht="13.5" thickBot="1" x14ac:dyDescent="0.25"/>
    <row r="55" spans="1:18" x14ac:dyDescent="0.2">
      <c r="B55" s="830" t="s">
        <v>163</v>
      </c>
      <c r="C55" s="833" t="s">
        <v>164</v>
      </c>
      <c r="D55" s="836" t="s">
        <v>165</v>
      </c>
      <c r="E55" s="837"/>
      <c r="F55" s="838"/>
      <c r="G55" s="839">
        <f>1600*12</f>
        <v>19200</v>
      </c>
      <c r="H55" s="840"/>
    </row>
    <row r="56" spans="1:18" x14ac:dyDescent="0.2">
      <c r="B56" s="831"/>
      <c r="C56" s="834"/>
      <c r="D56" s="841" t="s">
        <v>166</v>
      </c>
      <c r="E56" s="842"/>
      <c r="F56" s="843"/>
      <c r="G56" s="844">
        <f>+O44</f>
        <v>0</v>
      </c>
      <c r="H56" s="845"/>
      <c r="I56" s="39"/>
      <c r="J56" s="846"/>
      <c r="K56" s="846"/>
      <c r="L56" s="846"/>
      <c r="M56" s="847"/>
      <c r="N56" s="847"/>
      <c r="O56" s="847"/>
    </row>
    <row r="57" spans="1:18" ht="13.5" thickBot="1" x14ac:dyDescent="0.25">
      <c r="B57" s="832"/>
      <c r="C57" s="835"/>
      <c r="D57" s="848" t="s">
        <v>243</v>
      </c>
      <c r="E57" s="849"/>
      <c r="F57" s="850"/>
      <c r="G57" s="851">
        <f>IF(O18&gt;15000,15000,+O18)</f>
        <v>0</v>
      </c>
      <c r="H57" s="852"/>
      <c r="J57" s="47"/>
      <c r="K57" s="47"/>
      <c r="L57" s="47"/>
      <c r="M57" s="47"/>
      <c r="N57" s="47"/>
      <c r="O57" s="47"/>
    </row>
    <row r="58" spans="1:18" ht="13.5" thickBot="1" x14ac:dyDescent="0.25">
      <c r="B58" s="48"/>
      <c r="J58" s="47"/>
      <c r="K58" s="47"/>
      <c r="L58" s="47"/>
      <c r="M58" s="47"/>
      <c r="N58" s="47"/>
      <c r="O58" s="47"/>
    </row>
    <row r="59" spans="1:18" ht="13.5" thickBot="1" x14ac:dyDescent="0.25">
      <c r="B59" s="789" t="s">
        <v>168</v>
      </c>
      <c r="C59" s="790"/>
      <c r="D59" s="790"/>
      <c r="E59" s="790"/>
      <c r="F59" s="791"/>
      <c r="G59" s="825">
        <f>+G53-SUM(G55:H57)</f>
        <v>-19200</v>
      </c>
      <c r="H59" s="826"/>
      <c r="J59" s="827" t="s">
        <v>169</v>
      </c>
      <c r="K59" s="828"/>
      <c r="L59" s="828"/>
      <c r="M59" s="828"/>
      <c r="N59" s="828"/>
      <c r="O59" s="829"/>
    </row>
    <row r="60" spans="1:18" ht="13.5" thickBot="1" x14ac:dyDescent="0.25">
      <c r="B60" s="49"/>
      <c r="C60" s="50"/>
      <c r="D60" s="50"/>
      <c r="E60" s="50"/>
      <c r="F60" s="50"/>
      <c r="G60" s="45"/>
      <c r="H60" s="50"/>
      <c r="J60" s="129"/>
      <c r="K60" s="130"/>
      <c r="L60" s="130"/>
      <c r="M60" s="130"/>
      <c r="N60" s="130"/>
      <c r="O60" s="131"/>
    </row>
    <row r="61" spans="1:18" ht="13.5" thickBot="1" x14ac:dyDescent="0.25">
      <c r="B61" s="789" t="s">
        <v>170</v>
      </c>
      <c r="C61" s="790"/>
      <c r="D61" s="790"/>
      <c r="E61" s="790"/>
      <c r="F61" s="791"/>
      <c r="G61" s="805"/>
      <c r="H61" s="791"/>
      <c r="J61" s="129"/>
      <c r="K61" s="130"/>
      <c r="L61" s="130"/>
      <c r="M61" s="130"/>
      <c r="N61" s="130"/>
      <c r="O61" s="131"/>
    </row>
    <row r="62" spans="1:18" ht="12.75" customHeight="1" x14ac:dyDescent="0.2">
      <c r="B62" s="57" t="s">
        <v>171</v>
      </c>
      <c r="C62" s="806" t="s">
        <v>172</v>
      </c>
      <c r="D62" s="807"/>
      <c r="E62" s="807"/>
      <c r="F62" s="808"/>
      <c r="G62" s="809">
        <v>0</v>
      </c>
      <c r="H62" s="809"/>
      <c r="I62" s="58"/>
      <c r="J62" s="810" t="s">
        <v>173</v>
      </c>
      <c r="K62" s="811"/>
      <c r="L62" s="811"/>
      <c r="M62" s="811"/>
      <c r="N62" s="811"/>
      <c r="O62" s="812"/>
      <c r="Q62" s="59"/>
      <c r="R62" s="59"/>
    </row>
    <row r="63" spans="1:18" ht="13.5" thickBot="1" x14ac:dyDescent="0.25">
      <c r="D63" s="37"/>
      <c r="I63" s="58"/>
      <c r="J63" s="60" t="s">
        <v>254</v>
      </c>
      <c r="K63" s="132"/>
      <c r="L63" s="132"/>
      <c r="M63" s="133"/>
      <c r="N63" s="133"/>
      <c r="O63" s="134"/>
      <c r="Q63" s="59"/>
      <c r="R63" s="59"/>
    </row>
    <row r="64" spans="1:18" ht="13.5" thickBot="1" x14ac:dyDescent="0.25">
      <c r="B64" s="789" t="s">
        <v>175</v>
      </c>
      <c r="C64" s="790"/>
      <c r="D64" s="790"/>
      <c r="E64" s="790"/>
      <c r="F64" s="791"/>
      <c r="G64" s="805">
        <f>+G59-G62</f>
        <v>-19200</v>
      </c>
      <c r="H64" s="791"/>
      <c r="I64" s="63"/>
      <c r="J64" s="64"/>
      <c r="K64" s="39"/>
      <c r="L64" s="39"/>
      <c r="M64" s="39"/>
      <c r="N64" s="39"/>
      <c r="O64" s="65"/>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6.25" customHeight="1" thickBot="1" x14ac:dyDescent="0.25">
      <c r="B67" s="66"/>
      <c r="C67" s="48"/>
      <c r="G67" s="70" t="s">
        <v>177</v>
      </c>
      <c r="H67" s="70" t="s">
        <v>178</v>
      </c>
      <c r="I67" s="63"/>
      <c r="J67" s="810" t="s">
        <v>179</v>
      </c>
      <c r="K67" s="811"/>
      <c r="L67" s="71"/>
      <c r="M67" s="71"/>
      <c r="N67" s="71"/>
      <c r="O67" s="72"/>
      <c r="Q67" s="59"/>
      <c r="R67" s="59"/>
    </row>
    <row r="68" spans="2:18" ht="12.75" customHeight="1" x14ac:dyDescent="0.2">
      <c r="B68" s="802" t="s">
        <v>180</v>
      </c>
      <c r="C68" s="821" t="s">
        <v>181</v>
      </c>
      <c r="D68" s="823" t="s">
        <v>182</v>
      </c>
      <c r="E68" s="824"/>
      <c r="F68" s="824"/>
      <c r="G68" s="73">
        <f>+O43</f>
        <v>0</v>
      </c>
      <c r="H68" s="74">
        <f t="shared" ref="H68:H76" si="5">+G68</f>
        <v>0</v>
      </c>
      <c r="I68" s="63"/>
      <c r="J68" s="75" t="s">
        <v>231</v>
      </c>
      <c r="K68" s="58"/>
      <c r="L68" s="58"/>
      <c r="M68" s="58"/>
      <c r="N68" s="58"/>
      <c r="O68" s="76">
        <v>22208</v>
      </c>
      <c r="Q68" s="59"/>
      <c r="R68" s="59"/>
    </row>
    <row r="69" spans="2:18" ht="12.75" customHeight="1" x14ac:dyDescent="0.2">
      <c r="B69" s="803"/>
      <c r="C69" s="822"/>
      <c r="D69" s="782" t="s">
        <v>184</v>
      </c>
      <c r="E69" s="783"/>
      <c r="F69" s="783"/>
      <c r="G69" s="77">
        <f>+O47</f>
        <v>0</v>
      </c>
      <c r="H69" s="78">
        <f t="shared" si="5"/>
        <v>0</v>
      </c>
      <c r="I69" s="63"/>
      <c r="J69" s="79"/>
      <c r="K69" s="68"/>
      <c r="L69" s="68"/>
      <c r="M69" s="68"/>
      <c r="N69" s="68"/>
      <c r="O69" s="69"/>
      <c r="Q69" s="59"/>
      <c r="R69" s="59"/>
    </row>
    <row r="70" spans="2:18" ht="12.75" customHeight="1" x14ac:dyDescent="0.2">
      <c r="B70" s="803"/>
      <c r="C70" s="822"/>
      <c r="D70" s="819" t="s">
        <v>185</v>
      </c>
      <c r="E70" s="820"/>
      <c r="F70" s="820"/>
      <c r="G70" s="80">
        <f>O40</f>
        <v>0</v>
      </c>
      <c r="H70" s="78">
        <f t="shared" si="5"/>
        <v>0</v>
      </c>
      <c r="I70" s="63"/>
      <c r="J70" s="67"/>
      <c r="K70" s="68"/>
      <c r="L70" s="68"/>
      <c r="M70" s="68"/>
      <c r="N70" s="68"/>
      <c r="O70" s="69"/>
    </row>
    <row r="71" spans="2:18" x14ac:dyDescent="0.2">
      <c r="B71" s="803"/>
      <c r="C71" s="822"/>
      <c r="D71" s="782" t="s">
        <v>186</v>
      </c>
      <c r="E71" s="783"/>
      <c r="F71" s="783"/>
      <c r="G71" s="81">
        <v>0</v>
      </c>
      <c r="H71" s="78">
        <f t="shared" si="5"/>
        <v>0</v>
      </c>
      <c r="I71" s="63"/>
      <c r="J71" s="82" t="s">
        <v>187</v>
      </c>
      <c r="K71" s="71"/>
      <c r="L71" s="71"/>
      <c r="M71" s="71"/>
      <c r="N71" s="71"/>
      <c r="O71" s="72"/>
    </row>
    <row r="72" spans="2:18" ht="12.75" customHeight="1" x14ac:dyDescent="0.2">
      <c r="B72" s="803"/>
      <c r="C72" s="822"/>
      <c r="D72" s="784" t="s">
        <v>188</v>
      </c>
      <c r="E72" s="783"/>
      <c r="F72" s="783"/>
      <c r="G72" s="80">
        <v>0</v>
      </c>
      <c r="H72" s="78">
        <f t="shared" si="5"/>
        <v>0</v>
      </c>
      <c r="I72" s="63"/>
      <c r="J72" s="75" t="s">
        <v>189</v>
      </c>
      <c r="K72" s="50"/>
      <c r="L72" s="50"/>
      <c r="M72" s="50"/>
      <c r="N72" s="50"/>
      <c r="O72" s="83">
        <v>1500</v>
      </c>
    </row>
    <row r="73" spans="2:18" ht="14.25" customHeight="1" x14ac:dyDescent="0.2">
      <c r="B73" s="803"/>
      <c r="C73" s="822"/>
      <c r="D73" s="782" t="s">
        <v>190</v>
      </c>
      <c r="E73" s="783"/>
      <c r="F73" s="783"/>
      <c r="G73" s="84">
        <v>0</v>
      </c>
      <c r="H73" s="78">
        <f t="shared" si="5"/>
        <v>0</v>
      </c>
      <c r="I73" s="63"/>
      <c r="J73" s="64"/>
      <c r="K73" s="39"/>
      <c r="L73" s="39"/>
      <c r="M73" s="39"/>
      <c r="N73" s="39"/>
      <c r="O73" s="65"/>
    </row>
    <row r="74" spans="2:18" x14ac:dyDescent="0.2">
      <c r="B74" s="803"/>
      <c r="C74" s="822"/>
      <c r="D74" s="782" t="s">
        <v>191</v>
      </c>
      <c r="E74" s="783"/>
      <c r="F74" s="783"/>
      <c r="G74" s="81">
        <v>0</v>
      </c>
      <c r="H74" s="78">
        <f t="shared" si="5"/>
        <v>0</v>
      </c>
      <c r="I74" s="58"/>
      <c r="J74" s="150"/>
      <c r="K74" s="50"/>
      <c r="L74" s="50"/>
      <c r="M74" s="50"/>
      <c r="N74" s="50"/>
      <c r="O74" s="83"/>
    </row>
    <row r="75" spans="2:18" x14ac:dyDescent="0.2">
      <c r="B75" s="803"/>
      <c r="C75" s="88" t="s">
        <v>192</v>
      </c>
      <c r="D75" s="813" t="s">
        <v>193</v>
      </c>
      <c r="E75" s="814"/>
      <c r="F75" s="814"/>
      <c r="G75" s="80">
        <v>0</v>
      </c>
      <c r="H75" s="78">
        <f t="shared" si="5"/>
        <v>0</v>
      </c>
      <c r="I75" s="58"/>
      <c r="J75" s="79"/>
      <c r="K75" s="39"/>
      <c r="L75" s="39"/>
      <c r="M75" s="39"/>
      <c r="N75" s="39"/>
      <c r="O75" s="65"/>
    </row>
    <row r="76" spans="2:18" ht="13.5" customHeight="1" thickBot="1" x14ac:dyDescent="0.25">
      <c r="B76" s="803"/>
      <c r="C76" s="88" t="s">
        <v>194</v>
      </c>
      <c r="D76" s="815" t="s">
        <v>195</v>
      </c>
      <c r="E76" s="815"/>
      <c r="F76" s="815"/>
      <c r="G76" s="89">
        <v>0</v>
      </c>
      <c r="H76" s="90">
        <f t="shared" si="5"/>
        <v>0</v>
      </c>
      <c r="I76" s="63"/>
      <c r="J76" s="67"/>
      <c r="K76" s="68"/>
      <c r="L76" s="68"/>
      <c r="M76" s="91"/>
      <c r="N76" s="91"/>
      <c r="O76" s="92"/>
    </row>
    <row r="77" spans="2:18" ht="13.5" thickBot="1" x14ac:dyDescent="0.25">
      <c r="B77" s="803"/>
      <c r="C77" s="93"/>
      <c r="D77" s="94"/>
      <c r="E77" s="816" t="s">
        <v>117</v>
      </c>
      <c r="F77" s="817"/>
      <c r="G77" s="95">
        <f>SUM(G68:G76)</f>
        <v>0</v>
      </c>
      <c r="H77" s="96">
        <f>IF(SUM(G68:G74)&lt;150000,SUM(G68:G74),150000)+IF(+G75&lt;20000,+G75,20000)</f>
        <v>0</v>
      </c>
      <c r="I77" s="63"/>
      <c r="J77" s="140"/>
      <c r="K77" s="141"/>
      <c r="L77" s="141"/>
      <c r="M77" s="142"/>
      <c r="N77" s="142"/>
      <c r="O77" s="143"/>
    </row>
    <row r="78" spans="2:18" ht="12.75" customHeight="1" x14ac:dyDescent="0.2">
      <c r="B78" s="803"/>
      <c r="C78" s="100" t="s">
        <v>196</v>
      </c>
      <c r="D78" s="782" t="s">
        <v>187</v>
      </c>
      <c r="E78" s="783"/>
      <c r="F78" s="818"/>
      <c r="G78" s="73">
        <f>+O42</f>
        <v>0</v>
      </c>
      <c r="H78" s="101">
        <f>+IF(+G78&lt;25000,+G78,25000)</f>
        <v>0</v>
      </c>
      <c r="I78" s="87"/>
    </row>
    <row r="79" spans="2:18" x14ac:dyDescent="0.2">
      <c r="B79" s="803"/>
      <c r="C79" s="100" t="s">
        <v>197</v>
      </c>
      <c r="D79" s="784" t="s">
        <v>198</v>
      </c>
      <c r="E79" s="785"/>
      <c r="F79" s="786"/>
      <c r="G79" s="102"/>
      <c r="H79" s="103">
        <f>+IF(+G79&lt;40000,+G79,40000)</f>
        <v>0</v>
      </c>
      <c r="I79" s="63"/>
    </row>
    <row r="80" spans="2:18" x14ac:dyDescent="0.2">
      <c r="B80" s="803"/>
      <c r="C80" s="100" t="s">
        <v>199</v>
      </c>
      <c r="D80" s="784" t="s">
        <v>200</v>
      </c>
      <c r="E80" s="785"/>
      <c r="F80" s="786"/>
      <c r="G80" s="81"/>
      <c r="H80" s="104">
        <v>0</v>
      </c>
      <c r="I80" s="63"/>
      <c r="J80" s="106" t="s">
        <v>525</v>
      </c>
    </row>
    <row r="81" spans="2:12" x14ac:dyDescent="0.2">
      <c r="B81" s="803"/>
      <c r="C81" s="100" t="s">
        <v>201</v>
      </c>
      <c r="D81" s="784" t="s">
        <v>202</v>
      </c>
      <c r="E81" s="785"/>
      <c r="F81" s="786"/>
      <c r="G81" s="81"/>
      <c r="H81" s="104">
        <v>0</v>
      </c>
      <c r="I81" s="63"/>
    </row>
    <row r="82" spans="2:12" ht="13.5" thickBot="1" x14ac:dyDescent="0.25">
      <c r="B82" s="804"/>
      <c r="C82" s="100" t="s">
        <v>203</v>
      </c>
      <c r="D82" s="784" t="s">
        <v>204</v>
      </c>
      <c r="E82" s="785"/>
      <c r="F82" s="786"/>
      <c r="G82" s="102"/>
      <c r="H82" s="103">
        <f>+IF(+G82&lt;100000,+G82,10000)</f>
        <v>0</v>
      </c>
      <c r="I82" s="63"/>
    </row>
    <row r="83" spans="2:12" ht="13.5" thickBot="1" x14ac:dyDescent="0.25">
      <c r="B83" s="787" t="s">
        <v>205</v>
      </c>
      <c r="C83" s="788"/>
      <c r="D83" s="788"/>
      <c r="E83" s="788"/>
      <c r="F83" s="788"/>
      <c r="G83" s="107">
        <f>SUM(G78:G82)</f>
        <v>0</v>
      </c>
      <c r="H83" s="108">
        <f>SUM(H77:H82)</f>
        <v>0</v>
      </c>
    </row>
    <row r="84" spans="2:12" ht="13.5" thickBot="1" x14ac:dyDescent="0.25"/>
    <row r="85" spans="2:12" ht="13.5" thickBot="1" x14ac:dyDescent="0.25">
      <c r="B85" s="789" t="s">
        <v>206</v>
      </c>
      <c r="C85" s="790"/>
      <c r="D85" s="790"/>
      <c r="E85" s="790"/>
      <c r="F85" s="791"/>
      <c r="G85" s="792">
        <f>+G64-H83</f>
        <v>-19200</v>
      </c>
      <c r="H85" s="791"/>
      <c r="J85" s="109">
        <f>C37+D37+E37+F37</f>
        <v>0</v>
      </c>
      <c r="K85" s="16" t="s">
        <v>235</v>
      </c>
    </row>
    <row r="86" spans="2:12" x14ac:dyDescent="0.2">
      <c r="B86" s="110"/>
      <c r="F86" s="105"/>
      <c r="J86" s="109">
        <f>G37+H37+I37</f>
        <v>0</v>
      </c>
      <c r="K86" s="16" t="s">
        <v>236</v>
      </c>
    </row>
    <row r="87" spans="2:12" x14ac:dyDescent="0.2">
      <c r="C87" s="793" t="s">
        <v>207</v>
      </c>
      <c r="D87" s="794"/>
      <c r="E87" s="111" t="s">
        <v>208</v>
      </c>
      <c r="F87" s="111" t="s">
        <v>209</v>
      </c>
      <c r="G87" s="111" t="s">
        <v>210</v>
      </c>
      <c r="H87" s="111" t="s">
        <v>211</v>
      </c>
      <c r="J87" s="206">
        <f>J37+K37+L37</f>
        <v>0</v>
      </c>
      <c r="K87" s="47" t="s">
        <v>237</v>
      </c>
    </row>
    <row r="88" spans="2:12" x14ac:dyDescent="0.2">
      <c r="C88" s="795" t="str">
        <f>IF(I6="M","0          - 250000","0          -  250000")</f>
        <v>0          - 250000</v>
      </c>
      <c r="D88" s="796"/>
      <c r="E88" s="112">
        <v>0</v>
      </c>
      <c r="F88" s="113">
        <f>IF(I6="M",(IF(G85&lt;250000,G85,250000)),(IF(G85&lt;250000,G85,2500000)))</f>
        <v>-19200</v>
      </c>
      <c r="G88" s="113">
        <f>G85-F88</f>
        <v>0</v>
      </c>
      <c r="H88" s="113">
        <f>E88*F88</f>
        <v>0</v>
      </c>
      <c r="J88" s="207">
        <f>M37+N37</f>
        <v>0</v>
      </c>
      <c r="K88" s="1" t="s">
        <v>238</v>
      </c>
    </row>
    <row r="89" spans="2:12" x14ac:dyDescent="0.2">
      <c r="C89" s="795" t="str">
        <f>IF(I6="M","250001 - 500000","250001-500000")</f>
        <v>250001 - 500000</v>
      </c>
      <c r="D89" s="796"/>
      <c r="E89" s="112">
        <v>0.1</v>
      </c>
      <c r="F89" s="113">
        <f>IF(I6="M",(IF(G88&lt;250000,G88,250000)),(IF(G88&lt;250000,G88,250000)))</f>
        <v>0</v>
      </c>
      <c r="G89" s="113">
        <f>G88-F89</f>
        <v>0</v>
      </c>
      <c r="H89" s="114">
        <f>ROUND(E89*F89,0.1)</f>
        <v>0</v>
      </c>
      <c r="J89" s="115">
        <f>SUM(J85:J88)</f>
        <v>0</v>
      </c>
    </row>
    <row r="90" spans="2:12" x14ac:dyDescent="0.2">
      <c r="C90" s="797" t="s">
        <v>212</v>
      </c>
      <c r="D90" s="798"/>
      <c r="E90" s="112">
        <v>0.2</v>
      </c>
      <c r="F90" s="113">
        <f>IF(G89&lt;500000,G89,500000)</f>
        <v>0</v>
      </c>
      <c r="G90" s="113">
        <f>G89-F90</f>
        <v>0</v>
      </c>
      <c r="H90" s="114">
        <f>ROUND(E90*F90,0.1)</f>
        <v>0</v>
      </c>
      <c r="J90" s="16">
        <f>+G85</f>
        <v>-19200</v>
      </c>
    </row>
    <row r="91" spans="2:12" x14ac:dyDescent="0.2">
      <c r="C91" s="795" t="s">
        <v>289</v>
      </c>
      <c r="D91" s="796"/>
      <c r="E91" s="112">
        <v>0.3</v>
      </c>
      <c r="F91" s="113">
        <f>G90</f>
        <v>0</v>
      </c>
      <c r="G91" s="113">
        <f>G90-F91</f>
        <v>0</v>
      </c>
      <c r="H91" s="114">
        <f>ROUND(E91*F91,0.1)</f>
        <v>0</v>
      </c>
      <c r="J91" s="16">
        <f>+J89-J90</f>
        <v>19200</v>
      </c>
    </row>
    <row r="92" spans="2:12" ht="12.75" customHeight="1" thickBot="1" x14ac:dyDescent="0.25">
      <c r="B92" s="116"/>
      <c r="C92" s="117"/>
      <c r="D92" s="47"/>
      <c r="E92" s="47"/>
      <c r="F92" s="47"/>
    </row>
    <row r="93" spans="2:12" ht="13.5" thickBot="1" x14ac:dyDescent="0.25">
      <c r="B93" s="799" t="s">
        <v>239</v>
      </c>
      <c r="C93" s="800"/>
      <c r="D93" s="800"/>
      <c r="E93" s="800"/>
      <c r="F93" s="801"/>
      <c r="G93" s="771">
        <f>H88+H89+H90+H91</f>
        <v>0</v>
      </c>
      <c r="H93" s="772"/>
    </row>
    <row r="94" spans="2:12" ht="13.5" thickBot="1" x14ac:dyDescent="0.25">
      <c r="B94" s="171" t="s">
        <v>215</v>
      </c>
      <c r="C94" s="155"/>
      <c r="D94" s="155"/>
      <c r="E94" s="155"/>
      <c r="F94" s="155"/>
      <c r="G94" s="769">
        <f>IF(G85&lt;200000,0,IF(G85&lt;220000,((G85-200000)*10%),IF(G85&lt;=500000,2000,IF(G85&gt;=500000,0))))</f>
        <v>0</v>
      </c>
      <c r="H94" s="770">
        <f>IF(H92&lt;200000,0,IF(H92&lt;220000,((H92-200000)*10%),IF(H92&lt;=500000,2000,IF(H92&gt;=500000,0))))</f>
        <v>0</v>
      </c>
      <c r="J94" s="1"/>
      <c r="K94" s="121"/>
      <c r="L94" s="121"/>
    </row>
    <row r="95" spans="2:12" ht="13.5" thickBot="1" x14ac:dyDescent="0.25">
      <c r="B95" s="122" t="s">
        <v>216</v>
      </c>
      <c r="C95" s="123"/>
      <c r="D95" s="123"/>
      <c r="E95" s="123"/>
      <c r="F95" s="123"/>
      <c r="G95" s="771">
        <f>+G93-G94</f>
        <v>0</v>
      </c>
      <c r="H95" s="772"/>
      <c r="I95" s="37"/>
    </row>
    <row r="96" spans="2:12" ht="13.5" thickBot="1" x14ac:dyDescent="0.25">
      <c r="B96" s="773" t="s">
        <v>217</v>
      </c>
      <c r="C96" s="774"/>
      <c r="D96" s="774"/>
      <c r="E96" s="774"/>
      <c r="F96" s="775"/>
      <c r="G96" s="776">
        <f>ROUND((IF(G95&gt;0,(G95*3%),0)),0)</f>
        <v>0</v>
      </c>
      <c r="H96" s="777"/>
      <c r="I96" s="37"/>
    </row>
    <row r="97" spans="2:9" ht="13.5" thickBot="1" x14ac:dyDescent="0.25">
      <c r="B97" s="778" t="s">
        <v>218</v>
      </c>
      <c r="C97" s="779"/>
      <c r="D97" s="779"/>
      <c r="E97" s="779"/>
      <c r="F97" s="779"/>
      <c r="G97" s="780">
        <f>G95+G96</f>
        <v>0</v>
      </c>
      <c r="H97" s="781"/>
      <c r="I97" s="121"/>
    </row>
    <row r="98" spans="2:9" ht="13.5" thickBot="1" x14ac:dyDescent="0.25">
      <c r="B98" s="765" t="s">
        <v>219</v>
      </c>
      <c r="C98" s="766"/>
      <c r="D98" s="766"/>
      <c r="E98" s="766"/>
      <c r="F98" s="766"/>
      <c r="G98" s="767">
        <f>O38</f>
        <v>0</v>
      </c>
      <c r="H98" s="768"/>
      <c r="I98" s="121"/>
    </row>
    <row r="99" spans="2:9" ht="13.5" thickBot="1" x14ac:dyDescent="0.25">
      <c r="B99" s="765" t="str">
        <f>IF(G99&gt;0,"TAX PAYABLE","TAX REFUND")</f>
        <v>TAX REFUND</v>
      </c>
      <c r="C99" s="766"/>
      <c r="D99" s="766"/>
      <c r="E99" s="766"/>
      <c r="F99" s="766"/>
      <c r="G99" s="767">
        <f>+G97-G98</f>
        <v>0</v>
      </c>
      <c r="H99" s="768"/>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0:F90 B99:F99 B93:F97">
    <cfRule type="cellIs" dxfId="159" priority="3" stopIfTrue="1" operator="equal">
      <formula>"TAX PAYABLE"</formula>
    </cfRule>
    <cfRule type="cellIs" dxfId="158" priority="4" stopIfTrue="1" operator="equal">
      <formula>"TAX REFUND"</formula>
    </cfRule>
  </conditionalFormatting>
  <conditionalFormatting sqref="G90:H90">
    <cfRule type="cellIs" dxfId="157" priority="5" stopIfTrue="1" operator="lessThan">
      <formula>0</formula>
    </cfRule>
    <cfRule type="cellIs" dxfId="156" priority="6" stopIfTrue="1" operator="greaterThan">
      <formula>0</formula>
    </cfRule>
  </conditionalFormatting>
  <conditionalFormatting sqref="G99:H99">
    <cfRule type="cellIs" dxfId="155" priority="1" stopIfTrue="1" operator="greaterThan">
      <formula>0</formula>
    </cfRule>
    <cfRule type="cellIs" dxfId="154"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worksheet>
</file>

<file path=xl/worksheets/sheet1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07"/>
  <sheetViews>
    <sheetView workbookViewId="0">
      <selection activeCell="D6" sqref="D6:F6"/>
    </sheetView>
  </sheetViews>
  <sheetFormatPr defaultRowHeight="12.75" x14ac:dyDescent="0.2"/>
  <cols>
    <col min="1" max="1" width="5" style="16" customWidth="1"/>
    <col min="2" max="2" width="19.42578125" style="37" customWidth="1"/>
    <col min="3" max="3" width="10.7109375" style="16" bestFit="1" customWidth="1"/>
    <col min="4" max="4" width="6.7109375" style="16" bestFit="1" customWidth="1"/>
    <col min="5" max="5" width="8.5703125" style="16" bestFit="1" customWidth="1"/>
    <col min="6" max="6" width="9.28515625" style="16" bestFit="1" customWidth="1"/>
    <col min="7" max="7" width="10.42578125" style="16" bestFit="1" customWidth="1"/>
    <col min="8" max="8" width="10.28515625" style="16" bestFit="1" customWidth="1"/>
    <col min="9" max="9" width="7.140625" style="16" bestFit="1" customWidth="1"/>
    <col min="10" max="10" width="7.42578125" style="16" customWidth="1"/>
    <col min="11" max="12" width="7" style="16" bestFit="1" customWidth="1"/>
    <col min="13" max="13" width="6.85546875" style="16" bestFit="1" customWidth="1"/>
    <col min="14" max="14" width="7" style="16" bestFit="1" customWidth="1"/>
    <col min="15" max="15" width="7.140625" style="16" bestFit="1"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9.42578125" style="16" customWidth="1"/>
    <col min="259" max="259" width="10.7109375" style="16" bestFit="1" customWidth="1"/>
    <col min="260" max="260" width="6.7109375" style="16" bestFit="1" customWidth="1"/>
    <col min="261" max="261" width="8.5703125" style="16" bestFit="1" customWidth="1"/>
    <col min="262" max="262" width="9.28515625" style="16" bestFit="1" customWidth="1"/>
    <col min="263" max="263" width="10.42578125" style="16" bestFit="1" customWidth="1"/>
    <col min="264" max="264" width="10.28515625" style="16" bestFit="1" customWidth="1"/>
    <col min="265" max="265" width="7.140625" style="16" bestFit="1" customWidth="1"/>
    <col min="266" max="266" width="7.42578125" style="16" customWidth="1"/>
    <col min="267" max="268" width="7" style="16" bestFit="1" customWidth="1"/>
    <col min="269" max="269" width="6.85546875" style="16" bestFit="1" customWidth="1"/>
    <col min="270" max="270" width="7" style="16" bestFit="1" customWidth="1"/>
    <col min="271" max="271" width="7.140625" style="16" bestFit="1"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9.42578125" style="16" customWidth="1"/>
    <col min="515" max="515" width="10.7109375" style="16" bestFit="1" customWidth="1"/>
    <col min="516" max="516" width="6.7109375" style="16" bestFit="1" customWidth="1"/>
    <col min="517" max="517" width="8.5703125" style="16" bestFit="1" customWidth="1"/>
    <col min="518" max="518" width="9.28515625" style="16" bestFit="1" customWidth="1"/>
    <col min="519" max="519" width="10.42578125" style="16" bestFit="1" customWidth="1"/>
    <col min="520" max="520" width="10.28515625" style="16" bestFit="1" customWidth="1"/>
    <col min="521" max="521" width="7.140625" style="16" bestFit="1" customWidth="1"/>
    <col min="522" max="522" width="7.42578125" style="16" customWidth="1"/>
    <col min="523" max="524" width="7" style="16" bestFit="1" customWidth="1"/>
    <col min="525" max="525" width="6.85546875" style="16" bestFit="1" customWidth="1"/>
    <col min="526" max="526" width="7" style="16" bestFit="1" customWidth="1"/>
    <col min="527" max="527" width="7.140625" style="16" bestFit="1"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9.42578125" style="16" customWidth="1"/>
    <col min="771" max="771" width="10.7109375" style="16" bestFit="1" customWidth="1"/>
    <col min="772" max="772" width="6.7109375" style="16" bestFit="1" customWidth="1"/>
    <col min="773" max="773" width="8.5703125" style="16" bestFit="1" customWidth="1"/>
    <col min="774" max="774" width="9.28515625" style="16" bestFit="1" customWidth="1"/>
    <col min="775" max="775" width="10.42578125" style="16" bestFit="1" customWidth="1"/>
    <col min="776" max="776" width="10.28515625" style="16" bestFit="1" customWidth="1"/>
    <col min="777" max="777" width="7.140625" style="16" bestFit="1" customWidth="1"/>
    <col min="778" max="778" width="7.42578125" style="16" customWidth="1"/>
    <col min="779" max="780" width="7" style="16" bestFit="1" customWidth="1"/>
    <col min="781" max="781" width="6.85546875" style="16" bestFit="1" customWidth="1"/>
    <col min="782" max="782" width="7" style="16" bestFit="1" customWidth="1"/>
    <col min="783" max="783" width="7.140625" style="16" bestFit="1"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9.42578125" style="16" customWidth="1"/>
    <col min="1027" max="1027" width="10.7109375" style="16" bestFit="1" customWidth="1"/>
    <col min="1028" max="1028" width="6.7109375" style="16" bestFit="1" customWidth="1"/>
    <col min="1029" max="1029" width="8.5703125" style="16" bestFit="1" customWidth="1"/>
    <col min="1030" max="1030" width="9.28515625" style="16" bestFit="1" customWidth="1"/>
    <col min="1031" max="1031" width="10.42578125" style="16" bestFit="1" customWidth="1"/>
    <col min="1032" max="1032" width="10.28515625" style="16" bestFit="1" customWidth="1"/>
    <col min="1033" max="1033" width="7.140625" style="16" bestFit="1" customWidth="1"/>
    <col min="1034" max="1034" width="7.42578125" style="16" customWidth="1"/>
    <col min="1035" max="1036" width="7" style="16" bestFit="1" customWidth="1"/>
    <col min="1037" max="1037" width="6.85546875" style="16" bestFit="1" customWidth="1"/>
    <col min="1038" max="1038" width="7" style="16" bestFit="1" customWidth="1"/>
    <col min="1039" max="1039" width="7.140625" style="16" bestFit="1"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9.42578125" style="16" customWidth="1"/>
    <col min="1283" max="1283" width="10.7109375" style="16" bestFit="1" customWidth="1"/>
    <col min="1284" max="1284" width="6.7109375" style="16" bestFit="1" customWidth="1"/>
    <col min="1285" max="1285" width="8.5703125" style="16" bestFit="1" customWidth="1"/>
    <col min="1286" max="1286" width="9.28515625" style="16" bestFit="1" customWidth="1"/>
    <col min="1287" max="1287" width="10.42578125" style="16" bestFit="1" customWidth="1"/>
    <col min="1288" max="1288" width="10.28515625" style="16" bestFit="1" customWidth="1"/>
    <col min="1289" max="1289" width="7.140625" style="16" bestFit="1" customWidth="1"/>
    <col min="1290" max="1290" width="7.42578125" style="16" customWidth="1"/>
    <col min="1291" max="1292" width="7" style="16" bestFit="1" customWidth="1"/>
    <col min="1293" max="1293" width="6.85546875" style="16" bestFit="1" customWidth="1"/>
    <col min="1294" max="1294" width="7" style="16" bestFit="1" customWidth="1"/>
    <col min="1295" max="1295" width="7.140625" style="16" bestFit="1"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9.42578125" style="16" customWidth="1"/>
    <col min="1539" max="1539" width="10.7109375" style="16" bestFit="1" customWidth="1"/>
    <col min="1540" max="1540" width="6.7109375" style="16" bestFit="1" customWidth="1"/>
    <col min="1541" max="1541" width="8.5703125" style="16" bestFit="1" customWidth="1"/>
    <col min="1542" max="1542" width="9.28515625" style="16" bestFit="1" customWidth="1"/>
    <col min="1543" max="1543" width="10.42578125" style="16" bestFit="1" customWidth="1"/>
    <col min="1544" max="1544" width="10.28515625" style="16" bestFit="1" customWidth="1"/>
    <col min="1545" max="1545" width="7.140625" style="16" bestFit="1" customWidth="1"/>
    <col min="1546" max="1546" width="7.42578125" style="16" customWidth="1"/>
    <col min="1547" max="1548" width="7" style="16" bestFit="1" customWidth="1"/>
    <col min="1549" max="1549" width="6.85546875" style="16" bestFit="1" customWidth="1"/>
    <col min="1550" max="1550" width="7" style="16" bestFit="1" customWidth="1"/>
    <col min="1551" max="1551" width="7.140625" style="16" bestFit="1"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9.42578125" style="16" customWidth="1"/>
    <col min="1795" max="1795" width="10.7109375" style="16" bestFit="1" customWidth="1"/>
    <col min="1796" max="1796" width="6.7109375" style="16" bestFit="1" customWidth="1"/>
    <col min="1797" max="1797" width="8.5703125" style="16" bestFit="1" customWidth="1"/>
    <col min="1798" max="1798" width="9.28515625" style="16" bestFit="1" customWidth="1"/>
    <col min="1799" max="1799" width="10.42578125" style="16" bestFit="1" customWidth="1"/>
    <col min="1800" max="1800" width="10.28515625" style="16" bestFit="1" customWidth="1"/>
    <col min="1801" max="1801" width="7.140625" style="16" bestFit="1" customWidth="1"/>
    <col min="1802" max="1802" width="7.42578125" style="16" customWidth="1"/>
    <col min="1803" max="1804" width="7" style="16" bestFit="1" customWidth="1"/>
    <col min="1805" max="1805" width="6.85546875" style="16" bestFit="1" customWidth="1"/>
    <col min="1806" max="1806" width="7" style="16" bestFit="1" customWidth="1"/>
    <col min="1807" max="1807" width="7.140625" style="16" bestFit="1"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9.42578125" style="16" customWidth="1"/>
    <col min="2051" max="2051" width="10.7109375" style="16" bestFit="1" customWidth="1"/>
    <col min="2052" max="2052" width="6.7109375" style="16" bestFit="1" customWidth="1"/>
    <col min="2053" max="2053" width="8.5703125" style="16" bestFit="1" customWidth="1"/>
    <col min="2054" max="2054" width="9.28515625" style="16" bestFit="1" customWidth="1"/>
    <col min="2055" max="2055" width="10.42578125" style="16" bestFit="1" customWidth="1"/>
    <col min="2056" max="2056" width="10.28515625" style="16" bestFit="1" customWidth="1"/>
    <col min="2057" max="2057" width="7.140625" style="16" bestFit="1" customWidth="1"/>
    <col min="2058" max="2058" width="7.42578125" style="16" customWidth="1"/>
    <col min="2059" max="2060" width="7" style="16" bestFit="1" customWidth="1"/>
    <col min="2061" max="2061" width="6.85546875" style="16" bestFit="1" customWidth="1"/>
    <col min="2062" max="2062" width="7" style="16" bestFit="1" customWidth="1"/>
    <col min="2063" max="2063" width="7.140625" style="16" bestFit="1"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9.42578125" style="16" customWidth="1"/>
    <col min="2307" max="2307" width="10.7109375" style="16" bestFit="1" customWidth="1"/>
    <col min="2308" max="2308" width="6.7109375" style="16" bestFit="1" customWidth="1"/>
    <col min="2309" max="2309" width="8.5703125" style="16" bestFit="1" customWidth="1"/>
    <col min="2310" max="2310" width="9.28515625" style="16" bestFit="1" customWidth="1"/>
    <col min="2311" max="2311" width="10.42578125" style="16" bestFit="1" customWidth="1"/>
    <col min="2312" max="2312" width="10.28515625" style="16" bestFit="1" customWidth="1"/>
    <col min="2313" max="2313" width="7.140625" style="16" bestFit="1" customWidth="1"/>
    <col min="2314" max="2314" width="7.42578125" style="16" customWidth="1"/>
    <col min="2315" max="2316" width="7" style="16" bestFit="1" customWidth="1"/>
    <col min="2317" max="2317" width="6.85546875" style="16" bestFit="1" customWidth="1"/>
    <col min="2318" max="2318" width="7" style="16" bestFit="1" customWidth="1"/>
    <col min="2319" max="2319" width="7.140625" style="16" bestFit="1"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9.42578125" style="16" customWidth="1"/>
    <col min="2563" max="2563" width="10.7109375" style="16" bestFit="1" customWidth="1"/>
    <col min="2564" max="2564" width="6.7109375" style="16" bestFit="1" customWidth="1"/>
    <col min="2565" max="2565" width="8.5703125" style="16" bestFit="1" customWidth="1"/>
    <col min="2566" max="2566" width="9.28515625" style="16" bestFit="1" customWidth="1"/>
    <col min="2567" max="2567" width="10.42578125" style="16" bestFit="1" customWidth="1"/>
    <col min="2568" max="2568" width="10.28515625" style="16" bestFit="1" customWidth="1"/>
    <col min="2569" max="2569" width="7.140625" style="16" bestFit="1" customWidth="1"/>
    <col min="2570" max="2570" width="7.42578125" style="16" customWidth="1"/>
    <col min="2571" max="2572" width="7" style="16" bestFit="1" customWidth="1"/>
    <col min="2573" max="2573" width="6.85546875" style="16" bestFit="1" customWidth="1"/>
    <col min="2574" max="2574" width="7" style="16" bestFit="1" customWidth="1"/>
    <col min="2575" max="2575" width="7.140625" style="16" bestFit="1"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9.42578125" style="16" customWidth="1"/>
    <col min="2819" max="2819" width="10.7109375" style="16" bestFit="1" customWidth="1"/>
    <col min="2820" max="2820" width="6.7109375" style="16" bestFit="1" customWidth="1"/>
    <col min="2821" max="2821" width="8.5703125" style="16" bestFit="1" customWidth="1"/>
    <col min="2822" max="2822" width="9.28515625" style="16" bestFit="1" customWidth="1"/>
    <col min="2823" max="2823" width="10.42578125" style="16" bestFit="1" customWidth="1"/>
    <col min="2824" max="2824" width="10.28515625" style="16" bestFit="1" customWidth="1"/>
    <col min="2825" max="2825" width="7.140625" style="16" bestFit="1" customWidth="1"/>
    <col min="2826" max="2826" width="7.42578125" style="16" customWidth="1"/>
    <col min="2827" max="2828" width="7" style="16" bestFit="1" customWidth="1"/>
    <col min="2829" max="2829" width="6.85546875" style="16" bestFit="1" customWidth="1"/>
    <col min="2830" max="2830" width="7" style="16" bestFit="1" customWidth="1"/>
    <col min="2831" max="2831" width="7.140625" style="16" bestFit="1"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9.42578125" style="16" customWidth="1"/>
    <col min="3075" max="3075" width="10.7109375" style="16" bestFit="1" customWidth="1"/>
    <col min="3076" max="3076" width="6.7109375" style="16" bestFit="1" customWidth="1"/>
    <col min="3077" max="3077" width="8.5703125" style="16" bestFit="1" customWidth="1"/>
    <col min="3078" max="3078" width="9.28515625" style="16" bestFit="1" customWidth="1"/>
    <col min="3079" max="3079" width="10.42578125" style="16" bestFit="1" customWidth="1"/>
    <col min="3080" max="3080" width="10.28515625" style="16" bestFit="1" customWidth="1"/>
    <col min="3081" max="3081" width="7.140625" style="16" bestFit="1" customWidth="1"/>
    <col min="3082" max="3082" width="7.42578125" style="16" customWidth="1"/>
    <col min="3083" max="3084" width="7" style="16" bestFit="1" customWidth="1"/>
    <col min="3085" max="3085" width="6.85546875" style="16" bestFit="1" customWidth="1"/>
    <col min="3086" max="3086" width="7" style="16" bestFit="1" customWidth="1"/>
    <col min="3087" max="3087" width="7.140625" style="16" bestFit="1"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9.42578125" style="16" customWidth="1"/>
    <col min="3331" max="3331" width="10.7109375" style="16" bestFit="1" customWidth="1"/>
    <col min="3332" max="3332" width="6.7109375" style="16" bestFit="1" customWidth="1"/>
    <col min="3333" max="3333" width="8.5703125" style="16" bestFit="1" customWidth="1"/>
    <col min="3334" max="3334" width="9.28515625" style="16" bestFit="1" customWidth="1"/>
    <col min="3335" max="3335" width="10.42578125" style="16" bestFit="1" customWidth="1"/>
    <col min="3336" max="3336" width="10.28515625" style="16" bestFit="1" customWidth="1"/>
    <col min="3337" max="3337" width="7.140625" style="16" bestFit="1" customWidth="1"/>
    <col min="3338" max="3338" width="7.42578125" style="16" customWidth="1"/>
    <col min="3339" max="3340" width="7" style="16" bestFit="1" customWidth="1"/>
    <col min="3341" max="3341" width="6.85546875" style="16" bestFit="1" customWidth="1"/>
    <col min="3342" max="3342" width="7" style="16" bestFit="1" customWidth="1"/>
    <col min="3343" max="3343" width="7.140625" style="16" bestFit="1"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9.42578125" style="16" customWidth="1"/>
    <col min="3587" max="3587" width="10.7109375" style="16" bestFit="1" customWidth="1"/>
    <col min="3588" max="3588" width="6.7109375" style="16" bestFit="1" customWidth="1"/>
    <col min="3589" max="3589" width="8.5703125" style="16" bestFit="1" customWidth="1"/>
    <col min="3590" max="3590" width="9.28515625" style="16" bestFit="1" customWidth="1"/>
    <col min="3591" max="3591" width="10.42578125" style="16" bestFit="1" customWidth="1"/>
    <col min="3592" max="3592" width="10.28515625" style="16" bestFit="1" customWidth="1"/>
    <col min="3593" max="3593" width="7.140625" style="16" bestFit="1" customWidth="1"/>
    <col min="3594" max="3594" width="7.42578125" style="16" customWidth="1"/>
    <col min="3595" max="3596" width="7" style="16" bestFit="1" customWidth="1"/>
    <col min="3597" max="3597" width="6.85546875" style="16" bestFit="1" customWidth="1"/>
    <col min="3598" max="3598" width="7" style="16" bestFit="1" customWidth="1"/>
    <col min="3599" max="3599" width="7.140625" style="16" bestFit="1"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9.42578125" style="16" customWidth="1"/>
    <col min="3843" max="3843" width="10.7109375" style="16" bestFit="1" customWidth="1"/>
    <col min="3844" max="3844" width="6.7109375" style="16" bestFit="1" customWidth="1"/>
    <col min="3845" max="3845" width="8.5703125" style="16" bestFit="1" customWidth="1"/>
    <col min="3846" max="3846" width="9.28515625" style="16" bestFit="1" customWidth="1"/>
    <col min="3847" max="3847" width="10.42578125" style="16" bestFit="1" customWidth="1"/>
    <col min="3848" max="3848" width="10.28515625" style="16" bestFit="1" customWidth="1"/>
    <col min="3849" max="3849" width="7.140625" style="16" bestFit="1" customWidth="1"/>
    <col min="3850" max="3850" width="7.42578125" style="16" customWidth="1"/>
    <col min="3851" max="3852" width="7" style="16" bestFit="1" customWidth="1"/>
    <col min="3853" max="3853" width="6.85546875" style="16" bestFit="1" customWidth="1"/>
    <col min="3854" max="3854" width="7" style="16" bestFit="1" customWidth="1"/>
    <col min="3855" max="3855" width="7.140625" style="16" bestFit="1"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9.42578125" style="16" customWidth="1"/>
    <col min="4099" max="4099" width="10.7109375" style="16" bestFit="1" customWidth="1"/>
    <col min="4100" max="4100" width="6.7109375" style="16" bestFit="1" customWidth="1"/>
    <col min="4101" max="4101" width="8.5703125" style="16" bestFit="1" customWidth="1"/>
    <col min="4102" max="4102" width="9.28515625" style="16" bestFit="1" customWidth="1"/>
    <col min="4103" max="4103" width="10.42578125" style="16" bestFit="1" customWidth="1"/>
    <col min="4104" max="4104" width="10.28515625" style="16" bestFit="1" customWidth="1"/>
    <col min="4105" max="4105" width="7.140625" style="16" bestFit="1" customWidth="1"/>
    <col min="4106" max="4106" width="7.42578125" style="16" customWidth="1"/>
    <col min="4107" max="4108" width="7" style="16" bestFit="1" customWidth="1"/>
    <col min="4109" max="4109" width="6.85546875" style="16" bestFit="1" customWidth="1"/>
    <col min="4110" max="4110" width="7" style="16" bestFit="1" customWidth="1"/>
    <col min="4111" max="4111" width="7.140625" style="16" bestFit="1"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9.42578125" style="16" customWidth="1"/>
    <col min="4355" max="4355" width="10.7109375" style="16" bestFit="1" customWidth="1"/>
    <col min="4356" max="4356" width="6.7109375" style="16" bestFit="1" customWidth="1"/>
    <col min="4357" max="4357" width="8.5703125" style="16" bestFit="1" customWidth="1"/>
    <col min="4358" max="4358" width="9.28515625" style="16" bestFit="1" customWidth="1"/>
    <col min="4359" max="4359" width="10.42578125" style="16" bestFit="1" customWidth="1"/>
    <col min="4360" max="4360" width="10.28515625" style="16" bestFit="1" customWidth="1"/>
    <col min="4361" max="4361" width="7.140625" style="16" bestFit="1" customWidth="1"/>
    <col min="4362" max="4362" width="7.42578125" style="16" customWidth="1"/>
    <col min="4363" max="4364" width="7" style="16" bestFit="1" customWidth="1"/>
    <col min="4365" max="4365" width="6.85546875" style="16" bestFit="1" customWidth="1"/>
    <col min="4366" max="4366" width="7" style="16" bestFit="1" customWidth="1"/>
    <col min="4367" max="4367" width="7.140625" style="16" bestFit="1"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9.42578125" style="16" customWidth="1"/>
    <col min="4611" max="4611" width="10.7109375" style="16" bestFit="1" customWidth="1"/>
    <col min="4612" max="4612" width="6.7109375" style="16" bestFit="1" customWidth="1"/>
    <col min="4613" max="4613" width="8.5703125" style="16" bestFit="1" customWidth="1"/>
    <col min="4614" max="4614" width="9.28515625" style="16" bestFit="1" customWidth="1"/>
    <col min="4615" max="4615" width="10.42578125" style="16" bestFit="1" customWidth="1"/>
    <col min="4616" max="4616" width="10.28515625" style="16" bestFit="1" customWidth="1"/>
    <col min="4617" max="4617" width="7.140625" style="16" bestFit="1" customWidth="1"/>
    <col min="4618" max="4618" width="7.42578125" style="16" customWidth="1"/>
    <col min="4619" max="4620" width="7" style="16" bestFit="1" customWidth="1"/>
    <col min="4621" max="4621" width="6.85546875" style="16" bestFit="1" customWidth="1"/>
    <col min="4622" max="4622" width="7" style="16" bestFit="1" customWidth="1"/>
    <col min="4623" max="4623" width="7.140625" style="16" bestFit="1"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9.42578125" style="16" customWidth="1"/>
    <col min="4867" max="4867" width="10.7109375" style="16" bestFit="1" customWidth="1"/>
    <col min="4868" max="4868" width="6.7109375" style="16" bestFit="1" customWidth="1"/>
    <col min="4869" max="4869" width="8.5703125" style="16" bestFit="1" customWidth="1"/>
    <col min="4870" max="4870" width="9.28515625" style="16" bestFit="1" customWidth="1"/>
    <col min="4871" max="4871" width="10.42578125" style="16" bestFit="1" customWidth="1"/>
    <col min="4872" max="4872" width="10.28515625" style="16" bestFit="1" customWidth="1"/>
    <col min="4873" max="4873" width="7.140625" style="16" bestFit="1" customWidth="1"/>
    <col min="4874" max="4874" width="7.42578125" style="16" customWidth="1"/>
    <col min="4875" max="4876" width="7" style="16" bestFit="1" customWidth="1"/>
    <col min="4877" max="4877" width="6.85546875" style="16" bestFit="1" customWidth="1"/>
    <col min="4878" max="4878" width="7" style="16" bestFit="1" customWidth="1"/>
    <col min="4879" max="4879" width="7.140625" style="16" bestFit="1"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9.42578125" style="16" customWidth="1"/>
    <col min="5123" max="5123" width="10.7109375" style="16" bestFit="1" customWidth="1"/>
    <col min="5124" max="5124" width="6.7109375" style="16" bestFit="1" customWidth="1"/>
    <col min="5125" max="5125" width="8.5703125" style="16" bestFit="1" customWidth="1"/>
    <col min="5126" max="5126" width="9.28515625" style="16" bestFit="1" customWidth="1"/>
    <col min="5127" max="5127" width="10.42578125" style="16" bestFit="1" customWidth="1"/>
    <col min="5128" max="5128" width="10.28515625" style="16" bestFit="1" customWidth="1"/>
    <col min="5129" max="5129" width="7.140625" style="16" bestFit="1" customWidth="1"/>
    <col min="5130" max="5130" width="7.42578125" style="16" customWidth="1"/>
    <col min="5131" max="5132" width="7" style="16" bestFit="1" customWidth="1"/>
    <col min="5133" max="5133" width="6.85546875" style="16" bestFit="1" customWidth="1"/>
    <col min="5134" max="5134" width="7" style="16" bestFit="1" customWidth="1"/>
    <col min="5135" max="5135" width="7.140625" style="16" bestFit="1"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9.42578125" style="16" customWidth="1"/>
    <col min="5379" max="5379" width="10.7109375" style="16" bestFit="1" customWidth="1"/>
    <col min="5380" max="5380" width="6.7109375" style="16" bestFit="1" customWidth="1"/>
    <col min="5381" max="5381" width="8.5703125" style="16" bestFit="1" customWidth="1"/>
    <col min="5382" max="5382" width="9.28515625" style="16" bestFit="1" customWidth="1"/>
    <col min="5383" max="5383" width="10.42578125" style="16" bestFit="1" customWidth="1"/>
    <col min="5384" max="5384" width="10.28515625" style="16" bestFit="1" customWidth="1"/>
    <col min="5385" max="5385" width="7.140625" style="16" bestFit="1" customWidth="1"/>
    <col min="5386" max="5386" width="7.42578125" style="16" customWidth="1"/>
    <col min="5387" max="5388" width="7" style="16" bestFit="1" customWidth="1"/>
    <col min="5389" max="5389" width="6.85546875" style="16" bestFit="1" customWidth="1"/>
    <col min="5390" max="5390" width="7" style="16" bestFit="1" customWidth="1"/>
    <col min="5391" max="5391" width="7.140625" style="16" bestFit="1"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9.42578125" style="16" customWidth="1"/>
    <col min="5635" max="5635" width="10.7109375" style="16" bestFit="1" customWidth="1"/>
    <col min="5636" max="5636" width="6.7109375" style="16" bestFit="1" customWidth="1"/>
    <col min="5637" max="5637" width="8.5703125" style="16" bestFit="1" customWidth="1"/>
    <col min="5638" max="5638" width="9.28515625" style="16" bestFit="1" customWidth="1"/>
    <col min="5639" max="5639" width="10.42578125" style="16" bestFit="1" customWidth="1"/>
    <col min="5640" max="5640" width="10.28515625" style="16" bestFit="1" customWidth="1"/>
    <col min="5641" max="5641" width="7.140625" style="16" bestFit="1" customWidth="1"/>
    <col min="5642" max="5642" width="7.42578125" style="16" customWidth="1"/>
    <col min="5643" max="5644" width="7" style="16" bestFit="1" customWidth="1"/>
    <col min="5645" max="5645" width="6.85546875" style="16" bestFit="1" customWidth="1"/>
    <col min="5646" max="5646" width="7" style="16" bestFit="1" customWidth="1"/>
    <col min="5647" max="5647" width="7.140625" style="16" bestFit="1"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9.42578125" style="16" customWidth="1"/>
    <col min="5891" max="5891" width="10.7109375" style="16" bestFit="1" customWidth="1"/>
    <col min="5892" max="5892" width="6.7109375" style="16" bestFit="1" customWidth="1"/>
    <col min="5893" max="5893" width="8.5703125" style="16" bestFit="1" customWidth="1"/>
    <col min="5894" max="5894" width="9.28515625" style="16" bestFit="1" customWidth="1"/>
    <col min="5895" max="5895" width="10.42578125" style="16" bestFit="1" customWidth="1"/>
    <col min="5896" max="5896" width="10.28515625" style="16" bestFit="1" customWidth="1"/>
    <col min="5897" max="5897" width="7.140625" style="16" bestFit="1" customWidth="1"/>
    <col min="5898" max="5898" width="7.42578125" style="16" customWidth="1"/>
    <col min="5899" max="5900" width="7" style="16" bestFit="1" customWidth="1"/>
    <col min="5901" max="5901" width="6.85546875" style="16" bestFit="1" customWidth="1"/>
    <col min="5902" max="5902" width="7" style="16" bestFit="1" customWidth="1"/>
    <col min="5903" max="5903" width="7.140625" style="16" bestFit="1"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9.42578125" style="16" customWidth="1"/>
    <col min="6147" max="6147" width="10.7109375" style="16" bestFit="1" customWidth="1"/>
    <col min="6148" max="6148" width="6.7109375" style="16" bestFit="1" customWidth="1"/>
    <col min="6149" max="6149" width="8.5703125" style="16" bestFit="1" customWidth="1"/>
    <col min="6150" max="6150" width="9.28515625" style="16" bestFit="1" customWidth="1"/>
    <col min="6151" max="6151" width="10.42578125" style="16" bestFit="1" customWidth="1"/>
    <col min="6152" max="6152" width="10.28515625" style="16" bestFit="1" customWidth="1"/>
    <col min="6153" max="6153" width="7.140625" style="16" bestFit="1" customWidth="1"/>
    <col min="6154" max="6154" width="7.42578125" style="16" customWidth="1"/>
    <col min="6155" max="6156" width="7" style="16" bestFit="1" customWidth="1"/>
    <col min="6157" max="6157" width="6.85546875" style="16" bestFit="1" customWidth="1"/>
    <col min="6158" max="6158" width="7" style="16" bestFit="1" customWidth="1"/>
    <col min="6159" max="6159" width="7.140625" style="16" bestFit="1"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9.42578125" style="16" customWidth="1"/>
    <col min="6403" max="6403" width="10.7109375" style="16" bestFit="1" customWidth="1"/>
    <col min="6404" max="6404" width="6.7109375" style="16" bestFit="1" customWidth="1"/>
    <col min="6405" max="6405" width="8.5703125" style="16" bestFit="1" customWidth="1"/>
    <col min="6406" max="6406" width="9.28515625" style="16" bestFit="1" customWidth="1"/>
    <col min="6407" max="6407" width="10.42578125" style="16" bestFit="1" customWidth="1"/>
    <col min="6408" max="6408" width="10.28515625" style="16" bestFit="1" customWidth="1"/>
    <col min="6409" max="6409" width="7.140625" style="16" bestFit="1" customWidth="1"/>
    <col min="6410" max="6410" width="7.42578125" style="16" customWidth="1"/>
    <col min="6411" max="6412" width="7" style="16" bestFit="1" customWidth="1"/>
    <col min="6413" max="6413" width="6.85546875" style="16" bestFit="1" customWidth="1"/>
    <col min="6414" max="6414" width="7" style="16" bestFit="1" customWidth="1"/>
    <col min="6415" max="6415" width="7.140625" style="16" bestFit="1"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9.42578125" style="16" customWidth="1"/>
    <col min="6659" max="6659" width="10.7109375" style="16" bestFit="1" customWidth="1"/>
    <col min="6660" max="6660" width="6.7109375" style="16" bestFit="1" customWidth="1"/>
    <col min="6661" max="6661" width="8.5703125" style="16" bestFit="1" customWidth="1"/>
    <col min="6662" max="6662" width="9.28515625" style="16" bestFit="1" customWidth="1"/>
    <col min="6663" max="6663" width="10.42578125" style="16" bestFit="1" customWidth="1"/>
    <col min="6664" max="6664" width="10.28515625" style="16" bestFit="1" customWidth="1"/>
    <col min="6665" max="6665" width="7.140625" style="16" bestFit="1" customWidth="1"/>
    <col min="6666" max="6666" width="7.42578125" style="16" customWidth="1"/>
    <col min="6667" max="6668" width="7" style="16" bestFit="1" customWidth="1"/>
    <col min="6669" max="6669" width="6.85546875" style="16" bestFit="1" customWidth="1"/>
    <col min="6670" max="6670" width="7" style="16" bestFit="1" customWidth="1"/>
    <col min="6671" max="6671" width="7.140625" style="16" bestFit="1"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9.42578125" style="16" customWidth="1"/>
    <col min="6915" max="6915" width="10.7109375" style="16" bestFit="1" customWidth="1"/>
    <col min="6916" max="6916" width="6.7109375" style="16" bestFit="1" customWidth="1"/>
    <col min="6917" max="6917" width="8.5703125" style="16" bestFit="1" customWidth="1"/>
    <col min="6918" max="6918" width="9.28515625" style="16" bestFit="1" customWidth="1"/>
    <col min="6919" max="6919" width="10.42578125" style="16" bestFit="1" customWidth="1"/>
    <col min="6920" max="6920" width="10.28515625" style="16" bestFit="1" customWidth="1"/>
    <col min="6921" max="6921" width="7.140625" style="16" bestFit="1" customWidth="1"/>
    <col min="6922" max="6922" width="7.42578125" style="16" customWidth="1"/>
    <col min="6923" max="6924" width="7" style="16" bestFit="1" customWidth="1"/>
    <col min="6925" max="6925" width="6.85546875" style="16" bestFit="1" customWidth="1"/>
    <col min="6926" max="6926" width="7" style="16" bestFit="1" customWidth="1"/>
    <col min="6927" max="6927" width="7.140625" style="16" bestFit="1"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9.42578125" style="16" customWidth="1"/>
    <col min="7171" max="7171" width="10.7109375" style="16" bestFit="1" customWidth="1"/>
    <col min="7172" max="7172" width="6.7109375" style="16" bestFit="1" customWidth="1"/>
    <col min="7173" max="7173" width="8.5703125" style="16" bestFit="1" customWidth="1"/>
    <col min="7174" max="7174" width="9.28515625" style="16" bestFit="1" customWidth="1"/>
    <col min="7175" max="7175" width="10.42578125" style="16" bestFit="1" customWidth="1"/>
    <col min="7176" max="7176" width="10.28515625" style="16" bestFit="1" customWidth="1"/>
    <col min="7177" max="7177" width="7.140625" style="16" bestFit="1" customWidth="1"/>
    <col min="7178" max="7178" width="7.42578125" style="16" customWidth="1"/>
    <col min="7179" max="7180" width="7" style="16" bestFit="1" customWidth="1"/>
    <col min="7181" max="7181" width="6.85546875" style="16" bestFit="1" customWidth="1"/>
    <col min="7182" max="7182" width="7" style="16" bestFit="1" customWidth="1"/>
    <col min="7183" max="7183" width="7.140625" style="16" bestFit="1"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9.42578125" style="16" customWidth="1"/>
    <col min="7427" max="7427" width="10.7109375" style="16" bestFit="1" customWidth="1"/>
    <col min="7428" max="7428" width="6.7109375" style="16" bestFit="1" customWidth="1"/>
    <col min="7429" max="7429" width="8.5703125" style="16" bestFit="1" customWidth="1"/>
    <col min="7430" max="7430" width="9.28515625" style="16" bestFit="1" customWidth="1"/>
    <col min="7431" max="7431" width="10.42578125" style="16" bestFit="1" customWidth="1"/>
    <col min="7432" max="7432" width="10.28515625" style="16" bestFit="1" customWidth="1"/>
    <col min="7433" max="7433" width="7.140625" style="16" bestFit="1" customWidth="1"/>
    <col min="7434" max="7434" width="7.42578125" style="16" customWidth="1"/>
    <col min="7435" max="7436" width="7" style="16" bestFit="1" customWidth="1"/>
    <col min="7437" max="7437" width="6.85546875" style="16" bestFit="1" customWidth="1"/>
    <col min="7438" max="7438" width="7" style="16" bestFit="1" customWidth="1"/>
    <col min="7439" max="7439" width="7.140625" style="16" bestFit="1"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9.42578125" style="16" customWidth="1"/>
    <col min="7683" max="7683" width="10.7109375" style="16" bestFit="1" customWidth="1"/>
    <col min="7684" max="7684" width="6.7109375" style="16" bestFit="1" customWidth="1"/>
    <col min="7685" max="7685" width="8.5703125" style="16" bestFit="1" customWidth="1"/>
    <col min="7686" max="7686" width="9.28515625" style="16" bestFit="1" customWidth="1"/>
    <col min="7687" max="7687" width="10.42578125" style="16" bestFit="1" customWidth="1"/>
    <col min="7688" max="7688" width="10.28515625" style="16" bestFit="1" customWidth="1"/>
    <col min="7689" max="7689" width="7.140625" style="16" bestFit="1" customWidth="1"/>
    <col min="7690" max="7690" width="7.42578125" style="16" customWidth="1"/>
    <col min="7691" max="7692" width="7" style="16" bestFit="1" customWidth="1"/>
    <col min="7693" max="7693" width="6.85546875" style="16" bestFit="1" customWidth="1"/>
    <col min="7694" max="7694" width="7" style="16" bestFit="1" customWidth="1"/>
    <col min="7695" max="7695" width="7.140625" style="16" bestFit="1"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9.42578125" style="16" customWidth="1"/>
    <col min="7939" max="7939" width="10.7109375" style="16" bestFit="1" customWidth="1"/>
    <col min="7940" max="7940" width="6.7109375" style="16" bestFit="1" customWidth="1"/>
    <col min="7941" max="7941" width="8.5703125" style="16" bestFit="1" customWidth="1"/>
    <col min="7942" max="7942" width="9.28515625" style="16" bestFit="1" customWidth="1"/>
    <col min="7943" max="7943" width="10.42578125" style="16" bestFit="1" customWidth="1"/>
    <col min="7944" max="7944" width="10.28515625" style="16" bestFit="1" customWidth="1"/>
    <col min="7945" max="7945" width="7.140625" style="16" bestFit="1" customWidth="1"/>
    <col min="7946" max="7946" width="7.42578125" style="16" customWidth="1"/>
    <col min="7947" max="7948" width="7" style="16" bestFit="1" customWidth="1"/>
    <col min="7949" max="7949" width="6.85546875" style="16" bestFit="1" customWidth="1"/>
    <col min="7950" max="7950" width="7" style="16" bestFit="1" customWidth="1"/>
    <col min="7951" max="7951" width="7.140625" style="16" bestFit="1"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9.42578125" style="16" customWidth="1"/>
    <col min="8195" max="8195" width="10.7109375" style="16" bestFit="1" customWidth="1"/>
    <col min="8196" max="8196" width="6.7109375" style="16" bestFit="1" customWidth="1"/>
    <col min="8197" max="8197" width="8.5703125" style="16" bestFit="1" customWidth="1"/>
    <col min="8198" max="8198" width="9.28515625" style="16" bestFit="1" customWidth="1"/>
    <col min="8199" max="8199" width="10.42578125" style="16" bestFit="1" customWidth="1"/>
    <col min="8200" max="8200" width="10.28515625" style="16" bestFit="1" customWidth="1"/>
    <col min="8201" max="8201" width="7.140625" style="16" bestFit="1" customWidth="1"/>
    <col min="8202" max="8202" width="7.42578125" style="16" customWidth="1"/>
    <col min="8203" max="8204" width="7" style="16" bestFit="1" customWidth="1"/>
    <col min="8205" max="8205" width="6.85546875" style="16" bestFit="1" customWidth="1"/>
    <col min="8206" max="8206" width="7" style="16" bestFit="1" customWidth="1"/>
    <col min="8207" max="8207" width="7.140625" style="16" bestFit="1"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9.42578125" style="16" customWidth="1"/>
    <col min="8451" max="8451" width="10.7109375" style="16" bestFit="1" customWidth="1"/>
    <col min="8452" max="8452" width="6.7109375" style="16" bestFit="1" customWidth="1"/>
    <col min="8453" max="8453" width="8.5703125" style="16" bestFit="1" customWidth="1"/>
    <col min="8454" max="8454" width="9.28515625" style="16" bestFit="1" customWidth="1"/>
    <col min="8455" max="8455" width="10.42578125" style="16" bestFit="1" customWidth="1"/>
    <col min="8456" max="8456" width="10.28515625" style="16" bestFit="1" customWidth="1"/>
    <col min="8457" max="8457" width="7.140625" style="16" bestFit="1" customWidth="1"/>
    <col min="8458" max="8458" width="7.42578125" style="16" customWidth="1"/>
    <col min="8459" max="8460" width="7" style="16" bestFit="1" customWidth="1"/>
    <col min="8461" max="8461" width="6.85546875" style="16" bestFit="1" customWidth="1"/>
    <col min="8462" max="8462" width="7" style="16" bestFit="1" customWidth="1"/>
    <col min="8463" max="8463" width="7.140625" style="16" bestFit="1"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9.42578125" style="16" customWidth="1"/>
    <col min="8707" max="8707" width="10.7109375" style="16" bestFit="1" customWidth="1"/>
    <col min="8708" max="8708" width="6.7109375" style="16" bestFit="1" customWidth="1"/>
    <col min="8709" max="8709" width="8.5703125" style="16" bestFit="1" customWidth="1"/>
    <col min="8710" max="8710" width="9.28515625" style="16" bestFit="1" customWidth="1"/>
    <col min="8711" max="8711" width="10.42578125" style="16" bestFit="1" customWidth="1"/>
    <col min="8712" max="8712" width="10.28515625" style="16" bestFit="1" customWidth="1"/>
    <col min="8713" max="8713" width="7.140625" style="16" bestFit="1" customWidth="1"/>
    <col min="8714" max="8714" width="7.42578125" style="16" customWidth="1"/>
    <col min="8715" max="8716" width="7" style="16" bestFit="1" customWidth="1"/>
    <col min="8717" max="8717" width="6.85546875" style="16" bestFit="1" customWidth="1"/>
    <col min="8718" max="8718" width="7" style="16" bestFit="1" customWidth="1"/>
    <col min="8719" max="8719" width="7.140625" style="16" bestFit="1"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9.42578125" style="16" customWidth="1"/>
    <col min="8963" max="8963" width="10.7109375" style="16" bestFit="1" customWidth="1"/>
    <col min="8964" max="8964" width="6.7109375" style="16" bestFit="1" customWidth="1"/>
    <col min="8965" max="8965" width="8.5703125" style="16" bestFit="1" customWidth="1"/>
    <col min="8966" max="8966" width="9.28515625" style="16" bestFit="1" customWidth="1"/>
    <col min="8967" max="8967" width="10.42578125" style="16" bestFit="1" customWidth="1"/>
    <col min="8968" max="8968" width="10.28515625" style="16" bestFit="1" customWidth="1"/>
    <col min="8969" max="8969" width="7.140625" style="16" bestFit="1" customWidth="1"/>
    <col min="8970" max="8970" width="7.42578125" style="16" customWidth="1"/>
    <col min="8971" max="8972" width="7" style="16" bestFit="1" customWidth="1"/>
    <col min="8973" max="8973" width="6.85546875" style="16" bestFit="1" customWidth="1"/>
    <col min="8974" max="8974" width="7" style="16" bestFit="1" customWidth="1"/>
    <col min="8975" max="8975" width="7.140625" style="16" bestFit="1"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9.42578125" style="16" customWidth="1"/>
    <col min="9219" max="9219" width="10.7109375" style="16" bestFit="1" customWidth="1"/>
    <col min="9220" max="9220" width="6.7109375" style="16" bestFit="1" customWidth="1"/>
    <col min="9221" max="9221" width="8.5703125" style="16" bestFit="1" customWidth="1"/>
    <col min="9222" max="9222" width="9.28515625" style="16" bestFit="1" customWidth="1"/>
    <col min="9223" max="9223" width="10.42578125" style="16" bestFit="1" customWidth="1"/>
    <col min="9224" max="9224" width="10.28515625" style="16" bestFit="1" customWidth="1"/>
    <col min="9225" max="9225" width="7.140625" style="16" bestFit="1" customWidth="1"/>
    <col min="9226" max="9226" width="7.42578125" style="16" customWidth="1"/>
    <col min="9227" max="9228" width="7" style="16" bestFit="1" customWidth="1"/>
    <col min="9229" max="9229" width="6.85546875" style="16" bestFit="1" customWidth="1"/>
    <col min="9230" max="9230" width="7" style="16" bestFit="1" customWidth="1"/>
    <col min="9231" max="9231" width="7.140625" style="16" bestFit="1"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9.42578125" style="16" customWidth="1"/>
    <col min="9475" max="9475" width="10.7109375" style="16" bestFit="1" customWidth="1"/>
    <col min="9476" max="9476" width="6.7109375" style="16" bestFit="1" customWidth="1"/>
    <col min="9477" max="9477" width="8.5703125" style="16" bestFit="1" customWidth="1"/>
    <col min="9478" max="9478" width="9.28515625" style="16" bestFit="1" customWidth="1"/>
    <col min="9479" max="9479" width="10.42578125" style="16" bestFit="1" customWidth="1"/>
    <col min="9480" max="9480" width="10.28515625" style="16" bestFit="1" customWidth="1"/>
    <col min="9481" max="9481" width="7.140625" style="16" bestFit="1" customWidth="1"/>
    <col min="9482" max="9482" width="7.42578125" style="16" customWidth="1"/>
    <col min="9483" max="9484" width="7" style="16" bestFit="1" customWidth="1"/>
    <col min="9485" max="9485" width="6.85546875" style="16" bestFit="1" customWidth="1"/>
    <col min="9486" max="9486" width="7" style="16" bestFit="1" customWidth="1"/>
    <col min="9487" max="9487" width="7.140625" style="16" bestFit="1"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9.42578125" style="16" customWidth="1"/>
    <col min="9731" max="9731" width="10.7109375" style="16" bestFit="1" customWidth="1"/>
    <col min="9732" max="9732" width="6.7109375" style="16" bestFit="1" customWidth="1"/>
    <col min="9733" max="9733" width="8.5703125" style="16" bestFit="1" customWidth="1"/>
    <col min="9734" max="9734" width="9.28515625" style="16" bestFit="1" customWidth="1"/>
    <col min="9735" max="9735" width="10.42578125" style="16" bestFit="1" customWidth="1"/>
    <col min="9736" max="9736" width="10.28515625" style="16" bestFit="1" customWidth="1"/>
    <col min="9737" max="9737" width="7.140625" style="16" bestFit="1" customWidth="1"/>
    <col min="9738" max="9738" width="7.42578125" style="16" customWidth="1"/>
    <col min="9739" max="9740" width="7" style="16" bestFit="1" customWidth="1"/>
    <col min="9741" max="9741" width="6.85546875" style="16" bestFit="1" customWidth="1"/>
    <col min="9742" max="9742" width="7" style="16" bestFit="1" customWidth="1"/>
    <col min="9743" max="9743" width="7.140625" style="16" bestFit="1"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9.42578125" style="16" customWidth="1"/>
    <col min="9987" max="9987" width="10.7109375" style="16" bestFit="1" customWidth="1"/>
    <col min="9988" max="9988" width="6.7109375" style="16" bestFit="1" customWidth="1"/>
    <col min="9989" max="9989" width="8.5703125" style="16" bestFit="1" customWidth="1"/>
    <col min="9990" max="9990" width="9.28515625" style="16" bestFit="1" customWidth="1"/>
    <col min="9991" max="9991" width="10.42578125" style="16" bestFit="1" customWidth="1"/>
    <col min="9992" max="9992" width="10.28515625" style="16" bestFit="1" customWidth="1"/>
    <col min="9993" max="9993" width="7.140625" style="16" bestFit="1" customWidth="1"/>
    <col min="9994" max="9994" width="7.42578125" style="16" customWidth="1"/>
    <col min="9995" max="9996" width="7" style="16" bestFit="1" customWidth="1"/>
    <col min="9997" max="9997" width="6.85546875" style="16" bestFit="1" customWidth="1"/>
    <col min="9998" max="9998" width="7" style="16" bestFit="1" customWidth="1"/>
    <col min="9999" max="9999" width="7.140625" style="16" bestFit="1"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9.42578125" style="16" customWidth="1"/>
    <col min="10243" max="10243" width="10.7109375" style="16" bestFit="1" customWidth="1"/>
    <col min="10244" max="10244" width="6.7109375" style="16" bestFit="1" customWidth="1"/>
    <col min="10245" max="10245" width="8.5703125" style="16" bestFit="1" customWidth="1"/>
    <col min="10246" max="10246" width="9.28515625" style="16" bestFit="1" customWidth="1"/>
    <col min="10247" max="10247" width="10.42578125" style="16" bestFit="1" customWidth="1"/>
    <col min="10248" max="10248" width="10.28515625" style="16" bestFit="1" customWidth="1"/>
    <col min="10249" max="10249" width="7.140625" style="16" bestFit="1" customWidth="1"/>
    <col min="10250" max="10250" width="7.42578125" style="16" customWidth="1"/>
    <col min="10251" max="10252" width="7" style="16" bestFit="1" customWidth="1"/>
    <col min="10253" max="10253" width="6.85546875" style="16" bestFit="1" customWidth="1"/>
    <col min="10254" max="10254" width="7" style="16" bestFit="1" customWidth="1"/>
    <col min="10255" max="10255" width="7.140625" style="16" bestFit="1"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9.42578125" style="16" customWidth="1"/>
    <col min="10499" max="10499" width="10.7109375" style="16" bestFit="1" customWidth="1"/>
    <col min="10500" max="10500" width="6.7109375" style="16" bestFit="1" customWidth="1"/>
    <col min="10501" max="10501" width="8.5703125" style="16" bestFit="1" customWidth="1"/>
    <col min="10502" max="10502" width="9.28515625" style="16" bestFit="1" customWidth="1"/>
    <col min="10503" max="10503" width="10.42578125" style="16" bestFit="1" customWidth="1"/>
    <col min="10504" max="10504" width="10.28515625" style="16" bestFit="1" customWidth="1"/>
    <col min="10505" max="10505" width="7.140625" style="16" bestFit="1" customWidth="1"/>
    <col min="10506" max="10506" width="7.42578125" style="16" customWidth="1"/>
    <col min="10507" max="10508" width="7" style="16" bestFit="1" customWidth="1"/>
    <col min="10509" max="10509" width="6.85546875" style="16" bestFit="1" customWidth="1"/>
    <col min="10510" max="10510" width="7" style="16" bestFit="1" customWidth="1"/>
    <col min="10511" max="10511" width="7.140625" style="16" bestFit="1"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9.42578125" style="16" customWidth="1"/>
    <col min="10755" max="10755" width="10.7109375" style="16" bestFit="1" customWidth="1"/>
    <col min="10756" max="10756" width="6.7109375" style="16" bestFit="1" customWidth="1"/>
    <col min="10757" max="10757" width="8.5703125" style="16" bestFit="1" customWidth="1"/>
    <col min="10758" max="10758" width="9.28515625" style="16" bestFit="1" customWidth="1"/>
    <col min="10759" max="10759" width="10.42578125" style="16" bestFit="1" customWidth="1"/>
    <col min="10760" max="10760" width="10.28515625" style="16" bestFit="1" customWidth="1"/>
    <col min="10761" max="10761" width="7.140625" style="16" bestFit="1" customWidth="1"/>
    <col min="10762" max="10762" width="7.42578125" style="16" customWidth="1"/>
    <col min="10763" max="10764" width="7" style="16" bestFit="1" customWidth="1"/>
    <col min="10765" max="10765" width="6.85546875" style="16" bestFit="1" customWidth="1"/>
    <col min="10766" max="10766" width="7" style="16" bestFit="1" customWidth="1"/>
    <col min="10767" max="10767" width="7.140625" style="16" bestFit="1"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9.42578125" style="16" customWidth="1"/>
    <col min="11011" max="11011" width="10.7109375" style="16" bestFit="1" customWidth="1"/>
    <col min="11012" max="11012" width="6.7109375" style="16" bestFit="1" customWidth="1"/>
    <col min="11013" max="11013" width="8.5703125" style="16" bestFit="1" customWidth="1"/>
    <col min="11014" max="11014" width="9.28515625" style="16" bestFit="1" customWidth="1"/>
    <col min="11015" max="11015" width="10.42578125" style="16" bestFit="1" customWidth="1"/>
    <col min="11016" max="11016" width="10.28515625" style="16" bestFit="1" customWidth="1"/>
    <col min="11017" max="11017" width="7.140625" style="16" bestFit="1" customWidth="1"/>
    <col min="11018" max="11018" width="7.42578125" style="16" customWidth="1"/>
    <col min="11019" max="11020" width="7" style="16" bestFit="1" customWidth="1"/>
    <col min="11021" max="11021" width="6.85546875" style="16" bestFit="1" customWidth="1"/>
    <col min="11022" max="11022" width="7" style="16" bestFit="1" customWidth="1"/>
    <col min="11023" max="11023" width="7.140625" style="16" bestFit="1"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9.42578125" style="16" customWidth="1"/>
    <col min="11267" max="11267" width="10.7109375" style="16" bestFit="1" customWidth="1"/>
    <col min="11268" max="11268" width="6.7109375" style="16" bestFit="1" customWidth="1"/>
    <col min="11269" max="11269" width="8.5703125" style="16" bestFit="1" customWidth="1"/>
    <col min="11270" max="11270" width="9.28515625" style="16" bestFit="1" customWidth="1"/>
    <col min="11271" max="11271" width="10.42578125" style="16" bestFit="1" customWidth="1"/>
    <col min="11272" max="11272" width="10.28515625" style="16" bestFit="1" customWidth="1"/>
    <col min="11273" max="11273" width="7.140625" style="16" bestFit="1" customWidth="1"/>
    <col min="11274" max="11274" width="7.42578125" style="16" customWidth="1"/>
    <col min="11275" max="11276" width="7" style="16" bestFit="1" customWidth="1"/>
    <col min="11277" max="11277" width="6.85546875" style="16" bestFit="1" customWidth="1"/>
    <col min="11278" max="11278" width="7" style="16" bestFit="1" customWidth="1"/>
    <col min="11279" max="11279" width="7.140625" style="16" bestFit="1"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9.42578125" style="16" customWidth="1"/>
    <col min="11523" max="11523" width="10.7109375" style="16" bestFit="1" customWidth="1"/>
    <col min="11524" max="11524" width="6.7109375" style="16" bestFit="1" customWidth="1"/>
    <col min="11525" max="11525" width="8.5703125" style="16" bestFit="1" customWidth="1"/>
    <col min="11526" max="11526" width="9.28515625" style="16" bestFit="1" customWidth="1"/>
    <col min="11527" max="11527" width="10.42578125" style="16" bestFit="1" customWidth="1"/>
    <col min="11528" max="11528" width="10.28515625" style="16" bestFit="1" customWidth="1"/>
    <col min="11529" max="11529" width="7.140625" style="16" bestFit="1" customWidth="1"/>
    <col min="11530" max="11530" width="7.42578125" style="16" customWidth="1"/>
    <col min="11531" max="11532" width="7" style="16" bestFit="1" customWidth="1"/>
    <col min="11533" max="11533" width="6.85546875" style="16" bestFit="1" customWidth="1"/>
    <col min="11534" max="11534" width="7" style="16" bestFit="1" customWidth="1"/>
    <col min="11535" max="11535" width="7.140625" style="16" bestFit="1"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9.42578125" style="16" customWidth="1"/>
    <col min="11779" max="11779" width="10.7109375" style="16" bestFit="1" customWidth="1"/>
    <col min="11780" max="11780" width="6.7109375" style="16" bestFit="1" customWidth="1"/>
    <col min="11781" max="11781" width="8.5703125" style="16" bestFit="1" customWidth="1"/>
    <col min="11782" max="11782" width="9.28515625" style="16" bestFit="1" customWidth="1"/>
    <col min="11783" max="11783" width="10.42578125" style="16" bestFit="1" customWidth="1"/>
    <col min="11784" max="11784" width="10.28515625" style="16" bestFit="1" customWidth="1"/>
    <col min="11785" max="11785" width="7.140625" style="16" bestFit="1" customWidth="1"/>
    <col min="11786" max="11786" width="7.42578125" style="16" customWidth="1"/>
    <col min="11787" max="11788" width="7" style="16" bestFit="1" customWidth="1"/>
    <col min="11789" max="11789" width="6.85546875" style="16" bestFit="1" customWidth="1"/>
    <col min="11790" max="11790" width="7" style="16" bestFit="1" customWidth="1"/>
    <col min="11791" max="11791" width="7.140625" style="16" bestFit="1"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9.42578125" style="16" customWidth="1"/>
    <col min="12035" max="12035" width="10.7109375" style="16" bestFit="1" customWidth="1"/>
    <col min="12036" max="12036" width="6.7109375" style="16" bestFit="1" customWidth="1"/>
    <col min="12037" max="12037" width="8.5703125" style="16" bestFit="1" customWidth="1"/>
    <col min="12038" max="12038" width="9.28515625" style="16" bestFit="1" customWidth="1"/>
    <col min="12039" max="12039" width="10.42578125" style="16" bestFit="1" customWidth="1"/>
    <col min="12040" max="12040" width="10.28515625" style="16" bestFit="1" customWidth="1"/>
    <col min="12041" max="12041" width="7.140625" style="16" bestFit="1" customWidth="1"/>
    <col min="12042" max="12042" width="7.42578125" style="16" customWidth="1"/>
    <col min="12043" max="12044" width="7" style="16" bestFit="1" customWidth="1"/>
    <col min="12045" max="12045" width="6.85546875" style="16" bestFit="1" customWidth="1"/>
    <col min="12046" max="12046" width="7" style="16" bestFit="1" customWidth="1"/>
    <col min="12047" max="12047" width="7.140625" style="16" bestFit="1"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9.42578125" style="16" customWidth="1"/>
    <col min="12291" max="12291" width="10.7109375" style="16" bestFit="1" customWidth="1"/>
    <col min="12292" max="12292" width="6.7109375" style="16" bestFit="1" customWidth="1"/>
    <col min="12293" max="12293" width="8.5703125" style="16" bestFit="1" customWidth="1"/>
    <col min="12294" max="12294" width="9.28515625" style="16" bestFit="1" customWidth="1"/>
    <col min="12295" max="12295" width="10.42578125" style="16" bestFit="1" customWidth="1"/>
    <col min="12296" max="12296" width="10.28515625" style="16" bestFit="1" customWidth="1"/>
    <col min="12297" max="12297" width="7.140625" style="16" bestFit="1" customWidth="1"/>
    <col min="12298" max="12298" width="7.42578125" style="16" customWidth="1"/>
    <col min="12299" max="12300" width="7" style="16" bestFit="1" customWidth="1"/>
    <col min="12301" max="12301" width="6.85546875" style="16" bestFit="1" customWidth="1"/>
    <col min="12302" max="12302" width="7" style="16" bestFit="1" customWidth="1"/>
    <col min="12303" max="12303" width="7.140625" style="16" bestFit="1"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9.42578125" style="16" customWidth="1"/>
    <col min="12547" max="12547" width="10.7109375" style="16" bestFit="1" customWidth="1"/>
    <col min="12548" max="12548" width="6.7109375" style="16" bestFit="1" customWidth="1"/>
    <col min="12549" max="12549" width="8.5703125" style="16" bestFit="1" customWidth="1"/>
    <col min="12550" max="12550" width="9.28515625" style="16" bestFit="1" customWidth="1"/>
    <col min="12551" max="12551" width="10.42578125" style="16" bestFit="1" customWidth="1"/>
    <col min="12552" max="12552" width="10.28515625" style="16" bestFit="1" customWidth="1"/>
    <col min="12553" max="12553" width="7.140625" style="16" bestFit="1" customWidth="1"/>
    <col min="12554" max="12554" width="7.42578125" style="16" customWidth="1"/>
    <col min="12555" max="12556" width="7" style="16" bestFit="1" customWidth="1"/>
    <col min="12557" max="12557" width="6.85546875" style="16" bestFit="1" customWidth="1"/>
    <col min="12558" max="12558" width="7" style="16" bestFit="1" customWidth="1"/>
    <col min="12559" max="12559" width="7.140625" style="16" bestFit="1"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9.42578125" style="16" customWidth="1"/>
    <col min="12803" max="12803" width="10.7109375" style="16" bestFit="1" customWidth="1"/>
    <col min="12804" max="12804" width="6.7109375" style="16" bestFit="1" customWidth="1"/>
    <col min="12805" max="12805" width="8.5703125" style="16" bestFit="1" customWidth="1"/>
    <col min="12806" max="12806" width="9.28515625" style="16" bestFit="1" customWidth="1"/>
    <col min="12807" max="12807" width="10.42578125" style="16" bestFit="1" customWidth="1"/>
    <col min="12808" max="12808" width="10.28515625" style="16" bestFit="1" customWidth="1"/>
    <col min="12809" max="12809" width="7.140625" style="16" bestFit="1" customWidth="1"/>
    <col min="12810" max="12810" width="7.42578125" style="16" customWidth="1"/>
    <col min="12811" max="12812" width="7" style="16" bestFit="1" customWidth="1"/>
    <col min="12813" max="12813" width="6.85546875" style="16" bestFit="1" customWidth="1"/>
    <col min="12814" max="12814" width="7" style="16" bestFit="1" customWidth="1"/>
    <col min="12815" max="12815" width="7.140625" style="16" bestFit="1"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9.42578125" style="16" customWidth="1"/>
    <col min="13059" max="13059" width="10.7109375" style="16" bestFit="1" customWidth="1"/>
    <col min="13060" max="13060" width="6.7109375" style="16" bestFit="1" customWidth="1"/>
    <col min="13061" max="13061" width="8.5703125" style="16" bestFit="1" customWidth="1"/>
    <col min="13062" max="13062" width="9.28515625" style="16" bestFit="1" customWidth="1"/>
    <col min="13063" max="13063" width="10.42578125" style="16" bestFit="1" customWidth="1"/>
    <col min="13064" max="13064" width="10.28515625" style="16" bestFit="1" customWidth="1"/>
    <col min="13065" max="13065" width="7.140625" style="16" bestFit="1" customWidth="1"/>
    <col min="13066" max="13066" width="7.42578125" style="16" customWidth="1"/>
    <col min="13067" max="13068" width="7" style="16" bestFit="1" customWidth="1"/>
    <col min="13069" max="13069" width="6.85546875" style="16" bestFit="1" customWidth="1"/>
    <col min="13070" max="13070" width="7" style="16" bestFit="1" customWidth="1"/>
    <col min="13071" max="13071" width="7.140625" style="16" bestFit="1"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9.42578125" style="16" customWidth="1"/>
    <col min="13315" max="13315" width="10.7109375" style="16" bestFit="1" customWidth="1"/>
    <col min="13316" max="13316" width="6.7109375" style="16" bestFit="1" customWidth="1"/>
    <col min="13317" max="13317" width="8.5703125" style="16" bestFit="1" customWidth="1"/>
    <col min="13318" max="13318" width="9.28515625" style="16" bestFit="1" customWidth="1"/>
    <col min="13319" max="13319" width="10.42578125" style="16" bestFit="1" customWidth="1"/>
    <col min="13320" max="13320" width="10.28515625" style="16" bestFit="1" customWidth="1"/>
    <col min="13321" max="13321" width="7.140625" style="16" bestFit="1" customWidth="1"/>
    <col min="13322" max="13322" width="7.42578125" style="16" customWidth="1"/>
    <col min="13323" max="13324" width="7" style="16" bestFit="1" customWidth="1"/>
    <col min="13325" max="13325" width="6.85546875" style="16" bestFit="1" customWidth="1"/>
    <col min="13326" max="13326" width="7" style="16" bestFit="1" customWidth="1"/>
    <col min="13327" max="13327" width="7.140625" style="16" bestFit="1"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9.42578125" style="16" customWidth="1"/>
    <col min="13571" max="13571" width="10.7109375" style="16" bestFit="1" customWidth="1"/>
    <col min="13572" max="13572" width="6.7109375" style="16" bestFit="1" customWidth="1"/>
    <col min="13573" max="13573" width="8.5703125" style="16" bestFit="1" customWidth="1"/>
    <col min="13574" max="13574" width="9.28515625" style="16" bestFit="1" customWidth="1"/>
    <col min="13575" max="13575" width="10.42578125" style="16" bestFit="1" customWidth="1"/>
    <col min="13576" max="13576" width="10.28515625" style="16" bestFit="1" customWidth="1"/>
    <col min="13577" max="13577" width="7.140625" style="16" bestFit="1" customWidth="1"/>
    <col min="13578" max="13578" width="7.42578125" style="16" customWidth="1"/>
    <col min="13579" max="13580" width="7" style="16" bestFit="1" customWidth="1"/>
    <col min="13581" max="13581" width="6.85546875" style="16" bestFit="1" customWidth="1"/>
    <col min="13582" max="13582" width="7" style="16" bestFit="1" customWidth="1"/>
    <col min="13583" max="13583" width="7.140625" style="16" bestFit="1"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9.42578125" style="16" customWidth="1"/>
    <col min="13827" max="13827" width="10.7109375" style="16" bestFit="1" customWidth="1"/>
    <col min="13828" max="13828" width="6.7109375" style="16" bestFit="1" customWidth="1"/>
    <col min="13829" max="13829" width="8.5703125" style="16" bestFit="1" customWidth="1"/>
    <col min="13830" max="13830" width="9.28515625" style="16" bestFit="1" customWidth="1"/>
    <col min="13831" max="13831" width="10.42578125" style="16" bestFit="1" customWidth="1"/>
    <col min="13832" max="13832" width="10.28515625" style="16" bestFit="1" customWidth="1"/>
    <col min="13833" max="13833" width="7.140625" style="16" bestFit="1" customWidth="1"/>
    <col min="13834" max="13834" width="7.42578125" style="16" customWidth="1"/>
    <col min="13835" max="13836" width="7" style="16" bestFit="1" customWidth="1"/>
    <col min="13837" max="13837" width="6.85546875" style="16" bestFit="1" customWidth="1"/>
    <col min="13838" max="13838" width="7" style="16" bestFit="1" customWidth="1"/>
    <col min="13839" max="13839" width="7.140625" style="16" bestFit="1"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9.42578125" style="16" customWidth="1"/>
    <col min="14083" max="14083" width="10.7109375" style="16" bestFit="1" customWidth="1"/>
    <col min="14084" max="14084" width="6.7109375" style="16" bestFit="1" customWidth="1"/>
    <col min="14085" max="14085" width="8.5703125" style="16" bestFit="1" customWidth="1"/>
    <col min="14086" max="14086" width="9.28515625" style="16" bestFit="1" customWidth="1"/>
    <col min="14087" max="14087" width="10.42578125" style="16" bestFit="1" customWidth="1"/>
    <col min="14088" max="14088" width="10.28515625" style="16" bestFit="1" customWidth="1"/>
    <col min="14089" max="14089" width="7.140625" style="16" bestFit="1" customWidth="1"/>
    <col min="14090" max="14090" width="7.42578125" style="16" customWidth="1"/>
    <col min="14091" max="14092" width="7" style="16" bestFit="1" customWidth="1"/>
    <col min="14093" max="14093" width="6.85546875" style="16" bestFit="1" customWidth="1"/>
    <col min="14094" max="14094" width="7" style="16" bestFit="1" customWidth="1"/>
    <col min="14095" max="14095" width="7.140625" style="16" bestFit="1"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9.42578125" style="16" customWidth="1"/>
    <col min="14339" max="14339" width="10.7109375" style="16" bestFit="1" customWidth="1"/>
    <col min="14340" max="14340" width="6.7109375" style="16" bestFit="1" customWidth="1"/>
    <col min="14341" max="14341" width="8.5703125" style="16" bestFit="1" customWidth="1"/>
    <col min="14342" max="14342" width="9.28515625" style="16" bestFit="1" customWidth="1"/>
    <col min="14343" max="14343" width="10.42578125" style="16" bestFit="1" customWidth="1"/>
    <col min="14344" max="14344" width="10.28515625" style="16" bestFit="1" customWidth="1"/>
    <col min="14345" max="14345" width="7.140625" style="16" bestFit="1" customWidth="1"/>
    <col min="14346" max="14346" width="7.42578125" style="16" customWidth="1"/>
    <col min="14347" max="14348" width="7" style="16" bestFit="1" customWidth="1"/>
    <col min="14349" max="14349" width="6.85546875" style="16" bestFit="1" customWidth="1"/>
    <col min="14350" max="14350" width="7" style="16" bestFit="1" customWidth="1"/>
    <col min="14351" max="14351" width="7.140625" style="16" bestFit="1"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9.42578125" style="16" customWidth="1"/>
    <col min="14595" max="14595" width="10.7109375" style="16" bestFit="1" customWidth="1"/>
    <col min="14596" max="14596" width="6.7109375" style="16" bestFit="1" customWidth="1"/>
    <col min="14597" max="14597" width="8.5703125" style="16" bestFit="1" customWidth="1"/>
    <col min="14598" max="14598" width="9.28515625" style="16" bestFit="1" customWidth="1"/>
    <col min="14599" max="14599" width="10.42578125" style="16" bestFit="1" customWidth="1"/>
    <col min="14600" max="14600" width="10.28515625" style="16" bestFit="1" customWidth="1"/>
    <col min="14601" max="14601" width="7.140625" style="16" bestFit="1" customWidth="1"/>
    <col min="14602" max="14602" width="7.42578125" style="16" customWidth="1"/>
    <col min="14603" max="14604" width="7" style="16" bestFit="1" customWidth="1"/>
    <col min="14605" max="14605" width="6.85546875" style="16" bestFit="1" customWidth="1"/>
    <col min="14606" max="14606" width="7" style="16" bestFit="1" customWidth="1"/>
    <col min="14607" max="14607" width="7.140625" style="16" bestFit="1"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9.42578125" style="16" customWidth="1"/>
    <col min="14851" max="14851" width="10.7109375" style="16" bestFit="1" customWidth="1"/>
    <col min="14852" max="14852" width="6.7109375" style="16" bestFit="1" customWidth="1"/>
    <col min="14853" max="14853" width="8.5703125" style="16" bestFit="1" customWidth="1"/>
    <col min="14854" max="14854" width="9.28515625" style="16" bestFit="1" customWidth="1"/>
    <col min="14855" max="14855" width="10.42578125" style="16" bestFit="1" customWidth="1"/>
    <col min="14856" max="14856" width="10.28515625" style="16" bestFit="1" customWidth="1"/>
    <col min="14857" max="14857" width="7.140625" style="16" bestFit="1" customWidth="1"/>
    <col min="14858" max="14858" width="7.42578125" style="16" customWidth="1"/>
    <col min="14859" max="14860" width="7" style="16" bestFit="1" customWidth="1"/>
    <col min="14861" max="14861" width="6.85546875" style="16" bestFit="1" customWidth="1"/>
    <col min="14862" max="14862" width="7" style="16" bestFit="1" customWidth="1"/>
    <col min="14863" max="14863" width="7.140625" style="16" bestFit="1"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9.42578125" style="16" customWidth="1"/>
    <col min="15107" max="15107" width="10.7109375" style="16" bestFit="1" customWidth="1"/>
    <col min="15108" max="15108" width="6.7109375" style="16" bestFit="1" customWidth="1"/>
    <col min="15109" max="15109" width="8.5703125" style="16" bestFit="1" customWidth="1"/>
    <col min="15110" max="15110" width="9.28515625" style="16" bestFit="1" customWidth="1"/>
    <col min="15111" max="15111" width="10.42578125" style="16" bestFit="1" customWidth="1"/>
    <col min="15112" max="15112" width="10.28515625" style="16" bestFit="1" customWidth="1"/>
    <col min="15113" max="15113" width="7.140625" style="16" bestFit="1" customWidth="1"/>
    <col min="15114" max="15114" width="7.42578125" style="16" customWidth="1"/>
    <col min="15115" max="15116" width="7" style="16" bestFit="1" customWidth="1"/>
    <col min="15117" max="15117" width="6.85546875" style="16" bestFit="1" customWidth="1"/>
    <col min="15118" max="15118" width="7" style="16" bestFit="1" customWidth="1"/>
    <col min="15119" max="15119" width="7.140625" style="16" bestFit="1"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9.42578125" style="16" customWidth="1"/>
    <col min="15363" max="15363" width="10.7109375" style="16" bestFit="1" customWidth="1"/>
    <col min="15364" max="15364" width="6.7109375" style="16" bestFit="1" customWidth="1"/>
    <col min="15365" max="15365" width="8.5703125" style="16" bestFit="1" customWidth="1"/>
    <col min="15366" max="15366" width="9.28515625" style="16" bestFit="1" customWidth="1"/>
    <col min="15367" max="15367" width="10.42578125" style="16" bestFit="1" customWidth="1"/>
    <col min="15368" max="15368" width="10.28515625" style="16" bestFit="1" customWidth="1"/>
    <col min="15369" max="15369" width="7.140625" style="16" bestFit="1" customWidth="1"/>
    <col min="15370" max="15370" width="7.42578125" style="16" customWidth="1"/>
    <col min="15371" max="15372" width="7" style="16" bestFit="1" customWidth="1"/>
    <col min="15373" max="15373" width="6.85546875" style="16" bestFit="1" customWidth="1"/>
    <col min="15374" max="15374" width="7" style="16" bestFit="1" customWidth="1"/>
    <col min="15375" max="15375" width="7.140625" style="16" bestFit="1"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9.42578125" style="16" customWidth="1"/>
    <col min="15619" max="15619" width="10.7109375" style="16" bestFit="1" customWidth="1"/>
    <col min="15620" max="15620" width="6.7109375" style="16" bestFit="1" customWidth="1"/>
    <col min="15621" max="15621" width="8.5703125" style="16" bestFit="1" customWidth="1"/>
    <col min="15622" max="15622" width="9.28515625" style="16" bestFit="1" customWidth="1"/>
    <col min="15623" max="15623" width="10.42578125" style="16" bestFit="1" customWidth="1"/>
    <col min="15624" max="15624" width="10.28515625" style="16" bestFit="1" customWidth="1"/>
    <col min="15625" max="15625" width="7.140625" style="16" bestFit="1" customWidth="1"/>
    <col min="15626" max="15626" width="7.42578125" style="16" customWidth="1"/>
    <col min="15627" max="15628" width="7" style="16" bestFit="1" customWidth="1"/>
    <col min="15629" max="15629" width="6.85546875" style="16" bestFit="1" customWidth="1"/>
    <col min="15630" max="15630" width="7" style="16" bestFit="1" customWidth="1"/>
    <col min="15631" max="15631" width="7.140625" style="16" bestFit="1"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9.42578125" style="16" customWidth="1"/>
    <col min="15875" max="15875" width="10.7109375" style="16" bestFit="1" customWidth="1"/>
    <col min="15876" max="15876" width="6.7109375" style="16" bestFit="1" customWidth="1"/>
    <col min="15877" max="15877" width="8.5703125" style="16" bestFit="1" customWidth="1"/>
    <col min="15878" max="15878" width="9.28515625" style="16" bestFit="1" customWidth="1"/>
    <col min="15879" max="15879" width="10.42578125" style="16" bestFit="1" customWidth="1"/>
    <col min="15880" max="15880" width="10.28515625" style="16" bestFit="1" customWidth="1"/>
    <col min="15881" max="15881" width="7.140625" style="16" bestFit="1" customWidth="1"/>
    <col min="15882" max="15882" width="7.42578125" style="16" customWidth="1"/>
    <col min="15883" max="15884" width="7" style="16" bestFit="1" customWidth="1"/>
    <col min="15885" max="15885" width="6.85546875" style="16" bestFit="1" customWidth="1"/>
    <col min="15886" max="15886" width="7" style="16" bestFit="1" customWidth="1"/>
    <col min="15887" max="15887" width="7.140625" style="16" bestFit="1"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9.42578125" style="16" customWidth="1"/>
    <col min="16131" max="16131" width="10.7109375" style="16" bestFit="1" customWidth="1"/>
    <col min="16132" max="16132" width="6.7109375" style="16" bestFit="1" customWidth="1"/>
    <col min="16133" max="16133" width="8.5703125" style="16" bestFit="1" customWidth="1"/>
    <col min="16134" max="16134" width="9.28515625" style="16" bestFit="1" customWidth="1"/>
    <col min="16135" max="16135" width="10.42578125" style="16" bestFit="1" customWidth="1"/>
    <col min="16136" max="16136" width="10.28515625" style="16" bestFit="1" customWidth="1"/>
    <col min="16137" max="16137" width="7.140625" style="16" bestFit="1" customWidth="1"/>
    <col min="16138" max="16138" width="7.42578125" style="16" customWidth="1"/>
    <col min="16139" max="16140" width="7" style="16" bestFit="1" customWidth="1"/>
    <col min="16141" max="16141" width="6.85546875" style="16" bestFit="1" customWidth="1"/>
    <col min="16142" max="16142" width="7" style="16" bestFit="1" customWidth="1"/>
    <col min="16143" max="16143" width="7.140625" style="16" bestFit="1"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67" t="s">
        <v>449</v>
      </c>
      <c r="B1" s="868"/>
      <c r="C1" s="868"/>
      <c r="D1" s="869"/>
      <c r="E1" s="868"/>
      <c r="F1" s="868"/>
      <c r="G1" s="867" t="s">
        <v>102</v>
      </c>
      <c r="H1" s="869"/>
      <c r="I1" s="869" t="s">
        <v>835</v>
      </c>
      <c r="J1" s="868"/>
      <c r="K1" s="868"/>
      <c r="L1" s="870"/>
      <c r="M1" s="870"/>
      <c r="N1" s="870"/>
      <c r="O1" s="870"/>
    </row>
    <row r="2" spans="1:15" s="1" customFormat="1" x14ac:dyDescent="0.2">
      <c r="A2" s="867" t="s">
        <v>103</v>
      </c>
      <c r="B2" s="868"/>
      <c r="C2" s="868"/>
      <c r="D2" s="869"/>
      <c r="E2" s="868"/>
      <c r="F2" s="868"/>
      <c r="G2" s="867" t="s">
        <v>104</v>
      </c>
      <c r="H2" s="869"/>
      <c r="I2" s="869" t="s">
        <v>105</v>
      </c>
      <c r="J2" s="868"/>
      <c r="K2" s="868"/>
      <c r="L2" s="870"/>
      <c r="M2" s="870"/>
      <c r="N2" s="870"/>
      <c r="O2" s="870"/>
    </row>
    <row r="3" spans="1:15" s="1" customFormat="1" x14ac:dyDescent="0.2">
      <c r="A3" s="867" t="s">
        <v>106</v>
      </c>
      <c r="B3" s="868"/>
      <c r="C3" s="868"/>
      <c r="D3" s="881">
        <v>24310</v>
      </c>
      <c r="E3" s="882"/>
      <c r="F3" s="882"/>
      <c r="G3" s="867" t="s">
        <v>107</v>
      </c>
      <c r="H3" s="869"/>
      <c r="I3" s="869" t="s">
        <v>108</v>
      </c>
      <c r="J3" s="868"/>
      <c r="K3" s="868"/>
      <c r="L3" s="870"/>
      <c r="M3" s="870"/>
      <c r="N3" s="870"/>
      <c r="O3" s="870"/>
    </row>
    <row r="4" spans="1:15" s="1" customFormat="1" x14ac:dyDescent="0.2">
      <c r="A4" s="867" t="s">
        <v>109</v>
      </c>
      <c r="B4" s="868"/>
      <c r="C4" s="868"/>
      <c r="D4" s="883"/>
      <c r="E4" s="868"/>
      <c r="F4" s="868"/>
      <c r="G4" s="867" t="s">
        <v>110</v>
      </c>
      <c r="H4" s="869"/>
      <c r="I4" s="869" t="s">
        <v>111</v>
      </c>
      <c r="J4" s="868"/>
      <c r="K4" s="868"/>
      <c r="L4" s="870"/>
      <c r="M4" s="870"/>
      <c r="N4" s="870"/>
      <c r="O4" s="870"/>
    </row>
    <row r="5" spans="1:15" s="1" customFormat="1" x14ac:dyDescent="0.2">
      <c r="A5" s="867" t="s">
        <v>443</v>
      </c>
      <c r="B5" s="868"/>
      <c r="C5" s="868"/>
      <c r="D5" s="869" t="s">
        <v>1019</v>
      </c>
      <c r="E5" s="868"/>
      <c r="F5" s="868"/>
      <c r="G5" s="867"/>
      <c r="H5" s="868"/>
      <c r="I5" s="869" t="s">
        <v>113</v>
      </c>
      <c r="J5" s="868"/>
      <c r="K5" s="868"/>
      <c r="L5" s="870"/>
      <c r="M5" s="870"/>
      <c r="N5" s="870"/>
      <c r="O5" s="870"/>
    </row>
    <row r="6" spans="1:15" s="1" customFormat="1" x14ac:dyDescent="0.2">
      <c r="A6" s="871" t="s">
        <v>114</v>
      </c>
      <c r="B6" s="872"/>
      <c r="C6" s="872"/>
      <c r="D6" s="868" t="s">
        <v>764</v>
      </c>
      <c r="E6" s="868"/>
      <c r="F6" s="868"/>
      <c r="G6" s="871" t="s">
        <v>115</v>
      </c>
      <c r="H6" s="871"/>
      <c r="I6" s="2" t="s">
        <v>116</v>
      </c>
      <c r="J6" s="873" t="s">
        <v>1020</v>
      </c>
      <c r="K6" s="873"/>
      <c r="L6" s="873"/>
      <c r="M6" s="873"/>
      <c r="N6" s="873"/>
      <c r="O6" s="874"/>
    </row>
    <row r="7" spans="1:15" s="1" customFormat="1" ht="13.5" thickBot="1" x14ac:dyDescent="0.25">
      <c r="A7" s="3"/>
      <c r="B7" s="4"/>
      <c r="C7" s="5"/>
      <c r="D7" s="6"/>
      <c r="E7" s="6"/>
      <c r="F7" s="6"/>
      <c r="G7" s="6"/>
      <c r="H7" s="6"/>
      <c r="I7" s="6"/>
      <c r="J7" s="7"/>
      <c r="K7" s="8"/>
      <c r="L7" s="875" t="s">
        <v>223</v>
      </c>
      <c r="M7" s="875"/>
      <c r="N7" s="875"/>
      <c r="O7" s="875"/>
    </row>
    <row r="8" spans="1:15" s="11" customFormat="1" x14ac:dyDescent="0.2">
      <c r="A8" s="876" t="str">
        <f>I1</f>
        <v>Mr. N. Vinodkumar  Vasu</v>
      </c>
      <c r="B8" s="877"/>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0</v>
      </c>
      <c r="D9" s="14">
        <v>0</v>
      </c>
      <c r="E9" s="14">
        <v>0</v>
      </c>
      <c r="F9" s="14">
        <v>0</v>
      </c>
      <c r="G9" s="14">
        <v>0</v>
      </c>
      <c r="H9" s="14">
        <v>0</v>
      </c>
      <c r="I9" s="14">
        <v>0</v>
      </c>
      <c r="J9" s="14">
        <v>0</v>
      </c>
      <c r="K9" s="14">
        <v>0</v>
      </c>
      <c r="L9" s="14">
        <v>0</v>
      </c>
      <c r="M9" s="14">
        <v>0</v>
      </c>
      <c r="N9" s="14">
        <v>0</v>
      </c>
      <c r="O9" s="15">
        <f>SUM(C9:N9)</f>
        <v>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0</v>
      </c>
      <c r="D11" s="17">
        <v>0</v>
      </c>
      <c r="E11" s="17">
        <v>0</v>
      </c>
      <c r="F11" s="17">
        <v>0</v>
      </c>
      <c r="G11" s="17">
        <v>0</v>
      </c>
      <c r="H11" s="17">
        <v>0</v>
      </c>
      <c r="I11" s="17">
        <v>0</v>
      </c>
      <c r="J11" s="17">
        <v>0</v>
      </c>
      <c r="K11" s="17">
        <v>0</v>
      </c>
      <c r="L11" s="17">
        <v>0</v>
      </c>
      <c r="M11" s="17">
        <v>0</v>
      </c>
      <c r="N11" s="17">
        <v>0</v>
      </c>
      <c r="O11" s="18">
        <f>SUM(C11:N11)</f>
        <v>0</v>
      </c>
    </row>
    <row r="12" spans="1:15"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x14ac:dyDescent="0.2">
      <c r="A14" s="12"/>
      <c r="B14" s="13" t="s">
        <v>123</v>
      </c>
      <c r="C14" s="17">
        <v>0</v>
      </c>
      <c r="D14" s="17">
        <v>0</v>
      </c>
      <c r="E14" s="17">
        <v>0</v>
      </c>
      <c r="F14" s="17">
        <v>0</v>
      </c>
      <c r="G14" s="17">
        <v>0</v>
      </c>
      <c r="H14" s="17">
        <v>0</v>
      </c>
      <c r="I14" s="17">
        <v>0</v>
      </c>
      <c r="J14" s="17">
        <v>0</v>
      </c>
      <c r="K14" s="17">
        <v>0</v>
      </c>
      <c r="L14" s="17">
        <v>0</v>
      </c>
      <c r="M14" s="17">
        <v>0</v>
      </c>
      <c r="N14" s="17">
        <v>0</v>
      </c>
      <c r="O14" s="18">
        <f t="shared" si="0"/>
        <v>0</v>
      </c>
    </row>
    <row r="15" spans="1:15"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hidden="1"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0</v>
      </c>
      <c r="D19" s="17">
        <v>0</v>
      </c>
      <c r="E19" s="17">
        <v>0</v>
      </c>
      <c r="F19" s="17">
        <v>0</v>
      </c>
      <c r="G19" s="17">
        <v>0</v>
      </c>
      <c r="H19" s="17">
        <v>0</v>
      </c>
      <c r="I19" s="17">
        <v>0</v>
      </c>
      <c r="J19" s="17">
        <v>0</v>
      </c>
      <c r="K19" s="17">
        <v>0</v>
      </c>
      <c r="L19" s="17">
        <v>0</v>
      </c>
      <c r="M19" s="17">
        <v>0</v>
      </c>
      <c r="N19" s="17">
        <v>0</v>
      </c>
      <c r="O19" s="18">
        <f t="shared" si="0"/>
        <v>0</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78"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79"/>
      <c r="B22" s="19" t="s">
        <v>132</v>
      </c>
      <c r="C22" s="17">
        <v>0</v>
      </c>
      <c r="D22" s="17">
        <v>0</v>
      </c>
      <c r="E22" s="17">
        <v>0</v>
      </c>
      <c r="F22" s="17">
        <v>0</v>
      </c>
      <c r="G22" s="17">
        <v>0</v>
      </c>
      <c r="H22" s="17">
        <v>0</v>
      </c>
      <c r="I22" s="17">
        <v>0</v>
      </c>
      <c r="J22" s="17">
        <v>0</v>
      </c>
      <c r="K22" s="17">
        <v>0</v>
      </c>
      <c r="L22" s="17">
        <v>0</v>
      </c>
      <c r="M22" s="17">
        <v>0</v>
      </c>
      <c r="N22" s="17">
        <v>0</v>
      </c>
      <c r="O22" s="18">
        <f t="shared" si="0"/>
        <v>0</v>
      </c>
    </row>
    <row r="23" spans="1:15" ht="15" hidden="1" customHeight="1" x14ac:dyDescent="0.2">
      <c r="A23" s="879"/>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79"/>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79"/>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79"/>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79"/>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79"/>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79"/>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79"/>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79"/>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79"/>
      <c r="B32" s="21" t="s">
        <v>142</v>
      </c>
      <c r="C32" s="17">
        <v>0</v>
      </c>
      <c r="D32" s="17">
        <v>0</v>
      </c>
      <c r="E32" s="17">
        <v>0</v>
      </c>
      <c r="F32" s="17">
        <v>0</v>
      </c>
      <c r="G32" s="17">
        <v>0</v>
      </c>
      <c r="H32" s="17">
        <v>0</v>
      </c>
      <c r="I32" s="17">
        <v>0</v>
      </c>
      <c r="J32" s="17">
        <v>0</v>
      </c>
      <c r="K32" s="17">
        <v>0</v>
      </c>
      <c r="L32" s="17">
        <v>0</v>
      </c>
      <c r="M32" s="17">
        <v>0</v>
      </c>
      <c r="N32" s="17">
        <v>0</v>
      </c>
      <c r="O32" s="18">
        <f t="shared" si="0"/>
        <v>0</v>
      </c>
    </row>
    <row r="33" spans="1:17" ht="15" hidden="1" customHeight="1" x14ac:dyDescent="0.2">
      <c r="A33" s="880"/>
      <c r="B33" s="19" t="s">
        <v>226</v>
      </c>
      <c r="C33" s="17">
        <v>0</v>
      </c>
      <c r="D33" s="17">
        <v>0</v>
      </c>
      <c r="E33" s="17">
        <v>0</v>
      </c>
      <c r="F33" s="17">
        <v>0</v>
      </c>
      <c r="G33" s="17">
        <v>0</v>
      </c>
      <c r="H33" s="17">
        <v>0</v>
      </c>
      <c r="I33" s="17">
        <v>0</v>
      </c>
      <c r="J33" s="17">
        <v>0</v>
      </c>
      <c r="K33" s="17">
        <v>0</v>
      </c>
      <c r="L33" s="17">
        <v>0</v>
      </c>
      <c r="M33" s="17">
        <v>0</v>
      </c>
      <c r="N33" s="17">
        <v>0</v>
      </c>
      <c r="O33" s="18">
        <f t="shared" si="0"/>
        <v>0</v>
      </c>
    </row>
    <row r="34" spans="1:17" ht="15" customHeight="1" x14ac:dyDescent="0.2">
      <c r="A34" s="865" t="s">
        <v>144</v>
      </c>
      <c r="B34" s="866"/>
      <c r="C34" s="17">
        <v>0</v>
      </c>
      <c r="D34" s="17">
        <v>0</v>
      </c>
      <c r="E34" s="17">
        <v>0</v>
      </c>
      <c r="F34" s="17">
        <v>0</v>
      </c>
      <c r="G34" s="17">
        <v>0</v>
      </c>
      <c r="H34" s="17">
        <v>0</v>
      </c>
      <c r="I34" s="17">
        <v>0</v>
      </c>
      <c r="J34" s="17">
        <v>0</v>
      </c>
      <c r="K34" s="17">
        <v>0</v>
      </c>
      <c r="L34" s="17">
        <v>0</v>
      </c>
      <c r="M34" s="17">
        <v>0</v>
      </c>
      <c r="N34" s="17">
        <v>0</v>
      </c>
      <c r="O34" s="18">
        <f t="shared" si="0"/>
        <v>0</v>
      </c>
    </row>
    <row r="35" spans="1:17" ht="15" customHeight="1" x14ac:dyDescent="0.2">
      <c r="A35" s="865" t="s">
        <v>145</v>
      </c>
      <c r="B35" s="866"/>
      <c r="C35" s="17">
        <v>0</v>
      </c>
      <c r="D35" s="17">
        <v>0</v>
      </c>
      <c r="E35" s="17">
        <v>0</v>
      </c>
      <c r="F35" s="17">
        <v>0</v>
      </c>
      <c r="G35" s="17">
        <v>0</v>
      </c>
      <c r="H35" s="17">
        <v>0</v>
      </c>
      <c r="I35" s="17">
        <v>0</v>
      </c>
      <c r="J35" s="17">
        <v>0</v>
      </c>
      <c r="K35" s="17">
        <v>0</v>
      </c>
      <c r="L35" s="17">
        <v>0</v>
      </c>
      <c r="M35" s="17">
        <v>0</v>
      </c>
      <c r="N35" s="17">
        <v>0</v>
      </c>
      <c r="O35" s="18">
        <f t="shared" si="0"/>
        <v>0</v>
      </c>
    </row>
    <row r="36" spans="1:17" ht="15" customHeight="1" x14ac:dyDescent="0.2">
      <c r="A36" s="865" t="s">
        <v>146</v>
      </c>
      <c r="B36" s="866"/>
      <c r="C36" s="17">
        <v>0</v>
      </c>
      <c r="D36" s="17">
        <v>0</v>
      </c>
      <c r="E36" s="17">
        <v>0</v>
      </c>
      <c r="F36" s="17">
        <v>0</v>
      </c>
      <c r="G36" s="17">
        <v>0</v>
      </c>
      <c r="H36" s="17">
        <v>0</v>
      </c>
      <c r="I36" s="17">
        <v>0</v>
      </c>
      <c r="J36" s="17">
        <v>0</v>
      </c>
      <c r="K36" s="17">
        <v>0</v>
      </c>
      <c r="L36" s="17">
        <v>0</v>
      </c>
      <c r="M36" s="17">
        <v>0</v>
      </c>
      <c r="N36" s="17">
        <v>0</v>
      </c>
      <c r="O36" s="18">
        <f t="shared" si="0"/>
        <v>0</v>
      </c>
    </row>
    <row r="37" spans="1:17" ht="15" customHeight="1" x14ac:dyDescent="0.2">
      <c r="A37" s="22"/>
      <c r="B37" s="23" t="s">
        <v>147</v>
      </c>
      <c r="C37" s="24">
        <f t="shared" ref="C37:N37" si="1">SUM(C9:C36)</f>
        <v>0</v>
      </c>
      <c r="D37" s="24">
        <f t="shared" si="1"/>
        <v>0</v>
      </c>
      <c r="E37" s="24">
        <f t="shared" si="1"/>
        <v>0</v>
      </c>
      <c r="F37" s="24">
        <f t="shared" si="1"/>
        <v>0</v>
      </c>
      <c r="G37" s="24">
        <f t="shared" si="1"/>
        <v>0</v>
      </c>
      <c r="H37" s="24">
        <f t="shared" si="1"/>
        <v>0</v>
      </c>
      <c r="I37" s="24">
        <f t="shared" si="1"/>
        <v>0</v>
      </c>
      <c r="J37" s="24">
        <f t="shared" si="1"/>
        <v>0</v>
      </c>
      <c r="K37" s="24">
        <f t="shared" si="1"/>
        <v>0</v>
      </c>
      <c r="L37" s="24">
        <f t="shared" si="1"/>
        <v>0</v>
      </c>
      <c r="M37" s="24">
        <f t="shared" si="1"/>
        <v>0</v>
      </c>
      <c r="N37" s="24">
        <f t="shared" si="1"/>
        <v>0</v>
      </c>
      <c r="O37" s="25">
        <f>SUM(C37:N37)</f>
        <v>0</v>
      </c>
      <c r="Q37" s="16">
        <f>30345*2+4884+31566*2+32427*2+2500+32427+4701+3454+33994*5</f>
        <v>406612</v>
      </c>
    </row>
    <row r="38" spans="1:17" ht="15" customHeight="1" x14ac:dyDescent="0.2">
      <c r="A38" s="853" t="s">
        <v>148</v>
      </c>
      <c r="B38" s="27" t="s">
        <v>149</v>
      </c>
      <c r="C38" s="28">
        <v>0</v>
      </c>
      <c r="D38" s="28">
        <v>0</v>
      </c>
      <c r="E38" s="28">
        <v>0</v>
      </c>
      <c r="F38" s="28">
        <v>0</v>
      </c>
      <c r="G38" s="28">
        <v>0</v>
      </c>
      <c r="H38" s="28">
        <v>0</v>
      </c>
      <c r="I38" s="28">
        <v>0</v>
      </c>
      <c r="J38" s="28">
        <v>0</v>
      </c>
      <c r="K38" s="28">
        <v>0</v>
      </c>
      <c r="L38" s="28">
        <v>0</v>
      </c>
      <c r="M38" s="28">
        <v>0</v>
      </c>
      <c r="N38" s="28">
        <v>0</v>
      </c>
      <c r="O38" s="18">
        <f>SUM(C38:N38)</f>
        <v>0</v>
      </c>
    </row>
    <row r="39" spans="1:17" ht="15" x14ac:dyDescent="0.2">
      <c r="A39" s="854"/>
      <c r="B39" s="27" t="s">
        <v>150</v>
      </c>
      <c r="C39" s="28">
        <v>0</v>
      </c>
      <c r="D39" s="28">
        <v>0</v>
      </c>
      <c r="E39" s="28">
        <v>0</v>
      </c>
      <c r="F39" s="28">
        <v>0</v>
      </c>
      <c r="G39" s="28">
        <v>0</v>
      </c>
      <c r="H39" s="28">
        <v>0</v>
      </c>
      <c r="I39" s="28">
        <v>0</v>
      </c>
      <c r="J39" s="28">
        <v>0</v>
      </c>
      <c r="K39" s="28">
        <v>0</v>
      </c>
      <c r="L39" s="28">
        <v>0</v>
      </c>
      <c r="M39" s="28">
        <v>0</v>
      </c>
      <c r="N39" s="28">
        <v>0</v>
      </c>
      <c r="O39" s="18">
        <f>SUM(C39:N39)</f>
        <v>0</v>
      </c>
    </row>
    <row r="40" spans="1:17" ht="15" x14ac:dyDescent="0.2">
      <c r="A40" s="854"/>
      <c r="B40" s="27" t="s">
        <v>151</v>
      </c>
      <c r="C40" s="28">
        <v>0</v>
      </c>
      <c r="D40" s="28">
        <v>0</v>
      </c>
      <c r="E40" s="28">
        <v>0</v>
      </c>
      <c r="F40" s="28">
        <v>0</v>
      </c>
      <c r="G40" s="28">
        <v>0</v>
      </c>
      <c r="H40" s="28">
        <v>0</v>
      </c>
      <c r="I40" s="28">
        <v>0</v>
      </c>
      <c r="J40" s="28">
        <v>0</v>
      </c>
      <c r="K40" s="28">
        <v>0</v>
      </c>
      <c r="L40" s="28">
        <v>0</v>
      </c>
      <c r="M40" s="28">
        <v>0</v>
      </c>
      <c r="N40" s="28">
        <v>0</v>
      </c>
      <c r="O40" s="18">
        <f t="shared" ref="O40:O50" si="2">SUM(C40:N40)</f>
        <v>0</v>
      </c>
    </row>
    <row r="41" spans="1:17" ht="15" x14ac:dyDescent="0.2">
      <c r="A41" s="854"/>
      <c r="B41" s="27" t="s">
        <v>152</v>
      </c>
      <c r="C41" s="28">
        <v>0</v>
      </c>
      <c r="D41" s="28">
        <v>0</v>
      </c>
      <c r="E41" s="28">
        <v>0</v>
      </c>
      <c r="F41" s="28">
        <v>0</v>
      </c>
      <c r="G41" s="28">
        <v>0</v>
      </c>
      <c r="H41" s="28">
        <v>0</v>
      </c>
      <c r="I41" s="28">
        <v>0</v>
      </c>
      <c r="J41" s="28">
        <v>0</v>
      </c>
      <c r="K41" s="28">
        <v>0</v>
      </c>
      <c r="L41" s="28">
        <v>0</v>
      </c>
      <c r="M41" s="28">
        <v>0</v>
      </c>
      <c r="N41" s="28">
        <v>0</v>
      </c>
      <c r="O41" s="18">
        <f t="shared" si="2"/>
        <v>0</v>
      </c>
    </row>
    <row r="42" spans="1:17" ht="15" x14ac:dyDescent="0.2">
      <c r="A42" s="854"/>
      <c r="B42" s="27" t="s">
        <v>153</v>
      </c>
      <c r="C42" s="28">
        <v>0</v>
      </c>
      <c r="D42" s="28">
        <v>0</v>
      </c>
      <c r="E42" s="28">
        <v>0</v>
      </c>
      <c r="F42" s="28">
        <v>0</v>
      </c>
      <c r="G42" s="28">
        <v>0</v>
      </c>
      <c r="H42" s="28">
        <v>0</v>
      </c>
      <c r="I42" s="28">
        <v>0</v>
      </c>
      <c r="J42" s="28">
        <v>0</v>
      </c>
      <c r="K42" s="28">
        <v>0</v>
      </c>
      <c r="L42" s="28">
        <v>0</v>
      </c>
      <c r="M42" s="28">
        <v>0</v>
      </c>
      <c r="N42" s="28">
        <v>0</v>
      </c>
      <c r="O42" s="18">
        <f t="shared" si="2"/>
        <v>0</v>
      </c>
    </row>
    <row r="43" spans="1:17" ht="15" x14ac:dyDescent="0.2">
      <c r="A43" s="854"/>
      <c r="B43" s="27" t="s">
        <v>154</v>
      </c>
      <c r="C43" s="28">
        <v>0</v>
      </c>
      <c r="D43" s="28">
        <v>0</v>
      </c>
      <c r="E43" s="28">
        <v>0</v>
      </c>
      <c r="F43" s="28">
        <v>0</v>
      </c>
      <c r="G43" s="28">
        <v>0</v>
      </c>
      <c r="H43" s="28">
        <v>0</v>
      </c>
      <c r="I43" s="28">
        <v>0</v>
      </c>
      <c r="J43" s="28">
        <v>0</v>
      </c>
      <c r="K43" s="28">
        <v>0</v>
      </c>
      <c r="L43" s="28">
        <v>0</v>
      </c>
      <c r="M43" s="28">
        <v>0</v>
      </c>
      <c r="N43" s="28">
        <v>0</v>
      </c>
      <c r="O43" s="18">
        <f t="shared" si="2"/>
        <v>0</v>
      </c>
    </row>
    <row r="44" spans="1:17" ht="15" x14ac:dyDescent="0.2">
      <c r="A44" s="854"/>
      <c r="B44" s="27" t="s">
        <v>155</v>
      </c>
      <c r="C44" s="28">
        <v>0</v>
      </c>
      <c r="D44" s="28">
        <v>0</v>
      </c>
      <c r="E44" s="28">
        <v>0</v>
      </c>
      <c r="F44" s="28">
        <v>0</v>
      </c>
      <c r="G44" s="28">
        <v>0</v>
      </c>
      <c r="H44" s="28">
        <v>0</v>
      </c>
      <c r="I44" s="28">
        <v>0</v>
      </c>
      <c r="J44" s="28">
        <v>0</v>
      </c>
      <c r="K44" s="28">
        <v>0</v>
      </c>
      <c r="L44" s="28">
        <v>0</v>
      </c>
      <c r="M44" s="28">
        <v>0</v>
      </c>
      <c r="N44" s="28">
        <v>0</v>
      </c>
      <c r="O44" s="18">
        <f t="shared" si="2"/>
        <v>0</v>
      </c>
    </row>
    <row r="45" spans="1:17" ht="15" x14ac:dyDescent="0.2">
      <c r="A45" s="854"/>
      <c r="B45" s="27" t="s">
        <v>156</v>
      </c>
      <c r="C45" s="28">
        <v>0</v>
      </c>
      <c r="D45" s="28">
        <v>0</v>
      </c>
      <c r="E45" s="28">
        <v>0</v>
      </c>
      <c r="F45" s="28">
        <v>0</v>
      </c>
      <c r="G45" s="28">
        <v>0</v>
      </c>
      <c r="H45" s="28">
        <v>0</v>
      </c>
      <c r="I45" s="28">
        <v>0</v>
      </c>
      <c r="J45" s="28">
        <v>0</v>
      </c>
      <c r="K45" s="28">
        <v>0</v>
      </c>
      <c r="L45" s="28">
        <v>0</v>
      </c>
      <c r="M45" s="28">
        <v>0</v>
      </c>
      <c r="N45" s="28">
        <v>0</v>
      </c>
      <c r="O45" s="18">
        <f t="shared" si="2"/>
        <v>0</v>
      </c>
    </row>
    <row r="46" spans="1:17" ht="15" x14ac:dyDescent="0.2">
      <c r="A46" s="854"/>
      <c r="B46" s="27" t="s">
        <v>157</v>
      </c>
      <c r="C46" s="28">
        <v>0</v>
      </c>
      <c r="D46" s="28">
        <v>0</v>
      </c>
      <c r="E46" s="28">
        <v>0</v>
      </c>
      <c r="F46" s="28">
        <v>0</v>
      </c>
      <c r="G46" s="28">
        <v>0</v>
      </c>
      <c r="H46" s="28">
        <v>0</v>
      </c>
      <c r="I46" s="28">
        <v>0</v>
      </c>
      <c r="J46" s="28">
        <v>0</v>
      </c>
      <c r="K46" s="28">
        <v>0</v>
      </c>
      <c r="L46" s="28">
        <v>0</v>
      </c>
      <c r="M46" s="28">
        <v>0</v>
      </c>
      <c r="N46" s="28">
        <v>0</v>
      </c>
      <c r="O46" s="18">
        <f t="shared" si="2"/>
        <v>0</v>
      </c>
    </row>
    <row r="47" spans="1:17" ht="28.5" customHeight="1" x14ac:dyDescent="0.2">
      <c r="A47" s="855"/>
      <c r="B47" s="30" t="s">
        <v>158</v>
      </c>
      <c r="C47" s="28">
        <v>0</v>
      </c>
      <c r="D47" s="28">
        <v>0</v>
      </c>
      <c r="E47" s="28">
        <v>0</v>
      </c>
      <c r="F47" s="28">
        <v>0</v>
      </c>
      <c r="G47" s="28">
        <v>0</v>
      </c>
      <c r="H47" s="28">
        <v>0</v>
      </c>
      <c r="I47" s="28">
        <v>0</v>
      </c>
      <c r="J47" s="28">
        <v>0</v>
      </c>
      <c r="K47" s="28">
        <v>0</v>
      </c>
      <c r="L47" s="28">
        <v>0</v>
      </c>
      <c r="M47" s="28">
        <v>0</v>
      </c>
      <c r="N47" s="28">
        <v>0</v>
      </c>
      <c r="O47" s="31">
        <f t="shared" si="2"/>
        <v>0</v>
      </c>
    </row>
    <row r="48" spans="1:17" ht="15" x14ac:dyDescent="0.2">
      <c r="A48" s="856"/>
      <c r="B48" s="127" t="s">
        <v>838</v>
      </c>
      <c r="C48" s="28">
        <v>0</v>
      </c>
      <c r="D48" s="28">
        <v>0</v>
      </c>
      <c r="E48" s="28">
        <v>0</v>
      </c>
      <c r="F48" s="28">
        <v>0</v>
      </c>
      <c r="G48" s="28">
        <v>0</v>
      </c>
      <c r="H48" s="28">
        <v>0</v>
      </c>
      <c r="I48" s="28">
        <v>0</v>
      </c>
      <c r="J48" s="28">
        <v>0</v>
      </c>
      <c r="K48" s="28">
        <v>0</v>
      </c>
      <c r="L48" s="28">
        <v>0</v>
      </c>
      <c r="M48" s="28">
        <v>0</v>
      </c>
      <c r="N48" s="28">
        <v>0</v>
      </c>
      <c r="O48" s="31">
        <f t="shared" si="2"/>
        <v>0</v>
      </c>
    </row>
    <row r="49" spans="1:18" ht="15" x14ac:dyDescent="0.2">
      <c r="A49" s="857" t="s">
        <v>160</v>
      </c>
      <c r="B49" s="858"/>
      <c r="C49" s="33">
        <f t="shared" ref="C49:N49" si="3">SUM(C38:C48)</f>
        <v>0</v>
      </c>
      <c r="D49" s="33">
        <f t="shared" si="3"/>
        <v>0</v>
      </c>
      <c r="E49" s="33">
        <f t="shared" si="3"/>
        <v>0</v>
      </c>
      <c r="F49" s="33">
        <f t="shared" si="3"/>
        <v>0</v>
      </c>
      <c r="G49" s="33">
        <f t="shared" si="3"/>
        <v>0</v>
      </c>
      <c r="H49" s="33">
        <f t="shared" si="3"/>
        <v>0</v>
      </c>
      <c r="I49" s="33">
        <f t="shared" si="3"/>
        <v>0</v>
      </c>
      <c r="J49" s="33">
        <f t="shared" si="3"/>
        <v>0</v>
      </c>
      <c r="K49" s="33">
        <f t="shared" si="3"/>
        <v>0</v>
      </c>
      <c r="L49" s="33">
        <f t="shared" si="3"/>
        <v>0</v>
      </c>
      <c r="M49" s="33">
        <f t="shared" si="3"/>
        <v>0</v>
      </c>
      <c r="N49" s="33">
        <f t="shared" si="3"/>
        <v>0</v>
      </c>
      <c r="O49" s="34">
        <f t="shared" si="2"/>
        <v>0</v>
      </c>
    </row>
    <row r="50" spans="1:18" ht="15.75" thickBot="1" x14ac:dyDescent="0.25">
      <c r="A50" s="859" t="s">
        <v>161</v>
      </c>
      <c r="B50" s="860"/>
      <c r="C50" s="35">
        <f t="shared" ref="C50:N50" si="4">C37-C49</f>
        <v>0</v>
      </c>
      <c r="D50" s="35">
        <f t="shared" si="4"/>
        <v>0</v>
      </c>
      <c r="E50" s="35">
        <f t="shared" si="4"/>
        <v>0</v>
      </c>
      <c r="F50" s="35">
        <f t="shared" si="4"/>
        <v>0</v>
      </c>
      <c r="G50" s="35">
        <f t="shared" si="4"/>
        <v>0</v>
      </c>
      <c r="H50" s="35">
        <f t="shared" si="4"/>
        <v>0</v>
      </c>
      <c r="I50" s="35">
        <f t="shared" si="4"/>
        <v>0</v>
      </c>
      <c r="J50" s="35">
        <f t="shared" si="4"/>
        <v>0</v>
      </c>
      <c r="K50" s="35">
        <f t="shared" si="4"/>
        <v>0</v>
      </c>
      <c r="L50" s="35">
        <f t="shared" si="4"/>
        <v>0</v>
      </c>
      <c r="M50" s="35">
        <f t="shared" si="4"/>
        <v>0</v>
      </c>
      <c r="N50" s="35">
        <f t="shared" si="4"/>
        <v>0</v>
      </c>
      <c r="O50" s="36">
        <f t="shared" si="2"/>
        <v>0</v>
      </c>
      <c r="Q50" s="16">
        <f>28490+20990+4884+22091+22211+21572+22072+2500+22072+4701+3454+22989*2+22439*2+22351</f>
        <v>288244</v>
      </c>
    </row>
    <row r="51" spans="1:18" x14ac:dyDescent="0.2">
      <c r="J51" s="300">
        <f>+J37-SUM(J22:J36)</f>
        <v>0</v>
      </c>
      <c r="Q51" s="38"/>
    </row>
    <row r="52" spans="1:18" ht="13.5" thickBot="1" x14ac:dyDescent="0.25">
      <c r="J52" s="38">
        <f>+J51-J49</f>
        <v>0</v>
      </c>
    </row>
    <row r="53" spans="1:18" ht="13.5" thickBot="1" x14ac:dyDescent="0.25">
      <c r="B53" s="789" t="s">
        <v>162</v>
      </c>
      <c r="C53" s="861"/>
      <c r="D53" s="861"/>
      <c r="E53" s="861"/>
      <c r="F53" s="862"/>
      <c r="G53" s="863">
        <f>O37</f>
        <v>0</v>
      </c>
      <c r="H53" s="864"/>
    </row>
    <row r="54" spans="1:18" ht="13.5" thickBot="1" x14ac:dyDescent="0.25"/>
    <row r="55" spans="1:18" x14ac:dyDescent="0.2">
      <c r="B55" s="830" t="s">
        <v>163</v>
      </c>
      <c r="C55" s="833" t="s">
        <v>164</v>
      </c>
      <c r="D55" s="836" t="s">
        <v>165</v>
      </c>
      <c r="E55" s="837"/>
      <c r="F55" s="838"/>
      <c r="G55" s="839">
        <f>1600*12</f>
        <v>19200</v>
      </c>
      <c r="H55" s="840"/>
    </row>
    <row r="56" spans="1:18" x14ac:dyDescent="0.2">
      <c r="B56" s="831"/>
      <c r="C56" s="834"/>
      <c r="D56" s="841" t="s">
        <v>166</v>
      </c>
      <c r="E56" s="842"/>
      <c r="F56" s="843"/>
      <c r="G56" s="844">
        <f>+O44</f>
        <v>0</v>
      </c>
      <c r="H56" s="845"/>
      <c r="I56" s="39"/>
      <c r="J56" s="846"/>
      <c r="K56" s="846"/>
      <c r="L56" s="846"/>
      <c r="M56" s="847"/>
      <c r="N56" s="847"/>
      <c r="O56" s="847"/>
    </row>
    <row r="57" spans="1:18" ht="13.5" thickBot="1" x14ac:dyDescent="0.25">
      <c r="B57" s="832"/>
      <c r="C57" s="835"/>
      <c r="D57" s="848" t="s">
        <v>243</v>
      </c>
      <c r="E57" s="849"/>
      <c r="F57" s="850"/>
      <c r="G57" s="851">
        <f>IF(O18&gt;15000,15000,+O18)</f>
        <v>0</v>
      </c>
      <c r="H57" s="852"/>
      <c r="J57" s="47"/>
      <c r="K57" s="47"/>
      <c r="L57" s="47"/>
      <c r="M57" s="47"/>
      <c r="N57" s="47"/>
      <c r="O57" s="47"/>
    </row>
    <row r="58" spans="1:18" ht="13.5" thickBot="1" x14ac:dyDescent="0.25">
      <c r="B58" s="48"/>
      <c r="J58" s="47"/>
      <c r="K58" s="47"/>
      <c r="L58" s="47"/>
      <c r="M58" s="47"/>
      <c r="N58" s="47"/>
      <c r="O58" s="47"/>
    </row>
    <row r="59" spans="1:18" ht="13.5" thickBot="1" x14ac:dyDescent="0.25">
      <c r="B59" s="789" t="s">
        <v>168</v>
      </c>
      <c r="C59" s="790"/>
      <c r="D59" s="790"/>
      <c r="E59" s="790"/>
      <c r="F59" s="791"/>
      <c r="G59" s="825">
        <f>+G53-SUM(G55:H57)</f>
        <v>-19200</v>
      </c>
      <c r="H59" s="826"/>
      <c r="J59" s="827" t="s">
        <v>169</v>
      </c>
      <c r="K59" s="828"/>
      <c r="L59" s="828"/>
      <c r="M59" s="828"/>
      <c r="N59" s="828"/>
      <c r="O59" s="829"/>
    </row>
    <row r="60" spans="1:18" ht="13.5" thickBot="1" x14ac:dyDescent="0.25">
      <c r="B60" s="49"/>
      <c r="C60" s="50"/>
      <c r="D60" s="50"/>
      <c r="E60" s="50"/>
      <c r="F60" s="50"/>
      <c r="G60" s="45"/>
      <c r="H60" s="50"/>
      <c r="J60" s="129"/>
      <c r="K60" s="130"/>
      <c r="L60" s="130"/>
      <c r="M60" s="130"/>
      <c r="N60" s="130"/>
      <c r="O60" s="131"/>
    </row>
    <row r="61" spans="1:18" ht="13.5" thickBot="1" x14ac:dyDescent="0.25">
      <c r="B61" s="789" t="s">
        <v>170</v>
      </c>
      <c r="C61" s="790"/>
      <c r="D61" s="790"/>
      <c r="E61" s="790"/>
      <c r="F61" s="791"/>
      <c r="G61" s="805"/>
      <c r="H61" s="791"/>
      <c r="J61" s="129"/>
      <c r="K61" s="130"/>
      <c r="L61" s="130"/>
      <c r="M61" s="130"/>
      <c r="N61" s="130"/>
      <c r="O61" s="131"/>
    </row>
    <row r="62" spans="1:18" ht="12.75" customHeight="1" x14ac:dyDescent="0.2">
      <c r="B62" s="57" t="s">
        <v>171</v>
      </c>
      <c r="C62" s="806" t="s">
        <v>172</v>
      </c>
      <c r="D62" s="807"/>
      <c r="E62" s="807"/>
      <c r="F62" s="808"/>
      <c r="G62" s="809">
        <v>0</v>
      </c>
      <c r="H62" s="809"/>
      <c r="I62" s="58"/>
      <c r="J62" s="810" t="s">
        <v>173</v>
      </c>
      <c r="K62" s="811"/>
      <c r="L62" s="811"/>
      <c r="M62" s="811"/>
      <c r="N62" s="811"/>
      <c r="O62" s="812"/>
      <c r="Q62" s="59"/>
      <c r="R62" s="59"/>
    </row>
    <row r="63" spans="1:18" ht="13.5" thickBot="1" x14ac:dyDescent="0.25">
      <c r="D63" s="37"/>
      <c r="I63" s="58"/>
      <c r="J63" s="60"/>
      <c r="K63" s="132"/>
      <c r="L63" s="132"/>
      <c r="M63" s="133"/>
      <c r="N63" s="133"/>
      <c r="O63" s="134"/>
      <c r="Q63" s="59"/>
      <c r="R63" s="59"/>
    </row>
    <row r="64" spans="1:18" ht="13.5" thickBot="1" x14ac:dyDescent="0.25">
      <c r="B64" s="789" t="s">
        <v>175</v>
      </c>
      <c r="C64" s="790"/>
      <c r="D64" s="790"/>
      <c r="E64" s="790"/>
      <c r="F64" s="791"/>
      <c r="G64" s="805">
        <f>+G59-G62</f>
        <v>-19200</v>
      </c>
      <c r="H64" s="791"/>
      <c r="I64" s="63"/>
      <c r="J64" s="64"/>
      <c r="K64" s="39"/>
      <c r="L64" s="39"/>
      <c r="M64" s="39"/>
      <c r="N64" s="39"/>
      <c r="O64" s="65"/>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6.25" customHeight="1" thickBot="1" x14ac:dyDescent="0.25">
      <c r="B67" s="66"/>
      <c r="C67" s="48"/>
      <c r="G67" s="70" t="s">
        <v>177</v>
      </c>
      <c r="H67" s="70" t="s">
        <v>178</v>
      </c>
      <c r="I67" s="63"/>
      <c r="J67" s="810" t="s">
        <v>179</v>
      </c>
      <c r="K67" s="811"/>
      <c r="L67" s="71"/>
      <c r="M67" s="71"/>
      <c r="N67" s="71"/>
      <c r="O67" s="158" t="s">
        <v>267</v>
      </c>
      <c r="Q67" s="59"/>
      <c r="R67" s="59"/>
    </row>
    <row r="68" spans="2:18" ht="12.75" customHeight="1" x14ac:dyDescent="0.2">
      <c r="B68" s="802" t="s">
        <v>180</v>
      </c>
      <c r="C68" s="821" t="s">
        <v>181</v>
      </c>
      <c r="D68" s="823" t="s">
        <v>182</v>
      </c>
      <c r="E68" s="824"/>
      <c r="F68" s="824"/>
      <c r="G68" s="73">
        <f>+O43</f>
        <v>0</v>
      </c>
      <c r="H68" s="74">
        <f t="shared" ref="H68:H76" si="5">+G68</f>
        <v>0</v>
      </c>
      <c r="I68" s="63"/>
      <c r="J68" s="181" t="s">
        <v>839</v>
      </c>
      <c r="K68" s="58"/>
      <c r="L68" s="58"/>
      <c r="M68" s="58" t="s">
        <v>232</v>
      </c>
      <c r="N68" s="58" t="s">
        <v>670</v>
      </c>
      <c r="O68" s="76">
        <v>16814</v>
      </c>
      <c r="Q68" s="59"/>
      <c r="R68" s="59"/>
    </row>
    <row r="69" spans="2:18" ht="12.75" customHeight="1" x14ac:dyDescent="0.2">
      <c r="B69" s="803"/>
      <c r="C69" s="822"/>
      <c r="D69" s="782" t="s">
        <v>184</v>
      </c>
      <c r="E69" s="783"/>
      <c r="F69" s="783"/>
      <c r="G69" s="77">
        <f>+O47+16814</f>
        <v>16814</v>
      </c>
      <c r="H69" s="78">
        <f t="shared" si="5"/>
        <v>16814</v>
      </c>
      <c r="I69" s="63"/>
      <c r="J69" s="165" t="s">
        <v>840</v>
      </c>
      <c r="K69" s="68"/>
      <c r="L69" s="68"/>
      <c r="M69" s="135" t="s">
        <v>232</v>
      </c>
      <c r="N69" s="135" t="s">
        <v>276</v>
      </c>
      <c r="O69" s="136">
        <f>337*4</f>
        <v>1348</v>
      </c>
      <c r="Q69" s="59"/>
      <c r="R69" s="59"/>
    </row>
    <row r="70" spans="2:18" ht="12.75" customHeight="1" x14ac:dyDescent="0.2">
      <c r="B70" s="803"/>
      <c r="C70" s="822"/>
      <c r="D70" s="819" t="s">
        <v>185</v>
      </c>
      <c r="E70" s="820"/>
      <c r="F70" s="820"/>
      <c r="G70" s="80">
        <f>O40</f>
        <v>0</v>
      </c>
      <c r="H70" s="78">
        <f t="shared" si="5"/>
        <v>0</v>
      </c>
      <c r="I70" s="63"/>
      <c r="J70" s="79"/>
      <c r="K70" s="68"/>
      <c r="L70" s="68"/>
      <c r="M70" s="68"/>
      <c r="N70" s="68"/>
      <c r="O70" s="69"/>
    </row>
    <row r="71" spans="2:18" x14ac:dyDescent="0.2">
      <c r="B71" s="803"/>
      <c r="C71" s="822"/>
      <c r="D71" s="782" t="s">
        <v>186</v>
      </c>
      <c r="E71" s="783"/>
      <c r="F71" s="783"/>
      <c r="G71" s="81">
        <v>0</v>
      </c>
      <c r="H71" s="78">
        <f t="shared" si="5"/>
        <v>0</v>
      </c>
      <c r="I71" s="63"/>
      <c r="J71" s="82" t="s">
        <v>187</v>
      </c>
      <c r="K71" s="71"/>
      <c r="L71" s="71"/>
      <c r="M71" s="71"/>
      <c r="N71" s="71"/>
      <c r="O71" s="72"/>
    </row>
    <row r="72" spans="2:18" ht="12.75" customHeight="1" x14ac:dyDescent="0.2">
      <c r="B72" s="803"/>
      <c r="C72" s="822"/>
      <c r="D72" s="784" t="s">
        <v>188</v>
      </c>
      <c r="E72" s="783"/>
      <c r="F72" s="783"/>
      <c r="G72" s="80">
        <v>0</v>
      </c>
      <c r="H72" s="78">
        <f t="shared" si="5"/>
        <v>0</v>
      </c>
      <c r="I72" s="63"/>
      <c r="J72" s="75" t="s">
        <v>189</v>
      </c>
      <c r="K72" s="50"/>
      <c r="L72" s="50"/>
      <c r="M72" s="50"/>
      <c r="N72" s="50"/>
      <c r="O72" s="83">
        <f>+O42</f>
        <v>0</v>
      </c>
    </row>
    <row r="73" spans="2:18" ht="14.25" customHeight="1" x14ac:dyDescent="0.2">
      <c r="B73" s="803"/>
      <c r="C73" s="822"/>
      <c r="D73" s="782" t="s">
        <v>190</v>
      </c>
      <c r="E73" s="783"/>
      <c r="F73" s="783"/>
      <c r="G73" s="84">
        <v>0</v>
      </c>
      <c r="H73" s="78">
        <f t="shared" si="5"/>
        <v>0</v>
      </c>
      <c r="I73" s="63"/>
      <c r="J73" s="75" t="s">
        <v>841</v>
      </c>
      <c r="K73" s="39"/>
      <c r="L73" s="39"/>
      <c r="M73" s="39"/>
      <c r="N73" s="39"/>
      <c r="O73" s="65">
        <v>6146</v>
      </c>
    </row>
    <row r="74" spans="2:18" x14ac:dyDescent="0.2">
      <c r="B74" s="803"/>
      <c r="C74" s="822"/>
      <c r="D74" s="782" t="s">
        <v>191</v>
      </c>
      <c r="E74" s="783"/>
      <c r="F74" s="783"/>
      <c r="G74" s="81">
        <v>0</v>
      </c>
      <c r="H74" s="78">
        <f t="shared" si="5"/>
        <v>0</v>
      </c>
      <c r="I74" s="58"/>
      <c r="J74" s="137" t="s">
        <v>1021</v>
      </c>
      <c r="K74" s="50"/>
      <c r="L74" s="50"/>
      <c r="M74" s="50"/>
      <c r="N74" s="50"/>
      <c r="O74" s="83"/>
    </row>
    <row r="75" spans="2:18" x14ac:dyDescent="0.2">
      <c r="B75" s="803"/>
      <c r="C75" s="88" t="s">
        <v>192</v>
      </c>
      <c r="D75" s="813" t="s">
        <v>193</v>
      </c>
      <c r="E75" s="814"/>
      <c r="F75" s="814"/>
      <c r="G75" s="80">
        <v>0</v>
      </c>
      <c r="H75" s="78">
        <f t="shared" si="5"/>
        <v>0</v>
      </c>
      <c r="I75" s="58"/>
      <c r="J75" s="79"/>
      <c r="K75" s="39"/>
      <c r="L75" s="39"/>
      <c r="M75" s="39"/>
      <c r="N75" s="39"/>
      <c r="O75" s="65"/>
    </row>
    <row r="76" spans="2:18" ht="13.5" customHeight="1" thickBot="1" x14ac:dyDescent="0.25">
      <c r="B76" s="803"/>
      <c r="C76" s="88" t="s">
        <v>194</v>
      </c>
      <c r="D76" s="815" t="s">
        <v>195</v>
      </c>
      <c r="E76" s="815"/>
      <c r="F76" s="815"/>
      <c r="G76" s="89">
        <v>0</v>
      </c>
      <c r="H76" s="90">
        <f t="shared" si="5"/>
        <v>0</v>
      </c>
      <c r="I76" s="63"/>
      <c r="J76" s="67"/>
      <c r="K76" s="68"/>
      <c r="L76" s="68"/>
      <c r="M76" s="91"/>
      <c r="N76" s="91"/>
      <c r="O76" s="92"/>
    </row>
    <row r="77" spans="2:18" ht="13.5" thickBot="1" x14ac:dyDescent="0.25">
      <c r="B77" s="803"/>
      <c r="C77" s="93"/>
      <c r="D77" s="94"/>
      <c r="E77" s="816" t="s">
        <v>117</v>
      </c>
      <c r="F77" s="817"/>
      <c r="G77" s="95">
        <f>SUM(G68:G76)</f>
        <v>16814</v>
      </c>
      <c r="H77" s="96">
        <f>IF(SUM(G68:G74)&lt;150000,SUM(G68:G74),150000)+IF(+G75&lt;20000,+G75,20000)</f>
        <v>16814</v>
      </c>
      <c r="I77" s="63"/>
      <c r="J77" s="140"/>
      <c r="K77" s="141"/>
      <c r="L77" s="141"/>
      <c r="M77" s="142"/>
      <c r="N77" s="142"/>
      <c r="O77" s="143"/>
    </row>
    <row r="78" spans="2:18" ht="12.75" customHeight="1" x14ac:dyDescent="0.2">
      <c r="B78" s="803"/>
      <c r="C78" s="100" t="s">
        <v>196</v>
      </c>
      <c r="D78" s="782" t="s">
        <v>187</v>
      </c>
      <c r="E78" s="783"/>
      <c r="F78" s="818"/>
      <c r="G78" s="73">
        <f>+O42+O73</f>
        <v>6146</v>
      </c>
      <c r="H78" s="101">
        <f>+IF(+G78&lt;25000,+G78,25000)</f>
        <v>6146</v>
      </c>
      <c r="I78" s="87"/>
    </row>
    <row r="79" spans="2:18" x14ac:dyDescent="0.2">
      <c r="B79" s="803"/>
      <c r="C79" s="100" t="s">
        <v>197</v>
      </c>
      <c r="D79" s="784" t="s">
        <v>198</v>
      </c>
      <c r="E79" s="785"/>
      <c r="F79" s="786"/>
      <c r="G79" s="102"/>
      <c r="H79" s="103">
        <f>+IF(+G79&lt;40000,+G79,40000)</f>
        <v>0</v>
      </c>
      <c r="I79" s="63"/>
    </row>
    <row r="80" spans="2:18" x14ac:dyDescent="0.2">
      <c r="B80" s="803"/>
      <c r="C80" s="100" t="s">
        <v>199</v>
      </c>
      <c r="D80" s="784" t="s">
        <v>200</v>
      </c>
      <c r="E80" s="785"/>
      <c r="F80" s="786"/>
      <c r="G80" s="81"/>
      <c r="H80" s="104">
        <v>0</v>
      </c>
      <c r="I80" s="63"/>
      <c r="J80" s="106" t="s">
        <v>1022</v>
      </c>
    </row>
    <row r="81" spans="2:12" x14ac:dyDescent="0.2">
      <c r="B81" s="803"/>
      <c r="C81" s="100" t="s">
        <v>201</v>
      </c>
      <c r="D81" s="784" t="s">
        <v>202</v>
      </c>
      <c r="E81" s="785"/>
      <c r="F81" s="786"/>
      <c r="G81" s="81"/>
      <c r="H81" s="104">
        <v>0</v>
      </c>
      <c r="I81" s="63"/>
    </row>
    <row r="82" spans="2:12" ht="13.5" thickBot="1" x14ac:dyDescent="0.25">
      <c r="B82" s="804"/>
      <c r="C82" s="100" t="s">
        <v>203</v>
      </c>
      <c r="D82" s="784" t="s">
        <v>204</v>
      </c>
      <c r="E82" s="785"/>
      <c r="F82" s="786"/>
      <c r="G82" s="102"/>
      <c r="H82" s="103">
        <f>+IF(+G82&lt;100000,+G82,100000)</f>
        <v>0</v>
      </c>
      <c r="I82" s="63"/>
    </row>
    <row r="83" spans="2:12" ht="13.5" thickBot="1" x14ac:dyDescent="0.25">
      <c r="B83" s="787" t="s">
        <v>205</v>
      </c>
      <c r="C83" s="788"/>
      <c r="D83" s="788"/>
      <c r="E83" s="788"/>
      <c r="F83" s="788"/>
      <c r="G83" s="107">
        <f>SUM(G78:G82)</f>
        <v>6146</v>
      </c>
      <c r="H83" s="108">
        <f>SUM(H77:H82)</f>
        <v>22960</v>
      </c>
    </row>
    <row r="84" spans="2:12" ht="13.5" thickBot="1" x14ac:dyDescent="0.25"/>
    <row r="85" spans="2:12" ht="13.5" thickBot="1" x14ac:dyDescent="0.25">
      <c r="B85" s="789" t="s">
        <v>206</v>
      </c>
      <c r="C85" s="790"/>
      <c r="D85" s="790"/>
      <c r="E85" s="790"/>
      <c r="F85" s="791"/>
      <c r="G85" s="792">
        <f>+G64-H83</f>
        <v>-42160</v>
      </c>
      <c r="H85" s="791"/>
      <c r="J85" s="109">
        <f>C37+D37+E37+F37</f>
        <v>0</v>
      </c>
      <c r="K85" s="16" t="s">
        <v>235</v>
      </c>
    </row>
    <row r="86" spans="2:12" x14ac:dyDescent="0.2">
      <c r="B86" s="110"/>
      <c r="F86" s="105"/>
      <c r="J86" s="109">
        <f>G37+H37+I37</f>
        <v>0</v>
      </c>
      <c r="K86" s="16" t="s">
        <v>236</v>
      </c>
    </row>
    <row r="87" spans="2:12" x14ac:dyDescent="0.2">
      <c r="C87" s="793" t="s">
        <v>207</v>
      </c>
      <c r="D87" s="794"/>
      <c r="E87" s="111" t="s">
        <v>208</v>
      </c>
      <c r="F87" s="111" t="s">
        <v>209</v>
      </c>
      <c r="G87" s="111" t="s">
        <v>210</v>
      </c>
      <c r="H87" s="111" t="s">
        <v>211</v>
      </c>
      <c r="J87" s="206">
        <f>J37+K37+L37</f>
        <v>0</v>
      </c>
      <c r="K87" s="47" t="s">
        <v>237</v>
      </c>
      <c r="L87" s="16">
        <f>+J91/5</f>
        <v>8432</v>
      </c>
    </row>
    <row r="88" spans="2:12" x14ac:dyDescent="0.2">
      <c r="C88" s="795" t="str">
        <f>IF(I6="M","0          - 250000","0          -  250000")</f>
        <v>0          - 250000</v>
      </c>
      <c r="D88" s="796"/>
      <c r="E88" s="112">
        <v>0</v>
      </c>
      <c r="F88" s="113">
        <f>IF(I6="M",(IF(G85&lt;250000,G85,250000)),(IF(G85&lt;250000,G85,250000)))</f>
        <v>-42160</v>
      </c>
      <c r="G88" s="113">
        <f>G85-F88</f>
        <v>0</v>
      </c>
      <c r="H88" s="113">
        <f>E88*F88</f>
        <v>0</v>
      </c>
      <c r="J88" s="207">
        <f>M37+N37</f>
        <v>0</v>
      </c>
      <c r="K88" s="1" t="s">
        <v>238</v>
      </c>
    </row>
    <row r="89" spans="2:12" x14ac:dyDescent="0.2">
      <c r="C89" s="795" t="str">
        <f>IF(I6="M","250001 - 500000","250001-500000")</f>
        <v>250001 - 500000</v>
      </c>
      <c r="D89" s="796"/>
      <c r="E89" s="112">
        <v>0.1</v>
      </c>
      <c r="F89" s="113">
        <f>IF(I6="M",(IF(G88&lt;250000,G88,250000)),(IF(G88&lt;250000,G88,250000)))</f>
        <v>0</v>
      </c>
      <c r="G89" s="113">
        <f>G88-F89</f>
        <v>0</v>
      </c>
      <c r="H89" s="114">
        <f>ROUND(E89*F89,0.1)</f>
        <v>0</v>
      </c>
      <c r="J89" s="115">
        <f>SUM(J85:J88)</f>
        <v>0</v>
      </c>
    </row>
    <row r="90" spans="2:12" x14ac:dyDescent="0.2">
      <c r="C90" s="797" t="s">
        <v>212</v>
      </c>
      <c r="D90" s="798"/>
      <c r="E90" s="112">
        <v>0.2</v>
      </c>
      <c r="F90" s="113">
        <f>IF(G89&lt;500000,G89,500000)</f>
        <v>0</v>
      </c>
      <c r="G90" s="113">
        <f>G89-F90</f>
        <v>0</v>
      </c>
      <c r="H90" s="114">
        <f>ROUND(E90*F90,0.1)</f>
        <v>0</v>
      </c>
      <c r="J90" s="16">
        <f>+G85</f>
        <v>-42160</v>
      </c>
    </row>
    <row r="91" spans="2:12" x14ac:dyDescent="0.2">
      <c r="C91" s="795" t="s">
        <v>289</v>
      </c>
      <c r="D91" s="796"/>
      <c r="E91" s="112">
        <v>0.3</v>
      </c>
      <c r="F91" s="113">
        <f>G90</f>
        <v>0</v>
      </c>
      <c r="G91" s="113">
        <f>G90-F91</f>
        <v>0</v>
      </c>
      <c r="H91" s="114">
        <f>ROUND(E91*F91,0.1)</f>
        <v>0</v>
      </c>
      <c r="J91" s="16">
        <f>+J89-J90</f>
        <v>42160</v>
      </c>
    </row>
    <row r="92" spans="2:12" ht="12.75" customHeight="1" thickBot="1" x14ac:dyDescent="0.25">
      <c r="B92" s="116"/>
      <c r="C92" s="117"/>
      <c r="D92" s="47"/>
      <c r="E92" s="47"/>
      <c r="F92" s="47"/>
    </row>
    <row r="93" spans="2:12" ht="13.5" thickBot="1" x14ac:dyDescent="0.25">
      <c r="B93" s="799" t="s">
        <v>239</v>
      </c>
      <c r="C93" s="800"/>
      <c r="D93" s="800"/>
      <c r="E93" s="800"/>
      <c r="F93" s="801"/>
      <c r="G93" s="771">
        <f>H88+H89+H90+H91</f>
        <v>0</v>
      </c>
      <c r="H93" s="772"/>
    </row>
    <row r="94" spans="2:12" ht="13.5" thickBot="1" x14ac:dyDescent="0.25">
      <c r="B94" s="171" t="s">
        <v>215</v>
      </c>
      <c r="C94" s="155"/>
      <c r="D94" s="155"/>
      <c r="E94" s="155"/>
      <c r="F94" s="155"/>
      <c r="G94" s="769">
        <f>IF(G85&lt;200000,0,IF(G85&lt;220000,((G85-200000)*10%),IF(G85&lt;=500000,2000,IF(G85&gt;=500000,0))))</f>
        <v>0</v>
      </c>
      <c r="H94" s="770">
        <f>IF(H92&lt;200000,0,IF(H92&lt;220000,((H92-200000)*10%),IF(H92&lt;=500000,2000,IF(H92&gt;=500000,0))))</f>
        <v>0</v>
      </c>
      <c r="J94" s="1"/>
      <c r="K94" s="121"/>
      <c r="L94" s="121"/>
    </row>
    <row r="95" spans="2:12" ht="13.5" thickBot="1" x14ac:dyDescent="0.25">
      <c r="B95" s="122" t="s">
        <v>216</v>
      </c>
      <c r="C95" s="123"/>
      <c r="D95" s="123"/>
      <c r="E95" s="123"/>
      <c r="F95" s="123"/>
      <c r="G95" s="771">
        <f>+G93-G94</f>
        <v>0</v>
      </c>
      <c r="H95" s="772"/>
      <c r="I95" s="37"/>
    </row>
    <row r="96" spans="2:12" ht="13.5" thickBot="1" x14ac:dyDescent="0.25">
      <c r="B96" s="773" t="s">
        <v>217</v>
      </c>
      <c r="C96" s="774"/>
      <c r="D96" s="774"/>
      <c r="E96" s="774"/>
      <c r="F96" s="775"/>
      <c r="G96" s="776">
        <f>ROUND((IF(G95&gt;0,(G95*3%),0)),0)</f>
        <v>0</v>
      </c>
      <c r="H96" s="777"/>
      <c r="I96" s="37"/>
    </row>
    <row r="97" spans="2:9" ht="13.5" thickBot="1" x14ac:dyDescent="0.25">
      <c r="B97" s="778" t="s">
        <v>218</v>
      </c>
      <c r="C97" s="779"/>
      <c r="D97" s="779"/>
      <c r="E97" s="779"/>
      <c r="F97" s="779"/>
      <c r="G97" s="780">
        <f>G95+G96</f>
        <v>0</v>
      </c>
      <c r="H97" s="781"/>
      <c r="I97" s="121"/>
    </row>
    <row r="98" spans="2:9" ht="13.5" thickBot="1" x14ac:dyDescent="0.25">
      <c r="B98" s="765" t="s">
        <v>219</v>
      </c>
      <c r="C98" s="766"/>
      <c r="D98" s="766"/>
      <c r="E98" s="766"/>
      <c r="F98" s="766"/>
      <c r="G98" s="767">
        <f>O38</f>
        <v>0</v>
      </c>
      <c r="H98" s="768"/>
      <c r="I98" s="121"/>
    </row>
    <row r="99" spans="2:9" ht="13.5" thickBot="1" x14ac:dyDescent="0.25">
      <c r="B99" s="765" t="str">
        <f>IF(G99&gt;0,"TAX PAYABLE","TAX REFUND")</f>
        <v>TAX REFUND</v>
      </c>
      <c r="C99" s="766"/>
      <c r="D99" s="766"/>
      <c r="E99" s="766"/>
      <c r="F99" s="766"/>
      <c r="G99" s="767">
        <f>+G97-G98</f>
        <v>0</v>
      </c>
      <c r="H99" s="768"/>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0:F90 B99:F99 B93:F97">
    <cfRule type="cellIs" dxfId="153" priority="3" stopIfTrue="1" operator="equal">
      <formula>"TAX PAYABLE"</formula>
    </cfRule>
    <cfRule type="cellIs" dxfId="152" priority="4" stopIfTrue="1" operator="equal">
      <formula>"TAX REFUND"</formula>
    </cfRule>
  </conditionalFormatting>
  <conditionalFormatting sqref="G90:H90">
    <cfRule type="cellIs" dxfId="151" priority="5" stopIfTrue="1" operator="lessThan">
      <formula>0</formula>
    </cfRule>
    <cfRule type="cellIs" dxfId="150" priority="6" stopIfTrue="1" operator="greaterThan">
      <formula>0</formula>
    </cfRule>
  </conditionalFormatting>
  <conditionalFormatting sqref="G99:H99">
    <cfRule type="cellIs" dxfId="149" priority="1" stopIfTrue="1" operator="greaterThan">
      <formula>0</formula>
    </cfRule>
    <cfRule type="cellIs" dxfId="148"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legacyDrawing r:id="rId2"/>
</worksheet>
</file>

<file path=xl/worksheets/sheet1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08"/>
  <sheetViews>
    <sheetView workbookViewId="0">
      <selection activeCell="J6" sqref="J6:O6"/>
    </sheetView>
  </sheetViews>
  <sheetFormatPr defaultRowHeight="12.75" x14ac:dyDescent="0.2"/>
  <cols>
    <col min="1" max="1" width="5" style="16" customWidth="1"/>
    <col min="2" max="2" width="18.140625" style="37" customWidth="1"/>
    <col min="3" max="3" width="10.7109375" style="16" bestFit="1" customWidth="1"/>
    <col min="4" max="4" width="6.7109375" style="16" bestFit="1" customWidth="1"/>
    <col min="5" max="5" width="8.5703125" style="16" bestFit="1" customWidth="1"/>
    <col min="6" max="6" width="9.28515625" style="16" bestFit="1" customWidth="1"/>
    <col min="7" max="7" width="10.42578125" style="16" bestFit="1" customWidth="1"/>
    <col min="8" max="8" width="10.28515625" style="16" bestFit="1" customWidth="1"/>
    <col min="9" max="9" width="7.140625" style="16" bestFit="1" customWidth="1"/>
    <col min="10" max="10" width="7.28515625" style="16" customWidth="1"/>
    <col min="11" max="12" width="7" style="16" bestFit="1" customWidth="1"/>
    <col min="13" max="13" width="6.85546875" style="16" bestFit="1" customWidth="1"/>
    <col min="14" max="14" width="7" style="16" bestFit="1" customWidth="1"/>
    <col min="15" max="15" width="7.140625" style="16" bestFit="1"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8.140625" style="16" customWidth="1"/>
    <col min="259" max="259" width="10.7109375" style="16" bestFit="1" customWidth="1"/>
    <col min="260" max="260" width="6.7109375" style="16" bestFit="1" customWidth="1"/>
    <col min="261" max="261" width="8.5703125" style="16" bestFit="1" customWidth="1"/>
    <col min="262" max="262" width="9.28515625" style="16" bestFit="1" customWidth="1"/>
    <col min="263" max="263" width="10.42578125" style="16" bestFit="1" customWidth="1"/>
    <col min="264" max="264" width="10.28515625" style="16" bestFit="1" customWidth="1"/>
    <col min="265" max="265" width="7.140625" style="16" bestFit="1" customWidth="1"/>
    <col min="266" max="266" width="7.28515625" style="16" customWidth="1"/>
    <col min="267" max="268" width="7" style="16" bestFit="1" customWidth="1"/>
    <col min="269" max="269" width="6.85546875" style="16" bestFit="1" customWidth="1"/>
    <col min="270" max="270" width="7" style="16" bestFit="1" customWidth="1"/>
    <col min="271" max="271" width="7.140625" style="16" bestFit="1"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8.140625" style="16" customWidth="1"/>
    <col min="515" max="515" width="10.7109375" style="16" bestFit="1" customWidth="1"/>
    <col min="516" max="516" width="6.7109375" style="16" bestFit="1" customWidth="1"/>
    <col min="517" max="517" width="8.5703125" style="16" bestFit="1" customWidth="1"/>
    <col min="518" max="518" width="9.28515625" style="16" bestFit="1" customWidth="1"/>
    <col min="519" max="519" width="10.42578125" style="16" bestFit="1" customWidth="1"/>
    <col min="520" max="520" width="10.28515625" style="16" bestFit="1" customWidth="1"/>
    <col min="521" max="521" width="7.140625" style="16" bestFit="1" customWidth="1"/>
    <col min="522" max="522" width="7.28515625" style="16" customWidth="1"/>
    <col min="523" max="524" width="7" style="16" bestFit="1" customWidth="1"/>
    <col min="525" max="525" width="6.85546875" style="16" bestFit="1" customWidth="1"/>
    <col min="526" max="526" width="7" style="16" bestFit="1" customWidth="1"/>
    <col min="527" max="527" width="7.140625" style="16" bestFit="1"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8.140625" style="16" customWidth="1"/>
    <col min="771" max="771" width="10.7109375" style="16" bestFit="1" customWidth="1"/>
    <col min="772" max="772" width="6.7109375" style="16" bestFit="1" customWidth="1"/>
    <col min="773" max="773" width="8.5703125" style="16" bestFit="1" customWidth="1"/>
    <col min="774" max="774" width="9.28515625" style="16" bestFit="1" customWidth="1"/>
    <col min="775" max="775" width="10.42578125" style="16" bestFit="1" customWidth="1"/>
    <col min="776" max="776" width="10.28515625" style="16" bestFit="1" customWidth="1"/>
    <col min="777" max="777" width="7.140625" style="16" bestFit="1" customWidth="1"/>
    <col min="778" max="778" width="7.28515625" style="16" customWidth="1"/>
    <col min="779" max="780" width="7" style="16" bestFit="1" customWidth="1"/>
    <col min="781" max="781" width="6.85546875" style="16" bestFit="1" customWidth="1"/>
    <col min="782" max="782" width="7" style="16" bestFit="1" customWidth="1"/>
    <col min="783" max="783" width="7.140625" style="16" bestFit="1"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8.140625" style="16" customWidth="1"/>
    <col min="1027" max="1027" width="10.7109375" style="16" bestFit="1" customWidth="1"/>
    <col min="1028" max="1028" width="6.7109375" style="16" bestFit="1" customWidth="1"/>
    <col min="1029" max="1029" width="8.5703125" style="16" bestFit="1" customWidth="1"/>
    <col min="1030" max="1030" width="9.28515625" style="16" bestFit="1" customWidth="1"/>
    <col min="1031" max="1031" width="10.42578125" style="16" bestFit="1" customWidth="1"/>
    <col min="1032" max="1032" width="10.28515625" style="16" bestFit="1" customWidth="1"/>
    <col min="1033" max="1033" width="7.140625" style="16" bestFit="1" customWidth="1"/>
    <col min="1034" max="1034" width="7.28515625" style="16" customWidth="1"/>
    <col min="1035" max="1036" width="7" style="16" bestFit="1" customWidth="1"/>
    <col min="1037" max="1037" width="6.85546875" style="16" bestFit="1" customWidth="1"/>
    <col min="1038" max="1038" width="7" style="16" bestFit="1" customWidth="1"/>
    <col min="1039" max="1039" width="7.140625" style="16" bestFit="1"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8.140625" style="16" customWidth="1"/>
    <col min="1283" max="1283" width="10.7109375" style="16" bestFit="1" customWidth="1"/>
    <col min="1284" max="1284" width="6.7109375" style="16" bestFit="1" customWidth="1"/>
    <col min="1285" max="1285" width="8.5703125" style="16" bestFit="1" customWidth="1"/>
    <col min="1286" max="1286" width="9.28515625" style="16" bestFit="1" customWidth="1"/>
    <col min="1287" max="1287" width="10.42578125" style="16" bestFit="1" customWidth="1"/>
    <col min="1288" max="1288" width="10.28515625" style="16" bestFit="1" customWidth="1"/>
    <col min="1289" max="1289" width="7.140625" style="16" bestFit="1" customWidth="1"/>
    <col min="1290" max="1290" width="7.28515625" style="16" customWidth="1"/>
    <col min="1291" max="1292" width="7" style="16" bestFit="1" customWidth="1"/>
    <col min="1293" max="1293" width="6.85546875" style="16" bestFit="1" customWidth="1"/>
    <col min="1294" max="1294" width="7" style="16" bestFit="1" customWidth="1"/>
    <col min="1295" max="1295" width="7.140625" style="16" bestFit="1"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8.140625" style="16" customWidth="1"/>
    <col min="1539" max="1539" width="10.7109375" style="16" bestFit="1" customWidth="1"/>
    <col min="1540" max="1540" width="6.7109375" style="16" bestFit="1" customWidth="1"/>
    <col min="1541" max="1541" width="8.5703125" style="16" bestFit="1" customWidth="1"/>
    <col min="1542" max="1542" width="9.28515625" style="16" bestFit="1" customWidth="1"/>
    <col min="1543" max="1543" width="10.42578125" style="16" bestFit="1" customWidth="1"/>
    <col min="1544" max="1544" width="10.28515625" style="16" bestFit="1" customWidth="1"/>
    <col min="1545" max="1545" width="7.140625" style="16" bestFit="1" customWidth="1"/>
    <col min="1546" max="1546" width="7.28515625" style="16" customWidth="1"/>
    <col min="1547" max="1548" width="7" style="16" bestFit="1" customWidth="1"/>
    <col min="1549" max="1549" width="6.85546875" style="16" bestFit="1" customWidth="1"/>
    <col min="1550" max="1550" width="7" style="16" bestFit="1" customWidth="1"/>
    <col min="1551" max="1551" width="7.140625" style="16" bestFit="1"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8.140625" style="16" customWidth="1"/>
    <col min="1795" max="1795" width="10.7109375" style="16" bestFit="1" customWidth="1"/>
    <col min="1796" max="1796" width="6.7109375" style="16" bestFit="1" customWidth="1"/>
    <col min="1797" max="1797" width="8.5703125" style="16" bestFit="1" customWidth="1"/>
    <col min="1798" max="1798" width="9.28515625" style="16" bestFit="1" customWidth="1"/>
    <col min="1799" max="1799" width="10.42578125" style="16" bestFit="1" customWidth="1"/>
    <col min="1800" max="1800" width="10.28515625" style="16" bestFit="1" customWidth="1"/>
    <col min="1801" max="1801" width="7.140625" style="16" bestFit="1" customWidth="1"/>
    <col min="1802" max="1802" width="7.28515625" style="16" customWidth="1"/>
    <col min="1803" max="1804" width="7" style="16" bestFit="1" customWidth="1"/>
    <col min="1805" max="1805" width="6.85546875" style="16" bestFit="1" customWidth="1"/>
    <col min="1806" max="1806" width="7" style="16" bestFit="1" customWidth="1"/>
    <col min="1807" max="1807" width="7.140625" style="16" bestFit="1"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8.140625" style="16" customWidth="1"/>
    <col min="2051" max="2051" width="10.7109375" style="16" bestFit="1" customWidth="1"/>
    <col min="2052" max="2052" width="6.7109375" style="16" bestFit="1" customWidth="1"/>
    <col min="2053" max="2053" width="8.5703125" style="16" bestFit="1" customWidth="1"/>
    <col min="2054" max="2054" width="9.28515625" style="16" bestFit="1" customWidth="1"/>
    <col min="2055" max="2055" width="10.42578125" style="16" bestFit="1" customWidth="1"/>
    <col min="2056" max="2056" width="10.28515625" style="16" bestFit="1" customWidth="1"/>
    <col min="2057" max="2057" width="7.140625" style="16" bestFit="1" customWidth="1"/>
    <col min="2058" max="2058" width="7.28515625" style="16" customWidth="1"/>
    <col min="2059" max="2060" width="7" style="16" bestFit="1" customWidth="1"/>
    <col min="2061" max="2061" width="6.85546875" style="16" bestFit="1" customWidth="1"/>
    <col min="2062" max="2062" width="7" style="16" bestFit="1" customWidth="1"/>
    <col min="2063" max="2063" width="7.140625" style="16" bestFit="1"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8.140625" style="16" customWidth="1"/>
    <col min="2307" max="2307" width="10.7109375" style="16" bestFit="1" customWidth="1"/>
    <col min="2308" max="2308" width="6.7109375" style="16" bestFit="1" customWidth="1"/>
    <col min="2309" max="2309" width="8.5703125" style="16" bestFit="1" customWidth="1"/>
    <col min="2310" max="2310" width="9.28515625" style="16" bestFit="1" customWidth="1"/>
    <col min="2311" max="2311" width="10.42578125" style="16" bestFit="1" customWidth="1"/>
    <col min="2312" max="2312" width="10.28515625" style="16" bestFit="1" customWidth="1"/>
    <col min="2313" max="2313" width="7.140625" style="16" bestFit="1" customWidth="1"/>
    <col min="2314" max="2314" width="7.28515625" style="16" customWidth="1"/>
    <col min="2315" max="2316" width="7" style="16" bestFit="1" customWidth="1"/>
    <col min="2317" max="2317" width="6.85546875" style="16" bestFit="1" customWidth="1"/>
    <col min="2318" max="2318" width="7" style="16" bestFit="1" customWidth="1"/>
    <col min="2319" max="2319" width="7.140625" style="16" bestFit="1"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8.140625" style="16" customWidth="1"/>
    <col min="2563" max="2563" width="10.7109375" style="16" bestFit="1" customWidth="1"/>
    <col min="2564" max="2564" width="6.7109375" style="16" bestFit="1" customWidth="1"/>
    <col min="2565" max="2565" width="8.5703125" style="16" bestFit="1" customWidth="1"/>
    <col min="2566" max="2566" width="9.28515625" style="16" bestFit="1" customWidth="1"/>
    <col min="2567" max="2567" width="10.42578125" style="16" bestFit="1" customWidth="1"/>
    <col min="2568" max="2568" width="10.28515625" style="16" bestFit="1" customWidth="1"/>
    <col min="2569" max="2569" width="7.140625" style="16" bestFit="1" customWidth="1"/>
    <col min="2570" max="2570" width="7.28515625" style="16" customWidth="1"/>
    <col min="2571" max="2572" width="7" style="16" bestFit="1" customWidth="1"/>
    <col min="2573" max="2573" width="6.85546875" style="16" bestFit="1" customWidth="1"/>
    <col min="2574" max="2574" width="7" style="16" bestFit="1" customWidth="1"/>
    <col min="2575" max="2575" width="7.140625" style="16" bestFit="1"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8.140625" style="16" customWidth="1"/>
    <col min="2819" max="2819" width="10.7109375" style="16" bestFit="1" customWidth="1"/>
    <col min="2820" max="2820" width="6.7109375" style="16" bestFit="1" customWidth="1"/>
    <col min="2821" max="2821" width="8.5703125" style="16" bestFit="1" customWidth="1"/>
    <col min="2822" max="2822" width="9.28515625" style="16" bestFit="1" customWidth="1"/>
    <col min="2823" max="2823" width="10.42578125" style="16" bestFit="1" customWidth="1"/>
    <col min="2824" max="2824" width="10.28515625" style="16" bestFit="1" customWidth="1"/>
    <col min="2825" max="2825" width="7.140625" style="16" bestFit="1" customWidth="1"/>
    <col min="2826" max="2826" width="7.28515625" style="16" customWidth="1"/>
    <col min="2827" max="2828" width="7" style="16" bestFit="1" customWidth="1"/>
    <col min="2829" max="2829" width="6.85546875" style="16" bestFit="1" customWidth="1"/>
    <col min="2830" max="2830" width="7" style="16" bestFit="1" customWidth="1"/>
    <col min="2831" max="2831" width="7.140625" style="16" bestFit="1"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8.140625" style="16" customWidth="1"/>
    <col min="3075" max="3075" width="10.7109375" style="16" bestFit="1" customWidth="1"/>
    <col min="3076" max="3076" width="6.7109375" style="16" bestFit="1" customWidth="1"/>
    <col min="3077" max="3077" width="8.5703125" style="16" bestFit="1" customWidth="1"/>
    <col min="3078" max="3078" width="9.28515625" style="16" bestFit="1" customWidth="1"/>
    <col min="3079" max="3079" width="10.42578125" style="16" bestFit="1" customWidth="1"/>
    <col min="3080" max="3080" width="10.28515625" style="16" bestFit="1" customWidth="1"/>
    <col min="3081" max="3081" width="7.140625" style="16" bestFit="1" customWidth="1"/>
    <col min="3082" max="3082" width="7.28515625" style="16" customWidth="1"/>
    <col min="3083" max="3084" width="7" style="16" bestFit="1" customWidth="1"/>
    <col min="3085" max="3085" width="6.85546875" style="16" bestFit="1" customWidth="1"/>
    <col min="3086" max="3086" width="7" style="16" bestFit="1" customWidth="1"/>
    <col min="3087" max="3087" width="7.140625" style="16" bestFit="1"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8.140625" style="16" customWidth="1"/>
    <col min="3331" max="3331" width="10.7109375" style="16" bestFit="1" customWidth="1"/>
    <col min="3332" max="3332" width="6.7109375" style="16" bestFit="1" customWidth="1"/>
    <col min="3333" max="3333" width="8.5703125" style="16" bestFit="1" customWidth="1"/>
    <col min="3334" max="3334" width="9.28515625" style="16" bestFit="1" customWidth="1"/>
    <col min="3335" max="3335" width="10.42578125" style="16" bestFit="1" customWidth="1"/>
    <col min="3336" max="3336" width="10.28515625" style="16" bestFit="1" customWidth="1"/>
    <col min="3337" max="3337" width="7.140625" style="16" bestFit="1" customWidth="1"/>
    <col min="3338" max="3338" width="7.28515625" style="16" customWidth="1"/>
    <col min="3339" max="3340" width="7" style="16" bestFit="1" customWidth="1"/>
    <col min="3341" max="3341" width="6.85546875" style="16" bestFit="1" customWidth="1"/>
    <col min="3342" max="3342" width="7" style="16" bestFit="1" customWidth="1"/>
    <col min="3343" max="3343" width="7.140625" style="16" bestFit="1"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8.140625" style="16" customWidth="1"/>
    <col min="3587" max="3587" width="10.7109375" style="16" bestFit="1" customWidth="1"/>
    <col min="3588" max="3588" width="6.7109375" style="16" bestFit="1" customWidth="1"/>
    <col min="3589" max="3589" width="8.5703125" style="16" bestFit="1" customWidth="1"/>
    <col min="3590" max="3590" width="9.28515625" style="16" bestFit="1" customWidth="1"/>
    <col min="3591" max="3591" width="10.42578125" style="16" bestFit="1" customWidth="1"/>
    <col min="3592" max="3592" width="10.28515625" style="16" bestFit="1" customWidth="1"/>
    <col min="3593" max="3593" width="7.140625" style="16" bestFit="1" customWidth="1"/>
    <col min="3594" max="3594" width="7.28515625" style="16" customWidth="1"/>
    <col min="3595" max="3596" width="7" style="16" bestFit="1" customWidth="1"/>
    <col min="3597" max="3597" width="6.85546875" style="16" bestFit="1" customWidth="1"/>
    <col min="3598" max="3598" width="7" style="16" bestFit="1" customWidth="1"/>
    <col min="3599" max="3599" width="7.140625" style="16" bestFit="1"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8.140625" style="16" customWidth="1"/>
    <col min="3843" max="3843" width="10.7109375" style="16" bestFit="1" customWidth="1"/>
    <col min="3844" max="3844" width="6.7109375" style="16" bestFit="1" customWidth="1"/>
    <col min="3845" max="3845" width="8.5703125" style="16" bestFit="1" customWidth="1"/>
    <col min="3846" max="3846" width="9.28515625" style="16" bestFit="1" customWidth="1"/>
    <col min="3847" max="3847" width="10.42578125" style="16" bestFit="1" customWidth="1"/>
    <col min="3848" max="3848" width="10.28515625" style="16" bestFit="1" customWidth="1"/>
    <col min="3849" max="3849" width="7.140625" style="16" bestFit="1" customWidth="1"/>
    <col min="3850" max="3850" width="7.28515625" style="16" customWidth="1"/>
    <col min="3851" max="3852" width="7" style="16" bestFit="1" customWidth="1"/>
    <col min="3853" max="3853" width="6.85546875" style="16" bestFit="1" customWidth="1"/>
    <col min="3854" max="3854" width="7" style="16" bestFit="1" customWidth="1"/>
    <col min="3855" max="3855" width="7.140625" style="16" bestFit="1"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8.140625" style="16" customWidth="1"/>
    <col min="4099" max="4099" width="10.7109375" style="16" bestFit="1" customWidth="1"/>
    <col min="4100" max="4100" width="6.7109375" style="16" bestFit="1" customWidth="1"/>
    <col min="4101" max="4101" width="8.5703125" style="16" bestFit="1" customWidth="1"/>
    <col min="4102" max="4102" width="9.28515625" style="16" bestFit="1" customWidth="1"/>
    <col min="4103" max="4103" width="10.42578125" style="16" bestFit="1" customWidth="1"/>
    <col min="4104" max="4104" width="10.28515625" style="16" bestFit="1" customWidth="1"/>
    <col min="4105" max="4105" width="7.140625" style="16" bestFit="1" customWidth="1"/>
    <col min="4106" max="4106" width="7.28515625" style="16" customWidth="1"/>
    <col min="4107" max="4108" width="7" style="16" bestFit="1" customWidth="1"/>
    <col min="4109" max="4109" width="6.85546875" style="16" bestFit="1" customWidth="1"/>
    <col min="4110" max="4110" width="7" style="16" bestFit="1" customWidth="1"/>
    <col min="4111" max="4111" width="7.140625" style="16" bestFit="1"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8.140625" style="16" customWidth="1"/>
    <col min="4355" max="4355" width="10.7109375" style="16" bestFit="1" customWidth="1"/>
    <col min="4356" max="4356" width="6.7109375" style="16" bestFit="1" customWidth="1"/>
    <col min="4357" max="4357" width="8.5703125" style="16" bestFit="1" customWidth="1"/>
    <col min="4358" max="4358" width="9.28515625" style="16" bestFit="1" customWidth="1"/>
    <col min="4359" max="4359" width="10.42578125" style="16" bestFit="1" customWidth="1"/>
    <col min="4360" max="4360" width="10.28515625" style="16" bestFit="1" customWidth="1"/>
    <col min="4361" max="4361" width="7.140625" style="16" bestFit="1" customWidth="1"/>
    <col min="4362" max="4362" width="7.28515625" style="16" customWidth="1"/>
    <col min="4363" max="4364" width="7" style="16" bestFit="1" customWidth="1"/>
    <col min="4365" max="4365" width="6.85546875" style="16" bestFit="1" customWidth="1"/>
    <col min="4366" max="4366" width="7" style="16" bestFit="1" customWidth="1"/>
    <col min="4367" max="4367" width="7.140625" style="16" bestFit="1"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8.140625" style="16" customWidth="1"/>
    <col min="4611" max="4611" width="10.7109375" style="16" bestFit="1" customWidth="1"/>
    <col min="4612" max="4612" width="6.7109375" style="16" bestFit="1" customWidth="1"/>
    <col min="4613" max="4613" width="8.5703125" style="16" bestFit="1" customWidth="1"/>
    <col min="4614" max="4614" width="9.28515625" style="16" bestFit="1" customWidth="1"/>
    <col min="4615" max="4615" width="10.42578125" style="16" bestFit="1" customWidth="1"/>
    <col min="4616" max="4616" width="10.28515625" style="16" bestFit="1" customWidth="1"/>
    <col min="4617" max="4617" width="7.140625" style="16" bestFit="1" customWidth="1"/>
    <col min="4618" max="4618" width="7.28515625" style="16" customWidth="1"/>
    <col min="4619" max="4620" width="7" style="16" bestFit="1" customWidth="1"/>
    <col min="4621" max="4621" width="6.85546875" style="16" bestFit="1" customWidth="1"/>
    <col min="4622" max="4622" width="7" style="16" bestFit="1" customWidth="1"/>
    <col min="4623" max="4623" width="7.140625" style="16" bestFit="1"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8.140625" style="16" customWidth="1"/>
    <col min="4867" max="4867" width="10.7109375" style="16" bestFit="1" customWidth="1"/>
    <col min="4868" max="4868" width="6.7109375" style="16" bestFit="1" customWidth="1"/>
    <col min="4869" max="4869" width="8.5703125" style="16" bestFit="1" customWidth="1"/>
    <col min="4870" max="4870" width="9.28515625" style="16" bestFit="1" customWidth="1"/>
    <col min="4871" max="4871" width="10.42578125" style="16" bestFit="1" customWidth="1"/>
    <col min="4872" max="4872" width="10.28515625" style="16" bestFit="1" customWidth="1"/>
    <col min="4873" max="4873" width="7.140625" style="16" bestFit="1" customWidth="1"/>
    <col min="4874" max="4874" width="7.28515625" style="16" customWidth="1"/>
    <col min="4875" max="4876" width="7" style="16" bestFit="1" customWidth="1"/>
    <col min="4877" max="4877" width="6.85546875" style="16" bestFit="1" customWidth="1"/>
    <col min="4878" max="4878" width="7" style="16" bestFit="1" customWidth="1"/>
    <col min="4879" max="4879" width="7.140625" style="16" bestFit="1"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8.140625" style="16" customWidth="1"/>
    <col min="5123" max="5123" width="10.7109375" style="16" bestFit="1" customWidth="1"/>
    <col min="5124" max="5124" width="6.7109375" style="16" bestFit="1" customWidth="1"/>
    <col min="5125" max="5125" width="8.5703125" style="16" bestFit="1" customWidth="1"/>
    <col min="5126" max="5126" width="9.28515625" style="16" bestFit="1" customWidth="1"/>
    <col min="5127" max="5127" width="10.42578125" style="16" bestFit="1" customWidth="1"/>
    <col min="5128" max="5128" width="10.28515625" style="16" bestFit="1" customWidth="1"/>
    <col min="5129" max="5129" width="7.140625" style="16" bestFit="1" customWidth="1"/>
    <col min="5130" max="5130" width="7.28515625" style="16" customWidth="1"/>
    <col min="5131" max="5132" width="7" style="16" bestFit="1" customWidth="1"/>
    <col min="5133" max="5133" width="6.85546875" style="16" bestFit="1" customWidth="1"/>
    <col min="5134" max="5134" width="7" style="16" bestFit="1" customWidth="1"/>
    <col min="5135" max="5135" width="7.140625" style="16" bestFit="1"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8.140625" style="16" customWidth="1"/>
    <col min="5379" max="5379" width="10.7109375" style="16" bestFit="1" customWidth="1"/>
    <col min="5380" max="5380" width="6.7109375" style="16" bestFit="1" customWidth="1"/>
    <col min="5381" max="5381" width="8.5703125" style="16" bestFit="1" customWidth="1"/>
    <col min="5382" max="5382" width="9.28515625" style="16" bestFit="1" customWidth="1"/>
    <col min="5383" max="5383" width="10.42578125" style="16" bestFit="1" customWidth="1"/>
    <col min="5384" max="5384" width="10.28515625" style="16" bestFit="1" customWidth="1"/>
    <col min="5385" max="5385" width="7.140625" style="16" bestFit="1" customWidth="1"/>
    <col min="5386" max="5386" width="7.28515625" style="16" customWidth="1"/>
    <col min="5387" max="5388" width="7" style="16" bestFit="1" customWidth="1"/>
    <col min="5389" max="5389" width="6.85546875" style="16" bestFit="1" customWidth="1"/>
    <col min="5390" max="5390" width="7" style="16" bestFit="1" customWidth="1"/>
    <col min="5391" max="5391" width="7.140625" style="16" bestFit="1"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8.140625" style="16" customWidth="1"/>
    <col min="5635" max="5635" width="10.7109375" style="16" bestFit="1" customWidth="1"/>
    <col min="5636" max="5636" width="6.7109375" style="16" bestFit="1" customWidth="1"/>
    <col min="5637" max="5637" width="8.5703125" style="16" bestFit="1" customWidth="1"/>
    <col min="5638" max="5638" width="9.28515625" style="16" bestFit="1" customWidth="1"/>
    <col min="5639" max="5639" width="10.42578125" style="16" bestFit="1" customWidth="1"/>
    <col min="5640" max="5640" width="10.28515625" style="16" bestFit="1" customWidth="1"/>
    <col min="5641" max="5641" width="7.140625" style="16" bestFit="1" customWidth="1"/>
    <col min="5642" max="5642" width="7.28515625" style="16" customWidth="1"/>
    <col min="5643" max="5644" width="7" style="16" bestFit="1" customWidth="1"/>
    <col min="5645" max="5645" width="6.85546875" style="16" bestFit="1" customWidth="1"/>
    <col min="5646" max="5646" width="7" style="16" bestFit="1" customWidth="1"/>
    <col min="5647" max="5647" width="7.140625" style="16" bestFit="1"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8.140625" style="16" customWidth="1"/>
    <col min="5891" max="5891" width="10.7109375" style="16" bestFit="1" customWidth="1"/>
    <col min="5892" max="5892" width="6.7109375" style="16" bestFit="1" customWidth="1"/>
    <col min="5893" max="5893" width="8.5703125" style="16" bestFit="1" customWidth="1"/>
    <col min="5894" max="5894" width="9.28515625" style="16" bestFit="1" customWidth="1"/>
    <col min="5895" max="5895" width="10.42578125" style="16" bestFit="1" customWidth="1"/>
    <col min="5896" max="5896" width="10.28515625" style="16" bestFit="1" customWidth="1"/>
    <col min="5897" max="5897" width="7.140625" style="16" bestFit="1" customWidth="1"/>
    <col min="5898" max="5898" width="7.28515625" style="16" customWidth="1"/>
    <col min="5899" max="5900" width="7" style="16" bestFit="1" customWidth="1"/>
    <col min="5901" max="5901" width="6.85546875" style="16" bestFit="1" customWidth="1"/>
    <col min="5902" max="5902" width="7" style="16" bestFit="1" customWidth="1"/>
    <col min="5903" max="5903" width="7.140625" style="16" bestFit="1"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8.140625" style="16" customWidth="1"/>
    <col min="6147" max="6147" width="10.7109375" style="16" bestFit="1" customWidth="1"/>
    <col min="6148" max="6148" width="6.7109375" style="16" bestFit="1" customWidth="1"/>
    <col min="6149" max="6149" width="8.5703125" style="16" bestFit="1" customWidth="1"/>
    <col min="6150" max="6150" width="9.28515625" style="16" bestFit="1" customWidth="1"/>
    <col min="6151" max="6151" width="10.42578125" style="16" bestFit="1" customWidth="1"/>
    <col min="6152" max="6152" width="10.28515625" style="16" bestFit="1" customWidth="1"/>
    <col min="6153" max="6153" width="7.140625" style="16" bestFit="1" customWidth="1"/>
    <col min="6154" max="6154" width="7.28515625" style="16" customWidth="1"/>
    <col min="6155" max="6156" width="7" style="16" bestFit="1" customWidth="1"/>
    <col min="6157" max="6157" width="6.85546875" style="16" bestFit="1" customWidth="1"/>
    <col min="6158" max="6158" width="7" style="16" bestFit="1" customWidth="1"/>
    <col min="6159" max="6159" width="7.140625" style="16" bestFit="1"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8.140625" style="16" customWidth="1"/>
    <col min="6403" max="6403" width="10.7109375" style="16" bestFit="1" customWidth="1"/>
    <col min="6404" max="6404" width="6.7109375" style="16" bestFit="1" customWidth="1"/>
    <col min="6405" max="6405" width="8.5703125" style="16" bestFit="1" customWidth="1"/>
    <col min="6406" max="6406" width="9.28515625" style="16" bestFit="1" customWidth="1"/>
    <col min="6407" max="6407" width="10.42578125" style="16" bestFit="1" customWidth="1"/>
    <col min="6408" max="6408" width="10.28515625" style="16" bestFit="1" customWidth="1"/>
    <col min="6409" max="6409" width="7.140625" style="16" bestFit="1" customWidth="1"/>
    <col min="6410" max="6410" width="7.28515625" style="16" customWidth="1"/>
    <col min="6411" max="6412" width="7" style="16" bestFit="1" customWidth="1"/>
    <col min="6413" max="6413" width="6.85546875" style="16" bestFit="1" customWidth="1"/>
    <col min="6414" max="6414" width="7" style="16" bestFit="1" customWidth="1"/>
    <col min="6415" max="6415" width="7.140625" style="16" bestFit="1"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8.140625" style="16" customWidth="1"/>
    <col min="6659" max="6659" width="10.7109375" style="16" bestFit="1" customWidth="1"/>
    <col min="6660" max="6660" width="6.7109375" style="16" bestFit="1" customWidth="1"/>
    <col min="6661" max="6661" width="8.5703125" style="16" bestFit="1" customWidth="1"/>
    <col min="6662" max="6662" width="9.28515625" style="16" bestFit="1" customWidth="1"/>
    <col min="6663" max="6663" width="10.42578125" style="16" bestFit="1" customWidth="1"/>
    <col min="6664" max="6664" width="10.28515625" style="16" bestFit="1" customWidth="1"/>
    <col min="6665" max="6665" width="7.140625" style="16" bestFit="1" customWidth="1"/>
    <col min="6666" max="6666" width="7.28515625" style="16" customWidth="1"/>
    <col min="6667" max="6668" width="7" style="16" bestFit="1" customWidth="1"/>
    <col min="6669" max="6669" width="6.85546875" style="16" bestFit="1" customWidth="1"/>
    <col min="6670" max="6670" width="7" style="16" bestFit="1" customWidth="1"/>
    <col min="6671" max="6671" width="7.140625" style="16" bestFit="1"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8.140625" style="16" customWidth="1"/>
    <col min="6915" max="6915" width="10.7109375" style="16" bestFit="1" customWidth="1"/>
    <col min="6916" max="6916" width="6.7109375" style="16" bestFit="1" customWidth="1"/>
    <col min="6917" max="6917" width="8.5703125" style="16" bestFit="1" customWidth="1"/>
    <col min="6918" max="6918" width="9.28515625" style="16" bestFit="1" customWidth="1"/>
    <col min="6919" max="6919" width="10.42578125" style="16" bestFit="1" customWidth="1"/>
    <col min="6920" max="6920" width="10.28515625" style="16" bestFit="1" customWidth="1"/>
    <col min="6921" max="6921" width="7.140625" style="16" bestFit="1" customWidth="1"/>
    <col min="6922" max="6922" width="7.28515625" style="16" customWidth="1"/>
    <col min="6923" max="6924" width="7" style="16" bestFit="1" customWidth="1"/>
    <col min="6925" max="6925" width="6.85546875" style="16" bestFit="1" customWidth="1"/>
    <col min="6926" max="6926" width="7" style="16" bestFit="1" customWidth="1"/>
    <col min="6927" max="6927" width="7.140625" style="16" bestFit="1"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8.140625" style="16" customWidth="1"/>
    <col min="7171" max="7171" width="10.7109375" style="16" bestFit="1" customWidth="1"/>
    <col min="7172" max="7172" width="6.7109375" style="16" bestFit="1" customWidth="1"/>
    <col min="7173" max="7173" width="8.5703125" style="16" bestFit="1" customWidth="1"/>
    <col min="7174" max="7174" width="9.28515625" style="16" bestFit="1" customWidth="1"/>
    <col min="7175" max="7175" width="10.42578125" style="16" bestFit="1" customWidth="1"/>
    <col min="7176" max="7176" width="10.28515625" style="16" bestFit="1" customWidth="1"/>
    <col min="7177" max="7177" width="7.140625" style="16" bestFit="1" customWidth="1"/>
    <col min="7178" max="7178" width="7.28515625" style="16" customWidth="1"/>
    <col min="7179" max="7180" width="7" style="16" bestFit="1" customWidth="1"/>
    <col min="7181" max="7181" width="6.85546875" style="16" bestFit="1" customWidth="1"/>
    <col min="7182" max="7182" width="7" style="16" bestFit="1" customWidth="1"/>
    <col min="7183" max="7183" width="7.140625" style="16" bestFit="1"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8.140625" style="16" customWidth="1"/>
    <col min="7427" max="7427" width="10.7109375" style="16" bestFit="1" customWidth="1"/>
    <col min="7428" max="7428" width="6.7109375" style="16" bestFit="1" customWidth="1"/>
    <col min="7429" max="7429" width="8.5703125" style="16" bestFit="1" customWidth="1"/>
    <col min="7430" max="7430" width="9.28515625" style="16" bestFit="1" customWidth="1"/>
    <col min="7431" max="7431" width="10.42578125" style="16" bestFit="1" customWidth="1"/>
    <col min="7432" max="7432" width="10.28515625" style="16" bestFit="1" customWidth="1"/>
    <col min="7433" max="7433" width="7.140625" style="16" bestFit="1" customWidth="1"/>
    <col min="7434" max="7434" width="7.28515625" style="16" customWidth="1"/>
    <col min="7435" max="7436" width="7" style="16" bestFit="1" customWidth="1"/>
    <col min="7437" max="7437" width="6.85546875" style="16" bestFit="1" customWidth="1"/>
    <col min="7438" max="7438" width="7" style="16" bestFit="1" customWidth="1"/>
    <col min="7439" max="7439" width="7.140625" style="16" bestFit="1"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8.140625" style="16" customWidth="1"/>
    <col min="7683" max="7683" width="10.7109375" style="16" bestFit="1" customWidth="1"/>
    <col min="7684" max="7684" width="6.7109375" style="16" bestFit="1" customWidth="1"/>
    <col min="7685" max="7685" width="8.5703125" style="16" bestFit="1" customWidth="1"/>
    <col min="7686" max="7686" width="9.28515625" style="16" bestFit="1" customWidth="1"/>
    <col min="7687" max="7687" width="10.42578125" style="16" bestFit="1" customWidth="1"/>
    <col min="7688" max="7688" width="10.28515625" style="16" bestFit="1" customWidth="1"/>
    <col min="7689" max="7689" width="7.140625" style="16" bestFit="1" customWidth="1"/>
    <col min="7690" max="7690" width="7.28515625" style="16" customWidth="1"/>
    <col min="7691" max="7692" width="7" style="16" bestFit="1" customWidth="1"/>
    <col min="7693" max="7693" width="6.85546875" style="16" bestFit="1" customWidth="1"/>
    <col min="7694" max="7694" width="7" style="16" bestFit="1" customWidth="1"/>
    <col min="7695" max="7695" width="7.140625" style="16" bestFit="1"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8.140625" style="16" customWidth="1"/>
    <col min="7939" max="7939" width="10.7109375" style="16" bestFit="1" customWidth="1"/>
    <col min="7940" max="7940" width="6.7109375" style="16" bestFit="1" customWidth="1"/>
    <col min="7941" max="7941" width="8.5703125" style="16" bestFit="1" customWidth="1"/>
    <col min="7942" max="7942" width="9.28515625" style="16" bestFit="1" customWidth="1"/>
    <col min="7943" max="7943" width="10.42578125" style="16" bestFit="1" customWidth="1"/>
    <col min="7944" max="7944" width="10.28515625" style="16" bestFit="1" customWidth="1"/>
    <col min="7945" max="7945" width="7.140625" style="16" bestFit="1" customWidth="1"/>
    <col min="7946" max="7946" width="7.28515625" style="16" customWidth="1"/>
    <col min="7947" max="7948" width="7" style="16" bestFit="1" customWidth="1"/>
    <col min="7949" max="7949" width="6.85546875" style="16" bestFit="1" customWidth="1"/>
    <col min="7950" max="7950" width="7" style="16" bestFit="1" customWidth="1"/>
    <col min="7951" max="7951" width="7.140625" style="16" bestFit="1"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8.140625" style="16" customWidth="1"/>
    <col min="8195" max="8195" width="10.7109375" style="16" bestFit="1" customWidth="1"/>
    <col min="8196" max="8196" width="6.7109375" style="16" bestFit="1" customWidth="1"/>
    <col min="8197" max="8197" width="8.5703125" style="16" bestFit="1" customWidth="1"/>
    <col min="8198" max="8198" width="9.28515625" style="16" bestFit="1" customWidth="1"/>
    <col min="8199" max="8199" width="10.42578125" style="16" bestFit="1" customWidth="1"/>
    <col min="8200" max="8200" width="10.28515625" style="16" bestFit="1" customWidth="1"/>
    <col min="8201" max="8201" width="7.140625" style="16" bestFit="1" customWidth="1"/>
    <col min="8202" max="8202" width="7.28515625" style="16" customWidth="1"/>
    <col min="8203" max="8204" width="7" style="16" bestFit="1" customWidth="1"/>
    <col min="8205" max="8205" width="6.85546875" style="16" bestFit="1" customWidth="1"/>
    <col min="8206" max="8206" width="7" style="16" bestFit="1" customWidth="1"/>
    <col min="8207" max="8207" width="7.140625" style="16" bestFit="1"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8.140625" style="16" customWidth="1"/>
    <col min="8451" max="8451" width="10.7109375" style="16" bestFit="1" customWidth="1"/>
    <col min="8452" max="8452" width="6.7109375" style="16" bestFit="1" customWidth="1"/>
    <col min="8453" max="8453" width="8.5703125" style="16" bestFit="1" customWidth="1"/>
    <col min="8454" max="8454" width="9.28515625" style="16" bestFit="1" customWidth="1"/>
    <col min="8455" max="8455" width="10.42578125" style="16" bestFit="1" customWidth="1"/>
    <col min="8456" max="8456" width="10.28515625" style="16" bestFit="1" customWidth="1"/>
    <col min="8457" max="8457" width="7.140625" style="16" bestFit="1" customWidth="1"/>
    <col min="8458" max="8458" width="7.28515625" style="16" customWidth="1"/>
    <col min="8459" max="8460" width="7" style="16" bestFit="1" customWidth="1"/>
    <col min="8461" max="8461" width="6.85546875" style="16" bestFit="1" customWidth="1"/>
    <col min="8462" max="8462" width="7" style="16" bestFit="1" customWidth="1"/>
    <col min="8463" max="8463" width="7.140625" style="16" bestFit="1"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8.140625" style="16" customWidth="1"/>
    <col min="8707" max="8707" width="10.7109375" style="16" bestFit="1" customWidth="1"/>
    <col min="8708" max="8708" width="6.7109375" style="16" bestFit="1" customWidth="1"/>
    <col min="8709" max="8709" width="8.5703125" style="16" bestFit="1" customWidth="1"/>
    <col min="8710" max="8710" width="9.28515625" style="16" bestFit="1" customWidth="1"/>
    <col min="8711" max="8711" width="10.42578125" style="16" bestFit="1" customWidth="1"/>
    <col min="8712" max="8712" width="10.28515625" style="16" bestFit="1" customWidth="1"/>
    <col min="8713" max="8713" width="7.140625" style="16" bestFit="1" customWidth="1"/>
    <col min="8714" max="8714" width="7.28515625" style="16" customWidth="1"/>
    <col min="8715" max="8716" width="7" style="16" bestFit="1" customWidth="1"/>
    <col min="8717" max="8717" width="6.85546875" style="16" bestFit="1" customWidth="1"/>
    <col min="8718" max="8718" width="7" style="16" bestFit="1" customWidth="1"/>
    <col min="8719" max="8719" width="7.140625" style="16" bestFit="1"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8.140625" style="16" customWidth="1"/>
    <col min="8963" max="8963" width="10.7109375" style="16" bestFit="1" customWidth="1"/>
    <col min="8964" max="8964" width="6.7109375" style="16" bestFit="1" customWidth="1"/>
    <col min="8965" max="8965" width="8.5703125" style="16" bestFit="1" customWidth="1"/>
    <col min="8966" max="8966" width="9.28515625" style="16" bestFit="1" customWidth="1"/>
    <col min="8967" max="8967" width="10.42578125" style="16" bestFit="1" customWidth="1"/>
    <col min="8968" max="8968" width="10.28515625" style="16" bestFit="1" customWidth="1"/>
    <col min="8969" max="8969" width="7.140625" style="16" bestFit="1" customWidth="1"/>
    <col min="8970" max="8970" width="7.28515625" style="16" customWidth="1"/>
    <col min="8971" max="8972" width="7" style="16" bestFit="1" customWidth="1"/>
    <col min="8973" max="8973" width="6.85546875" style="16" bestFit="1" customWidth="1"/>
    <col min="8974" max="8974" width="7" style="16" bestFit="1" customWidth="1"/>
    <col min="8975" max="8975" width="7.140625" style="16" bestFit="1"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8.140625" style="16" customWidth="1"/>
    <col min="9219" max="9219" width="10.7109375" style="16" bestFit="1" customWidth="1"/>
    <col min="9220" max="9220" width="6.7109375" style="16" bestFit="1" customWidth="1"/>
    <col min="9221" max="9221" width="8.5703125" style="16" bestFit="1" customWidth="1"/>
    <col min="9222" max="9222" width="9.28515625" style="16" bestFit="1" customWidth="1"/>
    <col min="9223" max="9223" width="10.42578125" style="16" bestFit="1" customWidth="1"/>
    <col min="9224" max="9224" width="10.28515625" style="16" bestFit="1" customWidth="1"/>
    <col min="9225" max="9225" width="7.140625" style="16" bestFit="1" customWidth="1"/>
    <col min="9226" max="9226" width="7.28515625" style="16" customWidth="1"/>
    <col min="9227" max="9228" width="7" style="16" bestFit="1" customWidth="1"/>
    <col min="9229" max="9229" width="6.85546875" style="16" bestFit="1" customWidth="1"/>
    <col min="9230" max="9230" width="7" style="16" bestFit="1" customWidth="1"/>
    <col min="9231" max="9231" width="7.140625" style="16" bestFit="1"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8.140625" style="16" customWidth="1"/>
    <col min="9475" max="9475" width="10.7109375" style="16" bestFit="1" customWidth="1"/>
    <col min="9476" max="9476" width="6.7109375" style="16" bestFit="1" customWidth="1"/>
    <col min="9477" max="9477" width="8.5703125" style="16" bestFit="1" customWidth="1"/>
    <col min="9478" max="9478" width="9.28515625" style="16" bestFit="1" customWidth="1"/>
    <col min="9479" max="9479" width="10.42578125" style="16" bestFit="1" customWidth="1"/>
    <col min="9480" max="9480" width="10.28515625" style="16" bestFit="1" customWidth="1"/>
    <col min="9481" max="9481" width="7.140625" style="16" bestFit="1" customWidth="1"/>
    <col min="9482" max="9482" width="7.28515625" style="16" customWidth="1"/>
    <col min="9483" max="9484" width="7" style="16" bestFit="1" customWidth="1"/>
    <col min="9485" max="9485" width="6.85546875" style="16" bestFit="1" customWidth="1"/>
    <col min="9486" max="9486" width="7" style="16" bestFit="1" customWidth="1"/>
    <col min="9487" max="9487" width="7.140625" style="16" bestFit="1"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8.140625" style="16" customWidth="1"/>
    <col min="9731" max="9731" width="10.7109375" style="16" bestFit="1" customWidth="1"/>
    <col min="9732" max="9732" width="6.7109375" style="16" bestFit="1" customWidth="1"/>
    <col min="9733" max="9733" width="8.5703125" style="16" bestFit="1" customWidth="1"/>
    <col min="9734" max="9734" width="9.28515625" style="16" bestFit="1" customWidth="1"/>
    <col min="9735" max="9735" width="10.42578125" style="16" bestFit="1" customWidth="1"/>
    <col min="9736" max="9736" width="10.28515625" style="16" bestFit="1" customWidth="1"/>
    <col min="9737" max="9737" width="7.140625" style="16" bestFit="1" customWidth="1"/>
    <col min="9738" max="9738" width="7.28515625" style="16" customWidth="1"/>
    <col min="9739" max="9740" width="7" style="16" bestFit="1" customWidth="1"/>
    <col min="9741" max="9741" width="6.85546875" style="16" bestFit="1" customWidth="1"/>
    <col min="9742" max="9742" width="7" style="16" bestFit="1" customWidth="1"/>
    <col min="9743" max="9743" width="7.140625" style="16" bestFit="1"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8.140625" style="16" customWidth="1"/>
    <col min="9987" max="9987" width="10.7109375" style="16" bestFit="1" customWidth="1"/>
    <col min="9988" max="9988" width="6.7109375" style="16" bestFit="1" customWidth="1"/>
    <col min="9989" max="9989" width="8.5703125" style="16" bestFit="1" customWidth="1"/>
    <col min="9990" max="9990" width="9.28515625" style="16" bestFit="1" customWidth="1"/>
    <col min="9991" max="9991" width="10.42578125" style="16" bestFit="1" customWidth="1"/>
    <col min="9992" max="9992" width="10.28515625" style="16" bestFit="1" customWidth="1"/>
    <col min="9993" max="9993" width="7.140625" style="16" bestFit="1" customWidth="1"/>
    <col min="9994" max="9994" width="7.28515625" style="16" customWidth="1"/>
    <col min="9995" max="9996" width="7" style="16" bestFit="1" customWidth="1"/>
    <col min="9997" max="9997" width="6.85546875" style="16" bestFit="1" customWidth="1"/>
    <col min="9998" max="9998" width="7" style="16" bestFit="1" customWidth="1"/>
    <col min="9999" max="9999" width="7.140625" style="16" bestFit="1"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8.140625" style="16" customWidth="1"/>
    <col min="10243" max="10243" width="10.7109375" style="16" bestFit="1" customWidth="1"/>
    <col min="10244" max="10244" width="6.7109375" style="16" bestFit="1" customWidth="1"/>
    <col min="10245" max="10245" width="8.5703125" style="16" bestFit="1" customWidth="1"/>
    <col min="10246" max="10246" width="9.28515625" style="16" bestFit="1" customWidth="1"/>
    <col min="10247" max="10247" width="10.42578125" style="16" bestFit="1" customWidth="1"/>
    <col min="10248" max="10248" width="10.28515625" style="16" bestFit="1" customWidth="1"/>
    <col min="10249" max="10249" width="7.140625" style="16" bestFit="1" customWidth="1"/>
    <col min="10250" max="10250" width="7.28515625" style="16" customWidth="1"/>
    <col min="10251" max="10252" width="7" style="16" bestFit="1" customWidth="1"/>
    <col min="10253" max="10253" width="6.85546875" style="16" bestFit="1" customWidth="1"/>
    <col min="10254" max="10254" width="7" style="16" bestFit="1" customWidth="1"/>
    <col min="10255" max="10255" width="7.140625" style="16" bestFit="1"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8.140625" style="16" customWidth="1"/>
    <col min="10499" max="10499" width="10.7109375" style="16" bestFit="1" customWidth="1"/>
    <col min="10500" max="10500" width="6.7109375" style="16" bestFit="1" customWidth="1"/>
    <col min="10501" max="10501" width="8.5703125" style="16" bestFit="1" customWidth="1"/>
    <col min="10502" max="10502" width="9.28515625" style="16" bestFit="1" customWidth="1"/>
    <col min="10503" max="10503" width="10.42578125" style="16" bestFit="1" customWidth="1"/>
    <col min="10504" max="10504" width="10.28515625" style="16" bestFit="1" customWidth="1"/>
    <col min="10505" max="10505" width="7.140625" style="16" bestFit="1" customWidth="1"/>
    <col min="10506" max="10506" width="7.28515625" style="16" customWidth="1"/>
    <col min="10507" max="10508" width="7" style="16" bestFit="1" customWidth="1"/>
    <col min="10509" max="10509" width="6.85546875" style="16" bestFit="1" customWidth="1"/>
    <col min="10510" max="10510" width="7" style="16" bestFit="1" customWidth="1"/>
    <col min="10511" max="10511" width="7.140625" style="16" bestFit="1"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8.140625" style="16" customWidth="1"/>
    <col min="10755" max="10755" width="10.7109375" style="16" bestFit="1" customWidth="1"/>
    <col min="10756" max="10756" width="6.7109375" style="16" bestFit="1" customWidth="1"/>
    <col min="10757" max="10757" width="8.5703125" style="16" bestFit="1" customWidth="1"/>
    <col min="10758" max="10758" width="9.28515625" style="16" bestFit="1" customWidth="1"/>
    <col min="10759" max="10759" width="10.42578125" style="16" bestFit="1" customWidth="1"/>
    <col min="10760" max="10760" width="10.28515625" style="16" bestFit="1" customWidth="1"/>
    <col min="10761" max="10761" width="7.140625" style="16" bestFit="1" customWidth="1"/>
    <col min="10762" max="10762" width="7.28515625" style="16" customWidth="1"/>
    <col min="10763" max="10764" width="7" style="16" bestFit="1" customWidth="1"/>
    <col min="10765" max="10765" width="6.85546875" style="16" bestFit="1" customWidth="1"/>
    <col min="10766" max="10766" width="7" style="16" bestFit="1" customWidth="1"/>
    <col min="10767" max="10767" width="7.140625" style="16" bestFit="1"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8.140625" style="16" customWidth="1"/>
    <col min="11011" max="11011" width="10.7109375" style="16" bestFit="1" customWidth="1"/>
    <col min="11012" max="11012" width="6.7109375" style="16" bestFit="1" customWidth="1"/>
    <col min="11013" max="11013" width="8.5703125" style="16" bestFit="1" customWidth="1"/>
    <col min="11014" max="11014" width="9.28515625" style="16" bestFit="1" customWidth="1"/>
    <col min="11015" max="11015" width="10.42578125" style="16" bestFit="1" customWidth="1"/>
    <col min="11016" max="11016" width="10.28515625" style="16" bestFit="1" customWidth="1"/>
    <col min="11017" max="11017" width="7.140625" style="16" bestFit="1" customWidth="1"/>
    <col min="11018" max="11018" width="7.28515625" style="16" customWidth="1"/>
    <col min="11019" max="11020" width="7" style="16" bestFit="1" customWidth="1"/>
    <col min="11021" max="11021" width="6.85546875" style="16" bestFit="1" customWidth="1"/>
    <col min="11022" max="11022" width="7" style="16" bestFit="1" customWidth="1"/>
    <col min="11023" max="11023" width="7.140625" style="16" bestFit="1"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8.140625" style="16" customWidth="1"/>
    <col min="11267" max="11267" width="10.7109375" style="16" bestFit="1" customWidth="1"/>
    <col min="11268" max="11268" width="6.7109375" style="16" bestFit="1" customWidth="1"/>
    <col min="11269" max="11269" width="8.5703125" style="16" bestFit="1" customWidth="1"/>
    <col min="11270" max="11270" width="9.28515625" style="16" bestFit="1" customWidth="1"/>
    <col min="11271" max="11271" width="10.42578125" style="16" bestFit="1" customWidth="1"/>
    <col min="11272" max="11272" width="10.28515625" style="16" bestFit="1" customWidth="1"/>
    <col min="11273" max="11273" width="7.140625" style="16" bestFit="1" customWidth="1"/>
    <col min="11274" max="11274" width="7.28515625" style="16" customWidth="1"/>
    <col min="11275" max="11276" width="7" style="16" bestFit="1" customWidth="1"/>
    <col min="11277" max="11277" width="6.85546875" style="16" bestFit="1" customWidth="1"/>
    <col min="11278" max="11278" width="7" style="16" bestFit="1" customWidth="1"/>
    <col min="11279" max="11279" width="7.140625" style="16" bestFit="1"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8.140625" style="16" customWidth="1"/>
    <col min="11523" max="11523" width="10.7109375" style="16" bestFit="1" customWidth="1"/>
    <col min="11524" max="11524" width="6.7109375" style="16" bestFit="1" customWidth="1"/>
    <col min="11525" max="11525" width="8.5703125" style="16" bestFit="1" customWidth="1"/>
    <col min="11526" max="11526" width="9.28515625" style="16" bestFit="1" customWidth="1"/>
    <col min="11527" max="11527" width="10.42578125" style="16" bestFit="1" customWidth="1"/>
    <col min="11528" max="11528" width="10.28515625" style="16" bestFit="1" customWidth="1"/>
    <col min="11529" max="11529" width="7.140625" style="16" bestFit="1" customWidth="1"/>
    <col min="11530" max="11530" width="7.28515625" style="16" customWidth="1"/>
    <col min="11531" max="11532" width="7" style="16" bestFit="1" customWidth="1"/>
    <col min="11533" max="11533" width="6.85546875" style="16" bestFit="1" customWidth="1"/>
    <col min="11534" max="11534" width="7" style="16" bestFit="1" customWidth="1"/>
    <col min="11535" max="11535" width="7.140625" style="16" bestFit="1"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8.140625" style="16" customWidth="1"/>
    <col min="11779" max="11779" width="10.7109375" style="16" bestFit="1" customWidth="1"/>
    <col min="11780" max="11780" width="6.7109375" style="16" bestFit="1" customWidth="1"/>
    <col min="11781" max="11781" width="8.5703125" style="16" bestFit="1" customWidth="1"/>
    <col min="11782" max="11782" width="9.28515625" style="16" bestFit="1" customWidth="1"/>
    <col min="11783" max="11783" width="10.42578125" style="16" bestFit="1" customWidth="1"/>
    <col min="11784" max="11784" width="10.28515625" style="16" bestFit="1" customWidth="1"/>
    <col min="11785" max="11785" width="7.140625" style="16" bestFit="1" customWidth="1"/>
    <col min="11786" max="11786" width="7.28515625" style="16" customWidth="1"/>
    <col min="11787" max="11788" width="7" style="16" bestFit="1" customWidth="1"/>
    <col min="11789" max="11789" width="6.85546875" style="16" bestFit="1" customWidth="1"/>
    <col min="11790" max="11790" width="7" style="16" bestFit="1" customWidth="1"/>
    <col min="11791" max="11791" width="7.140625" style="16" bestFit="1"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8.140625" style="16" customWidth="1"/>
    <col min="12035" max="12035" width="10.7109375" style="16" bestFit="1" customWidth="1"/>
    <col min="12036" max="12036" width="6.7109375" style="16" bestFit="1" customWidth="1"/>
    <col min="12037" max="12037" width="8.5703125" style="16" bestFit="1" customWidth="1"/>
    <col min="12038" max="12038" width="9.28515625" style="16" bestFit="1" customWidth="1"/>
    <col min="12039" max="12039" width="10.42578125" style="16" bestFit="1" customWidth="1"/>
    <col min="12040" max="12040" width="10.28515625" style="16" bestFit="1" customWidth="1"/>
    <col min="12041" max="12041" width="7.140625" style="16" bestFit="1" customWidth="1"/>
    <col min="12042" max="12042" width="7.28515625" style="16" customWidth="1"/>
    <col min="12043" max="12044" width="7" style="16" bestFit="1" customWidth="1"/>
    <col min="12045" max="12045" width="6.85546875" style="16" bestFit="1" customWidth="1"/>
    <col min="12046" max="12046" width="7" style="16" bestFit="1" customWidth="1"/>
    <col min="12047" max="12047" width="7.140625" style="16" bestFit="1"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8.140625" style="16" customWidth="1"/>
    <col min="12291" max="12291" width="10.7109375" style="16" bestFit="1" customWidth="1"/>
    <col min="12292" max="12292" width="6.7109375" style="16" bestFit="1" customWidth="1"/>
    <col min="12293" max="12293" width="8.5703125" style="16" bestFit="1" customWidth="1"/>
    <col min="12294" max="12294" width="9.28515625" style="16" bestFit="1" customWidth="1"/>
    <col min="12295" max="12295" width="10.42578125" style="16" bestFit="1" customWidth="1"/>
    <col min="12296" max="12296" width="10.28515625" style="16" bestFit="1" customWidth="1"/>
    <col min="12297" max="12297" width="7.140625" style="16" bestFit="1" customWidth="1"/>
    <col min="12298" max="12298" width="7.28515625" style="16" customWidth="1"/>
    <col min="12299" max="12300" width="7" style="16" bestFit="1" customWidth="1"/>
    <col min="12301" max="12301" width="6.85546875" style="16" bestFit="1" customWidth="1"/>
    <col min="12302" max="12302" width="7" style="16" bestFit="1" customWidth="1"/>
    <col min="12303" max="12303" width="7.140625" style="16" bestFit="1"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8.140625" style="16" customWidth="1"/>
    <col min="12547" max="12547" width="10.7109375" style="16" bestFit="1" customWidth="1"/>
    <col min="12548" max="12548" width="6.7109375" style="16" bestFit="1" customWidth="1"/>
    <col min="12549" max="12549" width="8.5703125" style="16" bestFit="1" customWidth="1"/>
    <col min="12550" max="12550" width="9.28515625" style="16" bestFit="1" customWidth="1"/>
    <col min="12551" max="12551" width="10.42578125" style="16" bestFit="1" customWidth="1"/>
    <col min="12552" max="12552" width="10.28515625" style="16" bestFit="1" customWidth="1"/>
    <col min="12553" max="12553" width="7.140625" style="16" bestFit="1" customWidth="1"/>
    <col min="12554" max="12554" width="7.28515625" style="16" customWidth="1"/>
    <col min="12555" max="12556" width="7" style="16" bestFit="1" customWidth="1"/>
    <col min="12557" max="12557" width="6.85546875" style="16" bestFit="1" customWidth="1"/>
    <col min="12558" max="12558" width="7" style="16" bestFit="1" customWidth="1"/>
    <col min="12559" max="12559" width="7.140625" style="16" bestFit="1"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8.140625" style="16" customWidth="1"/>
    <col min="12803" max="12803" width="10.7109375" style="16" bestFit="1" customWidth="1"/>
    <col min="12804" max="12804" width="6.7109375" style="16" bestFit="1" customWidth="1"/>
    <col min="12805" max="12805" width="8.5703125" style="16" bestFit="1" customWidth="1"/>
    <col min="12806" max="12806" width="9.28515625" style="16" bestFit="1" customWidth="1"/>
    <col min="12807" max="12807" width="10.42578125" style="16" bestFit="1" customWidth="1"/>
    <col min="12808" max="12808" width="10.28515625" style="16" bestFit="1" customWidth="1"/>
    <col min="12809" max="12809" width="7.140625" style="16" bestFit="1" customWidth="1"/>
    <col min="12810" max="12810" width="7.28515625" style="16" customWidth="1"/>
    <col min="12811" max="12812" width="7" style="16" bestFit="1" customWidth="1"/>
    <col min="12813" max="12813" width="6.85546875" style="16" bestFit="1" customWidth="1"/>
    <col min="12814" max="12814" width="7" style="16" bestFit="1" customWidth="1"/>
    <col min="12815" max="12815" width="7.140625" style="16" bestFit="1"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8.140625" style="16" customWidth="1"/>
    <col min="13059" max="13059" width="10.7109375" style="16" bestFit="1" customWidth="1"/>
    <col min="13060" max="13060" width="6.7109375" style="16" bestFit="1" customWidth="1"/>
    <col min="13061" max="13061" width="8.5703125" style="16" bestFit="1" customWidth="1"/>
    <col min="13062" max="13062" width="9.28515625" style="16" bestFit="1" customWidth="1"/>
    <col min="13063" max="13063" width="10.42578125" style="16" bestFit="1" customWidth="1"/>
    <col min="13064" max="13064" width="10.28515625" style="16" bestFit="1" customWidth="1"/>
    <col min="13065" max="13065" width="7.140625" style="16" bestFit="1" customWidth="1"/>
    <col min="13066" max="13066" width="7.28515625" style="16" customWidth="1"/>
    <col min="13067" max="13068" width="7" style="16" bestFit="1" customWidth="1"/>
    <col min="13069" max="13069" width="6.85546875" style="16" bestFit="1" customWidth="1"/>
    <col min="13070" max="13070" width="7" style="16" bestFit="1" customWidth="1"/>
    <col min="13071" max="13071" width="7.140625" style="16" bestFit="1"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8.140625" style="16" customWidth="1"/>
    <col min="13315" max="13315" width="10.7109375" style="16" bestFit="1" customWidth="1"/>
    <col min="13316" max="13316" width="6.7109375" style="16" bestFit="1" customWidth="1"/>
    <col min="13317" max="13317" width="8.5703125" style="16" bestFit="1" customWidth="1"/>
    <col min="13318" max="13318" width="9.28515625" style="16" bestFit="1" customWidth="1"/>
    <col min="13319" max="13319" width="10.42578125" style="16" bestFit="1" customWidth="1"/>
    <col min="13320" max="13320" width="10.28515625" style="16" bestFit="1" customWidth="1"/>
    <col min="13321" max="13321" width="7.140625" style="16" bestFit="1" customWidth="1"/>
    <col min="13322" max="13322" width="7.28515625" style="16" customWidth="1"/>
    <col min="13323" max="13324" width="7" style="16" bestFit="1" customWidth="1"/>
    <col min="13325" max="13325" width="6.85546875" style="16" bestFit="1" customWidth="1"/>
    <col min="13326" max="13326" width="7" style="16" bestFit="1" customWidth="1"/>
    <col min="13327" max="13327" width="7.140625" style="16" bestFit="1"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8.140625" style="16" customWidth="1"/>
    <col min="13571" max="13571" width="10.7109375" style="16" bestFit="1" customWidth="1"/>
    <col min="13572" max="13572" width="6.7109375" style="16" bestFit="1" customWidth="1"/>
    <col min="13573" max="13573" width="8.5703125" style="16" bestFit="1" customWidth="1"/>
    <col min="13574" max="13574" width="9.28515625" style="16" bestFit="1" customWidth="1"/>
    <col min="13575" max="13575" width="10.42578125" style="16" bestFit="1" customWidth="1"/>
    <col min="13576" max="13576" width="10.28515625" style="16" bestFit="1" customWidth="1"/>
    <col min="13577" max="13577" width="7.140625" style="16" bestFit="1" customWidth="1"/>
    <col min="13578" max="13578" width="7.28515625" style="16" customWidth="1"/>
    <col min="13579" max="13580" width="7" style="16" bestFit="1" customWidth="1"/>
    <col min="13581" max="13581" width="6.85546875" style="16" bestFit="1" customWidth="1"/>
    <col min="13582" max="13582" width="7" style="16" bestFit="1" customWidth="1"/>
    <col min="13583" max="13583" width="7.140625" style="16" bestFit="1"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8.140625" style="16" customWidth="1"/>
    <col min="13827" max="13827" width="10.7109375" style="16" bestFit="1" customWidth="1"/>
    <col min="13828" max="13828" width="6.7109375" style="16" bestFit="1" customWidth="1"/>
    <col min="13829" max="13829" width="8.5703125" style="16" bestFit="1" customWidth="1"/>
    <col min="13830" max="13830" width="9.28515625" style="16" bestFit="1" customWidth="1"/>
    <col min="13831" max="13831" width="10.42578125" style="16" bestFit="1" customWidth="1"/>
    <col min="13832" max="13832" width="10.28515625" style="16" bestFit="1" customWidth="1"/>
    <col min="13833" max="13833" width="7.140625" style="16" bestFit="1" customWidth="1"/>
    <col min="13834" max="13834" width="7.28515625" style="16" customWidth="1"/>
    <col min="13835" max="13836" width="7" style="16" bestFit="1" customWidth="1"/>
    <col min="13837" max="13837" width="6.85546875" style="16" bestFit="1" customWidth="1"/>
    <col min="13838" max="13838" width="7" style="16" bestFit="1" customWidth="1"/>
    <col min="13839" max="13839" width="7.140625" style="16" bestFit="1"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8.140625" style="16" customWidth="1"/>
    <col min="14083" max="14083" width="10.7109375" style="16" bestFit="1" customWidth="1"/>
    <col min="14084" max="14084" width="6.7109375" style="16" bestFit="1" customWidth="1"/>
    <col min="14085" max="14085" width="8.5703125" style="16" bestFit="1" customWidth="1"/>
    <col min="14086" max="14086" width="9.28515625" style="16" bestFit="1" customWidth="1"/>
    <col min="14087" max="14087" width="10.42578125" style="16" bestFit="1" customWidth="1"/>
    <col min="14088" max="14088" width="10.28515625" style="16" bestFit="1" customWidth="1"/>
    <col min="14089" max="14089" width="7.140625" style="16" bestFit="1" customWidth="1"/>
    <col min="14090" max="14090" width="7.28515625" style="16" customWidth="1"/>
    <col min="14091" max="14092" width="7" style="16" bestFit="1" customWidth="1"/>
    <col min="14093" max="14093" width="6.85546875" style="16" bestFit="1" customWidth="1"/>
    <col min="14094" max="14094" width="7" style="16" bestFit="1" customWidth="1"/>
    <col min="14095" max="14095" width="7.140625" style="16" bestFit="1"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8.140625" style="16" customWidth="1"/>
    <col min="14339" max="14339" width="10.7109375" style="16" bestFit="1" customWidth="1"/>
    <col min="14340" max="14340" width="6.7109375" style="16" bestFit="1" customWidth="1"/>
    <col min="14341" max="14341" width="8.5703125" style="16" bestFit="1" customWidth="1"/>
    <col min="14342" max="14342" width="9.28515625" style="16" bestFit="1" customWidth="1"/>
    <col min="14343" max="14343" width="10.42578125" style="16" bestFit="1" customWidth="1"/>
    <col min="14344" max="14344" width="10.28515625" style="16" bestFit="1" customWidth="1"/>
    <col min="14345" max="14345" width="7.140625" style="16" bestFit="1" customWidth="1"/>
    <col min="14346" max="14346" width="7.28515625" style="16" customWidth="1"/>
    <col min="14347" max="14348" width="7" style="16" bestFit="1" customWidth="1"/>
    <col min="14349" max="14349" width="6.85546875" style="16" bestFit="1" customWidth="1"/>
    <col min="14350" max="14350" width="7" style="16" bestFit="1" customWidth="1"/>
    <col min="14351" max="14351" width="7.140625" style="16" bestFit="1"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8.140625" style="16" customWidth="1"/>
    <col min="14595" max="14595" width="10.7109375" style="16" bestFit="1" customWidth="1"/>
    <col min="14596" max="14596" width="6.7109375" style="16" bestFit="1" customWidth="1"/>
    <col min="14597" max="14597" width="8.5703125" style="16" bestFit="1" customWidth="1"/>
    <col min="14598" max="14598" width="9.28515625" style="16" bestFit="1" customWidth="1"/>
    <col min="14599" max="14599" width="10.42578125" style="16" bestFit="1" customWidth="1"/>
    <col min="14600" max="14600" width="10.28515625" style="16" bestFit="1" customWidth="1"/>
    <col min="14601" max="14601" width="7.140625" style="16" bestFit="1" customWidth="1"/>
    <col min="14602" max="14602" width="7.28515625" style="16" customWidth="1"/>
    <col min="14603" max="14604" width="7" style="16" bestFit="1" customWidth="1"/>
    <col min="14605" max="14605" width="6.85546875" style="16" bestFit="1" customWidth="1"/>
    <col min="14606" max="14606" width="7" style="16" bestFit="1" customWidth="1"/>
    <col min="14607" max="14607" width="7.140625" style="16" bestFit="1"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8.140625" style="16" customWidth="1"/>
    <col min="14851" max="14851" width="10.7109375" style="16" bestFit="1" customWidth="1"/>
    <col min="14852" max="14852" width="6.7109375" style="16" bestFit="1" customWidth="1"/>
    <col min="14853" max="14853" width="8.5703125" style="16" bestFit="1" customWidth="1"/>
    <col min="14854" max="14854" width="9.28515625" style="16" bestFit="1" customWidth="1"/>
    <col min="14855" max="14855" width="10.42578125" style="16" bestFit="1" customWidth="1"/>
    <col min="14856" max="14856" width="10.28515625" style="16" bestFit="1" customWidth="1"/>
    <col min="14857" max="14857" width="7.140625" style="16" bestFit="1" customWidth="1"/>
    <col min="14858" max="14858" width="7.28515625" style="16" customWidth="1"/>
    <col min="14859" max="14860" width="7" style="16" bestFit="1" customWidth="1"/>
    <col min="14861" max="14861" width="6.85546875" style="16" bestFit="1" customWidth="1"/>
    <col min="14862" max="14862" width="7" style="16" bestFit="1" customWidth="1"/>
    <col min="14863" max="14863" width="7.140625" style="16" bestFit="1"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8.140625" style="16" customWidth="1"/>
    <col min="15107" max="15107" width="10.7109375" style="16" bestFit="1" customWidth="1"/>
    <col min="15108" max="15108" width="6.7109375" style="16" bestFit="1" customWidth="1"/>
    <col min="15109" max="15109" width="8.5703125" style="16" bestFit="1" customWidth="1"/>
    <col min="15110" max="15110" width="9.28515625" style="16" bestFit="1" customWidth="1"/>
    <col min="15111" max="15111" width="10.42578125" style="16" bestFit="1" customWidth="1"/>
    <col min="15112" max="15112" width="10.28515625" style="16" bestFit="1" customWidth="1"/>
    <col min="15113" max="15113" width="7.140625" style="16" bestFit="1" customWidth="1"/>
    <col min="15114" max="15114" width="7.28515625" style="16" customWidth="1"/>
    <col min="15115" max="15116" width="7" style="16" bestFit="1" customWidth="1"/>
    <col min="15117" max="15117" width="6.85546875" style="16" bestFit="1" customWidth="1"/>
    <col min="15118" max="15118" width="7" style="16" bestFit="1" customWidth="1"/>
    <col min="15119" max="15119" width="7.140625" style="16" bestFit="1"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8.140625" style="16" customWidth="1"/>
    <col min="15363" max="15363" width="10.7109375" style="16" bestFit="1" customWidth="1"/>
    <col min="15364" max="15364" width="6.7109375" style="16" bestFit="1" customWidth="1"/>
    <col min="15365" max="15365" width="8.5703125" style="16" bestFit="1" customWidth="1"/>
    <col min="15366" max="15366" width="9.28515625" style="16" bestFit="1" customWidth="1"/>
    <col min="15367" max="15367" width="10.42578125" style="16" bestFit="1" customWidth="1"/>
    <col min="15368" max="15368" width="10.28515625" style="16" bestFit="1" customWidth="1"/>
    <col min="15369" max="15369" width="7.140625" style="16" bestFit="1" customWidth="1"/>
    <col min="15370" max="15370" width="7.28515625" style="16" customWidth="1"/>
    <col min="15371" max="15372" width="7" style="16" bestFit="1" customWidth="1"/>
    <col min="15373" max="15373" width="6.85546875" style="16" bestFit="1" customWidth="1"/>
    <col min="15374" max="15374" width="7" style="16" bestFit="1" customWidth="1"/>
    <col min="15375" max="15375" width="7.140625" style="16" bestFit="1"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8.140625" style="16" customWidth="1"/>
    <col min="15619" max="15619" width="10.7109375" style="16" bestFit="1" customWidth="1"/>
    <col min="15620" max="15620" width="6.7109375" style="16" bestFit="1" customWidth="1"/>
    <col min="15621" max="15621" width="8.5703125" style="16" bestFit="1" customWidth="1"/>
    <col min="15622" max="15622" width="9.28515625" style="16" bestFit="1" customWidth="1"/>
    <col min="15623" max="15623" width="10.42578125" style="16" bestFit="1" customWidth="1"/>
    <col min="15624" max="15624" width="10.28515625" style="16" bestFit="1" customWidth="1"/>
    <col min="15625" max="15625" width="7.140625" style="16" bestFit="1" customWidth="1"/>
    <col min="15626" max="15626" width="7.28515625" style="16" customWidth="1"/>
    <col min="15627" max="15628" width="7" style="16" bestFit="1" customWidth="1"/>
    <col min="15629" max="15629" width="6.85546875" style="16" bestFit="1" customWidth="1"/>
    <col min="15630" max="15630" width="7" style="16" bestFit="1" customWidth="1"/>
    <col min="15631" max="15631" width="7.140625" style="16" bestFit="1"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8.140625" style="16" customWidth="1"/>
    <col min="15875" max="15875" width="10.7109375" style="16" bestFit="1" customWidth="1"/>
    <col min="15876" max="15876" width="6.7109375" style="16" bestFit="1" customWidth="1"/>
    <col min="15877" max="15877" width="8.5703125" style="16" bestFit="1" customWidth="1"/>
    <col min="15878" max="15878" width="9.28515625" style="16" bestFit="1" customWidth="1"/>
    <col min="15879" max="15879" width="10.42578125" style="16" bestFit="1" customWidth="1"/>
    <col min="15880" max="15880" width="10.28515625" style="16" bestFit="1" customWidth="1"/>
    <col min="15881" max="15881" width="7.140625" style="16" bestFit="1" customWidth="1"/>
    <col min="15882" max="15882" width="7.28515625" style="16" customWidth="1"/>
    <col min="15883" max="15884" width="7" style="16" bestFit="1" customWidth="1"/>
    <col min="15885" max="15885" width="6.85546875" style="16" bestFit="1" customWidth="1"/>
    <col min="15886" max="15886" width="7" style="16" bestFit="1" customWidth="1"/>
    <col min="15887" max="15887" width="7.140625" style="16" bestFit="1"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8.140625" style="16" customWidth="1"/>
    <col min="16131" max="16131" width="10.7109375" style="16" bestFit="1" customWidth="1"/>
    <col min="16132" max="16132" width="6.7109375" style="16" bestFit="1" customWidth="1"/>
    <col min="16133" max="16133" width="8.5703125" style="16" bestFit="1" customWidth="1"/>
    <col min="16134" max="16134" width="9.28515625" style="16" bestFit="1" customWidth="1"/>
    <col min="16135" max="16135" width="10.42578125" style="16" bestFit="1" customWidth="1"/>
    <col min="16136" max="16136" width="10.28515625" style="16" bestFit="1" customWidth="1"/>
    <col min="16137" max="16137" width="7.140625" style="16" bestFit="1" customWidth="1"/>
    <col min="16138" max="16138" width="7.28515625" style="16" customWidth="1"/>
    <col min="16139" max="16140" width="7" style="16" bestFit="1" customWidth="1"/>
    <col min="16141" max="16141" width="6.85546875" style="16" bestFit="1" customWidth="1"/>
    <col min="16142" max="16142" width="7" style="16" bestFit="1" customWidth="1"/>
    <col min="16143" max="16143" width="7.140625" style="16" bestFit="1"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67" t="s">
        <v>449</v>
      </c>
      <c r="B1" s="868"/>
      <c r="C1" s="868"/>
      <c r="D1" s="869"/>
      <c r="E1" s="868"/>
      <c r="F1" s="868"/>
      <c r="G1" s="867" t="s">
        <v>102</v>
      </c>
      <c r="H1" s="869"/>
      <c r="I1" s="869" t="s">
        <v>450</v>
      </c>
      <c r="J1" s="868"/>
      <c r="K1" s="868"/>
      <c r="L1" s="870"/>
      <c r="M1" s="870"/>
      <c r="N1" s="870"/>
      <c r="O1" s="870"/>
    </row>
    <row r="2" spans="1:15" s="1" customFormat="1" x14ac:dyDescent="0.2">
      <c r="A2" s="867" t="s">
        <v>103</v>
      </c>
      <c r="B2" s="868"/>
      <c r="C2" s="868"/>
      <c r="D2" s="869"/>
      <c r="E2" s="868"/>
      <c r="F2" s="868"/>
      <c r="G2" s="867" t="s">
        <v>104</v>
      </c>
      <c r="H2" s="869"/>
      <c r="I2" s="869" t="s">
        <v>105</v>
      </c>
      <c r="J2" s="868"/>
      <c r="K2" s="868"/>
      <c r="L2" s="870"/>
      <c r="M2" s="870"/>
      <c r="N2" s="870"/>
      <c r="O2" s="870"/>
    </row>
    <row r="3" spans="1:15" s="1" customFormat="1" x14ac:dyDescent="0.2">
      <c r="A3" s="867" t="s">
        <v>106</v>
      </c>
      <c r="B3" s="868"/>
      <c r="C3" s="868"/>
      <c r="D3" s="881">
        <v>24633</v>
      </c>
      <c r="E3" s="882"/>
      <c r="F3" s="882"/>
      <c r="G3" s="867" t="s">
        <v>107</v>
      </c>
      <c r="H3" s="869"/>
      <c r="I3" s="869" t="s">
        <v>108</v>
      </c>
      <c r="J3" s="868"/>
      <c r="K3" s="868"/>
      <c r="L3" s="870"/>
      <c r="M3" s="870"/>
      <c r="N3" s="870"/>
      <c r="O3" s="870"/>
    </row>
    <row r="4" spans="1:15" s="1" customFormat="1" x14ac:dyDescent="0.2">
      <c r="A4" s="867" t="s">
        <v>109</v>
      </c>
      <c r="B4" s="868"/>
      <c r="C4" s="868"/>
      <c r="D4" s="883"/>
      <c r="E4" s="868"/>
      <c r="F4" s="868"/>
      <c r="G4" s="867" t="s">
        <v>110</v>
      </c>
      <c r="H4" s="869"/>
      <c r="I4" s="869" t="s">
        <v>392</v>
      </c>
      <c r="J4" s="868"/>
      <c r="K4" s="868"/>
      <c r="L4" s="870"/>
      <c r="M4" s="870"/>
      <c r="N4" s="870"/>
      <c r="O4" s="870"/>
    </row>
    <row r="5" spans="1:15" s="1" customFormat="1" x14ac:dyDescent="0.2">
      <c r="A5" s="867" t="s">
        <v>443</v>
      </c>
      <c r="B5" s="868"/>
      <c r="C5" s="868"/>
      <c r="D5" s="869" t="s">
        <v>451</v>
      </c>
      <c r="E5" s="868"/>
      <c r="F5" s="868"/>
      <c r="G5" s="867"/>
      <c r="H5" s="868"/>
      <c r="I5" s="869" t="s">
        <v>113</v>
      </c>
      <c r="J5" s="868"/>
      <c r="K5" s="868"/>
      <c r="L5" s="870"/>
      <c r="M5" s="870"/>
      <c r="N5" s="870"/>
      <c r="O5" s="870"/>
    </row>
    <row r="6" spans="1:15" s="1" customFormat="1" x14ac:dyDescent="0.2">
      <c r="A6" s="871" t="s">
        <v>114</v>
      </c>
      <c r="B6" s="872"/>
      <c r="C6" s="872"/>
      <c r="D6" s="868" t="s">
        <v>36</v>
      </c>
      <c r="E6" s="868"/>
      <c r="F6" s="868"/>
      <c r="G6" s="871" t="s">
        <v>115</v>
      </c>
      <c r="H6" s="871"/>
      <c r="I6" s="2" t="s">
        <v>116</v>
      </c>
      <c r="J6" s="873" t="s">
        <v>1028</v>
      </c>
      <c r="K6" s="873"/>
      <c r="L6" s="873"/>
      <c r="M6" s="873"/>
      <c r="N6" s="873"/>
      <c r="O6" s="874"/>
    </row>
    <row r="7" spans="1:15" s="1" customFormat="1" ht="13.5" thickBot="1" x14ac:dyDescent="0.25">
      <c r="A7" s="3"/>
      <c r="B7" s="4"/>
      <c r="C7" s="5"/>
      <c r="D7" s="6"/>
      <c r="E7" s="6"/>
      <c r="F7" s="6"/>
      <c r="G7" s="6"/>
      <c r="H7" s="6"/>
      <c r="I7" s="6"/>
      <c r="J7" s="7"/>
      <c r="K7" s="8"/>
      <c r="L7" s="875" t="s">
        <v>223</v>
      </c>
      <c r="M7" s="875"/>
      <c r="N7" s="875"/>
      <c r="O7" s="875"/>
    </row>
    <row r="8" spans="1:15" s="11" customFormat="1" x14ac:dyDescent="0.2">
      <c r="A8" s="876" t="str">
        <f>I1</f>
        <v>Mr. Deepak B. Nagpure</v>
      </c>
      <c r="B8" s="877"/>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0</v>
      </c>
      <c r="D9" s="14">
        <v>0</v>
      </c>
      <c r="E9" s="14">
        <v>0</v>
      </c>
      <c r="F9" s="14">
        <v>0</v>
      </c>
      <c r="G9" s="14">
        <v>0</v>
      </c>
      <c r="H9" s="14">
        <v>0</v>
      </c>
      <c r="I9" s="14">
        <v>0</v>
      </c>
      <c r="J9" s="14">
        <v>0</v>
      </c>
      <c r="K9" s="14">
        <v>0</v>
      </c>
      <c r="L9" s="14">
        <v>0</v>
      </c>
      <c r="M9" s="14">
        <v>0</v>
      </c>
      <c r="N9" s="14">
        <v>0</v>
      </c>
      <c r="O9" s="15">
        <f>SUM(C9:N9)</f>
        <v>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0</v>
      </c>
      <c r="D11" s="17">
        <v>0</v>
      </c>
      <c r="E11" s="17">
        <v>0</v>
      </c>
      <c r="F11" s="17">
        <v>0</v>
      </c>
      <c r="G11" s="17">
        <v>0</v>
      </c>
      <c r="H11" s="17">
        <v>0</v>
      </c>
      <c r="I11" s="17">
        <v>0</v>
      </c>
      <c r="J11" s="17">
        <v>0</v>
      </c>
      <c r="K11" s="17">
        <v>0</v>
      </c>
      <c r="L11" s="17">
        <v>0</v>
      </c>
      <c r="M11" s="17">
        <v>0</v>
      </c>
      <c r="N11" s="17">
        <v>0</v>
      </c>
      <c r="O11" s="18">
        <f>SUM(C11:N11)</f>
        <v>0</v>
      </c>
    </row>
    <row r="12" spans="1:15"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x14ac:dyDescent="0.2">
      <c r="A14" s="12"/>
      <c r="B14" s="13" t="s">
        <v>123</v>
      </c>
      <c r="C14" s="17">
        <v>0</v>
      </c>
      <c r="D14" s="17">
        <v>0</v>
      </c>
      <c r="E14" s="17">
        <v>0</v>
      </c>
      <c r="F14" s="17">
        <v>0</v>
      </c>
      <c r="G14" s="17">
        <v>0</v>
      </c>
      <c r="H14" s="17">
        <v>0</v>
      </c>
      <c r="I14" s="17">
        <v>0</v>
      </c>
      <c r="J14" s="17">
        <v>0</v>
      </c>
      <c r="K14" s="17">
        <v>0</v>
      </c>
      <c r="L14" s="17">
        <v>0</v>
      </c>
      <c r="M14" s="17">
        <v>0</v>
      </c>
      <c r="N14" s="17">
        <v>0</v>
      </c>
      <c r="O14" s="18">
        <f t="shared" si="0"/>
        <v>0</v>
      </c>
    </row>
    <row r="15" spans="1:15"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hidden="1"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0</v>
      </c>
      <c r="D19" s="17">
        <v>0</v>
      </c>
      <c r="E19" s="17">
        <v>0</v>
      </c>
      <c r="F19" s="17">
        <v>0</v>
      </c>
      <c r="G19" s="17">
        <v>0</v>
      </c>
      <c r="H19" s="17">
        <v>0</v>
      </c>
      <c r="I19" s="17">
        <v>0</v>
      </c>
      <c r="J19" s="17">
        <v>0</v>
      </c>
      <c r="K19" s="17">
        <v>0</v>
      </c>
      <c r="L19" s="17">
        <v>0</v>
      </c>
      <c r="M19" s="17">
        <v>0</v>
      </c>
      <c r="N19" s="17">
        <v>0</v>
      </c>
      <c r="O19" s="18">
        <f t="shared" si="0"/>
        <v>0</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78"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79"/>
      <c r="B22" s="19" t="s">
        <v>132</v>
      </c>
      <c r="C22" s="17">
        <v>0</v>
      </c>
      <c r="D22" s="17">
        <v>0</v>
      </c>
      <c r="E22" s="17">
        <v>0</v>
      </c>
      <c r="F22" s="17">
        <v>0</v>
      </c>
      <c r="G22" s="17">
        <v>0</v>
      </c>
      <c r="H22" s="17">
        <v>0</v>
      </c>
      <c r="I22" s="17">
        <v>0</v>
      </c>
      <c r="J22" s="17">
        <v>0</v>
      </c>
      <c r="K22" s="17">
        <v>0</v>
      </c>
      <c r="L22" s="17">
        <v>0</v>
      </c>
      <c r="M22" s="17">
        <v>0</v>
      </c>
      <c r="N22" s="17">
        <v>0</v>
      </c>
      <c r="O22" s="18">
        <f t="shared" si="0"/>
        <v>0</v>
      </c>
    </row>
    <row r="23" spans="1:15" ht="15" hidden="1" customHeight="1" x14ac:dyDescent="0.2">
      <c r="A23" s="879"/>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79"/>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79"/>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79"/>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79"/>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79"/>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79"/>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79"/>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79"/>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79"/>
      <c r="B32" s="21" t="s">
        <v>142</v>
      </c>
      <c r="C32" s="17">
        <v>0</v>
      </c>
      <c r="D32" s="17">
        <v>0</v>
      </c>
      <c r="E32" s="17">
        <v>0</v>
      </c>
      <c r="F32" s="17">
        <v>0</v>
      </c>
      <c r="G32" s="17">
        <v>0</v>
      </c>
      <c r="H32" s="17">
        <v>0</v>
      </c>
      <c r="I32" s="17">
        <v>0</v>
      </c>
      <c r="J32" s="17">
        <v>0</v>
      </c>
      <c r="K32" s="17">
        <v>0</v>
      </c>
      <c r="L32" s="17">
        <v>0</v>
      </c>
      <c r="M32" s="17">
        <v>0</v>
      </c>
      <c r="N32" s="17">
        <v>0</v>
      </c>
      <c r="O32" s="18">
        <f t="shared" si="0"/>
        <v>0</v>
      </c>
    </row>
    <row r="33" spans="1:17" ht="15" hidden="1" customHeight="1" x14ac:dyDescent="0.2">
      <c r="A33" s="880"/>
      <c r="B33" s="19" t="s">
        <v>226</v>
      </c>
      <c r="C33" s="17">
        <v>0</v>
      </c>
      <c r="D33" s="17">
        <v>0</v>
      </c>
      <c r="E33" s="17">
        <v>0</v>
      </c>
      <c r="F33" s="17">
        <v>0</v>
      </c>
      <c r="G33" s="17">
        <v>0</v>
      </c>
      <c r="H33" s="17">
        <v>0</v>
      </c>
      <c r="I33" s="17">
        <v>0</v>
      </c>
      <c r="J33" s="17">
        <v>0</v>
      </c>
      <c r="K33" s="17">
        <v>0</v>
      </c>
      <c r="L33" s="17">
        <v>0</v>
      </c>
      <c r="M33" s="17">
        <v>0</v>
      </c>
      <c r="N33" s="17">
        <v>0</v>
      </c>
      <c r="O33" s="18">
        <f t="shared" si="0"/>
        <v>0</v>
      </c>
    </row>
    <row r="34" spans="1:17" ht="15" customHeight="1" x14ac:dyDescent="0.2">
      <c r="A34" s="865" t="s">
        <v>144</v>
      </c>
      <c r="B34" s="866"/>
      <c r="C34" s="17">
        <v>0</v>
      </c>
      <c r="D34" s="17">
        <v>0</v>
      </c>
      <c r="E34" s="17">
        <v>0</v>
      </c>
      <c r="F34" s="17">
        <v>0</v>
      </c>
      <c r="G34" s="17">
        <v>0</v>
      </c>
      <c r="H34" s="17">
        <v>0</v>
      </c>
      <c r="I34" s="17">
        <v>0</v>
      </c>
      <c r="J34" s="17">
        <v>0</v>
      </c>
      <c r="K34" s="17">
        <v>0</v>
      </c>
      <c r="L34" s="17">
        <v>0</v>
      </c>
      <c r="M34" s="17">
        <v>0</v>
      </c>
      <c r="N34" s="17">
        <v>0</v>
      </c>
      <c r="O34" s="18">
        <f t="shared" si="0"/>
        <v>0</v>
      </c>
    </row>
    <row r="35" spans="1:17" ht="15" customHeight="1" x14ac:dyDescent="0.2">
      <c r="A35" s="865" t="s">
        <v>145</v>
      </c>
      <c r="B35" s="866"/>
      <c r="C35" s="17">
        <v>0</v>
      </c>
      <c r="D35" s="17">
        <v>0</v>
      </c>
      <c r="E35" s="17">
        <v>0</v>
      </c>
      <c r="F35" s="17">
        <v>0</v>
      </c>
      <c r="G35" s="17">
        <v>0</v>
      </c>
      <c r="H35" s="17">
        <v>0</v>
      </c>
      <c r="I35" s="17">
        <v>0</v>
      </c>
      <c r="J35" s="17">
        <v>0</v>
      </c>
      <c r="K35" s="17">
        <v>0</v>
      </c>
      <c r="L35" s="17">
        <v>0</v>
      </c>
      <c r="M35" s="17">
        <v>0</v>
      </c>
      <c r="N35" s="17">
        <v>0</v>
      </c>
      <c r="O35" s="18">
        <f t="shared" si="0"/>
        <v>0</v>
      </c>
    </row>
    <row r="36" spans="1:17" ht="15" customHeight="1" x14ac:dyDescent="0.2">
      <c r="A36" s="865" t="s">
        <v>146</v>
      </c>
      <c r="B36" s="866"/>
      <c r="C36" s="17">
        <v>0</v>
      </c>
      <c r="D36" s="17">
        <v>0</v>
      </c>
      <c r="E36" s="17">
        <v>0</v>
      </c>
      <c r="F36" s="17">
        <v>0</v>
      </c>
      <c r="G36" s="17">
        <v>0</v>
      </c>
      <c r="H36" s="17">
        <v>0</v>
      </c>
      <c r="I36" s="17">
        <v>0</v>
      </c>
      <c r="J36" s="17">
        <v>0</v>
      </c>
      <c r="K36" s="17">
        <v>0</v>
      </c>
      <c r="L36" s="17">
        <v>0</v>
      </c>
      <c r="M36" s="17">
        <v>0</v>
      </c>
      <c r="N36" s="17">
        <v>0</v>
      </c>
      <c r="O36" s="18">
        <f t="shared" si="0"/>
        <v>0</v>
      </c>
    </row>
    <row r="37" spans="1:17" ht="15" customHeight="1" x14ac:dyDescent="0.2">
      <c r="A37" s="22"/>
      <c r="B37" s="23" t="s">
        <v>147</v>
      </c>
      <c r="C37" s="24">
        <f t="shared" ref="C37:N37" si="1">SUM(C9:C36)</f>
        <v>0</v>
      </c>
      <c r="D37" s="24">
        <f t="shared" si="1"/>
        <v>0</v>
      </c>
      <c r="E37" s="24">
        <f t="shared" si="1"/>
        <v>0</v>
      </c>
      <c r="F37" s="24">
        <f t="shared" si="1"/>
        <v>0</v>
      </c>
      <c r="G37" s="24">
        <f t="shared" si="1"/>
        <v>0</v>
      </c>
      <c r="H37" s="24">
        <f t="shared" si="1"/>
        <v>0</v>
      </c>
      <c r="I37" s="24">
        <f t="shared" si="1"/>
        <v>0</v>
      </c>
      <c r="J37" s="24">
        <f t="shared" si="1"/>
        <v>0</v>
      </c>
      <c r="K37" s="24">
        <f t="shared" si="1"/>
        <v>0</v>
      </c>
      <c r="L37" s="24">
        <f t="shared" si="1"/>
        <v>0</v>
      </c>
      <c r="M37" s="24">
        <f t="shared" si="1"/>
        <v>0</v>
      </c>
      <c r="N37" s="24">
        <f t="shared" si="1"/>
        <v>0</v>
      </c>
      <c r="O37" s="25">
        <f>SUM(C37:N37)</f>
        <v>0</v>
      </c>
      <c r="Q37" s="16">
        <f>44687*2+7156+46476+26887+46476+47799*3+6897+3454+50098*5</f>
        <v>620607</v>
      </c>
    </row>
    <row r="38" spans="1:17" ht="15" customHeight="1" x14ac:dyDescent="0.2">
      <c r="A38" s="853" t="s">
        <v>148</v>
      </c>
      <c r="B38" s="27" t="s">
        <v>149</v>
      </c>
      <c r="C38" s="28">
        <v>0</v>
      </c>
      <c r="D38" s="28">
        <v>0</v>
      </c>
      <c r="E38" s="28">
        <v>0</v>
      </c>
      <c r="F38" s="28">
        <v>0</v>
      </c>
      <c r="G38" s="28">
        <v>0</v>
      </c>
      <c r="H38" s="28">
        <v>0</v>
      </c>
      <c r="I38" s="28">
        <v>0</v>
      </c>
      <c r="J38" s="28">
        <v>0</v>
      </c>
      <c r="K38" s="28">
        <v>0</v>
      </c>
      <c r="L38" s="28">
        <v>0</v>
      </c>
      <c r="M38" s="28">
        <v>0</v>
      </c>
      <c r="N38" s="28">
        <v>0</v>
      </c>
      <c r="O38" s="18">
        <f>SUM(C38:N38)</f>
        <v>0</v>
      </c>
    </row>
    <row r="39" spans="1:17" ht="15" x14ac:dyDescent="0.2">
      <c r="A39" s="854"/>
      <c r="B39" s="27" t="s">
        <v>150</v>
      </c>
      <c r="C39" s="28">
        <v>0</v>
      </c>
      <c r="D39" s="28">
        <v>0</v>
      </c>
      <c r="E39" s="28">
        <v>0</v>
      </c>
      <c r="F39" s="28">
        <v>0</v>
      </c>
      <c r="G39" s="28">
        <v>0</v>
      </c>
      <c r="H39" s="28">
        <v>0</v>
      </c>
      <c r="I39" s="28">
        <v>0</v>
      </c>
      <c r="J39" s="28">
        <v>0</v>
      </c>
      <c r="K39" s="28">
        <v>0</v>
      </c>
      <c r="L39" s="28">
        <v>0</v>
      </c>
      <c r="M39" s="28">
        <v>0</v>
      </c>
      <c r="N39" s="28">
        <v>0</v>
      </c>
      <c r="O39" s="18">
        <f>SUM(C39:N39)</f>
        <v>0</v>
      </c>
    </row>
    <row r="40" spans="1:17" ht="15" x14ac:dyDescent="0.2">
      <c r="A40" s="854"/>
      <c r="B40" s="27" t="s">
        <v>151</v>
      </c>
      <c r="C40" s="28">
        <v>0</v>
      </c>
      <c r="D40" s="28">
        <v>0</v>
      </c>
      <c r="E40" s="28">
        <v>0</v>
      </c>
      <c r="F40" s="28">
        <v>0</v>
      </c>
      <c r="G40" s="28">
        <v>0</v>
      </c>
      <c r="H40" s="28">
        <v>0</v>
      </c>
      <c r="I40" s="28">
        <v>0</v>
      </c>
      <c r="J40" s="28">
        <v>0</v>
      </c>
      <c r="K40" s="28">
        <v>0</v>
      </c>
      <c r="L40" s="28">
        <v>0</v>
      </c>
      <c r="M40" s="28">
        <v>0</v>
      </c>
      <c r="N40" s="28">
        <v>0</v>
      </c>
      <c r="O40" s="18">
        <f t="shared" ref="O40:O50" si="2">SUM(C40:N40)</f>
        <v>0</v>
      </c>
    </row>
    <row r="41" spans="1:17" ht="15" x14ac:dyDescent="0.2">
      <c r="A41" s="854"/>
      <c r="B41" s="27" t="s">
        <v>152</v>
      </c>
      <c r="C41" s="28">
        <v>0</v>
      </c>
      <c r="D41" s="28">
        <v>0</v>
      </c>
      <c r="E41" s="28">
        <v>0</v>
      </c>
      <c r="F41" s="28">
        <v>0</v>
      </c>
      <c r="G41" s="28">
        <v>0</v>
      </c>
      <c r="H41" s="28">
        <v>0</v>
      </c>
      <c r="I41" s="28">
        <v>0</v>
      </c>
      <c r="J41" s="28">
        <v>0</v>
      </c>
      <c r="K41" s="28">
        <v>0</v>
      </c>
      <c r="L41" s="28">
        <v>0</v>
      </c>
      <c r="M41" s="28">
        <v>0</v>
      </c>
      <c r="N41" s="28">
        <v>0</v>
      </c>
      <c r="O41" s="18">
        <f t="shared" si="2"/>
        <v>0</v>
      </c>
    </row>
    <row r="42" spans="1:17" ht="15" x14ac:dyDescent="0.2">
      <c r="A42" s="854"/>
      <c r="B42" s="27" t="s">
        <v>153</v>
      </c>
      <c r="C42" s="28">
        <v>0</v>
      </c>
      <c r="D42" s="28">
        <v>0</v>
      </c>
      <c r="E42" s="28">
        <v>0</v>
      </c>
      <c r="F42" s="28">
        <v>0</v>
      </c>
      <c r="G42" s="28">
        <v>0</v>
      </c>
      <c r="H42" s="28">
        <v>0</v>
      </c>
      <c r="I42" s="28">
        <v>0</v>
      </c>
      <c r="J42" s="28">
        <v>0</v>
      </c>
      <c r="K42" s="28">
        <v>0</v>
      </c>
      <c r="L42" s="28">
        <v>0</v>
      </c>
      <c r="M42" s="28">
        <v>0</v>
      </c>
      <c r="N42" s="28">
        <v>0</v>
      </c>
      <c r="O42" s="18">
        <f t="shared" si="2"/>
        <v>0</v>
      </c>
    </row>
    <row r="43" spans="1:17" ht="15" x14ac:dyDescent="0.2">
      <c r="A43" s="854"/>
      <c r="B43" s="27" t="s">
        <v>154</v>
      </c>
      <c r="C43" s="28">
        <v>0</v>
      </c>
      <c r="D43" s="28">
        <v>0</v>
      </c>
      <c r="E43" s="28">
        <v>0</v>
      </c>
      <c r="F43" s="28">
        <v>0</v>
      </c>
      <c r="G43" s="28">
        <v>0</v>
      </c>
      <c r="H43" s="28">
        <v>0</v>
      </c>
      <c r="I43" s="28">
        <v>0</v>
      </c>
      <c r="J43" s="28">
        <v>0</v>
      </c>
      <c r="K43" s="28">
        <v>0</v>
      </c>
      <c r="L43" s="28">
        <v>0</v>
      </c>
      <c r="M43" s="28">
        <v>0</v>
      </c>
      <c r="N43" s="28">
        <v>0</v>
      </c>
      <c r="O43" s="18">
        <f t="shared" si="2"/>
        <v>0</v>
      </c>
    </row>
    <row r="44" spans="1:17" ht="15" x14ac:dyDescent="0.2">
      <c r="A44" s="854"/>
      <c r="B44" s="27" t="s">
        <v>155</v>
      </c>
      <c r="C44" s="28">
        <v>0</v>
      </c>
      <c r="D44" s="28">
        <v>0</v>
      </c>
      <c r="E44" s="28">
        <v>0</v>
      </c>
      <c r="F44" s="28">
        <v>0</v>
      </c>
      <c r="G44" s="28">
        <v>0</v>
      </c>
      <c r="H44" s="28">
        <v>0</v>
      </c>
      <c r="I44" s="28">
        <v>0</v>
      </c>
      <c r="J44" s="28">
        <v>0</v>
      </c>
      <c r="K44" s="28">
        <v>0</v>
      </c>
      <c r="L44" s="28">
        <v>0</v>
      </c>
      <c r="M44" s="28">
        <v>0</v>
      </c>
      <c r="N44" s="28">
        <v>0</v>
      </c>
      <c r="O44" s="18">
        <f t="shared" si="2"/>
        <v>0</v>
      </c>
    </row>
    <row r="45" spans="1:17" ht="15" x14ac:dyDescent="0.2">
      <c r="A45" s="854"/>
      <c r="B45" s="27" t="s">
        <v>156</v>
      </c>
      <c r="C45" s="28">
        <v>0</v>
      </c>
      <c r="D45" s="28">
        <v>0</v>
      </c>
      <c r="E45" s="28">
        <v>0</v>
      </c>
      <c r="F45" s="28">
        <v>0</v>
      </c>
      <c r="G45" s="28">
        <v>0</v>
      </c>
      <c r="H45" s="28">
        <v>0</v>
      </c>
      <c r="I45" s="28">
        <v>0</v>
      </c>
      <c r="J45" s="28">
        <v>0</v>
      </c>
      <c r="K45" s="28">
        <v>0</v>
      </c>
      <c r="L45" s="28">
        <v>0</v>
      </c>
      <c r="M45" s="28">
        <v>0</v>
      </c>
      <c r="N45" s="28">
        <v>0</v>
      </c>
      <c r="O45" s="18">
        <f t="shared" si="2"/>
        <v>0</v>
      </c>
    </row>
    <row r="46" spans="1:17" ht="15" x14ac:dyDescent="0.2">
      <c r="A46" s="854"/>
      <c r="B46" s="27" t="s">
        <v>157</v>
      </c>
      <c r="C46" s="28">
        <v>0</v>
      </c>
      <c r="D46" s="28">
        <v>0</v>
      </c>
      <c r="E46" s="28">
        <v>0</v>
      </c>
      <c r="F46" s="28">
        <v>0</v>
      </c>
      <c r="G46" s="28">
        <v>0</v>
      </c>
      <c r="H46" s="28">
        <v>0</v>
      </c>
      <c r="I46" s="28">
        <v>0</v>
      </c>
      <c r="J46" s="28">
        <v>0</v>
      </c>
      <c r="K46" s="28">
        <v>0</v>
      </c>
      <c r="L46" s="28">
        <v>0</v>
      </c>
      <c r="M46" s="28">
        <v>0</v>
      </c>
      <c r="N46" s="28">
        <v>0</v>
      </c>
      <c r="O46" s="18">
        <f t="shared" si="2"/>
        <v>0</v>
      </c>
    </row>
    <row r="47" spans="1:17" ht="28.5" customHeight="1" x14ac:dyDescent="0.2">
      <c r="A47" s="855"/>
      <c r="B47" s="30" t="s">
        <v>158</v>
      </c>
      <c r="C47" s="28">
        <v>0</v>
      </c>
      <c r="D47" s="28">
        <v>0</v>
      </c>
      <c r="E47" s="28">
        <v>0</v>
      </c>
      <c r="F47" s="28">
        <v>0</v>
      </c>
      <c r="G47" s="28">
        <v>0</v>
      </c>
      <c r="H47" s="28">
        <v>0</v>
      </c>
      <c r="I47" s="28">
        <v>0</v>
      </c>
      <c r="J47" s="28">
        <v>0</v>
      </c>
      <c r="K47" s="28">
        <v>0</v>
      </c>
      <c r="L47" s="28">
        <v>0</v>
      </c>
      <c r="M47" s="28">
        <v>0</v>
      </c>
      <c r="N47" s="28">
        <v>0</v>
      </c>
      <c r="O47" s="31">
        <f t="shared" si="2"/>
        <v>0</v>
      </c>
    </row>
    <row r="48" spans="1:17" ht="25.5" x14ac:dyDescent="0.2">
      <c r="A48" s="856"/>
      <c r="B48" s="169" t="s">
        <v>452</v>
      </c>
      <c r="C48" s="28">
        <v>0</v>
      </c>
      <c r="D48" s="28">
        <v>0</v>
      </c>
      <c r="E48" s="28">
        <v>0</v>
      </c>
      <c r="F48" s="28">
        <v>0</v>
      </c>
      <c r="G48" s="28">
        <v>0</v>
      </c>
      <c r="H48" s="28">
        <v>0</v>
      </c>
      <c r="I48" s="28">
        <v>0</v>
      </c>
      <c r="J48" s="28">
        <v>0</v>
      </c>
      <c r="K48" s="28">
        <v>0</v>
      </c>
      <c r="L48" s="28">
        <v>0</v>
      </c>
      <c r="M48" s="28">
        <v>0</v>
      </c>
      <c r="N48" s="28">
        <v>0</v>
      </c>
      <c r="O48" s="31">
        <f t="shared" si="2"/>
        <v>0</v>
      </c>
    </row>
    <row r="49" spans="1:18" ht="15" x14ac:dyDescent="0.2">
      <c r="A49" s="857" t="s">
        <v>160</v>
      </c>
      <c r="B49" s="858"/>
      <c r="C49" s="33">
        <f t="shared" ref="C49:N49" si="3">SUM(C38:C48)</f>
        <v>0</v>
      </c>
      <c r="D49" s="33">
        <f t="shared" si="3"/>
        <v>0</v>
      </c>
      <c r="E49" s="33">
        <f t="shared" si="3"/>
        <v>0</v>
      </c>
      <c r="F49" s="33">
        <f t="shared" si="3"/>
        <v>0</v>
      </c>
      <c r="G49" s="33">
        <f t="shared" si="3"/>
        <v>0</v>
      </c>
      <c r="H49" s="33">
        <f t="shared" si="3"/>
        <v>0</v>
      </c>
      <c r="I49" s="33">
        <f t="shared" si="3"/>
        <v>0</v>
      </c>
      <c r="J49" s="33">
        <f t="shared" si="3"/>
        <v>0</v>
      </c>
      <c r="K49" s="33">
        <f t="shared" si="3"/>
        <v>0</v>
      </c>
      <c r="L49" s="33">
        <f t="shared" si="3"/>
        <v>0</v>
      </c>
      <c r="M49" s="33">
        <f t="shared" si="3"/>
        <v>0</v>
      </c>
      <c r="N49" s="33">
        <f t="shared" si="3"/>
        <v>0</v>
      </c>
      <c r="O49" s="34">
        <f t="shared" si="2"/>
        <v>0</v>
      </c>
    </row>
    <row r="50" spans="1:18" ht="15.75" thickBot="1" x14ac:dyDescent="0.25">
      <c r="A50" s="859" t="s">
        <v>161</v>
      </c>
      <c r="B50" s="860"/>
      <c r="C50" s="35">
        <f t="shared" ref="C50:N50" si="4">C37-C49</f>
        <v>0</v>
      </c>
      <c r="D50" s="35">
        <f t="shared" si="4"/>
        <v>0</v>
      </c>
      <c r="E50" s="35">
        <f t="shared" si="4"/>
        <v>0</v>
      </c>
      <c r="F50" s="35">
        <f t="shared" si="4"/>
        <v>0</v>
      </c>
      <c r="G50" s="35">
        <f t="shared" si="4"/>
        <v>0</v>
      </c>
      <c r="H50" s="35">
        <f t="shared" si="4"/>
        <v>0</v>
      </c>
      <c r="I50" s="35">
        <f t="shared" si="4"/>
        <v>0</v>
      </c>
      <c r="J50" s="35">
        <f t="shared" si="4"/>
        <v>0</v>
      </c>
      <c r="K50" s="35">
        <f t="shared" si="4"/>
        <v>0</v>
      </c>
      <c r="L50" s="35">
        <f t="shared" si="4"/>
        <v>0</v>
      </c>
      <c r="M50" s="35">
        <f t="shared" si="4"/>
        <v>0</v>
      </c>
      <c r="N50" s="35">
        <f t="shared" si="4"/>
        <v>0</v>
      </c>
      <c r="O50" s="36">
        <f t="shared" si="2"/>
        <v>0</v>
      </c>
      <c r="Q50" s="16">
        <f>25842+24342+7156+26021+26887+26141+30664+27164*2+6897+3454+28238*2+27338*2+27110</f>
        <v>369994</v>
      </c>
    </row>
    <row r="51" spans="1:18" x14ac:dyDescent="0.2">
      <c r="G51" s="38"/>
      <c r="J51" s="300">
        <f>+J37-SUM(J22:J36)</f>
        <v>0</v>
      </c>
      <c r="Q51" s="38"/>
    </row>
    <row r="52" spans="1:18" ht="13.5" thickBot="1" x14ac:dyDescent="0.25">
      <c r="J52" s="38">
        <f>+J51-J49</f>
        <v>0</v>
      </c>
    </row>
    <row r="53" spans="1:18" ht="13.5" thickBot="1" x14ac:dyDescent="0.25">
      <c r="B53" s="789" t="s">
        <v>162</v>
      </c>
      <c r="C53" s="861"/>
      <c r="D53" s="861"/>
      <c r="E53" s="861"/>
      <c r="F53" s="862"/>
      <c r="G53" s="863">
        <f>O37</f>
        <v>0</v>
      </c>
      <c r="H53" s="864"/>
    </row>
    <row r="54" spans="1:18" ht="13.5" thickBot="1" x14ac:dyDescent="0.25"/>
    <row r="55" spans="1:18" x14ac:dyDescent="0.2">
      <c r="B55" s="830" t="s">
        <v>163</v>
      </c>
      <c r="C55" s="833" t="s">
        <v>164</v>
      </c>
      <c r="D55" s="836" t="s">
        <v>165</v>
      </c>
      <c r="E55" s="837"/>
      <c r="F55" s="838"/>
      <c r="G55" s="839">
        <f>1600*12</f>
        <v>19200</v>
      </c>
      <c r="H55" s="840"/>
    </row>
    <row r="56" spans="1:18" x14ac:dyDescent="0.2">
      <c r="B56" s="831"/>
      <c r="C56" s="834"/>
      <c r="D56" s="841" t="s">
        <v>166</v>
      </c>
      <c r="E56" s="842"/>
      <c r="F56" s="843"/>
      <c r="G56" s="844">
        <f>+O44</f>
        <v>0</v>
      </c>
      <c r="H56" s="845"/>
      <c r="I56" s="39"/>
      <c r="J56" s="846"/>
      <c r="K56" s="846"/>
      <c r="L56" s="846"/>
      <c r="M56" s="847"/>
      <c r="N56" s="847"/>
      <c r="O56" s="847"/>
    </row>
    <row r="57" spans="1:18" x14ac:dyDescent="0.2">
      <c r="B57" s="886"/>
      <c r="C57" s="887"/>
      <c r="D57" s="40" t="s">
        <v>129</v>
      </c>
      <c r="E57" s="41"/>
      <c r="F57" s="42"/>
      <c r="G57" s="43"/>
      <c r="H57" s="44">
        <v>2400</v>
      </c>
      <c r="I57" s="39"/>
      <c r="J57" s="45"/>
      <c r="K57" s="45"/>
      <c r="L57" s="45"/>
      <c r="M57" s="46"/>
      <c r="N57" s="46"/>
      <c r="O57" s="46"/>
    </row>
    <row r="58" spans="1:18" ht="13.5" thickBot="1" x14ac:dyDescent="0.25">
      <c r="B58" s="832"/>
      <c r="C58" s="835"/>
      <c r="D58" s="848" t="s">
        <v>243</v>
      </c>
      <c r="E58" s="849"/>
      <c r="F58" s="850"/>
      <c r="G58" s="851">
        <f>IF(O18&gt;15000,15000,+O18)</f>
        <v>0</v>
      </c>
      <c r="H58" s="852"/>
      <c r="J58" s="47"/>
      <c r="K58" s="47"/>
      <c r="L58" s="47"/>
      <c r="M58" s="47"/>
      <c r="N58" s="47"/>
      <c r="O58" s="47"/>
    </row>
    <row r="59" spans="1:18" ht="13.5" thickBot="1" x14ac:dyDescent="0.25">
      <c r="B59" s="48"/>
      <c r="J59" s="47"/>
      <c r="K59" s="47"/>
      <c r="L59" s="47"/>
      <c r="M59" s="47"/>
      <c r="N59" s="47"/>
      <c r="O59" s="47"/>
    </row>
    <row r="60" spans="1:18" ht="13.5" thickBot="1" x14ac:dyDescent="0.25">
      <c r="B60" s="789" t="s">
        <v>168</v>
      </c>
      <c r="C60" s="790"/>
      <c r="D60" s="790"/>
      <c r="E60" s="790"/>
      <c r="F60" s="791"/>
      <c r="G60" s="825">
        <f>+G53-SUM(G55:H58)</f>
        <v>-21600</v>
      </c>
      <c r="H60" s="826"/>
      <c r="J60" s="827" t="s">
        <v>169</v>
      </c>
      <c r="K60" s="828"/>
      <c r="L60" s="828"/>
      <c r="M60" s="828"/>
      <c r="N60" s="828"/>
      <c r="O60" s="829"/>
    </row>
    <row r="61" spans="1:18" ht="13.5" thickBot="1" x14ac:dyDescent="0.25">
      <c r="B61" s="49"/>
      <c r="C61" s="50"/>
      <c r="D61" s="50"/>
      <c r="E61" s="50"/>
      <c r="F61" s="50"/>
      <c r="G61" s="45"/>
      <c r="H61" s="50"/>
      <c r="J61" s="129"/>
      <c r="K61" s="130"/>
      <c r="L61" s="130"/>
      <c r="M61" s="130"/>
      <c r="N61" s="130"/>
      <c r="O61" s="131"/>
    </row>
    <row r="62" spans="1:18" ht="13.5" thickBot="1" x14ac:dyDescent="0.25">
      <c r="B62" s="789" t="s">
        <v>170</v>
      </c>
      <c r="C62" s="790"/>
      <c r="D62" s="790"/>
      <c r="E62" s="790"/>
      <c r="F62" s="791"/>
      <c r="G62" s="805"/>
      <c r="H62" s="791"/>
      <c r="J62" s="54"/>
      <c r="K62" s="55"/>
      <c r="L62" s="55"/>
      <c r="M62" s="55"/>
      <c r="N62" s="55"/>
      <c r="O62" s="56"/>
    </row>
    <row r="63" spans="1:18" ht="12.75" customHeight="1" x14ac:dyDescent="0.2">
      <c r="B63" s="57" t="s">
        <v>171</v>
      </c>
      <c r="C63" s="806" t="s">
        <v>172</v>
      </c>
      <c r="D63" s="807"/>
      <c r="E63" s="807"/>
      <c r="F63" s="808"/>
      <c r="G63" s="809">
        <v>115834</v>
      </c>
      <c r="H63" s="809"/>
      <c r="I63" s="58"/>
      <c r="J63" s="810" t="s">
        <v>173</v>
      </c>
      <c r="K63" s="811"/>
      <c r="L63" s="811"/>
      <c r="M63" s="811"/>
      <c r="N63" s="811"/>
      <c r="O63" s="812"/>
      <c r="Q63" s="59"/>
      <c r="R63" s="59"/>
    </row>
    <row r="64" spans="1:18" ht="13.5" thickBot="1" x14ac:dyDescent="0.25">
      <c r="D64" s="37"/>
      <c r="I64" s="58"/>
      <c r="J64" s="60" t="s">
        <v>1029</v>
      </c>
      <c r="K64" s="61"/>
      <c r="L64" s="132"/>
      <c r="M64" s="133"/>
      <c r="N64" s="133"/>
      <c r="O64" s="134"/>
      <c r="Q64" s="59"/>
      <c r="R64" s="59"/>
    </row>
    <row r="65" spans="2:18" ht="13.5" thickBot="1" x14ac:dyDescent="0.25">
      <c r="B65" s="789" t="s">
        <v>175</v>
      </c>
      <c r="C65" s="790"/>
      <c r="D65" s="790"/>
      <c r="E65" s="790"/>
      <c r="F65" s="791"/>
      <c r="G65" s="805">
        <f>+G60-G63</f>
        <v>-137434</v>
      </c>
      <c r="H65" s="791"/>
      <c r="I65" s="63"/>
      <c r="J65" s="75" t="s">
        <v>648</v>
      </c>
      <c r="K65" s="183"/>
      <c r="L65" s="39"/>
      <c r="M65" s="39"/>
      <c r="N65" s="39"/>
      <c r="O65" s="65"/>
      <c r="Q65" s="59"/>
      <c r="R65" s="59"/>
    </row>
    <row r="66" spans="2:18" ht="12.75" customHeight="1" x14ac:dyDescent="0.2">
      <c r="B66" s="48"/>
      <c r="C66" s="48"/>
      <c r="I66" s="63"/>
      <c r="J66" s="75"/>
      <c r="K66" s="183"/>
      <c r="L66" s="39"/>
      <c r="M66" s="39"/>
      <c r="N66" s="39"/>
      <c r="O66" s="65"/>
      <c r="Q66" s="59"/>
      <c r="R66" s="59"/>
    </row>
    <row r="67" spans="2:18" x14ac:dyDescent="0.2">
      <c r="B67" s="66" t="s">
        <v>176</v>
      </c>
      <c r="C67" s="48"/>
      <c r="I67" s="63"/>
      <c r="J67" s="164"/>
      <c r="K67" s="135"/>
      <c r="L67" s="68"/>
      <c r="M67" s="68"/>
      <c r="N67" s="68"/>
      <c r="O67" s="69"/>
      <c r="Q67" s="59"/>
      <c r="R67" s="59"/>
    </row>
    <row r="68" spans="2:18" ht="26.25" customHeight="1" thickBot="1" x14ac:dyDescent="0.25">
      <c r="B68" s="66"/>
      <c r="C68" s="48"/>
      <c r="G68" s="70" t="s">
        <v>177</v>
      </c>
      <c r="H68" s="70" t="s">
        <v>178</v>
      </c>
      <c r="I68" s="63"/>
      <c r="J68" s="810" t="s">
        <v>179</v>
      </c>
      <c r="K68" s="811"/>
      <c r="L68" s="71"/>
      <c r="M68" s="71"/>
      <c r="N68" s="71"/>
      <c r="O68" s="158" t="s">
        <v>267</v>
      </c>
      <c r="Q68" s="59"/>
      <c r="R68" s="59"/>
    </row>
    <row r="69" spans="2:18" ht="12.75" customHeight="1" x14ac:dyDescent="0.2">
      <c r="B69" s="802" t="s">
        <v>180</v>
      </c>
      <c r="C69" s="821" t="s">
        <v>181</v>
      </c>
      <c r="D69" s="823" t="s">
        <v>182</v>
      </c>
      <c r="E69" s="824"/>
      <c r="F69" s="824"/>
      <c r="G69" s="73">
        <f>+O43</f>
        <v>0</v>
      </c>
      <c r="H69" s="74">
        <f t="shared" ref="H69:H77" si="5">+G69</f>
        <v>0</v>
      </c>
      <c r="I69" s="63"/>
      <c r="J69" s="230" t="s">
        <v>1030</v>
      </c>
      <c r="K69" s="135"/>
      <c r="L69" s="58"/>
      <c r="M69" s="135" t="s">
        <v>232</v>
      </c>
      <c r="N69" s="135" t="s">
        <v>439</v>
      </c>
      <c r="O69" s="76">
        <v>14792</v>
      </c>
      <c r="Q69" s="59"/>
      <c r="R69" s="59"/>
    </row>
    <row r="70" spans="2:18" ht="12.75" customHeight="1" x14ac:dyDescent="0.2">
      <c r="B70" s="803"/>
      <c r="C70" s="822"/>
      <c r="D70" s="782" t="s">
        <v>184</v>
      </c>
      <c r="E70" s="783"/>
      <c r="F70" s="783"/>
      <c r="G70" s="77">
        <f>+O47+14792+G75</f>
        <v>30886</v>
      </c>
      <c r="H70" s="78">
        <f t="shared" si="5"/>
        <v>30886</v>
      </c>
      <c r="I70" s="63"/>
      <c r="J70" s="230" t="s">
        <v>1031</v>
      </c>
      <c r="K70" s="135"/>
      <c r="L70" s="135"/>
      <c r="M70" s="135" t="s">
        <v>232</v>
      </c>
      <c r="N70" s="135" t="s">
        <v>670</v>
      </c>
      <c r="O70" s="136">
        <v>567</v>
      </c>
      <c r="Q70" s="59"/>
      <c r="R70" s="59"/>
    </row>
    <row r="71" spans="2:18" ht="12.75" customHeight="1" x14ac:dyDescent="0.2">
      <c r="B71" s="803"/>
      <c r="C71" s="822"/>
      <c r="D71" s="819" t="s">
        <v>185</v>
      </c>
      <c r="E71" s="820"/>
      <c r="F71" s="820"/>
      <c r="G71" s="80">
        <f>O40</f>
        <v>0</v>
      </c>
      <c r="H71" s="78">
        <f t="shared" si="5"/>
        <v>0</v>
      </c>
      <c r="I71" s="63"/>
      <c r="J71" s="230" t="s">
        <v>1032</v>
      </c>
      <c r="K71" s="231"/>
      <c r="L71" s="231"/>
      <c r="M71" s="135" t="s">
        <v>232</v>
      </c>
      <c r="N71" s="135" t="s">
        <v>670</v>
      </c>
      <c r="O71" s="232">
        <v>567</v>
      </c>
    </row>
    <row r="72" spans="2:18" x14ac:dyDescent="0.2">
      <c r="B72" s="803"/>
      <c r="C72" s="822"/>
      <c r="D72" s="782" t="s">
        <v>186</v>
      </c>
      <c r="E72" s="783"/>
      <c r="F72" s="783"/>
      <c r="G72" s="81">
        <v>0</v>
      </c>
      <c r="H72" s="78">
        <f t="shared" si="5"/>
        <v>0</v>
      </c>
      <c r="I72" s="63"/>
      <c r="J72" s="230" t="s">
        <v>1033</v>
      </c>
      <c r="K72" s="231"/>
      <c r="L72" s="231"/>
      <c r="M72" s="135" t="s">
        <v>232</v>
      </c>
      <c r="N72" s="135" t="s">
        <v>670</v>
      </c>
      <c r="O72" s="232">
        <v>567</v>
      </c>
    </row>
    <row r="73" spans="2:18" ht="12.75" customHeight="1" x14ac:dyDescent="0.2">
      <c r="B73" s="803"/>
      <c r="C73" s="822"/>
      <c r="D73" s="784" t="s">
        <v>188</v>
      </c>
      <c r="E73" s="783"/>
      <c r="F73" s="783"/>
      <c r="G73" s="80">
        <v>0</v>
      </c>
      <c r="H73" s="78">
        <f t="shared" si="5"/>
        <v>0</v>
      </c>
      <c r="I73" s="63"/>
      <c r="J73" s="230" t="s">
        <v>1034</v>
      </c>
      <c r="K73" s="63"/>
      <c r="L73" s="63"/>
      <c r="M73" s="135" t="s">
        <v>232</v>
      </c>
      <c r="N73" s="135" t="s">
        <v>670</v>
      </c>
      <c r="O73" s="86">
        <v>567</v>
      </c>
    </row>
    <row r="74" spans="2:18" ht="14.25" customHeight="1" x14ac:dyDescent="0.2">
      <c r="B74" s="803"/>
      <c r="C74" s="822"/>
      <c r="D74" s="782" t="s">
        <v>190</v>
      </c>
      <c r="E74" s="783"/>
      <c r="F74" s="783"/>
      <c r="G74" s="84">
        <v>0</v>
      </c>
      <c r="H74" s="78">
        <f t="shared" si="5"/>
        <v>0</v>
      </c>
      <c r="I74" s="63"/>
      <c r="J74" s="230" t="s">
        <v>1035</v>
      </c>
      <c r="K74" s="63"/>
      <c r="L74" s="63"/>
      <c r="M74" s="135" t="s">
        <v>232</v>
      </c>
      <c r="N74" s="135" t="s">
        <v>670</v>
      </c>
      <c r="O74" s="86">
        <v>567</v>
      </c>
    </row>
    <row r="75" spans="2:18" x14ac:dyDescent="0.2">
      <c r="B75" s="803"/>
      <c r="C75" s="822"/>
      <c r="D75" s="782" t="s">
        <v>191</v>
      </c>
      <c r="E75" s="783"/>
      <c r="F75" s="783"/>
      <c r="G75" s="81">
        <v>16094</v>
      </c>
      <c r="H75" s="78">
        <f t="shared" si="5"/>
        <v>16094</v>
      </c>
      <c r="I75" s="58"/>
      <c r="J75" s="230" t="s">
        <v>1036</v>
      </c>
      <c r="K75" s="63"/>
      <c r="L75" s="63"/>
      <c r="M75" s="135" t="s">
        <v>232</v>
      </c>
      <c r="N75" s="135" t="s">
        <v>670</v>
      </c>
      <c r="O75" s="86">
        <v>567</v>
      </c>
    </row>
    <row r="76" spans="2:18" x14ac:dyDescent="0.2">
      <c r="B76" s="803"/>
      <c r="C76" s="88" t="s">
        <v>192</v>
      </c>
      <c r="D76" s="813" t="s">
        <v>193</v>
      </c>
      <c r="E76" s="814"/>
      <c r="F76" s="814"/>
      <c r="G76" s="80">
        <v>0</v>
      </c>
      <c r="H76" s="78">
        <f t="shared" si="5"/>
        <v>0</v>
      </c>
      <c r="I76" s="58"/>
      <c r="J76" s="230" t="s">
        <v>1037</v>
      </c>
      <c r="K76" s="63"/>
      <c r="L76" s="63"/>
      <c r="M76" s="135" t="s">
        <v>232</v>
      </c>
      <c r="N76" s="135" t="s">
        <v>670</v>
      </c>
      <c r="O76" s="86">
        <v>1897</v>
      </c>
    </row>
    <row r="77" spans="2:18" ht="13.5" customHeight="1" thickBot="1" x14ac:dyDescent="0.25">
      <c r="B77" s="803"/>
      <c r="C77" s="88" t="s">
        <v>194</v>
      </c>
      <c r="D77" s="815" t="s">
        <v>195</v>
      </c>
      <c r="E77" s="815"/>
      <c r="F77" s="815"/>
      <c r="G77" s="89">
        <v>0</v>
      </c>
      <c r="H77" s="90">
        <f t="shared" si="5"/>
        <v>0</v>
      </c>
      <c r="I77" s="63"/>
      <c r="J77" s="233" t="s">
        <v>1038</v>
      </c>
      <c r="K77" s="63"/>
      <c r="L77" s="63"/>
      <c r="M77" s="135" t="s">
        <v>232</v>
      </c>
      <c r="N77" s="135" t="s">
        <v>670</v>
      </c>
      <c r="O77" s="86">
        <v>1562</v>
      </c>
    </row>
    <row r="78" spans="2:18" ht="13.5" thickBot="1" x14ac:dyDescent="0.25">
      <c r="B78" s="803"/>
      <c r="C78" s="93"/>
      <c r="D78" s="94"/>
      <c r="E78" s="816" t="s">
        <v>117</v>
      </c>
      <c r="F78" s="817"/>
      <c r="G78" s="95">
        <f>SUM(G69:G77)</f>
        <v>46980</v>
      </c>
      <c r="H78" s="96">
        <f>IF(SUM(G69:G75)&lt;150000,SUM(G69:G75),150000)+IF(+G76&lt;20000,+G76,20000)</f>
        <v>46980</v>
      </c>
      <c r="I78" s="63"/>
      <c r="J78" s="79"/>
      <c r="K78" s="39"/>
      <c r="L78" s="39"/>
      <c r="M78" s="39"/>
      <c r="N78" s="39"/>
      <c r="O78" s="65">
        <v>24488</v>
      </c>
    </row>
    <row r="79" spans="2:18" ht="12.75" customHeight="1" x14ac:dyDescent="0.2">
      <c r="B79" s="803"/>
      <c r="C79" s="100" t="s">
        <v>196</v>
      </c>
      <c r="D79" s="782" t="s">
        <v>187</v>
      </c>
      <c r="E79" s="783"/>
      <c r="F79" s="818"/>
      <c r="G79" s="73">
        <f>+O42+8140+15618</f>
        <v>23758</v>
      </c>
      <c r="H79" s="101">
        <f>+IF(+G79&lt;25000,+G79,25000)</f>
        <v>23758</v>
      </c>
      <c r="I79" s="87"/>
      <c r="J79" s="82" t="s">
        <v>187</v>
      </c>
      <c r="K79" s="234"/>
      <c r="L79" s="71"/>
      <c r="M79" s="71"/>
      <c r="N79" s="71"/>
      <c r="O79" s="72"/>
    </row>
    <row r="80" spans="2:18" x14ac:dyDescent="0.2">
      <c r="B80" s="803"/>
      <c r="C80" s="100" t="s">
        <v>197</v>
      </c>
      <c r="D80" s="784" t="s">
        <v>198</v>
      </c>
      <c r="E80" s="785"/>
      <c r="F80" s="786"/>
      <c r="G80" s="102"/>
      <c r="H80" s="103">
        <f>+IF(+G80&lt;40000,+G80,40000)</f>
        <v>0</v>
      </c>
      <c r="I80" s="63"/>
      <c r="J80" s="75" t="s">
        <v>189</v>
      </c>
      <c r="K80" s="235"/>
      <c r="L80" s="50"/>
      <c r="M80" s="50"/>
      <c r="N80" s="50"/>
      <c r="O80" s="83">
        <v>0</v>
      </c>
    </row>
    <row r="81" spans="2:15" x14ac:dyDescent="0.2">
      <c r="B81" s="803"/>
      <c r="C81" s="100" t="s">
        <v>199</v>
      </c>
      <c r="D81" s="784" t="s">
        <v>200</v>
      </c>
      <c r="E81" s="785"/>
      <c r="F81" s="786"/>
      <c r="G81" s="81"/>
      <c r="H81" s="104">
        <v>0</v>
      </c>
      <c r="I81" s="63"/>
      <c r="J81" s="75" t="s">
        <v>453</v>
      </c>
      <c r="K81" s="183"/>
      <c r="L81" s="39"/>
      <c r="M81" s="39"/>
      <c r="N81" s="39"/>
      <c r="O81" s="65">
        <v>15618</v>
      </c>
    </row>
    <row r="82" spans="2:15" x14ac:dyDescent="0.2">
      <c r="B82" s="803"/>
      <c r="C82" s="100" t="s">
        <v>201</v>
      </c>
      <c r="D82" s="784" t="s">
        <v>202</v>
      </c>
      <c r="E82" s="785"/>
      <c r="F82" s="786"/>
      <c r="G82" s="81">
        <v>0</v>
      </c>
      <c r="H82" s="104">
        <f>+G82*50%</f>
        <v>0</v>
      </c>
      <c r="I82" s="63"/>
      <c r="J82" s="75" t="s">
        <v>1039</v>
      </c>
      <c r="K82" s="183"/>
      <c r="L82" s="39"/>
      <c r="M82" s="39"/>
      <c r="N82" s="39"/>
      <c r="O82" s="65"/>
    </row>
    <row r="83" spans="2:15" ht="13.5" thickBot="1" x14ac:dyDescent="0.25">
      <c r="B83" s="804"/>
      <c r="C83" s="100" t="s">
        <v>203</v>
      </c>
      <c r="D83" s="784" t="s">
        <v>204</v>
      </c>
      <c r="E83" s="785"/>
      <c r="F83" s="786"/>
      <c r="G83" s="102"/>
      <c r="H83" s="103">
        <f>+IF(+G83&lt;100000,+G83,10000)</f>
        <v>0</v>
      </c>
      <c r="I83" s="63"/>
      <c r="J83" s="82" t="s">
        <v>202</v>
      </c>
      <c r="K83" s="234"/>
      <c r="L83" s="236"/>
      <c r="M83" s="237"/>
      <c r="N83" s="237"/>
      <c r="O83" s="238"/>
    </row>
    <row r="84" spans="2:15" ht="13.5" thickBot="1" x14ac:dyDescent="0.25">
      <c r="B84" s="787" t="s">
        <v>205</v>
      </c>
      <c r="C84" s="788"/>
      <c r="D84" s="788"/>
      <c r="E84" s="788"/>
      <c r="F84" s="788"/>
      <c r="G84" s="107">
        <f>SUM(G79:G83)</f>
        <v>23758</v>
      </c>
      <c r="H84" s="108">
        <f>SUM(H78:H83)</f>
        <v>70738</v>
      </c>
      <c r="J84" s="185"/>
      <c r="K84" s="239"/>
      <c r="L84" s="98"/>
      <c r="M84" s="98"/>
      <c r="N84" s="98"/>
      <c r="O84" s="99"/>
    </row>
    <row r="85" spans="2:15" ht="13.5" thickBot="1" x14ac:dyDescent="0.25">
      <c r="J85" s="183"/>
      <c r="K85" s="135"/>
      <c r="L85" s="68"/>
      <c r="M85" s="91"/>
      <c r="N85" s="91"/>
      <c r="O85" s="91"/>
    </row>
    <row r="86" spans="2:15" ht="13.5" thickBot="1" x14ac:dyDescent="0.25">
      <c r="B86" s="789" t="s">
        <v>206</v>
      </c>
      <c r="C86" s="790"/>
      <c r="D86" s="790"/>
      <c r="E86" s="790"/>
      <c r="F86" s="791"/>
      <c r="G86" s="792">
        <f>+G65-H84</f>
        <v>-208172</v>
      </c>
      <c r="H86" s="791"/>
      <c r="J86" s="105">
        <f>C37+D37+E37+F37</f>
        <v>0</v>
      </c>
      <c r="K86" s="16" t="s">
        <v>235</v>
      </c>
      <c r="L86" s="39"/>
      <c r="M86" s="39"/>
      <c r="N86" s="39"/>
      <c r="O86" s="39"/>
    </row>
    <row r="87" spans="2:15" x14ac:dyDescent="0.2">
      <c r="B87" s="110"/>
      <c r="F87" s="105"/>
      <c r="J87" s="105">
        <f>G37+H37+I37</f>
        <v>0</v>
      </c>
      <c r="K87" s="16" t="s">
        <v>236</v>
      </c>
    </row>
    <row r="88" spans="2:15" x14ac:dyDescent="0.2">
      <c r="C88" s="793" t="s">
        <v>207</v>
      </c>
      <c r="D88" s="794"/>
      <c r="E88" s="111" t="s">
        <v>208</v>
      </c>
      <c r="F88" s="111" t="s">
        <v>209</v>
      </c>
      <c r="G88" s="111" t="s">
        <v>210</v>
      </c>
      <c r="H88" s="111" t="s">
        <v>211</v>
      </c>
      <c r="J88" s="213">
        <f>J37+K37+L37</f>
        <v>0</v>
      </c>
      <c r="K88" s="47" t="s">
        <v>237</v>
      </c>
    </row>
    <row r="89" spans="2:15" x14ac:dyDescent="0.2">
      <c r="C89" s="795" t="str">
        <f>IF(I6="M","0          - 250000","0          -  250000")</f>
        <v>0          - 250000</v>
      </c>
      <c r="D89" s="796"/>
      <c r="E89" s="112">
        <v>0</v>
      </c>
      <c r="F89" s="113">
        <f>IF(I6="M",(IF(G86&lt;250000,G86,250000)),(IF(G86&lt;250000,G86,250000)))</f>
        <v>-208172</v>
      </c>
      <c r="G89" s="113">
        <f>G86-F89</f>
        <v>0</v>
      </c>
      <c r="H89" s="113">
        <f>E89*F89</f>
        <v>0</v>
      </c>
      <c r="J89" s="207">
        <f>M37+N37</f>
        <v>0</v>
      </c>
      <c r="K89" s="1" t="s">
        <v>238</v>
      </c>
    </row>
    <row r="90" spans="2:15" x14ac:dyDescent="0.2">
      <c r="C90" s="795" t="str">
        <f>IF(I6="M","250001 - 500000","250001-500000")</f>
        <v>250001 - 500000</v>
      </c>
      <c r="D90" s="796"/>
      <c r="E90" s="112">
        <v>0.1</v>
      </c>
      <c r="F90" s="113">
        <f>IF(I6="M",(IF(G89&lt;250000,G89,250000)),(IF(G89&lt;250000,G89,250000)))</f>
        <v>0</v>
      </c>
      <c r="G90" s="113">
        <f>G89-F90</f>
        <v>0</v>
      </c>
      <c r="H90" s="114">
        <f>ROUND(E90*F90,0.1)</f>
        <v>0</v>
      </c>
      <c r="J90" s="115">
        <f>SUM(J86:J89)</f>
        <v>0</v>
      </c>
    </row>
    <row r="91" spans="2:15" x14ac:dyDescent="0.2">
      <c r="C91" s="797" t="s">
        <v>212</v>
      </c>
      <c r="D91" s="798"/>
      <c r="E91" s="112">
        <v>0.2</v>
      </c>
      <c r="F91" s="113">
        <f>IF(G90&lt;500000,G90,500000)</f>
        <v>0</v>
      </c>
      <c r="G91" s="113">
        <f>G90-F91</f>
        <v>0</v>
      </c>
      <c r="H91" s="114">
        <f>ROUND(E91*F91,0.1)</f>
        <v>0</v>
      </c>
      <c r="J91" s="16">
        <f>+G86</f>
        <v>-208172</v>
      </c>
    </row>
    <row r="92" spans="2:15" x14ac:dyDescent="0.2">
      <c r="C92" s="795" t="s">
        <v>289</v>
      </c>
      <c r="D92" s="796"/>
      <c r="E92" s="112">
        <v>0.3</v>
      </c>
      <c r="F92" s="113">
        <f>G91</f>
        <v>0</v>
      </c>
      <c r="G92" s="113">
        <f>G91-F92</f>
        <v>0</v>
      </c>
      <c r="H92" s="114">
        <f>ROUND(E92*F92,0.1)</f>
        <v>0</v>
      </c>
      <c r="J92" s="16">
        <f>+J90-J91</f>
        <v>208172</v>
      </c>
    </row>
    <row r="93" spans="2:15" ht="12.75" customHeight="1" thickBot="1" x14ac:dyDescent="0.25">
      <c r="B93" s="116"/>
      <c r="C93" s="117"/>
      <c r="D93" s="47"/>
      <c r="E93" s="47"/>
      <c r="F93" s="47"/>
    </row>
    <row r="94" spans="2:15" ht="13.5" thickBot="1" x14ac:dyDescent="0.25">
      <c r="B94" s="799" t="s">
        <v>239</v>
      </c>
      <c r="C94" s="800"/>
      <c r="D94" s="800"/>
      <c r="E94" s="800"/>
      <c r="F94" s="801"/>
      <c r="G94" s="771">
        <f>H89+H90+H91+H92</f>
        <v>0</v>
      </c>
      <c r="H94" s="772"/>
    </row>
    <row r="95" spans="2:15" ht="13.5" thickBot="1" x14ac:dyDescent="0.25">
      <c r="B95" s="171" t="s">
        <v>215</v>
      </c>
      <c r="C95" s="155"/>
      <c r="D95" s="155"/>
      <c r="E95" s="155"/>
      <c r="F95" s="155"/>
      <c r="G95" s="769">
        <f>IF(G86&lt;200000,0,IF(G86&lt;220000,((G86-200000)*10%),IF(G86&lt;=500000,2000,IF(G86&gt;=500000,0))))</f>
        <v>0</v>
      </c>
      <c r="H95" s="770">
        <f>IF(H93&lt;200000,0,IF(H93&lt;220000,((H93-200000)*10%),IF(H93&lt;=500000,2000,IF(H93&gt;=500000,0))))</f>
        <v>0</v>
      </c>
      <c r="J95" s="106" t="s">
        <v>1040</v>
      </c>
      <c r="K95" s="121"/>
      <c r="L95" s="121"/>
    </row>
    <row r="96" spans="2:15" ht="13.5" thickBot="1" x14ac:dyDescent="0.25">
      <c r="B96" s="122" t="s">
        <v>216</v>
      </c>
      <c r="C96" s="123"/>
      <c r="D96" s="123"/>
      <c r="E96" s="123"/>
      <c r="F96" s="123"/>
      <c r="G96" s="771">
        <f>+G94-G95</f>
        <v>0</v>
      </c>
      <c r="H96" s="772"/>
      <c r="I96" s="37"/>
    </row>
    <row r="97" spans="2:9" ht="13.5" thickBot="1" x14ac:dyDescent="0.25">
      <c r="B97" s="773" t="s">
        <v>217</v>
      </c>
      <c r="C97" s="774"/>
      <c r="D97" s="774"/>
      <c r="E97" s="774"/>
      <c r="F97" s="775"/>
      <c r="G97" s="776">
        <f>ROUND((IF(G96&gt;0,(G96*3%),0)),0)</f>
        <v>0</v>
      </c>
      <c r="H97" s="777"/>
      <c r="I97" s="37"/>
    </row>
    <row r="98" spans="2:9" ht="13.5" thickBot="1" x14ac:dyDescent="0.25">
      <c r="B98" s="778" t="s">
        <v>218</v>
      </c>
      <c r="C98" s="779"/>
      <c r="D98" s="779"/>
      <c r="E98" s="779"/>
      <c r="F98" s="779"/>
      <c r="G98" s="780">
        <f>G96+G97</f>
        <v>0</v>
      </c>
      <c r="H98" s="781"/>
      <c r="I98" s="121"/>
    </row>
    <row r="99" spans="2:9" ht="13.5" thickBot="1" x14ac:dyDescent="0.25">
      <c r="B99" s="765" t="s">
        <v>219</v>
      </c>
      <c r="C99" s="766"/>
      <c r="D99" s="766"/>
      <c r="E99" s="766"/>
      <c r="F99" s="766"/>
      <c r="G99" s="767">
        <f>O38</f>
        <v>0</v>
      </c>
      <c r="H99" s="768"/>
      <c r="I99" s="121"/>
    </row>
    <row r="100" spans="2:9" ht="13.5" thickBot="1" x14ac:dyDescent="0.25">
      <c r="B100" s="765" t="str">
        <f>IF(G100&gt;0,"TAX PAYABLE","TAX REFUND")</f>
        <v>TAX REFUND</v>
      </c>
      <c r="C100" s="766"/>
      <c r="D100" s="766"/>
      <c r="E100" s="766"/>
      <c r="F100" s="766"/>
      <c r="G100" s="767">
        <f>+G98-G99</f>
        <v>0</v>
      </c>
      <c r="H100" s="768"/>
      <c r="I100" s="37"/>
    </row>
    <row r="101" spans="2:9" x14ac:dyDescent="0.2">
      <c r="C101" s="124"/>
      <c r="D101" s="45"/>
      <c r="E101" s="118"/>
      <c r="F101" s="118"/>
      <c r="G101" s="118"/>
      <c r="H101" s="118"/>
      <c r="I101" s="125"/>
    </row>
    <row r="102" spans="2:9" x14ac:dyDescent="0.2">
      <c r="C102" s="47"/>
      <c r="D102" s="50"/>
      <c r="E102" s="117"/>
      <c r="F102" s="47"/>
      <c r="G102" s="47"/>
      <c r="H102" s="47"/>
      <c r="I102" s="125"/>
    </row>
    <row r="103" spans="2:9" x14ac:dyDescent="0.2">
      <c r="C103" s="39"/>
      <c r="D103" s="126"/>
      <c r="E103" s="126"/>
      <c r="F103" s="126"/>
      <c r="G103" s="39"/>
      <c r="H103" s="39"/>
      <c r="I103" s="37"/>
    </row>
    <row r="104" spans="2:9" x14ac:dyDescent="0.2">
      <c r="C104" s="39"/>
      <c r="D104" s="126"/>
      <c r="E104" s="126"/>
      <c r="F104" s="39"/>
      <c r="G104" s="39"/>
      <c r="H104" s="39"/>
      <c r="I104" s="37"/>
    </row>
    <row r="105" spans="2:9" x14ac:dyDescent="0.2">
      <c r="C105" s="39"/>
      <c r="D105" s="126"/>
      <c r="E105" s="126"/>
      <c r="F105" s="39"/>
      <c r="G105" s="39"/>
      <c r="H105" s="39"/>
      <c r="I105" s="37"/>
    </row>
    <row r="106" spans="2:9" x14ac:dyDescent="0.2">
      <c r="C106" s="39"/>
      <c r="D106" s="39"/>
      <c r="E106" s="39"/>
      <c r="F106" s="39"/>
      <c r="G106" s="39"/>
      <c r="H106" s="39"/>
      <c r="I106" s="37"/>
    </row>
    <row r="107" spans="2:9" x14ac:dyDescent="0.2">
      <c r="C107" s="39"/>
      <c r="D107" s="39"/>
      <c r="E107" s="39"/>
      <c r="F107" s="39"/>
      <c r="G107" s="39"/>
      <c r="H107" s="39"/>
    </row>
    <row r="108" spans="2:9" x14ac:dyDescent="0.2">
      <c r="C108" s="39"/>
      <c r="D108" s="39"/>
      <c r="E108" s="39"/>
      <c r="F108" s="39"/>
      <c r="G108" s="39"/>
      <c r="H108"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60:F60"/>
    <mergeCell ref="G60:H60"/>
    <mergeCell ref="J60:O60"/>
    <mergeCell ref="B55:B58"/>
    <mergeCell ref="C55:C58"/>
    <mergeCell ref="D55:F55"/>
    <mergeCell ref="G55:H55"/>
    <mergeCell ref="D56:F56"/>
    <mergeCell ref="G56:H56"/>
    <mergeCell ref="J56:L56"/>
    <mergeCell ref="M56:O56"/>
    <mergeCell ref="D58:F58"/>
    <mergeCell ref="G58:H58"/>
    <mergeCell ref="J63:O63"/>
    <mergeCell ref="D81:F81"/>
    <mergeCell ref="J68:K68"/>
    <mergeCell ref="B65:F65"/>
    <mergeCell ref="G65:H65"/>
    <mergeCell ref="D76:F76"/>
    <mergeCell ref="D77:F77"/>
    <mergeCell ref="E78:F78"/>
    <mergeCell ref="D79:F79"/>
    <mergeCell ref="D80:F80"/>
    <mergeCell ref="D71:F71"/>
    <mergeCell ref="D72:F72"/>
    <mergeCell ref="C69:C75"/>
    <mergeCell ref="D69:F69"/>
    <mergeCell ref="D70:F70"/>
    <mergeCell ref="D74:F74"/>
    <mergeCell ref="G62:H62"/>
    <mergeCell ref="C63:F63"/>
    <mergeCell ref="G63:H63"/>
    <mergeCell ref="B62:F62"/>
    <mergeCell ref="D73:F73"/>
    <mergeCell ref="D75:F75"/>
    <mergeCell ref="G94:H94"/>
    <mergeCell ref="D82:F82"/>
    <mergeCell ref="D83:F83"/>
    <mergeCell ref="B84:F84"/>
    <mergeCell ref="B86:F86"/>
    <mergeCell ref="G86:H86"/>
    <mergeCell ref="C88:D88"/>
    <mergeCell ref="C89:D89"/>
    <mergeCell ref="C90:D90"/>
    <mergeCell ref="C91:D91"/>
    <mergeCell ref="C92:D92"/>
    <mergeCell ref="B94:F94"/>
    <mergeCell ref="B69:B83"/>
    <mergeCell ref="B100:F100"/>
    <mergeCell ref="G100:H100"/>
    <mergeCell ref="G95:H95"/>
    <mergeCell ref="G96:H96"/>
    <mergeCell ref="B97:F97"/>
    <mergeCell ref="G97:H97"/>
    <mergeCell ref="B98:F98"/>
    <mergeCell ref="G98:H98"/>
    <mergeCell ref="B99:F99"/>
    <mergeCell ref="G99:H99"/>
  </mergeCells>
  <conditionalFormatting sqref="B91:F91 B100:F100 B94:F98">
    <cfRule type="cellIs" dxfId="147" priority="3" stopIfTrue="1" operator="equal">
      <formula>"TAX PAYABLE"</formula>
    </cfRule>
    <cfRule type="cellIs" dxfId="146" priority="4" stopIfTrue="1" operator="equal">
      <formula>"TAX REFUND"</formula>
    </cfRule>
  </conditionalFormatting>
  <conditionalFormatting sqref="G91:H91">
    <cfRule type="cellIs" dxfId="145" priority="5" stopIfTrue="1" operator="lessThan">
      <formula>0</formula>
    </cfRule>
    <cfRule type="cellIs" dxfId="144" priority="6" stopIfTrue="1" operator="greaterThan">
      <formula>0</formula>
    </cfRule>
  </conditionalFormatting>
  <conditionalFormatting sqref="G100:H100">
    <cfRule type="cellIs" dxfId="143" priority="1" stopIfTrue="1" operator="greaterThan">
      <formula>0</formula>
    </cfRule>
    <cfRule type="cellIs" dxfId="142"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legacyDrawing r:id="rId2"/>
</worksheet>
</file>

<file path=xl/worksheets/sheet1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08"/>
  <sheetViews>
    <sheetView workbookViewId="0">
      <selection activeCell="I1" sqref="I1:O1"/>
    </sheetView>
  </sheetViews>
  <sheetFormatPr defaultRowHeight="12.75" x14ac:dyDescent="0.2"/>
  <cols>
    <col min="1" max="1" width="5" style="16" customWidth="1"/>
    <col min="2" max="2" width="18.85546875" style="37" customWidth="1"/>
    <col min="3" max="3" width="10.7109375" style="16" bestFit="1" customWidth="1"/>
    <col min="4" max="4" width="6.7109375" style="16" bestFit="1" customWidth="1"/>
    <col min="5" max="5" width="8.5703125" style="16" bestFit="1" customWidth="1"/>
    <col min="6" max="6" width="9.28515625" style="16" bestFit="1" customWidth="1"/>
    <col min="7" max="7" width="10.42578125" style="16" bestFit="1" customWidth="1"/>
    <col min="8" max="8" width="10.28515625" style="16" bestFit="1" customWidth="1"/>
    <col min="9" max="9" width="7.140625" style="16" bestFit="1" customWidth="1"/>
    <col min="10" max="10" width="7.42578125" style="16" customWidth="1"/>
    <col min="11" max="12" width="7" style="16" bestFit="1" customWidth="1"/>
    <col min="13" max="13" width="6.85546875" style="16" bestFit="1" customWidth="1"/>
    <col min="14" max="14" width="7" style="16" bestFit="1" customWidth="1"/>
    <col min="15" max="15" width="7.140625" style="16" bestFit="1"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8.85546875" style="16" customWidth="1"/>
    <col min="259" max="259" width="10.7109375" style="16" bestFit="1" customWidth="1"/>
    <col min="260" max="260" width="6.7109375" style="16" bestFit="1" customWidth="1"/>
    <col min="261" max="261" width="8.5703125" style="16" bestFit="1" customWidth="1"/>
    <col min="262" max="262" width="9.28515625" style="16" bestFit="1" customWidth="1"/>
    <col min="263" max="263" width="10.42578125" style="16" bestFit="1" customWidth="1"/>
    <col min="264" max="264" width="10.28515625" style="16" bestFit="1" customWidth="1"/>
    <col min="265" max="265" width="7.140625" style="16" bestFit="1" customWidth="1"/>
    <col min="266" max="266" width="7.42578125" style="16" customWidth="1"/>
    <col min="267" max="268" width="7" style="16" bestFit="1" customWidth="1"/>
    <col min="269" max="269" width="6.85546875" style="16" bestFit="1" customWidth="1"/>
    <col min="270" max="270" width="7" style="16" bestFit="1" customWidth="1"/>
    <col min="271" max="271" width="7.140625" style="16" bestFit="1"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8.85546875" style="16" customWidth="1"/>
    <col min="515" max="515" width="10.7109375" style="16" bestFit="1" customWidth="1"/>
    <col min="516" max="516" width="6.7109375" style="16" bestFit="1" customWidth="1"/>
    <col min="517" max="517" width="8.5703125" style="16" bestFit="1" customWidth="1"/>
    <col min="518" max="518" width="9.28515625" style="16" bestFit="1" customWidth="1"/>
    <col min="519" max="519" width="10.42578125" style="16" bestFit="1" customWidth="1"/>
    <col min="520" max="520" width="10.28515625" style="16" bestFit="1" customWidth="1"/>
    <col min="521" max="521" width="7.140625" style="16" bestFit="1" customWidth="1"/>
    <col min="522" max="522" width="7.42578125" style="16" customWidth="1"/>
    <col min="523" max="524" width="7" style="16" bestFit="1" customWidth="1"/>
    <col min="525" max="525" width="6.85546875" style="16" bestFit="1" customWidth="1"/>
    <col min="526" max="526" width="7" style="16" bestFit="1" customWidth="1"/>
    <col min="527" max="527" width="7.140625" style="16" bestFit="1"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8.85546875" style="16" customWidth="1"/>
    <col min="771" max="771" width="10.7109375" style="16" bestFit="1" customWidth="1"/>
    <col min="772" max="772" width="6.7109375" style="16" bestFit="1" customWidth="1"/>
    <col min="773" max="773" width="8.5703125" style="16" bestFit="1" customWidth="1"/>
    <col min="774" max="774" width="9.28515625" style="16" bestFit="1" customWidth="1"/>
    <col min="775" max="775" width="10.42578125" style="16" bestFit="1" customWidth="1"/>
    <col min="776" max="776" width="10.28515625" style="16" bestFit="1" customWidth="1"/>
    <col min="777" max="777" width="7.140625" style="16" bestFit="1" customWidth="1"/>
    <col min="778" max="778" width="7.42578125" style="16" customWidth="1"/>
    <col min="779" max="780" width="7" style="16" bestFit="1" customWidth="1"/>
    <col min="781" max="781" width="6.85546875" style="16" bestFit="1" customWidth="1"/>
    <col min="782" max="782" width="7" style="16" bestFit="1" customWidth="1"/>
    <col min="783" max="783" width="7.140625" style="16" bestFit="1"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8.85546875" style="16" customWidth="1"/>
    <col min="1027" max="1027" width="10.7109375" style="16" bestFit="1" customWidth="1"/>
    <col min="1028" max="1028" width="6.7109375" style="16" bestFit="1" customWidth="1"/>
    <col min="1029" max="1029" width="8.5703125" style="16" bestFit="1" customWidth="1"/>
    <col min="1030" max="1030" width="9.28515625" style="16" bestFit="1" customWidth="1"/>
    <col min="1031" max="1031" width="10.42578125" style="16" bestFit="1" customWidth="1"/>
    <col min="1032" max="1032" width="10.28515625" style="16" bestFit="1" customWidth="1"/>
    <col min="1033" max="1033" width="7.140625" style="16" bestFit="1" customWidth="1"/>
    <col min="1034" max="1034" width="7.42578125" style="16" customWidth="1"/>
    <col min="1035" max="1036" width="7" style="16" bestFit="1" customWidth="1"/>
    <col min="1037" max="1037" width="6.85546875" style="16" bestFit="1" customWidth="1"/>
    <col min="1038" max="1038" width="7" style="16" bestFit="1" customWidth="1"/>
    <col min="1039" max="1039" width="7.140625" style="16" bestFit="1"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8.85546875" style="16" customWidth="1"/>
    <col min="1283" max="1283" width="10.7109375" style="16" bestFit="1" customWidth="1"/>
    <col min="1284" max="1284" width="6.7109375" style="16" bestFit="1" customWidth="1"/>
    <col min="1285" max="1285" width="8.5703125" style="16" bestFit="1" customWidth="1"/>
    <col min="1286" max="1286" width="9.28515625" style="16" bestFit="1" customWidth="1"/>
    <col min="1287" max="1287" width="10.42578125" style="16" bestFit="1" customWidth="1"/>
    <col min="1288" max="1288" width="10.28515625" style="16" bestFit="1" customWidth="1"/>
    <col min="1289" max="1289" width="7.140625" style="16" bestFit="1" customWidth="1"/>
    <col min="1290" max="1290" width="7.42578125" style="16" customWidth="1"/>
    <col min="1291" max="1292" width="7" style="16" bestFit="1" customWidth="1"/>
    <col min="1293" max="1293" width="6.85546875" style="16" bestFit="1" customWidth="1"/>
    <col min="1294" max="1294" width="7" style="16" bestFit="1" customWidth="1"/>
    <col min="1295" max="1295" width="7.140625" style="16" bestFit="1"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8.85546875" style="16" customWidth="1"/>
    <col min="1539" max="1539" width="10.7109375" style="16" bestFit="1" customWidth="1"/>
    <col min="1540" max="1540" width="6.7109375" style="16" bestFit="1" customWidth="1"/>
    <col min="1541" max="1541" width="8.5703125" style="16" bestFit="1" customWidth="1"/>
    <col min="1542" max="1542" width="9.28515625" style="16" bestFit="1" customWidth="1"/>
    <col min="1543" max="1543" width="10.42578125" style="16" bestFit="1" customWidth="1"/>
    <col min="1544" max="1544" width="10.28515625" style="16" bestFit="1" customWidth="1"/>
    <col min="1545" max="1545" width="7.140625" style="16" bestFit="1" customWidth="1"/>
    <col min="1546" max="1546" width="7.42578125" style="16" customWidth="1"/>
    <col min="1547" max="1548" width="7" style="16" bestFit="1" customWidth="1"/>
    <col min="1549" max="1549" width="6.85546875" style="16" bestFit="1" customWidth="1"/>
    <col min="1550" max="1550" width="7" style="16" bestFit="1" customWidth="1"/>
    <col min="1551" max="1551" width="7.140625" style="16" bestFit="1"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8.85546875" style="16" customWidth="1"/>
    <col min="1795" max="1795" width="10.7109375" style="16" bestFit="1" customWidth="1"/>
    <col min="1796" max="1796" width="6.7109375" style="16" bestFit="1" customWidth="1"/>
    <col min="1797" max="1797" width="8.5703125" style="16" bestFit="1" customWidth="1"/>
    <col min="1798" max="1798" width="9.28515625" style="16" bestFit="1" customWidth="1"/>
    <col min="1799" max="1799" width="10.42578125" style="16" bestFit="1" customWidth="1"/>
    <col min="1800" max="1800" width="10.28515625" style="16" bestFit="1" customWidth="1"/>
    <col min="1801" max="1801" width="7.140625" style="16" bestFit="1" customWidth="1"/>
    <col min="1802" max="1802" width="7.42578125" style="16" customWidth="1"/>
    <col min="1803" max="1804" width="7" style="16" bestFit="1" customWidth="1"/>
    <col min="1805" max="1805" width="6.85546875" style="16" bestFit="1" customWidth="1"/>
    <col min="1806" max="1806" width="7" style="16" bestFit="1" customWidth="1"/>
    <col min="1807" max="1807" width="7.140625" style="16" bestFit="1"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8.85546875" style="16" customWidth="1"/>
    <col min="2051" max="2051" width="10.7109375" style="16" bestFit="1" customWidth="1"/>
    <col min="2052" max="2052" width="6.7109375" style="16" bestFit="1" customWidth="1"/>
    <col min="2053" max="2053" width="8.5703125" style="16" bestFit="1" customWidth="1"/>
    <col min="2054" max="2054" width="9.28515625" style="16" bestFit="1" customWidth="1"/>
    <col min="2055" max="2055" width="10.42578125" style="16" bestFit="1" customWidth="1"/>
    <col min="2056" max="2056" width="10.28515625" style="16" bestFit="1" customWidth="1"/>
    <col min="2057" max="2057" width="7.140625" style="16" bestFit="1" customWidth="1"/>
    <col min="2058" max="2058" width="7.42578125" style="16" customWidth="1"/>
    <col min="2059" max="2060" width="7" style="16" bestFit="1" customWidth="1"/>
    <col min="2061" max="2061" width="6.85546875" style="16" bestFit="1" customWidth="1"/>
    <col min="2062" max="2062" width="7" style="16" bestFit="1" customWidth="1"/>
    <col min="2063" max="2063" width="7.140625" style="16" bestFit="1"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8.85546875" style="16" customWidth="1"/>
    <col min="2307" max="2307" width="10.7109375" style="16" bestFit="1" customWidth="1"/>
    <col min="2308" max="2308" width="6.7109375" style="16" bestFit="1" customWidth="1"/>
    <col min="2309" max="2309" width="8.5703125" style="16" bestFit="1" customWidth="1"/>
    <col min="2310" max="2310" width="9.28515625" style="16" bestFit="1" customWidth="1"/>
    <col min="2311" max="2311" width="10.42578125" style="16" bestFit="1" customWidth="1"/>
    <col min="2312" max="2312" width="10.28515625" style="16" bestFit="1" customWidth="1"/>
    <col min="2313" max="2313" width="7.140625" style="16" bestFit="1" customWidth="1"/>
    <col min="2314" max="2314" width="7.42578125" style="16" customWidth="1"/>
    <col min="2315" max="2316" width="7" style="16" bestFit="1" customWidth="1"/>
    <col min="2317" max="2317" width="6.85546875" style="16" bestFit="1" customWidth="1"/>
    <col min="2318" max="2318" width="7" style="16" bestFit="1" customWidth="1"/>
    <col min="2319" max="2319" width="7.140625" style="16" bestFit="1"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8.85546875" style="16" customWidth="1"/>
    <col min="2563" max="2563" width="10.7109375" style="16" bestFit="1" customWidth="1"/>
    <col min="2564" max="2564" width="6.7109375" style="16" bestFit="1" customWidth="1"/>
    <col min="2565" max="2565" width="8.5703125" style="16" bestFit="1" customWidth="1"/>
    <col min="2566" max="2566" width="9.28515625" style="16" bestFit="1" customWidth="1"/>
    <col min="2567" max="2567" width="10.42578125" style="16" bestFit="1" customWidth="1"/>
    <col min="2568" max="2568" width="10.28515625" style="16" bestFit="1" customWidth="1"/>
    <col min="2569" max="2569" width="7.140625" style="16" bestFit="1" customWidth="1"/>
    <col min="2570" max="2570" width="7.42578125" style="16" customWidth="1"/>
    <col min="2571" max="2572" width="7" style="16" bestFit="1" customWidth="1"/>
    <col min="2573" max="2573" width="6.85546875" style="16" bestFit="1" customWidth="1"/>
    <col min="2574" max="2574" width="7" style="16" bestFit="1" customWidth="1"/>
    <col min="2575" max="2575" width="7.140625" style="16" bestFit="1"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8.85546875" style="16" customWidth="1"/>
    <col min="2819" max="2819" width="10.7109375" style="16" bestFit="1" customWidth="1"/>
    <col min="2820" max="2820" width="6.7109375" style="16" bestFit="1" customWidth="1"/>
    <col min="2821" max="2821" width="8.5703125" style="16" bestFit="1" customWidth="1"/>
    <col min="2822" max="2822" width="9.28515625" style="16" bestFit="1" customWidth="1"/>
    <col min="2823" max="2823" width="10.42578125" style="16" bestFit="1" customWidth="1"/>
    <col min="2824" max="2824" width="10.28515625" style="16" bestFit="1" customWidth="1"/>
    <col min="2825" max="2825" width="7.140625" style="16" bestFit="1" customWidth="1"/>
    <col min="2826" max="2826" width="7.42578125" style="16" customWidth="1"/>
    <col min="2827" max="2828" width="7" style="16" bestFit="1" customWidth="1"/>
    <col min="2829" max="2829" width="6.85546875" style="16" bestFit="1" customWidth="1"/>
    <col min="2830" max="2830" width="7" style="16" bestFit="1" customWidth="1"/>
    <col min="2831" max="2831" width="7.140625" style="16" bestFit="1"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8.85546875" style="16" customWidth="1"/>
    <col min="3075" max="3075" width="10.7109375" style="16" bestFit="1" customWidth="1"/>
    <col min="3076" max="3076" width="6.7109375" style="16" bestFit="1" customWidth="1"/>
    <col min="3077" max="3077" width="8.5703125" style="16" bestFit="1" customWidth="1"/>
    <col min="3078" max="3078" width="9.28515625" style="16" bestFit="1" customWidth="1"/>
    <col min="3079" max="3079" width="10.42578125" style="16" bestFit="1" customWidth="1"/>
    <col min="3080" max="3080" width="10.28515625" style="16" bestFit="1" customWidth="1"/>
    <col min="3081" max="3081" width="7.140625" style="16" bestFit="1" customWidth="1"/>
    <col min="3082" max="3082" width="7.42578125" style="16" customWidth="1"/>
    <col min="3083" max="3084" width="7" style="16" bestFit="1" customWidth="1"/>
    <col min="3085" max="3085" width="6.85546875" style="16" bestFit="1" customWidth="1"/>
    <col min="3086" max="3086" width="7" style="16" bestFit="1" customWidth="1"/>
    <col min="3087" max="3087" width="7.140625" style="16" bestFit="1"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8.85546875" style="16" customWidth="1"/>
    <col min="3331" max="3331" width="10.7109375" style="16" bestFit="1" customWidth="1"/>
    <col min="3332" max="3332" width="6.7109375" style="16" bestFit="1" customWidth="1"/>
    <col min="3333" max="3333" width="8.5703125" style="16" bestFit="1" customWidth="1"/>
    <col min="3334" max="3334" width="9.28515625" style="16" bestFit="1" customWidth="1"/>
    <col min="3335" max="3335" width="10.42578125" style="16" bestFit="1" customWidth="1"/>
    <col min="3336" max="3336" width="10.28515625" style="16" bestFit="1" customWidth="1"/>
    <col min="3337" max="3337" width="7.140625" style="16" bestFit="1" customWidth="1"/>
    <col min="3338" max="3338" width="7.42578125" style="16" customWidth="1"/>
    <col min="3339" max="3340" width="7" style="16" bestFit="1" customWidth="1"/>
    <col min="3341" max="3341" width="6.85546875" style="16" bestFit="1" customWidth="1"/>
    <col min="3342" max="3342" width="7" style="16" bestFit="1" customWidth="1"/>
    <col min="3343" max="3343" width="7.140625" style="16" bestFit="1"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8.85546875" style="16" customWidth="1"/>
    <col min="3587" max="3587" width="10.7109375" style="16" bestFit="1" customWidth="1"/>
    <col min="3588" max="3588" width="6.7109375" style="16" bestFit="1" customWidth="1"/>
    <col min="3589" max="3589" width="8.5703125" style="16" bestFit="1" customWidth="1"/>
    <col min="3590" max="3590" width="9.28515625" style="16" bestFit="1" customWidth="1"/>
    <col min="3591" max="3591" width="10.42578125" style="16" bestFit="1" customWidth="1"/>
    <col min="3592" max="3592" width="10.28515625" style="16" bestFit="1" customWidth="1"/>
    <col min="3593" max="3593" width="7.140625" style="16" bestFit="1" customWidth="1"/>
    <col min="3594" max="3594" width="7.42578125" style="16" customWidth="1"/>
    <col min="3595" max="3596" width="7" style="16" bestFit="1" customWidth="1"/>
    <col min="3597" max="3597" width="6.85546875" style="16" bestFit="1" customWidth="1"/>
    <col min="3598" max="3598" width="7" style="16" bestFit="1" customWidth="1"/>
    <col min="3599" max="3599" width="7.140625" style="16" bestFit="1"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8.85546875" style="16" customWidth="1"/>
    <col min="3843" max="3843" width="10.7109375" style="16" bestFit="1" customWidth="1"/>
    <col min="3844" max="3844" width="6.7109375" style="16" bestFit="1" customWidth="1"/>
    <col min="3845" max="3845" width="8.5703125" style="16" bestFit="1" customWidth="1"/>
    <col min="3846" max="3846" width="9.28515625" style="16" bestFit="1" customWidth="1"/>
    <col min="3847" max="3847" width="10.42578125" style="16" bestFit="1" customWidth="1"/>
    <col min="3848" max="3848" width="10.28515625" style="16" bestFit="1" customWidth="1"/>
    <col min="3849" max="3849" width="7.140625" style="16" bestFit="1" customWidth="1"/>
    <col min="3850" max="3850" width="7.42578125" style="16" customWidth="1"/>
    <col min="3851" max="3852" width="7" style="16" bestFit="1" customWidth="1"/>
    <col min="3853" max="3853" width="6.85546875" style="16" bestFit="1" customWidth="1"/>
    <col min="3854" max="3854" width="7" style="16" bestFit="1" customWidth="1"/>
    <col min="3855" max="3855" width="7.140625" style="16" bestFit="1"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8.85546875" style="16" customWidth="1"/>
    <col min="4099" max="4099" width="10.7109375" style="16" bestFit="1" customWidth="1"/>
    <col min="4100" max="4100" width="6.7109375" style="16" bestFit="1" customWidth="1"/>
    <col min="4101" max="4101" width="8.5703125" style="16" bestFit="1" customWidth="1"/>
    <col min="4102" max="4102" width="9.28515625" style="16" bestFit="1" customWidth="1"/>
    <col min="4103" max="4103" width="10.42578125" style="16" bestFit="1" customWidth="1"/>
    <col min="4104" max="4104" width="10.28515625" style="16" bestFit="1" customWidth="1"/>
    <col min="4105" max="4105" width="7.140625" style="16" bestFit="1" customWidth="1"/>
    <col min="4106" max="4106" width="7.42578125" style="16" customWidth="1"/>
    <col min="4107" max="4108" width="7" style="16" bestFit="1" customWidth="1"/>
    <col min="4109" max="4109" width="6.85546875" style="16" bestFit="1" customWidth="1"/>
    <col min="4110" max="4110" width="7" style="16" bestFit="1" customWidth="1"/>
    <col min="4111" max="4111" width="7.140625" style="16" bestFit="1"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8.85546875" style="16" customWidth="1"/>
    <col min="4355" max="4355" width="10.7109375" style="16" bestFit="1" customWidth="1"/>
    <col min="4356" max="4356" width="6.7109375" style="16" bestFit="1" customWidth="1"/>
    <col min="4357" max="4357" width="8.5703125" style="16" bestFit="1" customWidth="1"/>
    <col min="4358" max="4358" width="9.28515625" style="16" bestFit="1" customWidth="1"/>
    <col min="4359" max="4359" width="10.42578125" style="16" bestFit="1" customWidth="1"/>
    <col min="4360" max="4360" width="10.28515625" style="16" bestFit="1" customWidth="1"/>
    <col min="4361" max="4361" width="7.140625" style="16" bestFit="1" customWidth="1"/>
    <col min="4362" max="4362" width="7.42578125" style="16" customWidth="1"/>
    <col min="4363" max="4364" width="7" style="16" bestFit="1" customWidth="1"/>
    <col min="4365" max="4365" width="6.85546875" style="16" bestFit="1" customWidth="1"/>
    <col min="4366" max="4366" width="7" style="16" bestFit="1" customWidth="1"/>
    <col min="4367" max="4367" width="7.140625" style="16" bestFit="1"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8.85546875" style="16" customWidth="1"/>
    <col min="4611" max="4611" width="10.7109375" style="16" bestFit="1" customWidth="1"/>
    <col min="4612" max="4612" width="6.7109375" style="16" bestFit="1" customWidth="1"/>
    <col min="4613" max="4613" width="8.5703125" style="16" bestFit="1" customWidth="1"/>
    <col min="4614" max="4614" width="9.28515625" style="16" bestFit="1" customWidth="1"/>
    <col min="4615" max="4615" width="10.42578125" style="16" bestFit="1" customWidth="1"/>
    <col min="4616" max="4616" width="10.28515625" style="16" bestFit="1" customWidth="1"/>
    <col min="4617" max="4617" width="7.140625" style="16" bestFit="1" customWidth="1"/>
    <col min="4618" max="4618" width="7.42578125" style="16" customWidth="1"/>
    <col min="4619" max="4620" width="7" style="16" bestFit="1" customWidth="1"/>
    <col min="4621" max="4621" width="6.85546875" style="16" bestFit="1" customWidth="1"/>
    <col min="4622" max="4622" width="7" style="16" bestFit="1" customWidth="1"/>
    <col min="4623" max="4623" width="7.140625" style="16" bestFit="1"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8.85546875" style="16" customWidth="1"/>
    <col min="4867" max="4867" width="10.7109375" style="16" bestFit="1" customWidth="1"/>
    <col min="4868" max="4868" width="6.7109375" style="16" bestFit="1" customWidth="1"/>
    <col min="4869" max="4869" width="8.5703125" style="16" bestFit="1" customWidth="1"/>
    <col min="4870" max="4870" width="9.28515625" style="16" bestFit="1" customWidth="1"/>
    <col min="4871" max="4871" width="10.42578125" style="16" bestFit="1" customWidth="1"/>
    <col min="4872" max="4872" width="10.28515625" style="16" bestFit="1" customWidth="1"/>
    <col min="4873" max="4873" width="7.140625" style="16" bestFit="1" customWidth="1"/>
    <col min="4874" max="4874" width="7.42578125" style="16" customWidth="1"/>
    <col min="4875" max="4876" width="7" style="16" bestFit="1" customWidth="1"/>
    <col min="4877" max="4877" width="6.85546875" style="16" bestFit="1" customWidth="1"/>
    <col min="4878" max="4878" width="7" style="16" bestFit="1" customWidth="1"/>
    <col min="4879" max="4879" width="7.140625" style="16" bestFit="1"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8.85546875" style="16" customWidth="1"/>
    <col min="5123" max="5123" width="10.7109375" style="16" bestFit="1" customWidth="1"/>
    <col min="5124" max="5124" width="6.7109375" style="16" bestFit="1" customWidth="1"/>
    <col min="5125" max="5125" width="8.5703125" style="16" bestFit="1" customWidth="1"/>
    <col min="5126" max="5126" width="9.28515625" style="16" bestFit="1" customWidth="1"/>
    <col min="5127" max="5127" width="10.42578125" style="16" bestFit="1" customWidth="1"/>
    <col min="5128" max="5128" width="10.28515625" style="16" bestFit="1" customWidth="1"/>
    <col min="5129" max="5129" width="7.140625" style="16" bestFit="1" customWidth="1"/>
    <col min="5130" max="5130" width="7.42578125" style="16" customWidth="1"/>
    <col min="5131" max="5132" width="7" style="16" bestFit="1" customWidth="1"/>
    <col min="5133" max="5133" width="6.85546875" style="16" bestFit="1" customWidth="1"/>
    <col min="5134" max="5134" width="7" style="16" bestFit="1" customWidth="1"/>
    <col min="5135" max="5135" width="7.140625" style="16" bestFit="1"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8.85546875" style="16" customWidth="1"/>
    <col min="5379" max="5379" width="10.7109375" style="16" bestFit="1" customWidth="1"/>
    <col min="5380" max="5380" width="6.7109375" style="16" bestFit="1" customWidth="1"/>
    <col min="5381" max="5381" width="8.5703125" style="16" bestFit="1" customWidth="1"/>
    <col min="5382" max="5382" width="9.28515625" style="16" bestFit="1" customWidth="1"/>
    <col min="5383" max="5383" width="10.42578125" style="16" bestFit="1" customWidth="1"/>
    <col min="5384" max="5384" width="10.28515625" style="16" bestFit="1" customWidth="1"/>
    <col min="5385" max="5385" width="7.140625" style="16" bestFit="1" customWidth="1"/>
    <col min="5386" max="5386" width="7.42578125" style="16" customWidth="1"/>
    <col min="5387" max="5388" width="7" style="16" bestFit="1" customWidth="1"/>
    <col min="5389" max="5389" width="6.85546875" style="16" bestFit="1" customWidth="1"/>
    <col min="5390" max="5390" width="7" style="16" bestFit="1" customWidth="1"/>
    <col min="5391" max="5391" width="7.140625" style="16" bestFit="1"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8.85546875" style="16" customWidth="1"/>
    <col min="5635" max="5635" width="10.7109375" style="16" bestFit="1" customWidth="1"/>
    <col min="5636" max="5636" width="6.7109375" style="16" bestFit="1" customWidth="1"/>
    <col min="5637" max="5637" width="8.5703125" style="16" bestFit="1" customWidth="1"/>
    <col min="5638" max="5638" width="9.28515625" style="16" bestFit="1" customWidth="1"/>
    <col min="5639" max="5639" width="10.42578125" style="16" bestFit="1" customWidth="1"/>
    <col min="5640" max="5640" width="10.28515625" style="16" bestFit="1" customWidth="1"/>
    <col min="5641" max="5641" width="7.140625" style="16" bestFit="1" customWidth="1"/>
    <col min="5642" max="5642" width="7.42578125" style="16" customWidth="1"/>
    <col min="5643" max="5644" width="7" style="16" bestFit="1" customWidth="1"/>
    <col min="5645" max="5645" width="6.85546875" style="16" bestFit="1" customWidth="1"/>
    <col min="5646" max="5646" width="7" style="16" bestFit="1" customWidth="1"/>
    <col min="5647" max="5647" width="7.140625" style="16" bestFit="1"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8.85546875" style="16" customWidth="1"/>
    <col min="5891" max="5891" width="10.7109375" style="16" bestFit="1" customWidth="1"/>
    <col min="5892" max="5892" width="6.7109375" style="16" bestFit="1" customWidth="1"/>
    <col min="5893" max="5893" width="8.5703125" style="16" bestFit="1" customWidth="1"/>
    <col min="5894" max="5894" width="9.28515625" style="16" bestFit="1" customWidth="1"/>
    <col min="5895" max="5895" width="10.42578125" style="16" bestFit="1" customWidth="1"/>
    <col min="5896" max="5896" width="10.28515625" style="16" bestFit="1" customWidth="1"/>
    <col min="5897" max="5897" width="7.140625" style="16" bestFit="1" customWidth="1"/>
    <col min="5898" max="5898" width="7.42578125" style="16" customWidth="1"/>
    <col min="5899" max="5900" width="7" style="16" bestFit="1" customWidth="1"/>
    <col min="5901" max="5901" width="6.85546875" style="16" bestFit="1" customWidth="1"/>
    <col min="5902" max="5902" width="7" style="16" bestFit="1" customWidth="1"/>
    <col min="5903" max="5903" width="7.140625" style="16" bestFit="1"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8.85546875" style="16" customWidth="1"/>
    <col min="6147" max="6147" width="10.7109375" style="16" bestFit="1" customWidth="1"/>
    <col min="6148" max="6148" width="6.7109375" style="16" bestFit="1" customWidth="1"/>
    <col min="6149" max="6149" width="8.5703125" style="16" bestFit="1" customWidth="1"/>
    <col min="6150" max="6150" width="9.28515625" style="16" bestFit="1" customWidth="1"/>
    <col min="6151" max="6151" width="10.42578125" style="16" bestFit="1" customWidth="1"/>
    <col min="6152" max="6152" width="10.28515625" style="16" bestFit="1" customWidth="1"/>
    <col min="6153" max="6153" width="7.140625" style="16" bestFit="1" customWidth="1"/>
    <col min="6154" max="6154" width="7.42578125" style="16" customWidth="1"/>
    <col min="6155" max="6156" width="7" style="16" bestFit="1" customWidth="1"/>
    <col min="6157" max="6157" width="6.85546875" style="16" bestFit="1" customWidth="1"/>
    <col min="6158" max="6158" width="7" style="16" bestFit="1" customWidth="1"/>
    <col min="6159" max="6159" width="7.140625" style="16" bestFit="1"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8.85546875" style="16" customWidth="1"/>
    <col min="6403" max="6403" width="10.7109375" style="16" bestFit="1" customWidth="1"/>
    <col min="6404" max="6404" width="6.7109375" style="16" bestFit="1" customWidth="1"/>
    <col min="6405" max="6405" width="8.5703125" style="16" bestFit="1" customWidth="1"/>
    <col min="6406" max="6406" width="9.28515625" style="16" bestFit="1" customWidth="1"/>
    <col min="6407" max="6407" width="10.42578125" style="16" bestFit="1" customWidth="1"/>
    <col min="6408" max="6408" width="10.28515625" style="16" bestFit="1" customWidth="1"/>
    <col min="6409" max="6409" width="7.140625" style="16" bestFit="1" customWidth="1"/>
    <col min="6410" max="6410" width="7.42578125" style="16" customWidth="1"/>
    <col min="6411" max="6412" width="7" style="16" bestFit="1" customWidth="1"/>
    <col min="6413" max="6413" width="6.85546875" style="16" bestFit="1" customWidth="1"/>
    <col min="6414" max="6414" width="7" style="16" bestFit="1" customWidth="1"/>
    <col min="6415" max="6415" width="7.140625" style="16" bestFit="1"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8.85546875" style="16" customWidth="1"/>
    <col min="6659" max="6659" width="10.7109375" style="16" bestFit="1" customWidth="1"/>
    <col min="6660" max="6660" width="6.7109375" style="16" bestFit="1" customWidth="1"/>
    <col min="6661" max="6661" width="8.5703125" style="16" bestFit="1" customWidth="1"/>
    <col min="6662" max="6662" width="9.28515625" style="16" bestFit="1" customWidth="1"/>
    <col min="6663" max="6663" width="10.42578125" style="16" bestFit="1" customWidth="1"/>
    <col min="6664" max="6664" width="10.28515625" style="16" bestFit="1" customWidth="1"/>
    <col min="6665" max="6665" width="7.140625" style="16" bestFit="1" customWidth="1"/>
    <col min="6666" max="6666" width="7.42578125" style="16" customWidth="1"/>
    <col min="6667" max="6668" width="7" style="16" bestFit="1" customWidth="1"/>
    <col min="6669" max="6669" width="6.85546875" style="16" bestFit="1" customWidth="1"/>
    <col min="6670" max="6670" width="7" style="16" bestFit="1" customWidth="1"/>
    <col min="6671" max="6671" width="7.140625" style="16" bestFit="1"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8.85546875" style="16" customWidth="1"/>
    <col min="6915" max="6915" width="10.7109375" style="16" bestFit="1" customWidth="1"/>
    <col min="6916" max="6916" width="6.7109375" style="16" bestFit="1" customWidth="1"/>
    <col min="6917" max="6917" width="8.5703125" style="16" bestFit="1" customWidth="1"/>
    <col min="6918" max="6918" width="9.28515625" style="16" bestFit="1" customWidth="1"/>
    <col min="6919" max="6919" width="10.42578125" style="16" bestFit="1" customWidth="1"/>
    <col min="6920" max="6920" width="10.28515625" style="16" bestFit="1" customWidth="1"/>
    <col min="6921" max="6921" width="7.140625" style="16" bestFit="1" customWidth="1"/>
    <col min="6922" max="6922" width="7.42578125" style="16" customWidth="1"/>
    <col min="6923" max="6924" width="7" style="16" bestFit="1" customWidth="1"/>
    <col min="6925" max="6925" width="6.85546875" style="16" bestFit="1" customWidth="1"/>
    <col min="6926" max="6926" width="7" style="16" bestFit="1" customWidth="1"/>
    <col min="6927" max="6927" width="7.140625" style="16" bestFit="1"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8.85546875" style="16" customWidth="1"/>
    <col min="7171" max="7171" width="10.7109375" style="16" bestFit="1" customWidth="1"/>
    <col min="7172" max="7172" width="6.7109375" style="16" bestFit="1" customWidth="1"/>
    <col min="7173" max="7173" width="8.5703125" style="16" bestFit="1" customWidth="1"/>
    <col min="7174" max="7174" width="9.28515625" style="16" bestFit="1" customWidth="1"/>
    <col min="7175" max="7175" width="10.42578125" style="16" bestFit="1" customWidth="1"/>
    <col min="7176" max="7176" width="10.28515625" style="16" bestFit="1" customWidth="1"/>
    <col min="7177" max="7177" width="7.140625" style="16" bestFit="1" customWidth="1"/>
    <col min="7178" max="7178" width="7.42578125" style="16" customWidth="1"/>
    <col min="7179" max="7180" width="7" style="16" bestFit="1" customWidth="1"/>
    <col min="7181" max="7181" width="6.85546875" style="16" bestFit="1" customWidth="1"/>
    <col min="7182" max="7182" width="7" style="16" bestFit="1" customWidth="1"/>
    <col min="7183" max="7183" width="7.140625" style="16" bestFit="1"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8.85546875" style="16" customWidth="1"/>
    <col min="7427" max="7427" width="10.7109375" style="16" bestFit="1" customWidth="1"/>
    <col min="7428" max="7428" width="6.7109375" style="16" bestFit="1" customWidth="1"/>
    <col min="7429" max="7429" width="8.5703125" style="16" bestFit="1" customWidth="1"/>
    <col min="7430" max="7430" width="9.28515625" style="16" bestFit="1" customWidth="1"/>
    <col min="7431" max="7431" width="10.42578125" style="16" bestFit="1" customWidth="1"/>
    <col min="7432" max="7432" width="10.28515625" style="16" bestFit="1" customWidth="1"/>
    <col min="7433" max="7433" width="7.140625" style="16" bestFit="1" customWidth="1"/>
    <col min="7434" max="7434" width="7.42578125" style="16" customWidth="1"/>
    <col min="7435" max="7436" width="7" style="16" bestFit="1" customWidth="1"/>
    <col min="7437" max="7437" width="6.85546875" style="16" bestFit="1" customWidth="1"/>
    <col min="7438" max="7438" width="7" style="16" bestFit="1" customWidth="1"/>
    <col min="7439" max="7439" width="7.140625" style="16" bestFit="1"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8.85546875" style="16" customWidth="1"/>
    <col min="7683" max="7683" width="10.7109375" style="16" bestFit="1" customWidth="1"/>
    <col min="7684" max="7684" width="6.7109375" style="16" bestFit="1" customWidth="1"/>
    <col min="7685" max="7685" width="8.5703125" style="16" bestFit="1" customWidth="1"/>
    <col min="7686" max="7686" width="9.28515625" style="16" bestFit="1" customWidth="1"/>
    <col min="7687" max="7687" width="10.42578125" style="16" bestFit="1" customWidth="1"/>
    <col min="7688" max="7688" width="10.28515625" style="16" bestFit="1" customWidth="1"/>
    <col min="7689" max="7689" width="7.140625" style="16" bestFit="1" customWidth="1"/>
    <col min="7690" max="7690" width="7.42578125" style="16" customWidth="1"/>
    <col min="7691" max="7692" width="7" style="16" bestFit="1" customWidth="1"/>
    <col min="7693" max="7693" width="6.85546875" style="16" bestFit="1" customWidth="1"/>
    <col min="7694" max="7694" width="7" style="16" bestFit="1" customWidth="1"/>
    <col min="7695" max="7695" width="7.140625" style="16" bestFit="1"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8.85546875" style="16" customWidth="1"/>
    <col min="7939" max="7939" width="10.7109375" style="16" bestFit="1" customWidth="1"/>
    <col min="7940" max="7940" width="6.7109375" style="16" bestFit="1" customWidth="1"/>
    <col min="7941" max="7941" width="8.5703125" style="16" bestFit="1" customWidth="1"/>
    <col min="7942" max="7942" width="9.28515625" style="16" bestFit="1" customWidth="1"/>
    <col min="7943" max="7943" width="10.42578125" style="16" bestFit="1" customWidth="1"/>
    <col min="7944" max="7944" width="10.28515625" style="16" bestFit="1" customWidth="1"/>
    <col min="7945" max="7945" width="7.140625" style="16" bestFit="1" customWidth="1"/>
    <col min="7946" max="7946" width="7.42578125" style="16" customWidth="1"/>
    <col min="7947" max="7948" width="7" style="16" bestFit="1" customWidth="1"/>
    <col min="7949" max="7949" width="6.85546875" style="16" bestFit="1" customWidth="1"/>
    <col min="7950" max="7950" width="7" style="16" bestFit="1" customWidth="1"/>
    <col min="7951" max="7951" width="7.140625" style="16" bestFit="1"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8.85546875" style="16" customWidth="1"/>
    <col min="8195" max="8195" width="10.7109375" style="16" bestFit="1" customWidth="1"/>
    <col min="8196" max="8196" width="6.7109375" style="16" bestFit="1" customWidth="1"/>
    <col min="8197" max="8197" width="8.5703125" style="16" bestFit="1" customWidth="1"/>
    <col min="8198" max="8198" width="9.28515625" style="16" bestFit="1" customWidth="1"/>
    <col min="8199" max="8199" width="10.42578125" style="16" bestFit="1" customWidth="1"/>
    <col min="8200" max="8200" width="10.28515625" style="16" bestFit="1" customWidth="1"/>
    <col min="8201" max="8201" width="7.140625" style="16" bestFit="1" customWidth="1"/>
    <col min="8202" max="8202" width="7.42578125" style="16" customWidth="1"/>
    <col min="8203" max="8204" width="7" style="16" bestFit="1" customWidth="1"/>
    <col min="8205" max="8205" width="6.85546875" style="16" bestFit="1" customWidth="1"/>
    <col min="8206" max="8206" width="7" style="16" bestFit="1" customWidth="1"/>
    <col min="8207" max="8207" width="7.140625" style="16" bestFit="1"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8.85546875" style="16" customWidth="1"/>
    <col min="8451" max="8451" width="10.7109375" style="16" bestFit="1" customWidth="1"/>
    <col min="8452" max="8452" width="6.7109375" style="16" bestFit="1" customWidth="1"/>
    <col min="8453" max="8453" width="8.5703125" style="16" bestFit="1" customWidth="1"/>
    <col min="8454" max="8454" width="9.28515625" style="16" bestFit="1" customWidth="1"/>
    <col min="8455" max="8455" width="10.42578125" style="16" bestFit="1" customWidth="1"/>
    <col min="8456" max="8456" width="10.28515625" style="16" bestFit="1" customWidth="1"/>
    <col min="8457" max="8457" width="7.140625" style="16" bestFit="1" customWidth="1"/>
    <col min="8458" max="8458" width="7.42578125" style="16" customWidth="1"/>
    <col min="8459" max="8460" width="7" style="16" bestFit="1" customWidth="1"/>
    <col min="8461" max="8461" width="6.85546875" style="16" bestFit="1" customWidth="1"/>
    <col min="8462" max="8462" width="7" style="16" bestFit="1" customWidth="1"/>
    <col min="8463" max="8463" width="7.140625" style="16" bestFit="1"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8.85546875" style="16" customWidth="1"/>
    <col min="8707" max="8707" width="10.7109375" style="16" bestFit="1" customWidth="1"/>
    <col min="8708" max="8708" width="6.7109375" style="16" bestFit="1" customWidth="1"/>
    <col min="8709" max="8709" width="8.5703125" style="16" bestFit="1" customWidth="1"/>
    <col min="8710" max="8710" width="9.28515625" style="16" bestFit="1" customWidth="1"/>
    <col min="8711" max="8711" width="10.42578125" style="16" bestFit="1" customWidth="1"/>
    <col min="8712" max="8712" width="10.28515625" style="16" bestFit="1" customWidth="1"/>
    <col min="8713" max="8713" width="7.140625" style="16" bestFit="1" customWidth="1"/>
    <col min="8714" max="8714" width="7.42578125" style="16" customWidth="1"/>
    <col min="8715" max="8716" width="7" style="16" bestFit="1" customWidth="1"/>
    <col min="8717" max="8717" width="6.85546875" style="16" bestFit="1" customWidth="1"/>
    <col min="8718" max="8718" width="7" style="16" bestFit="1" customWidth="1"/>
    <col min="8719" max="8719" width="7.140625" style="16" bestFit="1"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8.85546875" style="16" customWidth="1"/>
    <col min="8963" max="8963" width="10.7109375" style="16" bestFit="1" customWidth="1"/>
    <col min="8964" max="8964" width="6.7109375" style="16" bestFit="1" customWidth="1"/>
    <col min="8965" max="8965" width="8.5703125" style="16" bestFit="1" customWidth="1"/>
    <col min="8966" max="8966" width="9.28515625" style="16" bestFit="1" customWidth="1"/>
    <col min="8967" max="8967" width="10.42578125" style="16" bestFit="1" customWidth="1"/>
    <col min="8968" max="8968" width="10.28515625" style="16" bestFit="1" customWidth="1"/>
    <col min="8969" max="8969" width="7.140625" style="16" bestFit="1" customWidth="1"/>
    <col min="8970" max="8970" width="7.42578125" style="16" customWidth="1"/>
    <col min="8971" max="8972" width="7" style="16" bestFit="1" customWidth="1"/>
    <col min="8973" max="8973" width="6.85546875" style="16" bestFit="1" customWidth="1"/>
    <col min="8974" max="8974" width="7" style="16" bestFit="1" customWidth="1"/>
    <col min="8975" max="8975" width="7.140625" style="16" bestFit="1"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8.85546875" style="16" customWidth="1"/>
    <col min="9219" max="9219" width="10.7109375" style="16" bestFit="1" customWidth="1"/>
    <col min="9220" max="9220" width="6.7109375" style="16" bestFit="1" customWidth="1"/>
    <col min="9221" max="9221" width="8.5703125" style="16" bestFit="1" customWidth="1"/>
    <col min="9222" max="9222" width="9.28515625" style="16" bestFit="1" customWidth="1"/>
    <col min="9223" max="9223" width="10.42578125" style="16" bestFit="1" customWidth="1"/>
    <col min="9224" max="9224" width="10.28515625" style="16" bestFit="1" customWidth="1"/>
    <col min="9225" max="9225" width="7.140625" style="16" bestFit="1" customWidth="1"/>
    <col min="9226" max="9226" width="7.42578125" style="16" customWidth="1"/>
    <col min="9227" max="9228" width="7" style="16" bestFit="1" customWidth="1"/>
    <col min="9229" max="9229" width="6.85546875" style="16" bestFit="1" customWidth="1"/>
    <col min="9230" max="9230" width="7" style="16" bestFit="1" customWidth="1"/>
    <col min="9231" max="9231" width="7.140625" style="16" bestFit="1"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8.85546875" style="16" customWidth="1"/>
    <col min="9475" max="9475" width="10.7109375" style="16" bestFit="1" customWidth="1"/>
    <col min="9476" max="9476" width="6.7109375" style="16" bestFit="1" customWidth="1"/>
    <col min="9477" max="9477" width="8.5703125" style="16" bestFit="1" customWidth="1"/>
    <col min="9478" max="9478" width="9.28515625" style="16" bestFit="1" customWidth="1"/>
    <col min="9479" max="9479" width="10.42578125" style="16" bestFit="1" customWidth="1"/>
    <col min="9480" max="9480" width="10.28515625" style="16" bestFit="1" customWidth="1"/>
    <col min="9481" max="9481" width="7.140625" style="16" bestFit="1" customWidth="1"/>
    <col min="9482" max="9482" width="7.42578125" style="16" customWidth="1"/>
    <col min="9483" max="9484" width="7" style="16" bestFit="1" customWidth="1"/>
    <col min="9485" max="9485" width="6.85546875" style="16" bestFit="1" customWidth="1"/>
    <col min="9486" max="9486" width="7" style="16" bestFit="1" customWidth="1"/>
    <col min="9487" max="9487" width="7.140625" style="16" bestFit="1"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8.85546875" style="16" customWidth="1"/>
    <col min="9731" max="9731" width="10.7109375" style="16" bestFit="1" customWidth="1"/>
    <col min="9732" max="9732" width="6.7109375" style="16" bestFit="1" customWidth="1"/>
    <col min="9733" max="9733" width="8.5703125" style="16" bestFit="1" customWidth="1"/>
    <col min="9734" max="9734" width="9.28515625" style="16" bestFit="1" customWidth="1"/>
    <col min="9735" max="9735" width="10.42578125" style="16" bestFit="1" customWidth="1"/>
    <col min="9736" max="9736" width="10.28515625" style="16" bestFit="1" customWidth="1"/>
    <col min="9737" max="9737" width="7.140625" style="16" bestFit="1" customWidth="1"/>
    <col min="9738" max="9738" width="7.42578125" style="16" customWidth="1"/>
    <col min="9739" max="9740" width="7" style="16" bestFit="1" customWidth="1"/>
    <col min="9741" max="9741" width="6.85546875" style="16" bestFit="1" customWidth="1"/>
    <col min="9742" max="9742" width="7" style="16" bestFit="1" customWidth="1"/>
    <col min="9743" max="9743" width="7.140625" style="16" bestFit="1"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8.85546875" style="16" customWidth="1"/>
    <col min="9987" max="9987" width="10.7109375" style="16" bestFit="1" customWidth="1"/>
    <col min="9988" max="9988" width="6.7109375" style="16" bestFit="1" customWidth="1"/>
    <col min="9989" max="9989" width="8.5703125" style="16" bestFit="1" customWidth="1"/>
    <col min="9990" max="9990" width="9.28515625" style="16" bestFit="1" customWidth="1"/>
    <col min="9991" max="9991" width="10.42578125" style="16" bestFit="1" customWidth="1"/>
    <col min="9992" max="9992" width="10.28515625" style="16" bestFit="1" customWidth="1"/>
    <col min="9993" max="9993" width="7.140625" style="16" bestFit="1" customWidth="1"/>
    <col min="9994" max="9994" width="7.42578125" style="16" customWidth="1"/>
    <col min="9995" max="9996" width="7" style="16" bestFit="1" customWidth="1"/>
    <col min="9997" max="9997" width="6.85546875" style="16" bestFit="1" customWidth="1"/>
    <col min="9998" max="9998" width="7" style="16" bestFit="1" customWidth="1"/>
    <col min="9999" max="9999" width="7.140625" style="16" bestFit="1"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8.85546875" style="16" customWidth="1"/>
    <col min="10243" max="10243" width="10.7109375" style="16" bestFit="1" customWidth="1"/>
    <col min="10244" max="10244" width="6.7109375" style="16" bestFit="1" customWidth="1"/>
    <col min="10245" max="10245" width="8.5703125" style="16" bestFit="1" customWidth="1"/>
    <col min="10246" max="10246" width="9.28515625" style="16" bestFit="1" customWidth="1"/>
    <col min="10247" max="10247" width="10.42578125" style="16" bestFit="1" customWidth="1"/>
    <col min="10248" max="10248" width="10.28515625" style="16" bestFit="1" customWidth="1"/>
    <col min="10249" max="10249" width="7.140625" style="16" bestFit="1" customWidth="1"/>
    <col min="10250" max="10250" width="7.42578125" style="16" customWidth="1"/>
    <col min="10251" max="10252" width="7" style="16" bestFit="1" customWidth="1"/>
    <col min="10253" max="10253" width="6.85546875" style="16" bestFit="1" customWidth="1"/>
    <col min="10254" max="10254" width="7" style="16" bestFit="1" customWidth="1"/>
    <col min="10255" max="10255" width="7.140625" style="16" bestFit="1"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8.85546875" style="16" customWidth="1"/>
    <col min="10499" max="10499" width="10.7109375" style="16" bestFit="1" customWidth="1"/>
    <col min="10500" max="10500" width="6.7109375" style="16" bestFit="1" customWidth="1"/>
    <col min="10501" max="10501" width="8.5703125" style="16" bestFit="1" customWidth="1"/>
    <col min="10502" max="10502" width="9.28515625" style="16" bestFit="1" customWidth="1"/>
    <col min="10503" max="10503" width="10.42578125" style="16" bestFit="1" customWidth="1"/>
    <col min="10504" max="10504" width="10.28515625" style="16" bestFit="1" customWidth="1"/>
    <col min="10505" max="10505" width="7.140625" style="16" bestFit="1" customWidth="1"/>
    <col min="10506" max="10506" width="7.42578125" style="16" customWidth="1"/>
    <col min="10507" max="10508" width="7" style="16" bestFit="1" customWidth="1"/>
    <col min="10509" max="10509" width="6.85546875" style="16" bestFit="1" customWidth="1"/>
    <col min="10510" max="10510" width="7" style="16" bestFit="1" customWidth="1"/>
    <col min="10511" max="10511" width="7.140625" style="16" bestFit="1"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8.85546875" style="16" customWidth="1"/>
    <col min="10755" max="10755" width="10.7109375" style="16" bestFit="1" customWidth="1"/>
    <col min="10756" max="10756" width="6.7109375" style="16" bestFit="1" customWidth="1"/>
    <col min="10757" max="10757" width="8.5703125" style="16" bestFit="1" customWidth="1"/>
    <col min="10758" max="10758" width="9.28515625" style="16" bestFit="1" customWidth="1"/>
    <col min="10759" max="10759" width="10.42578125" style="16" bestFit="1" customWidth="1"/>
    <col min="10760" max="10760" width="10.28515625" style="16" bestFit="1" customWidth="1"/>
    <col min="10761" max="10761" width="7.140625" style="16" bestFit="1" customWidth="1"/>
    <col min="10762" max="10762" width="7.42578125" style="16" customWidth="1"/>
    <col min="10763" max="10764" width="7" style="16" bestFit="1" customWidth="1"/>
    <col min="10765" max="10765" width="6.85546875" style="16" bestFit="1" customWidth="1"/>
    <col min="10766" max="10766" width="7" style="16" bestFit="1" customWidth="1"/>
    <col min="10767" max="10767" width="7.140625" style="16" bestFit="1"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8.85546875" style="16" customWidth="1"/>
    <col min="11011" max="11011" width="10.7109375" style="16" bestFit="1" customWidth="1"/>
    <col min="11012" max="11012" width="6.7109375" style="16" bestFit="1" customWidth="1"/>
    <col min="11013" max="11013" width="8.5703125" style="16" bestFit="1" customWidth="1"/>
    <col min="11014" max="11014" width="9.28515625" style="16" bestFit="1" customWidth="1"/>
    <col min="11015" max="11015" width="10.42578125" style="16" bestFit="1" customWidth="1"/>
    <col min="11016" max="11016" width="10.28515625" style="16" bestFit="1" customWidth="1"/>
    <col min="11017" max="11017" width="7.140625" style="16" bestFit="1" customWidth="1"/>
    <col min="11018" max="11018" width="7.42578125" style="16" customWidth="1"/>
    <col min="11019" max="11020" width="7" style="16" bestFit="1" customWidth="1"/>
    <col min="11021" max="11021" width="6.85546875" style="16" bestFit="1" customWidth="1"/>
    <col min="11022" max="11022" width="7" style="16" bestFit="1" customWidth="1"/>
    <col min="11023" max="11023" width="7.140625" style="16" bestFit="1"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8.85546875" style="16" customWidth="1"/>
    <col min="11267" max="11267" width="10.7109375" style="16" bestFit="1" customWidth="1"/>
    <col min="11268" max="11268" width="6.7109375" style="16" bestFit="1" customWidth="1"/>
    <col min="11269" max="11269" width="8.5703125" style="16" bestFit="1" customWidth="1"/>
    <col min="11270" max="11270" width="9.28515625" style="16" bestFit="1" customWidth="1"/>
    <col min="11271" max="11271" width="10.42578125" style="16" bestFit="1" customWidth="1"/>
    <col min="11272" max="11272" width="10.28515625" style="16" bestFit="1" customWidth="1"/>
    <col min="11273" max="11273" width="7.140625" style="16" bestFit="1" customWidth="1"/>
    <col min="11274" max="11274" width="7.42578125" style="16" customWidth="1"/>
    <col min="11275" max="11276" width="7" style="16" bestFit="1" customWidth="1"/>
    <col min="11277" max="11277" width="6.85546875" style="16" bestFit="1" customWidth="1"/>
    <col min="11278" max="11278" width="7" style="16" bestFit="1" customWidth="1"/>
    <col min="11279" max="11279" width="7.140625" style="16" bestFit="1"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8.85546875" style="16" customWidth="1"/>
    <col min="11523" max="11523" width="10.7109375" style="16" bestFit="1" customWidth="1"/>
    <col min="11524" max="11524" width="6.7109375" style="16" bestFit="1" customWidth="1"/>
    <col min="11525" max="11525" width="8.5703125" style="16" bestFit="1" customWidth="1"/>
    <col min="11526" max="11526" width="9.28515625" style="16" bestFit="1" customWidth="1"/>
    <col min="11527" max="11527" width="10.42578125" style="16" bestFit="1" customWidth="1"/>
    <col min="11528" max="11528" width="10.28515625" style="16" bestFit="1" customWidth="1"/>
    <col min="11529" max="11529" width="7.140625" style="16" bestFit="1" customWidth="1"/>
    <col min="11530" max="11530" width="7.42578125" style="16" customWidth="1"/>
    <col min="11531" max="11532" width="7" style="16" bestFit="1" customWidth="1"/>
    <col min="11533" max="11533" width="6.85546875" style="16" bestFit="1" customWidth="1"/>
    <col min="11534" max="11534" width="7" style="16" bestFit="1" customWidth="1"/>
    <col min="11535" max="11535" width="7.140625" style="16" bestFit="1"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8.85546875" style="16" customWidth="1"/>
    <col min="11779" max="11779" width="10.7109375" style="16" bestFit="1" customWidth="1"/>
    <col min="11780" max="11780" width="6.7109375" style="16" bestFit="1" customWidth="1"/>
    <col min="11781" max="11781" width="8.5703125" style="16" bestFit="1" customWidth="1"/>
    <col min="11782" max="11782" width="9.28515625" style="16" bestFit="1" customWidth="1"/>
    <col min="11783" max="11783" width="10.42578125" style="16" bestFit="1" customWidth="1"/>
    <col min="11784" max="11784" width="10.28515625" style="16" bestFit="1" customWidth="1"/>
    <col min="11785" max="11785" width="7.140625" style="16" bestFit="1" customWidth="1"/>
    <col min="11786" max="11786" width="7.42578125" style="16" customWidth="1"/>
    <col min="11787" max="11788" width="7" style="16" bestFit="1" customWidth="1"/>
    <col min="11789" max="11789" width="6.85546875" style="16" bestFit="1" customWidth="1"/>
    <col min="11790" max="11790" width="7" style="16" bestFit="1" customWidth="1"/>
    <col min="11791" max="11791" width="7.140625" style="16" bestFit="1"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8.85546875" style="16" customWidth="1"/>
    <col min="12035" max="12035" width="10.7109375" style="16" bestFit="1" customWidth="1"/>
    <col min="12036" max="12036" width="6.7109375" style="16" bestFit="1" customWidth="1"/>
    <col min="12037" max="12037" width="8.5703125" style="16" bestFit="1" customWidth="1"/>
    <col min="12038" max="12038" width="9.28515625" style="16" bestFit="1" customWidth="1"/>
    <col min="12039" max="12039" width="10.42578125" style="16" bestFit="1" customWidth="1"/>
    <col min="12040" max="12040" width="10.28515625" style="16" bestFit="1" customWidth="1"/>
    <col min="12041" max="12041" width="7.140625" style="16" bestFit="1" customWidth="1"/>
    <col min="12042" max="12042" width="7.42578125" style="16" customWidth="1"/>
    <col min="12043" max="12044" width="7" style="16" bestFit="1" customWidth="1"/>
    <col min="12045" max="12045" width="6.85546875" style="16" bestFit="1" customWidth="1"/>
    <col min="12046" max="12046" width="7" style="16" bestFit="1" customWidth="1"/>
    <col min="12047" max="12047" width="7.140625" style="16" bestFit="1"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8.85546875" style="16" customWidth="1"/>
    <col min="12291" max="12291" width="10.7109375" style="16" bestFit="1" customWidth="1"/>
    <col min="12292" max="12292" width="6.7109375" style="16" bestFit="1" customWidth="1"/>
    <col min="12293" max="12293" width="8.5703125" style="16" bestFit="1" customWidth="1"/>
    <col min="12294" max="12294" width="9.28515625" style="16" bestFit="1" customWidth="1"/>
    <col min="12295" max="12295" width="10.42578125" style="16" bestFit="1" customWidth="1"/>
    <col min="12296" max="12296" width="10.28515625" style="16" bestFit="1" customWidth="1"/>
    <col min="12297" max="12297" width="7.140625" style="16" bestFit="1" customWidth="1"/>
    <col min="12298" max="12298" width="7.42578125" style="16" customWidth="1"/>
    <col min="12299" max="12300" width="7" style="16" bestFit="1" customWidth="1"/>
    <col min="12301" max="12301" width="6.85546875" style="16" bestFit="1" customWidth="1"/>
    <col min="12302" max="12302" width="7" style="16" bestFit="1" customWidth="1"/>
    <col min="12303" max="12303" width="7.140625" style="16" bestFit="1"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8.85546875" style="16" customWidth="1"/>
    <col min="12547" max="12547" width="10.7109375" style="16" bestFit="1" customWidth="1"/>
    <col min="12548" max="12548" width="6.7109375" style="16" bestFit="1" customWidth="1"/>
    <col min="12549" max="12549" width="8.5703125" style="16" bestFit="1" customWidth="1"/>
    <col min="12550" max="12550" width="9.28515625" style="16" bestFit="1" customWidth="1"/>
    <col min="12551" max="12551" width="10.42578125" style="16" bestFit="1" customWidth="1"/>
    <col min="12552" max="12552" width="10.28515625" style="16" bestFit="1" customWidth="1"/>
    <col min="12553" max="12553" width="7.140625" style="16" bestFit="1" customWidth="1"/>
    <col min="12554" max="12554" width="7.42578125" style="16" customWidth="1"/>
    <col min="12555" max="12556" width="7" style="16" bestFit="1" customWidth="1"/>
    <col min="12557" max="12557" width="6.85546875" style="16" bestFit="1" customWidth="1"/>
    <col min="12558" max="12558" width="7" style="16" bestFit="1" customWidth="1"/>
    <col min="12559" max="12559" width="7.140625" style="16" bestFit="1"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8.85546875" style="16" customWidth="1"/>
    <col min="12803" max="12803" width="10.7109375" style="16" bestFit="1" customWidth="1"/>
    <col min="12804" max="12804" width="6.7109375" style="16" bestFit="1" customWidth="1"/>
    <col min="12805" max="12805" width="8.5703125" style="16" bestFit="1" customWidth="1"/>
    <col min="12806" max="12806" width="9.28515625" style="16" bestFit="1" customWidth="1"/>
    <col min="12807" max="12807" width="10.42578125" style="16" bestFit="1" customWidth="1"/>
    <col min="12808" max="12808" width="10.28515625" style="16" bestFit="1" customWidth="1"/>
    <col min="12809" max="12809" width="7.140625" style="16" bestFit="1" customWidth="1"/>
    <col min="12810" max="12810" width="7.42578125" style="16" customWidth="1"/>
    <col min="12811" max="12812" width="7" style="16" bestFit="1" customWidth="1"/>
    <col min="12813" max="12813" width="6.85546875" style="16" bestFit="1" customWidth="1"/>
    <col min="12814" max="12814" width="7" style="16" bestFit="1" customWidth="1"/>
    <col min="12815" max="12815" width="7.140625" style="16" bestFit="1"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8.85546875" style="16" customWidth="1"/>
    <col min="13059" max="13059" width="10.7109375" style="16" bestFit="1" customWidth="1"/>
    <col min="13060" max="13060" width="6.7109375" style="16" bestFit="1" customWidth="1"/>
    <col min="13061" max="13061" width="8.5703125" style="16" bestFit="1" customWidth="1"/>
    <col min="13062" max="13062" width="9.28515625" style="16" bestFit="1" customWidth="1"/>
    <col min="13063" max="13063" width="10.42578125" style="16" bestFit="1" customWidth="1"/>
    <col min="13064" max="13064" width="10.28515625" style="16" bestFit="1" customWidth="1"/>
    <col min="13065" max="13065" width="7.140625" style="16" bestFit="1" customWidth="1"/>
    <col min="13066" max="13066" width="7.42578125" style="16" customWidth="1"/>
    <col min="13067" max="13068" width="7" style="16" bestFit="1" customWidth="1"/>
    <col min="13069" max="13069" width="6.85546875" style="16" bestFit="1" customWidth="1"/>
    <col min="13070" max="13070" width="7" style="16" bestFit="1" customWidth="1"/>
    <col min="13071" max="13071" width="7.140625" style="16" bestFit="1"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8.85546875" style="16" customWidth="1"/>
    <col min="13315" max="13315" width="10.7109375" style="16" bestFit="1" customWidth="1"/>
    <col min="13316" max="13316" width="6.7109375" style="16" bestFit="1" customWidth="1"/>
    <col min="13317" max="13317" width="8.5703125" style="16" bestFit="1" customWidth="1"/>
    <col min="13318" max="13318" width="9.28515625" style="16" bestFit="1" customWidth="1"/>
    <col min="13319" max="13319" width="10.42578125" style="16" bestFit="1" customWidth="1"/>
    <col min="13320" max="13320" width="10.28515625" style="16" bestFit="1" customWidth="1"/>
    <col min="13321" max="13321" width="7.140625" style="16" bestFit="1" customWidth="1"/>
    <col min="13322" max="13322" width="7.42578125" style="16" customWidth="1"/>
    <col min="13323" max="13324" width="7" style="16" bestFit="1" customWidth="1"/>
    <col min="13325" max="13325" width="6.85546875" style="16" bestFit="1" customWidth="1"/>
    <col min="13326" max="13326" width="7" style="16" bestFit="1" customWidth="1"/>
    <col min="13327" max="13327" width="7.140625" style="16" bestFit="1"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8.85546875" style="16" customWidth="1"/>
    <col min="13571" max="13571" width="10.7109375" style="16" bestFit="1" customWidth="1"/>
    <col min="13572" max="13572" width="6.7109375" style="16" bestFit="1" customWidth="1"/>
    <col min="13573" max="13573" width="8.5703125" style="16" bestFit="1" customWidth="1"/>
    <col min="13574" max="13574" width="9.28515625" style="16" bestFit="1" customWidth="1"/>
    <col min="13575" max="13575" width="10.42578125" style="16" bestFit="1" customWidth="1"/>
    <col min="13576" max="13576" width="10.28515625" style="16" bestFit="1" customWidth="1"/>
    <col min="13577" max="13577" width="7.140625" style="16" bestFit="1" customWidth="1"/>
    <col min="13578" max="13578" width="7.42578125" style="16" customWidth="1"/>
    <col min="13579" max="13580" width="7" style="16" bestFit="1" customWidth="1"/>
    <col min="13581" max="13581" width="6.85546875" style="16" bestFit="1" customWidth="1"/>
    <col min="13582" max="13582" width="7" style="16" bestFit="1" customWidth="1"/>
    <col min="13583" max="13583" width="7.140625" style="16" bestFit="1"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8.85546875" style="16" customWidth="1"/>
    <col min="13827" max="13827" width="10.7109375" style="16" bestFit="1" customWidth="1"/>
    <col min="13828" max="13828" width="6.7109375" style="16" bestFit="1" customWidth="1"/>
    <col min="13829" max="13829" width="8.5703125" style="16" bestFit="1" customWidth="1"/>
    <col min="13830" max="13830" width="9.28515625" style="16" bestFit="1" customWidth="1"/>
    <col min="13831" max="13831" width="10.42578125" style="16" bestFit="1" customWidth="1"/>
    <col min="13832" max="13832" width="10.28515625" style="16" bestFit="1" customWidth="1"/>
    <col min="13833" max="13833" width="7.140625" style="16" bestFit="1" customWidth="1"/>
    <col min="13834" max="13834" width="7.42578125" style="16" customWidth="1"/>
    <col min="13835" max="13836" width="7" style="16" bestFit="1" customWidth="1"/>
    <col min="13837" max="13837" width="6.85546875" style="16" bestFit="1" customWidth="1"/>
    <col min="13838" max="13838" width="7" style="16" bestFit="1" customWidth="1"/>
    <col min="13839" max="13839" width="7.140625" style="16" bestFit="1"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8.85546875" style="16" customWidth="1"/>
    <col min="14083" max="14083" width="10.7109375" style="16" bestFit="1" customWidth="1"/>
    <col min="14084" max="14084" width="6.7109375" style="16" bestFit="1" customWidth="1"/>
    <col min="14085" max="14085" width="8.5703125" style="16" bestFit="1" customWidth="1"/>
    <col min="14086" max="14086" width="9.28515625" style="16" bestFit="1" customWidth="1"/>
    <col min="14087" max="14087" width="10.42578125" style="16" bestFit="1" customWidth="1"/>
    <col min="14088" max="14088" width="10.28515625" style="16" bestFit="1" customWidth="1"/>
    <col min="14089" max="14089" width="7.140625" style="16" bestFit="1" customWidth="1"/>
    <col min="14090" max="14090" width="7.42578125" style="16" customWidth="1"/>
    <col min="14091" max="14092" width="7" style="16" bestFit="1" customWidth="1"/>
    <col min="14093" max="14093" width="6.85546875" style="16" bestFit="1" customWidth="1"/>
    <col min="14094" max="14094" width="7" style="16" bestFit="1" customWidth="1"/>
    <col min="14095" max="14095" width="7.140625" style="16" bestFit="1"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8.85546875" style="16" customWidth="1"/>
    <col min="14339" max="14339" width="10.7109375" style="16" bestFit="1" customWidth="1"/>
    <col min="14340" max="14340" width="6.7109375" style="16" bestFit="1" customWidth="1"/>
    <col min="14341" max="14341" width="8.5703125" style="16" bestFit="1" customWidth="1"/>
    <col min="14342" max="14342" width="9.28515625" style="16" bestFit="1" customWidth="1"/>
    <col min="14343" max="14343" width="10.42578125" style="16" bestFit="1" customWidth="1"/>
    <col min="14344" max="14344" width="10.28515625" style="16" bestFit="1" customWidth="1"/>
    <col min="14345" max="14345" width="7.140625" style="16" bestFit="1" customWidth="1"/>
    <col min="14346" max="14346" width="7.42578125" style="16" customWidth="1"/>
    <col min="14347" max="14348" width="7" style="16" bestFit="1" customWidth="1"/>
    <col min="14349" max="14349" width="6.85546875" style="16" bestFit="1" customWidth="1"/>
    <col min="14350" max="14350" width="7" style="16" bestFit="1" customWidth="1"/>
    <col min="14351" max="14351" width="7.140625" style="16" bestFit="1"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8.85546875" style="16" customWidth="1"/>
    <col min="14595" max="14595" width="10.7109375" style="16" bestFit="1" customWidth="1"/>
    <col min="14596" max="14596" width="6.7109375" style="16" bestFit="1" customWidth="1"/>
    <col min="14597" max="14597" width="8.5703125" style="16" bestFit="1" customWidth="1"/>
    <col min="14598" max="14598" width="9.28515625" style="16" bestFit="1" customWidth="1"/>
    <col min="14599" max="14599" width="10.42578125" style="16" bestFit="1" customWidth="1"/>
    <col min="14600" max="14600" width="10.28515625" style="16" bestFit="1" customWidth="1"/>
    <col min="14601" max="14601" width="7.140625" style="16" bestFit="1" customWidth="1"/>
    <col min="14602" max="14602" width="7.42578125" style="16" customWidth="1"/>
    <col min="14603" max="14604" width="7" style="16" bestFit="1" customWidth="1"/>
    <col min="14605" max="14605" width="6.85546875" style="16" bestFit="1" customWidth="1"/>
    <col min="14606" max="14606" width="7" style="16" bestFit="1" customWidth="1"/>
    <col min="14607" max="14607" width="7.140625" style="16" bestFit="1"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8.85546875" style="16" customWidth="1"/>
    <col min="14851" max="14851" width="10.7109375" style="16" bestFit="1" customWidth="1"/>
    <col min="14852" max="14852" width="6.7109375" style="16" bestFit="1" customWidth="1"/>
    <col min="14853" max="14853" width="8.5703125" style="16" bestFit="1" customWidth="1"/>
    <col min="14854" max="14854" width="9.28515625" style="16" bestFit="1" customWidth="1"/>
    <col min="14855" max="14855" width="10.42578125" style="16" bestFit="1" customWidth="1"/>
    <col min="14856" max="14856" width="10.28515625" style="16" bestFit="1" customWidth="1"/>
    <col min="14857" max="14857" width="7.140625" style="16" bestFit="1" customWidth="1"/>
    <col min="14858" max="14858" width="7.42578125" style="16" customWidth="1"/>
    <col min="14859" max="14860" width="7" style="16" bestFit="1" customWidth="1"/>
    <col min="14861" max="14861" width="6.85546875" style="16" bestFit="1" customWidth="1"/>
    <col min="14862" max="14862" width="7" style="16" bestFit="1" customWidth="1"/>
    <col min="14863" max="14863" width="7.140625" style="16" bestFit="1"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8.85546875" style="16" customWidth="1"/>
    <col min="15107" max="15107" width="10.7109375" style="16" bestFit="1" customWidth="1"/>
    <col min="15108" max="15108" width="6.7109375" style="16" bestFit="1" customWidth="1"/>
    <col min="15109" max="15109" width="8.5703125" style="16" bestFit="1" customWidth="1"/>
    <col min="15110" max="15110" width="9.28515625" style="16" bestFit="1" customWidth="1"/>
    <col min="15111" max="15111" width="10.42578125" style="16" bestFit="1" customWidth="1"/>
    <col min="15112" max="15112" width="10.28515625" style="16" bestFit="1" customWidth="1"/>
    <col min="15113" max="15113" width="7.140625" style="16" bestFit="1" customWidth="1"/>
    <col min="15114" max="15114" width="7.42578125" style="16" customWidth="1"/>
    <col min="15115" max="15116" width="7" style="16" bestFit="1" customWidth="1"/>
    <col min="15117" max="15117" width="6.85546875" style="16" bestFit="1" customWidth="1"/>
    <col min="15118" max="15118" width="7" style="16" bestFit="1" customWidth="1"/>
    <col min="15119" max="15119" width="7.140625" style="16" bestFit="1"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8.85546875" style="16" customWidth="1"/>
    <col min="15363" max="15363" width="10.7109375" style="16" bestFit="1" customWidth="1"/>
    <col min="15364" max="15364" width="6.7109375" style="16" bestFit="1" customWidth="1"/>
    <col min="15365" max="15365" width="8.5703125" style="16" bestFit="1" customWidth="1"/>
    <col min="15366" max="15366" width="9.28515625" style="16" bestFit="1" customWidth="1"/>
    <col min="15367" max="15367" width="10.42578125" style="16" bestFit="1" customWidth="1"/>
    <col min="15368" max="15368" width="10.28515625" style="16" bestFit="1" customWidth="1"/>
    <col min="15369" max="15369" width="7.140625" style="16" bestFit="1" customWidth="1"/>
    <col min="15370" max="15370" width="7.42578125" style="16" customWidth="1"/>
    <col min="15371" max="15372" width="7" style="16" bestFit="1" customWidth="1"/>
    <col min="15373" max="15373" width="6.85546875" style="16" bestFit="1" customWidth="1"/>
    <col min="15374" max="15374" width="7" style="16" bestFit="1" customWidth="1"/>
    <col min="15375" max="15375" width="7.140625" style="16" bestFit="1"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8.85546875" style="16" customWidth="1"/>
    <col min="15619" max="15619" width="10.7109375" style="16" bestFit="1" customWidth="1"/>
    <col min="15620" max="15620" width="6.7109375" style="16" bestFit="1" customWidth="1"/>
    <col min="15621" max="15621" width="8.5703125" style="16" bestFit="1" customWidth="1"/>
    <col min="15622" max="15622" width="9.28515625" style="16" bestFit="1" customWidth="1"/>
    <col min="15623" max="15623" width="10.42578125" style="16" bestFit="1" customWidth="1"/>
    <col min="15624" max="15624" width="10.28515625" style="16" bestFit="1" customWidth="1"/>
    <col min="15625" max="15625" width="7.140625" style="16" bestFit="1" customWidth="1"/>
    <col min="15626" max="15626" width="7.42578125" style="16" customWidth="1"/>
    <col min="15627" max="15628" width="7" style="16" bestFit="1" customWidth="1"/>
    <col min="15629" max="15629" width="6.85546875" style="16" bestFit="1" customWidth="1"/>
    <col min="15630" max="15630" width="7" style="16" bestFit="1" customWidth="1"/>
    <col min="15631" max="15631" width="7.140625" style="16" bestFit="1"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8.85546875" style="16" customWidth="1"/>
    <col min="15875" max="15875" width="10.7109375" style="16" bestFit="1" customWidth="1"/>
    <col min="15876" max="15876" width="6.7109375" style="16" bestFit="1" customWidth="1"/>
    <col min="15877" max="15877" width="8.5703125" style="16" bestFit="1" customWidth="1"/>
    <col min="15878" max="15878" width="9.28515625" style="16" bestFit="1" customWidth="1"/>
    <col min="15879" max="15879" width="10.42578125" style="16" bestFit="1" customWidth="1"/>
    <col min="15880" max="15880" width="10.28515625" style="16" bestFit="1" customWidth="1"/>
    <col min="15881" max="15881" width="7.140625" style="16" bestFit="1" customWidth="1"/>
    <col min="15882" max="15882" width="7.42578125" style="16" customWidth="1"/>
    <col min="15883" max="15884" width="7" style="16" bestFit="1" customWidth="1"/>
    <col min="15885" max="15885" width="6.85546875" style="16" bestFit="1" customWidth="1"/>
    <col min="15886" max="15886" width="7" style="16" bestFit="1" customWidth="1"/>
    <col min="15887" max="15887" width="7.140625" style="16" bestFit="1"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8.85546875" style="16" customWidth="1"/>
    <col min="16131" max="16131" width="10.7109375" style="16" bestFit="1" customWidth="1"/>
    <col min="16132" max="16132" width="6.7109375" style="16" bestFit="1" customWidth="1"/>
    <col min="16133" max="16133" width="8.5703125" style="16" bestFit="1" customWidth="1"/>
    <col min="16134" max="16134" width="9.28515625" style="16" bestFit="1" customWidth="1"/>
    <col min="16135" max="16135" width="10.42578125" style="16" bestFit="1" customWidth="1"/>
    <col min="16136" max="16136" width="10.28515625" style="16" bestFit="1" customWidth="1"/>
    <col min="16137" max="16137" width="7.140625" style="16" bestFit="1" customWidth="1"/>
    <col min="16138" max="16138" width="7.42578125" style="16" customWidth="1"/>
    <col min="16139" max="16140" width="7" style="16" bestFit="1" customWidth="1"/>
    <col min="16141" max="16141" width="6.85546875" style="16" bestFit="1" customWidth="1"/>
    <col min="16142" max="16142" width="7" style="16" bestFit="1" customWidth="1"/>
    <col min="16143" max="16143" width="7.140625" style="16" bestFit="1"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67" t="s">
        <v>449</v>
      </c>
      <c r="B1" s="868"/>
      <c r="C1" s="868"/>
      <c r="D1" s="869"/>
      <c r="E1" s="868"/>
      <c r="F1" s="868"/>
      <c r="G1" s="867" t="s">
        <v>102</v>
      </c>
      <c r="H1" s="869"/>
      <c r="I1" s="869" t="s">
        <v>942</v>
      </c>
      <c r="J1" s="868"/>
      <c r="K1" s="868"/>
      <c r="L1" s="870"/>
      <c r="M1" s="870"/>
      <c r="N1" s="870"/>
      <c r="O1" s="870"/>
    </row>
    <row r="2" spans="1:15" s="1" customFormat="1" x14ac:dyDescent="0.2">
      <c r="A2" s="867" t="s">
        <v>103</v>
      </c>
      <c r="B2" s="868"/>
      <c r="C2" s="868"/>
      <c r="D2" s="869"/>
      <c r="E2" s="868"/>
      <c r="F2" s="868"/>
      <c r="G2" s="867" t="s">
        <v>104</v>
      </c>
      <c r="H2" s="869"/>
      <c r="I2" s="869" t="s">
        <v>105</v>
      </c>
      <c r="J2" s="868"/>
      <c r="K2" s="868"/>
      <c r="L2" s="870"/>
      <c r="M2" s="870"/>
      <c r="N2" s="870"/>
      <c r="O2" s="870"/>
    </row>
    <row r="3" spans="1:15" s="1" customFormat="1" x14ac:dyDescent="0.2">
      <c r="A3" s="867" t="s">
        <v>106</v>
      </c>
      <c r="B3" s="868"/>
      <c r="C3" s="868"/>
      <c r="D3" s="881">
        <v>24974</v>
      </c>
      <c r="E3" s="882"/>
      <c r="F3" s="882"/>
      <c r="G3" s="867" t="s">
        <v>107</v>
      </c>
      <c r="H3" s="869"/>
      <c r="I3" s="869" t="s">
        <v>108</v>
      </c>
      <c r="J3" s="868"/>
      <c r="K3" s="868"/>
      <c r="L3" s="870"/>
      <c r="M3" s="870"/>
      <c r="N3" s="870"/>
      <c r="O3" s="870"/>
    </row>
    <row r="4" spans="1:15" s="1" customFormat="1" x14ac:dyDescent="0.2">
      <c r="A4" s="867" t="s">
        <v>109</v>
      </c>
      <c r="B4" s="868"/>
      <c r="C4" s="868"/>
      <c r="D4" s="883"/>
      <c r="E4" s="868"/>
      <c r="F4" s="868"/>
      <c r="G4" s="867" t="s">
        <v>110</v>
      </c>
      <c r="H4" s="869"/>
      <c r="I4" s="869" t="s">
        <v>392</v>
      </c>
      <c r="J4" s="868"/>
      <c r="K4" s="868"/>
      <c r="L4" s="870"/>
      <c r="M4" s="870"/>
      <c r="N4" s="870"/>
      <c r="O4" s="870"/>
    </row>
    <row r="5" spans="1:15" s="1" customFormat="1" x14ac:dyDescent="0.2">
      <c r="A5" s="867" t="s">
        <v>443</v>
      </c>
      <c r="B5" s="868"/>
      <c r="C5" s="868"/>
      <c r="D5" s="869" t="s">
        <v>1054</v>
      </c>
      <c r="E5" s="868"/>
      <c r="F5" s="868"/>
      <c r="G5" s="867"/>
      <c r="H5" s="868"/>
      <c r="I5" s="869" t="s">
        <v>113</v>
      </c>
      <c r="J5" s="868"/>
      <c r="K5" s="868"/>
      <c r="L5" s="870"/>
      <c r="M5" s="870"/>
      <c r="N5" s="870"/>
      <c r="O5" s="870"/>
    </row>
    <row r="6" spans="1:15" s="1" customFormat="1" x14ac:dyDescent="0.2">
      <c r="A6" s="871" t="s">
        <v>114</v>
      </c>
      <c r="B6" s="872"/>
      <c r="C6" s="872"/>
      <c r="D6" s="868" t="s">
        <v>943</v>
      </c>
      <c r="E6" s="868"/>
      <c r="F6" s="868"/>
      <c r="G6" s="871" t="s">
        <v>115</v>
      </c>
      <c r="H6" s="871"/>
      <c r="I6" s="2" t="s">
        <v>116</v>
      </c>
      <c r="J6" s="888"/>
      <c r="K6" s="888"/>
      <c r="L6" s="888"/>
      <c r="M6" s="888"/>
      <c r="N6" s="888"/>
      <c r="O6" s="889"/>
    </row>
    <row r="7" spans="1:15" s="1" customFormat="1" ht="13.5" thickBot="1" x14ac:dyDescent="0.25">
      <c r="A7" s="3"/>
      <c r="B7" s="4"/>
      <c r="C7" s="5"/>
      <c r="D7" s="6"/>
      <c r="E7" s="6"/>
      <c r="F7" s="6"/>
      <c r="G7" s="6"/>
      <c r="H7" s="6"/>
      <c r="I7" s="6"/>
      <c r="J7" s="7"/>
      <c r="K7" s="8"/>
      <c r="L7" s="875" t="s">
        <v>223</v>
      </c>
      <c r="M7" s="875"/>
      <c r="N7" s="875"/>
      <c r="O7" s="875"/>
    </row>
    <row r="8" spans="1:15" s="11" customFormat="1" x14ac:dyDescent="0.2">
      <c r="A8" s="876" t="str">
        <f>I1</f>
        <v>Mr. R. E. Pereira</v>
      </c>
      <c r="B8" s="877"/>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0</v>
      </c>
      <c r="D9" s="14">
        <f>+C9</f>
        <v>0</v>
      </c>
      <c r="E9" s="14">
        <f>+D9</f>
        <v>0</v>
      </c>
      <c r="F9" s="14">
        <v>0</v>
      </c>
      <c r="G9" s="14">
        <v>0</v>
      </c>
      <c r="H9" s="14">
        <f>+G9</f>
        <v>0</v>
      </c>
      <c r="I9" s="14">
        <f t="shared" ref="I9:N9" si="0">+H9</f>
        <v>0</v>
      </c>
      <c r="J9" s="14">
        <f t="shared" si="0"/>
        <v>0</v>
      </c>
      <c r="K9" s="14">
        <f>+J9</f>
        <v>0</v>
      </c>
      <c r="L9" s="14">
        <f t="shared" si="0"/>
        <v>0</v>
      </c>
      <c r="M9" s="14">
        <f t="shared" si="0"/>
        <v>0</v>
      </c>
      <c r="N9" s="14">
        <f t="shared" si="0"/>
        <v>0</v>
      </c>
      <c r="O9" s="15">
        <f>SUM(C9:N9)</f>
        <v>0</v>
      </c>
    </row>
    <row r="10" spans="1:15" ht="15" x14ac:dyDescent="0.2">
      <c r="A10" s="12"/>
      <c r="B10" s="13" t="s">
        <v>119</v>
      </c>
      <c r="C10" s="17">
        <v>0</v>
      </c>
      <c r="D10" s="17">
        <f>+C10</f>
        <v>0</v>
      </c>
      <c r="E10" s="17">
        <f t="shared" ref="E10:N10" si="1">+D10</f>
        <v>0</v>
      </c>
      <c r="F10" s="17">
        <v>0</v>
      </c>
      <c r="G10" s="17">
        <v>0</v>
      </c>
      <c r="H10" s="17">
        <f t="shared" si="1"/>
        <v>0</v>
      </c>
      <c r="I10" s="17">
        <f t="shared" si="1"/>
        <v>0</v>
      </c>
      <c r="J10" s="17">
        <f t="shared" si="1"/>
        <v>0</v>
      </c>
      <c r="K10" s="17">
        <f t="shared" si="1"/>
        <v>0</v>
      </c>
      <c r="L10" s="17">
        <f t="shared" si="1"/>
        <v>0</v>
      </c>
      <c r="M10" s="17">
        <f t="shared" si="1"/>
        <v>0</v>
      </c>
      <c r="N10" s="17">
        <f t="shared" si="1"/>
        <v>0</v>
      </c>
      <c r="O10" s="18">
        <f>SUM(C10:N10)</f>
        <v>0</v>
      </c>
    </row>
    <row r="11" spans="1:15" ht="15" x14ac:dyDescent="0.2">
      <c r="A11" s="12"/>
      <c r="B11" s="13" t="s">
        <v>120</v>
      </c>
      <c r="C11" s="147">
        <v>0</v>
      </c>
      <c r="D11" s="147">
        <v>0</v>
      </c>
      <c r="E11" s="147">
        <v>0</v>
      </c>
      <c r="F11" s="147">
        <v>0</v>
      </c>
      <c r="G11" s="147">
        <v>0</v>
      </c>
      <c r="H11" s="147">
        <v>0</v>
      </c>
      <c r="I11" s="147">
        <v>0</v>
      </c>
      <c r="J11" s="147">
        <v>0</v>
      </c>
      <c r="K11" s="147">
        <v>0</v>
      </c>
      <c r="L11" s="147">
        <v>0</v>
      </c>
      <c r="M11" s="147">
        <v>0</v>
      </c>
      <c r="N11" s="147">
        <v>0</v>
      </c>
      <c r="O11" s="18">
        <f>SUM(C11:N11)</f>
        <v>0</v>
      </c>
    </row>
    <row r="12" spans="1:15" ht="15" hidden="1" x14ac:dyDescent="0.2">
      <c r="A12" s="12"/>
      <c r="B12" s="13" t="s">
        <v>121</v>
      </c>
      <c r="C12" s="147">
        <v>0</v>
      </c>
      <c r="D12" s="17">
        <f>+C12</f>
        <v>0</v>
      </c>
      <c r="E12" s="17">
        <f t="shared" ref="E12:N12" si="2">+D12</f>
        <v>0</v>
      </c>
      <c r="F12" s="17">
        <f t="shared" si="2"/>
        <v>0</v>
      </c>
      <c r="G12" s="17">
        <f t="shared" si="2"/>
        <v>0</v>
      </c>
      <c r="H12" s="17">
        <f t="shared" si="2"/>
        <v>0</v>
      </c>
      <c r="I12" s="17">
        <f t="shared" si="2"/>
        <v>0</v>
      </c>
      <c r="J12" s="17">
        <f t="shared" si="2"/>
        <v>0</v>
      </c>
      <c r="K12" s="17">
        <f t="shared" si="2"/>
        <v>0</v>
      </c>
      <c r="L12" s="17">
        <f t="shared" si="2"/>
        <v>0</v>
      </c>
      <c r="M12" s="17">
        <f t="shared" si="2"/>
        <v>0</v>
      </c>
      <c r="N12" s="17">
        <f t="shared" si="2"/>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3">SUM(C13:N13)</f>
        <v>0</v>
      </c>
    </row>
    <row r="14" spans="1:15" ht="15" x14ac:dyDescent="0.2">
      <c r="A14" s="12"/>
      <c r="B14" s="13" t="s">
        <v>123</v>
      </c>
      <c r="C14" s="147">
        <v>0</v>
      </c>
      <c r="D14" s="147">
        <v>0</v>
      </c>
      <c r="E14" s="147">
        <v>0</v>
      </c>
      <c r="F14" s="147">
        <v>0</v>
      </c>
      <c r="G14" s="147">
        <v>0</v>
      </c>
      <c r="H14" s="147">
        <v>0</v>
      </c>
      <c r="I14" s="147">
        <v>0</v>
      </c>
      <c r="J14" s="147">
        <v>0</v>
      </c>
      <c r="K14" s="147">
        <v>0</v>
      </c>
      <c r="L14" s="147">
        <v>0</v>
      </c>
      <c r="M14" s="147">
        <v>0</v>
      </c>
      <c r="N14" s="147">
        <v>0</v>
      </c>
      <c r="O14" s="18">
        <f t="shared" si="3"/>
        <v>0</v>
      </c>
    </row>
    <row r="15" spans="1:15" ht="15" hidden="1" x14ac:dyDescent="0.2">
      <c r="A15" s="12"/>
      <c r="B15" s="13" t="s">
        <v>124</v>
      </c>
      <c r="C15" s="17">
        <v>0</v>
      </c>
      <c r="D15" s="17">
        <v>0</v>
      </c>
      <c r="E15" s="17">
        <v>0</v>
      </c>
      <c r="F15" s="17">
        <v>0</v>
      </c>
      <c r="G15" s="17">
        <v>0</v>
      </c>
      <c r="H15" s="17">
        <v>0</v>
      </c>
      <c r="I15" s="17">
        <v>0</v>
      </c>
      <c r="J15" s="147">
        <v>0</v>
      </c>
      <c r="K15" s="147">
        <v>0</v>
      </c>
      <c r="L15" s="147">
        <v>0</v>
      </c>
      <c r="M15" s="147">
        <v>0</v>
      </c>
      <c r="N15" s="147">
        <v>0</v>
      </c>
      <c r="O15" s="18">
        <f t="shared" si="3"/>
        <v>0</v>
      </c>
    </row>
    <row r="16" spans="1:15" ht="15" hidden="1" x14ac:dyDescent="0.2">
      <c r="A16" s="12"/>
      <c r="B16" s="13" t="s">
        <v>125</v>
      </c>
      <c r="C16" s="17">
        <v>0</v>
      </c>
      <c r="D16" s="17">
        <f t="shared" ref="D16:N16" si="4">+C16</f>
        <v>0</v>
      </c>
      <c r="E16" s="17">
        <f t="shared" si="4"/>
        <v>0</v>
      </c>
      <c r="F16" s="17">
        <f t="shared" si="4"/>
        <v>0</v>
      </c>
      <c r="G16" s="17">
        <f t="shared" si="4"/>
        <v>0</v>
      </c>
      <c r="H16" s="17">
        <f t="shared" si="4"/>
        <v>0</v>
      </c>
      <c r="I16" s="17">
        <f t="shared" si="4"/>
        <v>0</v>
      </c>
      <c r="J16" s="17">
        <f t="shared" si="4"/>
        <v>0</v>
      </c>
      <c r="K16" s="17">
        <f t="shared" si="4"/>
        <v>0</v>
      </c>
      <c r="L16" s="17">
        <f t="shared" si="4"/>
        <v>0</v>
      </c>
      <c r="M16" s="17">
        <f t="shared" si="4"/>
        <v>0</v>
      </c>
      <c r="N16" s="17">
        <f t="shared" si="4"/>
        <v>0</v>
      </c>
      <c r="O16" s="18">
        <f t="shared" si="3"/>
        <v>0</v>
      </c>
    </row>
    <row r="17" spans="1:15" ht="15" hidden="1" x14ac:dyDescent="0.2">
      <c r="A17" s="12"/>
      <c r="B17" s="13" t="s">
        <v>126</v>
      </c>
      <c r="C17" s="17">
        <v>0</v>
      </c>
      <c r="D17" s="17">
        <v>0</v>
      </c>
      <c r="E17" s="17">
        <v>0</v>
      </c>
      <c r="F17" s="17">
        <v>0</v>
      </c>
      <c r="G17" s="17">
        <v>0</v>
      </c>
      <c r="H17" s="17">
        <v>0</v>
      </c>
      <c r="I17" s="17">
        <v>0</v>
      </c>
      <c r="J17" s="147">
        <v>0</v>
      </c>
      <c r="K17" s="147">
        <v>0</v>
      </c>
      <c r="L17" s="147">
        <v>0</v>
      </c>
      <c r="M17" s="147">
        <v>0</v>
      </c>
      <c r="N17" s="147">
        <v>0</v>
      </c>
      <c r="O17" s="18">
        <f t="shared" si="3"/>
        <v>0</v>
      </c>
    </row>
    <row r="18" spans="1:15" ht="15" x14ac:dyDescent="0.2">
      <c r="A18" s="12"/>
      <c r="B18" s="13" t="s">
        <v>224</v>
      </c>
      <c r="C18" s="17">
        <v>0</v>
      </c>
      <c r="D18" s="17">
        <v>0</v>
      </c>
      <c r="E18" s="17">
        <v>0</v>
      </c>
      <c r="F18" s="17">
        <v>0</v>
      </c>
      <c r="G18" s="17">
        <v>0</v>
      </c>
      <c r="H18" s="17">
        <v>0</v>
      </c>
      <c r="I18" s="17">
        <v>0</v>
      </c>
      <c r="J18" s="147">
        <v>0</v>
      </c>
      <c r="K18" s="147">
        <v>0</v>
      </c>
      <c r="L18" s="147">
        <v>0</v>
      </c>
      <c r="M18" s="147">
        <v>0</v>
      </c>
      <c r="N18" s="147">
        <v>0</v>
      </c>
      <c r="O18" s="18">
        <f t="shared" si="3"/>
        <v>0</v>
      </c>
    </row>
    <row r="19" spans="1:15" ht="15" x14ac:dyDescent="0.2">
      <c r="A19" s="12"/>
      <c r="B19" s="13" t="s">
        <v>128</v>
      </c>
      <c r="C19" s="147">
        <f t="shared" ref="C19:I19" si="5">ROUND((C9+C10)*30%,0)</f>
        <v>0</v>
      </c>
      <c r="D19" s="147">
        <f t="shared" si="5"/>
        <v>0</v>
      </c>
      <c r="E19" s="147">
        <f t="shared" si="5"/>
        <v>0</v>
      </c>
      <c r="F19" s="147">
        <f t="shared" si="5"/>
        <v>0</v>
      </c>
      <c r="G19" s="147">
        <f t="shared" si="5"/>
        <v>0</v>
      </c>
      <c r="H19" s="147">
        <f t="shared" si="5"/>
        <v>0</v>
      </c>
      <c r="I19" s="147">
        <f t="shared" si="5"/>
        <v>0</v>
      </c>
      <c r="J19" s="147">
        <f>ROUND((J9+J10)*30%,0)</f>
        <v>0</v>
      </c>
      <c r="K19" s="147">
        <f>ROUND((K9+K10)*30%,0)</f>
        <v>0</v>
      </c>
      <c r="L19" s="147">
        <f>ROUND((L9+L10)*30%,0)</f>
        <v>0</v>
      </c>
      <c r="M19" s="147">
        <f>ROUND((M9+M10)*30%,0)</f>
        <v>0</v>
      </c>
      <c r="N19" s="147">
        <f>ROUND((N9+N10)*30%,0)</f>
        <v>0</v>
      </c>
      <c r="O19" s="18">
        <f t="shared" si="3"/>
        <v>0</v>
      </c>
    </row>
    <row r="20" spans="1:15" ht="15" customHeight="1" x14ac:dyDescent="0.2">
      <c r="A20" s="12"/>
      <c r="B20" s="13" t="s">
        <v>129</v>
      </c>
      <c r="C20" s="28">
        <v>0</v>
      </c>
      <c r="D20" s="28">
        <v>0</v>
      </c>
      <c r="E20" s="28">
        <v>0</v>
      </c>
      <c r="F20" s="28">
        <v>0</v>
      </c>
      <c r="G20" s="28">
        <v>0</v>
      </c>
      <c r="H20" s="28">
        <v>0</v>
      </c>
      <c r="I20" s="28">
        <v>0</v>
      </c>
      <c r="J20" s="28">
        <v>0</v>
      </c>
      <c r="K20" s="28">
        <v>0</v>
      </c>
      <c r="L20" s="28">
        <v>0</v>
      </c>
      <c r="M20" s="28">
        <v>0</v>
      </c>
      <c r="N20" s="28">
        <v>0</v>
      </c>
      <c r="O20" s="18">
        <f t="shared" si="3"/>
        <v>0</v>
      </c>
    </row>
    <row r="21" spans="1:15" ht="15" hidden="1" customHeight="1" x14ac:dyDescent="0.2">
      <c r="A21" s="878" t="s">
        <v>130</v>
      </c>
      <c r="B21" s="19" t="s">
        <v>131</v>
      </c>
      <c r="C21" s="28">
        <v>0</v>
      </c>
      <c r="D21" s="28">
        <v>0</v>
      </c>
      <c r="E21" s="28">
        <v>0</v>
      </c>
      <c r="F21" s="28">
        <v>0</v>
      </c>
      <c r="G21" s="28">
        <v>0</v>
      </c>
      <c r="H21" s="28">
        <v>0</v>
      </c>
      <c r="I21" s="28">
        <v>0</v>
      </c>
      <c r="J21" s="28">
        <v>0</v>
      </c>
      <c r="K21" s="28">
        <v>0</v>
      </c>
      <c r="L21" s="28">
        <v>0</v>
      </c>
      <c r="M21" s="28">
        <v>0</v>
      </c>
      <c r="N21" s="28">
        <v>0</v>
      </c>
      <c r="O21" s="18">
        <f t="shared" si="3"/>
        <v>0</v>
      </c>
    </row>
    <row r="22" spans="1:15" ht="15" customHeight="1" x14ac:dyDescent="0.2">
      <c r="A22" s="879"/>
      <c r="B22" s="19" t="s">
        <v>132</v>
      </c>
      <c r="C22" s="28">
        <v>0</v>
      </c>
      <c r="D22" s="28">
        <v>0</v>
      </c>
      <c r="E22" s="28">
        <v>0</v>
      </c>
      <c r="F22" s="28">
        <v>0</v>
      </c>
      <c r="G22" s="28">
        <v>0</v>
      </c>
      <c r="H22" s="28">
        <v>0</v>
      </c>
      <c r="I22" s="28">
        <v>0</v>
      </c>
      <c r="J22" s="28">
        <v>0</v>
      </c>
      <c r="K22" s="28">
        <v>0</v>
      </c>
      <c r="L22" s="28">
        <v>0</v>
      </c>
      <c r="M22" s="28">
        <v>0</v>
      </c>
      <c r="N22" s="28">
        <v>0</v>
      </c>
      <c r="O22" s="18">
        <f t="shared" si="3"/>
        <v>0</v>
      </c>
    </row>
    <row r="23" spans="1:15" ht="15" hidden="1" customHeight="1" x14ac:dyDescent="0.2">
      <c r="A23" s="879"/>
      <c r="B23" s="19" t="s">
        <v>133</v>
      </c>
      <c r="C23" s="28">
        <v>0</v>
      </c>
      <c r="D23" s="28">
        <v>0</v>
      </c>
      <c r="E23" s="28">
        <v>0</v>
      </c>
      <c r="F23" s="28">
        <v>0</v>
      </c>
      <c r="G23" s="28">
        <v>0</v>
      </c>
      <c r="H23" s="28">
        <v>0</v>
      </c>
      <c r="I23" s="28">
        <v>0</v>
      </c>
      <c r="J23" s="28">
        <v>0</v>
      </c>
      <c r="K23" s="28">
        <v>0</v>
      </c>
      <c r="L23" s="28">
        <v>0</v>
      </c>
      <c r="M23" s="28">
        <v>0</v>
      </c>
      <c r="N23" s="28">
        <v>0</v>
      </c>
      <c r="O23" s="18">
        <f t="shared" si="3"/>
        <v>0</v>
      </c>
    </row>
    <row r="24" spans="1:15" ht="15" hidden="1" customHeight="1" x14ac:dyDescent="0.2">
      <c r="A24" s="879"/>
      <c r="B24" s="19" t="s">
        <v>134</v>
      </c>
      <c r="C24" s="28">
        <v>0</v>
      </c>
      <c r="D24" s="28">
        <v>0</v>
      </c>
      <c r="E24" s="28">
        <v>0</v>
      </c>
      <c r="F24" s="28">
        <v>0</v>
      </c>
      <c r="G24" s="28">
        <v>0</v>
      </c>
      <c r="H24" s="28">
        <v>0</v>
      </c>
      <c r="I24" s="28">
        <v>0</v>
      </c>
      <c r="J24" s="28">
        <v>0</v>
      </c>
      <c r="K24" s="28">
        <v>0</v>
      </c>
      <c r="L24" s="28">
        <v>0</v>
      </c>
      <c r="M24" s="28">
        <v>0</v>
      </c>
      <c r="N24" s="28">
        <v>0</v>
      </c>
      <c r="O24" s="18">
        <f t="shared" si="3"/>
        <v>0</v>
      </c>
    </row>
    <row r="25" spans="1:15" ht="15" hidden="1" customHeight="1" x14ac:dyDescent="0.2">
      <c r="A25" s="879"/>
      <c r="B25" s="19" t="s">
        <v>135</v>
      </c>
      <c r="C25" s="28">
        <v>0</v>
      </c>
      <c r="D25" s="28">
        <v>0</v>
      </c>
      <c r="E25" s="28">
        <v>0</v>
      </c>
      <c r="F25" s="28">
        <v>0</v>
      </c>
      <c r="G25" s="28">
        <v>0</v>
      </c>
      <c r="H25" s="28">
        <v>0</v>
      </c>
      <c r="I25" s="28">
        <v>0</v>
      </c>
      <c r="J25" s="28">
        <v>0</v>
      </c>
      <c r="K25" s="28">
        <v>0</v>
      </c>
      <c r="L25" s="28">
        <v>0</v>
      </c>
      <c r="M25" s="28">
        <v>0</v>
      </c>
      <c r="N25" s="28">
        <v>0</v>
      </c>
      <c r="O25" s="18">
        <f t="shared" si="3"/>
        <v>0</v>
      </c>
    </row>
    <row r="26" spans="1:15" ht="15" hidden="1" customHeight="1" x14ac:dyDescent="0.2">
      <c r="A26" s="879"/>
      <c r="B26" s="19" t="s">
        <v>136</v>
      </c>
      <c r="C26" s="28">
        <v>0</v>
      </c>
      <c r="D26" s="28">
        <v>0</v>
      </c>
      <c r="E26" s="28">
        <v>0</v>
      </c>
      <c r="F26" s="28">
        <v>0</v>
      </c>
      <c r="G26" s="28">
        <v>0</v>
      </c>
      <c r="H26" s="28">
        <v>0</v>
      </c>
      <c r="I26" s="28">
        <v>0</v>
      </c>
      <c r="J26" s="28">
        <v>0</v>
      </c>
      <c r="K26" s="28">
        <v>0</v>
      </c>
      <c r="L26" s="28">
        <v>0</v>
      </c>
      <c r="M26" s="28">
        <v>0</v>
      </c>
      <c r="N26" s="28">
        <v>0</v>
      </c>
      <c r="O26" s="18">
        <f t="shared" si="3"/>
        <v>0</v>
      </c>
    </row>
    <row r="27" spans="1:15" ht="15" hidden="1" customHeight="1" x14ac:dyDescent="0.2">
      <c r="A27" s="879"/>
      <c r="B27" s="19" t="s">
        <v>137</v>
      </c>
      <c r="C27" s="28">
        <v>0</v>
      </c>
      <c r="D27" s="28">
        <v>0</v>
      </c>
      <c r="E27" s="28">
        <v>0</v>
      </c>
      <c r="F27" s="28">
        <v>0</v>
      </c>
      <c r="G27" s="28">
        <v>0</v>
      </c>
      <c r="H27" s="28">
        <v>0</v>
      </c>
      <c r="I27" s="28">
        <v>0</v>
      </c>
      <c r="J27" s="28">
        <v>0</v>
      </c>
      <c r="K27" s="28">
        <v>0</v>
      </c>
      <c r="L27" s="28">
        <v>0</v>
      </c>
      <c r="M27" s="28">
        <v>0</v>
      </c>
      <c r="N27" s="28">
        <v>0</v>
      </c>
      <c r="O27" s="18">
        <f t="shared" si="3"/>
        <v>0</v>
      </c>
    </row>
    <row r="28" spans="1:15" ht="15" hidden="1" customHeight="1" x14ac:dyDescent="0.2">
      <c r="A28" s="879"/>
      <c r="B28" s="19" t="s">
        <v>138</v>
      </c>
      <c r="C28" s="28">
        <v>0</v>
      </c>
      <c r="D28" s="28">
        <v>0</v>
      </c>
      <c r="E28" s="28">
        <v>0</v>
      </c>
      <c r="F28" s="28">
        <v>0</v>
      </c>
      <c r="G28" s="28">
        <v>0</v>
      </c>
      <c r="H28" s="28">
        <v>0</v>
      </c>
      <c r="I28" s="28">
        <v>0</v>
      </c>
      <c r="J28" s="28">
        <v>0</v>
      </c>
      <c r="K28" s="28">
        <v>0</v>
      </c>
      <c r="L28" s="28">
        <v>0</v>
      </c>
      <c r="M28" s="28">
        <v>0</v>
      </c>
      <c r="N28" s="28">
        <v>0</v>
      </c>
      <c r="O28" s="18">
        <f t="shared" si="3"/>
        <v>0</v>
      </c>
    </row>
    <row r="29" spans="1:15" ht="15" hidden="1" customHeight="1" x14ac:dyDescent="0.2">
      <c r="A29" s="879"/>
      <c r="B29" s="19" t="s">
        <v>139</v>
      </c>
      <c r="C29" s="28">
        <v>0</v>
      </c>
      <c r="D29" s="28">
        <v>0</v>
      </c>
      <c r="E29" s="28">
        <v>0</v>
      </c>
      <c r="F29" s="28">
        <v>0</v>
      </c>
      <c r="G29" s="28">
        <v>0</v>
      </c>
      <c r="H29" s="28">
        <v>0</v>
      </c>
      <c r="I29" s="28">
        <v>0</v>
      </c>
      <c r="J29" s="28">
        <v>0</v>
      </c>
      <c r="K29" s="28">
        <v>0</v>
      </c>
      <c r="L29" s="28">
        <v>0</v>
      </c>
      <c r="M29" s="28">
        <v>0</v>
      </c>
      <c r="N29" s="28">
        <v>0</v>
      </c>
      <c r="O29" s="18">
        <f t="shared" si="3"/>
        <v>0</v>
      </c>
    </row>
    <row r="30" spans="1:15" ht="15" hidden="1" customHeight="1" x14ac:dyDescent="0.2">
      <c r="A30" s="879"/>
      <c r="B30" s="19" t="s">
        <v>140</v>
      </c>
      <c r="C30" s="28">
        <v>0</v>
      </c>
      <c r="D30" s="28">
        <v>0</v>
      </c>
      <c r="E30" s="28">
        <v>0</v>
      </c>
      <c r="F30" s="28">
        <v>0</v>
      </c>
      <c r="G30" s="28">
        <v>0</v>
      </c>
      <c r="H30" s="28">
        <v>0</v>
      </c>
      <c r="I30" s="28">
        <v>0</v>
      </c>
      <c r="J30" s="28">
        <v>0</v>
      </c>
      <c r="K30" s="28">
        <v>0</v>
      </c>
      <c r="L30" s="28">
        <v>0</v>
      </c>
      <c r="M30" s="28">
        <v>0</v>
      </c>
      <c r="N30" s="28">
        <v>0</v>
      </c>
      <c r="O30" s="18">
        <f t="shared" si="3"/>
        <v>0</v>
      </c>
    </row>
    <row r="31" spans="1:15" ht="15" hidden="1" customHeight="1" x14ac:dyDescent="0.2">
      <c r="A31" s="879"/>
      <c r="B31" s="19" t="s">
        <v>225</v>
      </c>
      <c r="C31" s="28">
        <v>0</v>
      </c>
      <c r="D31" s="28">
        <v>0</v>
      </c>
      <c r="E31" s="28">
        <v>0</v>
      </c>
      <c r="F31" s="28">
        <v>0</v>
      </c>
      <c r="G31" s="28">
        <v>0</v>
      </c>
      <c r="H31" s="28">
        <v>0</v>
      </c>
      <c r="I31" s="28">
        <v>0</v>
      </c>
      <c r="J31" s="28">
        <v>0</v>
      </c>
      <c r="K31" s="28">
        <v>0</v>
      </c>
      <c r="L31" s="28">
        <v>0</v>
      </c>
      <c r="M31" s="28">
        <v>0</v>
      </c>
      <c r="N31" s="28">
        <v>0</v>
      </c>
      <c r="O31" s="18">
        <f t="shared" si="3"/>
        <v>0</v>
      </c>
    </row>
    <row r="32" spans="1:15" ht="15" customHeight="1" x14ac:dyDescent="0.2">
      <c r="A32" s="879"/>
      <c r="B32" s="21" t="s">
        <v>142</v>
      </c>
      <c r="C32" s="28">
        <v>0</v>
      </c>
      <c r="D32" s="28">
        <v>0</v>
      </c>
      <c r="E32" s="28">
        <v>0</v>
      </c>
      <c r="F32" s="28">
        <v>0</v>
      </c>
      <c r="G32" s="28">
        <v>0</v>
      </c>
      <c r="H32" s="28">
        <v>0</v>
      </c>
      <c r="I32" s="28">
        <v>0</v>
      </c>
      <c r="J32" s="28">
        <v>0</v>
      </c>
      <c r="K32" s="28">
        <v>0</v>
      </c>
      <c r="L32" s="28">
        <v>0</v>
      </c>
      <c r="M32" s="28">
        <v>0</v>
      </c>
      <c r="N32" s="28">
        <v>0</v>
      </c>
      <c r="O32" s="18">
        <f t="shared" si="3"/>
        <v>0</v>
      </c>
    </row>
    <row r="33" spans="1:17" ht="15" hidden="1" customHeight="1" x14ac:dyDescent="0.2">
      <c r="A33" s="880"/>
      <c r="B33" s="19" t="s">
        <v>226</v>
      </c>
      <c r="C33" s="28">
        <v>0</v>
      </c>
      <c r="D33" s="28">
        <v>0</v>
      </c>
      <c r="E33" s="28">
        <v>0</v>
      </c>
      <c r="F33" s="28">
        <v>0</v>
      </c>
      <c r="G33" s="28">
        <v>0</v>
      </c>
      <c r="H33" s="28">
        <v>0</v>
      </c>
      <c r="I33" s="28">
        <v>0</v>
      </c>
      <c r="J33" s="28">
        <v>0</v>
      </c>
      <c r="K33" s="28">
        <v>0</v>
      </c>
      <c r="L33" s="28">
        <v>0</v>
      </c>
      <c r="M33" s="28">
        <v>0</v>
      </c>
      <c r="N33" s="28">
        <v>0</v>
      </c>
      <c r="O33" s="18">
        <f t="shared" si="3"/>
        <v>0</v>
      </c>
    </row>
    <row r="34" spans="1:17" ht="15" customHeight="1" x14ac:dyDescent="0.2">
      <c r="A34" s="865" t="s">
        <v>144</v>
      </c>
      <c r="B34" s="866"/>
      <c r="C34" s="28">
        <v>0</v>
      </c>
      <c r="D34" s="28">
        <v>0</v>
      </c>
      <c r="E34" s="28">
        <v>0</v>
      </c>
      <c r="F34" s="28">
        <v>0</v>
      </c>
      <c r="G34" s="28">
        <v>0</v>
      </c>
      <c r="H34" s="28">
        <v>0</v>
      </c>
      <c r="I34" s="28">
        <v>0</v>
      </c>
      <c r="J34" s="28">
        <v>0</v>
      </c>
      <c r="K34" s="28">
        <v>0</v>
      </c>
      <c r="L34" s="28">
        <v>0</v>
      </c>
      <c r="M34" s="28">
        <v>0</v>
      </c>
      <c r="N34" s="28">
        <v>0</v>
      </c>
      <c r="O34" s="18">
        <f t="shared" si="3"/>
        <v>0</v>
      </c>
    </row>
    <row r="35" spans="1:17" ht="15" customHeight="1" x14ac:dyDescent="0.2">
      <c r="A35" s="865" t="s">
        <v>145</v>
      </c>
      <c r="B35" s="866"/>
      <c r="C35" s="28">
        <v>0</v>
      </c>
      <c r="D35" s="28">
        <v>0</v>
      </c>
      <c r="E35" s="28">
        <v>0</v>
      </c>
      <c r="F35" s="28">
        <v>0</v>
      </c>
      <c r="G35" s="28">
        <v>0</v>
      </c>
      <c r="H35" s="28">
        <v>0</v>
      </c>
      <c r="I35" s="28">
        <v>0</v>
      </c>
      <c r="J35" s="28">
        <v>0</v>
      </c>
      <c r="K35" s="28">
        <v>0</v>
      </c>
      <c r="L35" s="28">
        <v>0</v>
      </c>
      <c r="M35" s="28">
        <v>0</v>
      </c>
      <c r="N35" s="28">
        <v>0</v>
      </c>
      <c r="O35" s="18">
        <f t="shared" si="3"/>
        <v>0</v>
      </c>
    </row>
    <row r="36" spans="1:17" ht="15" customHeight="1" x14ac:dyDescent="0.2">
      <c r="A36" s="865" t="s">
        <v>146</v>
      </c>
      <c r="B36" s="866"/>
      <c r="C36" s="28">
        <v>0</v>
      </c>
      <c r="D36" s="28">
        <v>0</v>
      </c>
      <c r="E36" s="28">
        <v>0</v>
      </c>
      <c r="F36" s="28">
        <v>0</v>
      </c>
      <c r="G36" s="28">
        <v>0</v>
      </c>
      <c r="H36" s="28">
        <v>0</v>
      </c>
      <c r="I36" s="28">
        <v>0</v>
      </c>
      <c r="J36" s="28">
        <v>0</v>
      </c>
      <c r="K36" s="28">
        <v>0</v>
      </c>
      <c r="L36" s="28">
        <v>0</v>
      </c>
      <c r="M36" s="28">
        <v>0</v>
      </c>
      <c r="N36" s="28">
        <v>0</v>
      </c>
      <c r="O36" s="18">
        <f t="shared" si="3"/>
        <v>0</v>
      </c>
    </row>
    <row r="37" spans="1:17" ht="15" customHeight="1" x14ac:dyDescent="0.2">
      <c r="A37" s="22"/>
      <c r="B37" s="23" t="s">
        <v>147</v>
      </c>
      <c r="C37" s="24">
        <f t="shared" ref="C37:N37" si="6">SUM(C9:C36)</f>
        <v>0</v>
      </c>
      <c r="D37" s="24">
        <f t="shared" si="6"/>
        <v>0</v>
      </c>
      <c r="E37" s="24">
        <f t="shared" si="6"/>
        <v>0</v>
      </c>
      <c r="F37" s="24">
        <f t="shared" si="6"/>
        <v>0</v>
      </c>
      <c r="G37" s="24">
        <f t="shared" si="6"/>
        <v>0</v>
      </c>
      <c r="H37" s="24">
        <f t="shared" si="6"/>
        <v>0</v>
      </c>
      <c r="I37" s="24">
        <f t="shared" si="6"/>
        <v>0</v>
      </c>
      <c r="J37" s="24">
        <f t="shared" si="6"/>
        <v>0</v>
      </c>
      <c r="K37" s="24">
        <f t="shared" si="6"/>
        <v>0</v>
      </c>
      <c r="L37" s="24">
        <f t="shared" si="6"/>
        <v>0</v>
      </c>
      <c r="M37" s="24">
        <f t="shared" si="6"/>
        <v>0</v>
      </c>
      <c r="N37" s="24">
        <f t="shared" si="6"/>
        <v>0</v>
      </c>
      <c r="O37" s="25">
        <f>SUM(C37:N37)</f>
        <v>0</v>
      </c>
      <c r="Q37" s="16">
        <f>44687*2+7156+46476+30000+46476+47799*3+6897+3454+50098*5+2000</f>
        <v>625720</v>
      </c>
    </row>
    <row r="38" spans="1:17" ht="15" customHeight="1" x14ac:dyDescent="0.2">
      <c r="A38" s="853" t="s">
        <v>148</v>
      </c>
      <c r="B38" s="27" t="s">
        <v>149</v>
      </c>
      <c r="C38" s="147">
        <v>0</v>
      </c>
      <c r="D38" s="147">
        <v>0</v>
      </c>
      <c r="E38" s="147">
        <v>0</v>
      </c>
      <c r="F38" s="147">
        <v>0</v>
      </c>
      <c r="G38" s="147">
        <v>0</v>
      </c>
      <c r="H38" s="147">
        <v>0</v>
      </c>
      <c r="I38" s="147">
        <v>0</v>
      </c>
      <c r="J38" s="147">
        <v>0</v>
      </c>
      <c r="K38" s="147">
        <v>0</v>
      </c>
      <c r="L38" s="147">
        <v>0</v>
      </c>
      <c r="M38" s="147">
        <v>0</v>
      </c>
      <c r="N38" s="147">
        <v>0</v>
      </c>
      <c r="O38" s="18">
        <f>SUM(C38:N38)</f>
        <v>0</v>
      </c>
      <c r="P38" s="29" t="s">
        <v>524</v>
      </c>
    </row>
    <row r="39" spans="1:17" ht="15" x14ac:dyDescent="0.2">
      <c r="A39" s="854"/>
      <c r="B39" s="27" t="s">
        <v>150</v>
      </c>
      <c r="C39" s="147">
        <v>0</v>
      </c>
      <c r="D39" s="147">
        <v>0</v>
      </c>
      <c r="E39" s="147">
        <v>0</v>
      </c>
      <c r="F39" s="147">
        <v>0</v>
      </c>
      <c r="G39" s="147">
        <v>0</v>
      </c>
      <c r="H39" s="147">
        <v>0</v>
      </c>
      <c r="I39" s="147">
        <v>0</v>
      </c>
      <c r="J39" s="147">
        <v>0</v>
      </c>
      <c r="K39" s="147">
        <v>0</v>
      </c>
      <c r="L39" s="147">
        <v>0</v>
      </c>
      <c r="M39" s="147">
        <v>0</v>
      </c>
      <c r="N39" s="147">
        <v>0</v>
      </c>
      <c r="O39" s="18">
        <f>SUM(C39:N39)</f>
        <v>0</v>
      </c>
    </row>
    <row r="40" spans="1:17" ht="15" x14ac:dyDescent="0.2">
      <c r="A40" s="854"/>
      <c r="B40" s="27" t="s">
        <v>151</v>
      </c>
      <c r="C40" s="147">
        <v>0</v>
      </c>
      <c r="D40" s="147">
        <v>0</v>
      </c>
      <c r="E40" s="147">
        <v>0</v>
      </c>
      <c r="F40" s="147">
        <v>0</v>
      </c>
      <c r="G40" s="147">
        <v>0</v>
      </c>
      <c r="H40" s="147">
        <v>0</v>
      </c>
      <c r="I40" s="147">
        <v>0</v>
      </c>
      <c r="J40" s="147">
        <v>0</v>
      </c>
      <c r="K40" s="147">
        <v>0</v>
      </c>
      <c r="L40" s="147">
        <v>0</v>
      </c>
      <c r="M40" s="147">
        <v>0</v>
      </c>
      <c r="N40" s="147">
        <v>0</v>
      </c>
      <c r="O40" s="18">
        <f t="shared" ref="O40:O50" si="7">SUM(C40:N40)</f>
        <v>0</v>
      </c>
    </row>
    <row r="41" spans="1:17" ht="15" x14ac:dyDescent="0.2">
      <c r="A41" s="854"/>
      <c r="B41" s="27" t="s">
        <v>152</v>
      </c>
      <c r="C41" s="147">
        <v>0</v>
      </c>
      <c r="D41" s="147">
        <f t="shared" ref="D41:N48" si="8">C41</f>
        <v>0</v>
      </c>
      <c r="E41" s="147">
        <f t="shared" si="8"/>
        <v>0</v>
      </c>
      <c r="F41" s="147">
        <f t="shared" si="8"/>
        <v>0</v>
      </c>
      <c r="G41" s="147">
        <f t="shared" si="8"/>
        <v>0</v>
      </c>
      <c r="H41" s="147">
        <f t="shared" si="8"/>
        <v>0</v>
      </c>
      <c r="I41" s="147">
        <f t="shared" si="8"/>
        <v>0</v>
      </c>
      <c r="J41" s="147">
        <f t="shared" ref="J41:J48" si="9">+I41</f>
        <v>0</v>
      </c>
      <c r="K41" s="147">
        <f t="shared" si="8"/>
        <v>0</v>
      </c>
      <c r="L41" s="147">
        <f t="shared" si="8"/>
        <v>0</v>
      </c>
      <c r="M41" s="147">
        <f t="shared" si="8"/>
        <v>0</v>
      </c>
      <c r="N41" s="147">
        <f t="shared" si="8"/>
        <v>0</v>
      </c>
      <c r="O41" s="18">
        <f t="shared" si="7"/>
        <v>0</v>
      </c>
    </row>
    <row r="42" spans="1:17" ht="15" x14ac:dyDescent="0.2">
      <c r="A42" s="854"/>
      <c r="B42" s="27" t="s">
        <v>153</v>
      </c>
      <c r="C42" s="28">
        <v>0</v>
      </c>
      <c r="D42" s="28">
        <f t="shared" si="8"/>
        <v>0</v>
      </c>
      <c r="E42" s="28">
        <f t="shared" si="8"/>
        <v>0</v>
      </c>
      <c r="F42" s="28">
        <f t="shared" si="8"/>
        <v>0</v>
      </c>
      <c r="G42" s="28">
        <f t="shared" si="8"/>
        <v>0</v>
      </c>
      <c r="H42" s="28">
        <f t="shared" si="8"/>
        <v>0</v>
      </c>
      <c r="I42" s="28">
        <f t="shared" si="8"/>
        <v>0</v>
      </c>
      <c r="J42" s="28">
        <f t="shared" si="9"/>
        <v>0</v>
      </c>
      <c r="K42" s="28">
        <f t="shared" si="8"/>
        <v>0</v>
      </c>
      <c r="L42" s="28">
        <f t="shared" si="8"/>
        <v>0</v>
      </c>
      <c r="M42" s="28">
        <f t="shared" si="8"/>
        <v>0</v>
      </c>
      <c r="N42" s="28">
        <f t="shared" si="8"/>
        <v>0</v>
      </c>
      <c r="O42" s="18">
        <f t="shared" si="7"/>
        <v>0</v>
      </c>
    </row>
    <row r="43" spans="1:17" ht="15" x14ac:dyDescent="0.2">
      <c r="A43" s="854"/>
      <c r="B43" s="27" t="s">
        <v>154</v>
      </c>
      <c r="C43" s="28">
        <v>0</v>
      </c>
      <c r="D43" s="28">
        <f t="shared" si="8"/>
        <v>0</v>
      </c>
      <c r="E43" s="28">
        <f t="shared" si="8"/>
        <v>0</v>
      </c>
      <c r="F43" s="28">
        <v>0</v>
      </c>
      <c r="G43" s="28">
        <v>0</v>
      </c>
      <c r="H43" s="28">
        <v>0</v>
      </c>
      <c r="I43" s="28">
        <v>0</v>
      </c>
      <c r="J43" s="28">
        <f t="shared" si="9"/>
        <v>0</v>
      </c>
      <c r="K43" s="28">
        <f t="shared" si="8"/>
        <v>0</v>
      </c>
      <c r="L43" s="28">
        <f t="shared" si="8"/>
        <v>0</v>
      </c>
      <c r="M43" s="28">
        <f t="shared" si="8"/>
        <v>0</v>
      </c>
      <c r="N43" s="28">
        <f t="shared" si="8"/>
        <v>0</v>
      </c>
      <c r="O43" s="18">
        <f t="shared" si="7"/>
        <v>0</v>
      </c>
    </row>
    <row r="44" spans="1:17" ht="15" x14ac:dyDescent="0.2">
      <c r="A44" s="854"/>
      <c r="B44" s="27" t="s">
        <v>155</v>
      </c>
      <c r="C44" s="28">
        <v>0</v>
      </c>
      <c r="D44" s="28">
        <f t="shared" si="8"/>
        <v>0</v>
      </c>
      <c r="E44" s="28">
        <f t="shared" si="8"/>
        <v>0</v>
      </c>
      <c r="F44" s="28">
        <v>0</v>
      </c>
      <c r="G44" s="28">
        <v>0</v>
      </c>
      <c r="H44" s="28">
        <f t="shared" si="8"/>
        <v>0</v>
      </c>
      <c r="I44" s="28">
        <f t="shared" si="8"/>
        <v>0</v>
      </c>
      <c r="J44" s="28">
        <f t="shared" si="9"/>
        <v>0</v>
      </c>
      <c r="K44" s="28">
        <f t="shared" si="8"/>
        <v>0</v>
      </c>
      <c r="L44" s="28">
        <f t="shared" si="8"/>
        <v>0</v>
      </c>
      <c r="M44" s="28">
        <f t="shared" si="8"/>
        <v>0</v>
      </c>
      <c r="N44" s="28">
        <v>0</v>
      </c>
      <c r="O44" s="18">
        <f t="shared" si="7"/>
        <v>0</v>
      </c>
    </row>
    <row r="45" spans="1:17" ht="15" x14ac:dyDescent="0.2">
      <c r="A45" s="854"/>
      <c r="B45" s="27" t="s">
        <v>156</v>
      </c>
      <c r="C45" s="28">
        <v>0</v>
      </c>
      <c r="D45" s="28">
        <f t="shared" si="8"/>
        <v>0</v>
      </c>
      <c r="E45" s="28">
        <f t="shared" si="8"/>
        <v>0</v>
      </c>
      <c r="F45" s="28">
        <f t="shared" si="8"/>
        <v>0</v>
      </c>
      <c r="G45" s="28">
        <f t="shared" si="8"/>
        <v>0</v>
      </c>
      <c r="H45" s="28">
        <f t="shared" si="8"/>
        <v>0</v>
      </c>
      <c r="I45" s="28">
        <f t="shared" si="8"/>
        <v>0</v>
      </c>
      <c r="J45" s="28">
        <f t="shared" si="9"/>
        <v>0</v>
      </c>
      <c r="K45" s="28">
        <f t="shared" si="8"/>
        <v>0</v>
      </c>
      <c r="L45" s="28">
        <f t="shared" si="8"/>
        <v>0</v>
      </c>
      <c r="M45" s="28">
        <f t="shared" si="8"/>
        <v>0</v>
      </c>
      <c r="N45" s="28">
        <f t="shared" si="8"/>
        <v>0</v>
      </c>
      <c r="O45" s="18">
        <f t="shared" si="7"/>
        <v>0</v>
      </c>
    </row>
    <row r="46" spans="1:17" ht="15" x14ac:dyDescent="0.2">
      <c r="A46" s="854"/>
      <c r="B46" s="27" t="s">
        <v>157</v>
      </c>
      <c r="C46" s="28">
        <v>0</v>
      </c>
      <c r="D46" s="28">
        <f t="shared" si="8"/>
        <v>0</v>
      </c>
      <c r="E46" s="28">
        <f t="shared" si="8"/>
        <v>0</v>
      </c>
      <c r="F46" s="28">
        <f t="shared" si="8"/>
        <v>0</v>
      </c>
      <c r="G46" s="28">
        <f t="shared" si="8"/>
        <v>0</v>
      </c>
      <c r="H46" s="28">
        <f t="shared" si="8"/>
        <v>0</v>
      </c>
      <c r="I46" s="28">
        <f t="shared" si="8"/>
        <v>0</v>
      </c>
      <c r="J46" s="28">
        <f t="shared" si="9"/>
        <v>0</v>
      </c>
      <c r="K46" s="28">
        <f t="shared" si="8"/>
        <v>0</v>
      </c>
      <c r="L46" s="28">
        <f t="shared" si="8"/>
        <v>0</v>
      </c>
      <c r="M46" s="28">
        <f t="shared" si="8"/>
        <v>0</v>
      </c>
      <c r="N46" s="28">
        <f t="shared" si="8"/>
        <v>0</v>
      </c>
      <c r="O46" s="18">
        <f t="shared" si="7"/>
        <v>0</v>
      </c>
    </row>
    <row r="47" spans="1:17" ht="28.5" customHeight="1" x14ac:dyDescent="0.2">
      <c r="A47" s="855"/>
      <c r="B47" s="30" t="s">
        <v>158</v>
      </c>
      <c r="C47" s="256">
        <v>0</v>
      </c>
      <c r="D47" s="256">
        <v>0</v>
      </c>
      <c r="E47" s="256">
        <v>0</v>
      </c>
      <c r="F47" s="256">
        <v>0</v>
      </c>
      <c r="G47" s="256">
        <f t="shared" si="8"/>
        <v>0</v>
      </c>
      <c r="H47" s="256">
        <f t="shared" si="8"/>
        <v>0</v>
      </c>
      <c r="I47" s="256">
        <f t="shared" si="8"/>
        <v>0</v>
      </c>
      <c r="J47" s="256">
        <f t="shared" si="9"/>
        <v>0</v>
      </c>
      <c r="K47" s="256">
        <f t="shared" si="8"/>
        <v>0</v>
      </c>
      <c r="L47" s="256">
        <f t="shared" si="8"/>
        <v>0</v>
      </c>
      <c r="M47" s="256">
        <f t="shared" si="8"/>
        <v>0</v>
      </c>
      <c r="N47" s="256">
        <f t="shared" si="8"/>
        <v>0</v>
      </c>
      <c r="O47" s="31">
        <f t="shared" si="7"/>
        <v>0</v>
      </c>
    </row>
    <row r="48" spans="1:17" ht="15" x14ac:dyDescent="0.2">
      <c r="A48" s="856"/>
      <c r="B48" s="127" t="s">
        <v>479</v>
      </c>
      <c r="C48" s="293">
        <v>0</v>
      </c>
      <c r="D48" s="293">
        <f t="shared" si="8"/>
        <v>0</v>
      </c>
      <c r="E48" s="293">
        <v>0</v>
      </c>
      <c r="F48" s="293">
        <v>0</v>
      </c>
      <c r="G48" s="293">
        <f t="shared" si="8"/>
        <v>0</v>
      </c>
      <c r="H48" s="293">
        <f t="shared" si="8"/>
        <v>0</v>
      </c>
      <c r="I48" s="293">
        <f t="shared" si="8"/>
        <v>0</v>
      </c>
      <c r="J48" s="293">
        <f t="shared" si="9"/>
        <v>0</v>
      </c>
      <c r="K48" s="293">
        <f>+J48</f>
        <v>0</v>
      </c>
      <c r="L48" s="293">
        <f>+K48</f>
        <v>0</v>
      </c>
      <c r="M48" s="293">
        <f>+L48</f>
        <v>0</v>
      </c>
      <c r="N48" s="293">
        <f>+M48</f>
        <v>0</v>
      </c>
      <c r="O48" s="31">
        <f t="shared" si="7"/>
        <v>0</v>
      </c>
    </row>
    <row r="49" spans="1:18" ht="15" x14ac:dyDescent="0.2">
      <c r="A49" s="857" t="s">
        <v>160</v>
      </c>
      <c r="B49" s="858"/>
      <c r="C49" s="33">
        <f t="shared" ref="C49:N49" si="10">SUM(C38:C48)</f>
        <v>0</v>
      </c>
      <c r="D49" s="33">
        <f t="shared" si="10"/>
        <v>0</v>
      </c>
      <c r="E49" s="33">
        <f t="shared" si="10"/>
        <v>0</v>
      </c>
      <c r="F49" s="33">
        <f t="shared" si="10"/>
        <v>0</v>
      </c>
      <c r="G49" s="33">
        <f t="shared" si="10"/>
        <v>0</v>
      </c>
      <c r="H49" s="33">
        <f t="shared" si="10"/>
        <v>0</v>
      </c>
      <c r="I49" s="33">
        <f t="shared" si="10"/>
        <v>0</v>
      </c>
      <c r="J49" s="33">
        <f t="shared" si="10"/>
        <v>0</v>
      </c>
      <c r="K49" s="33">
        <f t="shared" si="10"/>
        <v>0</v>
      </c>
      <c r="L49" s="33">
        <f t="shared" si="10"/>
        <v>0</v>
      </c>
      <c r="M49" s="33">
        <f t="shared" si="10"/>
        <v>0</v>
      </c>
      <c r="N49" s="33">
        <f t="shared" si="10"/>
        <v>0</v>
      </c>
      <c r="O49" s="34">
        <f t="shared" si="7"/>
        <v>0</v>
      </c>
    </row>
    <row r="50" spans="1:18" ht="15.75" thickBot="1" x14ac:dyDescent="0.25">
      <c r="A50" s="859" t="s">
        <v>161</v>
      </c>
      <c r="B50" s="860"/>
      <c r="C50" s="35">
        <f t="shared" ref="C50:N50" si="11">C37-C49</f>
        <v>0</v>
      </c>
      <c r="D50" s="35">
        <f t="shared" si="11"/>
        <v>0</v>
      </c>
      <c r="E50" s="35">
        <f t="shared" si="11"/>
        <v>0</v>
      </c>
      <c r="F50" s="35">
        <f t="shared" si="11"/>
        <v>0</v>
      </c>
      <c r="G50" s="35">
        <f t="shared" si="11"/>
        <v>0</v>
      </c>
      <c r="H50" s="35">
        <f t="shared" si="11"/>
        <v>0</v>
      </c>
      <c r="I50" s="35">
        <f t="shared" si="11"/>
        <v>0</v>
      </c>
      <c r="J50" s="35">
        <f t="shared" si="11"/>
        <v>0</v>
      </c>
      <c r="K50" s="35">
        <f t="shared" si="11"/>
        <v>0</v>
      </c>
      <c r="L50" s="35">
        <f t="shared" si="11"/>
        <v>0</v>
      </c>
      <c r="M50" s="35">
        <f t="shared" si="11"/>
        <v>0</v>
      </c>
      <c r="N50" s="35">
        <f t="shared" si="11"/>
        <v>0</v>
      </c>
      <c r="O50" s="36">
        <f t="shared" si="7"/>
        <v>0</v>
      </c>
      <c r="Q50" s="16">
        <f>27879+24779+7156+26458+30000+26578+27901+29401+2000+29401+6897+3454+31300+30925+28925+27925+29672</f>
        <v>390651</v>
      </c>
    </row>
    <row r="51" spans="1:18" x14ac:dyDescent="0.2">
      <c r="J51" s="300">
        <f>+J37-SUM(J22:J36)</f>
        <v>0</v>
      </c>
      <c r="Q51" s="38"/>
    </row>
    <row r="52" spans="1:18" ht="13.5" thickBot="1" x14ac:dyDescent="0.25">
      <c r="J52" s="38">
        <f>+J51-J49</f>
        <v>0</v>
      </c>
    </row>
    <row r="53" spans="1:18" ht="13.5" thickBot="1" x14ac:dyDescent="0.25">
      <c r="B53" s="789" t="s">
        <v>162</v>
      </c>
      <c r="C53" s="861"/>
      <c r="D53" s="861"/>
      <c r="E53" s="861"/>
      <c r="F53" s="862"/>
      <c r="G53" s="863">
        <f>O37</f>
        <v>0</v>
      </c>
      <c r="H53" s="864"/>
    </row>
    <row r="54" spans="1:18" ht="13.5" thickBot="1" x14ac:dyDescent="0.25"/>
    <row r="55" spans="1:18" x14ac:dyDescent="0.2">
      <c r="B55" s="830" t="s">
        <v>163</v>
      </c>
      <c r="C55" s="833" t="s">
        <v>164</v>
      </c>
      <c r="D55" s="836" t="s">
        <v>165</v>
      </c>
      <c r="E55" s="837"/>
      <c r="F55" s="838"/>
      <c r="G55" s="839">
        <f>1600*12</f>
        <v>19200</v>
      </c>
      <c r="H55" s="840"/>
    </row>
    <row r="56" spans="1:18" x14ac:dyDescent="0.2">
      <c r="B56" s="831"/>
      <c r="C56" s="834"/>
      <c r="D56" s="841" t="s">
        <v>166</v>
      </c>
      <c r="E56" s="842"/>
      <c r="F56" s="843"/>
      <c r="G56" s="844">
        <f>+O44</f>
        <v>0</v>
      </c>
      <c r="H56" s="845"/>
      <c r="I56" s="39"/>
      <c r="J56" s="846"/>
      <c r="K56" s="846"/>
      <c r="L56" s="846"/>
      <c r="M56" s="847"/>
      <c r="N56" s="847"/>
      <c r="O56" s="847"/>
    </row>
    <row r="57" spans="1:18" x14ac:dyDescent="0.2">
      <c r="B57" s="886"/>
      <c r="C57" s="887"/>
      <c r="D57" s="40" t="s">
        <v>129</v>
      </c>
      <c r="E57" s="41"/>
      <c r="F57" s="42"/>
      <c r="G57" s="43"/>
      <c r="H57" s="44">
        <v>2400</v>
      </c>
      <c r="I57" s="39"/>
      <c r="J57" s="45"/>
      <c r="K57" s="45"/>
      <c r="L57" s="45"/>
      <c r="M57" s="46"/>
      <c r="N57" s="46"/>
      <c r="O57" s="46"/>
    </row>
    <row r="58" spans="1:18" ht="13.5" thickBot="1" x14ac:dyDescent="0.25">
      <c r="B58" s="832"/>
      <c r="C58" s="835"/>
      <c r="D58" s="848" t="s">
        <v>243</v>
      </c>
      <c r="E58" s="849"/>
      <c r="F58" s="850"/>
      <c r="G58" s="851">
        <f>IF(O18&gt;15000,15000,+O18)</f>
        <v>0</v>
      </c>
      <c r="H58" s="852"/>
      <c r="J58" s="47"/>
      <c r="K58" s="47"/>
      <c r="L58" s="47"/>
      <c r="M58" s="47"/>
      <c r="N58" s="47"/>
      <c r="O58" s="47"/>
    </row>
    <row r="59" spans="1:18" ht="13.5" thickBot="1" x14ac:dyDescent="0.25">
      <c r="B59" s="48"/>
      <c r="J59" s="47"/>
      <c r="K59" s="47"/>
      <c r="L59" s="47"/>
      <c r="M59" s="47"/>
      <c r="N59" s="47"/>
      <c r="O59" s="47"/>
    </row>
    <row r="60" spans="1:18" ht="13.5" thickBot="1" x14ac:dyDescent="0.25">
      <c r="B60" s="789" t="s">
        <v>168</v>
      </c>
      <c r="C60" s="790"/>
      <c r="D60" s="790"/>
      <c r="E60" s="790"/>
      <c r="F60" s="791"/>
      <c r="G60" s="825">
        <f>+G53-SUM(G55:H58)</f>
        <v>-21600</v>
      </c>
      <c r="H60" s="826"/>
      <c r="J60" s="827" t="s">
        <v>169</v>
      </c>
      <c r="K60" s="828"/>
      <c r="L60" s="828"/>
      <c r="M60" s="828"/>
      <c r="N60" s="828"/>
      <c r="O60" s="829"/>
    </row>
    <row r="61" spans="1:18" ht="13.5" thickBot="1" x14ac:dyDescent="0.25">
      <c r="B61" s="49"/>
      <c r="C61" s="50"/>
      <c r="D61" s="50"/>
      <c r="E61" s="50"/>
      <c r="F61" s="50"/>
      <c r="G61" s="45"/>
      <c r="H61" s="50"/>
      <c r="J61" s="129"/>
      <c r="K61" s="130"/>
      <c r="L61" s="130"/>
      <c r="M61" s="130"/>
      <c r="N61" s="130"/>
      <c r="O61" s="131"/>
    </row>
    <row r="62" spans="1:18" ht="13.5" thickBot="1" x14ac:dyDescent="0.25">
      <c r="B62" s="789" t="s">
        <v>170</v>
      </c>
      <c r="C62" s="790"/>
      <c r="D62" s="790"/>
      <c r="E62" s="790"/>
      <c r="F62" s="791"/>
      <c r="G62" s="805"/>
      <c r="H62" s="791"/>
      <c r="J62" s="129"/>
      <c r="K62" s="130"/>
      <c r="L62" s="130"/>
      <c r="M62" s="130"/>
      <c r="N62" s="130"/>
      <c r="O62" s="131"/>
    </row>
    <row r="63" spans="1:18" ht="12.75" customHeight="1" x14ac:dyDescent="0.2">
      <c r="B63" s="57" t="s">
        <v>171</v>
      </c>
      <c r="C63" s="806" t="s">
        <v>172</v>
      </c>
      <c r="D63" s="807"/>
      <c r="E63" s="807"/>
      <c r="F63" s="808"/>
      <c r="G63" s="809">
        <v>0</v>
      </c>
      <c r="H63" s="809"/>
      <c r="I63" s="58"/>
      <c r="J63" s="810" t="s">
        <v>173</v>
      </c>
      <c r="K63" s="811"/>
      <c r="L63" s="811"/>
      <c r="M63" s="811"/>
      <c r="N63" s="811"/>
      <c r="O63" s="812"/>
      <c r="Q63" s="59"/>
      <c r="R63" s="59"/>
    </row>
    <row r="64" spans="1:18" ht="13.5" thickBot="1" x14ac:dyDescent="0.25">
      <c r="D64" s="37"/>
      <c r="I64" s="58"/>
      <c r="J64" s="60" t="s">
        <v>254</v>
      </c>
      <c r="K64" s="61"/>
      <c r="L64" s="61"/>
      <c r="M64" s="61"/>
      <c r="N64" s="61"/>
      <c r="O64" s="62"/>
      <c r="Q64" s="59"/>
      <c r="R64" s="59"/>
    </row>
    <row r="65" spans="2:18" ht="13.5" thickBot="1" x14ac:dyDescent="0.25">
      <c r="B65" s="789" t="s">
        <v>175</v>
      </c>
      <c r="C65" s="790"/>
      <c r="D65" s="790"/>
      <c r="E65" s="790"/>
      <c r="F65" s="791"/>
      <c r="G65" s="805">
        <f>+G60-G63</f>
        <v>-21600</v>
      </c>
      <c r="H65" s="791"/>
      <c r="I65" s="63"/>
      <c r="J65" s="64"/>
      <c r="K65" s="39"/>
      <c r="L65" s="39"/>
      <c r="M65" s="39"/>
      <c r="N65" s="39"/>
      <c r="O65" s="65"/>
      <c r="Q65" s="59"/>
      <c r="R65" s="59"/>
    </row>
    <row r="66" spans="2:18" ht="12.75" customHeight="1" x14ac:dyDescent="0.2">
      <c r="B66" s="48"/>
      <c r="C66" s="48"/>
      <c r="I66" s="63"/>
      <c r="J66" s="64"/>
      <c r="K66" s="39"/>
      <c r="L66" s="39"/>
      <c r="M66" s="39"/>
      <c r="N66" s="39"/>
      <c r="O66" s="65"/>
      <c r="Q66" s="59"/>
      <c r="R66" s="59"/>
    </row>
    <row r="67" spans="2:18" x14ac:dyDescent="0.2">
      <c r="B67" s="66" t="s">
        <v>176</v>
      </c>
      <c r="C67" s="48"/>
      <c r="I67" s="63"/>
      <c r="J67" s="67"/>
      <c r="K67" s="68"/>
      <c r="L67" s="68"/>
      <c r="M67" s="68"/>
      <c r="N67" s="68"/>
      <c r="O67" s="69"/>
      <c r="Q67" s="59"/>
      <c r="R67" s="59"/>
    </row>
    <row r="68" spans="2:18" ht="26.25" customHeight="1" thickBot="1" x14ac:dyDescent="0.25">
      <c r="B68" s="66"/>
      <c r="C68" s="48"/>
      <c r="G68" s="70" t="s">
        <v>177</v>
      </c>
      <c r="H68" s="70" t="s">
        <v>178</v>
      </c>
      <c r="I68" s="63"/>
      <c r="J68" s="810" t="s">
        <v>179</v>
      </c>
      <c r="K68" s="811"/>
      <c r="L68" s="71"/>
      <c r="M68" s="71"/>
      <c r="N68" s="71"/>
      <c r="O68" s="72"/>
      <c r="Q68" s="59"/>
      <c r="R68" s="59"/>
    </row>
    <row r="69" spans="2:18" ht="12.75" customHeight="1" x14ac:dyDescent="0.2">
      <c r="B69" s="802" t="s">
        <v>180</v>
      </c>
      <c r="C69" s="821" t="s">
        <v>181</v>
      </c>
      <c r="D69" s="823" t="s">
        <v>182</v>
      </c>
      <c r="E69" s="824"/>
      <c r="F69" s="824"/>
      <c r="G69" s="73">
        <f>+O43</f>
        <v>0</v>
      </c>
      <c r="H69" s="74">
        <f t="shared" ref="H69:H77" si="12">+G69</f>
        <v>0</v>
      </c>
      <c r="I69" s="63"/>
      <c r="J69" s="75" t="s">
        <v>231</v>
      </c>
      <c r="K69" s="58"/>
      <c r="L69" s="58"/>
      <c r="M69" s="135" t="s">
        <v>232</v>
      </c>
      <c r="N69" s="135" t="s">
        <v>233</v>
      </c>
      <c r="O69" s="76">
        <v>86784</v>
      </c>
      <c r="Q69" s="59"/>
      <c r="R69" s="59"/>
    </row>
    <row r="70" spans="2:18" ht="12.75" customHeight="1" x14ac:dyDescent="0.2">
      <c r="B70" s="803"/>
      <c r="C70" s="822"/>
      <c r="D70" s="782" t="s">
        <v>184</v>
      </c>
      <c r="E70" s="783"/>
      <c r="F70" s="783"/>
      <c r="G70" s="77">
        <f>+O47</f>
        <v>0</v>
      </c>
      <c r="H70" s="78">
        <f t="shared" si="12"/>
        <v>0</v>
      </c>
      <c r="I70" s="63"/>
      <c r="J70" s="79"/>
      <c r="K70" s="68"/>
      <c r="L70" s="68"/>
      <c r="M70" s="68"/>
      <c r="N70" s="68"/>
      <c r="O70" s="69"/>
      <c r="Q70" s="59"/>
      <c r="R70" s="59"/>
    </row>
    <row r="71" spans="2:18" ht="12.75" customHeight="1" x14ac:dyDescent="0.2">
      <c r="B71" s="803"/>
      <c r="C71" s="822"/>
      <c r="D71" s="819" t="s">
        <v>185</v>
      </c>
      <c r="E71" s="820"/>
      <c r="F71" s="820"/>
      <c r="G71" s="80">
        <f>O40</f>
        <v>0</v>
      </c>
      <c r="H71" s="78">
        <f t="shared" si="12"/>
        <v>0</v>
      </c>
      <c r="I71" s="63"/>
      <c r="J71" s="67"/>
      <c r="K71" s="68"/>
      <c r="L71" s="68"/>
      <c r="M71" s="68"/>
      <c r="N71" s="68"/>
      <c r="O71" s="69"/>
    </row>
    <row r="72" spans="2:18" x14ac:dyDescent="0.2">
      <c r="B72" s="803"/>
      <c r="C72" s="822"/>
      <c r="D72" s="782" t="s">
        <v>186</v>
      </c>
      <c r="E72" s="783"/>
      <c r="F72" s="783"/>
      <c r="G72" s="81">
        <v>0</v>
      </c>
      <c r="H72" s="78">
        <f t="shared" si="12"/>
        <v>0</v>
      </c>
      <c r="I72" s="63"/>
      <c r="J72" s="82" t="s">
        <v>187</v>
      </c>
      <c r="K72" s="71"/>
      <c r="L72" s="71"/>
      <c r="M72" s="71"/>
      <c r="N72" s="71"/>
      <c r="O72" s="72"/>
    </row>
    <row r="73" spans="2:18" ht="12.75" customHeight="1" x14ac:dyDescent="0.2">
      <c r="B73" s="803"/>
      <c r="C73" s="822"/>
      <c r="D73" s="784" t="s">
        <v>188</v>
      </c>
      <c r="E73" s="783"/>
      <c r="F73" s="783"/>
      <c r="G73" s="80">
        <v>0</v>
      </c>
      <c r="H73" s="78">
        <f t="shared" si="12"/>
        <v>0</v>
      </c>
      <c r="I73" s="63"/>
      <c r="J73" s="75" t="s">
        <v>189</v>
      </c>
      <c r="K73" s="50"/>
      <c r="L73" s="50"/>
      <c r="M73" s="50"/>
      <c r="N73" s="50"/>
      <c r="O73" s="83">
        <v>0</v>
      </c>
    </row>
    <row r="74" spans="2:18" ht="14.25" customHeight="1" x14ac:dyDescent="0.2">
      <c r="B74" s="803"/>
      <c r="C74" s="822"/>
      <c r="D74" s="782" t="s">
        <v>190</v>
      </c>
      <c r="E74" s="783"/>
      <c r="F74" s="783"/>
      <c r="G74" s="84">
        <v>0</v>
      </c>
      <c r="H74" s="78">
        <f t="shared" si="12"/>
        <v>0</v>
      </c>
      <c r="I74" s="63"/>
      <c r="J74" s="75" t="s">
        <v>1055</v>
      </c>
      <c r="K74" s="39"/>
      <c r="L74" s="39"/>
      <c r="M74" s="39"/>
      <c r="N74" s="39"/>
      <c r="O74" s="65">
        <v>16729</v>
      </c>
    </row>
    <row r="75" spans="2:18" x14ac:dyDescent="0.2">
      <c r="B75" s="803"/>
      <c r="C75" s="822"/>
      <c r="D75" s="782" t="s">
        <v>191</v>
      </c>
      <c r="E75" s="783"/>
      <c r="F75" s="783"/>
      <c r="G75" s="81">
        <v>0</v>
      </c>
      <c r="H75" s="78">
        <f t="shared" si="12"/>
        <v>0</v>
      </c>
      <c r="I75" s="58"/>
      <c r="J75" s="137" t="s">
        <v>1056</v>
      </c>
      <c r="K75" s="50"/>
      <c r="L75" s="50"/>
      <c r="M75" s="50"/>
      <c r="N75" s="50"/>
      <c r="O75" s="83"/>
    </row>
    <row r="76" spans="2:18" x14ac:dyDescent="0.2">
      <c r="B76" s="803"/>
      <c r="C76" s="88" t="s">
        <v>192</v>
      </c>
      <c r="D76" s="813" t="s">
        <v>193</v>
      </c>
      <c r="E76" s="814"/>
      <c r="F76" s="814"/>
      <c r="G76" s="80">
        <v>0</v>
      </c>
      <c r="H76" s="78">
        <f t="shared" si="12"/>
        <v>0</v>
      </c>
      <c r="I76" s="58"/>
      <c r="J76" s="79" t="s">
        <v>1057</v>
      </c>
      <c r="K76" s="39"/>
      <c r="L76" s="39"/>
      <c r="M76" s="39"/>
      <c r="N76" s="39"/>
      <c r="O76" s="65"/>
    </row>
    <row r="77" spans="2:18" ht="13.5" customHeight="1" thickBot="1" x14ac:dyDescent="0.25">
      <c r="B77" s="803"/>
      <c r="C77" s="88" t="s">
        <v>194</v>
      </c>
      <c r="D77" s="815" t="s">
        <v>195</v>
      </c>
      <c r="E77" s="815"/>
      <c r="F77" s="815"/>
      <c r="G77" s="89">
        <v>0</v>
      </c>
      <c r="H77" s="90">
        <f t="shared" si="12"/>
        <v>0</v>
      </c>
      <c r="I77" s="63"/>
      <c r="J77" s="67"/>
      <c r="K77" s="68"/>
      <c r="L77" s="68"/>
      <c r="M77" s="91"/>
      <c r="N77" s="91"/>
      <c r="O77" s="92"/>
    </row>
    <row r="78" spans="2:18" ht="13.5" thickBot="1" x14ac:dyDescent="0.25">
      <c r="B78" s="803"/>
      <c r="C78" s="93"/>
      <c r="D78" s="94"/>
      <c r="E78" s="816" t="s">
        <v>117</v>
      </c>
      <c r="F78" s="817"/>
      <c r="G78" s="95">
        <f>SUM(G69:G77)</f>
        <v>0</v>
      </c>
      <c r="H78" s="96">
        <f>IF(SUM(G69:G75)&lt;150000,SUM(G69:G75),150000)+IF(+G76&lt;20000,+G76,20000)</f>
        <v>0</v>
      </c>
      <c r="I78" s="63"/>
      <c r="J78" s="140"/>
      <c r="K78" s="141"/>
      <c r="L78" s="141"/>
      <c r="M78" s="142"/>
      <c r="N78" s="142"/>
      <c r="O78" s="143"/>
    </row>
    <row r="79" spans="2:18" ht="12.75" customHeight="1" x14ac:dyDescent="0.2">
      <c r="B79" s="803"/>
      <c r="C79" s="100" t="s">
        <v>196</v>
      </c>
      <c r="D79" s="782" t="s">
        <v>187</v>
      </c>
      <c r="E79" s="783"/>
      <c r="F79" s="818"/>
      <c r="G79" s="73">
        <v>16729</v>
      </c>
      <c r="H79" s="101">
        <f>+IF(+G79&lt;25000,+G79,25000)</f>
        <v>16729</v>
      </c>
      <c r="I79" s="87"/>
    </row>
    <row r="80" spans="2:18" x14ac:dyDescent="0.2">
      <c r="B80" s="803"/>
      <c r="C80" s="100" t="s">
        <v>197</v>
      </c>
      <c r="D80" s="784" t="s">
        <v>198</v>
      </c>
      <c r="E80" s="785"/>
      <c r="F80" s="786"/>
      <c r="G80" s="102"/>
      <c r="H80" s="103">
        <f>+IF(+G80&lt;40000,+G80,40000)</f>
        <v>0</v>
      </c>
      <c r="I80" s="63"/>
    </row>
    <row r="81" spans="2:12" x14ac:dyDescent="0.2">
      <c r="B81" s="803"/>
      <c r="C81" s="100" t="s">
        <v>199</v>
      </c>
      <c r="D81" s="784" t="s">
        <v>200</v>
      </c>
      <c r="E81" s="785"/>
      <c r="F81" s="786"/>
      <c r="G81" s="81"/>
      <c r="H81" s="104">
        <v>0</v>
      </c>
      <c r="I81" s="63"/>
      <c r="J81" s="106" t="s">
        <v>525</v>
      </c>
    </row>
    <row r="82" spans="2:12" x14ac:dyDescent="0.2">
      <c r="B82" s="803"/>
      <c r="C82" s="100" t="s">
        <v>201</v>
      </c>
      <c r="D82" s="784" t="s">
        <v>202</v>
      </c>
      <c r="E82" s="785"/>
      <c r="F82" s="786"/>
      <c r="G82" s="81"/>
      <c r="H82" s="104">
        <v>0</v>
      </c>
      <c r="I82" s="63"/>
    </row>
    <row r="83" spans="2:12" ht="13.5" thickBot="1" x14ac:dyDescent="0.25">
      <c r="B83" s="804"/>
      <c r="C83" s="100" t="s">
        <v>203</v>
      </c>
      <c r="D83" s="784" t="s">
        <v>204</v>
      </c>
      <c r="E83" s="785"/>
      <c r="F83" s="786"/>
      <c r="G83" s="102"/>
      <c r="H83" s="103">
        <f>+IF(+G83&lt;100000,+G83,10000)</f>
        <v>0</v>
      </c>
      <c r="I83" s="63"/>
    </row>
    <row r="84" spans="2:12" ht="13.5" thickBot="1" x14ac:dyDescent="0.25">
      <c r="B84" s="787" t="s">
        <v>205</v>
      </c>
      <c r="C84" s="788"/>
      <c r="D84" s="788"/>
      <c r="E84" s="788"/>
      <c r="F84" s="788"/>
      <c r="G84" s="107">
        <f>SUM(G79:G83)</f>
        <v>16729</v>
      </c>
      <c r="H84" s="108">
        <f>SUM(H78:H83)</f>
        <v>16729</v>
      </c>
    </row>
    <row r="85" spans="2:12" ht="13.5" thickBot="1" x14ac:dyDescent="0.25"/>
    <row r="86" spans="2:12" ht="13.5" thickBot="1" x14ac:dyDescent="0.25">
      <c r="B86" s="789" t="s">
        <v>206</v>
      </c>
      <c r="C86" s="790"/>
      <c r="D86" s="790"/>
      <c r="E86" s="790"/>
      <c r="F86" s="791"/>
      <c r="G86" s="792">
        <f>+G65-H84</f>
        <v>-38329</v>
      </c>
      <c r="H86" s="791"/>
      <c r="J86" s="109">
        <f>C37+D37+E37+F37</f>
        <v>0</v>
      </c>
      <c r="K86" s="16" t="s">
        <v>235</v>
      </c>
    </row>
    <row r="87" spans="2:12" x14ac:dyDescent="0.2">
      <c r="B87" s="110"/>
      <c r="F87" s="105"/>
      <c r="J87" s="109">
        <f>G37+H37+I37</f>
        <v>0</v>
      </c>
      <c r="K87" s="16" t="s">
        <v>236</v>
      </c>
    </row>
    <row r="88" spans="2:12" x14ac:dyDescent="0.2">
      <c r="C88" s="793" t="s">
        <v>207</v>
      </c>
      <c r="D88" s="794"/>
      <c r="E88" s="111" t="s">
        <v>208</v>
      </c>
      <c r="F88" s="111" t="s">
        <v>209</v>
      </c>
      <c r="G88" s="111" t="s">
        <v>210</v>
      </c>
      <c r="H88" s="111" t="s">
        <v>211</v>
      </c>
      <c r="J88" s="206">
        <f>J37+K37+L37</f>
        <v>0</v>
      </c>
      <c r="K88" s="47" t="s">
        <v>237</v>
      </c>
    </row>
    <row r="89" spans="2:12" x14ac:dyDescent="0.2">
      <c r="C89" s="795" t="str">
        <f>IF(I6="M","0          - 250000","0          -  250000")</f>
        <v>0          - 250000</v>
      </c>
      <c r="D89" s="796"/>
      <c r="E89" s="112">
        <v>0</v>
      </c>
      <c r="F89" s="113">
        <f>IF(I6="M",(IF(G86&lt;250000,G86,250000)),(IF(G86&lt;250000,G86,250000)))</f>
        <v>-38329</v>
      </c>
      <c r="G89" s="113">
        <f>G86-F89</f>
        <v>0</v>
      </c>
      <c r="H89" s="113">
        <f>E89*F89</f>
        <v>0</v>
      </c>
      <c r="J89" s="207">
        <f>M37+N37</f>
        <v>0</v>
      </c>
      <c r="K89" s="1" t="s">
        <v>238</v>
      </c>
    </row>
    <row r="90" spans="2:12" x14ac:dyDescent="0.2">
      <c r="C90" s="795" t="str">
        <f>IF(I6="M","250001 - 500000","250001-500000")</f>
        <v>250001 - 500000</v>
      </c>
      <c r="D90" s="796"/>
      <c r="E90" s="112">
        <v>0.1</v>
      </c>
      <c r="F90" s="113">
        <f>IF(I6="M",(IF(G88&lt;250000,G88,250000)),(IF(G88&lt;250000,G88,250000)))</f>
        <v>250000</v>
      </c>
      <c r="G90" s="113">
        <f>G89-F90</f>
        <v>-250000</v>
      </c>
      <c r="H90" s="114">
        <f>ROUND(E90*F90,0.1)</f>
        <v>25000</v>
      </c>
      <c r="J90" s="115">
        <f>SUM(J86:J89)</f>
        <v>0</v>
      </c>
    </row>
    <row r="91" spans="2:12" x14ac:dyDescent="0.2">
      <c r="C91" s="797" t="s">
        <v>212</v>
      </c>
      <c r="D91" s="798"/>
      <c r="E91" s="112">
        <v>0.2</v>
      </c>
      <c r="F91" s="113">
        <f>IF(G90&lt;500000,G90,500000)</f>
        <v>-250000</v>
      </c>
      <c r="G91" s="113">
        <f>G90-F91</f>
        <v>0</v>
      </c>
      <c r="H91" s="114">
        <f>ROUND(E91*F91,0.1)</f>
        <v>-50000</v>
      </c>
      <c r="J91" s="16">
        <f>+G86</f>
        <v>-38329</v>
      </c>
    </row>
    <row r="92" spans="2:12" x14ac:dyDescent="0.2">
      <c r="C92" s="795" t="s">
        <v>289</v>
      </c>
      <c r="D92" s="796"/>
      <c r="E92" s="112">
        <v>0.3</v>
      </c>
      <c r="F92" s="113">
        <f>G91</f>
        <v>0</v>
      </c>
      <c r="G92" s="113">
        <f>G91-F92</f>
        <v>0</v>
      </c>
      <c r="H92" s="114">
        <f>ROUND(E92*F92,0.1)</f>
        <v>0</v>
      </c>
      <c r="J92" s="16">
        <f>+J90-J91</f>
        <v>38329</v>
      </c>
    </row>
    <row r="93" spans="2:12" ht="12.75" customHeight="1" thickBot="1" x14ac:dyDescent="0.25">
      <c r="B93" s="116"/>
      <c r="C93" s="117"/>
      <c r="D93" s="47"/>
      <c r="E93" s="47"/>
      <c r="F93" s="47"/>
    </row>
    <row r="94" spans="2:12" ht="13.5" thickBot="1" x14ac:dyDescent="0.25">
      <c r="B94" s="799" t="s">
        <v>239</v>
      </c>
      <c r="C94" s="800"/>
      <c r="D94" s="800"/>
      <c r="E94" s="800"/>
      <c r="F94" s="801"/>
      <c r="G94" s="771">
        <f>H89+H90+H91+H92</f>
        <v>-25000</v>
      </c>
      <c r="H94" s="772"/>
    </row>
    <row r="95" spans="2:12" ht="13.5" thickBot="1" x14ac:dyDescent="0.25">
      <c r="B95" s="171" t="s">
        <v>215</v>
      </c>
      <c r="C95" s="155"/>
      <c r="D95" s="155"/>
      <c r="E95" s="155"/>
      <c r="F95" s="155"/>
      <c r="G95" s="769">
        <f>IF(G86&lt;200000,0,IF(G86&lt;220000,((G86-200000)*10%),IF(G86&lt;=500000,2000,IF(G86&gt;=500000,0))))</f>
        <v>0</v>
      </c>
      <c r="H95" s="770">
        <f>IF(H93&lt;200000,0,IF(H93&lt;220000,((H93-200000)*10%),IF(H93&lt;=500000,2000,IF(H93&gt;=500000,0))))</f>
        <v>0</v>
      </c>
      <c r="J95" s="1"/>
      <c r="K95" s="121"/>
      <c r="L95" s="121"/>
    </row>
    <row r="96" spans="2:12" ht="13.5" thickBot="1" x14ac:dyDescent="0.25">
      <c r="B96" s="122" t="s">
        <v>216</v>
      </c>
      <c r="C96" s="123"/>
      <c r="D96" s="123"/>
      <c r="E96" s="123"/>
      <c r="F96" s="123"/>
      <c r="G96" s="771">
        <f>+G94-G95</f>
        <v>-25000</v>
      </c>
      <c r="H96" s="772"/>
      <c r="I96" s="37"/>
    </row>
    <row r="97" spans="2:9" ht="13.5" thickBot="1" x14ac:dyDescent="0.25">
      <c r="B97" s="773" t="s">
        <v>217</v>
      </c>
      <c r="C97" s="774"/>
      <c r="D97" s="774"/>
      <c r="E97" s="774"/>
      <c r="F97" s="775"/>
      <c r="G97" s="776">
        <f>ROUND((IF(G96&gt;0,(G96*3%),0)),0)</f>
        <v>0</v>
      </c>
      <c r="H97" s="777"/>
      <c r="I97" s="37"/>
    </row>
    <row r="98" spans="2:9" ht="13.5" thickBot="1" x14ac:dyDescent="0.25">
      <c r="B98" s="778" t="s">
        <v>218</v>
      </c>
      <c r="C98" s="779"/>
      <c r="D98" s="779"/>
      <c r="E98" s="779"/>
      <c r="F98" s="779"/>
      <c r="G98" s="780">
        <f>G96+G97</f>
        <v>-25000</v>
      </c>
      <c r="H98" s="781"/>
      <c r="I98" s="121"/>
    </row>
    <row r="99" spans="2:9" ht="13.5" thickBot="1" x14ac:dyDescent="0.25">
      <c r="B99" s="765" t="s">
        <v>219</v>
      </c>
      <c r="C99" s="766"/>
      <c r="D99" s="766"/>
      <c r="E99" s="766"/>
      <c r="F99" s="766"/>
      <c r="G99" s="767">
        <f>O38</f>
        <v>0</v>
      </c>
      <c r="H99" s="768"/>
      <c r="I99" s="121"/>
    </row>
    <row r="100" spans="2:9" ht="13.5" thickBot="1" x14ac:dyDescent="0.25">
      <c r="B100" s="765" t="str">
        <f>IF(G100&gt;0,"TAX PAYABLE","TAX REFUND")</f>
        <v>TAX REFUND</v>
      </c>
      <c r="C100" s="766"/>
      <c r="D100" s="766"/>
      <c r="E100" s="766"/>
      <c r="F100" s="766"/>
      <c r="G100" s="767">
        <f>+G98-G99</f>
        <v>-25000</v>
      </c>
      <c r="H100" s="768"/>
      <c r="I100" s="37"/>
    </row>
    <row r="101" spans="2:9" x14ac:dyDescent="0.2">
      <c r="C101" s="124"/>
      <c r="D101" s="45"/>
      <c r="E101" s="118"/>
      <c r="F101" s="118"/>
      <c r="G101" s="118"/>
      <c r="H101" s="118"/>
      <c r="I101" s="125"/>
    </row>
    <row r="102" spans="2:9" x14ac:dyDescent="0.2">
      <c r="C102" s="47"/>
      <c r="D102" s="50"/>
      <c r="E102" s="117"/>
      <c r="F102" s="47"/>
      <c r="G102" s="47"/>
      <c r="H102" s="47"/>
      <c r="I102" s="125"/>
    </row>
    <row r="103" spans="2:9" x14ac:dyDescent="0.2">
      <c r="C103" s="39"/>
      <c r="D103" s="126"/>
      <c r="E103" s="126"/>
      <c r="F103" s="126"/>
      <c r="G103" s="39"/>
      <c r="H103" s="39"/>
      <c r="I103" s="37"/>
    </row>
    <row r="104" spans="2:9" x14ac:dyDescent="0.2">
      <c r="C104" s="39"/>
      <c r="D104" s="126"/>
      <c r="E104" s="126"/>
      <c r="F104" s="39"/>
      <c r="G104" s="39"/>
      <c r="H104" s="39"/>
      <c r="I104" s="37"/>
    </row>
    <row r="105" spans="2:9" x14ac:dyDescent="0.2">
      <c r="C105" s="39"/>
      <c r="D105" s="126"/>
      <c r="E105" s="126"/>
      <c r="F105" s="39"/>
      <c r="G105" s="39"/>
      <c r="H105" s="39"/>
      <c r="I105" s="37"/>
    </row>
    <row r="106" spans="2:9" x14ac:dyDescent="0.2">
      <c r="C106" s="39"/>
      <c r="D106" s="39"/>
      <c r="E106" s="39"/>
      <c r="F106" s="39"/>
      <c r="G106" s="39"/>
      <c r="H106" s="39"/>
      <c r="I106" s="37"/>
    </row>
    <row r="107" spans="2:9" x14ac:dyDescent="0.2">
      <c r="C107" s="39"/>
      <c r="D107" s="39"/>
      <c r="E107" s="39"/>
      <c r="F107" s="39"/>
      <c r="G107" s="39"/>
      <c r="H107" s="39"/>
    </row>
    <row r="108" spans="2:9" x14ac:dyDescent="0.2">
      <c r="C108" s="39"/>
      <c r="D108" s="39"/>
      <c r="E108" s="39"/>
      <c r="F108" s="39"/>
      <c r="G108" s="39"/>
      <c r="H108"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60:F60"/>
    <mergeCell ref="G60:H60"/>
    <mergeCell ref="J60:O60"/>
    <mergeCell ref="B55:B58"/>
    <mergeCell ref="C55:C58"/>
    <mergeCell ref="D55:F55"/>
    <mergeCell ref="G55:H55"/>
    <mergeCell ref="D56:F56"/>
    <mergeCell ref="G56:H56"/>
    <mergeCell ref="J56:L56"/>
    <mergeCell ref="M56:O56"/>
    <mergeCell ref="D58:F58"/>
    <mergeCell ref="G58:H58"/>
    <mergeCell ref="J63:O63"/>
    <mergeCell ref="D81:F81"/>
    <mergeCell ref="J68:K68"/>
    <mergeCell ref="B65:F65"/>
    <mergeCell ref="G65:H65"/>
    <mergeCell ref="D76:F76"/>
    <mergeCell ref="D77:F77"/>
    <mergeCell ref="E78:F78"/>
    <mergeCell ref="D79:F79"/>
    <mergeCell ref="D80:F80"/>
    <mergeCell ref="D71:F71"/>
    <mergeCell ref="D72:F72"/>
    <mergeCell ref="C69:C75"/>
    <mergeCell ref="D69:F69"/>
    <mergeCell ref="D70:F70"/>
    <mergeCell ref="D74:F74"/>
    <mergeCell ref="G62:H62"/>
    <mergeCell ref="C63:F63"/>
    <mergeCell ref="G63:H63"/>
    <mergeCell ref="B62:F62"/>
    <mergeCell ref="D73:F73"/>
    <mergeCell ref="D75:F75"/>
    <mergeCell ref="G94:H94"/>
    <mergeCell ref="D82:F82"/>
    <mergeCell ref="D83:F83"/>
    <mergeCell ref="B84:F84"/>
    <mergeCell ref="B86:F86"/>
    <mergeCell ref="G86:H86"/>
    <mergeCell ref="C88:D88"/>
    <mergeCell ref="C89:D89"/>
    <mergeCell ref="C90:D90"/>
    <mergeCell ref="C91:D91"/>
    <mergeCell ref="C92:D92"/>
    <mergeCell ref="B94:F94"/>
    <mergeCell ref="B69:B83"/>
    <mergeCell ref="B100:F100"/>
    <mergeCell ref="G100:H100"/>
    <mergeCell ref="G95:H95"/>
    <mergeCell ref="G96:H96"/>
    <mergeCell ref="B97:F97"/>
    <mergeCell ref="G97:H97"/>
    <mergeCell ref="B98:F98"/>
    <mergeCell ref="G98:H98"/>
    <mergeCell ref="B99:F99"/>
    <mergeCell ref="G99:H99"/>
  </mergeCells>
  <conditionalFormatting sqref="B91:F91 B100:F100 B94:F98">
    <cfRule type="cellIs" dxfId="141" priority="3" stopIfTrue="1" operator="equal">
      <formula>"TAX PAYABLE"</formula>
    </cfRule>
    <cfRule type="cellIs" dxfId="140" priority="4" stopIfTrue="1" operator="equal">
      <formula>"TAX REFUND"</formula>
    </cfRule>
  </conditionalFormatting>
  <conditionalFormatting sqref="G100:H100">
    <cfRule type="cellIs" dxfId="139" priority="1" stopIfTrue="1" operator="greaterThan">
      <formula>0</formula>
    </cfRule>
    <cfRule type="cellIs" dxfId="138"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legacyDrawing r:id="rId2"/>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8"/>
  <sheetViews>
    <sheetView workbookViewId="0">
      <selection activeCell="J75" sqref="J75"/>
    </sheetView>
  </sheetViews>
  <sheetFormatPr defaultRowHeight="12.75" x14ac:dyDescent="0.2"/>
  <cols>
    <col min="1" max="1" width="5" style="16" customWidth="1"/>
    <col min="2" max="2" width="18.42578125" style="37" customWidth="1"/>
    <col min="3" max="3" width="11.140625" style="16" bestFit="1" customWidth="1"/>
    <col min="4" max="4" width="6.7109375" style="16" bestFit="1" customWidth="1"/>
    <col min="5" max="5" width="8.5703125" style="16" bestFit="1" customWidth="1"/>
    <col min="6" max="6" width="9.28515625" style="16" bestFit="1" customWidth="1"/>
    <col min="7" max="7" width="10.42578125" style="16" bestFit="1" customWidth="1"/>
    <col min="8" max="8" width="10.28515625" style="16" bestFit="1" customWidth="1"/>
    <col min="9" max="9" width="7.140625" style="16" bestFit="1" customWidth="1"/>
    <col min="10" max="12" width="7" style="16" bestFit="1" customWidth="1"/>
    <col min="13" max="13" width="6.85546875" style="16" bestFit="1" customWidth="1"/>
    <col min="14" max="14" width="7" style="16" bestFit="1" customWidth="1"/>
    <col min="15" max="15" width="8" style="16" bestFit="1" customWidth="1"/>
    <col min="16" max="16" width="9.140625" style="16"/>
    <col min="17" max="17" width="8" style="16" bestFit="1" customWidth="1"/>
    <col min="18" max="18" width="9.140625" style="16"/>
    <col min="19" max="19" width="12" style="16" customWidth="1"/>
    <col min="20" max="256" width="9.140625" style="16"/>
    <col min="257" max="257" width="5" style="16" customWidth="1"/>
    <col min="258" max="258" width="18.42578125" style="16" customWidth="1"/>
    <col min="259" max="259" width="11.140625" style="16" bestFit="1" customWidth="1"/>
    <col min="260" max="260" width="6.7109375" style="16" bestFit="1" customWidth="1"/>
    <col min="261" max="261" width="8.5703125" style="16" bestFit="1" customWidth="1"/>
    <col min="262" max="262" width="9.28515625" style="16" bestFit="1" customWidth="1"/>
    <col min="263" max="263" width="10.42578125" style="16" bestFit="1" customWidth="1"/>
    <col min="264" max="264" width="10.28515625" style="16" bestFit="1" customWidth="1"/>
    <col min="265" max="265" width="7.140625" style="16" bestFit="1" customWidth="1"/>
    <col min="266" max="268" width="7" style="16" bestFit="1" customWidth="1"/>
    <col min="269" max="269" width="6.85546875" style="16" bestFit="1" customWidth="1"/>
    <col min="270" max="270" width="7" style="16" bestFit="1" customWidth="1"/>
    <col min="271" max="271" width="8" style="16" bestFit="1" customWidth="1"/>
    <col min="272" max="272" width="9.140625" style="16"/>
    <col min="273" max="273" width="8" style="16" bestFit="1" customWidth="1"/>
    <col min="274" max="274" width="9.140625" style="16"/>
    <col min="275" max="275" width="12" style="16" customWidth="1"/>
    <col min="276" max="512" width="9.140625" style="16"/>
    <col min="513" max="513" width="5" style="16" customWidth="1"/>
    <col min="514" max="514" width="18.42578125" style="16" customWidth="1"/>
    <col min="515" max="515" width="11.140625" style="16" bestFit="1" customWidth="1"/>
    <col min="516" max="516" width="6.7109375" style="16" bestFit="1" customWidth="1"/>
    <col min="517" max="517" width="8.5703125" style="16" bestFit="1" customWidth="1"/>
    <col min="518" max="518" width="9.28515625" style="16" bestFit="1" customWidth="1"/>
    <col min="519" max="519" width="10.42578125" style="16" bestFit="1" customWidth="1"/>
    <col min="520" max="520" width="10.28515625" style="16" bestFit="1" customWidth="1"/>
    <col min="521" max="521" width="7.140625" style="16" bestFit="1" customWidth="1"/>
    <col min="522" max="524" width="7" style="16" bestFit="1" customWidth="1"/>
    <col min="525" max="525" width="6.85546875" style="16" bestFit="1" customWidth="1"/>
    <col min="526" max="526" width="7" style="16" bestFit="1" customWidth="1"/>
    <col min="527" max="527" width="8" style="16" bestFit="1" customWidth="1"/>
    <col min="528" max="528" width="9.140625" style="16"/>
    <col min="529" max="529" width="8" style="16" bestFit="1" customWidth="1"/>
    <col min="530" max="530" width="9.140625" style="16"/>
    <col min="531" max="531" width="12" style="16" customWidth="1"/>
    <col min="532" max="768" width="9.140625" style="16"/>
    <col min="769" max="769" width="5" style="16" customWidth="1"/>
    <col min="770" max="770" width="18.42578125" style="16" customWidth="1"/>
    <col min="771" max="771" width="11.140625" style="16" bestFit="1" customWidth="1"/>
    <col min="772" max="772" width="6.7109375" style="16" bestFit="1" customWidth="1"/>
    <col min="773" max="773" width="8.5703125" style="16" bestFit="1" customWidth="1"/>
    <col min="774" max="774" width="9.28515625" style="16" bestFit="1" customWidth="1"/>
    <col min="775" max="775" width="10.42578125" style="16" bestFit="1" customWidth="1"/>
    <col min="776" max="776" width="10.28515625" style="16" bestFit="1" customWidth="1"/>
    <col min="777" max="777" width="7.140625" style="16" bestFit="1" customWidth="1"/>
    <col min="778" max="780" width="7" style="16" bestFit="1" customWidth="1"/>
    <col min="781" max="781" width="6.85546875" style="16" bestFit="1" customWidth="1"/>
    <col min="782" max="782" width="7" style="16" bestFit="1" customWidth="1"/>
    <col min="783" max="783" width="8" style="16" bestFit="1" customWidth="1"/>
    <col min="784" max="784" width="9.140625" style="16"/>
    <col min="785" max="785" width="8" style="16" bestFit="1" customWidth="1"/>
    <col min="786" max="786" width="9.140625" style="16"/>
    <col min="787" max="787" width="12" style="16" customWidth="1"/>
    <col min="788" max="1024" width="9.140625" style="16"/>
    <col min="1025" max="1025" width="5" style="16" customWidth="1"/>
    <col min="1026" max="1026" width="18.42578125" style="16" customWidth="1"/>
    <col min="1027" max="1027" width="11.140625" style="16" bestFit="1" customWidth="1"/>
    <col min="1028" max="1028" width="6.7109375" style="16" bestFit="1" customWidth="1"/>
    <col min="1029" max="1029" width="8.5703125" style="16" bestFit="1" customWidth="1"/>
    <col min="1030" max="1030" width="9.28515625" style="16" bestFit="1" customWidth="1"/>
    <col min="1031" max="1031" width="10.42578125" style="16" bestFit="1" customWidth="1"/>
    <col min="1032" max="1032" width="10.28515625" style="16" bestFit="1" customWidth="1"/>
    <col min="1033" max="1033" width="7.140625" style="16" bestFit="1" customWidth="1"/>
    <col min="1034" max="1036" width="7" style="16" bestFit="1" customWidth="1"/>
    <col min="1037" max="1037" width="6.85546875" style="16" bestFit="1" customWidth="1"/>
    <col min="1038" max="1038" width="7" style="16" bestFit="1" customWidth="1"/>
    <col min="1039" max="1039" width="8" style="16" bestFit="1" customWidth="1"/>
    <col min="1040" max="1040" width="9.140625" style="16"/>
    <col min="1041" max="1041" width="8" style="16" bestFit="1" customWidth="1"/>
    <col min="1042" max="1042" width="9.140625" style="16"/>
    <col min="1043" max="1043" width="12" style="16" customWidth="1"/>
    <col min="1044" max="1280" width="9.140625" style="16"/>
    <col min="1281" max="1281" width="5" style="16" customWidth="1"/>
    <col min="1282" max="1282" width="18.42578125" style="16" customWidth="1"/>
    <col min="1283" max="1283" width="11.140625" style="16" bestFit="1" customWidth="1"/>
    <col min="1284" max="1284" width="6.7109375" style="16" bestFit="1" customWidth="1"/>
    <col min="1285" max="1285" width="8.5703125" style="16" bestFit="1" customWidth="1"/>
    <col min="1286" max="1286" width="9.28515625" style="16" bestFit="1" customWidth="1"/>
    <col min="1287" max="1287" width="10.42578125" style="16" bestFit="1" customWidth="1"/>
    <col min="1288" max="1288" width="10.28515625" style="16" bestFit="1" customWidth="1"/>
    <col min="1289" max="1289" width="7.140625" style="16" bestFit="1" customWidth="1"/>
    <col min="1290" max="1292" width="7" style="16" bestFit="1" customWidth="1"/>
    <col min="1293" max="1293" width="6.85546875" style="16" bestFit="1" customWidth="1"/>
    <col min="1294" max="1294" width="7" style="16" bestFit="1" customWidth="1"/>
    <col min="1295" max="1295" width="8" style="16" bestFit="1" customWidth="1"/>
    <col min="1296" max="1296" width="9.140625" style="16"/>
    <col min="1297" max="1297" width="8" style="16" bestFit="1" customWidth="1"/>
    <col min="1298" max="1298" width="9.140625" style="16"/>
    <col min="1299" max="1299" width="12" style="16" customWidth="1"/>
    <col min="1300" max="1536" width="9.140625" style="16"/>
    <col min="1537" max="1537" width="5" style="16" customWidth="1"/>
    <col min="1538" max="1538" width="18.42578125" style="16" customWidth="1"/>
    <col min="1539" max="1539" width="11.140625" style="16" bestFit="1" customWidth="1"/>
    <col min="1540" max="1540" width="6.7109375" style="16" bestFit="1" customWidth="1"/>
    <col min="1541" max="1541" width="8.5703125" style="16" bestFit="1" customWidth="1"/>
    <col min="1542" max="1542" width="9.28515625" style="16" bestFit="1" customWidth="1"/>
    <col min="1543" max="1543" width="10.42578125" style="16" bestFit="1" customWidth="1"/>
    <col min="1544" max="1544" width="10.28515625" style="16" bestFit="1" customWidth="1"/>
    <col min="1545" max="1545" width="7.140625" style="16" bestFit="1" customWidth="1"/>
    <col min="1546" max="1548" width="7" style="16" bestFit="1" customWidth="1"/>
    <col min="1549" max="1549" width="6.85546875" style="16" bestFit="1" customWidth="1"/>
    <col min="1550" max="1550" width="7" style="16" bestFit="1" customWidth="1"/>
    <col min="1551" max="1551" width="8" style="16" bestFit="1" customWidth="1"/>
    <col min="1552" max="1552" width="9.140625" style="16"/>
    <col min="1553" max="1553" width="8" style="16" bestFit="1" customWidth="1"/>
    <col min="1554" max="1554" width="9.140625" style="16"/>
    <col min="1555" max="1555" width="12" style="16" customWidth="1"/>
    <col min="1556" max="1792" width="9.140625" style="16"/>
    <col min="1793" max="1793" width="5" style="16" customWidth="1"/>
    <col min="1794" max="1794" width="18.42578125" style="16" customWidth="1"/>
    <col min="1795" max="1795" width="11.140625" style="16" bestFit="1" customWidth="1"/>
    <col min="1796" max="1796" width="6.7109375" style="16" bestFit="1" customWidth="1"/>
    <col min="1797" max="1797" width="8.5703125" style="16" bestFit="1" customWidth="1"/>
    <col min="1798" max="1798" width="9.28515625" style="16" bestFit="1" customWidth="1"/>
    <col min="1799" max="1799" width="10.42578125" style="16" bestFit="1" customWidth="1"/>
    <col min="1800" max="1800" width="10.28515625" style="16" bestFit="1" customWidth="1"/>
    <col min="1801" max="1801" width="7.140625" style="16" bestFit="1" customWidth="1"/>
    <col min="1802" max="1804" width="7" style="16" bestFit="1" customWidth="1"/>
    <col min="1805" max="1805" width="6.85546875" style="16" bestFit="1" customWidth="1"/>
    <col min="1806" max="1806" width="7" style="16" bestFit="1" customWidth="1"/>
    <col min="1807" max="1807" width="8" style="16" bestFit="1" customWidth="1"/>
    <col min="1808" max="1808" width="9.140625" style="16"/>
    <col min="1809" max="1809" width="8" style="16" bestFit="1" customWidth="1"/>
    <col min="1810" max="1810" width="9.140625" style="16"/>
    <col min="1811" max="1811" width="12" style="16" customWidth="1"/>
    <col min="1812" max="2048" width="9.140625" style="16"/>
    <col min="2049" max="2049" width="5" style="16" customWidth="1"/>
    <col min="2050" max="2050" width="18.42578125" style="16" customWidth="1"/>
    <col min="2051" max="2051" width="11.140625" style="16" bestFit="1" customWidth="1"/>
    <col min="2052" max="2052" width="6.7109375" style="16" bestFit="1" customWidth="1"/>
    <col min="2053" max="2053" width="8.5703125" style="16" bestFit="1" customWidth="1"/>
    <col min="2054" max="2054" width="9.28515625" style="16" bestFit="1" customWidth="1"/>
    <col min="2055" max="2055" width="10.42578125" style="16" bestFit="1" customWidth="1"/>
    <col min="2056" max="2056" width="10.28515625" style="16" bestFit="1" customWidth="1"/>
    <col min="2057" max="2057" width="7.140625" style="16" bestFit="1" customWidth="1"/>
    <col min="2058" max="2060" width="7" style="16" bestFit="1" customWidth="1"/>
    <col min="2061" max="2061" width="6.85546875" style="16" bestFit="1" customWidth="1"/>
    <col min="2062" max="2062" width="7" style="16" bestFit="1" customWidth="1"/>
    <col min="2063" max="2063" width="8" style="16" bestFit="1" customWidth="1"/>
    <col min="2064" max="2064" width="9.140625" style="16"/>
    <col min="2065" max="2065" width="8" style="16" bestFit="1" customWidth="1"/>
    <col min="2066" max="2066" width="9.140625" style="16"/>
    <col min="2067" max="2067" width="12" style="16" customWidth="1"/>
    <col min="2068" max="2304" width="9.140625" style="16"/>
    <col min="2305" max="2305" width="5" style="16" customWidth="1"/>
    <col min="2306" max="2306" width="18.42578125" style="16" customWidth="1"/>
    <col min="2307" max="2307" width="11.140625" style="16" bestFit="1" customWidth="1"/>
    <col min="2308" max="2308" width="6.7109375" style="16" bestFit="1" customWidth="1"/>
    <col min="2309" max="2309" width="8.5703125" style="16" bestFit="1" customWidth="1"/>
    <col min="2310" max="2310" width="9.28515625" style="16" bestFit="1" customWidth="1"/>
    <col min="2311" max="2311" width="10.42578125" style="16" bestFit="1" customWidth="1"/>
    <col min="2312" max="2312" width="10.28515625" style="16" bestFit="1" customWidth="1"/>
    <col min="2313" max="2313" width="7.140625" style="16" bestFit="1" customWidth="1"/>
    <col min="2314" max="2316" width="7" style="16" bestFit="1" customWidth="1"/>
    <col min="2317" max="2317" width="6.85546875" style="16" bestFit="1" customWidth="1"/>
    <col min="2318" max="2318" width="7" style="16" bestFit="1" customWidth="1"/>
    <col min="2319" max="2319" width="8" style="16" bestFit="1" customWidth="1"/>
    <col min="2320" max="2320" width="9.140625" style="16"/>
    <col min="2321" max="2321" width="8" style="16" bestFit="1" customWidth="1"/>
    <col min="2322" max="2322" width="9.140625" style="16"/>
    <col min="2323" max="2323" width="12" style="16" customWidth="1"/>
    <col min="2324" max="2560" width="9.140625" style="16"/>
    <col min="2561" max="2561" width="5" style="16" customWidth="1"/>
    <col min="2562" max="2562" width="18.42578125" style="16" customWidth="1"/>
    <col min="2563" max="2563" width="11.140625" style="16" bestFit="1" customWidth="1"/>
    <col min="2564" max="2564" width="6.7109375" style="16" bestFit="1" customWidth="1"/>
    <col min="2565" max="2565" width="8.5703125" style="16" bestFit="1" customWidth="1"/>
    <col min="2566" max="2566" width="9.28515625" style="16" bestFit="1" customWidth="1"/>
    <col min="2567" max="2567" width="10.42578125" style="16" bestFit="1" customWidth="1"/>
    <col min="2568" max="2568" width="10.28515625" style="16" bestFit="1" customWidth="1"/>
    <col min="2569" max="2569" width="7.140625" style="16" bestFit="1" customWidth="1"/>
    <col min="2570" max="2572" width="7" style="16" bestFit="1" customWidth="1"/>
    <col min="2573" max="2573" width="6.85546875" style="16" bestFit="1" customWidth="1"/>
    <col min="2574" max="2574" width="7" style="16" bestFit="1" customWidth="1"/>
    <col min="2575" max="2575" width="8" style="16" bestFit="1" customWidth="1"/>
    <col min="2576" max="2576" width="9.140625" style="16"/>
    <col min="2577" max="2577" width="8" style="16" bestFit="1" customWidth="1"/>
    <col min="2578" max="2578" width="9.140625" style="16"/>
    <col min="2579" max="2579" width="12" style="16" customWidth="1"/>
    <col min="2580" max="2816" width="9.140625" style="16"/>
    <col min="2817" max="2817" width="5" style="16" customWidth="1"/>
    <col min="2818" max="2818" width="18.42578125" style="16" customWidth="1"/>
    <col min="2819" max="2819" width="11.140625" style="16" bestFit="1" customWidth="1"/>
    <col min="2820" max="2820" width="6.7109375" style="16" bestFit="1" customWidth="1"/>
    <col min="2821" max="2821" width="8.5703125" style="16" bestFit="1" customWidth="1"/>
    <col min="2822" max="2822" width="9.28515625" style="16" bestFit="1" customWidth="1"/>
    <col min="2823" max="2823" width="10.42578125" style="16" bestFit="1" customWidth="1"/>
    <col min="2824" max="2824" width="10.28515625" style="16" bestFit="1" customWidth="1"/>
    <col min="2825" max="2825" width="7.140625" style="16" bestFit="1" customWidth="1"/>
    <col min="2826" max="2828" width="7" style="16" bestFit="1" customWidth="1"/>
    <col min="2829" max="2829" width="6.85546875" style="16" bestFit="1" customWidth="1"/>
    <col min="2830" max="2830" width="7" style="16" bestFit="1" customWidth="1"/>
    <col min="2831" max="2831" width="8" style="16" bestFit="1" customWidth="1"/>
    <col min="2832" max="2832" width="9.140625" style="16"/>
    <col min="2833" max="2833" width="8" style="16" bestFit="1" customWidth="1"/>
    <col min="2834" max="2834" width="9.140625" style="16"/>
    <col min="2835" max="2835" width="12" style="16" customWidth="1"/>
    <col min="2836" max="3072" width="9.140625" style="16"/>
    <col min="3073" max="3073" width="5" style="16" customWidth="1"/>
    <col min="3074" max="3074" width="18.42578125" style="16" customWidth="1"/>
    <col min="3075" max="3075" width="11.140625" style="16" bestFit="1" customWidth="1"/>
    <col min="3076" max="3076" width="6.7109375" style="16" bestFit="1" customWidth="1"/>
    <col min="3077" max="3077" width="8.5703125" style="16" bestFit="1" customWidth="1"/>
    <col min="3078" max="3078" width="9.28515625" style="16" bestFit="1" customWidth="1"/>
    <col min="3079" max="3079" width="10.42578125" style="16" bestFit="1" customWidth="1"/>
    <col min="3080" max="3080" width="10.28515625" style="16" bestFit="1" customWidth="1"/>
    <col min="3081" max="3081" width="7.140625" style="16" bestFit="1" customWidth="1"/>
    <col min="3082" max="3084" width="7" style="16" bestFit="1" customWidth="1"/>
    <col min="3085" max="3085" width="6.85546875" style="16" bestFit="1" customWidth="1"/>
    <col min="3086" max="3086" width="7" style="16" bestFit="1" customWidth="1"/>
    <col min="3087" max="3087" width="8" style="16" bestFit="1" customWidth="1"/>
    <col min="3088" max="3088" width="9.140625" style="16"/>
    <col min="3089" max="3089" width="8" style="16" bestFit="1" customWidth="1"/>
    <col min="3090" max="3090" width="9.140625" style="16"/>
    <col min="3091" max="3091" width="12" style="16" customWidth="1"/>
    <col min="3092" max="3328" width="9.140625" style="16"/>
    <col min="3329" max="3329" width="5" style="16" customWidth="1"/>
    <col min="3330" max="3330" width="18.42578125" style="16" customWidth="1"/>
    <col min="3331" max="3331" width="11.140625" style="16" bestFit="1" customWidth="1"/>
    <col min="3332" max="3332" width="6.7109375" style="16" bestFit="1" customWidth="1"/>
    <col min="3333" max="3333" width="8.5703125" style="16" bestFit="1" customWidth="1"/>
    <col min="3334" max="3334" width="9.28515625" style="16" bestFit="1" customWidth="1"/>
    <col min="3335" max="3335" width="10.42578125" style="16" bestFit="1" customWidth="1"/>
    <col min="3336" max="3336" width="10.28515625" style="16" bestFit="1" customWidth="1"/>
    <col min="3337" max="3337" width="7.140625" style="16" bestFit="1" customWidth="1"/>
    <col min="3338" max="3340" width="7" style="16" bestFit="1" customWidth="1"/>
    <col min="3341" max="3341" width="6.85546875" style="16" bestFit="1" customWidth="1"/>
    <col min="3342" max="3342" width="7" style="16" bestFit="1" customWidth="1"/>
    <col min="3343" max="3343" width="8" style="16" bestFit="1" customWidth="1"/>
    <col min="3344" max="3344" width="9.140625" style="16"/>
    <col min="3345" max="3345" width="8" style="16" bestFit="1" customWidth="1"/>
    <col min="3346" max="3346" width="9.140625" style="16"/>
    <col min="3347" max="3347" width="12" style="16" customWidth="1"/>
    <col min="3348" max="3584" width="9.140625" style="16"/>
    <col min="3585" max="3585" width="5" style="16" customWidth="1"/>
    <col min="3586" max="3586" width="18.42578125" style="16" customWidth="1"/>
    <col min="3587" max="3587" width="11.140625" style="16" bestFit="1" customWidth="1"/>
    <col min="3588" max="3588" width="6.7109375" style="16" bestFit="1" customWidth="1"/>
    <col min="3589" max="3589" width="8.5703125" style="16" bestFit="1" customWidth="1"/>
    <col min="3590" max="3590" width="9.28515625" style="16" bestFit="1" customWidth="1"/>
    <col min="3591" max="3591" width="10.42578125" style="16" bestFit="1" customWidth="1"/>
    <col min="3592" max="3592" width="10.28515625" style="16" bestFit="1" customWidth="1"/>
    <col min="3593" max="3593" width="7.140625" style="16" bestFit="1" customWidth="1"/>
    <col min="3594" max="3596" width="7" style="16" bestFit="1" customWidth="1"/>
    <col min="3597" max="3597" width="6.85546875" style="16" bestFit="1" customWidth="1"/>
    <col min="3598" max="3598" width="7" style="16" bestFit="1" customWidth="1"/>
    <col min="3599" max="3599" width="8" style="16" bestFit="1" customWidth="1"/>
    <col min="3600" max="3600" width="9.140625" style="16"/>
    <col min="3601" max="3601" width="8" style="16" bestFit="1" customWidth="1"/>
    <col min="3602" max="3602" width="9.140625" style="16"/>
    <col min="3603" max="3603" width="12" style="16" customWidth="1"/>
    <col min="3604" max="3840" width="9.140625" style="16"/>
    <col min="3841" max="3841" width="5" style="16" customWidth="1"/>
    <col min="3842" max="3842" width="18.42578125" style="16" customWidth="1"/>
    <col min="3843" max="3843" width="11.140625" style="16" bestFit="1" customWidth="1"/>
    <col min="3844" max="3844" width="6.7109375" style="16" bestFit="1" customWidth="1"/>
    <col min="3845" max="3845" width="8.5703125" style="16" bestFit="1" customWidth="1"/>
    <col min="3846" max="3846" width="9.28515625" style="16" bestFit="1" customWidth="1"/>
    <col min="3847" max="3847" width="10.42578125" style="16" bestFit="1" customWidth="1"/>
    <col min="3848" max="3848" width="10.28515625" style="16" bestFit="1" customWidth="1"/>
    <col min="3849" max="3849" width="7.140625" style="16" bestFit="1" customWidth="1"/>
    <col min="3850" max="3852" width="7" style="16" bestFit="1" customWidth="1"/>
    <col min="3853" max="3853" width="6.85546875" style="16" bestFit="1" customWidth="1"/>
    <col min="3854" max="3854" width="7" style="16" bestFit="1" customWidth="1"/>
    <col min="3855" max="3855" width="8" style="16" bestFit="1" customWidth="1"/>
    <col min="3856" max="3856" width="9.140625" style="16"/>
    <col min="3857" max="3857" width="8" style="16" bestFit="1" customWidth="1"/>
    <col min="3858" max="3858" width="9.140625" style="16"/>
    <col min="3859" max="3859" width="12" style="16" customWidth="1"/>
    <col min="3860" max="4096" width="9.140625" style="16"/>
    <col min="4097" max="4097" width="5" style="16" customWidth="1"/>
    <col min="4098" max="4098" width="18.42578125" style="16" customWidth="1"/>
    <col min="4099" max="4099" width="11.140625" style="16" bestFit="1" customWidth="1"/>
    <col min="4100" max="4100" width="6.7109375" style="16" bestFit="1" customWidth="1"/>
    <col min="4101" max="4101" width="8.5703125" style="16" bestFit="1" customWidth="1"/>
    <col min="4102" max="4102" width="9.28515625" style="16" bestFit="1" customWidth="1"/>
    <col min="4103" max="4103" width="10.42578125" style="16" bestFit="1" customWidth="1"/>
    <col min="4104" max="4104" width="10.28515625" style="16" bestFit="1" customWidth="1"/>
    <col min="4105" max="4105" width="7.140625" style="16" bestFit="1" customWidth="1"/>
    <col min="4106" max="4108" width="7" style="16" bestFit="1" customWidth="1"/>
    <col min="4109" max="4109" width="6.85546875" style="16" bestFit="1" customWidth="1"/>
    <col min="4110" max="4110" width="7" style="16" bestFit="1" customWidth="1"/>
    <col min="4111" max="4111" width="8" style="16" bestFit="1" customWidth="1"/>
    <col min="4112" max="4112" width="9.140625" style="16"/>
    <col min="4113" max="4113" width="8" style="16" bestFit="1" customWidth="1"/>
    <col min="4114" max="4114" width="9.140625" style="16"/>
    <col min="4115" max="4115" width="12" style="16" customWidth="1"/>
    <col min="4116" max="4352" width="9.140625" style="16"/>
    <col min="4353" max="4353" width="5" style="16" customWidth="1"/>
    <col min="4354" max="4354" width="18.42578125" style="16" customWidth="1"/>
    <col min="4355" max="4355" width="11.140625" style="16" bestFit="1" customWidth="1"/>
    <col min="4356" max="4356" width="6.7109375" style="16" bestFit="1" customWidth="1"/>
    <col min="4357" max="4357" width="8.5703125" style="16" bestFit="1" customWidth="1"/>
    <col min="4358" max="4358" width="9.28515625" style="16" bestFit="1" customWidth="1"/>
    <col min="4359" max="4359" width="10.42578125" style="16" bestFit="1" customWidth="1"/>
    <col min="4360" max="4360" width="10.28515625" style="16" bestFit="1" customWidth="1"/>
    <col min="4361" max="4361" width="7.140625" style="16" bestFit="1" customWidth="1"/>
    <col min="4362" max="4364" width="7" style="16" bestFit="1" customWidth="1"/>
    <col min="4365" max="4365" width="6.85546875" style="16" bestFit="1" customWidth="1"/>
    <col min="4366" max="4366" width="7" style="16" bestFit="1" customWidth="1"/>
    <col min="4367" max="4367" width="8" style="16" bestFit="1" customWidth="1"/>
    <col min="4368" max="4368" width="9.140625" style="16"/>
    <col min="4369" max="4369" width="8" style="16" bestFit="1" customWidth="1"/>
    <col min="4370" max="4370" width="9.140625" style="16"/>
    <col min="4371" max="4371" width="12" style="16" customWidth="1"/>
    <col min="4372" max="4608" width="9.140625" style="16"/>
    <col min="4609" max="4609" width="5" style="16" customWidth="1"/>
    <col min="4610" max="4610" width="18.42578125" style="16" customWidth="1"/>
    <col min="4611" max="4611" width="11.140625" style="16" bestFit="1" customWidth="1"/>
    <col min="4612" max="4612" width="6.7109375" style="16" bestFit="1" customWidth="1"/>
    <col min="4613" max="4613" width="8.5703125" style="16" bestFit="1" customWidth="1"/>
    <col min="4614" max="4614" width="9.28515625" style="16" bestFit="1" customWidth="1"/>
    <col min="4615" max="4615" width="10.42578125" style="16" bestFit="1" customWidth="1"/>
    <col min="4616" max="4616" width="10.28515625" style="16" bestFit="1" customWidth="1"/>
    <col min="4617" max="4617" width="7.140625" style="16" bestFit="1" customWidth="1"/>
    <col min="4618" max="4620" width="7" style="16" bestFit="1" customWidth="1"/>
    <col min="4621" max="4621" width="6.85546875" style="16" bestFit="1" customWidth="1"/>
    <col min="4622" max="4622" width="7" style="16" bestFit="1" customWidth="1"/>
    <col min="4623" max="4623" width="8" style="16" bestFit="1" customWidth="1"/>
    <col min="4624" max="4624" width="9.140625" style="16"/>
    <col min="4625" max="4625" width="8" style="16" bestFit="1" customWidth="1"/>
    <col min="4626" max="4626" width="9.140625" style="16"/>
    <col min="4627" max="4627" width="12" style="16" customWidth="1"/>
    <col min="4628" max="4864" width="9.140625" style="16"/>
    <col min="4865" max="4865" width="5" style="16" customWidth="1"/>
    <col min="4866" max="4866" width="18.42578125" style="16" customWidth="1"/>
    <col min="4867" max="4867" width="11.140625" style="16" bestFit="1" customWidth="1"/>
    <col min="4868" max="4868" width="6.7109375" style="16" bestFit="1" customWidth="1"/>
    <col min="4869" max="4869" width="8.5703125" style="16" bestFit="1" customWidth="1"/>
    <col min="4870" max="4870" width="9.28515625" style="16" bestFit="1" customWidth="1"/>
    <col min="4871" max="4871" width="10.42578125" style="16" bestFit="1" customWidth="1"/>
    <col min="4872" max="4872" width="10.28515625" style="16" bestFit="1" customWidth="1"/>
    <col min="4873" max="4873" width="7.140625" style="16" bestFit="1" customWidth="1"/>
    <col min="4874" max="4876" width="7" style="16" bestFit="1" customWidth="1"/>
    <col min="4877" max="4877" width="6.85546875" style="16" bestFit="1" customWidth="1"/>
    <col min="4878" max="4878" width="7" style="16" bestFit="1" customWidth="1"/>
    <col min="4879" max="4879" width="8" style="16" bestFit="1" customWidth="1"/>
    <col min="4880" max="4880" width="9.140625" style="16"/>
    <col min="4881" max="4881" width="8" style="16" bestFit="1" customWidth="1"/>
    <col min="4882" max="4882" width="9.140625" style="16"/>
    <col min="4883" max="4883" width="12" style="16" customWidth="1"/>
    <col min="4884" max="5120" width="9.140625" style="16"/>
    <col min="5121" max="5121" width="5" style="16" customWidth="1"/>
    <col min="5122" max="5122" width="18.42578125" style="16" customWidth="1"/>
    <col min="5123" max="5123" width="11.140625" style="16" bestFit="1" customWidth="1"/>
    <col min="5124" max="5124" width="6.7109375" style="16" bestFit="1" customWidth="1"/>
    <col min="5125" max="5125" width="8.5703125" style="16" bestFit="1" customWidth="1"/>
    <col min="5126" max="5126" width="9.28515625" style="16" bestFit="1" customWidth="1"/>
    <col min="5127" max="5127" width="10.42578125" style="16" bestFit="1" customWidth="1"/>
    <col min="5128" max="5128" width="10.28515625" style="16" bestFit="1" customWidth="1"/>
    <col min="5129" max="5129" width="7.140625" style="16" bestFit="1" customWidth="1"/>
    <col min="5130" max="5132" width="7" style="16" bestFit="1" customWidth="1"/>
    <col min="5133" max="5133" width="6.85546875" style="16" bestFit="1" customWidth="1"/>
    <col min="5134" max="5134" width="7" style="16" bestFit="1" customWidth="1"/>
    <col min="5135" max="5135" width="8" style="16" bestFit="1" customWidth="1"/>
    <col min="5136" max="5136" width="9.140625" style="16"/>
    <col min="5137" max="5137" width="8" style="16" bestFit="1" customWidth="1"/>
    <col min="5138" max="5138" width="9.140625" style="16"/>
    <col min="5139" max="5139" width="12" style="16" customWidth="1"/>
    <col min="5140" max="5376" width="9.140625" style="16"/>
    <col min="5377" max="5377" width="5" style="16" customWidth="1"/>
    <col min="5378" max="5378" width="18.42578125" style="16" customWidth="1"/>
    <col min="5379" max="5379" width="11.140625" style="16" bestFit="1" customWidth="1"/>
    <col min="5380" max="5380" width="6.7109375" style="16" bestFit="1" customWidth="1"/>
    <col min="5381" max="5381" width="8.5703125" style="16" bestFit="1" customWidth="1"/>
    <col min="5382" max="5382" width="9.28515625" style="16" bestFit="1" customWidth="1"/>
    <col min="5383" max="5383" width="10.42578125" style="16" bestFit="1" customWidth="1"/>
    <col min="5384" max="5384" width="10.28515625" style="16" bestFit="1" customWidth="1"/>
    <col min="5385" max="5385" width="7.140625" style="16" bestFit="1" customWidth="1"/>
    <col min="5386" max="5388" width="7" style="16" bestFit="1" customWidth="1"/>
    <col min="5389" max="5389" width="6.85546875" style="16" bestFit="1" customWidth="1"/>
    <col min="5390" max="5390" width="7" style="16" bestFit="1" customWidth="1"/>
    <col min="5391" max="5391" width="8" style="16" bestFit="1" customWidth="1"/>
    <col min="5392" max="5392" width="9.140625" style="16"/>
    <col min="5393" max="5393" width="8" style="16" bestFit="1" customWidth="1"/>
    <col min="5394" max="5394" width="9.140625" style="16"/>
    <col min="5395" max="5395" width="12" style="16" customWidth="1"/>
    <col min="5396" max="5632" width="9.140625" style="16"/>
    <col min="5633" max="5633" width="5" style="16" customWidth="1"/>
    <col min="5634" max="5634" width="18.42578125" style="16" customWidth="1"/>
    <col min="5635" max="5635" width="11.140625" style="16" bestFit="1" customWidth="1"/>
    <col min="5636" max="5636" width="6.7109375" style="16" bestFit="1" customWidth="1"/>
    <col min="5637" max="5637" width="8.5703125" style="16" bestFit="1" customWidth="1"/>
    <col min="5638" max="5638" width="9.28515625" style="16" bestFit="1" customWidth="1"/>
    <col min="5639" max="5639" width="10.42578125" style="16" bestFit="1" customWidth="1"/>
    <col min="5640" max="5640" width="10.28515625" style="16" bestFit="1" customWidth="1"/>
    <col min="5641" max="5641" width="7.140625" style="16" bestFit="1" customWidth="1"/>
    <col min="5642" max="5644" width="7" style="16" bestFit="1" customWidth="1"/>
    <col min="5645" max="5645" width="6.85546875" style="16" bestFit="1" customWidth="1"/>
    <col min="5646" max="5646" width="7" style="16" bestFit="1" customWidth="1"/>
    <col min="5647" max="5647" width="8" style="16" bestFit="1" customWidth="1"/>
    <col min="5648" max="5648" width="9.140625" style="16"/>
    <col min="5649" max="5649" width="8" style="16" bestFit="1" customWidth="1"/>
    <col min="5650" max="5650" width="9.140625" style="16"/>
    <col min="5651" max="5651" width="12" style="16" customWidth="1"/>
    <col min="5652" max="5888" width="9.140625" style="16"/>
    <col min="5889" max="5889" width="5" style="16" customWidth="1"/>
    <col min="5890" max="5890" width="18.42578125" style="16" customWidth="1"/>
    <col min="5891" max="5891" width="11.140625" style="16" bestFit="1" customWidth="1"/>
    <col min="5892" max="5892" width="6.7109375" style="16" bestFit="1" customWidth="1"/>
    <col min="5893" max="5893" width="8.5703125" style="16" bestFit="1" customWidth="1"/>
    <col min="5894" max="5894" width="9.28515625" style="16" bestFit="1" customWidth="1"/>
    <col min="5895" max="5895" width="10.42578125" style="16" bestFit="1" customWidth="1"/>
    <col min="5896" max="5896" width="10.28515625" style="16" bestFit="1" customWidth="1"/>
    <col min="5897" max="5897" width="7.140625" style="16" bestFit="1" customWidth="1"/>
    <col min="5898" max="5900" width="7" style="16" bestFit="1" customWidth="1"/>
    <col min="5901" max="5901" width="6.85546875" style="16" bestFit="1" customWidth="1"/>
    <col min="5902" max="5902" width="7" style="16" bestFit="1" customWidth="1"/>
    <col min="5903" max="5903" width="8" style="16" bestFit="1" customWidth="1"/>
    <col min="5904" max="5904" width="9.140625" style="16"/>
    <col min="5905" max="5905" width="8" style="16" bestFit="1" customWidth="1"/>
    <col min="5906" max="5906" width="9.140625" style="16"/>
    <col min="5907" max="5907" width="12" style="16" customWidth="1"/>
    <col min="5908" max="6144" width="9.140625" style="16"/>
    <col min="6145" max="6145" width="5" style="16" customWidth="1"/>
    <col min="6146" max="6146" width="18.42578125" style="16" customWidth="1"/>
    <col min="6147" max="6147" width="11.140625" style="16" bestFit="1" customWidth="1"/>
    <col min="6148" max="6148" width="6.7109375" style="16" bestFit="1" customWidth="1"/>
    <col min="6149" max="6149" width="8.5703125" style="16" bestFit="1" customWidth="1"/>
    <col min="6150" max="6150" width="9.28515625" style="16" bestFit="1" customWidth="1"/>
    <col min="6151" max="6151" width="10.42578125" style="16" bestFit="1" customWidth="1"/>
    <col min="6152" max="6152" width="10.28515625" style="16" bestFit="1" customWidth="1"/>
    <col min="6153" max="6153" width="7.140625" style="16" bestFit="1" customWidth="1"/>
    <col min="6154" max="6156" width="7" style="16" bestFit="1" customWidth="1"/>
    <col min="6157" max="6157" width="6.85546875" style="16" bestFit="1" customWidth="1"/>
    <col min="6158" max="6158" width="7" style="16" bestFit="1" customWidth="1"/>
    <col min="6159" max="6159" width="8" style="16" bestFit="1" customWidth="1"/>
    <col min="6160" max="6160" width="9.140625" style="16"/>
    <col min="6161" max="6161" width="8" style="16" bestFit="1" customWidth="1"/>
    <col min="6162" max="6162" width="9.140625" style="16"/>
    <col min="6163" max="6163" width="12" style="16" customWidth="1"/>
    <col min="6164" max="6400" width="9.140625" style="16"/>
    <col min="6401" max="6401" width="5" style="16" customWidth="1"/>
    <col min="6402" max="6402" width="18.42578125" style="16" customWidth="1"/>
    <col min="6403" max="6403" width="11.140625" style="16" bestFit="1" customWidth="1"/>
    <col min="6404" max="6404" width="6.7109375" style="16" bestFit="1" customWidth="1"/>
    <col min="6405" max="6405" width="8.5703125" style="16" bestFit="1" customWidth="1"/>
    <col min="6406" max="6406" width="9.28515625" style="16" bestFit="1" customWidth="1"/>
    <col min="6407" max="6407" width="10.42578125" style="16" bestFit="1" customWidth="1"/>
    <col min="6408" max="6408" width="10.28515625" style="16" bestFit="1" customWidth="1"/>
    <col min="6409" max="6409" width="7.140625" style="16" bestFit="1" customWidth="1"/>
    <col min="6410" max="6412" width="7" style="16" bestFit="1" customWidth="1"/>
    <col min="6413" max="6413" width="6.85546875" style="16" bestFit="1" customWidth="1"/>
    <col min="6414" max="6414" width="7" style="16" bestFit="1" customWidth="1"/>
    <col min="6415" max="6415" width="8" style="16" bestFit="1" customWidth="1"/>
    <col min="6416" max="6416" width="9.140625" style="16"/>
    <col min="6417" max="6417" width="8" style="16" bestFit="1" customWidth="1"/>
    <col min="6418" max="6418" width="9.140625" style="16"/>
    <col min="6419" max="6419" width="12" style="16" customWidth="1"/>
    <col min="6420" max="6656" width="9.140625" style="16"/>
    <col min="6657" max="6657" width="5" style="16" customWidth="1"/>
    <col min="6658" max="6658" width="18.42578125" style="16" customWidth="1"/>
    <col min="6659" max="6659" width="11.140625" style="16" bestFit="1" customWidth="1"/>
    <col min="6660" max="6660" width="6.7109375" style="16" bestFit="1" customWidth="1"/>
    <col min="6661" max="6661" width="8.5703125" style="16" bestFit="1" customWidth="1"/>
    <col min="6662" max="6662" width="9.28515625" style="16" bestFit="1" customWidth="1"/>
    <col min="6663" max="6663" width="10.42578125" style="16" bestFit="1" customWidth="1"/>
    <col min="6664" max="6664" width="10.28515625" style="16" bestFit="1" customWidth="1"/>
    <col min="6665" max="6665" width="7.140625" style="16" bestFit="1" customWidth="1"/>
    <col min="6666" max="6668" width="7" style="16" bestFit="1" customWidth="1"/>
    <col min="6669" max="6669" width="6.85546875" style="16" bestFit="1" customWidth="1"/>
    <col min="6670" max="6670" width="7" style="16" bestFit="1" customWidth="1"/>
    <col min="6671" max="6671" width="8" style="16" bestFit="1" customWidth="1"/>
    <col min="6672" max="6672" width="9.140625" style="16"/>
    <col min="6673" max="6673" width="8" style="16" bestFit="1" customWidth="1"/>
    <col min="6674" max="6674" width="9.140625" style="16"/>
    <col min="6675" max="6675" width="12" style="16" customWidth="1"/>
    <col min="6676" max="6912" width="9.140625" style="16"/>
    <col min="6913" max="6913" width="5" style="16" customWidth="1"/>
    <col min="6914" max="6914" width="18.42578125" style="16" customWidth="1"/>
    <col min="6915" max="6915" width="11.140625" style="16" bestFit="1" customWidth="1"/>
    <col min="6916" max="6916" width="6.7109375" style="16" bestFit="1" customWidth="1"/>
    <col min="6917" max="6917" width="8.5703125" style="16" bestFit="1" customWidth="1"/>
    <col min="6918" max="6918" width="9.28515625" style="16" bestFit="1" customWidth="1"/>
    <col min="6919" max="6919" width="10.42578125" style="16" bestFit="1" customWidth="1"/>
    <col min="6920" max="6920" width="10.28515625" style="16" bestFit="1" customWidth="1"/>
    <col min="6921" max="6921" width="7.140625" style="16" bestFit="1" customWidth="1"/>
    <col min="6922" max="6924" width="7" style="16" bestFit="1" customWidth="1"/>
    <col min="6925" max="6925" width="6.85546875" style="16" bestFit="1" customWidth="1"/>
    <col min="6926" max="6926" width="7" style="16" bestFit="1" customWidth="1"/>
    <col min="6927" max="6927" width="8" style="16" bestFit="1" customWidth="1"/>
    <col min="6928" max="6928" width="9.140625" style="16"/>
    <col min="6929" max="6929" width="8" style="16" bestFit="1" customWidth="1"/>
    <col min="6930" max="6930" width="9.140625" style="16"/>
    <col min="6931" max="6931" width="12" style="16" customWidth="1"/>
    <col min="6932" max="7168" width="9.140625" style="16"/>
    <col min="7169" max="7169" width="5" style="16" customWidth="1"/>
    <col min="7170" max="7170" width="18.42578125" style="16" customWidth="1"/>
    <col min="7171" max="7171" width="11.140625" style="16" bestFit="1" customWidth="1"/>
    <col min="7172" max="7172" width="6.7109375" style="16" bestFit="1" customWidth="1"/>
    <col min="7173" max="7173" width="8.5703125" style="16" bestFit="1" customWidth="1"/>
    <col min="7174" max="7174" width="9.28515625" style="16" bestFit="1" customWidth="1"/>
    <col min="7175" max="7175" width="10.42578125" style="16" bestFit="1" customWidth="1"/>
    <col min="7176" max="7176" width="10.28515625" style="16" bestFit="1" customWidth="1"/>
    <col min="7177" max="7177" width="7.140625" style="16" bestFit="1" customWidth="1"/>
    <col min="7178" max="7180" width="7" style="16" bestFit="1" customWidth="1"/>
    <col min="7181" max="7181" width="6.85546875" style="16" bestFit="1" customWidth="1"/>
    <col min="7182" max="7182" width="7" style="16" bestFit="1" customWidth="1"/>
    <col min="7183" max="7183" width="8" style="16" bestFit="1" customWidth="1"/>
    <col min="7184" max="7184" width="9.140625" style="16"/>
    <col min="7185" max="7185" width="8" style="16" bestFit="1" customWidth="1"/>
    <col min="7186" max="7186" width="9.140625" style="16"/>
    <col min="7187" max="7187" width="12" style="16" customWidth="1"/>
    <col min="7188" max="7424" width="9.140625" style="16"/>
    <col min="7425" max="7425" width="5" style="16" customWidth="1"/>
    <col min="7426" max="7426" width="18.42578125" style="16" customWidth="1"/>
    <col min="7427" max="7427" width="11.140625" style="16" bestFit="1" customWidth="1"/>
    <col min="7428" max="7428" width="6.7109375" style="16" bestFit="1" customWidth="1"/>
    <col min="7429" max="7429" width="8.5703125" style="16" bestFit="1" customWidth="1"/>
    <col min="7430" max="7430" width="9.28515625" style="16" bestFit="1" customWidth="1"/>
    <col min="7431" max="7431" width="10.42578125" style="16" bestFit="1" customWidth="1"/>
    <col min="7432" max="7432" width="10.28515625" style="16" bestFit="1" customWidth="1"/>
    <col min="7433" max="7433" width="7.140625" style="16" bestFit="1" customWidth="1"/>
    <col min="7434" max="7436" width="7" style="16" bestFit="1" customWidth="1"/>
    <col min="7437" max="7437" width="6.85546875" style="16" bestFit="1" customWidth="1"/>
    <col min="7438" max="7438" width="7" style="16" bestFit="1" customWidth="1"/>
    <col min="7439" max="7439" width="8" style="16" bestFit="1" customWidth="1"/>
    <col min="7440" max="7440" width="9.140625" style="16"/>
    <col min="7441" max="7441" width="8" style="16" bestFit="1" customWidth="1"/>
    <col min="7442" max="7442" width="9.140625" style="16"/>
    <col min="7443" max="7443" width="12" style="16" customWidth="1"/>
    <col min="7444" max="7680" width="9.140625" style="16"/>
    <col min="7681" max="7681" width="5" style="16" customWidth="1"/>
    <col min="7682" max="7682" width="18.42578125" style="16" customWidth="1"/>
    <col min="7683" max="7683" width="11.140625" style="16" bestFit="1" customWidth="1"/>
    <col min="7684" max="7684" width="6.7109375" style="16" bestFit="1" customWidth="1"/>
    <col min="7685" max="7685" width="8.5703125" style="16" bestFit="1" customWidth="1"/>
    <col min="7686" max="7686" width="9.28515625" style="16" bestFit="1" customWidth="1"/>
    <col min="7687" max="7687" width="10.42578125" style="16" bestFit="1" customWidth="1"/>
    <col min="7688" max="7688" width="10.28515625" style="16" bestFit="1" customWidth="1"/>
    <col min="7689" max="7689" width="7.140625" style="16" bestFit="1" customWidth="1"/>
    <col min="7690" max="7692" width="7" style="16" bestFit="1" customWidth="1"/>
    <col min="7693" max="7693" width="6.85546875" style="16" bestFit="1" customWidth="1"/>
    <col min="7694" max="7694" width="7" style="16" bestFit="1" customWidth="1"/>
    <col min="7695" max="7695" width="8" style="16" bestFit="1" customWidth="1"/>
    <col min="7696" max="7696" width="9.140625" style="16"/>
    <col min="7697" max="7697" width="8" style="16" bestFit="1" customWidth="1"/>
    <col min="7698" max="7698" width="9.140625" style="16"/>
    <col min="7699" max="7699" width="12" style="16" customWidth="1"/>
    <col min="7700" max="7936" width="9.140625" style="16"/>
    <col min="7937" max="7937" width="5" style="16" customWidth="1"/>
    <col min="7938" max="7938" width="18.42578125" style="16" customWidth="1"/>
    <col min="7939" max="7939" width="11.140625" style="16" bestFit="1" customWidth="1"/>
    <col min="7940" max="7940" width="6.7109375" style="16" bestFit="1" customWidth="1"/>
    <col min="7941" max="7941" width="8.5703125" style="16" bestFit="1" customWidth="1"/>
    <col min="7942" max="7942" width="9.28515625" style="16" bestFit="1" customWidth="1"/>
    <col min="7943" max="7943" width="10.42578125" style="16" bestFit="1" customWidth="1"/>
    <col min="7944" max="7944" width="10.28515625" style="16" bestFit="1" customWidth="1"/>
    <col min="7945" max="7945" width="7.140625" style="16" bestFit="1" customWidth="1"/>
    <col min="7946" max="7948" width="7" style="16" bestFit="1" customWidth="1"/>
    <col min="7949" max="7949" width="6.85546875" style="16" bestFit="1" customWidth="1"/>
    <col min="7950" max="7950" width="7" style="16" bestFit="1" customWidth="1"/>
    <col min="7951" max="7951" width="8" style="16" bestFit="1" customWidth="1"/>
    <col min="7952" max="7952" width="9.140625" style="16"/>
    <col min="7953" max="7953" width="8" style="16" bestFit="1" customWidth="1"/>
    <col min="7954" max="7954" width="9.140625" style="16"/>
    <col min="7955" max="7955" width="12" style="16" customWidth="1"/>
    <col min="7956" max="8192" width="9.140625" style="16"/>
    <col min="8193" max="8193" width="5" style="16" customWidth="1"/>
    <col min="8194" max="8194" width="18.42578125" style="16" customWidth="1"/>
    <col min="8195" max="8195" width="11.140625" style="16" bestFit="1" customWidth="1"/>
    <col min="8196" max="8196" width="6.7109375" style="16" bestFit="1" customWidth="1"/>
    <col min="8197" max="8197" width="8.5703125" style="16" bestFit="1" customWidth="1"/>
    <col min="8198" max="8198" width="9.28515625" style="16" bestFit="1" customWidth="1"/>
    <col min="8199" max="8199" width="10.42578125" style="16" bestFit="1" customWidth="1"/>
    <col min="8200" max="8200" width="10.28515625" style="16" bestFit="1" customWidth="1"/>
    <col min="8201" max="8201" width="7.140625" style="16" bestFit="1" customWidth="1"/>
    <col min="8202" max="8204" width="7" style="16" bestFit="1" customWidth="1"/>
    <col min="8205" max="8205" width="6.85546875" style="16" bestFit="1" customWidth="1"/>
    <col min="8206" max="8206" width="7" style="16" bestFit="1" customWidth="1"/>
    <col min="8207" max="8207" width="8" style="16" bestFit="1" customWidth="1"/>
    <col min="8208" max="8208" width="9.140625" style="16"/>
    <col min="8209" max="8209" width="8" style="16" bestFit="1" customWidth="1"/>
    <col min="8210" max="8210" width="9.140625" style="16"/>
    <col min="8211" max="8211" width="12" style="16" customWidth="1"/>
    <col min="8212" max="8448" width="9.140625" style="16"/>
    <col min="8449" max="8449" width="5" style="16" customWidth="1"/>
    <col min="8450" max="8450" width="18.42578125" style="16" customWidth="1"/>
    <col min="8451" max="8451" width="11.140625" style="16" bestFit="1" customWidth="1"/>
    <col min="8452" max="8452" width="6.7109375" style="16" bestFit="1" customWidth="1"/>
    <col min="8453" max="8453" width="8.5703125" style="16" bestFit="1" customWidth="1"/>
    <col min="8454" max="8454" width="9.28515625" style="16" bestFit="1" customWidth="1"/>
    <col min="8455" max="8455" width="10.42578125" style="16" bestFit="1" customWidth="1"/>
    <col min="8456" max="8456" width="10.28515625" style="16" bestFit="1" customWidth="1"/>
    <col min="8457" max="8457" width="7.140625" style="16" bestFit="1" customWidth="1"/>
    <col min="8458" max="8460" width="7" style="16" bestFit="1" customWidth="1"/>
    <col min="8461" max="8461" width="6.85546875" style="16" bestFit="1" customWidth="1"/>
    <col min="8462" max="8462" width="7" style="16" bestFit="1" customWidth="1"/>
    <col min="8463" max="8463" width="8" style="16" bestFit="1" customWidth="1"/>
    <col min="8464" max="8464" width="9.140625" style="16"/>
    <col min="8465" max="8465" width="8" style="16" bestFit="1" customWidth="1"/>
    <col min="8466" max="8466" width="9.140625" style="16"/>
    <col min="8467" max="8467" width="12" style="16" customWidth="1"/>
    <col min="8468" max="8704" width="9.140625" style="16"/>
    <col min="8705" max="8705" width="5" style="16" customWidth="1"/>
    <col min="8706" max="8706" width="18.42578125" style="16" customWidth="1"/>
    <col min="8707" max="8707" width="11.140625" style="16" bestFit="1" customWidth="1"/>
    <col min="8708" max="8708" width="6.7109375" style="16" bestFit="1" customWidth="1"/>
    <col min="8709" max="8709" width="8.5703125" style="16" bestFit="1" customWidth="1"/>
    <col min="8710" max="8710" width="9.28515625" style="16" bestFit="1" customWidth="1"/>
    <col min="8711" max="8711" width="10.42578125" style="16" bestFit="1" customWidth="1"/>
    <col min="8712" max="8712" width="10.28515625" style="16" bestFit="1" customWidth="1"/>
    <col min="8713" max="8713" width="7.140625" style="16" bestFit="1" customWidth="1"/>
    <col min="8714" max="8716" width="7" style="16" bestFit="1" customWidth="1"/>
    <col min="8717" max="8717" width="6.85546875" style="16" bestFit="1" customWidth="1"/>
    <col min="8718" max="8718" width="7" style="16" bestFit="1" customWidth="1"/>
    <col min="8719" max="8719" width="8" style="16" bestFit="1" customWidth="1"/>
    <col min="8720" max="8720" width="9.140625" style="16"/>
    <col min="8721" max="8721" width="8" style="16" bestFit="1" customWidth="1"/>
    <col min="8722" max="8722" width="9.140625" style="16"/>
    <col min="8723" max="8723" width="12" style="16" customWidth="1"/>
    <col min="8724" max="8960" width="9.140625" style="16"/>
    <col min="8961" max="8961" width="5" style="16" customWidth="1"/>
    <col min="8962" max="8962" width="18.42578125" style="16" customWidth="1"/>
    <col min="8963" max="8963" width="11.140625" style="16" bestFit="1" customWidth="1"/>
    <col min="8964" max="8964" width="6.7109375" style="16" bestFit="1" customWidth="1"/>
    <col min="8965" max="8965" width="8.5703125" style="16" bestFit="1" customWidth="1"/>
    <col min="8966" max="8966" width="9.28515625" style="16" bestFit="1" customWidth="1"/>
    <col min="8967" max="8967" width="10.42578125" style="16" bestFit="1" customWidth="1"/>
    <col min="8968" max="8968" width="10.28515625" style="16" bestFit="1" customWidth="1"/>
    <col min="8969" max="8969" width="7.140625" style="16" bestFit="1" customWidth="1"/>
    <col min="8970" max="8972" width="7" style="16" bestFit="1" customWidth="1"/>
    <col min="8973" max="8973" width="6.85546875" style="16" bestFit="1" customWidth="1"/>
    <col min="8974" max="8974" width="7" style="16" bestFit="1" customWidth="1"/>
    <col min="8975" max="8975" width="8" style="16" bestFit="1" customWidth="1"/>
    <col min="8976" max="8976" width="9.140625" style="16"/>
    <col min="8977" max="8977" width="8" style="16" bestFit="1" customWidth="1"/>
    <col min="8978" max="8978" width="9.140625" style="16"/>
    <col min="8979" max="8979" width="12" style="16" customWidth="1"/>
    <col min="8980" max="9216" width="9.140625" style="16"/>
    <col min="9217" max="9217" width="5" style="16" customWidth="1"/>
    <col min="9218" max="9218" width="18.42578125" style="16" customWidth="1"/>
    <col min="9219" max="9219" width="11.140625" style="16" bestFit="1" customWidth="1"/>
    <col min="9220" max="9220" width="6.7109375" style="16" bestFit="1" customWidth="1"/>
    <col min="9221" max="9221" width="8.5703125" style="16" bestFit="1" customWidth="1"/>
    <col min="9222" max="9222" width="9.28515625" style="16" bestFit="1" customWidth="1"/>
    <col min="9223" max="9223" width="10.42578125" style="16" bestFit="1" customWidth="1"/>
    <col min="9224" max="9224" width="10.28515625" style="16" bestFit="1" customWidth="1"/>
    <col min="9225" max="9225" width="7.140625" style="16" bestFit="1" customWidth="1"/>
    <col min="9226" max="9228" width="7" style="16" bestFit="1" customWidth="1"/>
    <col min="9229" max="9229" width="6.85546875" style="16" bestFit="1" customWidth="1"/>
    <col min="9230" max="9230" width="7" style="16" bestFit="1" customWidth="1"/>
    <col min="9231" max="9231" width="8" style="16" bestFit="1" customWidth="1"/>
    <col min="9232" max="9232" width="9.140625" style="16"/>
    <col min="9233" max="9233" width="8" style="16" bestFit="1" customWidth="1"/>
    <col min="9234" max="9234" width="9.140625" style="16"/>
    <col min="9235" max="9235" width="12" style="16" customWidth="1"/>
    <col min="9236" max="9472" width="9.140625" style="16"/>
    <col min="9473" max="9473" width="5" style="16" customWidth="1"/>
    <col min="9474" max="9474" width="18.42578125" style="16" customWidth="1"/>
    <col min="9475" max="9475" width="11.140625" style="16" bestFit="1" customWidth="1"/>
    <col min="9476" max="9476" width="6.7109375" style="16" bestFit="1" customWidth="1"/>
    <col min="9477" max="9477" width="8.5703125" style="16" bestFit="1" customWidth="1"/>
    <col min="9478" max="9478" width="9.28515625" style="16" bestFit="1" customWidth="1"/>
    <col min="9479" max="9479" width="10.42578125" style="16" bestFit="1" customWidth="1"/>
    <col min="9480" max="9480" width="10.28515625" style="16" bestFit="1" customWidth="1"/>
    <col min="9481" max="9481" width="7.140625" style="16" bestFit="1" customWidth="1"/>
    <col min="9482" max="9484" width="7" style="16" bestFit="1" customWidth="1"/>
    <col min="9485" max="9485" width="6.85546875" style="16" bestFit="1" customWidth="1"/>
    <col min="9486" max="9486" width="7" style="16" bestFit="1" customWidth="1"/>
    <col min="9487" max="9487" width="8" style="16" bestFit="1" customWidth="1"/>
    <col min="9488" max="9488" width="9.140625" style="16"/>
    <col min="9489" max="9489" width="8" style="16" bestFit="1" customWidth="1"/>
    <col min="9490" max="9490" width="9.140625" style="16"/>
    <col min="9491" max="9491" width="12" style="16" customWidth="1"/>
    <col min="9492" max="9728" width="9.140625" style="16"/>
    <col min="9729" max="9729" width="5" style="16" customWidth="1"/>
    <col min="9730" max="9730" width="18.42578125" style="16" customWidth="1"/>
    <col min="9731" max="9731" width="11.140625" style="16" bestFit="1" customWidth="1"/>
    <col min="9732" max="9732" width="6.7109375" style="16" bestFit="1" customWidth="1"/>
    <col min="9733" max="9733" width="8.5703125" style="16" bestFit="1" customWidth="1"/>
    <col min="9734" max="9734" width="9.28515625" style="16" bestFit="1" customWidth="1"/>
    <col min="9735" max="9735" width="10.42578125" style="16" bestFit="1" customWidth="1"/>
    <col min="9736" max="9736" width="10.28515625" style="16" bestFit="1" customWidth="1"/>
    <col min="9737" max="9737" width="7.140625" style="16" bestFit="1" customWidth="1"/>
    <col min="9738" max="9740" width="7" style="16" bestFit="1" customWidth="1"/>
    <col min="9741" max="9741" width="6.85546875" style="16" bestFit="1" customWidth="1"/>
    <col min="9742" max="9742" width="7" style="16" bestFit="1" customWidth="1"/>
    <col min="9743" max="9743" width="8" style="16" bestFit="1" customWidth="1"/>
    <col min="9744" max="9744" width="9.140625" style="16"/>
    <col min="9745" max="9745" width="8" style="16" bestFit="1" customWidth="1"/>
    <col min="9746" max="9746" width="9.140625" style="16"/>
    <col min="9747" max="9747" width="12" style="16" customWidth="1"/>
    <col min="9748" max="9984" width="9.140625" style="16"/>
    <col min="9985" max="9985" width="5" style="16" customWidth="1"/>
    <col min="9986" max="9986" width="18.42578125" style="16" customWidth="1"/>
    <col min="9987" max="9987" width="11.140625" style="16" bestFit="1" customWidth="1"/>
    <col min="9988" max="9988" width="6.7109375" style="16" bestFit="1" customWidth="1"/>
    <col min="9989" max="9989" width="8.5703125" style="16" bestFit="1" customWidth="1"/>
    <col min="9990" max="9990" width="9.28515625" style="16" bestFit="1" customWidth="1"/>
    <col min="9991" max="9991" width="10.42578125" style="16" bestFit="1" customWidth="1"/>
    <col min="9992" max="9992" width="10.28515625" style="16" bestFit="1" customWidth="1"/>
    <col min="9993" max="9993" width="7.140625" style="16" bestFit="1" customWidth="1"/>
    <col min="9994" max="9996" width="7" style="16" bestFit="1" customWidth="1"/>
    <col min="9997" max="9997" width="6.85546875" style="16" bestFit="1" customWidth="1"/>
    <col min="9998" max="9998" width="7" style="16" bestFit="1" customWidth="1"/>
    <col min="9999" max="9999" width="8" style="16" bestFit="1" customWidth="1"/>
    <col min="10000" max="10000" width="9.140625" style="16"/>
    <col min="10001" max="10001" width="8" style="16" bestFit="1" customWidth="1"/>
    <col min="10002" max="10002" width="9.140625" style="16"/>
    <col min="10003" max="10003" width="12" style="16" customWidth="1"/>
    <col min="10004" max="10240" width="9.140625" style="16"/>
    <col min="10241" max="10241" width="5" style="16" customWidth="1"/>
    <col min="10242" max="10242" width="18.42578125" style="16" customWidth="1"/>
    <col min="10243" max="10243" width="11.140625" style="16" bestFit="1" customWidth="1"/>
    <col min="10244" max="10244" width="6.7109375" style="16" bestFit="1" customWidth="1"/>
    <col min="10245" max="10245" width="8.5703125" style="16" bestFit="1" customWidth="1"/>
    <col min="10246" max="10246" width="9.28515625" style="16" bestFit="1" customWidth="1"/>
    <col min="10247" max="10247" width="10.42578125" style="16" bestFit="1" customWidth="1"/>
    <col min="10248" max="10248" width="10.28515625" style="16" bestFit="1" customWidth="1"/>
    <col min="10249" max="10249" width="7.140625" style="16" bestFit="1" customWidth="1"/>
    <col min="10250" max="10252" width="7" style="16" bestFit="1" customWidth="1"/>
    <col min="10253" max="10253" width="6.85546875" style="16" bestFit="1" customWidth="1"/>
    <col min="10254" max="10254" width="7" style="16" bestFit="1" customWidth="1"/>
    <col min="10255" max="10255" width="8" style="16" bestFit="1" customWidth="1"/>
    <col min="10256" max="10256" width="9.140625" style="16"/>
    <col min="10257" max="10257" width="8" style="16" bestFit="1" customWidth="1"/>
    <col min="10258" max="10258" width="9.140625" style="16"/>
    <col min="10259" max="10259" width="12" style="16" customWidth="1"/>
    <col min="10260" max="10496" width="9.140625" style="16"/>
    <col min="10497" max="10497" width="5" style="16" customWidth="1"/>
    <col min="10498" max="10498" width="18.42578125" style="16" customWidth="1"/>
    <col min="10499" max="10499" width="11.140625" style="16" bestFit="1" customWidth="1"/>
    <col min="10500" max="10500" width="6.7109375" style="16" bestFit="1" customWidth="1"/>
    <col min="10501" max="10501" width="8.5703125" style="16" bestFit="1" customWidth="1"/>
    <col min="10502" max="10502" width="9.28515625" style="16" bestFit="1" customWidth="1"/>
    <col min="10503" max="10503" width="10.42578125" style="16" bestFit="1" customWidth="1"/>
    <col min="10504" max="10504" width="10.28515625" style="16" bestFit="1" customWidth="1"/>
    <col min="10505" max="10505" width="7.140625" style="16" bestFit="1" customWidth="1"/>
    <col min="10506" max="10508" width="7" style="16" bestFit="1" customWidth="1"/>
    <col min="10509" max="10509" width="6.85546875" style="16" bestFit="1" customWidth="1"/>
    <col min="10510" max="10510" width="7" style="16" bestFit="1" customWidth="1"/>
    <col min="10511" max="10511" width="8" style="16" bestFit="1" customWidth="1"/>
    <col min="10512" max="10512" width="9.140625" style="16"/>
    <col min="10513" max="10513" width="8" style="16" bestFit="1" customWidth="1"/>
    <col min="10514" max="10514" width="9.140625" style="16"/>
    <col min="10515" max="10515" width="12" style="16" customWidth="1"/>
    <col min="10516" max="10752" width="9.140625" style="16"/>
    <col min="10753" max="10753" width="5" style="16" customWidth="1"/>
    <col min="10754" max="10754" width="18.42578125" style="16" customWidth="1"/>
    <col min="10755" max="10755" width="11.140625" style="16" bestFit="1" customWidth="1"/>
    <col min="10756" max="10756" width="6.7109375" style="16" bestFit="1" customWidth="1"/>
    <col min="10757" max="10757" width="8.5703125" style="16" bestFit="1" customWidth="1"/>
    <col min="10758" max="10758" width="9.28515625" style="16" bestFit="1" customWidth="1"/>
    <col min="10759" max="10759" width="10.42578125" style="16" bestFit="1" customWidth="1"/>
    <col min="10760" max="10760" width="10.28515625" style="16" bestFit="1" customWidth="1"/>
    <col min="10761" max="10761" width="7.140625" style="16" bestFit="1" customWidth="1"/>
    <col min="10762" max="10764" width="7" style="16" bestFit="1" customWidth="1"/>
    <col min="10765" max="10765" width="6.85546875" style="16" bestFit="1" customWidth="1"/>
    <col min="10766" max="10766" width="7" style="16" bestFit="1" customWidth="1"/>
    <col min="10767" max="10767" width="8" style="16" bestFit="1" customWidth="1"/>
    <col min="10768" max="10768" width="9.140625" style="16"/>
    <col min="10769" max="10769" width="8" style="16" bestFit="1" customWidth="1"/>
    <col min="10770" max="10770" width="9.140625" style="16"/>
    <col min="10771" max="10771" width="12" style="16" customWidth="1"/>
    <col min="10772" max="11008" width="9.140625" style="16"/>
    <col min="11009" max="11009" width="5" style="16" customWidth="1"/>
    <col min="11010" max="11010" width="18.42578125" style="16" customWidth="1"/>
    <col min="11011" max="11011" width="11.140625" style="16" bestFit="1" customWidth="1"/>
    <col min="11012" max="11012" width="6.7109375" style="16" bestFit="1" customWidth="1"/>
    <col min="11013" max="11013" width="8.5703125" style="16" bestFit="1" customWidth="1"/>
    <col min="11014" max="11014" width="9.28515625" style="16" bestFit="1" customWidth="1"/>
    <col min="11015" max="11015" width="10.42578125" style="16" bestFit="1" customWidth="1"/>
    <col min="11016" max="11016" width="10.28515625" style="16" bestFit="1" customWidth="1"/>
    <col min="11017" max="11017" width="7.140625" style="16" bestFit="1" customWidth="1"/>
    <col min="11018" max="11020" width="7" style="16" bestFit="1" customWidth="1"/>
    <col min="11021" max="11021" width="6.85546875" style="16" bestFit="1" customWidth="1"/>
    <col min="11022" max="11022" width="7" style="16" bestFit="1" customWidth="1"/>
    <col min="11023" max="11023" width="8" style="16" bestFit="1" customWidth="1"/>
    <col min="11024" max="11024" width="9.140625" style="16"/>
    <col min="11025" max="11025" width="8" style="16" bestFit="1" customWidth="1"/>
    <col min="11026" max="11026" width="9.140625" style="16"/>
    <col min="11027" max="11027" width="12" style="16" customWidth="1"/>
    <col min="11028" max="11264" width="9.140625" style="16"/>
    <col min="11265" max="11265" width="5" style="16" customWidth="1"/>
    <col min="11266" max="11266" width="18.42578125" style="16" customWidth="1"/>
    <col min="11267" max="11267" width="11.140625" style="16" bestFit="1" customWidth="1"/>
    <col min="11268" max="11268" width="6.7109375" style="16" bestFit="1" customWidth="1"/>
    <col min="11269" max="11269" width="8.5703125" style="16" bestFit="1" customWidth="1"/>
    <col min="11270" max="11270" width="9.28515625" style="16" bestFit="1" customWidth="1"/>
    <col min="11271" max="11271" width="10.42578125" style="16" bestFit="1" customWidth="1"/>
    <col min="11272" max="11272" width="10.28515625" style="16" bestFit="1" customWidth="1"/>
    <col min="11273" max="11273" width="7.140625" style="16" bestFit="1" customWidth="1"/>
    <col min="11274" max="11276" width="7" style="16" bestFit="1" customWidth="1"/>
    <col min="11277" max="11277" width="6.85546875" style="16" bestFit="1" customWidth="1"/>
    <col min="11278" max="11278" width="7" style="16" bestFit="1" customWidth="1"/>
    <col min="11279" max="11279" width="8" style="16" bestFit="1" customWidth="1"/>
    <col min="11280" max="11280" width="9.140625" style="16"/>
    <col min="11281" max="11281" width="8" style="16" bestFit="1" customWidth="1"/>
    <col min="11282" max="11282" width="9.140625" style="16"/>
    <col min="11283" max="11283" width="12" style="16" customWidth="1"/>
    <col min="11284" max="11520" width="9.140625" style="16"/>
    <col min="11521" max="11521" width="5" style="16" customWidth="1"/>
    <col min="11522" max="11522" width="18.42578125" style="16" customWidth="1"/>
    <col min="11523" max="11523" width="11.140625" style="16" bestFit="1" customWidth="1"/>
    <col min="11524" max="11524" width="6.7109375" style="16" bestFit="1" customWidth="1"/>
    <col min="11525" max="11525" width="8.5703125" style="16" bestFit="1" customWidth="1"/>
    <col min="11526" max="11526" width="9.28515625" style="16" bestFit="1" customWidth="1"/>
    <col min="11527" max="11527" width="10.42578125" style="16" bestFit="1" customWidth="1"/>
    <col min="11528" max="11528" width="10.28515625" style="16" bestFit="1" customWidth="1"/>
    <col min="11529" max="11529" width="7.140625" style="16" bestFit="1" customWidth="1"/>
    <col min="11530" max="11532" width="7" style="16" bestFit="1" customWidth="1"/>
    <col min="11533" max="11533" width="6.85546875" style="16" bestFit="1" customWidth="1"/>
    <col min="11534" max="11534" width="7" style="16" bestFit="1" customWidth="1"/>
    <col min="11535" max="11535" width="8" style="16" bestFit="1" customWidth="1"/>
    <col min="11536" max="11536" width="9.140625" style="16"/>
    <col min="11537" max="11537" width="8" style="16" bestFit="1" customWidth="1"/>
    <col min="11538" max="11538" width="9.140625" style="16"/>
    <col min="11539" max="11539" width="12" style="16" customWidth="1"/>
    <col min="11540" max="11776" width="9.140625" style="16"/>
    <col min="11777" max="11777" width="5" style="16" customWidth="1"/>
    <col min="11778" max="11778" width="18.42578125" style="16" customWidth="1"/>
    <col min="11779" max="11779" width="11.140625" style="16" bestFit="1" customWidth="1"/>
    <col min="11780" max="11780" width="6.7109375" style="16" bestFit="1" customWidth="1"/>
    <col min="11781" max="11781" width="8.5703125" style="16" bestFit="1" customWidth="1"/>
    <col min="11782" max="11782" width="9.28515625" style="16" bestFit="1" customWidth="1"/>
    <col min="11783" max="11783" width="10.42578125" style="16" bestFit="1" customWidth="1"/>
    <col min="11784" max="11784" width="10.28515625" style="16" bestFit="1" customWidth="1"/>
    <col min="11785" max="11785" width="7.140625" style="16" bestFit="1" customWidth="1"/>
    <col min="11786" max="11788" width="7" style="16" bestFit="1" customWidth="1"/>
    <col min="11789" max="11789" width="6.85546875" style="16" bestFit="1" customWidth="1"/>
    <col min="11790" max="11790" width="7" style="16" bestFit="1" customWidth="1"/>
    <col min="11791" max="11791" width="8" style="16" bestFit="1" customWidth="1"/>
    <col min="11792" max="11792" width="9.140625" style="16"/>
    <col min="11793" max="11793" width="8" style="16" bestFit="1" customWidth="1"/>
    <col min="11794" max="11794" width="9.140625" style="16"/>
    <col min="11795" max="11795" width="12" style="16" customWidth="1"/>
    <col min="11796" max="12032" width="9.140625" style="16"/>
    <col min="12033" max="12033" width="5" style="16" customWidth="1"/>
    <col min="12034" max="12034" width="18.42578125" style="16" customWidth="1"/>
    <col min="12035" max="12035" width="11.140625" style="16" bestFit="1" customWidth="1"/>
    <col min="12036" max="12036" width="6.7109375" style="16" bestFit="1" customWidth="1"/>
    <col min="12037" max="12037" width="8.5703125" style="16" bestFit="1" customWidth="1"/>
    <col min="12038" max="12038" width="9.28515625" style="16" bestFit="1" customWidth="1"/>
    <col min="12039" max="12039" width="10.42578125" style="16" bestFit="1" customWidth="1"/>
    <col min="12040" max="12040" width="10.28515625" style="16" bestFit="1" customWidth="1"/>
    <col min="12041" max="12041" width="7.140625" style="16" bestFit="1" customWidth="1"/>
    <col min="12042" max="12044" width="7" style="16" bestFit="1" customWidth="1"/>
    <col min="12045" max="12045" width="6.85546875" style="16" bestFit="1" customWidth="1"/>
    <col min="12046" max="12046" width="7" style="16" bestFit="1" customWidth="1"/>
    <col min="12047" max="12047" width="8" style="16" bestFit="1" customWidth="1"/>
    <col min="12048" max="12048" width="9.140625" style="16"/>
    <col min="12049" max="12049" width="8" style="16" bestFit="1" customWidth="1"/>
    <col min="12050" max="12050" width="9.140625" style="16"/>
    <col min="12051" max="12051" width="12" style="16" customWidth="1"/>
    <col min="12052" max="12288" width="9.140625" style="16"/>
    <col min="12289" max="12289" width="5" style="16" customWidth="1"/>
    <col min="12290" max="12290" width="18.42578125" style="16" customWidth="1"/>
    <col min="12291" max="12291" width="11.140625" style="16" bestFit="1" customWidth="1"/>
    <col min="12292" max="12292" width="6.7109375" style="16" bestFit="1" customWidth="1"/>
    <col min="12293" max="12293" width="8.5703125" style="16" bestFit="1" customWidth="1"/>
    <col min="12294" max="12294" width="9.28515625" style="16" bestFit="1" customWidth="1"/>
    <col min="12295" max="12295" width="10.42578125" style="16" bestFit="1" customWidth="1"/>
    <col min="12296" max="12296" width="10.28515625" style="16" bestFit="1" customWidth="1"/>
    <col min="12297" max="12297" width="7.140625" style="16" bestFit="1" customWidth="1"/>
    <col min="12298" max="12300" width="7" style="16" bestFit="1" customWidth="1"/>
    <col min="12301" max="12301" width="6.85546875" style="16" bestFit="1" customWidth="1"/>
    <col min="12302" max="12302" width="7" style="16" bestFit="1" customWidth="1"/>
    <col min="12303" max="12303" width="8" style="16" bestFit="1" customWidth="1"/>
    <col min="12304" max="12304" width="9.140625" style="16"/>
    <col min="12305" max="12305" width="8" style="16" bestFit="1" customWidth="1"/>
    <col min="12306" max="12306" width="9.140625" style="16"/>
    <col min="12307" max="12307" width="12" style="16" customWidth="1"/>
    <col min="12308" max="12544" width="9.140625" style="16"/>
    <col min="12545" max="12545" width="5" style="16" customWidth="1"/>
    <col min="12546" max="12546" width="18.42578125" style="16" customWidth="1"/>
    <col min="12547" max="12547" width="11.140625" style="16" bestFit="1" customWidth="1"/>
    <col min="12548" max="12548" width="6.7109375" style="16" bestFit="1" customWidth="1"/>
    <col min="12549" max="12549" width="8.5703125" style="16" bestFit="1" customWidth="1"/>
    <col min="12550" max="12550" width="9.28515625" style="16" bestFit="1" customWidth="1"/>
    <col min="12551" max="12551" width="10.42578125" style="16" bestFit="1" customWidth="1"/>
    <col min="12552" max="12552" width="10.28515625" style="16" bestFit="1" customWidth="1"/>
    <col min="12553" max="12553" width="7.140625" style="16" bestFit="1" customWidth="1"/>
    <col min="12554" max="12556" width="7" style="16" bestFit="1" customWidth="1"/>
    <col min="12557" max="12557" width="6.85546875" style="16" bestFit="1" customWidth="1"/>
    <col min="12558" max="12558" width="7" style="16" bestFit="1" customWidth="1"/>
    <col min="12559" max="12559" width="8" style="16" bestFit="1" customWidth="1"/>
    <col min="12560" max="12560" width="9.140625" style="16"/>
    <col min="12561" max="12561" width="8" style="16" bestFit="1" customWidth="1"/>
    <col min="12562" max="12562" width="9.140625" style="16"/>
    <col min="12563" max="12563" width="12" style="16" customWidth="1"/>
    <col min="12564" max="12800" width="9.140625" style="16"/>
    <col min="12801" max="12801" width="5" style="16" customWidth="1"/>
    <col min="12802" max="12802" width="18.42578125" style="16" customWidth="1"/>
    <col min="12803" max="12803" width="11.140625" style="16" bestFit="1" customWidth="1"/>
    <col min="12804" max="12804" width="6.7109375" style="16" bestFit="1" customWidth="1"/>
    <col min="12805" max="12805" width="8.5703125" style="16" bestFit="1" customWidth="1"/>
    <col min="12806" max="12806" width="9.28515625" style="16" bestFit="1" customWidth="1"/>
    <col min="12807" max="12807" width="10.42578125" style="16" bestFit="1" customWidth="1"/>
    <col min="12808" max="12808" width="10.28515625" style="16" bestFit="1" customWidth="1"/>
    <col min="12809" max="12809" width="7.140625" style="16" bestFit="1" customWidth="1"/>
    <col min="12810" max="12812" width="7" style="16" bestFit="1" customWidth="1"/>
    <col min="12813" max="12813" width="6.85546875" style="16" bestFit="1" customWidth="1"/>
    <col min="12814" max="12814" width="7" style="16" bestFit="1" customWidth="1"/>
    <col min="12815" max="12815" width="8" style="16" bestFit="1" customWidth="1"/>
    <col min="12816" max="12816" width="9.140625" style="16"/>
    <col min="12817" max="12817" width="8" style="16" bestFit="1" customWidth="1"/>
    <col min="12818" max="12818" width="9.140625" style="16"/>
    <col min="12819" max="12819" width="12" style="16" customWidth="1"/>
    <col min="12820" max="13056" width="9.140625" style="16"/>
    <col min="13057" max="13057" width="5" style="16" customWidth="1"/>
    <col min="13058" max="13058" width="18.42578125" style="16" customWidth="1"/>
    <col min="13059" max="13059" width="11.140625" style="16" bestFit="1" customWidth="1"/>
    <col min="13060" max="13060" width="6.7109375" style="16" bestFit="1" customWidth="1"/>
    <col min="13061" max="13061" width="8.5703125" style="16" bestFit="1" customWidth="1"/>
    <col min="13062" max="13062" width="9.28515625" style="16" bestFit="1" customWidth="1"/>
    <col min="13063" max="13063" width="10.42578125" style="16" bestFit="1" customWidth="1"/>
    <col min="13064" max="13064" width="10.28515625" style="16" bestFit="1" customWidth="1"/>
    <col min="13065" max="13065" width="7.140625" style="16" bestFit="1" customWidth="1"/>
    <col min="13066" max="13068" width="7" style="16" bestFit="1" customWidth="1"/>
    <col min="13069" max="13069" width="6.85546875" style="16" bestFit="1" customWidth="1"/>
    <col min="13070" max="13070" width="7" style="16" bestFit="1" customWidth="1"/>
    <col min="13071" max="13071" width="8" style="16" bestFit="1" customWidth="1"/>
    <col min="13072" max="13072" width="9.140625" style="16"/>
    <col min="13073" max="13073" width="8" style="16" bestFit="1" customWidth="1"/>
    <col min="13074" max="13074" width="9.140625" style="16"/>
    <col min="13075" max="13075" width="12" style="16" customWidth="1"/>
    <col min="13076" max="13312" width="9.140625" style="16"/>
    <col min="13313" max="13313" width="5" style="16" customWidth="1"/>
    <col min="13314" max="13314" width="18.42578125" style="16" customWidth="1"/>
    <col min="13315" max="13315" width="11.140625" style="16" bestFit="1" customWidth="1"/>
    <col min="13316" max="13316" width="6.7109375" style="16" bestFit="1" customWidth="1"/>
    <col min="13317" max="13317" width="8.5703125" style="16" bestFit="1" customWidth="1"/>
    <col min="13318" max="13318" width="9.28515625" style="16" bestFit="1" customWidth="1"/>
    <col min="13319" max="13319" width="10.42578125" style="16" bestFit="1" customWidth="1"/>
    <col min="13320" max="13320" width="10.28515625" style="16" bestFit="1" customWidth="1"/>
    <col min="13321" max="13321" width="7.140625" style="16" bestFit="1" customWidth="1"/>
    <col min="13322" max="13324" width="7" style="16" bestFit="1" customWidth="1"/>
    <col min="13325" max="13325" width="6.85546875" style="16" bestFit="1" customWidth="1"/>
    <col min="13326" max="13326" width="7" style="16" bestFit="1" customWidth="1"/>
    <col min="13327" max="13327" width="8" style="16" bestFit="1" customWidth="1"/>
    <col min="13328" max="13328" width="9.140625" style="16"/>
    <col min="13329" max="13329" width="8" style="16" bestFit="1" customWidth="1"/>
    <col min="13330" max="13330" width="9.140625" style="16"/>
    <col min="13331" max="13331" width="12" style="16" customWidth="1"/>
    <col min="13332" max="13568" width="9.140625" style="16"/>
    <col min="13569" max="13569" width="5" style="16" customWidth="1"/>
    <col min="13570" max="13570" width="18.42578125" style="16" customWidth="1"/>
    <col min="13571" max="13571" width="11.140625" style="16" bestFit="1" customWidth="1"/>
    <col min="13572" max="13572" width="6.7109375" style="16" bestFit="1" customWidth="1"/>
    <col min="13573" max="13573" width="8.5703125" style="16" bestFit="1" customWidth="1"/>
    <col min="13574" max="13574" width="9.28515625" style="16" bestFit="1" customWidth="1"/>
    <col min="13575" max="13575" width="10.42578125" style="16" bestFit="1" customWidth="1"/>
    <col min="13576" max="13576" width="10.28515625" style="16" bestFit="1" customWidth="1"/>
    <col min="13577" max="13577" width="7.140625" style="16" bestFit="1" customWidth="1"/>
    <col min="13578" max="13580" width="7" style="16" bestFit="1" customWidth="1"/>
    <col min="13581" max="13581" width="6.85546875" style="16" bestFit="1" customWidth="1"/>
    <col min="13582" max="13582" width="7" style="16" bestFit="1" customWidth="1"/>
    <col min="13583" max="13583" width="8" style="16" bestFit="1" customWidth="1"/>
    <col min="13584" max="13584" width="9.140625" style="16"/>
    <col min="13585" max="13585" width="8" style="16" bestFit="1" customWidth="1"/>
    <col min="13586" max="13586" width="9.140625" style="16"/>
    <col min="13587" max="13587" width="12" style="16" customWidth="1"/>
    <col min="13588" max="13824" width="9.140625" style="16"/>
    <col min="13825" max="13825" width="5" style="16" customWidth="1"/>
    <col min="13826" max="13826" width="18.42578125" style="16" customWidth="1"/>
    <col min="13827" max="13827" width="11.140625" style="16" bestFit="1" customWidth="1"/>
    <col min="13828" max="13828" width="6.7109375" style="16" bestFit="1" customWidth="1"/>
    <col min="13829" max="13829" width="8.5703125" style="16" bestFit="1" customWidth="1"/>
    <col min="13830" max="13830" width="9.28515625" style="16" bestFit="1" customWidth="1"/>
    <col min="13831" max="13831" width="10.42578125" style="16" bestFit="1" customWidth="1"/>
    <col min="13832" max="13832" width="10.28515625" style="16" bestFit="1" customWidth="1"/>
    <col min="13833" max="13833" width="7.140625" style="16" bestFit="1" customWidth="1"/>
    <col min="13834" max="13836" width="7" style="16" bestFit="1" customWidth="1"/>
    <col min="13837" max="13837" width="6.85546875" style="16" bestFit="1" customWidth="1"/>
    <col min="13838" max="13838" width="7" style="16" bestFit="1" customWidth="1"/>
    <col min="13839" max="13839" width="8" style="16" bestFit="1" customWidth="1"/>
    <col min="13840" max="13840" width="9.140625" style="16"/>
    <col min="13841" max="13841" width="8" style="16" bestFit="1" customWidth="1"/>
    <col min="13842" max="13842" width="9.140625" style="16"/>
    <col min="13843" max="13843" width="12" style="16" customWidth="1"/>
    <col min="13844" max="14080" width="9.140625" style="16"/>
    <col min="14081" max="14081" width="5" style="16" customWidth="1"/>
    <col min="14082" max="14082" width="18.42578125" style="16" customWidth="1"/>
    <col min="14083" max="14083" width="11.140625" style="16" bestFit="1" customWidth="1"/>
    <col min="14084" max="14084" width="6.7109375" style="16" bestFit="1" customWidth="1"/>
    <col min="14085" max="14085" width="8.5703125" style="16" bestFit="1" customWidth="1"/>
    <col min="14086" max="14086" width="9.28515625" style="16" bestFit="1" customWidth="1"/>
    <col min="14087" max="14087" width="10.42578125" style="16" bestFit="1" customWidth="1"/>
    <col min="14088" max="14088" width="10.28515625" style="16" bestFit="1" customWidth="1"/>
    <col min="14089" max="14089" width="7.140625" style="16" bestFit="1" customWidth="1"/>
    <col min="14090" max="14092" width="7" style="16" bestFit="1" customWidth="1"/>
    <col min="14093" max="14093" width="6.85546875" style="16" bestFit="1" customWidth="1"/>
    <col min="14094" max="14094" width="7" style="16" bestFit="1" customWidth="1"/>
    <col min="14095" max="14095" width="8" style="16" bestFit="1" customWidth="1"/>
    <col min="14096" max="14096" width="9.140625" style="16"/>
    <col min="14097" max="14097" width="8" style="16" bestFit="1" customWidth="1"/>
    <col min="14098" max="14098" width="9.140625" style="16"/>
    <col min="14099" max="14099" width="12" style="16" customWidth="1"/>
    <col min="14100" max="14336" width="9.140625" style="16"/>
    <col min="14337" max="14337" width="5" style="16" customWidth="1"/>
    <col min="14338" max="14338" width="18.42578125" style="16" customWidth="1"/>
    <col min="14339" max="14339" width="11.140625" style="16" bestFit="1" customWidth="1"/>
    <col min="14340" max="14340" width="6.7109375" style="16" bestFit="1" customWidth="1"/>
    <col min="14341" max="14341" width="8.5703125" style="16" bestFit="1" customWidth="1"/>
    <col min="14342" max="14342" width="9.28515625" style="16" bestFit="1" customWidth="1"/>
    <col min="14343" max="14343" width="10.42578125" style="16" bestFit="1" customWidth="1"/>
    <col min="14344" max="14344" width="10.28515625" style="16" bestFit="1" customWidth="1"/>
    <col min="14345" max="14345" width="7.140625" style="16" bestFit="1" customWidth="1"/>
    <col min="14346" max="14348" width="7" style="16" bestFit="1" customWidth="1"/>
    <col min="14349" max="14349" width="6.85546875" style="16" bestFit="1" customWidth="1"/>
    <col min="14350" max="14350" width="7" style="16" bestFit="1" customWidth="1"/>
    <col min="14351" max="14351" width="8" style="16" bestFit="1" customWidth="1"/>
    <col min="14352" max="14352" width="9.140625" style="16"/>
    <col min="14353" max="14353" width="8" style="16" bestFit="1" customWidth="1"/>
    <col min="14354" max="14354" width="9.140625" style="16"/>
    <col min="14355" max="14355" width="12" style="16" customWidth="1"/>
    <col min="14356" max="14592" width="9.140625" style="16"/>
    <col min="14593" max="14593" width="5" style="16" customWidth="1"/>
    <col min="14594" max="14594" width="18.42578125" style="16" customWidth="1"/>
    <col min="14595" max="14595" width="11.140625" style="16" bestFit="1" customWidth="1"/>
    <col min="14596" max="14596" width="6.7109375" style="16" bestFit="1" customWidth="1"/>
    <col min="14597" max="14597" width="8.5703125" style="16" bestFit="1" customWidth="1"/>
    <col min="14598" max="14598" width="9.28515625" style="16" bestFit="1" customWidth="1"/>
    <col min="14599" max="14599" width="10.42578125" style="16" bestFit="1" customWidth="1"/>
    <col min="14600" max="14600" width="10.28515625" style="16" bestFit="1" customWidth="1"/>
    <col min="14601" max="14601" width="7.140625" style="16" bestFit="1" customWidth="1"/>
    <col min="14602" max="14604" width="7" style="16" bestFit="1" customWidth="1"/>
    <col min="14605" max="14605" width="6.85546875" style="16" bestFit="1" customWidth="1"/>
    <col min="14606" max="14606" width="7" style="16" bestFit="1" customWidth="1"/>
    <col min="14607" max="14607" width="8" style="16" bestFit="1" customWidth="1"/>
    <col min="14608" max="14608" width="9.140625" style="16"/>
    <col min="14609" max="14609" width="8" style="16" bestFit="1" customWidth="1"/>
    <col min="14610" max="14610" width="9.140625" style="16"/>
    <col min="14611" max="14611" width="12" style="16" customWidth="1"/>
    <col min="14612" max="14848" width="9.140625" style="16"/>
    <col min="14849" max="14849" width="5" style="16" customWidth="1"/>
    <col min="14850" max="14850" width="18.42578125" style="16" customWidth="1"/>
    <col min="14851" max="14851" width="11.140625" style="16" bestFit="1" customWidth="1"/>
    <col min="14852" max="14852" width="6.7109375" style="16" bestFit="1" customWidth="1"/>
    <col min="14853" max="14853" width="8.5703125" style="16" bestFit="1" customWidth="1"/>
    <col min="14854" max="14854" width="9.28515625" style="16" bestFit="1" customWidth="1"/>
    <col min="14855" max="14855" width="10.42578125" style="16" bestFit="1" customWidth="1"/>
    <col min="14856" max="14856" width="10.28515625" style="16" bestFit="1" customWidth="1"/>
    <col min="14857" max="14857" width="7.140625" style="16" bestFit="1" customWidth="1"/>
    <col min="14858" max="14860" width="7" style="16" bestFit="1" customWidth="1"/>
    <col min="14861" max="14861" width="6.85546875" style="16" bestFit="1" customWidth="1"/>
    <col min="14862" max="14862" width="7" style="16" bestFit="1" customWidth="1"/>
    <col min="14863" max="14863" width="8" style="16" bestFit="1" customWidth="1"/>
    <col min="14864" max="14864" width="9.140625" style="16"/>
    <col min="14865" max="14865" width="8" style="16" bestFit="1" customWidth="1"/>
    <col min="14866" max="14866" width="9.140625" style="16"/>
    <col min="14867" max="14867" width="12" style="16" customWidth="1"/>
    <col min="14868" max="15104" width="9.140625" style="16"/>
    <col min="15105" max="15105" width="5" style="16" customWidth="1"/>
    <col min="15106" max="15106" width="18.42578125" style="16" customWidth="1"/>
    <col min="15107" max="15107" width="11.140625" style="16" bestFit="1" customWidth="1"/>
    <col min="15108" max="15108" width="6.7109375" style="16" bestFit="1" customWidth="1"/>
    <col min="15109" max="15109" width="8.5703125" style="16" bestFit="1" customWidth="1"/>
    <col min="15110" max="15110" width="9.28515625" style="16" bestFit="1" customWidth="1"/>
    <col min="15111" max="15111" width="10.42578125" style="16" bestFit="1" customWidth="1"/>
    <col min="15112" max="15112" width="10.28515625" style="16" bestFit="1" customWidth="1"/>
    <col min="15113" max="15113" width="7.140625" style="16" bestFit="1" customWidth="1"/>
    <col min="15114" max="15116" width="7" style="16" bestFit="1" customWidth="1"/>
    <col min="15117" max="15117" width="6.85546875" style="16" bestFit="1" customWidth="1"/>
    <col min="15118" max="15118" width="7" style="16" bestFit="1" customWidth="1"/>
    <col min="15119" max="15119" width="8" style="16" bestFit="1" customWidth="1"/>
    <col min="15120" max="15120" width="9.140625" style="16"/>
    <col min="15121" max="15121" width="8" style="16" bestFit="1" customWidth="1"/>
    <col min="15122" max="15122" width="9.140625" style="16"/>
    <col min="15123" max="15123" width="12" style="16" customWidth="1"/>
    <col min="15124" max="15360" width="9.140625" style="16"/>
    <col min="15361" max="15361" width="5" style="16" customWidth="1"/>
    <col min="15362" max="15362" width="18.42578125" style="16" customWidth="1"/>
    <col min="15363" max="15363" width="11.140625" style="16" bestFit="1" customWidth="1"/>
    <col min="15364" max="15364" width="6.7109375" style="16" bestFit="1" customWidth="1"/>
    <col min="15365" max="15365" width="8.5703125" style="16" bestFit="1" customWidth="1"/>
    <col min="15366" max="15366" width="9.28515625" style="16" bestFit="1" customWidth="1"/>
    <col min="15367" max="15367" width="10.42578125" style="16" bestFit="1" customWidth="1"/>
    <col min="15368" max="15368" width="10.28515625" style="16" bestFit="1" customWidth="1"/>
    <col min="15369" max="15369" width="7.140625" style="16" bestFit="1" customWidth="1"/>
    <col min="15370" max="15372" width="7" style="16" bestFit="1" customWidth="1"/>
    <col min="15373" max="15373" width="6.85546875" style="16" bestFit="1" customWidth="1"/>
    <col min="15374" max="15374" width="7" style="16" bestFit="1" customWidth="1"/>
    <col min="15375" max="15375" width="8" style="16" bestFit="1" customWidth="1"/>
    <col min="15376" max="15376" width="9.140625" style="16"/>
    <col min="15377" max="15377" width="8" style="16" bestFit="1" customWidth="1"/>
    <col min="15378" max="15378" width="9.140625" style="16"/>
    <col min="15379" max="15379" width="12" style="16" customWidth="1"/>
    <col min="15380" max="15616" width="9.140625" style="16"/>
    <col min="15617" max="15617" width="5" style="16" customWidth="1"/>
    <col min="15618" max="15618" width="18.42578125" style="16" customWidth="1"/>
    <col min="15619" max="15619" width="11.140625" style="16" bestFit="1" customWidth="1"/>
    <col min="15620" max="15620" width="6.7109375" style="16" bestFit="1" customWidth="1"/>
    <col min="15621" max="15621" width="8.5703125" style="16" bestFit="1" customWidth="1"/>
    <col min="15622" max="15622" width="9.28515625" style="16" bestFit="1" customWidth="1"/>
    <col min="15623" max="15623" width="10.42578125" style="16" bestFit="1" customWidth="1"/>
    <col min="15624" max="15624" width="10.28515625" style="16" bestFit="1" customWidth="1"/>
    <col min="15625" max="15625" width="7.140625" style="16" bestFit="1" customWidth="1"/>
    <col min="15626" max="15628" width="7" style="16" bestFit="1" customWidth="1"/>
    <col min="15629" max="15629" width="6.85546875" style="16" bestFit="1" customWidth="1"/>
    <col min="15630" max="15630" width="7" style="16" bestFit="1" customWidth="1"/>
    <col min="15631" max="15631" width="8" style="16" bestFit="1" customWidth="1"/>
    <col min="15632" max="15632" width="9.140625" style="16"/>
    <col min="15633" max="15633" width="8" style="16" bestFit="1" customWidth="1"/>
    <col min="15634" max="15634" width="9.140625" style="16"/>
    <col min="15635" max="15635" width="12" style="16" customWidth="1"/>
    <col min="15636" max="15872" width="9.140625" style="16"/>
    <col min="15873" max="15873" width="5" style="16" customWidth="1"/>
    <col min="15874" max="15874" width="18.42578125" style="16" customWidth="1"/>
    <col min="15875" max="15875" width="11.140625" style="16" bestFit="1" customWidth="1"/>
    <col min="15876" max="15876" width="6.7109375" style="16" bestFit="1" customWidth="1"/>
    <col min="15877" max="15877" width="8.5703125" style="16" bestFit="1" customWidth="1"/>
    <col min="15878" max="15878" width="9.28515625" style="16" bestFit="1" customWidth="1"/>
    <col min="15879" max="15879" width="10.42578125" style="16" bestFit="1" customWidth="1"/>
    <col min="15880" max="15880" width="10.28515625" style="16" bestFit="1" customWidth="1"/>
    <col min="15881" max="15881" width="7.140625" style="16" bestFit="1" customWidth="1"/>
    <col min="15882" max="15884" width="7" style="16" bestFit="1" customWidth="1"/>
    <col min="15885" max="15885" width="6.85546875" style="16" bestFit="1" customWidth="1"/>
    <col min="15886" max="15886" width="7" style="16" bestFit="1" customWidth="1"/>
    <col min="15887" max="15887" width="8" style="16" bestFit="1" customWidth="1"/>
    <col min="15888" max="15888" width="9.140625" style="16"/>
    <col min="15889" max="15889" width="8" style="16" bestFit="1" customWidth="1"/>
    <col min="15890" max="15890" width="9.140625" style="16"/>
    <col min="15891" max="15891" width="12" style="16" customWidth="1"/>
    <col min="15892" max="16128" width="9.140625" style="16"/>
    <col min="16129" max="16129" width="5" style="16" customWidth="1"/>
    <col min="16130" max="16130" width="18.42578125" style="16" customWidth="1"/>
    <col min="16131" max="16131" width="11.140625" style="16" bestFit="1" customWidth="1"/>
    <col min="16132" max="16132" width="6.7109375" style="16" bestFit="1" customWidth="1"/>
    <col min="16133" max="16133" width="8.5703125" style="16" bestFit="1" customWidth="1"/>
    <col min="16134" max="16134" width="9.28515625" style="16" bestFit="1" customWidth="1"/>
    <col min="16135" max="16135" width="10.42578125" style="16" bestFit="1" customWidth="1"/>
    <col min="16136" max="16136" width="10.28515625" style="16" bestFit="1" customWidth="1"/>
    <col min="16137" max="16137" width="7.140625" style="16" bestFit="1" customWidth="1"/>
    <col min="16138" max="16140" width="7" style="16" bestFit="1" customWidth="1"/>
    <col min="16141" max="16141" width="6.85546875" style="16" bestFit="1" customWidth="1"/>
    <col min="16142" max="16142" width="7" style="16" bestFit="1" customWidth="1"/>
    <col min="16143" max="16143" width="8" style="16" bestFit="1" customWidth="1"/>
    <col min="16144" max="16144" width="9.140625" style="16"/>
    <col min="16145" max="16145" width="8" style="16" bestFit="1" customWidth="1"/>
    <col min="16146" max="16146" width="9.140625" style="16"/>
    <col min="16147" max="16147" width="12" style="16" customWidth="1"/>
    <col min="16148" max="16384" width="9.140625" style="16"/>
  </cols>
  <sheetData>
    <row r="1" spans="1:15" s="1" customFormat="1" x14ac:dyDescent="0.2">
      <c r="A1" s="867" t="s">
        <v>1124</v>
      </c>
      <c r="B1" s="868"/>
      <c r="C1" s="868"/>
      <c r="D1" s="881">
        <f>+D3+21914</f>
        <v>42179</v>
      </c>
      <c r="E1" s="882"/>
      <c r="F1" s="882"/>
      <c r="G1" s="867" t="s">
        <v>102</v>
      </c>
      <c r="H1" s="869"/>
      <c r="I1" s="869" t="s">
        <v>1125</v>
      </c>
      <c r="J1" s="868"/>
      <c r="K1" s="868"/>
      <c r="L1" s="870"/>
      <c r="M1" s="870"/>
      <c r="N1" s="870"/>
      <c r="O1" s="870"/>
    </row>
    <row r="2" spans="1:15" s="1" customFormat="1" x14ac:dyDescent="0.2">
      <c r="A2" s="867" t="s">
        <v>103</v>
      </c>
      <c r="B2" s="868"/>
      <c r="C2" s="868"/>
      <c r="D2" s="869"/>
      <c r="E2" s="868"/>
      <c r="F2" s="868"/>
      <c r="G2" s="867" t="s">
        <v>104</v>
      </c>
      <c r="H2" s="869"/>
      <c r="I2" s="869" t="s">
        <v>105</v>
      </c>
      <c r="J2" s="868"/>
      <c r="K2" s="868"/>
      <c r="L2" s="870"/>
      <c r="M2" s="870"/>
      <c r="N2" s="870"/>
      <c r="O2" s="870"/>
    </row>
    <row r="3" spans="1:15" s="1" customFormat="1" ht="12.75" customHeight="1" x14ac:dyDescent="0.2">
      <c r="A3" s="867" t="s">
        <v>106</v>
      </c>
      <c r="B3" s="868"/>
      <c r="C3" s="868"/>
      <c r="D3" s="905">
        <v>20265</v>
      </c>
      <c r="E3" s="906"/>
      <c r="F3" s="907"/>
      <c r="G3" s="867" t="s">
        <v>107</v>
      </c>
      <c r="H3" s="869"/>
      <c r="I3" s="869" t="s">
        <v>108</v>
      </c>
      <c r="J3" s="868"/>
      <c r="K3" s="868"/>
      <c r="L3" s="870"/>
      <c r="M3" s="870"/>
      <c r="N3" s="870"/>
      <c r="O3" s="870"/>
    </row>
    <row r="4" spans="1:15" s="1" customFormat="1" x14ac:dyDescent="0.2">
      <c r="A4" s="867" t="s">
        <v>109</v>
      </c>
      <c r="B4" s="868"/>
      <c r="C4" s="868"/>
      <c r="D4" s="905"/>
      <c r="E4" s="906"/>
      <c r="F4" s="907"/>
      <c r="G4" s="867" t="s">
        <v>110</v>
      </c>
      <c r="H4" s="869"/>
      <c r="I4" s="869" t="s">
        <v>478</v>
      </c>
      <c r="J4" s="868"/>
      <c r="K4" s="868"/>
      <c r="L4" s="870"/>
      <c r="M4" s="870"/>
      <c r="N4" s="870"/>
      <c r="O4" s="870"/>
    </row>
    <row r="5" spans="1:15" s="1" customFormat="1" x14ac:dyDescent="0.2">
      <c r="A5" s="867" t="s">
        <v>112</v>
      </c>
      <c r="B5" s="868"/>
      <c r="C5" s="868"/>
      <c r="D5" s="869"/>
      <c r="E5" s="868"/>
      <c r="F5" s="868"/>
      <c r="G5" s="867"/>
      <c r="H5" s="868"/>
      <c r="I5" s="869" t="s">
        <v>113</v>
      </c>
      <c r="J5" s="868"/>
      <c r="K5" s="868"/>
      <c r="L5" s="870"/>
      <c r="M5" s="870"/>
      <c r="N5" s="870"/>
      <c r="O5" s="870"/>
    </row>
    <row r="6" spans="1:15" s="1" customFormat="1" x14ac:dyDescent="0.2">
      <c r="A6" s="871" t="s">
        <v>114</v>
      </c>
      <c r="B6" s="872"/>
      <c r="C6" s="872"/>
      <c r="D6" s="868" t="s">
        <v>1126</v>
      </c>
      <c r="E6" s="868"/>
      <c r="F6" s="868"/>
      <c r="G6" s="871" t="s">
        <v>115</v>
      </c>
      <c r="H6" s="871"/>
      <c r="I6" s="2" t="s">
        <v>116</v>
      </c>
      <c r="J6" s="873" t="s">
        <v>1127</v>
      </c>
      <c r="K6" s="873"/>
      <c r="L6" s="873"/>
      <c r="M6" s="873"/>
      <c r="N6" s="873"/>
      <c r="O6" s="874"/>
    </row>
    <row r="7" spans="1:15" s="1" customFormat="1" ht="13.5" thickBot="1" x14ac:dyDescent="0.25">
      <c r="A7" s="3"/>
      <c r="B7" s="4"/>
      <c r="C7" s="5"/>
      <c r="D7" s="6"/>
      <c r="E7" s="6"/>
      <c r="F7" s="6"/>
      <c r="G7" s="6"/>
      <c r="H7" s="6"/>
      <c r="I7" s="6"/>
      <c r="J7" s="7"/>
      <c r="K7" s="8"/>
      <c r="L7" s="875" t="s">
        <v>223</v>
      </c>
      <c r="M7" s="875"/>
      <c r="N7" s="875"/>
      <c r="O7" s="875"/>
    </row>
    <row r="8" spans="1:15" s="11" customFormat="1" x14ac:dyDescent="0.2">
      <c r="A8" s="876" t="str">
        <f>I1</f>
        <v>Mr. M. K. Gupta</v>
      </c>
      <c r="B8" s="877"/>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0</v>
      </c>
      <c r="D9" s="14">
        <v>0</v>
      </c>
      <c r="E9" s="14">
        <v>0</v>
      </c>
      <c r="F9" s="14">
        <v>0</v>
      </c>
      <c r="G9" s="14">
        <v>0</v>
      </c>
      <c r="H9" s="14">
        <v>0</v>
      </c>
      <c r="I9" s="14">
        <v>0</v>
      </c>
      <c r="J9" s="14">
        <v>0</v>
      </c>
      <c r="K9" s="14">
        <v>0</v>
      </c>
      <c r="L9" s="14">
        <v>0</v>
      </c>
      <c r="M9" s="14">
        <v>0</v>
      </c>
      <c r="N9" s="14">
        <v>0</v>
      </c>
      <c r="O9" s="15">
        <f>SUM(C9:N9)</f>
        <v>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0</v>
      </c>
      <c r="D11" s="17">
        <v>0</v>
      </c>
      <c r="E11" s="17">
        <v>0</v>
      </c>
      <c r="F11" s="17">
        <v>0</v>
      </c>
      <c r="G11" s="17">
        <v>0</v>
      </c>
      <c r="H11" s="17">
        <v>0</v>
      </c>
      <c r="I11" s="17">
        <v>0</v>
      </c>
      <c r="J11" s="17">
        <v>0</v>
      </c>
      <c r="K11" s="17">
        <v>0</v>
      </c>
      <c r="L11" s="17">
        <v>0</v>
      </c>
      <c r="M11" s="17">
        <v>0</v>
      </c>
      <c r="N11" s="17">
        <v>0</v>
      </c>
      <c r="O11" s="18">
        <f>SUM(C11:N11)</f>
        <v>0</v>
      </c>
    </row>
    <row r="12" spans="1:15" ht="15"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x14ac:dyDescent="0.2">
      <c r="A14" s="12"/>
      <c r="B14" s="13" t="s">
        <v>123</v>
      </c>
      <c r="C14" s="17">
        <v>0</v>
      </c>
      <c r="D14" s="17">
        <v>0</v>
      </c>
      <c r="E14" s="17">
        <v>0</v>
      </c>
      <c r="F14" s="17">
        <v>0</v>
      </c>
      <c r="G14" s="17">
        <v>0</v>
      </c>
      <c r="H14" s="17">
        <v>0</v>
      </c>
      <c r="I14" s="17">
        <v>0</v>
      </c>
      <c r="J14" s="17">
        <v>0</v>
      </c>
      <c r="K14" s="17">
        <v>0</v>
      </c>
      <c r="L14" s="17">
        <v>0</v>
      </c>
      <c r="M14" s="17">
        <v>0</v>
      </c>
      <c r="N14" s="17">
        <v>0</v>
      </c>
      <c r="O14" s="18">
        <f t="shared" si="0"/>
        <v>0</v>
      </c>
    </row>
    <row r="15" spans="1:15"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hidden="1"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127</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0</v>
      </c>
      <c r="D19" s="17">
        <v>0</v>
      </c>
      <c r="E19" s="17">
        <v>0</v>
      </c>
      <c r="F19" s="17">
        <v>0</v>
      </c>
      <c r="G19" s="17">
        <v>0</v>
      </c>
      <c r="H19" s="17">
        <v>0</v>
      </c>
      <c r="I19" s="17">
        <v>0</v>
      </c>
      <c r="J19" s="17">
        <v>0</v>
      </c>
      <c r="K19" s="17">
        <v>0</v>
      </c>
      <c r="L19" s="17">
        <v>0</v>
      </c>
      <c r="M19" s="17">
        <v>0</v>
      </c>
      <c r="N19" s="17">
        <v>0</v>
      </c>
      <c r="O19" s="18">
        <f t="shared" si="0"/>
        <v>0</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78"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79"/>
      <c r="B22" s="19" t="s">
        <v>132</v>
      </c>
      <c r="C22" s="17">
        <v>0</v>
      </c>
      <c r="D22" s="17">
        <v>0</v>
      </c>
      <c r="E22" s="17">
        <v>0</v>
      </c>
      <c r="F22" s="17">
        <v>0</v>
      </c>
      <c r="G22" s="17">
        <v>0</v>
      </c>
      <c r="H22" s="17">
        <v>0</v>
      </c>
      <c r="I22" s="17">
        <v>0</v>
      </c>
      <c r="J22" s="17">
        <v>0</v>
      </c>
      <c r="K22" s="17">
        <v>0</v>
      </c>
      <c r="L22" s="17">
        <v>0</v>
      </c>
      <c r="M22" s="17">
        <v>0</v>
      </c>
      <c r="N22" s="17">
        <v>0</v>
      </c>
      <c r="O22" s="18">
        <f t="shared" si="0"/>
        <v>0</v>
      </c>
    </row>
    <row r="23" spans="1:15" ht="15" hidden="1" customHeight="1" x14ac:dyDescent="0.2">
      <c r="A23" s="879"/>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79"/>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79"/>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79"/>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79"/>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79"/>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79"/>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79"/>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customHeight="1" x14ac:dyDescent="0.2">
      <c r="A31" s="879"/>
      <c r="B31" s="240" t="s">
        <v>246</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79"/>
      <c r="B32" s="21" t="s">
        <v>142</v>
      </c>
      <c r="C32" s="17">
        <v>0</v>
      </c>
      <c r="D32" s="17">
        <v>0</v>
      </c>
      <c r="E32" s="17">
        <v>0</v>
      </c>
      <c r="F32" s="17">
        <v>0</v>
      </c>
      <c r="G32" s="17">
        <v>0</v>
      </c>
      <c r="H32" s="17">
        <v>0</v>
      </c>
      <c r="I32" s="17">
        <v>0</v>
      </c>
      <c r="J32" s="17">
        <v>0</v>
      </c>
      <c r="K32" s="17">
        <v>0</v>
      </c>
      <c r="L32" s="17">
        <v>0</v>
      </c>
      <c r="M32" s="17">
        <v>0</v>
      </c>
      <c r="N32" s="17">
        <v>0</v>
      </c>
      <c r="O32" s="18">
        <f t="shared" si="0"/>
        <v>0</v>
      </c>
    </row>
    <row r="33" spans="1:19" ht="15" hidden="1" customHeight="1" x14ac:dyDescent="0.2">
      <c r="A33" s="880"/>
      <c r="B33" s="19" t="s">
        <v>226</v>
      </c>
      <c r="C33" s="17">
        <v>0</v>
      </c>
      <c r="D33" s="17">
        <v>0</v>
      </c>
      <c r="E33" s="17">
        <v>0</v>
      </c>
      <c r="F33" s="17">
        <v>0</v>
      </c>
      <c r="G33" s="17">
        <v>0</v>
      </c>
      <c r="H33" s="17">
        <v>0</v>
      </c>
      <c r="I33" s="17">
        <v>0</v>
      </c>
      <c r="J33" s="17">
        <v>0</v>
      </c>
      <c r="K33" s="17">
        <v>0</v>
      </c>
      <c r="L33" s="17">
        <v>0</v>
      </c>
      <c r="M33" s="17">
        <v>0</v>
      </c>
      <c r="N33" s="17">
        <v>0</v>
      </c>
      <c r="O33" s="18">
        <f t="shared" si="0"/>
        <v>0</v>
      </c>
    </row>
    <row r="34" spans="1:19" ht="15" customHeight="1" x14ac:dyDescent="0.2">
      <c r="A34" s="865" t="s">
        <v>144</v>
      </c>
      <c r="B34" s="866"/>
      <c r="C34" s="17">
        <v>0</v>
      </c>
      <c r="D34" s="17">
        <v>0</v>
      </c>
      <c r="E34" s="17">
        <v>0</v>
      </c>
      <c r="F34" s="17">
        <v>0</v>
      </c>
      <c r="G34" s="17">
        <v>0</v>
      </c>
      <c r="H34" s="17">
        <v>0</v>
      </c>
      <c r="I34" s="17">
        <v>0</v>
      </c>
      <c r="J34" s="17">
        <v>0</v>
      </c>
      <c r="K34" s="17">
        <v>0</v>
      </c>
      <c r="L34" s="17">
        <v>0</v>
      </c>
      <c r="M34" s="17">
        <v>0</v>
      </c>
      <c r="N34" s="17">
        <v>0</v>
      </c>
      <c r="O34" s="18">
        <f t="shared" si="0"/>
        <v>0</v>
      </c>
      <c r="S34" s="257"/>
    </row>
    <row r="35" spans="1:19" ht="15" customHeight="1" x14ac:dyDescent="0.2">
      <c r="A35" s="865" t="s">
        <v>145</v>
      </c>
      <c r="B35" s="866"/>
      <c r="C35" s="17">
        <v>0</v>
      </c>
      <c r="D35" s="17">
        <v>0</v>
      </c>
      <c r="E35" s="17">
        <v>0</v>
      </c>
      <c r="F35" s="17">
        <v>0</v>
      </c>
      <c r="G35" s="17">
        <v>0</v>
      </c>
      <c r="H35" s="17">
        <v>0</v>
      </c>
      <c r="I35" s="17">
        <v>0</v>
      </c>
      <c r="J35" s="17">
        <v>0</v>
      </c>
      <c r="K35" s="17">
        <v>0</v>
      </c>
      <c r="L35" s="17">
        <v>0</v>
      </c>
      <c r="M35" s="17">
        <v>0</v>
      </c>
      <c r="N35" s="17">
        <v>0</v>
      </c>
      <c r="O35" s="18">
        <f t="shared" si="0"/>
        <v>0</v>
      </c>
    </row>
    <row r="36" spans="1:19" ht="15" customHeight="1" x14ac:dyDescent="0.2">
      <c r="A36" s="865" t="s">
        <v>146</v>
      </c>
      <c r="B36" s="866"/>
      <c r="C36" s="17">
        <v>0</v>
      </c>
      <c r="D36" s="17">
        <v>0</v>
      </c>
      <c r="E36" s="17">
        <v>0</v>
      </c>
      <c r="F36" s="17">
        <v>0</v>
      </c>
      <c r="G36" s="17">
        <v>0</v>
      </c>
      <c r="H36" s="17">
        <v>0</v>
      </c>
      <c r="I36" s="17">
        <v>0</v>
      </c>
      <c r="J36" s="17">
        <v>0</v>
      </c>
      <c r="K36" s="17">
        <v>0</v>
      </c>
      <c r="L36" s="17">
        <v>0</v>
      </c>
      <c r="M36" s="17">
        <v>0</v>
      </c>
      <c r="N36" s="17">
        <v>0</v>
      </c>
      <c r="O36" s="18">
        <f t="shared" si="0"/>
        <v>0</v>
      </c>
    </row>
    <row r="37" spans="1:19" ht="15" customHeight="1" x14ac:dyDescent="0.2">
      <c r="A37" s="22"/>
      <c r="B37" s="23" t="s">
        <v>147</v>
      </c>
      <c r="C37" s="24">
        <f t="shared" ref="C37:N37" si="1">SUM(C9:C36)</f>
        <v>0</v>
      </c>
      <c r="D37" s="24">
        <f t="shared" si="1"/>
        <v>0</v>
      </c>
      <c r="E37" s="24">
        <f t="shared" si="1"/>
        <v>0</v>
      </c>
      <c r="F37" s="24">
        <f t="shared" si="1"/>
        <v>0</v>
      </c>
      <c r="G37" s="24">
        <f t="shared" si="1"/>
        <v>0</v>
      </c>
      <c r="H37" s="24">
        <f t="shared" si="1"/>
        <v>0</v>
      </c>
      <c r="I37" s="24">
        <f t="shared" si="1"/>
        <v>0</v>
      </c>
      <c r="J37" s="24">
        <f t="shared" si="1"/>
        <v>0</v>
      </c>
      <c r="K37" s="24">
        <f t="shared" si="1"/>
        <v>0</v>
      </c>
      <c r="L37" s="24">
        <f t="shared" si="1"/>
        <v>0</v>
      </c>
      <c r="M37" s="24">
        <f t="shared" si="1"/>
        <v>0</v>
      </c>
      <c r="N37" s="24">
        <f t="shared" si="1"/>
        <v>0</v>
      </c>
      <c r="O37" s="25">
        <f>SUM(C37:N37)</f>
        <v>0</v>
      </c>
      <c r="Q37" s="16">
        <f>75604*2+12056+78618*2+20688+83049*3+101960+11937+87028*5</f>
        <v>1139372</v>
      </c>
    </row>
    <row r="38" spans="1:19" ht="15" customHeight="1" x14ac:dyDescent="0.2">
      <c r="A38" s="853" t="s">
        <v>148</v>
      </c>
      <c r="B38" s="27" t="s">
        <v>149</v>
      </c>
      <c r="C38" s="28">
        <v>0</v>
      </c>
      <c r="D38" s="28">
        <v>0</v>
      </c>
      <c r="E38" s="28">
        <v>0</v>
      </c>
      <c r="F38" s="28">
        <v>0</v>
      </c>
      <c r="G38" s="28">
        <v>0</v>
      </c>
      <c r="H38" s="28">
        <v>0</v>
      </c>
      <c r="I38" s="28">
        <v>0</v>
      </c>
      <c r="J38" s="28">
        <v>0</v>
      </c>
      <c r="K38" s="28">
        <v>0</v>
      </c>
      <c r="L38" s="28">
        <v>0</v>
      </c>
      <c r="M38" s="28">
        <v>0</v>
      </c>
      <c r="N38" s="28">
        <v>0</v>
      </c>
      <c r="O38" s="18">
        <f>SUM(C38:N38)</f>
        <v>0</v>
      </c>
    </row>
    <row r="39" spans="1:19" ht="15" x14ac:dyDescent="0.2">
      <c r="A39" s="854"/>
      <c r="B39" s="27" t="s">
        <v>150</v>
      </c>
      <c r="C39" s="28">
        <v>0</v>
      </c>
      <c r="D39" s="28">
        <v>0</v>
      </c>
      <c r="E39" s="28">
        <v>0</v>
      </c>
      <c r="F39" s="28">
        <v>0</v>
      </c>
      <c r="G39" s="28">
        <v>0</v>
      </c>
      <c r="H39" s="28">
        <v>0</v>
      </c>
      <c r="I39" s="28">
        <v>0</v>
      </c>
      <c r="J39" s="28">
        <v>0</v>
      </c>
      <c r="K39" s="28">
        <v>0</v>
      </c>
      <c r="L39" s="28">
        <v>0</v>
      </c>
      <c r="M39" s="28">
        <v>0</v>
      </c>
      <c r="N39" s="28">
        <v>0</v>
      </c>
      <c r="O39" s="18">
        <f>SUM(C39:N39)</f>
        <v>0</v>
      </c>
    </row>
    <row r="40" spans="1:19" ht="15" x14ac:dyDescent="0.2">
      <c r="A40" s="854"/>
      <c r="B40" s="27" t="s">
        <v>151</v>
      </c>
      <c r="C40" s="28">
        <v>0</v>
      </c>
      <c r="D40" s="28">
        <v>0</v>
      </c>
      <c r="E40" s="28">
        <v>0</v>
      </c>
      <c r="F40" s="28">
        <v>0</v>
      </c>
      <c r="G40" s="28">
        <v>0</v>
      </c>
      <c r="H40" s="28">
        <v>0</v>
      </c>
      <c r="I40" s="28">
        <v>0</v>
      </c>
      <c r="J40" s="28">
        <v>0</v>
      </c>
      <c r="K40" s="28">
        <v>0</v>
      </c>
      <c r="L40" s="28">
        <v>0</v>
      </c>
      <c r="M40" s="28">
        <v>0</v>
      </c>
      <c r="N40" s="28">
        <v>0</v>
      </c>
      <c r="O40" s="18">
        <f t="shared" ref="O40:O50" si="2">SUM(C40:N40)</f>
        <v>0</v>
      </c>
    </row>
    <row r="41" spans="1:19" ht="15" x14ac:dyDescent="0.2">
      <c r="A41" s="854"/>
      <c r="B41" s="27" t="s">
        <v>152</v>
      </c>
      <c r="C41" s="28">
        <v>0</v>
      </c>
      <c r="D41" s="28">
        <v>0</v>
      </c>
      <c r="E41" s="28">
        <v>0</v>
      </c>
      <c r="F41" s="28">
        <v>0</v>
      </c>
      <c r="G41" s="28">
        <v>0</v>
      </c>
      <c r="H41" s="28">
        <v>0</v>
      </c>
      <c r="I41" s="28">
        <v>0</v>
      </c>
      <c r="J41" s="28">
        <v>0</v>
      </c>
      <c r="K41" s="28">
        <v>0</v>
      </c>
      <c r="L41" s="28">
        <v>0</v>
      </c>
      <c r="M41" s="28">
        <v>0</v>
      </c>
      <c r="N41" s="28">
        <v>0</v>
      </c>
      <c r="O41" s="18">
        <f t="shared" si="2"/>
        <v>0</v>
      </c>
    </row>
    <row r="42" spans="1:19" ht="15" x14ac:dyDescent="0.2">
      <c r="A42" s="854"/>
      <c r="B42" s="27" t="s">
        <v>153</v>
      </c>
      <c r="C42" s="28">
        <v>0</v>
      </c>
      <c r="D42" s="28">
        <v>0</v>
      </c>
      <c r="E42" s="28">
        <v>0</v>
      </c>
      <c r="F42" s="28">
        <v>0</v>
      </c>
      <c r="G42" s="28">
        <v>0</v>
      </c>
      <c r="H42" s="28">
        <v>0</v>
      </c>
      <c r="I42" s="28">
        <v>0</v>
      </c>
      <c r="J42" s="28">
        <v>0</v>
      </c>
      <c r="K42" s="28">
        <v>0</v>
      </c>
      <c r="L42" s="28">
        <v>0</v>
      </c>
      <c r="M42" s="28">
        <v>0</v>
      </c>
      <c r="N42" s="28">
        <v>0</v>
      </c>
      <c r="O42" s="18">
        <f t="shared" si="2"/>
        <v>0</v>
      </c>
    </row>
    <row r="43" spans="1:19" ht="15" x14ac:dyDescent="0.2">
      <c r="A43" s="854"/>
      <c r="B43" s="27" t="s">
        <v>154</v>
      </c>
      <c r="C43" s="28">
        <v>0</v>
      </c>
      <c r="D43" s="28">
        <v>0</v>
      </c>
      <c r="E43" s="28">
        <v>0</v>
      </c>
      <c r="F43" s="28">
        <v>0</v>
      </c>
      <c r="G43" s="28">
        <v>0</v>
      </c>
      <c r="H43" s="28">
        <v>0</v>
      </c>
      <c r="I43" s="28">
        <v>0</v>
      </c>
      <c r="J43" s="28">
        <v>0</v>
      </c>
      <c r="K43" s="28">
        <v>0</v>
      </c>
      <c r="L43" s="28">
        <v>0</v>
      </c>
      <c r="M43" s="28">
        <v>0</v>
      </c>
      <c r="N43" s="28">
        <v>0</v>
      </c>
      <c r="O43" s="18">
        <f t="shared" si="2"/>
        <v>0</v>
      </c>
    </row>
    <row r="44" spans="1:19" ht="15" x14ac:dyDescent="0.2">
      <c r="A44" s="854"/>
      <c r="B44" s="27" t="s">
        <v>155</v>
      </c>
      <c r="C44" s="28">
        <v>0</v>
      </c>
      <c r="D44" s="28">
        <v>0</v>
      </c>
      <c r="E44" s="28">
        <v>0</v>
      </c>
      <c r="F44" s="28">
        <v>0</v>
      </c>
      <c r="G44" s="28">
        <v>0</v>
      </c>
      <c r="H44" s="28">
        <v>0</v>
      </c>
      <c r="I44" s="28">
        <v>0</v>
      </c>
      <c r="J44" s="28">
        <v>0</v>
      </c>
      <c r="K44" s="28">
        <v>0</v>
      </c>
      <c r="L44" s="28">
        <v>0</v>
      </c>
      <c r="M44" s="28">
        <v>0</v>
      </c>
      <c r="N44" s="28">
        <v>0</v>
      </c>
      <c r="O44" s="18">
        <f t="shared" si="2"/>
        <v>0</v>
      </c>
    </row>
    <row r="45" spans="1:19" ht="15" x14ac:dyDescent="0.2">
      <c r="A45" s="854"/>
      <c r="B45" s="27" t="s">
        <v>156</v>
      </c>
      <c r="C45" s="28">
        <v>0</v>
      </c>
      <c r="D45" s="28">
        <v>0</v>
      </c>
      <c r="E45" s="28">
        <v>0</v>
      </c>
      <c r="F45" s="28">
        <v>0</v>
      </c>
      <c r="G45" s="28">
        <v>0</v>
      </c>
      <c r="H45" s="28">
        <v>0</v>
      </c>
      <c r="I45" s="28">
        <v>0</v>
      </c>
      <c r="J45" s="28">
        <v>0</v>
      </c>
      <c r="K45" s="28">
        <v>0</v>
      </c>
      <c r="L45" s="28">
        <v>0</v>
      </c>
      <c r="M45" s="28">
        <v>0</v>
      </c>
      <c r="N45" s="28">
        <v>0</v>
      </c>
      <c r="O45" s="18">
        <f t="shared" si="2"/>
        <v>0</v>
      </c>
    </row>
    <row r="46" spans="1:19" ht="15" x14ac:dyDescent="0.2">
      <c r="A46" s="854"/>
      <c r="B46" s="27" t="s">
        <v>157</v>
      </c>
      <c r="C46" s="28">
        <v>0</v>
      </c>
      <c r="D46" s="28">
        <v>0</v>
      </c>
      <c r="E46" s="28">
        <v>0</v>
      </c>
      <c r="F46" s="28">
        <v>0</v>
      </c>
      <c r="G46" s="28">
        <v>0</v>
      </c>
      <c r="H46" s="28">
        <v>0</v>
      </c>
      <c r="I46" s="28">
        <v>0</v>
      </c>
      <c r="J46" s="28">
        <v>0</v>
      </c>
      <c r="K46" s="28">
        <v>0</v>
      </c>
      <c r="L46" s="28">
        <v>0</v>
      </c>
      <c r="M46" s="28">
        <v>0</v>
      </c>
      <c r="N46" s="28">
        <v>0</v>
      </c>
      <c r="O46" s="18">
        <f t="shared" si="2"/>
        <v>0</v>
      </c>
    </row>
    <row r="47" spans="1:19" ht="28.5" customHeight="1" x14ac:dyDescent="0.2">
      <c r="A47" s="855"/>
      <c r="B47" s="30" t="s">
        <v>158</v>
      </c>
      <c r="C47" s="28">
        <v>0</v>
      </c>
      <c r="D47" s="28">
        <v>0</v>
      </c>
      <c r="E47" s="28">
        <v>0</v>
      </c>
      <c r="F47" s="28">
        <v>0</v>
      </c>
      <c r="G47" s="28">
        <v>0</v>
      </c>
      <c r="H47" s="28">
        <v>0</v>
      </c>
      <c r="I47" s="28">
        <v>0</v>
      </c>
      <c r="J47" s="28">
        <v>0</v>
      </c>
      <c r="K47" s="28">
        <v>0</v>
      </c>
      <c r="L47" s="28">
        <v>0</v>
      </c>
      <c r="M47" s="28">
        <v>0</v>
      </c>
      <c r="N47" s="28">
        <v>0</v>
      </c>
      <c r="O47" s="31">
        <f t="shared" si="2"/>
        <v>0</v>
      </c>
    </row>
    <row r="48" spans="1:19" ht="15" x14ac:dyDescent="0.2">
      <c r="A48" s="856"/>
      <c r="B48" s="127" t="s">
        <v>479</v>
      </c>
      <c r="C48" s="28">
        <v>0</v>
      </c>
      <c r="D48" s="28">
        <v>0</v>
      </c>
      <c r="E48" s="28">
        <v>0</v>
      </c>
      <c r="F48" s="28">
        <v>0</v>
      </c>
      <c r="G48" s="28">
        <v>0</v>
      </c>
      <c r="H48" s="28">
        <v>0</v>
      </c>
      <c r="I48" s="28">
        <v>0</v>
      </c>
      <c r="J48" s="28">
        <v>0</v>
      </c>
      <c r="K48" s="28">
        <v>0</v>
      </c>
      <c r="L48" s="28">
        <v>0</v>
      </c>
      <c r="M48" s="28">
        <v>0</v>
      </c>
      <c r="N48" s="28">
        <v>0</v>
      </c>
      <c r="O48" s="31">
        <f t="shared" si="2"/>
        <v>0</v>
      </c>
    </row>
    <row r="49" spans="1:17" ht="15" x14ac:dyDescent="0.2">
      <c r="A49" s="857" t="s">
        <v>160</v>
      </c>
      <c r="B49" s="858"/>
      <c r="C49" s="33">
        <f t="shared" ref="C49:N49" si="3">SUM(C38:C48)</f>
        <v>0</v>
      </c>
      <c r="D49" s="33">
        <f t="shared" si="3"/>
        <v>0</v>
      </c>
      <c r="E49" s="33">
        <f t="shared" si="3"/>
        <v>0</v>
      </c>
      <c r="F49" s="33">
        <f t="shared" si="3"/>
        <v>0</v>
      </c>
      <c r="G49" s="33">
        <f t="shared" si="3"/>
        <v>0</v>
      </c>
      <c r="H49" s="33">
        <f t="shared" si="3"/>
        <v>0</v>
      </c>
      <c r="I49" s="33">
        <f t="shared" si="3"/>
        <v>0</v>
      </c>
      <c r="J49" s="33">
        <f t="shared" si="3"/>
        <v>0</v>
      </c>
      <c r="K49" s="33">
        <f t="shared" si="3"/>
        <v>0</v>
      </c>
      <c r="L49" s="33">
        <f t="shared" si="3"/>
        <v>0</v>
      </c>
      <c r="M49" s="33">
        <f t="shared" si="3"/>
        <v>0</v>
      </c>
      <c r="N49" s="33">
        <f t="shared" si="3"/>
        <v>0</v>
      </c>
      <c r="O49" s="34">
        <f t="shared" si="2"/>
        <v>0</v>
      </c>
    </row>
    <row r="50" spans="1:17" ht="15.75" thickBot="1" x14ac:dyDescent="0.25">
      <c r="A50" s="859" t="s">
        <v>161</v>
      </c>
      <c r="B50" s="860"/>
      <c r="C50" s="35">
        <f t="shared" ref="C50:N50" si="4">C37-C49</f>
        <v>0</v>
      </c>
      <c r="D50" s="35">
        <f t="shared" si="4"/>
        <v>0</v>
      </c>
      <c r="E50" s="35">
        <f t="shared" si="4"/>
        <v>0</v>
      </c>
      <c r="F50" s="35">
        <f t="shared" si="4"/>
        <v>0</v>
      </c>
      <c r="G50" s="35">
        <f t="shared" si="4"/>
        <v>0</v>
      </c>
      <c r="H50" s="35">
        <f t="shared" si="4"/>
        <v>0</v>
      </c>
      <c r="I50" s="35">
        <f t="shared" si="4"/>
        <v>0</v>
      </c>
      <c r="J50" s="35">
        <f t="shared" si="4"/>
        <v>0</v>
      </c>
      <c r="K50" s="35">
        <f t="shared" si="4"/>
        <v>0</v>
      </c>
      <c r="L50" s="35">
        <f t="shared" si="4"/>
        <v>0</v>
      </c>
      <c r="M50" s="35">
        <f t="shared" si="4"/>
        <v>0</v>
      </c>
      <c r="N50" s="35">
        <f t="shared" si="4"/>
        <v>0</v>
      </c>
      <c r="O50" s="36">
        <f t="shared" si="2"/>
        <v>0</v>
      </c>
      <c r="Q50" s="16">
        <f>45209+39009+12056+41913+42033+20688+46464+43664*2+81568+11937+43643*3+43343+43206</f>
        <v>645683</v>
      </c>
    </row>
    <row r="51" spans="1:17" x14ac:dyDescent="0.2">
      <c r="J51" s="300">
        <f>+J37-SUM(J22:J36)</f>
        <v>0</v>
      </c>
      <c r="Q51" s="38"/>
    </row>
    <row r="52" spans="1:17" ht="13.5" thickBot="1" x14ac:dyDescent="0.25">
      <c r="J52" s="38">
        <f>+J51-J49</f>
        <v>0</v>
      </c>
    </row>
    <row r="53" spans="1:17" ht="13.5" thickBot="1" x14ac:dyDescent="0.25">
      <c r="B53" s="789" t="s">
        <v>162</v>
      </c>
      <c r="C53" s="861"/>
      <c r="D53" s="861"/>
      <c r="E53" s="861"/>
      <c r="F53" s="862"/>
      <c r="G53" s="863">
        <f>O37</f>
        <v>0</v>
      </c>
      <c r="H53" s="864"/>
      <c r="J53" s="38">
        <f>+J52+20392</f>
        <v>20392</v>
      </c>
    </row>
    <row r="54" spans="1:17" ht="13.5" thickBot="1" x14ac:dyDescent="0.25"/>
    <row r="55" spans="1:17" x14ac:dyDescent="0.2">
      <c r="B55" s="830" t="s">
        <v>163</v>
      </c>
      <c r="C55" s="833" t="s">
        <v>164</v>
      </c>
      <c r="D55" s="836" t="s">
        <v>165</v>
      </c>
      <c r="E55" s="837"/>
      <c r="F55" s="838"/>
      <c r="G55" s="839">
        <f>800*12</f>
        <v>9600</v>
      </c>
      <c r="H55" s="840"/>
    </row>
    <row r="56" spans="1:17" x14ac:dyDescent="0.2">
      <c r="B56" s="831"/>
      <c r="C56" s="834"/>
      <c r="D56" s="841" t="s">
        <v>166</v>
      </c>
      <c r="E56" s="842"/>
      <c r="F56" s="843"/>
      <c r="G56" s="844">
        <f>+O44</f>
        <v>0</v>
      </c>
      <c r="H56" s="845"/>
      <c r="I56" s="39"/>
      <c r="J56" s="846"/>
      <c r="K56" s="846"/>
      <c r="L56" s="846"/>
      <c r="M56" s="847"/>
      <c r="N56" s="847"/>
      <c r="O56" s="847"/>
    </row>
    <row r="57" spans="1:17" ht="13.5" thickBot="1" x14ac:dyDescent="0.25">
      <c r="B57" s="832"/>
      <c r="C57" s="835"/>
      <c r="D57" s="848" t="s">
        <v>243</v>
      </c>
      <c r="E57" s="849"/>
      <c r="F57" s="850"/>
      <c r="G57" s="851">
        <f>IF(O18&gt;15000,15000,+O18)</f>
        <v>0</v>
      </c>
      <c r="H57" s="852"/>
      <c r="J57" s="47"/>
      <c r="K57" s="47"/>
      <c r="L57" s="47"/>
      <c r="M57" s="47"/>
      <c r="N57" s="47"/>
      <c r="O57" s="47"/>
    </row>
    <row r="58" spans="1:17" ht="13.5" thickBot="1" x14ac:dyDescent="0.25">
      <c r="B58" s="48"/>
      <c r="J58" s="47"/>
      <c r="K58" s="47"/>
      <c r="L58" s="47"/>
      <c r="M58" s="47"/>
      <c r="N58" s="47"/>
      <c r="O58" s="47"/>
    </row>
    <row r="59" spans="1:17" ht="13.5" thickBot="1" x14ac:dyDescent="0.25">
      <c r="B59" s="789" t="s">
        <v>168</v>
      </c>
      <c r="C59" s="790"/>
      <c r="D59" s="790"/>
      <c r="E59" s="790"/>
      <c r="F59" s="791"/>
      <c r="G59" s="825">
        <f>+G53-SUM(G55:H57)</f>
        <v>-9600</v>
      </c>
      <c r="H59" s="826"/>
      <c r="J59" s="827" t="s">
        <v>169</v>
      </c>
      <c r="K59" s="828"/>
      <c r="L59" s="828"/>
      <c r="M59" s="828"/>
      <c r="N59" s="828"/>
      <c r="O59" s="829"/>
    </row>
    <row r="60" spans="1:17" ht="13.5" thickBot="1" x14ac:dyDescent="0.25">
      <c r="B60" s="49"/>
      <c r="C60" s="50"/>
      <c r="D60" s="50"/>
      <c r="E60" s="50"/>
      <c r="F60" s="50"/>
      <c r="G60" s="45"/>
      <c r="H60" s="50"/>
      <c r="J60" s="54"/>
      <c r="K60" s="55"/>
      <c r="L60" s="55"/>
      <c r="M60" s="55"/>
      <c r="N60" s="55"/>
      <c r="O60" s="56"/>
    </row>
    <row r="61" spans="1:17" ht="13.5" thickBot="1" x14ac:dyDescent="0.25">
      <c r="B61" s="789" t="s">
        <v>170</v>
      </c>
      <c r="C61" s="790"/>
      <c r="D61" s="790"/>
      <c r="E61" s="790"/>
      <c r="F61" s="791"/>
      <c r="G61" s="805"/>
      <c r="H61" s="791"/>
      <c r="J61" s="54"/>
      <c r="K61" s="55"/>
      <c r="L61" s="55"/>
      <c r="M61" s="55"/>
      <c r="N61" s="55"/>
      <c r="O61" s="56"/>
    </row>
    <row r="62" spans="1:17" ht="12.75" customHeight="1" x14ac:dyDescent="0.2">
      <c r="B62" s="57" t="s">
        <v>171</v>
      </c>
      <c r="C62" s="806" t="s">
        <v>172</v>
      </c>
      <c r="D62" s="807"/>
      <c r="E62" s="807"/>
      <c r="F62" s="808"/>
      <c r="G62" s="809">
        <v>0</v>
      </c>
      <c r="H62" s="809"/>
      <c r="I62" s="58"/>
      <c r="J62" s="810" t="s">
        <v>173</v>
      </c>
      <c r="K62" s="811"/>
      <c r="L62" s="811"/>
      <c r="M62" s="811"/>
      <c r="N62" s="811"/>
      <c r="O62" s="812"/>
      <c r="P62" s="59"/>
    </row>
    <row r="63" spans="1:17" ht="13.5" thickBot="1" x14ac:dyDescent="0.25">
      <c r="D63" s="37"/>
      <c r="I63" s="58"/>
      <c r="J63" s="60" t="s">
        <v>254</v>
      </c>
      <c r="K63" s="61"/>
      <c r="L63" s="61"/>
      <c r="M63" s="61"/>
      <c r="N63" s="61"/>
      <c r="O63" s="62"/>
      <c r="P63" s="59"/>
    </row>
    <row r="64" spans="1:17" ht="13.5" thickBot="1" x14ac:dyDescent="0.25">
      <c r="B64" s="789" t="s">
        <v>175</v>
      </c>
      <c r="C64" s="790"/>
      <c r="D64" s="790"/>
      <c r="E64" s="790"/>
      <c r="F64" s="791"/>
      <c r="G64" s="805">
        <f>+G59-G62</f>
        <v>-9600</v>
      </c>
      <c r="H64" s="791"/>
      <c r="I64" s="63"/>
      <c r="J64" s="64"/>
      <c r="K64" s="39"/>
      <c r="L64" s="39"/>
      <c r="M64" s="39"/>
      <c r="N64" s="39"/>
      <c r="O64" s="65"/>
      <c r="P64" s="59"/>
    </row>
    <row r="65" spans="2:16" ht="12.75" customHeight="1" x14ac:dyDescent="0.2">
      <c r="B65" s="48"/>
      <c r="C65" s="48"/>
      <c r="I65" s="63"/>
      <c r="J65" s="64"/>
      <c r="K65" s="39"/>
      <c r="L65" s="39"/>
      <c r="M65" s="39"/>
      <c r="N65" s="39"/>
      <c r="O65" s="65"/>
      <c r="P65" s="59"/>
    </row>
    <row r="66" spans="2:16" x14ac:dyDescent="0.2">
      <c r="B66" s="66" t="s">
        <v>176</v>
      </c>
      <c r="C66" s="48"/>
      <c r="I66" s="63"/>
      <c r="J66" s="67"/>
      <c r="K66" s="68"/>
      <c r="L66" s="68"/>
      <c r="M66" s="68"/>
      <c r="N66" s="68"/>
      <c r="O66" s="69"/>
      <c r="P66" s="59"/>
    </row>
    <row r="67" spans="2:16" ht="26.25" customHeight="1" thickBot="1" x14ac:dyDescent="0.25">
      <c r="B67" s="66"/>
      <c r="C67" s="48"/>
      <c r="G67" s="70" t="s">
        <v>177</v>
      </c>
      <c r="H67" s="70" t="s">
        <v>178</v>
      </c>
      <c r="I67" s="63"/>
      <c r="J67" s="810" t="s">
        <v>179</v>
      </c>
      <c r="K67" s="811"/>
      <c r="L67" s="71"/>
      <c r="M67" s="71"/>
      <c r="N67" s="71"/>
      <c r="O67" s="72"/>
      <c r="P67" s="59"/>
    </row>
    <row r="68" spans="2:16" ht="12.75" customHeight="1" x14ac:dyDescent="0.2">
      <c r="B68" s="802" t="s">
        <v>180</v>
      </c>
      <c r="C68" s="821" t="s">
        <v>181</v>
      </c>
      <c r="D68" s="823" t="s">
        <v>182</v>
      </c>
      <c r="E68" s="824"/>
      <c r="F68" s="824"/>
      <c r="G68" s="73">
        <f>+O43</f>
        <v>0</v>
      </c>
      <c r="H68" s="74">
        <f t="shared" ref="H68:H76" si="5">+G68</f>
        <v>0</v>
      </c>
      <c r="I68" s="63"/>
      <c r="J68" s="75" t="s">
        <v>183</v>
      </c>
      <c r="K68" s="58"/>
      <c r="L68" s="58"/>
      <c r="M68" s="58"/>
      <c r="N68" s="58"/>
      <c r="O68" s="76"/>
      <c r="P68" s="59"/>
    </row>
    <row r="69" spans="2:16" ht="12.75" customHeight="1" x14ac:dyDescent="0.2">
      <c r="B69" s="803"/>
      <c r="C69" s="822"/>
      <c r="D69" s="782" t="s">
        <v>184</v>
      </c>
      <c r="E69" s="783"/>
      <c r="F69" s="783"/>
      <c r="G69" s="77">
        <f>+O47</f>
        <v>0</v>
      </c>
      <c r="H69" s="78">
        <f t="shared" si="5"/>
        <v>0</v>
      </c>
      <c r="I69" s="63"/>
      <c r="J69" s="79"/>
      <c r="K69" s="68"/>
      <c r="L69" s="68"/>
      <c r="M69" s="68"/>
      <c r="N69" s="68"/>
      <c r="O69" s="69"/>
      <c r="P69" s="59"/>
    </row>
    <row r="70" spans="2:16" ht="12.75" customHeight="1" x14ac:dyDescent="0.2">
      <c r="B70" s="803"/>
      <c r="C70" s="822"/>
      <c r="D70" s="819" t="s">
        <v>185</v>
      </c>
      <c r="E70" s="820"/>
      <c r="F70" s="820"/>
      <c r="G70" s="80">
        <f>O40</f>
        <v>0</v>
      </c>
      <c r="H70" s="78">
        <f t="shared" si="5"/>
        <v>0</v>
      </c>
      <c r="I70" s="63"/>
      <c r="J70" s="67"/>
      <c r="K70" s="68"/>
      <c r="L70" s="68"/>
      <c r="M70" s="68"/>
      <c r="N70" s="68"/>
      <c r="O70" s="69"/>
    </row>
    <row r="71" spans="2:16" x14ac:dyDescent="0.2">
      <c r="B71" s="803"/>
      <c r="C71" s="822"/>
      <c r="D71" s="782" t="s">
        <v>186</v>
      </c>
      <c r="E71" s="783"/>
      <c r="F71" s="783"/>
      <c r="G71" s="81">
        <v>0</v>
      </c>
      <c r="H71" s="78">
        <f t="shared" si="5"/>
        <v>0</v>
      </c>
      <c r="I71" s="63"/>
      <c r="J71" s="82" t="s">
        <v>187</v>
      </c>
      <c r="K71" s="71"/>
      <c r="L71" s="71"/>
      <c r="M71" s="71"/>
      <c r="N71" s="71"/>
      <c r="O71" s="72"/>
    </row>
    <row r="72" spans="2:16" ht="12.75" customHeight="1" x14ac:dyDescent="0.2">
      <c r="B72" s="803"/>
      <c r="C72" s="822"/>
      <c r="D72" s="784" t="s">
        <v>188</v>
      </c>
      <c r="E72" s="783"/>
      <c r="F72" s="783"/>
      <c r="G72" s="80">
        <v>0</v>
      </c>
      <c r="H72" s="78">
        <f t="shared" si="5"/>
        <v>0</v>
      </c>
      <c r="I72" s="63"/>
      <c r="J72" s="75" t="s">
        <v>189</v>
      </c>
      <c r="K72" s="50"/>
      <c r="L72" s="50"/>
      <c r="M72" s="50"/>
      <c r="N72" s="50"/>
      <c r="O72" s="83">
        <v>3900</v>
      </c>
    </row>
    <row r="73" spans="2:16" ht="14.25" customHeight="1" x14ac:dyDescent="0.2">
      <c r="B73" s="803"/>
      <c r="C73" s="822"/>
      <c r="D73" s="782" t="s">
        <v>190</v>
      </c>
      <c r="E73" s="783"/>
      <c r="F73" s="783"/>
      <c r="G73" s="84">
        <v>0</v>
      </c>
      <c r="H73" s="78">
        <f t="shared" si="5"/>
        <v>0</v>
      </c>
      <c r="I73" s="63"/>
      <c r="J73" s="64"/>
      <c r="K73" s="39"/>
      <c r="L73" s="39"/>
      <c r="M73" s="39"/>
      <c r="N73" s="39"/>
      <c r="O73" s="65"/>
    </row>
    <row r="74" spans="2:16" x14ac:dyDescent="0.2">
      <c r="B74" s="803"/>
      <c r="C74" s="822"/>
      <c r="D74" s="782" t="s">
        <v>191</v>
      </c>
      <c r="E74" s="783"/>
      <c r="F74" s="783"/>
      <c r="G74" s="81">
        <v>0</v>
      </c>
      <c r="H74" s="78">
        <f t="shared" si="5"/>
        <v>0</v>
      </c>
      <c r="I74" s="58"/>
      <c r="J74" s="82" t="s">
        <v>1128</v>
      </c>
      <c r="K74" s="195"/>
      <c r="L74" s="195"/>
      <c r="M74" s="195"/>
      <c r="N74" s="195"/>
      <c r="O74" s="196"/>
    </row>
    <row r="75" spans="2:16" x14ac:dyDescent="0.2">
      <c r="B75" s="803"/>
      <c r="C75" s="88" t="s">
        <v>192</v>
      </c>
      <c r="D75" s="813" t="s">
        <v>193</v>
      </c>
      <c r="E75" s="814"/>
      <c r="F75" s="814"/>
      <c r="G75" s="80">
        <v>0</v>
      </c>
      <c r="H75" s="78">
        <f t="shared" si="5"/>
        <v>0</v>
      </c>
      <c r="I75" s="58"/>
      <c r="J75" s="75" t="s">
        <v>1129</v>
      </c>
      <c r="K75" s="68"/>
      <c r="L75" s="68"/>
      <c r="M75" s="91"/>
      <c r="N75" s="91"/>
      <c r="O75" s="92"/>
    </row>
    <row r="76" spans="2:16" ht="13.5" customHeight="1" thickBot="1" x14ac:dyDescent="0.25">
      <c r="B76" s="803"/>
      <c r="C76" s="88" t="s">
        <v>194</v>
      </c>
      <c r="D76" s="815" t="s">
        <v>195</v>
      </c>
      <c r="E76" s="815"/>
      <c r="F76" s="815"/>
      <c r="G76" s="89">
        <v>0</v>
      </c>
      <c r="H76" s="90">
        <f t="shared" si="5"/>
        <v>0</v>
      </c>
      <c r="I76" s="63"/>
      <c r="J76" s="75" t="s">
        <v>1130</v>
      </c>
      <c r="K76" s="68"/>
      <c r="L76" s="68"/>
      <c r="M76" s="91"/>
      <c r="N76" s="91"/>
      <c r="O76" s="92"/>
    </row>
    <row r="77" spans="2:16" ht="13.5" thickBot="1" x14ac:dyDescent="0.25">
      <c r="B77" s="803"/>
      <c r="C77" s="93"/>
      <c r="D77" s="94"/>
      <c r="E77" s="816" t="s">
        <v>117</v>
      </c>
      <c r="F77" s="817"/>
      <c r="G77" s="95">
        <f>SUM(G68:G76)</f>
        <v>0</v>
      </c>
      <c r="H77" s="96">
        <f>IF(SUM(G68:G74)&lt;150000,SUM(G68:G74),150000)+IF(+G75&lt;20000,+G75,20000)</f>
        <v>0</v>
      </c>
      <c r="I77" s="63"/>
      <c r="J77" s="97" t="s">
        <v>1131</v>
      </c>
      <c r="K77" s="98"/>
      <c r="L77" s="98"/>
      <c r="M77" s="98"/>
      <c r="N77" s="98"/>
      <c r="O77" s="99"/>
    </row>
    <row r="78" spans="2:16" ht="12.75" customHeight="1" x14ac:dyDescent="0.2">
      <c r="B78" s="803"/>
      <c r="C78" s="100" t="s">
        <v>196</v>
      </c>
      <c r="D78" s="782" t="s">
        <v>187</v>
      </c>
      <c r="E78" s="783"/>
      <c r="F78" s="818"/>
      <c r="G78" s="73">
        <f>+O42</f>
        <v>0</v>
      </c>
      <c r="H78" s="101">
        <f>+IF(+G78&lt;15000,+G78,15000)</f>
        <v>0</v>
      </c>
      <c r="I78" s="87"/>
    </row>
    <row r="79" spans="2:16" x14ac:dyDescent="0.2">
      <c r="B79" s="803"/>
      <c r="C79" s="100" t="s">
        <v>197</v>
      </c>
      <c r="D79" s="784" t="s">
        <v>198</v>
      </c>
      <c r="E79" s="785"/>
      <c r="F79" s="786"/>
      <c r="G79" s="102"/>
      <c r="H79" s="103">
        <f>+IF(+G79&lt;40000,+G79,40000)</f>
        <v>0</v>
      </c>
      <c r="I79" s="63"/>
    </row>
    <row r="80" spans="2:16" x14ac:dyDescent="0.2">
      <c r="B80" s="803"/>
      <c r="C80" s="100" t="s">
        <v>199</v>
      </c>
      <c r="D80" s="784" t="s">
        <v>200</v>
      </c>
      <c r="E80" s="785"/>
      <c r="F80" s="786"/>
      <c r="G80" s="81"/>
      <c r="H80" s="104">
        <v>0</v>
      </c>
      <c r="I80" s="63"/>
    </row>
    <row r="81" spans="2:12" x14ac:dyDescent="0.2">
      <c r="B81" s="803"/>
      <c r="C81" s="100" t="s">
        <v>201</v>
      </c>
      <c r="D81" s="784" t="s">
        <v>202</v>
      </c>
      <c r="E81" s="785"/>
      <c r="F81" s="786"/>
      <c r="G81" s="81"/>
      <c r="H81" s="104">
        <v>0</v>
      </c>
      <c r="I81" s="63"/>
    </row>
    <row r="82" spans="2:12" ht="13.5" thickBot="1" x14ac:dyDescent="0.25">
      <c r="B82" s="804"/>
      <c r="C82" s="100" t="s">
        <v>203</v>
      </c>
      <c r="D82" s="784" t="s">
        <v>204</v>
      </c>
      <c r="E82" s="785"/>
      <c r="F82" s="786"/>
      <c r="G82" s="102">
        <v>50000</v>
      </c>
      <c r="H82" s="103">
        <f>+IF(+G82&lt;100000,+G82,100000)</f>
        <v>50000</v>
      </c>
      <c r="I82" s="63"/>
    </row>
    <row r="83" spans="2:12" ht="13.5" thickBot="1" x14ac:dyDescent="0.25">
      <c r="B83" s="787" t="s">
        <v>205</v>
      </c>
      <c r="C83" s="788"/>
      <c r="D83" s="788"/>
      <c r="E83" s="788"/>
      <c r="F83" s="788"/>
      <c r="G83" s="107">
        <f>SUM(G78:G82)</f>
        <v>50000</v>
      </c>
      <c r="H83" s="108">
        <f>SUM(H77:H82)</f>
        <v>50000</v>
      </c>
    </row>
    <row r="84" spans="2:12" ht="13.5" thickBot="1" x14ac:dyDescent="0.25"/>
    <row r="85" spans="2:12" ht="13.5" thickBot="1" x14ac:dyDescent="0.25">
      <c r="B85" s="789" t="s">
        <v>206</v>
      </c>
      <c r="C85" s="790"/>
      <c r="D85" s="790"/>
      <c r="E85" s="790"/>
      <c r="F85" s="791"/>
      <c r="G85" s="792">
        <f>+G64-H83</f>
        <v>-59600</v>
      </c>
      <c r="H85" s="791"/>
      <c r="J85" s="105">
        <f>C37+D37+E37+F37</f>
        <v>0</v>
      </c>
      <c r="K85" s="16" t="s">
        <v>235</v>
      </c>
    </row>
    <row r="86" spans="2:12" x14ac:dyDescent="0.2">
      <c r="B86" s="110"/>
      <c r="F86" s="105"/>
      <c r="J86" s="105">
        <v>0</v>
      </c>
      <c r="K86" s="16" t="s">
        <v>236</v>
      </c>
    </row>
    <row r="87" spans="2:12" x14ac:dyDescent="0.2">
      <c r="C87" s="793" t="s">
        <v>207</v>
      </c>
      <c r="D87" s="794"/>
      <c r="E87" s="111" t="s">
        <v>208</v>
      </c>
      <c r="F87" s="111" t="s">
        <v>209</v>
      </c>
      <c r="G87" s="111" t="s">
        <v>210</v>
      </c>
      <c r="H87" s="111" t="s">
        <v>211</v>
      </c>
      <c r="J87" s="213">
        <v>0</v>
      </c>
      <c r="K87" s="47" t="s">
        <v>237</v>
      </c>
    </row>
    <row r="88" spans="2:12" x14ac:dyDescent="0.2">
      <c r="C88" s="795" t="str">
        <f>IF(I6="M","0          - 250000","0          -  250000")</f>
        <v>0          - 250000</v>
      </c>
      <c r="D88" s="796"/>
      <c r="E88" s="112">
        <v>0</v>
      </c>
      <c r="F88" s="113">
        <f>IF(I6="M",(IF(G85&lt;200000,G85,200000)),(IF(G85&lt;200000,G85,200000)))</f>
        <v>-59600</v>
      </c>
      <c r="G88" s="113">
        <f>G85-F88</f>
        <v>0</v>
      </c>
      <c r="H88" s="113">
        <f>E88*F88</f>
        <v>0</v>
      </c>
      <c r="J88" s="207">
        <v>0</v>
      </c>
      <c r="K88" s="1" t="s">
        <v>238</v>
      </c>
    </row>
    <row r="89" spans="2:12" x14ac:dyDescent="0.2">
      <c r="C89" s="795" t="str">
        <f>IF(I6="M","250001 - 500000","250001-500000")</f>
        <v>250001 - 500000</v>
      </c>
      <c r="D89" s="796"/>
      <c r="E89" s="112">
        <v>0.1</v>
      </c>
      <c r="F89" s="113">
        <f>IF(I6="M",(IF(G88&lt;500000,G88,500000)),(IF(G88&lt;500000,G88,500000)))</f>
        <v>0</v>
      </c>
      <c r="G89" s="113">
        <f>G88-F89</f>
        <v>0</v>
      </c>
      <c r="H89" s="114">
        <f>ROUND(E89*F89,0.1)</f>
        <v>0</v>
      </c>
      <c r="J89" s="115">
        <f>SUM(J85:J88)</f>
        <v>0</v>
      </c>
    </row>
    <row r="90" spans="2:12" x14ac:dyDescent="0.2">
      <c r="C90" s="797" t="s">
        <v>212</v>
      </c>
      <c r="D90" s="798"/>
      <c r="E90" s="112">
        <v>0.2</v>
      </c>
      <c r="F90" s="113">
        <f>IF(G89&lt;500000,G89,500000)</f>
        <v>0</v>
      </c>
      <c r="G90" s="113">
        <f>G89-F90</f>
        <v>0</v>
      </c>
      <c r="H90" s="114">
        <f>ROUND(E90*F90,0.1)</f>
        <v>0</v>
      </c>
      <c r="J90" s="16">
        <f>+G85</f>
        <v>-59600</v>
      </c>
    </row>
    <row r="91" spans="2:12" x14ac:dyDescent="0.2">
      <c r="C91" s="795" t="s">
        <v>289</v>
      </c>
      <c r="D91" s="796"/>
      <c r="E91" s="112">
        <v>0.3</v>
      </c>
      <c r="F91" s="113">
        <f>G90</f>
        <v>0</v>
      </c>
      <c r="G91" s="113">
        <f>G90-F91</f>
        <v>0</v>
      </c>
      <c r="H91" s="114">
        <f>ROUND(E91*F91,0.1)</f>
        <v>0</v>
      </c>
      <c r="J91" s="16">
        <f>+J89-J90</f>
        <v>59600</v>
      </c>
    </row>
    <row r="92" spans="2:12" ht="12.75" customHeight="1" thickBot="1" x14ac:dyDescent="0.25">
      <c r="B92" s="116"/>
      <c r="C92" s="117"/>
      <c r="D92" s="47"/>
      <c r="E92" s="47"/>
      <c r="F92" s="47"/>
    </row>
    <row r="93" spans="2:12" ht="13.5" thickBot="1" x14ac:dyDescent="0.25">
      <c r="B93" s="799" t="s">
        <v>239</v>
      </c>
      <c r="C93" s="800"/>
      <c r="D93" s="800"/>
      <c r="E93" s="800"/>
      <c r="F93" s="801"/>
      <c r="G93" s="771">
        <f>H88+H89+H90+H91</f>
        <v>0</v>
      </c>
      <c r="H93" s="772"/>
    </row>
    <row r="94" spans="2:12" ht="13.5" thickBot="1" x14ac:dyDescent="0.25">
      <c r="B94" s="171" t="s">
        <v>215</v>
      </c>
      <c r="C94" s="155"/>
      <c r="D94" s="155"/>
      <c r="E94" s="155"/>
      <c r="F94" s="155"/>
      <c r="G94" s="769">
        <f>IF(G85&lt;200000,0,IF(G85&lt;220000,((G85-200000)*10%),IF(G85&lt;=500000,2000,IF(G85&gt;=500000,0))))</f>
        <v>0</v>
      </c>
      <c r="H94" s="770">
        <f>IF(H92&lt;200000,0,IF(H92&lt;220000,((H92-200000)*10%),IF(H92&lt;=500000,2000,IF(H92&gt;=500000,0))))</f>
        <v>0</v>
      </c>
      <c r="J94" s="1"/>
      <c r="K94" s="121"/>
      <c r="L94" s="121"/>
    </row>
    <row r="95" spans="2:12" ht="13.5" thickBot="1" x14ac:dyDescent="0.25">
      <c r="B95" s="122" t="s">
        <v>216</v>
      </c>
      <c r="C95" s="123"/>
      <c r="D95" s="123"/>
      <c r="E95" s="123"/>
      <c r="F95" s="123"/>
      <c r="G95" s="771">
        <f>+G93-G94</f>
        <v>0</v>
      </c>
      <c r="H95" s="772"/>
      <c r="I95" s="37"/>
    </row>
    <row r="96" spans="2:12" ht="13.5" thickBot="1" x14ac:dyDescent="0.25">
      <c r="B96" s="773" t="s">
        <v>217</v>
      </c>
      <c r="C96" s="774"/>
      <c r="D96" s="774"/>
      <c r="E96" s="774"/>
      <c r="F96" s="775"/>
      <c r="G96" s="776">
        <f>ROUND((IF(G95&gt;0,(G95*3%),0)),0)</f>
        <v>0</v>
      </c>
      <c r="H96" s="777"/>
      <c r="I96" s="37"/>
    </row>
    <row r="97" spans="2:9" ht="13.5" thickBot="1" x14ac:dyDescent="0.25">
      <c r="B97" s="778" t="s">
        <v>218</v>
      </c>
      <c r="C97" s="779"/>
      <c r="D97" s="779"/>
      <c r="E97" s="779"/>
      <c r="F97" s="779"/>
      <c r="G97" s="780">
        <f>G95+G96</f>
        <v>0</v>
      </c>
      <c r="H97" s="781"/>
      <c r="I97" s="121"/>
    </row>
    <row r="98" spans="2:9" ht="13.5" thickBot="1" x14ac:dyDescent="0.25">
      <c r="B98" s="765" t="s">
        <v>219</v>
      </c>
      <c r="C98" s="766"/>
      <c r="D98" s="766"/>
      <c r="E98" s="766"/>
      <c r="F98" s="766"/>
      <c r="G98" s="767">
        <f>O38</f>
        <v>0</v>
      </c>
      <c r="H98" s="768"/>
      <c r="I98" s="121"/>
    </row>
    <row r="99" spans="2:9" ht="13.5" thickBot="1" x14ac:dyDescent="0.25">
      <c r="B99" s="765" t="str">
        <f>IF(G99&gt;0,"TAX PAYABLE","TAX REFUND")</f>
        <v>TAX REFUND</v>
      </c>
      <c r="C99" s="766"/>
      <c r="D99" s="766"/>
      <c r="E99" s="766"/>
      <c r="F99" s="766"/>
      <c r="G99" s="767">
        <f>+G97-G98</f>
        <v>0</v>
      </c>
      <c r="H99" s="768"/>
      <c r="I99" s="37"/>
    </row>
    <row r="100" spans="2:9" ht="12.75" customHeight="1"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ht="12.75" customHeight="1"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row r="108" spans="2:9" x14ac:dyDescent="0.2">
      <c r="C108" s="39"/>
      <c r="D108" s="39"/>
      <c r="E108" s="39"/>
      <c r="F108" s="39"/>
      <c r="G108" s="39"/>
      <c r="H108"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9:F99 B93:F97">
    <cfRule type="cellIs" dxfId="137" priority="3" stopIfTrue="1" operator="equal">
      <formula>"TAX PAYABLE"</formula>
    </cfRule>
    <cfRule type="cellIs" dxfId="136" priority="4" stopIfTrue="1" operator="equal">
      <formula>"TAX REFUND"</formula>
    </cfRule>
  </conditionalFormatting>
  <conditionalFormatting sqref="G99:H99">
    <cfRule type="cellIs" dxfId="135" priority="1" stopIfTrue="1" operator="greaterThan">
      <formula>0</formula>
    </cfRule>
    <cfRule type="cellIs" dxfId="134"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worksheet>
</file>

<file path=xl/worksheets/sheet1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07"/>
  <sheetViews>
    <sheetView workbookViewId="0">
      <selection activeCell="D6" sqref="D6:F6"/>
    </sheetView>
  </sheetViews>
  <sheetFormatPr defaultRowHeight="12.75" x14ac:dyDescent="0.2"/>
  <cols>
    <col min="1" max="1" width="5" style="16" customWidth="1"/>
    <col min="2" max="2" width="18.28515625" style="37" customWidth="1"/>
    <col min="3" max="3" width="9.28515625" style="16" customWidth="1"/>
    <col min="4" max="4" width="6.7109375" style="16" bestFit="1" customWidth="1"/>
    <col min="5" max="5" width="8.5703125" style="16" bestFit="1" customWidth="1"/>
    <col min="6" max="6" width="9.28515625" style="16" bestFit="1" customWidth="1"/>
    <col min="7" max="8" width="8.140625" style="16" customWidth="1"/>
    <col min="9" max="9" width="7.140625" style="16" bestFit="1" customWidth="1"/>
    <col min="10" max="10" width="8.28515625" style="16" customWidth="1"/>
    <col min="11" max="12" width="7" style="16" bestFit="1" customWidth="1"/>
    <col min="13" max="13" width="6.85546875" style="16" bestFit="1" customWidth="1"/>
    <col min="14" max="14" width="7" style="16" bestFit="1" customWidth="1"/>
    <col min="15" max="15" width="7.140625" style="16" bestFit="1"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8.28515625" style="16" customWidth="1"/>
    <col min="259" max="259" width="9.28515625" style="16" customWidth="1"/>
    <col min="260" max="260" width="6.7109375" style="16" bestFit="1" customWidth="1"/>
    <col min="261" max="261" width="8.5703125" style="16" bestFit="1" customWidth="1"/>
    <col min="262" max="262" width="9.28515625" style="16" bestFit="1" customWidth="1"/>
    <col min="263" max="264" width="8.140625" style="16" customWidth="1"/>
    <col min="265" max="265" width="7.140625" style="16" bestFit="1" customWidth="1"/>
    <col min="266" max="266" width="8.28515625" style="16" customWidth="1"/>
    <col min="267" max="268" width="7" style="16" bestFit="1" customWidth="1"/>
    <col min="269" max="269" width="6.85546875" style="16" bestFit="1" customWidth="1"/>
    <col min="270" max="270" width="7" style="16" bestFit="1" customWidth="1"/>
    <col min="271" max="271" width="7.140625" style="16" bestFit="1"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8.28515625" style="16" customWidth="1"/>
    <col min="515" max="515" width="9.28515625" style="16" customWidth="1"/>
    <col min="516" max="516" width="6.7109375" style="16" bestFit="1" customWidth="1"/>
    <col min="517" max="517" width="8.5703125" style="16" bestFit="1" customWidth="1"/>
    <col min="518" max="518" width="9.28515625" style="16" bestFit="1" customWidth="1"/>
    <col min="519" max="520" width="8.140625" style="16" customWidth="1"/>
    <col min="521" max="521" width="7.140625" style="16" bestFit="1" customWidth="1"/>
    <col min="522" max="522" width="8.28515625" style="16" customWidth="1"/>
    <col min="523" max="524" width="7" style="16" bestFit="1" customWidth="1"/>
    <col min="525" max="525" width="6.85546875" style="16" bestFit="1" customWidth="1"/>
    <col min="526" max="526" width="7" style="16" bestFit="1" customWidth="1"/>
    <col min="527" max="527" width="7.140625" style="16" bestFit="1"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8.28515625" style="16" customWidth="1"/>
    <col min="771" max="771" width="9.28515625" style="16" customWidth="1"/>
    <col min="772" max="772" width="6.7109375" style="16" bestFit="1" customWidth="1"/>
    <col min="773" max="773" width="8.5703125" style="16" bestFit="1" customWidth="1"/>
    <col min="774" max="774" width="9.28515625" style="16" bestFit="1" customWidth="1"/>
    <col min="775" max="776" width="8.140625" style="16" customWidth="1"/>
    <col min="777" max="777" width="7.140625" style="16" bestFit="1" customWidth="1"/>
    <col min="778" max="778" width="8.28515625" style="16" customWidth="1"/>
    <col min="779" max="780" width="7" style="16" bestFit="1" customWidth="1"/>
    <col min="781" max="781" width="6.85546875" style="16" bestFit="1" customWidth="1"/>
    <col min="782" max="782" width="7" style="16" bestFit="1" customWidth="1"/>
    <col min="783" max="783" width="7.140625" style="16" bestFit="1"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8.28515625" style="16" customWidth="1"/>
    <col min="1027" max="1027" width="9.28515625" style="16" customWidth="1"/>
    <col min="1028" max="1028" width="6.7109375" style="16" bestFit="1" customWidth="1"/>
    <col min="1029" max="1029" width="8.5703125" style="16" bestFit="1" customWidth="1"/>
    <col min="1030" max="1030" width="9.28515625" style="16" bestFit="1" customWidth="1"/>
    <col min="1031" max="1032" width="8.140625" style="16" customWidth="1"/>
    <col min="1033" max="1033" width="7.140625" style="16" bestFit="1" customWidth="1"/>
    <col min="1034" max="1034" width="8.28515625" style="16" customWidth="1"/>
    <col min="1035" max="1036" width="7" style="16" bestFit="1" customWidth="1"/>
    <col min="1037" max="1037" width="6.85546875" style="16" bestFit="1" customWidth="1"/>
    <col min="1038" max="1038" width="7" style="16" bestFit="1" customWidth="1"/>
    <col min="1039" max="1039" width="7.140625" style="16" bestFit="1"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8.28515625" style="16" customWidth="1"/>
    <col min="1283" max="1283" width="9.28515625" style="16" customWidth="1"/>
    <col min="1284" max="1284" width="6.7109375" style="16" bestFit="1" customWidth="1"/>
    <col min="1285" max="1285" width="8.5703125" style="16" bestFit="1" customWidth="1"/>
    <col min="1286" max="1286" width="9.28515625" style="16" bestFit="1" customWidth="1"/>
    <col min="1287" max="1288" width="8.140625" style="16" customWidth="1"/>
    <col min="1289" max="1289" width="7.140625" style="16" bestFit="1" customWidth="1"/>
    <col min="1290" max="1290" width="8.28515625" style="16" customWidth="1"/>
    <col min="1291" max="1292" width="7" style="16" bestFit="1" customWidth="1"/>
    <col min="1293" max="1293" width="6.85546875" style="16" bestFit="1" customWidth="1"/>
    <col min="1294" max="1294" width="7" style="16" bestFit="1" customWidth="1"/>
    <col min="1295" max="1295" width="7.140625" style="16" bestFit="1"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8.28515625" style="16" customWidth="1"/>
    <col min="1539" max="1539" width="9.28515625" style="16" customWidth="1"/>
    <col min="1540" max="1540" width="6.7109375" style="16" bestFit="1" customWidth="1"/>
    <col min="1541" max="1541" width="8.5703125" style="16" bestFit="1" customWidth="1"/>
    <col min="1542" max="1542" width="9.28515625" style="16" bestFit="1" customWidth="1"/>
    <col min="1543" max="1544" width="8.140625" style="16" customWidth="1"/>
    <col min="1545" max="1545" width="7.140625" style="16" bestFit="1" customWidth="1"/>
    <col min="1546" max="1546" width="8.28515625" style="16" customWidth="1"/>
    <col min="1547" max="1548" width="7" style="16" bestFit="1" customWidth="1"/>
    <col min="1549" max="1549" width="6.85546875" style="16" bestFit="1" customWidth="1"/>
    <col min="1550" max="1550" width="7" style="16" bestFit="1" customWidth="1"/>
    <col min="1551" max="1551" width="7.140625" style="16" bestFit="1"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8.28515625" style="16" customWidth="1"/>
    <col min="1795" max="1795" width="9.28515625" style="16" customWidth="1"/>
    <col min="1796" max="1796" width="6.7109375" style="16" bestFit="1" customWidth="1"/>
    <col min="1797" max="1797" width="8.5703125" style="16" bestFit="1" customWidth="1"/>
    <col min="1798" max="1798" width="9.28515625" style="16" bestFit="1" customWidth="1"/>
    <col min="1799" max="1800" width="8.140625" style="16" customWidth="1"/>
    <col min="1801" max="1801" width="7.140625" style="16" bestFit="1" customWidth="1"/>
    <col min="1802" max="1802" width="8.28515625" style="16" customWidth="1"/>
    <col min="1803" max="1804" width="7" style="16" bestFit="1" customWidth="1"/>
    <col min="1805" max="1805" width="6.85546875" style="16" bestFit="1" customWidth="1"/>
    <col min="1806" max="1806" width="7" style="16" bestFit="1" customWidth="1"/>
    <col min="1807" max="1807" width="7.140625" style="16" bestFit="1"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8.28515625" style="16" customWidth="1"/>
    <col min="2051" max="2051" width="9.28515625" style="16" customWidth="1"/>
    <col min="2052" max="2052" width="6.7109375" style="16" bestFit="1" customWidth="1"/>
    <col min="2053" max="2053" width="8.5703125" style="16" bestFit="1" customWidth="1"/>
    <col min="2054" max="2054" width="9.28515625" style="16" bestFit="1" customWidth="1"/>
    <col min="2055" max="2056" width="8.140625" style="16" customWidth="1"/>
    <col min="2057" max="2057" width="7.140625" style="16" bestFit="1" customWidth="1"/>
    <col min="2058" max="2058" width="8.28515625" style="16" customWidth="1"/>
    <col min="2059" max="2060" width="7" style="16" bestFit="1" customWidth="1"/>
    <col min="2061" max="2061" width="6.85546875" style="16" bestFit="1" customWidth="1"/>
    <col min="2062" max="2062" width="7" style="16" bestFit="1" customWidth="1"/>
    <col min="2063" max="2063" width="7.140625" style="16" bestFit="1"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8.28515625" style="16" customWidth="1"/>
    <col min="2307" max="2307" width="9.28515625" style="16" customWidth="1"/>
    <col min="2308" max="2308" width="6.7109375" style="16" bestFit="1" customWidth="1"/>
    <col min="2309" max="2309" width="8.5703125" style="16" bestFit="1" customWidth="1"/>
    <col min="2310" max="2310" width="9.28515625" style="16" bestFit="1" customWidth="1"/>
    <col min="2311" max="2312" width="8.140625" style="16" customWidth="1"/>
    <col min="2313" max="2313" width="7.140625" style="16" bestFit="1" customWidth="1"/>
    <col min="2314" max="2314" width="8.28515625" style="16" customWidth="1"/>
    <col min="2315" max="2316" width="7" style="16" bestFit="1" customWidth="1"/>
    <col min="2317" max="2317" width="6.85546875" style="16" bestFit="1" customWidth="1"/>
    <col min="2318" max="2318" width="7" style="16" bestFit="1" customWidth="1"/>
    <col min="2319" max="2319" width="7.140625" style="16" bestFit="1"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8.28515625" style="16" customWidth="1"/>
    <col min="2563" max="2563" width="9.28515625" style="16" customWidth="1"/>
    <col min="2564" max="2564" width="6.7109375" style="16" bestFit="1" customWidth="1"/>
    <col min="2565" max="2565" width="8.5703125" style="16" bestFit="1" customWidth="1"/>
    <col min="2566" max="2566" width="9.28515625" style="16" bestFit="1" customWidth="1"/>
    <col min="2567" max="2568" width="8.140625" style="16" customWidth="1"/>
    <col min="2569" max="2569" width="7.140625" style="16" bestFit="1" customWidth="1"/>
    <col min="2570" max="2570" width="8.28515625" style="16" customWidth="1"/>
    <col min="2571" max="2572" width="7" style="16" bestFit="1" customWidth="1"/>
    <col min="2573" max="2573" width="6.85546875" style="16" bestFit="1" customWidth="1"/>
    <col min="2574" max="2574" width="7" style="16" bestFit="1" customWidth="1"/>
    <col min="2575" max="2575" width="7.140625" style="16" bestFit="1"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8.28515625" style="16" customWidth="1"/>
    <col min="2819" max="2819" width="9.28515625" style="16" customWidth="1"/>
    <col min="2820" max="2820" width="6.7109375" style="16" bestFit="1" customWidth="1"/>
    <col min="2821" max="2821" width="8.5703125" style="16" bestFit="1" customWidth="1"/>
    <col min="2822" max="2822" width="9.28515625" style="16" bestFit="1" customWidth="1"/>
    <col min="2823" max="2824" width="8.140625" style="16" customWidth="1"/>
    <col min="2825" max="2825" width="7.140625" style="16" bestFit="1" customWidth="1"/>
    <col min="2826" max="2826" width="8.28515625" style="16" customWidth="1"/>
    <col min="2827" max="2828" width="7" style="16" bestFit="1" customWidth="1"/>
    <col min="2829" max="2829" width="6.85546875" style="16" bestFit="1" customWidth="1"/>
    <col min="2830" max="2830" width="7" style="16" bestFit="1" customWidth="1"/>
    <col min="2831" max="2831" width="7.140625" style="16" bestFit="1"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8.28515625" style="16" customWidth="1"/>
    <col min="3075" max="3075" width="9.28515625" style="16" customWidth="1"/>
    <col min="3076" max="3076" width="6.7109375" style="16" bestFit="1" customWidth="1"/>
    <col min="3077" max="3077" width="8.5703125" style="16" bestFit="1" customWidth="1"/>
    <col min="3078" max="3078" width="9.28515625" style="16" bestFit="1" customWidth="1"/>
    <col min="3079" max="3080" width="8.140625" style="16" customWidth="1"/>
    <col min="3081" max="3081" width="7.140625" style="16" bestFit="1" customWidth="1"/>
    <col min="3082" max="3082" width="8.28515625" style="16" customWidth="1"/>
    <col min="3083" max="3084" width="7" style="16" bestFit="1" customWidth="1"/>
    <col min="3085" max="3085" width="6.85546875" style="16" bestFit="1" customWidth="1"/>
    <col min="3086" max="3086" width="7" style="16" bestFit="1" customWidth="1"/>
    <col min="3087" max="3087" width="7.140625" style="16" bestFit="1"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8.28515625" style="16" customWidth="1"/>
    <col min="3331" max="3331" width="9.28515625" style="16" customWidth="1"/>
    <col min="3332" max="3332" width="6.7109375" style="16" bestFit="1" customWidth="1"/>
    <col min="3333" max="3333" width="8.5703125" style="16" bestFit="1" customWidth="1"/>
    <col min="3334" max="3334" width="9.28515625" style="16" bestFit="1" customWidth="1"/>
    <col min="3335" max="3336" width="8.140625" style="16" customWidth="1"/>
    <col min="3337" max="3337" width="7.140625" style="16" bestFit="1" customWidth="1"/>
    <col min="3338" max="3338" width="8.28515625" style="16" customWidth="1"/>
    <col min="3339" max="3340" width="7" style="16" bestFit="1" customWidth="1"/>
    <col min="3341" max="3341" width="6.85546875" style="16" bestFit="1" customWidth="1"/>
    <col min="3342" max="3342" width="7" style="16" bestFit="1" customWidth="1"/>
    <col min="3343" max="3343" width="7.140625" style="16" bestFit="1"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8.28515625" style="16" customWidth="1"/>
    <col min="3587" max="3587" width="9.28515625" style="16" customWidth="1"/>
    <col min="3588" max="3588" width="6.7109375" style="16" bestFit="1" customWidth="1"/>
    <col min="3589" max="3589" width="8.5703125" style="16" bestFit="1" customWidth="1"/>
    <col min="3590" max="3590" width="9.28515625" style="16" bestFit="1" customWidth="1"/>
    <col min="3591" max="3592" width="8.140625" style="16" customWidth="1"/>
    <col min="3593" max="3593" width="7.140625" style="16" bestFit="1" customWidth="1"/>
    <col min="3594" max="3594" width="8.28515625" style="16" customWidth="1"/>
    <col min="3595" max="3596" width="7" style="16" bestFit="1" customWidth="1"/>
    <col min="3597" max="3597" width="6.85546875" style="16" bestFit="1" customWidth="1"/>
    <col min="3598" max="3598" width="7" style="16" bestFit="1" customWidth="1"/>
    <col min="3599" max="3599" width="7.140625" style="16" bestFit="1"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8.28515625" style="16" customWidth="1"/>
    <col min="3843" max="3843" width="9.28515625" style="16" customWidth="1"/>
    <col min="3844" max="3844" width="6.7109375" style="16" bestFit="1" customWidth="1"/>
    <col min="3845" max="3845" width="8.5703125" style="16" bestFit="1" customWidth="1"/>
    <col min="3846" max="3846" width="9.28515625" style="16" bestFit="1" customWidth="1"/>
    <col min="3847" max="3848" width="8.140625" style="16" customWidth="1"/>
    <col min="3849" max="3849" width="7.140625" style="16" bestFit="1" customWidth="1"/>
    <col min="3850" max="3850" width="8.28515625" style="16" customWidth="1"/>
    <col min="3851" max="3852" width="7" style="16" bestFit="1" customWidth="1"/>
    <col min="3853" max="3853" width="6.85546875" style="16" bestFit="1" customWidth="1"/>
    <col min="3854" max="3854" width="7" style="16" bestFit="1" customWidth="1"/>
    <col min="3855" max="3855" width="7.140625" style="16" bestFit="1"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8.28515625" style="16" customWidth="1"/>
    <col min="4099" max="4099" width="9.28515625" style="16" customWidth="1"/>
    <col min="4100" max="4100" width="6.7109375" style="16" bestFit="1" customWidth="1"/>
    <col min="4101" max="4101" width="8.5703125" style="16" bestFit="1" customWidth="1"/>
    <col min="4102" max="4102" width="9.28515625" style="16" bestFit="1" customWidth="1"/>
    <col min="4103" max="4104" width="8.140625" style="16" customWidth="1"/>
    <col min="4105" max="4105" width="7.140625" style="16" bestFit="1" customWidth="1"/>
    <col min="4106" max="4106" width="8.28515625" style="16" customWidth="1"/>
    <col min="4107" max="4108" width="7" style="16" bestFit="1" customWidth="1"/>
    <col min="4109" max="4109" width="6.85546875" style="16" bestFit="1" customWidth="1"/>
    <col min="4110" max="4110" width="7" style="16" bestFit="1" customWidth="1"/>
    <col min="4111" max="4111" width="7.140625" style="16" bestFit="1"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8.28515625" style="16" customWidth="1"/>
    <col min="4355" max="4355" width="9.28515625" style="16" customWidth="1"/>
    <col min="4356" max="4356" width="6.7109375" style="16" bestFit="1" customWidth="1"/>
    <col min="4357" max="4357" width="8.5703125" style="16" bestFit="1" customWidth="1"/>
    <col min="4358" max="4358" width="9.28515625" style="16" bestFit="1" customWidth="1"/>
    <col min="4359" max="4360" width="8.140625" style="16" customWidth="1"/>
    <col min="4361" max="4361" width="7.140625" style="16" bestFit="1" customWidth="1"/>
    <col min="4362" max="4362" width="8.28515625" style="16" customWidth="1"/>
    <col min="4363" max="4364" width="7" style="16" bestFit="1" customWidth="1"/>
    <col min="4365" max="4365" width="6.85546875" style="16" bestFit="1" customWidth="1"/>
    <col min="4366" max="4366" width="7" style="16" bestFit="1" customWidth="1"/>
    <col min="4367" max="4367" width="7.140625" style="16" bestFit="1"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8.28515625" style="16" customWidth="1"/>
    <col min="4611" max="4611" width="9.28515625" style="16" customWidth="1"/>
    <col min="4612" max="4612" width="6.7109375" style="16" bestFit="1" customWidth="1"/>
    <col min="4613" max="4613" width="8.5703125" style="16" bestFit="1" customWidth="1"/>
    <col min="4614" max="4614" width="9.28515625" style="16" bestFit="1" customWidth="1"/>
    <col min="4615" max="4616" width="8.140625" style="16" customWidth="1"/>
    <col min="4617" max="4617" width="7.140625" style="16" bestFit="1" customWidth="1"/>
    <col min="4618" max="4618" width="8.28515625" style="16" customWidth="1"/>
    <col min="4619" max="4620" width="7" style="16" bestFit="1" customWidth="1"/>
    <col min="4621" max="4621" width="6.85546875" style="16" bestFit="1" customWidth="1"/>
    <col min="4622" max="4622" width="7" style="16" bestFit="1" customWidth="1"/>
    <col min="4623" max="4623" width="7.140625" style="16" bestFit="1"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8.28515625" style="16" customWidth="1"/>
    <col min="4867" max="4867" width="9.28515625" style="16" customWidth="1"/>
    <col min="4868" max="4868" width="6.7109375" style="16" bestFit="1" customWidth="1"/>
    <col min="4869" max="4869" width="8.5703125" style="16" bestFit="1" customWidth="1"/>
    <col min="4870" max="4870" width="9.28515625" style="16" bestFit="1" customWidth="1"/>
    <col min="4871" max="4872" width="8.140625" style="16" customWidth="1"/>
    <col min="4873" max="4873" width="7.140625" style="16" bestFit="1" customWidth="1"/>
    <col min="4874" max="4874" width="8.28515625" style="16" customWidth="1"/>
    <col min="4875" max="4876" width="7" style="16" bestFit="1" customWidth="1"/>
    <col min="4877" max="4877" width="6.85546875" style="16" bestFit="1" customWidth="1"/>
    <col min="4878" max="4878" width="7" style="16" bestFit="1" customWidth="1"/>
    <col min="4879" max="4879" width="7.140625" style="16" bestFit="1"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8.28515625" style="16" customWidth="1"/>
    <col min="5123" max="5123" width="9.28515625" style="16" customWidth="1"/>
    <col min="5124" max="5124" width="6.7109375" style="16" bestFit="1" customWidth="1"/>
    <col min="5125" max="5125" width="8.5703125" style="16" bestFit="1" customWidth="1"/>
    <col min="5126" max="5126" width="9.28515625" style="16" bestFit="1" customWidth="1"/>
    <col min="5127" max="5128" width="8.140625" style="16" customWidth="1"/>
    <col min="5129" max="5129" width="7.140625" style="16" bestFit="1" customWidth="1"/>
    <col min="5130" max="5130" width="8.28515625" style="16" customWidth="1"/>
    <col min="5131" max="5132" width="7" style="16" bestFit="1" customWidth="1"/>
    <col min="5133" max="5133" width="6.85546875" style="16" bestFit="1" customWidth="1"/>
    <col min="5134" max="5134" width="7" style="16" bestFit="1" customWidth="1"/>
    <col min="5135" max="5135" width="7.140625" style="16" bestFit="1"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8.28515625" style="16" customWidth="1"/>
    <col min="5379" max="5379" width="9.28515625" style="16" customWidth="1"/>
    <col min="5380" max="5380" width="6.7109375" style="16" bestFit="1" customWidth="1"/>
    <col min="5381" max="5381" width="8.5703125" style="16" bestFit="1" customWidth="1"/>
    <col min="5382" max="5382" width="9.28515625" style="16" bestFit="1" customWidth="1"/>
    <col min="5383" max="5384" width="8.140625" style="16" customWidth="1"/>
    <col min="5385" max="5385" width="7.140625" style="16" bestFit="1" customWidth="1"/>
    <col min="5386" max="5386" width="8.28515625" style="16" customWidth="1"/>
    <col min="5387" max="5388" width="7" style="16" bestFit="1" customWidth="1"/>
    <col min="5389" max="5389" width="6.85546875" style="16" bestFit="1" customWidth="1"/>
    <col min="5390" max="5390" width="7" style="16" bestFit="1" customWidth="1"/>
    <col min="5391" max="5391" width="7.140625" style="16" bestFit="1"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8.28515625" style="16" customWidth="1"/>
    <col min="5635" max="5635" width="9.28515625" style="16" customWidth="1"/>
    <col min="5636" max="5636" width="6.7109375" style="16" bestFit="1" customWidth="1"/>
    <col min="5637" max="5637" width="8.5703125" style="16" bestFit="1" customWidth="1"/>
    <col min="5638" max="5638" width="9.28515625" style="16" bestFit="1" customWidth="1"/>
    <col min="5639" max="5640" width="8.140625" style="16" customWidth="1"/>
    <col min="5641" max="5641" width="7.140625" style="16" bestFit="1" customWidth="1"/>
    <col min="5642" max="5642" width="8.28515625" style="16" customWidth="1"/>
    <col min="5643" max="5644" width="7" style="16" bestFit="1" customWidth="1"/>
    <col min="5645" max="5645" width="6.85546875" style="16" bestFit="1" customWidth="1"/>
    <col min="5646" max="5646" width="7" style="16" bestFit="1" customWidth="1"/>
    <col min="5647" max="5647" width="7.140625" style="16" bestFit="1"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8.28515625" style="16" customWidth="1"/>
    <col min="5891" max="5891" width="9.28515625" style="16" customWidth="1"/>
    <col min="5892" max="5892" width="6.7109375" style="16" bestFit="1" customWidth="1"/>
    <col min="5893" max="5893" width="8.5703125" style="16" bestFit="1" customWidth="1"/>
    <col min="5894" max="5894" width="9.28515625" style="16" bestFit="1" customWidth="1"/>
    <col min="5895" max="5896" width="8.140625" style="16" customWidth="1"/>
    <col min="5897" max="5897" width="7.140625" style="16" bestFit="1" customWidth="1"/>
    <col min="5898" max="5898" width="8.28515625" style="16" customWidth="1"/>
    <col min="5899" max="5900" width="7" style="16" bestFit="1" customWidth="1"/>
    <col min="5901" max="5901" width="6.85546875" style="16" bestFit="1" customWidth="1"/>
    <col min="5902" max="5902" width="7" style="16" bestFit="1" customWidth="1"/>
    <col min="5903" max="5903" width="7.140625" style="16" bestFit="1"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8.28515625" style="16" customWidth="1"/>
    <col min="6147" max="6147" width="9.28515625" style="16" customWidth="1"/>
    <col min="6148" max="6148" width="6.7109375" style="16" bestFit="1" customWidth="1"/>
    <col min="6149" max="6149" width="8.5703125" style="16" bestFit="1" customWidth="1"/>
    <col min="6150" max="6150" width="9.28515625" style="16" bestFit="1" customWidth="1"/>
    <col min="6151" max="6152" width="8.140625" style="16" customWidth="1"/>
    <col min="6153" max="6153" width="7.140625" style="16" bestFit="1" customWidth="1"/>
    <col min="6154" max="6154" width="8.28515625" style="16" customWidth="1"/>
    <col min="6155" max="6156" width="7" style="16" bestFit="1" customWidth="1"/>
    <col min="6157" max="6157" width="6.85546875" style="16" bestFit="1" customWidth="1"/>
    <col min="6158" max="6158" width="7" style="16" bestFit="1" customWidth="1"/>
    <col min="6159" max="6159" width="7.140625" style="16" bestFit="1"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8.28515625" style="16" customWidth="1"/>
    <col min="6403" max="6403" width="9.28515625" style="16" customWidth="1"/>
    <col min="6404" max="6404" width="6.7109375" style="16" bestFit="1" customWidth="1"/>
    <col min="6405" max="6405" width="8.5703125" style="16" bestFit="1" customWidth="1"/>
    <col min="6406" max="6406" width="9.28515625" style="16" bestFit="1" customWidth="1"/>
    <col min="6407" max="6408" width="8.140625" style="16" customWidth="1"/>
    <col min="6409" max="6409" width="7.140625" style="16" bestFit="1" customWidth="1"/>
    <col min="6410" max="6410" width="8.28515625" style="16" customWidth="1"/>
    <col min="6411" max="6412" width="7" style="16" bestFit="1" customWidth="1"/>
    <col min="6413" max="6413" width="6.85546875" style="16" bestFit="1" customWidth="1"/>
    <col min="6414" max="6414" width="7" style="16" bestFit="1" customWidth="1"/>
    <col min="6415" max="6415" width="7.140625" style="16" bestFit="1"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8.28515625" style="16" customWidth="1"/>
    <col min="6659" max="6659" width="9.28515625" style="16" customWidth="1"/>
    <col min="6660" max="6660" width="6.7109375" style="16" bestFit="1" customWidth="1"/>
    <col min="6661" max="6661" width="8.5703125" style="16" bestFit="1" customWidth="1"/>
    <col min="6662" max="6662" width="9.28515625" style="16" bestFit="1" customWidth="1"/>
    <col min="6663" max="6664" width="8.140625" style="16" customWidth="1"/>
    <col min="6665" max="6665" width="7.140625" style="16" bestFit="1" customWidth="1"/>
    <col min="6666" max="6666" width="8.28515625" style="16" customWidth="1"/>
    <col min="6667" max="6668" width="7" style="16" bestFit="1" customWidth="1"/>
    <col min="6669" max="6669" width="6.85546875" style="16" bestFit="1" customWidth="1"/>
    <col min="6670" max="6670" width="7" style="16" bestFit="1" customWidth="1"/>
    <col min="6671" max="6671" width="7.140625" style="16" bestFit="1"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8.28515625" style="16" customWidth="1"/>
    <col min="6915" max="6915" width="9.28515625" style="16" customWidth="1"/>
    <col min="6916" max="6916" width="6.7109375" style="16" bestFit="1" customWidth="1"/>
    <col min="6917" max="6917" width="8.5703125" style="16" bestFit="1" customWidth="1"/>
    <col min="6918" max="6918" width="9.28515625" style="16" bestFit="1" customWidth="1"/>
    <col min="6919" max="6920" width="8.140625" style="16" customWidth="1"/>
    <col min="6921" max="6921" width="7.140625" style="16" bestFit="1" customWidth="1"/>
    <col min="6922" max="6922" width="8.28515625" style="16" customWidth="1"/>
    <col min="6923" max="6924" width="7" style="16" bestFit="1" customWidth="1"/>
    <col min="6925" max="6925" width="6.85546875" style="16" bestFit="1" customWidth="1"/>
    <col min="6926" max="6926" width="7" style="16" bestFit="1" customWidth="1"/>
    <col min="6927" max="6927" width="7.140625" style="16" bestFit="1"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8.28515625" style="16" customWidth="1"/>
    <col min="7171" max="7171" width="9.28515625" style="16" customWidth="1"/>
    <col min="7172" max="7172" width="6.7109375" style="16" bestFit="1" customWidth="1"/>
    <col min="7173" max="7173" width="8.5703125" style="16" bestFit="1" customWidth="1"/>
    <col min="7174" max="7174" width="9.28515625" style="16" bestFit="1" customWidth="1"/>
    <col min="7175" max="7176" width="8.140625" style="16" customWidth="1"/>
    <col min="7177" max="7177" width="7.140625" style="16" bestFit="1" customWidth="1"/>
    <col min="7178" max="7178" width="8.28515625" style="16" customWidth="1"/>
    <col min="7179" max="7180" width="7" style="16" bestFit="1" customWidth="1"/>
    <col min="7181" max="7181" width="6.85546875" style="16" bestFit="1" customWidth="1"/>
    <col min="7182" max="7182" width="7" style="16" bestFit="1" customWidth="1"/>
    <col min="7183" max="7183" width="7.140625" style="16" bestFit="1"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8.28515625" style="16" customWidth="1"/>
    <col min="7427" max="7427" width="9.28515625" style="16" customWidth="1"/>
    <col min="7428" max="7428" width="6.7109375" style="16" bestFit="1" customWidth="1"/>
    <col min="7429" max="7429" width="8.5703125" style="16" bestFit="1" customWidth="1"/>
    <col min="7430" max="7430" width="9.28515625" style="16" bestFit="1" customWidth="1"/>
    <col min="7431" max="7432" width="8.140625" style="16" customWidth="1"/>
    <col min="7433" max="7433" width="7.140625" style="16" bestFit="1" customWidth="1"/>
    <col min="7434" max="7434" width="8.28515625" style="16" customWidth="1"/>
    <col min="7435" max="7436" width="7" style="16" bestFit="1" customWidth="1"/>
    <col min="7437" max="7437" width="6.85546875" style="16" bestFit="1" customWidth="1"/>
    <col min="7438" max="7438" width="7" style="16" bestFit="1" customWidth="1"/>
    <col min="7439" max="7439" width="7.140625" style="16" bestFit="1"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8.28515625" style="16" customWidth="1"/>
    <col min="7683" max="7683" width="9.28515625" style="16" customWidth="1"/>
    <col min="7684" max="7684" width="6.7109375" style="16" bestFit="1" customWidth="1"/>
    <col min="7685" max="7685" width="8.5703125" style="16" bestFit="1" customWidth="1"/>
    <col min="7686" max="7686" width="9.28515625" style="16" bestFit="1" customWidth="1"/>
    <col min="7687" max="7688" width="8.140625" style="16" customWidth="1"/>
    <col min="7689" max="7689" width="7.140625" style="16" bestFit="1" customWidth="1"/>
    <col min="7690" max="7690" width="8.28515625" style="16" customWidth="1"/>
    <col min="7691" max="7692" width="7" style="16" bestFit="1" customWidth="1"/>
    <col min="7693" max="7693" width="6.85546875" style="16" bestFit="1" customWidth="1"/>
    <col min="7694" max="7694" width="7" style="16" bestFit="1" customWidth="1"/>
    <col min="7695" max="7695" width="7.140625" style="16" bestFit="1"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8.28515625" style="16" customWidth="1"/>
    <col min="7939" max="7939" width="9.28515625" style="16" customWidth="1"/>
    <col min="7940" max="7940" width="6.7109375" style="16" bestFit="1" customWidth="1"/>
    <col min="7941" max="7941" width="8.5703125" style="16" bestFit="1" customWidth="1"/>
    <col min="7942" max="7942" width="9.28515625" style="16" bestFit="1" customWidth="1"/>
    <col min="7943" max="7944" width="8.140625" style="16" customWidth="1"/>
    <col min="7945" max="7945" width="7.140625" style="16" bestFit="1" customWidth="1"/>
    <col min="7946" max="7946" width="8.28515625" style="16" customWidth="1"/>
    <col min="7947" max="7948" width="7" style="16" bestFit="1" customWidth="1"/>
    <col min="7949" max="7949" width="6.85546875" style="16" bestFit="1" customWidth="1"/>
    <col min="7950" max="7950" width="7" style="16" bestFit="1" customWidth="1"/>
    <col min="7951" max="7951" width="7.140625" style="16" bestFit="1"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8.28515625" style="16" customWidth="1"/>
    <col min="8195" max="8195" width="9.28515625" style="16" customWidth="1"/>
    <col min="8196" max="8196" width="6.7109375" style="16" bestFit="1" customWidth="1"/>
    <col min="8197" max="8197" width="8.5703125" style="16" bestFit="1" customWidth="1"/>
    <col min="8198" max="8198" width="9.28515625" style="16" bestFit="1" customWidth="1"/>
    <col min="8199" max="8200" width="8.140625" style="16" customWidth="1"/>
    <col min="8201" max="8201" width="7.140625" style="16" bestFit="1" customWidth="1"/>
    <col min="8202" max="8202" width="8.28515625" style="16" customWidth="1"/>
    <col min="8203" max="8204" width="7" style="16" bestFit="1" customWidth="1"/>
    <col min="8205" max="8205" width="6.85546875" style="16" bestFit="1" customWidth="1"/>
    <col min="8206" max="8206" width="7" style="16" bestFit="1" customWidth="1"/>
    <col min="8207" max="8207" width="7.140625" style="16" bestFit="1"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8.28515625" style="16" customWidth="1"/>
    <col min="8451" max="8451" width="9.28515625" style="16" customWidth="1"/>
    <col min="8452" max="8452" width="6.7109375" style="16" bestFit="1" customWidth="1"/>
    <col min="8453" max="8453" width="8.5703125" style="16" bestFit="1" customWidth="1"/>
    <col min="8454" max="8454" width="9.28515625" style="16" bestFit="1" customWidth="1"/>
    <col min="8455" max="8456" width="8.140625" style="16" customWidth="1"/>
    <col min="8457" max="8457" width="7.140625" style="16" bestFit="1" customWidth="1"/>
    <col min="8458" max="8458" width="8.28515625" style="16" customWidth="1"/>
    <col min="8459" max="8460" width="7" style="16" bestFit="1" customWidth="1"/>
    <col min="8461" max="8461" width="6.85546875" style="16" bestFit="1" customWidth="1"/>
    <col min="8462" max="8462" width="7" style="16" bestFit="1" customWidth="1"/>
    <col min="8463" max="8463" width="7.140625" style="16" bestFit="1"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8.28515625" style="16" customWidth="1"/>
    <col min="8707" max="8707" width="9.28515625" style="16" customWidth="1"/>
    <col min="8708" max="8708" width="6.7109375" style="16" bestFit="1" customWidth="1"/>
    <col min="8709" max="8709" width="8.5703125" style="16" bestFit="1" customWidth="1"/>
    <col min="8710" max="8710" width="9.28515625" style="16" bestFit="1" customWidth="1"/>
    <col min="8711" max="8712" width="8.140625" style="16" customWidth="1"/>
    <col min="8713" max="8713" width="7.140625" style="16" bestFit="1" customWidth="1"/>
    <col min="8714" max="8714" width="8.28515625" style="16" customWidth="1"/>
    <col min="8715" max="8716" width="7" style="16" bestFit="1" customWidth="1"/>
    <col min="8717" max="8717" width="6.85546875" style="16" bestFit="1" customWidth="1"/>
    <col min="8718" max="8718" width="7" style="16" bestFit="1" customWidth="1"/>
    <col min="8719" max="8719" width="7.140625" style="16" bestFit="1"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8.28515625" style="16" customWidth="1"/>
    <col min="8963" max="8963" width="9.28515625" style="16" customWidth="1"/>
    <col min="8964" max="8964" width="6.7109375" style="16" bestFit="1" customWidth="1"/>
    <col min="8965" max="8965" width="8.5703125" style="16" bestFit="1" customWidth="1"/>
    <col min="8966" max="8966" width="9.28515625" style="16" bestFit="1" customWidth="1"/>
    <col min="8967" max="8968" width="8.140625" style="16" customWidth="1"/>
    <col min="8969" max="8969" width="7.140625" style="16" bestFit="1" customWidth="1"/>
    <col min="8970" max="8970" width="8.28515625" style="16" customWidth="1"/>
    <col min="8971" max="8972" width="7" style="16" bestFit="1" customWidth="1"/>
    <col min="8973" max="8973" width="6.85546875" style="16" bestFit="1" customWidth="1"/>
    <col min="8974" max="8974" width="7" style="16" bestFit="1" customWidth="1"/>
    <col min="8975" max="8975" width="7.140625" style="16" bestFit="1"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8.28515625" style="16" customWidth="1"/>
    <col min="9219" max="9219" width="9.28515625" style="16" customWidth="1"/>
    <col min="9220" max="9220" width="6.7109375" style="16" bestFit="1" customWidth="1"/>
    <col min="9221" max="9221" width="8.5703125" style="16" bestFit="1" customWidth="1"/>
    <col min="9222" max="9222" width="9.28515625" style="16" bestFit="1" customWidth="1"/>
    <col min="9223" max="9224" width="8.140625" style="16" customWidth="1"/>
    <col min="9225" max="9225" width="7.140625" style="16" bestFit="1" customWidth="1"/>
    <col min="9226" max="9226" width="8.28515625" style="16" customWidth="1"/>
    <col min="9227" max="9228" width="7" style="16" bestFit="1" customWidth="1"/>
    <col min="9229" max="9229" width="6.85546875" style="16" bestFit="1" customWidth="1"/>
    <col min="9230" max="9230" width="7" style="16" bestFit="1" customWidth="1"/>
    <col min="9231" max="9231" width="7.140625" style="16" bestFit="1"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8.28515625" style="16" customWidth="1"/>
    <col min="9475" max="9475" width="9.28515625" style="16" customWidth="1"/>
    <col min="9476" max="9476" width="6.7109375" style="16" bestFit="1" customWidth="1"/>
    <col min="9477" max="9477" width="8.5703125" style="16" bestFit="1" customWidth="1"/>
    <col min="9478" max="9478" width="9.28515625" style="16" bestFit="1" customWidth="1"/>
    <col min="9479" max="9480" width="8.140625" style="16" customWidth="1"/>
    <col min="9481" max="9481" width="7.140625" style="16" bestFit="1" customWidth="1"/>
    <col min="9482" max="9482" width="8.28515625" style="16" customWidth="1"/>
    <col min="9483" max="9484" width="7" style="16" bestFit="1" customWidth="1"/>
    <col min="9485" max="9485" width="6.85546875" style="16" bestFit="1" customWidth="1"/>
    <col min="9486" max="9486" width="7" style="16" bestFit="1" customWidth="1"/>
    <col min="9487" max="9487" width="7.140625" style="16" bestFit="1"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8.28515625" style="16" customWidth="1"/>
    <col min="9731" max="9731" width="9.28515625" style="16" customWidth="1"/>
    <col min="9732" max="9732" width="6.7109375" style="16" bestFit="1" customWidth="1"/>
    <col min="9733" max="9733" width="8.5703125" style="16" bestFit="1" customWidth="1"/>
    <col min="9734" max="9734" width="9.28515625" style="16" bestFit="1" customWidth="1"/>
    <col min="9735" max="9736" width="8.140625" style="16" customWidth="1"/>
    <col min="9737" max="9737" width="7.140625" style="16" bestFit="1" customWidth="1"/>
    <col min="9738" max="9738" width="8.28515625" style="16" customWidth="1"/>
    <col min="9739" max="9740" width="7" style="16" bestFit="1" customWidth="1"/>
    <col min="9741" max="9741" width="6.85546875" style="16" bestFit="1" customWidth="1"/>
    <col min="9742" max="9742" width="7" style="16" bestFit="1" customWidth="1"/>
    <col min="9743" max="9743" width="7.140625" style="16" bestFit="1"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8.28515625" style="16" customWidth="1"/>
    <col min="9987" max="9987" width="9.28515625" style="16" customWidth="1"/>
    <col min="9988" max="9988" width="6.7109375" style="16" bestFit="1" customWidth="1"/>
    <col min="9989" max="9989" width="8.5703125" style="16" bestFit="1" customWidth="1"/>
    <col min="9990" max="9990" width="9.28515625" style="16" bestFit="1" customWidth="1"/>
    <col min="9991" max="9992" width="8.140625" style="16" customWidth="1"/>
    <col min="9993" max="9993" width="7.140625" style="16" bestFit="1" customWidth="1"/>
    <col min="9994" max="9994" width="8.28515625" style="16" customWidth="1"/>
    <col min="9995" max="9996" width="7" style="16" bestFit="1" customWidth="1"/>
    <col min="9997" max="9997" width="6.85546875" style="16" bestFit="1" customWidth="1"/>
    <col min="9998" max="9998" width="7" style="16" bestFit="1" customWidth="1"/>
    <col min="9999" max="9999" width="7.140625" style="16" bestFit="1"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8.28515625" style="16" customWidth="1"/>
    <col min="10243" max="10243" width="9.28515625" style="16" customWidth="1"/>
    <col min="10244" max="10244" width="6.7109375" style="16" bestFit="1" customWidth="1"/>
    <col min="10245" max="10245" width="8.5703125" style="16" bestFit="1" customWidth="1"/>
    <col min="10246" max="10246" width="9.28515625" style="16" bestFit="1" customWidth="1"/>
    <col min="10247" max="10248" width="8.140625" style="16" customWidth="1"/>
    <col min="10249" max="10249" width="7.140625" style="16" bestFit="1" customWidth="1"/>
    <col min="10250" max="10250" width="8.28515625" style="16" customWidth="1"/>
    <col min="10251" max="10252" width="7" style="16" bestFit="1" customWidth="1"/>
    <col min="10253" max="10253" width="6.85546875" style="16" bestFit="1" customWidth="1"/>
    <col min="10254" max="10254" width="7" style="16" bestFit="1" customWidth="1"/>
    <col min="10255" max="10255" width="7.140625" style="16" bestFit="1"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8.28515625" style="16" customWidth="1"/>
    <col min="10499" max="10499" width="9.28515625" style="16" customWidth="1"/>
    <col min="10500" max="10500" width="6.7109375" style="16" bestFit="1" customWidth="1"/>
    <col min="10501" max="10501" width="8.5703125" style="16" bestFit="1" customWidth="1"/>
    <col min="10502" max="10502" width="9.28515625" style="16" bestFit="1" customWidth="1"/>
    <col min="10503" max="10504" width="8.140625" style="16" customWidth="1"/>
    <col min="10505" max="10505" width="7.140625" style="16" bestFit="1" customWidth="1"/>
    <col min="10506" max="10506" width="8.28515625" style="16" customWidth="1"/>
    <col min="10507" max="10508" width="7" style="16" bestFit="1" customWidth="1"/>
    <col min="10509" max="10509" width="6.85546875" style="16" bestFit="1" customWidth="1"/>
    <col min="10510" max="10510" width="7" style="16" bestFit="1" customWidth="1"/>
    <col min="10511" max="10511" width="7.140625" style="16" bestFit="1"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8.28515625" style="16" customWidth="1"/>
    <col min="10755" max="10755" width="9.28515625" style="16" customWidth="1"/>
    <col min="10756" max="10756" width="6.7109375" style="16" bestFit="1" customWidth="1"/>
    <col min="10757" max="10757" width="8.5703125" style="16" bestFit="1" customWidth="1"/>
    <col min="10758" max="10758" width="9.28515625" style="16" bestFit="1" customWidth="1"/>
    <col min="10759" max="10760" width="8.140625" style="16" customWidth="1"/>
    <col min="10761" max="10761" width="7.140625" style="16" bestFit="1" customWidth="1"/>
    <col min="10762" max="10762" width="8.28515625" style="16" customWidth="1"/>
    <col min="10763" max="10764" width="7" style="16" bestFit="1" customWidth="1"/>
    <col min="10765" max="10765" width="6.85546875" style="16" bestFit="1" customWidth="1"/>
    <col min="10766" max="10766" width="7" style="16" bestFit="1" customWidth="1"/>
    <col min="10767" max="10767" width="7.140625" style="16" bestFit="1"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8.28515625" style="16" customWidth="1"/>
    <col min="11011" max="11011" width="9.28515625" style="16" customWidth="1"/>
    <col min="11012" max="11012" width="6.7109375" style="16" bestFit="1" customWidth="1"/>
    <col min="11013" max="11013" width="8.5703125" style="16" bestFit="1" customWidth="1"/>
    <col min="11014" max="11014" width="9.28515625" style="16" bestFit="1" customWidth="1"/>
    <col min="11015" max="11016" width="8.140625" style="16" customWidth="1"/>
    <col min="11017" max="11017" width="7.140625" style="16" bestFit="1" customWidth="1"/>
    <col min="11018" max="11018" width="8.28515625" style="16" customWidth="1"/>
    <col min="11019" max="11020" width="7" style="16" bestFit="1" customWidth="1"/>
    <col min="11021" max="11021" width="6.85546875" style="16" bestFit="1" customWidth="1"/>
    <col min="11022" max="11022" width="7" style="16" bestFit="1" customWidth="1"/>
    <col min="11023" max="11023" width="7.140625" style="16" bestFit="1"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8.28515625" style="16" customWidth="1"/>
    <col min="11267" max="11267" width="9.28515625" style="16" customWidth="1"/>
    <col min="11268" max="11268" width="6.7109375" style="16" bestFit="1" customWidth="1"/>
    <col min="11269" max="11269" width="8.5703125" style="16" bestFit="1" customWidth="1"/>
    <col min="11270" max="11270" width="9.28515625" style="16" bestFit="1" customWidth="1"/>
    <col min="11271" max="11272" width="8.140625" style="16" customWidth="1"/>
    <col min="11273" max="11273" width="7.140625" style="16" bestFit="1" customWidth="1"/>
    <col min="11274" max="11274" width="8.28515625" style="16" customWidth="1"/>
    <col min="11275" max="11276" width="7" style="16" bestFit="1" customWidth="1"/>
    <col min="11277" max="11277" width="6.85546875" style="16" bestFit="1" customWidth="1"/>
    <col min="11278" max="11278" width="7" style="16" bestFit="1" customWidth="1"/>
    <col min="11279" max="11279" width="7.140625" style="16" bestFit="1"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8.28515625" style="16" customWidth="1"/>
    <col min="11523" max="11523" width="9.28515625" style="16" customWidth="1"/>
    <col min="11524" max="11524" width="6.7109375" style="16" bestFit="1" customWidth="1"/>
    <col min="11525" max="11525" width="8.5703125" style="16" bestFit="1" customWidth="1"/>
    <col min="11526" max="11526" width="9.28515625" style="16" bestFit="1" customWidth="1"/>
    <col min="11527" max="11528" width="8.140625" style="16" customWidth="1"/>
    <col min="11529" max="11529" width="7.140625" style="16" bestFit="1" customWidth="1"/>
    <col min="11530" max="11530" width="8.28515625" style="16" customWidth="1"/>
    <col min="11531" max="11532" width="7" style="16" bestFit="1" customWidth="1"/>
    <col min="11533" max="11533" width="6.85546875" style="16" bestFit="1" customWidth="1"/>
    <col min="11534" max="11534" width="7" style="16" bestFit="1" customWidth="1"/>
    <col min="11535" max="11535" width="7.140625" style="16" bestFit="1"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8.28515625" style="16" customWidth="1"/>
    <col min="11779" max="11779" width="9.28515625" style="16" customWidth="1"/>
    <col min="11780" max="11780" width="6.7109375" style="16" bestFit="1" customWidth="1"/>
    <col min="11781" max="11781" width="8.5703125" style="16" bestFit="1" customWidth="1"/>
    <col min="11782" max="11782" width="9.28515625" style="16" bestFit="1" customWidth="1"/>
    <col min="11783" max="11784" width="8.140625" style="16" customWidth="1"/>
    <col min="11785" max="11785" width="7.140625" style="16" bestFit="1" customWidth="1"/>
    <col min="11786" max="11786" width="8.28515625" style="16" customWidth="1"/>
    <col min="11787" max="11788" width="7" style="16" bestFit="1" customWidth="1"/>
    <col min="11789" max="11789" width="6.85546875" style="16" bestFit="1" customWidth="1"/>
    <col min="11790" max="11790" width="7" style="16" bestFit="1" customWidth="1"/>
    <col min="11791" max="11791" width="7.140625" style="16" bestFit="1"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8.28515625" style="16" customWidth="1"/>
    <col min="12035" max="12035" width="9.28515625" style="16" customWidth="1"/>
    <col min="12036" max="12036" width="6.7109375" style="16" bestFit="1" customWidth="1"/>
    <col min="12037" max="12037" width="8.5703125" style="16" bestFit="1" customWidth="1"/>
    <col min="12038" max="12038" width="9.28515625" style="16" bestFit="1" customWidth="1"/>
    <col min="12039" max="12040" width="8.140625" style="16" customWidth="1"/>
    <col min="12041" max="12041" width="7.140625" style="16" bestFit="1" customWidth="1"/>
    <col min="12042" max="12042" width="8.28515625" style="16" customWidth="1"/>
    <col min="12043" max="12044" width="7" style="16" bestFit="1" customWidth="1"/>
    <col min="12045" max="12045" width="6.85546875" style="16" bestFit="1" customWidth="1"/>
    <col min="12046" max="12046" width="7" style="16" bestFit="1" customWidth="1"/>
    <col min="12047" max="12047" width="7.140625" style="16" bestFit="1"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8.28515625" style="16" customWidth="1"/>
    <col min="12291" max="12291" width="9.28515625" style="16" customWidth="1"/>
    <col min="12292" max="12292" width="6.7109375" style="16" bestFit="1" customWidth="1"/>
    <col min="12293" max="12293" width="8.5703125" style="16" bestFit="1" customWidth="1"/>
    <col min="12294" max="12294" width="9.28515625" style="16" bestFit="1" customWidth="1"/>
    <col min="12295" max="12296" width="8.140625" style="16" customWidth="1"/>
    <col min="12297" max="12297" width="7.140625" style="16" bestFit="1" customWidth="1"/>
    <col min="12298" max="12298" width="8.28515625" style="16" customWidth="1"/>
    <col min="12299" max="12300" width="7" style="16" bestFit="1" customWidth="1"/>
    <col min="12301" max="12301" width="6.85546875" style="16" bestFit="1" customWidth="1"/>
    <col min="12302" max="12302" width="7" style="16" bestFit="1" customWidth="1"/>
    <col min="12303" max="12303" width="7.140625" style="16" bestFit="1"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8.28515625" style="16" customWidth="1"/>
    <col min="12547" max="12547" width="9.28515625" style="16" customWidth="1"/>
    <col min="12548" max="12548" width="6.7109375" style="16" bestFit="1" customWidth="1"/>
    <col min="12549" max="12549" width="8.5703125" style="16" bestFit="1" customWidth="1"/>
    <col min="12550" max="12550" width="9.28515625" style="16" bestFit="1" customWidth="1"/>
    <col min="12551" max="12552" width="8.140625" style="16" customWidth="1"/>
    <col min="12553" max="12553" width="7.140625" style="16" bestFit="1" customWidth="1"/>
    <col min="12554" max="12554" width="8.28515625" style="16" customWidth="1"/>
    <col min="12555" max="12556" width="7" style="16" bestFit="1" customWidth="1"/>
    <col min="12557" max="12557" width="6.85546875" style="16" bestFit="1" customWidth="1"/>
    <col min="12558" max="12558" width="7" style="16" bestFit="1" customWidth="1"/>
    <col min="12559" max="12559" width="7.140625" style="16" bestFit="1"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8.28515625" style="16" customWidth="1"/>
    <col min="12803" max="12803" width="9.28515625" style="16" customWidth="1"/>
    <col min="12804" max="12804" width="6.7109375" style="16" bestFit="1" customWidth="1"/>
    <col min="12805" max="12805" width="8.5703125" style="16" bestFit="1" customWidth="1"/>
    <col min="12806" max="12806" width="9.28515625" style="16" bestFit="1" customWidth="1"/>
    <col min="12807" max="12808" width="8.140625" style="16" customWidth="1"/>
    <col min="12809" max="12809" width="7.140625" style="16" bestFit="1" customWidth="1"/>
    <col min="12810" max="12810" width="8.28515625" style="16" customWidth="1"/>
    <col min="12811" max="12812" width="7" style="16" bestFit="1" customWidth="1"/>
    <col min="12813" max="12813" width="6.85546875" style="16" bestFit="1" customWidth="1"/>
    <col min="12814" max="12814" width="7" style="16" bestFit="1" customWidth="1"/>
    <col min="12815" max="12815" width="7.140625" style="16" bestFit="1"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8.28515625" style="16" customWidth="1"/>
    <col min="13059" max="13059" width="9.28515625" style="16" customWidth="1"/>
    <col min="13060" max="13060" width="6.7109375" style="16" bestFit="1" customWidth="1"/>
    <col min="13061" max="13061" width="8.5703125" style="16" bestFit="1" customWidth="1"/>
    <col min="13062" max="13062" width="9.28515625" style="16" bestFit="1" customWidth="1"/>
    <col min="13063" max="13064" width="8.140625" style="16" customWidth="1"/>
    <col min="13065" max="13065" width="7.140625" style="16" bestFit="1" customWidth="1"/>
    <col min="13066" max="13066" width="8.28515625" style="16" customWidth="1"/>
    <col min="13067" max="13068" width="7" style="16" bestFit="1" customWidth="1"/>
    <col min="13069" max="13069" width="6.85546875" style="16" bestFit="1" customWidth="1"/>
    <col min="13070" max="13070" width="7" style="16" bestFit="1" customWidth="1"/>
    <col min="13071" max="13071" width="7.140625" style="16" bestFit="1"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8.28515625" style="16" customWidth="1"/>
    <col min="13315" max="13315" width="9.28515625" style="16" customWidth="1"/>
    <col min="13316" max="13316" width="6.7109375" style="16" bestFit="1" customWidth="1"/>
    <col min="13317" max="13317" width="8.5703125" style="16" bestFit="1" customWidth="1"/>
    <col min="13318" max="13318" width="9.28515625" style="16" bestFit="1" customWidth="1"/>
    <col min="13319" max="13320" width="8.140625" style="16" customWidth="1"/>
    <col min="13321" max="13321" width="7.140625" style="16" bestFit="1" customWidth="1"/>
    <col min="13322" max="13322" width="8.28515625" style="16" customWidth="1"/>
    <col min="13323" max="13324" width="7" style="16" bestFit="1" customWidth="1"/>
    <col min="13325" max="13325" width="6.85546875" style="16" bestFit="1" customWidth="1"/>
    <col min="13326" max="13326" width="7" style="16" bestFit="1" customWidth="1"/>
    <col min="13327" max="13327" width="7.140625" style="16" bestFit="1"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8.28515625" style="16" customWidth="1"/>
    <col min="13571" max="13571" width="9.28515625" style="16" customWidth="1"/>
    <col min="13572" max="13572" width="6.7109375" style="16" bestFit="1" customWidth="1"/>
    <col min="13573" max="13573" width="8.5703125" style="16" bestFit="1" customWidth="1"/>
    <col min="13574" max="13574" width="9.28515625" style="16" bestFit="1" customWidth="1"/>
    <col min="13575" max="13576" width="8.140625" style="16" customWidth="1"/>
    <col min="13577" max="13577" width="7.140625" style="16" bestFit="1" customWidth="1"/>
    <col min="13578" max="13578" width="8.28515625" style="16" customWidth="1"/>
    <col min="13579" max="13580" width="7" style="16" bestFit="1" customWidth="1"/>
    <col min="13581" max="13581" width="6.85546875" style="16" bestFit="1" customWidth="1"/>
    <col min="13582" max="13582" width="7" style="16" bestFit="1" customWidth="1"/>
    <col min="13583" max="13583" width="7.140625" style="16" bestFit="1"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8.28515625" style="16" customWidth="1"/>
    <col min="13827" max="13827" width="9.28515625" style="16" customWidth="1"/>
    <col min="13828" max="13828" width="6.7109375" style="16" bestFit="1" customWidth="1"/>
    <col min="13829" max="13829" width="8.5703125" style="16" bestFit="1" customWidth="1"/>
    <col min="13830" max="13830" width="9.28515625" style="16" bestFit="1" customWidth="1"/>
    <col min="13831" max="13832" width="8.140625" style="16" customWidth="1"/>
    <col min="13833" max="13833" width="7.140625" style="16" bestFit="1" customWidth="1"/>
    <col min="13834" max="13834" width="8.28515625" style="16" customWidth="1"/>
    <col min="13835" max="13836" width="7" style="16" bestFit="1" customWidth="1"/>
    <col min="13837" max="13837" width="6.85546875" style="16" bestFit="1" customWidth="1"/>
    <col min="13838" max="13838" width="7" style="16" bestFit="1" customWidth="1"/>
    <col min="13839" max="13839" width="7.140625" style="16" bestFit="1"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8.28515625" style="16" customWidth="1"/>
    <col min="14083" max="14083" width="9.28515625" style="16" customWidth="1"/>
    <col min="14084" max="14084" width="6.7109375" style="16" bestFit="1" customWidth="1"/>
    <col min="14085" max="14085" width="8.5703125" style="16" bestFit="1" customWidth="1"/>
    <col min="14086" max="14086" width="9.28515625" style="16" bestFit="1" customWidth="1"/>
    <col min="14087" max="14088" width="8.140625" style="16" customWidth="1"/>
    <col min="14089" max="14089" width="7.140625" style="16" bestFit="1" customWidth="1"/>
    <col min="14090" max="14090" width="8.28515625" style="16" customWidth="1"/>
    <col min="14091" max="14092" width="7" style="16" bestFit="1" customWidth="1"/>
    <col min="14093" max="14093" width="6.85546875" style="16" bestFit="1" customWidth="1"/>
    <col min="14094" max="14094" width="7" style="16" bestFit="1" customWidth="1"/>
    <col min="14095" max="14095" width="7.140625" style="16" bestFit="1"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8.28515625" style="16" customWidth="1"/>
    <col min="14339" max="14339" width="9.28515625" style="16" customWidth="1"/>
    <col min="14340" max="14340" width="6.7109375" style="16" bestFit="1" customWidth="1"/>
    <col min="14341" max="14341" width="8.5703125" style="16" bestFit="1" customWidth="1"/>
    <col min="14342" max="14342" width="9.28515625" style="16" bestFit="1" customWidth="1"/>
    <col min="14343" max="14344" width="8.140625" style="16" customWidth="1"/>
    <col min="14345" max="14345" width="7.140625" style="16" bestFit="1" customWidth="1"/>
    <col min="14346" max="14346" width="8.28515625" style="16" customWidth="1"/>
    <col min="14347" max="14348" width="7" style="16" bestFit="1" customWidth="1"/>
    <col min="14349" max="14349" width="6.85546875" style="16" bestFit="1" customWidth="1"/>
    <col min="14350" max="14350" width="7" style="16" bestFit="1" customWidth="1"/>
    <col min="14351" max="14351" width="7.140625" style="16" bestFit="1"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8.28515625" style="16" customWidth="1"/>
    <col min="14595" max="14595" width="9.28515625" style="16" customWidth="1"/>
    <col min="14596" max="14596" width="6.7109375" style="16" bestFit="1" customWidth="1"/>
    <col min="14597" max="14597" width="8.5703125" style="16" bestFit="1" customWidth="1"/>
    <col min="14598" max="14598" width="9.28515625" style="16" bestFit="1" customWidth="1"/>
    <col min="14599" max="14600" width="8.140625" style="16" customWidth="1"/>
    <col min="14601" max="14601" width="7.140625" style="16" bestFit="1" customWidth="1"/>
    <col min="14602" max="14602" width="8.28515625" style="16" customWidth="1"/>
    <col min="14603" max="14604" width="7" style="16" bestFit="1" customWidth="1"/>
    <col min="14605" max="14605" width="6.85546875" style="16" bestFit="1" customWidth="1"/>
    <col min="14606" max="14606" width="7" style="16" bestFit="1" customWidth="1"/>
    <col min="14607" max="14607" width="7.140625" style="16" bestFit="1"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8.28515625" style="16" customWidth="1"/>
    <col min="14851" max="14851" width="9.28515625" style="16" customWidth="1"/>
    <col min="14852" max="14852" width="6.7109375" style="16" bestFit="1" customWidth="1"/>
    <col min="14853" max="14853" width="8.5703125" style="16" bestFit="1" customWidth="1"/>
    <col min="14854" max="14854" width="9.28515625" style="16" bestFit="1" customWidth="1"/>
    <col min="14855" max="14856" width="8.140625" style="16" customWidth="1"/>
    <col min="14857" max="14857" width="7.140625" style="16" bestFit="1" customWidth="1"/>
    <col min="14858" max="14858" width="8.28515625" style="16" customWidth="1"/>
    <col min="14859" max="14860" width="7" style="16" bestFit="1" customWidth="1"/>
    <col min="14861" max="14861" width="6.85546875" style="16" bestFit="1" customWidth="1"/>
    <col min="14862" max="14862" width="7" style="16" bestFit="1" customWidth="1"/>
    <col min="14863" max="14863" width="7.140625" style="16" bestFit="1"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8.28515625" style="16" customWidth="1"/>
    <col min="15107" max="15107" width="9.28515625" style="16" customWidth="1"/>
    <col min="15108" max="15108" width="6.7109375" style="16" bestFit="1" customWidth="1"/>
    <col min="15109" max="15109" width="8.5703125" style="16" bestFit="1" customWidth="1"/>
    <col min="15110" max="15110" width="9.28515625" style="16" bestFit="1" customWidth="1"/>
    <col min="15111" max="15112" width="8.140625" style="16" customWidth="1"/>
    <col min="15113" max="15113" width="7.140625" style="16" bestFit="1" customWidth="1"/>
    <col min="15114" max="15114" width="8.28515625" style="16" customWidth="1"/>
    <col min="15115" max="15116" width="7" style="16" bestFit="1" customWidth="1"/>
    <col min="15117" max="15117" width="6.85546875" style="16" bestFit="1" customWidth="1"/>
    <col min="15118" max="15118" width="7" style="16" bestFit="1" customWidth="1"/>
    <col min="15119" max="15119" width="7.140625" style="16" bestFit="1"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8.28515625" style="16" customWidth="1"/>
    <col min="15363" max="15363" width="9.28515625" style="16" customWidth="1"/>
    <col min="15364" max="15364" width="6.7109375" style="16" bestFit="1" customWidth="1"/>
    <col min="15365" max="15365" width="8.5703125" style="16" bestFit="1" customWidth="1"/>
    <col min="15366" max="15366" width="9.28515625" style="16" bestFit="1" customWidth="1"/>
    <col min="15367" max="15368" width="8.140625" style="16" customWidth="1"/>
    <col min="15369" max="15369" width="7.140625" style="16" bestFit="1" customWidth="1"/>
    <col min="15370" max="15370" width="8.28515625" style="16" customWidth="1"/>
    <col min="15371" max="15372" width="7" style="16" bestFit="1" customWidth="1"/>
    <col min="15373" max="15373" width="6.85546875" style="16" bestFit="1" customWidth="1"/>
    <col min="15374" max="15374" width="7" style="16" bestFit="1" customWidth="1"/>
    <col min="15375" max="15375" width="7.140625" style="16" bestFit="1"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8.28515625" style="16" customWidth="1"/>
    <col min="15619" max="15619" width="9.28515625" style="16" customWidth="1"/>
    <col min="15620" max="15620" width="6.7109375" style="16" bestFit="1" customWidth="1"/>
    <col min="15621" max="15621" width="8.5703125" style="16" bestFit="1" customWidth="1"/>
    <col min="15622" max="15622" width="9.28515625" style="16" bestFit="1" customWidth="1"/>
    <col min="15623" max="15624" width="8.140625" style="16" customWidth="1"/>
    <col min="15625" max="15625" width="7.140625" style="16" bestFit="1" customWidth="1"/>
    <col min="15626" max="15626" width="8.28515625" style="16" customWidth="1"/>
    <col min="15627" max="15628" width="7" style="16" bestFit="1" customWidth="1"/>
    <col min="15629" max="15629" width="6.85546875" style="16" bestFit="1" customWidth="1"/>
    <col min="15630" max="15630" width="7" style="16" bestFit="1" customWidth="1"/>
    <col min="15631" max="15631" width="7.140625" style="16" bestFit="1"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8.28515625" style="16" customWidth="1"/>
    <col min="15875" max="15875" width="9.28515625" style="16" customWidth="1"/>
    <col min="15876" max="15876" width="6.7109375" style="16" bestFit="1" customWidth="1"/>
    <col min="15877" max="15877" width="8.5703125" style="16" bestFit="1" customWidth="1"/>
    <col min="15878" max="15878" width="9.28515625" style="16" bestFit="1" customWidth="1"/>
    <col min="15879" max="15880" width="8.140625" style="16" customWidth="1"/>
    <col min="15881" max="15881" width="7.140625" style="16" bestFit="1" customWidth="1"/>
    <col min="15882" max="15882" width="8.28515625" style="16" customWidth="1"/>
    <col min="15883" max="15884" width="7" style="16" bestFit="1" customWidth="1"/>
    <col min="15885" max="15885" width="6.85546875" style="16" bestFit="1" customWidth="1"/>
    <col min="15886" max="15886" width="7" style="16" bestFit="1" customWidth="1"/>
    <col min="15887" max="15887" width="7.140625" style="16" bestFit="1"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8.28515625" style="16" customWidth="1"/>
    <col min="16131" max="16131" width="9.28515625" style="16" customWidth="1"/>
    <col min="16132" max="16132" width="6.7109375" style="16" bestFit="1" customWidth="1"/>
    <col min="16133" max="16133" width="8.5703125" style="16" bestFit="1" customWidth="1"/>
    <col min="16134" max="16134" width="9.28515625" style="16" bestFit="1" customWidth="1"/>
    <col min="16135" max="16136" width="8.140625" style="16" customWidth="1"/>
    <col min="16137" max="16137" width="7.140625" style="16" bestFit="1" customWidth="1"/>
    <col min="16138" max="16138" width="8.28515625" style="16" customWidth="1"/>
    <col min="16139" max="16140" width="7" style="16" bestFit="1" customWidth="1"/>
    <col min="16141" max="16141" width="6.85546875" style="16" bestFit="1" customWidth="1"/>
    <col min="16142" max="16142" width="7" style="16" bestFit="1" customWidth="1"/>
    <col min="16143" max="16143" width="7.140625" style="16" bestFit="1"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67" t="s">
        <v>100</v>
      </c>
      <c r="B1" s="868"/>
      <c r="C1" s="868"/>
      <c r="D1" s="869"/>
      <c r="E1" s="868"/>
      <c r="F1" s="868"/>
      <c r="G1" s="867" t="s">
        <v>102</v>
      </c>
      <c r="H1" s="869"/>
      <c r="I1" s="869" t="s">
        <v>98</v>
      </c>
      <c r="J1" s="868"/>
      <c r="K1" s="868"/>
      <c r="L1" s="870"/>
      <c r="M1" s="870"/>
      <c r="N1" s="870"/>
      <c r="O1" s="870"/>
    </row>
    <row r="2" spans="1:15" s="1" customFormat="1" x14ac:dyDescent="0.2">
      <c r="A2" s="867" t="s">
        <v>103</v>
      </c>
      <c r="B2" s="868"/>
      <c r="C2" s="868"/>
      <c r="D2" s="869"/>
      <c r="E2" s="868"/>
      <c r="F2" s="868"/>
      <c r="G2" s="867" t="s">
        <v>104</v>
      </c>
      <c r="H2" s="869"/>
      <c r="I2" s="869" t="s">
        <v>105</v>
      </c>
      <c r="J2" s="868"/>
      <c r="K2" s="868"/>
      <c r="L2" s="870"/>
      <c r="M2" s="870"/>
      <c r="N2" s="870"/>
      <c r="O2" s="870"/>
    </row>
    <row r="3" spans="1:15" s="1" customFormat="1" x14ac:dyDescent="0.2">
      <c r="A3" s="867" t="s">
        <v>106</v>
      </c>
      <c r="B3" s="868"/>
      <c r="C3" s="868"/>
      <c r="D3" s="883" t="s">
        <v>902</v>
      </c>
      <c r="E3" s="868"/>
      <c r="F3" s="868"/>
      <c r="G3" s="867" t="s">
        <v>107</v>
      </c>
      <c r="H3" s="869"/>
      <c r="I3" s="869" t="s">
        <v>108</v>
      </c>
      <c r="J3" s="868"/>
      <c r="K3" s="868"/>
      <c r="L3" s="870"/>
      <c r="M3" s="870"/>
      <c r="N3" s="870"/>
      <c r="O3" s="870"/>
    </row>
    <row r="4" spans="1:15" s="1" customFormat="1" x14ac:dyDescent="0.2">
      <c r="A4" s="867" t="s">
        <v>109</v>
      </c>
      <c r="B4" s="868"/>
      <c r="C4" s="868"/>
      <c r="D4" s="869"/>
      <c r="E4" s="868"/>
      <c r="F4" s="868"/>
      <c r="G4" s="867" t="s">
        <v>110</v>
      </c>
      <c r="H4" s="869"/>
      <c r="I4" s="869" t="s">
        <v>903</v>
      </c>
      <c r="J4" s="868"/>
      <c r="K4" s="868"/>
      <c r="L4" s="870"/>
      <c r="M4" s="870"/>
      <c r="N4" s="870"/>
      <c r="O4" s="870"/>
    </row>
    <row r="5" spans="1:15" s="1" customFormat="1" x14ac:dyDescent="0.2">
      <c r="A5" s="867" t="s">
        <v>278</v>
      </c>
      <c r="B5" s="868"/>
      <c r="C5" s="868"/>
      <c r="D5" s="869" t="s">
        <v>904</v>
      </c>
      <c r="E5" s="868"/>
      <c r="F5" s="868"/>
      <c r="G5" s="867"/>
      <c r="H5" s="868"/>
      <c r="I5" s="869" t="s">
        <v>113</v>
      </c>
      <c r="J5" s="868"/>
      <c r="K5" s="868"/>
      <c r="L5" s="870"/>
      <c r="M5" s="870"/>
      <c r="N5" s="870"/>
      <c r="O5" s="870"/>
    </row>
    <row r="6" spans="1:15" s="1" customFormat="1" x14ac:dyDescent="0.2">
      <c r="A6" s="871" t="s">
        <v>114</v>
      </c>
      <c r="B6" s="872"/>
      <c r="C6" s="872"/>
      <c r="D6" s="868" t="s">
        <v>99</v>
      </c>
      <c r="E6" s="868"/>
      <c r="F6" s="868"/>
      <c r="G6" s="871" t="s">
        <v>115</v>
      </c>
      <c r="H6" s="871"/>
      <c r="I6" s="2" t="s">
        <v>116</v>
      </c>
      <c r="J6" s="888"/>
      <c r="K6" s="888"/>
      <c r="L6" s="888"/>
      <c r="M6" s="888"/>
      <c r="N6" s="888"/>
      <c r="O6" s="889"/>
    </row>
    <row r="7" spans="1:15" s="1" customFormat="1" ht="13.5" thickBot="1" x14ac:dyDescent="0.25">
      <c r="A7" s="3"/>
      <c r="B7" s="4"/>
      <c r="C7" s="5"/>
      <c r="D7" s="6"/>
      <c r="E7" s="6"/>
      <c r="F7" s="6"/>
      <c r="G7" s="6"/>
      <c r="H7" s="6"/>
      <c r="I7" s="6"/>
      <c r="J7" s="7"/>
      <c r="K7" s="8"/>
      <c r="L7" s="875" t="s">
        <v>223</v>
      </c>
      <c r="M7" s="875"/>
      <c r="N7" s="875"/>
      <c r="O7" s="875"/>
    </row>
    <row r="8" spans="1:15" s="11" customFormat="1" x14ac:dyDescent="0.2">
      <c r="A8" s="876" t="str">
        <f>I1</f>
        <v>Mr. Udaybir M. Chavan</v>
      </c>
      <c r="B8" s="877"/>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0</v>
      </c>
      <c r="D9" s="14">
        <v>0</v>
      </c>
      <c r="E9" s="14">
        <v>0</v>
      </c>
      <c r="F9" s="14">
        <v>0</v>
      </c>
      <c r="G9" s="14">
        <v>0</v>
      </c>
      <c r="H9" s="14">
        <v>0</v>
      </c>
      <c r="I9" s="14">
        <v>0</v>
      </c>
      <c r="J9" s="14">
        <v>0</v>
      </c>
      <c r="K9" s="14">
        <v>0</v>
      </c>
      <c r="L9" s="14">
        <v>0</v>
      </c>
      <c r="M9" s="14">
        <v>0</v>
      </c>
      <c r="N9" s="14">
        <v>0</v>
      </c>
      <c r="O9" s="15">
        <f>SUM(C9:N9)</f>
        <v>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0</v>
      </c>
      <c r="D11" s="17">
        <v>0</v>
      </c>
      <c r="E11" s="17">
        <v>0</v>
      </c>
      <c r="F11" s="17">
        <v>0</v>
      </c>
      <c r="G11" s="17">
        <v>0</v>
      </c>
      <c r="H11" s="17">
        <v>0</v>
      </c>
      <c r="I11" s="17">
        <v>0</v>
      </c>
      <c r="J11" s="17">
        <v>0</v>
      </c>
      <c r="K11" s="17">
        <v>0</v>
      </c>
      <c r="L11" s="17">
        <v>0</v>
      </c>
      <c r="M11" s="17">
        <v>0</v>
      </c>
      <c r="N11" s="17">
        <v>0</v>
      </c>
      <c r="O11" s="18">
        <f>SUM(C11:N11)</f>
        <v>0</v>
      </c>
    </row>
    <row r="12" spans="1:15"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x14ac:dyDescent="0.2">
      <c r="A14" s="12"/>
      <c r="B14" s="13" t="s">
        <v>123</v>
      </c>
      <c r="C14" s="17">
        <v>0</v>
      </c>
      <c r="D14" s="17">
        <v>0</v>
      </c>
      <c r="E14" s="17">
        <v>0</v>
      </c>
      <c r="F14" s="17">
        <v>0</v>
      </c>
      <c r="G14" s="17">
        <v>0</v>
      </c>
      <c r="H14" s="17">
        <v>0</v>
      </c>
      <c r="I14" s="17">
        <v>0</v>
      </c>
      <c r="J14" s="17">
        <v>0</v>
      </c>
      <c r="K14" s="17">
        <v>0</v>
      </c>
      <c r="L14" s="17">
        <v>0</v>
      </c>
      <c r="M14" s="17">
        <v>0</v>
      </c>
      <c r="N14" s="17">
        <v>0</v>
      </c>
      <c r="O14" s="18">
        <f t="shared" si="0"/>
        <v>0</v>
      </c>
    </row>
    <row r="15" spans="1:15"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0</v>
      </c>
      <c r="D19" s="17">
        <v>0</v>
      </c>
      <c r="E19" s="17">
        <v>0</v>
      </c>
      <c r="F19" s="17">
        <v>0</v>
      </c>
      <c r="G19" s="17">
        <v>0</v>
      </c>
      <c r="H19" s="17">
        <v>0</v>
      </c>
      <c r="I19" s="17">
        <v>0</v>
      </c>
      <c r="J19" s="17">
        <v>0</v>
      </c>
      <c r="K19" s="17">
        <v>0</v>
      </c>
      <c r="L19" s="17">
        <v>0</v>
      </c>
      <c r="M19" s="17">
        <v>0</v>
      </c>
      <c r="N19" s="17">
        <v>0</v>
      </c>
      <c r="O19" s="18">
        <f t="shared" si="0"/>
        <v>0</v>
      </c>
    </row>
    <row r="20" spans="1:15" ht="15" customHeight="1" x14ac:dyDescent="0.2">
      <c r="A20" s="12"/>
      <c r="B20" s="13" t="s">
        <v>143</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78"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79"/>
      <c r="B22" s="19" t="s">
        <v>132</v>
      </c>
      <c r="C22" s="17">
        <v>0</v>
      </c>
      <c r="D22" s="17">
        <v>0</v>
      </c>
      <c r="E22" s="17">
        <v>0</v>
      </c>
      <c r="F22" s="17">
        <v>0</v>
      </c>
      <c r="G22" s="17">
        <v>0</v>
      </c>
      <c r="H22" s="17">
        <v>0</v>
      </c>
      <c r="I22" s="17">
        <v>0</v>
      </c>
      <c r="J22" s="17">
        <v>0</v>
      </c>
      <c r="K22" s="17">
        <v>0</v>
      </c>
      <c r="L22" s="17">
        <v>0</v>
      </c>
      <c r="M22" s="17">
        <v>0</v>
      </c>
      <c r="N22" s="17">
        <v>0</v>
      </c>
      <c r="O22" s="18">
        <f t="shared" si="0"/>
        <v>0</v>
      </c>
    </row>
    <row r="23" spans="1:15" ht="15" hidden="1" customHeight="1" x14ac:dyDescent="0.2">
      <c r="A23" s="879"/>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79"/>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79"/>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79"/>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79"/>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79"/>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79"/>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79"/>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79"/>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79"/>
      <c r="B32" s="21" t="s">
        <v>142</v>
      </c>
      <c r="C32" s="17">
        <v>0</v>
      </c>
      <c r="D32" s="17">
        <v>0</v>
      </c>
      <c r="E32" s="17">
        <v>0</v>
      </c>
      <c r="F32" s="17">
        <v>0</v>
      </c>
      <c r="G32" s="17">
        <v>0</v>
      </c>
      <c r="H32" s="17">
        <v>0</v>
      </c>
      <c r="I32" s="17">
        <v>0</v>
      </c>
      <c r="J32" s="17">
        <v>0</v>
      </c>
      <c r="K32" s="17">
        <v>0</v>
      </c>
      <c r="L32" s="17">
        <v>0</v>
      </c>
      <c r="M32" s="17">
        <v>0</v>
      </c>
      <c r="N32" s="17">
        <v>0</v>
      </c>
      <c r="O32" s="18">
        <f t="shared" si="0"/>
        <v>0</v>
      </c>
    </row>
    <row r="33" spans="1:16" ht="15" hidden="1" customHeight="1" x14ac:dyDescent="0.2">
      <c r="A33" s="880"/>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865" t="s">
        <v>144</v>
      </c>
      <c r="B34" s="866"/>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865" t="s">
        <v>145</v>
      </c>
      <c r="B35" s="866"/>
      <c r="C35" s="17">
        <v>0</v>
      </c>
      <c r="D35" s="17">
        <v>0</v>
      </c>
      <c r="E35" s="17">
        <v>0</v>
      </c>
      <c r="F35" s="17">
        <v>0</v>
      </c>
      <c r="G35" s="17">
        <v>0</v>
      </c>
      <c r="H35" s="17">
        <v>0</v>
      </c>
      <c r="I35" s="17">
        <v>0</v>
      </c>
      <c r="J35" s="17">
        <v>0</v>
      </c>
      <c r="K35" s="17">
        <v>0</v>
      </c>
      <c r="L35" s="17">
        <v>0</v>
      </c>
      <c r="M35" s="17">
        <v>0</v>
      </c>
      <c r="N35" s="17">
        <v>0</v>
      </c>
      <c r="O35" s="18">
        <f t="shared" si="0"/>
        <v>0</v>
      </c>
    </row>
    <row r="36" spans="1:16" ht="15" customHeight="1" x14ac:dyDescent="0.2">
      <c r="A36" s="865" t="s">
        <v>146</v>
      </c>
      <c r="B36" s="866"/>
      <c r="C36" s="17">
        <v>0</v>
      </c>
      <c r="D36" s="17">
        <v>0</v>
      </c>
      <c r="E36" s="17">
        <v>0</v>
      </c>
      <c r="F36" s="17">
        <v>0</v>
      </c>
      <c r="G36" s="17">
        <v>0</v>
      </c>
      <c r="H36" s="17">
        <v>0</v>
      </c>
      <c r="I36" s="17">
        <v>0</v>
      </c>
      <c r="J36" s="17">
        <v>0</v>
      </c>
      <c r="K36" s="17">
        <v>0</v>
      </c>
      <c r="L36" s="17">
        <v>0</v>
      </c>
      <c r="M36" s="17">
        <v>0</v>
      </c>
      <c r="N36" s="17">
        <v>0</v>
      </c>
      <c r="O36" s="18">
        <f t="shared" si="0"/>
        <v>0</v>
      </c>
    </row>
    <row r="37" spans="1:16" ht="15" customHeight="1" x14ac:dyDescent="0.2">
      <c r="A37" s="22"/>
      <c r="B37" s="23" t="s">
        <v>147</v>
      </c>
      <c r="C37" s="24">
        <f t="shared" ref="C37:N37" si="1">SUM(C9:C36)</f>
        <v>0</v>
      </c>
      <c r="D37" s="24">
        <f t="shared" si="1"/>
        <v>0</v>
      </c>
      <c r="E37" s="24">
        <f t="shared" si="1"/>
        <v>0</v>
      </c>
      <c r="F37" s="24">
        <f t="shared" si="1"/>
        <v>0</v>
      </c>
      <c r="G37" s="24">
        <f t="shared" si="1"/>
        <v>0</v>
      </c>
      <c r="H37" s="24">
        <f t="shared" si="1"/>
        <v>0</v>
      </c>
      <c r="I37" s="24">
        <f t="shared" si="1"/>
        <v>0</v>
      </c>
      <c r="J37" s="24">
        <f t="shared" si="1"/>
        <v>0</v>
      </c>
      <c r="K37" s="24">
        <f t="shared" si="1"/>
        <v>0</v>
      </c>
      <c r="L37" s="24">
        <f t="shared" si="1"/>
        <v>0</v>
      </c>
      <c r="M37" s="24">
        <f t="shared" si="1"/>
        <v>0</v>
      </c>
      <c r="N37" s="24">
        <f t="shared" si="1"/>
        <v>0</v>
      </c>
      <c r="O37" s="25">
        <f>SUM(C37:N37)</f>
        <v>0</v>
      </c>
    </row>
    <row r="38" spans="1:16" ht="15" customHeight="1" x14ac:dyDescent="0.2">
      <c r="A38" s="853" t="s">
        <v>148</v>
      </c>
      <c r="B38" s="27" t="s">
        <v>149</v>
      </c>
      <c r="C38" s="28">
        <v>0</v>
      </c>
      <c r="D38" s="28">
        <v>0</v>
      </c>
      <c r="E38" s="28">
        <v>0</v>
      </c>
      <c r="F38" s="28">
        <v>0</v>
      </c>
      <c r="G38" s="28">
        <v>0</v>
      </c>
      <c r="H38" s="28">
        <v>0</v>
      </c>
      <c r="I38" s="28">
        <v>0</v>
      </c>
      <c r="J38" s="28">
        <v>0</v>
      </c>
      <c r="K38" s="28">
        <v>0</v>
      </c>
      <c r="L38" s="28">
        <v>0</v>
      </c>
      <c r="M38" s="28">
        <v>0</v>
      </c>
      <c r="N38" s="28">
        <v>0</v>
      </c>
      <c r="O38" s="18">
        <f>SUM(C38:N38)</f>
        <v>0</v>
      </c>
      <c r="P38" s="29"/>
    </row>
    <row r="39" spans="1:16" ht="15" x14ac:dyDescent="0.2">
      <c r="A39" s="854"/>
      <c r="B39" s="27" t="s">
        <v>150</v>
      </c>
      <c r="C39" s="28">
        <v>0</v>
      </c>
      <c r="D39" s="28">
        <v>0</v>
      </c>
      <c r="E39" s="28">
        <v>0</v>
      </c>
      <c r="F39" s="28">
        <v>0</v>
      </c>
      <c r="G39" s="28">
        <v>0</v>
      </c>
      <c r="H39" s="28">
        <v>0</v>
      </c>
      <c r="I39" s="28">
        <v>0</v>
      </c>
      <c r="J39" s="28">
        <v>0</v>
      </c>
      <c r="K39" s="28">
        <v>0</v>
      </c>
      <c r="L39" s="28">
        <v>0</v>
      </c>
      <c r="M39" s="28">
        <v>0</v>
      </c>
      <c r="N39" s="28">
        <v>0</v>
      </c>
      <c r="O39" s="18">
        <f>SUM(C39:N39)</f>
        <v>0</v>
      </c>
    </row>
    <row r="40" spans="1:16" ht="15" x14ac:dyDescent="0.2">
      <c r="A40" s="854"/>
      <c r="B40" s="27" t="s">
        <v>151</v>
      </c>
      <c r="C40" s="28">
        <v>0</v>
      </c>
      <c r="D40" s="28">
        <v>0</v>
      </c>
      <c r="E40" s="28">
        <v>0</v>
      </c>
      <c r="F40" s="28">
        <v>0</v>
      </c>
      <c r="G40" s="28">
        <v>0</v>
      </c>
      <c r="H40" s="28">
        <v>0</v>
      </c>
      <c r="I40" s="28">
        <v>0</v>
      </c>
      <c r="J40" s="28">
        <v>0</v>
      </c>
      <c r="K40" s="28">
        <v>0</v>
      </c>
      <c r="L40" s="28">
        <v>0</v>
      </c>
      <c r="M40" s="28">
        <v>0</v>
      </c>
      <c r="N40" s="28">
        <v>0</v>
      </c>
      <c r="O40" s="18">
        <f t="shared" ref="O40:O50" si="2">SUM(C40:N40)</f>
        <v>0</v>
      </c>
    </row>
    <row r="41" spans="1:16" ht="15" x14ac:dyDescent="0.2">
      <c r="A41" s="854"/>
      <c r="B41" s="27" t="s">
        <v>152</v>
      </c>
      <c r="C41" s="28">
        <v>0</v>
      </c>
      <c r="D41" s="28">
        <v>0</v>
      </c>
      <c r="E41" s="28">
        <v>0</v>
      </c>
      <c r="F41" s="28">
        <v>0</v>
      </c>
      <c r="G41" s="28">
        <v>0</v>
      </c>
      <c r="H41" s="28">
        <v>0</v>
      </c>
      <c r="I41" s="28">
        <v>0</v>
      </c>
      <c r="J41" s="28">
        <v>0</v>
      </c>
      <c r="K41" s="28">
        <v>0</v>
      </c>
      <c r="L41" s="28">
        <v>0</v>
      </c>
      <c r="M41" s="28">
        <v>0</v>
      </c>
      <c r="N41" s="28">
        <v>0</v>
      </c>
      <c r="O41" s="18">
        <f t="shared" si="2"/>
        <v>0</v>
      </c>
    </row>
    <row r="42" spans="1:16" ht="15" x14ac:dyDescent="0.2">
      <c r="A42" s="854"/>
      <c r="B42" s="27" t="s">
        <v>153</v>
      </c>
      <c r="C42" s="28">
        <v>0</v>
      </c>
      <c r="D42" s="28">
        <v>0</v>
      </c>
      <c r="E42" s="28">
        <v>0</v>
      </c>
      <c r="F42" s="28">
        <v>0</v>
      </c>
      <c r="G42" s="28">
        <v>0</v>
      </c>
      <c r="H42" s="28">
        <v>0</v>
      </c>
      <c r="I42" s="28">
        <v>0</v>
      </c>
      <c r="J42" s="28">
        <v>0</v>
      </c>
      <c r="K42" s="28">
        <v>0</v>
      </c>
      <c r="L42" s="28">
        <v>0</v>
      </c>
      <c r="M42" s="28">
        <v>0</v>
      </c>
      <c r="N42" s="28">
        <v>0</v>
      </c>
      <c r="O42" s="18">
        <f t="shared" si="2"/>
        <v>0</v>
      </c>
    </row>
    <row r="43" spans="1:16" ht="15" x14ac:dyDescent="0.2">
      <c r="A43" s="854"/>
      <c r="B43" s="27" t="s">
        <v>154</v>
      </c>
      <c r="C43" s="28">
        <v>0</v>
      </c>
      <c r="D43" s="28">
        <v>0</v>
      </c>
      <c r="E43" s="28">
        <v>0</v>
      </c>
      <c r="F43" s="28">
        <v>0</v>
      </c>
      <c r="G43" s="28">
        <v>0</v>
      </c>
      <c r="H43" s="28">
        <v>0</v>
      </c>
      <c r="I43" s="28">
        <v>0</v>
      </c>
      <c r="J43" s="28">
        <v>0</v>
      </c>
      <c r="K43" s="28">
        <v>0</v>
      </c>
      <c r="L43" s="28">
        <v>0</v>
      </c>
      <c r="M43" s="28">
        <v>0</v>
      </c>
      <c r="N43" s="28">
        <v>0</v>
      </c>
      <c r="O43" s="18">
        <f t="shared" si="2"/>
        <v>0</v>
      </c>
    </row>
    <row r="44" spans="1:16" ht="15" x14ac:dyDescent="0.2">
      <c r="A44" s="854"/>
      <c r="B44" s="27" t="s">
        <v>155</v>
      </c>
      <c r="C44" s="28">
        <v>0</v>
      </c>
      <c r="D44" s="28">
        <v>0</v>
      </c>
      <c r="E44" s="28">
        <v>0</v>
      </c>
      <c r="F44" s="28">
        <v>0</v>
      </c>
      <c r="G44" s="28">
        <v>0</v>
      </c>
      <c r="H44" s="28">
        <v>0</v>
      </c>
      <c r="I44" s="28">
        <v>0</v>
      </c>
      <c r="J44" s="28">
        <v>0</v>
      </c>
      <c r="K44" s="28">
        <v>0</v>
      </c>
      <c r="L44" s="28">
        <v>0</v>
      </c>
      <c r="M44" s="28">
        <v>0</v>
      </c>
      <c r="N44" s="28">
        <v>0</v>
      </c>
      <c r="O44" s="18">
        <f t="shared" si="2"/>
        <v>0</v>
      </c>
    </row>
    <row r="45" spans="1:16" ht="15" x14ac:dyDescent="0.2">
      <c r="A45" s="854"/>
      <c r="B45" s="27" t="s">
        <v>156</v>
      </c>
      <c r="C45" s="28">
        <v>0</v>
      </c>
      <c r="D45" s="28">
        <v>0</v>
      </c>
      <c r="E45" s="28">
        <v>0</v>
      </c>
      <c r="F45" s="28">
        <v>0</v>
      </c>
      <c r="G45" s="28">
        <v>0</v>
      </c>
      <c r="H45" s="28">
        <v>0</v>
      </c>
      <c r="I45" s="28">
        <v>0</v>
      </c>
      <c r="J45" s="28">
        <v>0</v>
      </c>
      <c r="K45" s="28">
        <v>0</v>
      </c>
      <c r="L45" s="28">
        <v>0</v>
      </c>
      <c r="M45" s="28">
        <v>0</v>
      </c>
      <c r="N45" s="28">
        <v>0</v>
      </c>
      <c r="O45" s="18">
        <f t="shared" si="2"/>
        <v>0</v>
      </c>
    </row>
    <row r="46" spans="1:16" ht="15" x14ac:dyDescent="0.2">
      <c r="A46" s="854"/>
      <c r="B46" s="27" t="s">
        <v>157</v>
      </c>
      <c r="C46" s="28">
        <v>0</v>
      </c>
      <c r="D46" s="28">
        <v>0</v>
      </c>
      <c r="E46" s="28">
        <v>0</v>
      </c>
      <c r="F46" s="28">
        <v>0</v>
      </c>
      <c r="G46" s="28">
        <v>0</v>
      </c>
      <c r="H46" s="28">
        <v>0</v>
      </c>
      <c r="I46" s="28">
        <v>0</v>
      </c>
      <c r="J46" s="28">
        <v>0</v>
      </c>
      <c r="K46" s="28">
        <v>0</v>
      </c>
      <c r="L46" s="28">
        <v>0</v>
      </c>
      <c r="M46" s="28">
        <v>0</v>
      </c>
      <c r="N46" s="28">
        <v>0</v>
      </c>
      <c r="O46" s="18">
        <f t="shared" si="2"/>
        <v>0</v>
      </c>
    </row>
    <row r="47" spans="1:16" ht="28.5" customHeight="1" x14ac:dyDescent="0.2">
      <c r="A47" s="855"/>
      <c r="B47" s="30" t="s">
        <v>158</v>
      </c>
      <c r="C47" s="28">
        <v>0</v>
      </c>
      <c r="D47" s="28">
        <v>0</v>
      </c>
      <c r="E47" s="28">
        <v>0</v>
      </c>
      <c r="F47" s="28">
        <v>0</v>
      </c>
      <c r="G47" s="28">
        <v>0</v>
      </c>
      <c r="H47" s="28">
        <v>0</v>
      </c>
      <c r="I47" s="28">
        <v>0</v>
      </c>
      <c r="J47" s="28">
        <v>0</v>
      </c>
      <c r="K47" s="28">
        <v>0</v>
      </c>
      <c r="L47" s="28">
        <v>0</v>
      </c>
      <c r="M47" s="28">
        <v>0</v>
      </c>
      <c r="N47" s="28">
        <v>0</v>
      </c>
      <c r="O47" s="31">
        <f t="shared" si="2"/>
        <v>0</v>
      </c>
    </row>
    <row r="48" spans="1:16" ht="28.5" customHeight="1" x14ac:dyDescent="0.2">
      <c r="A48" s="856"/>
      <c r="B48" s="127" t="s">
        <v>228</v>
      </c>
      <c r="C48" s="28">
        <v>0</v>
      </c>
      <c r="D48" s="28">
        <v>0</v>
      </c>
      <c r="E48" s="28">
        <v>0</v>
      </c>
      <c r="F48" s="28">
        <v>0</v>
      </c>
      <c r="G48" s="28">
        <v>0</v>
      </c>
      <c r="H48" s="28">
        <v>0</v>
      </c>
      <c r="I48" s="28">
        <v>0</v>
      </c>
      <c r="J48" s="28">
        <v>0</v>
      </c>
      <c r="K48" s="28">
        <v>0</v>
      </c>
      <c r="L48" s="28">
        <v>0</v>
      </c>
      <c r="M48" s="28">
        <v>0</v>
      </c>
      <c r="N48" s="28">
        <v>0</v>
      </c>
      <c r="O48" s="31">
        <f t="shared" si="2"/>
        <v>0</v>
      </c>
    </row>
    <row r="49" spans="1:18" ht="15" x14ac:dyDescent="0.2">
      <c r="A49" s="857" t="s">
        <v>160</v>
      </c>
      <c r="B49" s="858"/>
      <c r="C49" s="33">
        <f t="shared" ref="C49:N49" si="3">SUM(C38:C48)</f>
        <v>0</v>
      </c>
      <c r="D49" s="33">
        <f t="shared" si="3"/>
        <v>0</v>
      </c>
      <c r="E49" s="33">
        <f t="shared" si="3"/>
        <v>0</v>
      </c>
      <c r="F49" s="33">
        <f t="shared" si="3"/>
        <v>0</v>
      </c>
      <c r="G49" s="33">
        <f t="shared" si="3"/>
        <v>0</v>
      </c>
      <c r="H49" s="33">
        <f t="shared" si="3"/>
        <v>0</v>
      </c>
      <c r="I49" s="33">
        <f t="shared" si="3"/>
        <v>0</v>
      </c>
      <c r="J49" s="33">
        <f t="shared" si="3"/>
        <v>0</v>
      </c>
      <c r="K49" s="33">
        <f t="shared" si="3"/>
        <v>0</v>
      </c>
      <c r="L49" s="33">
        <f t="shared" si="3"/>
        <v>0</v>
      </c>
      <c r="M49" s="33">
        <f t="shared" si="3"/>
        <v>0</v>
      </c>
      <c r="N49" s="33">
        <f t="shared" si="3"/>
        <v>0</v>
      </c>
      <c r="O49" s="34">
        <f t="shared" si="2"/>
        <v>0</v>
      </c>
    </row>
    <row r="50" spans="1:18" ht="15.75" thickBot="1" x14ac:dyDescent="0.25">
      <c r="A50" s="859" t="s">
        <v>161</v>
      </c>
      <c r="B50" s="860"/>
      <c r="C50" s="35">
        <f t="shared" ref="C50:N50" si="4">C37-C49</f>
        <v>0</v>
      </c>
      <c r="D50" s="35">
        <f t="shared" si="4"/>
        <v>0</v>
      </c>
      <c r="E50" s="35">
        <f t="shared" si="4"/>
        <v>0</v>
      </c>
      <c r="F50" s="35">
        <f t="shared" si="4"/>
        <v>0</v>
      </c>
      <c r="G50" s="35">
        <f t="shared" si="4"/>
        <v>0</v>
      </c>
      <c r="H50" s="35">
        <f t="shared" si="4"/>
        <v>0</v>
      </c>
      <c r="I50" s="35">
        <f t="shared" si="4"/>
        <v>0</v>
      </c>
      <c r="J50" s="35">
        <f t="shared" si="4"/>
        <v>0</v>
      </c>
      <c r="K50" s="35">
        <f t="shared" si="4"/>
        <v>0</v>
      </c>
      <c r="L50" s="35">
        <f t="shared" si="4"/>
        <v>0</v>
      </c>
      <c r="M50" s="35">
        <f t="shared" si="4"/>
        <v>0</v>
      </c>
      <c r="N50" s="35">
        <f t="shared" si="4"/>
        <v>0</v>
      </c>
      <c r="O50" s="36">
        <f t="shared" si="2"/>
        <v>0</v>
      </c>
    </row>
    <row r="51" spans="1:18" x14ac:dyDescent="0.2">
      <c r="J51" s="295">
        <f>+J37-SUM(J22:J36)</f>
        <v>0</v>
      </c>
    </row>
    <row r="52" spans="1:18" ht="13.5" thickBot="1" x14ac:dyDescent="0.25">
      <c r="J52" s="38">
        <f>+J51-J49</f>
        <v>0</v>
      </c>
    </row>
    <row r="53" spans="1:18" ht="13.5" thickBot="1" x14ac:dyDescent="0.25">
      <c r="B53" s="789" t="s">
        <v>162</v>
      </c>
      <c r="C53" s="861"/>
      <c r="D53" s="861"/>
      <c r="E53" s="861"/>
      <c r="F53" s="862"/>
      <c r="G53" s="863">
        <f>O37</f>
        <v>0</v>
      </c>
      <c r="H53" s="864"/>
    </row>
    <row r="54" spans="1:18" ht="13.5" thickBot="1" x14ac:dyDescent="0.25"/>
    <row r="55" spans="1:18" x14ac:dyDescent="0.2">
      <c r="B55" s="830" t="s">
        <v>163</v>
      </c>
      <c r="C55" s="833" t="s">
        <v>164</v>
      </c>
      <c r="D55" s="836" t="s">
        <v>165</v>
      </c>
      <c r="E55" s="837"/>
      <c r="F55" s="838"/>
      <c r="G55" s="839">
        <f>1600*12</f>
        <v>19200</v>
      </c>
      <c r="H55" s="840"/>
    </row>
    <row r="56" spans="1:18" x14ac:dyDescent="0.2">
      <c r="B56" s="831"/>
      <c r="C56" s="834"/>
      <c r="D56" s="841" t="s">
        <v>166</v>
      </c>
      <c r="E56" s="842"/>
      <c r="F56" s="843"/>
      <c r="G56" s="844">
        <f>+O44</f>
        <v>0</v>
      </c>
      <c r="H56" s="845"/>
      <c r="I56" s="39"/>
      <c r="J56" s="846"/>
      <c r="K56" s="846"/>
      <c r="L56" s="846"/>
      <c r="M56" s="847"/>
      <c r="N56" s="847"/>
      <c r="O56" s="847"/>
    </row>
    <row r="57" spans="1:18" ht="13.5" thickBot="1" x14ac:dyDescent="0.25">
      <c r="B57" s="832"/>
      <c r="C57" s="835"/>
      <c r="D57" s="926" t="s">
        <v>243</v>
      </c>
      <c r="E57" s="927"/>
      <c r="F57" s="928"/>
      <c r="G57" s="851">
        <f>IF(O17&gt;15000,15000,+O17)</f>
        <v>0</v>
      </c>
      <c r="H57" s="852"/>
      <c r="J57" s="47"/>
      <c r="K57" s="47"/>
      <c r="L57" s="47"/>
      <c r="M57" s="47"/>
      <c r="N57" s="47"/>
      <c r="O57" s="47"/>
    </row>
    <row r="58" spans="1:18" ht="13.5" thickBot="1" x14ac:dyDescent="0.25">
      <c r="B58" s="48"/>
      <c r="J58" s="47"/>
      <c r="K58" s="47"/>
      <c r="L58" s="47"/>
      <c r="M58" s="47"/>
      <c r="N58" s="47"/>
      <c r="O58" s="47"/>
    </row>
    <row r="59" spans="1:18" ht="13.5" thickBot="1" x14ac:dyDescent="0.25">
      <c r="B59" s="789" t="s">
        <v>168</v>
      </c>
      <c r="C59" s="790"/>
      <c r="D59" s="790"/>
      <c r="E59" s="790"/>
      <c r="F59" s="791"/>
      <c r="G59" s="825">
        <f>+G53-SUM(G55:H57)</f>
        <v>-19200</v>
      </c>
      <c r="H59" s="826"/>
      <c r="J59" s="827" t="s">
        <v>169</v>
      </c>
      <c r="K59" s="828"/>
      <c r="L59" s="828"/>
      <c r="M59" s="828"/>
      <c r="N59" s="828"/>
      <c r="O59" s="829"/>
    </row>
    <row r="60" spans="1:18" ht="13.5" thickBot="1" x14ac:dyDescent="0.25">
      <c r="B60" s="49"/>
      <c r="C60" s="50"/>
      <c r="D60" s="50"/>
      <c r="E60" s="50"/>
      <c r="F60" s="50"/>
      <c r="G60" s="45"/>
      <c r="H60" s="50"/>
      <c r="J60" s="129"/>
      <c r="K60" s="130"/>
      <c r="L60" s="130"/>
      <c r="M60" s="130"/>
      <c r="N60" s="130"/>
      <c r="O60" s="131"/>
    </row>
    <row r="61" spans="1:18" ht="13.5" thickBot="1" x14ac:dyDescent="0.25">
      <c r="B61" s="789" t="s">
        <v>170</v>
      </c>
      <c r="C61" s="790"/>
      <c r="D61" s="790"/>
      <c r="E61" s="790"/>
      <c r="F61" s="791"/>
      <c r="G61" s="805"/>
      <c r="H61" s="791"/>
      <c r="J61" s="129"/>
      <c r="K61" s="130"/>
      <c r="L61" s="130"/>
      <c r="M61" s="130"/>
      <c r="N61" s="130"/>
      <c r="O61" s="131"/>
    </row>
    <row r="62" spans="1:18" ht="12.75" customHeight="1" x14ac:dyDescent="0.2">
      <c r="B62" s="57" t="s">
        <v>171</v>
      </c>
      <c r="C62" s="806" t="s">
        <v>172</v>
      </c>
      <c r="D62" s="807"/>
      <c r="E62" s="807"/>
      <c r="F62" s="808"/>
      <c r="G62" s="809">
        <f>O64</f>
        <v>97401</v>
      </c>
      <c r="H62" s="809"/>
      <c r="I62" s="58"/>
      <c r="J62" s="810" t="s">
        <v>173</v>
      </c>
      <c r="K62" s="811"/>
      <c r="L62" s="811"/>
      <c r="M62" s="811"/>
      <c r="N62" s="811"/>
      <c r="O62" s="812"/>
      <c r="Q62" s="59"/>
      <c r="R62" s="59"/>
    </row>
    <row r="63" spans="1:18" ht="13.5" thickBot="1" x14ac:dyDescent="0.25">
      <c r="D63" s="37"/>
      <c r="I63" s="58"/>
      <c r="J63" s="1068" t="s">
        <v>905</v>
      </c>
      <c r="K63" s="1069"/>
      <c r="L63" s="1069"/>
      <c r="M63" s="1069"/>
      <c r="N63" s="133" t="s">
        <v>315</v>
      </c>
      <c r="O63" s="134">
        <v>65799</v>
      </c>
      <c r="P63" s="16">
        <f>9916+2168+83+381</f>
        <v>12548</v>
      </c>
      <c r="Q63" s="59"/>
      <c r="R63" s="59"/>
    </row>
    <row r="64" spans="1:18" ht="13.5" thickBot="1" x14ac:dyDescent="0.25">
      <c r="B64" s="789" t="s">
        <v>175</v>
      </c>
      <c r="C64" s="790"/>
      <c r="D64" s="790"/>
      <c r="E64" s="790"/>
      <c r="F64" s="791"/>
      <c r="G64" s="805">
        <f>+G59-G62</f>
        <v>-116601</v>
      </c>
      <c r="H64" s="791"/>
      <c r="I64" s="63"/>
      <c r="J64" s="75"/>
      <c r="K64" s="39"/>
      <c r="L64" s="39"/>
      <c r="M64" s="39"/>
      <c r="N64" s="39" t="s">
        <v>388</v>
      </c>
      <c r="O64" s="65">
        <v>97401</v>
      </c>
      <c r="Q64" s="59"/>
      <c r="R64" s="59"/>
    </row>
    <row r="65" spans="2:18" ht="12.75" customHeight="1" x14ac:dyDescent="0.2">
      <c r="B65" s="48"/>
      <c r="C65" s="48"/>
      <c r="F65" s="16" t="s">
        <v>906</v>
      </c>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6.25" customHeight="1" thickBot="1" x14ac:dyDescent="0.25">
      <c r="B67" s="66"/>
      <c r="C67" s="48"/>
      <c r="G67" s="70" t="s">
        <v>177</v>
      </c>
      <c r="H67" s="70" t="s">
        <v>178</v>
      </c>
      <c r="I67" s="63"/>
      <c r="J67" s="810" t="s">
        <v>179</v>
      </c>
      <c r="K67" s="811"/>
      <c r="L67" s="71"/>
      <c r="M67" s="71"/>
      <c r="N67" s="71"/>
      <c r="O67" s="72"/>
      <c r="Q67" s="59"/>
      <c r="R67" s="59"/>
    </row>
    <row r="68" spans="2:18" ht="12.75" customHeight="1" x14ac:dyDescent="0.2">
      <c r="B68" s="802" t="s">
        <v>180</v>
      </c>
      <c r="C68" s="821" t="s">
        <v>181</v>
      </c>
      <c r="D68" s="823" t="s">
        <v>182</v>
      </c>
      <c r="E68" s="824"/>
      <c r="F68" s="824"/>
      <c r="G68" s="73">
        <f>+O43</f>
        <v>0</v>
      </c>
      <c r="H68" s="74">
        <f t="shared" ref="H68:H76" si="5">+G68</f>
        <v>0</v>
      </c>
      <c r="I68" s="63"/>
      <c r="J68" s="75" t="s">
        <v>231</v>
      </c>
      <c r="K68" s="58"/>
      <c r="L68" s="58"/>
      <c r="M68" s="58" t="s">
        <v>232</v>
      </c>
      <c r="N68" s="58"/>
      <c r="O68" s="76">
        <f>+O47</f>
        <v>0</v>
      </c>
      <c r="Q68" s="59"/>
      <c r="R68" s="59"/>
    </row>
    <row r="69" spans="2:18" ht="12.75" customHeight="1" x14ac:dyDescent="0.2">
      <c r="B69" s="803"/>
      <c r="C69" s="822"/>
      <c r="D69" s="782" t="s">
        <v>184</v>
      </c>
      <c r="E69" s="783"/>
      <c r="F69" s="783"/>
      <c r="G69" s="77">
        <f>+O47</f>
        <v>0</v>
      </c>
      <c r="H69" s="78">
        <f t="shared" si="5"/>
        <v>0</v>
      </c>
      <c r="I69" s="63"/>
      <c r="J69" s="79"/>
      <c r="K69" s="68"/>
      <c r="L69" s="68"/>
      <c r="M69" s="68"/>
      <c r="N69" s="68"/>
      <c r="O69" s="69"/>
      <c r="Q69" s="59"/>
      <c r="R69" s="59"/>
    </row>
    <row r="70" spans="2:18" ht="12.75" customHeight="1" x14ac:dyDescent="0.2">
      <c r="B70" s="803"/>
      <c r="C70" s="822"/>
      <c r="D70" s="819" t="s">
        <v>185</v>
      </c>
      <c r="E70" s="820"/>
      <c r="F70" s="820"/>
      <c r="G70" s="80">
        <f>O40</f>
        <v>0</v>
      </c>
      <c r="H70" s="78">
        <f t="shared" si="5"/>
        <v>0</v>
      </c>
      <c r="I70" s="63"/>
      <c r="J70" s="67"/>
      <c r="K70" s="68"/>
      <c r="L70" s="68"/>
      <c r="M70" s="68"/>
      <c r="N70" s="68"/>
      <c r="O70" s="69"/>
    </row>
    <row r="71" spans="2:18" x14ac:dyDescent="0.2">
      <c r="B71" s="803"/>
      <c r="C71" s="822"/>
      <c r="D71" s="782" t="s">
        <v>186</v>
      </c>
      <c r="E71" s="783"/>
      <c r="F71" s="783"/>
      <c r="G71" s="81">
        <v>0</v>
      </c>
      <c r="H71" s="78">
        <f t="shared" si="5"/>
        <v>0</v>
      </c>
      <c r="I71" s="63"/>
      <c r="J71" s="82" t="s">
        <v>187</v>
      </c>
      <c r="K71" s="71"/>
      <c r="L71" s="71"/>
      <c r="M71" s="71"/>
      <c r="N71" s="71"/>
      <c r="O71" s="72"/>
    </row>
    <row r="72" spans="2:18" ht="12.75" customHeight="1" x14ac:dyDescent="0.2">
      <c r="B72" s="803"/>
      <c r="C72" s="822"/>
      <c r="D72" s="784" t="s">
        <v>188</v>
      </c>
      <c r="E72" s="783"/>
      <c r="F72" s="783"/>
      <c r="G72" s="80">
        <v>0</v>
      </c>
      <c r="H72" s="78">
        <f t="shared" si="5"/>
        <v>0</v>
      </c>
      <c r="I72" s="63"/>
      <c r="J72" s="75" t="s">
        <v>189</v>
      </c>
      <c r="K72" s="50"/>
      <c r="L72" s="50"/>
      <c r="M72" s="50"/>
      <c r="N72" s="50"/>
      <c r="O72" s="83">
        <f>O42</f>
        <v>0</v>
      </c>
    </row>
    <row r="73" spans="2:18" ht="14.25" customHeight="1" x14ac:dyDescent="0.2">
      <c r="B73" s="803"/>
      <c r="C73" s="822"/>
      <c r="D73" s="782" t="s">
        <v>190</v>
      </c>
      <c r="E73" s="783"/>
      <c r="F73" s="783"/>
      <c r="G73" s="84">
        <v>0</v>
      </c>
      <c r="H73" s="78">
        <f t="shared" si="5"/>
        <v>0</v>
      </c>
      <c r="I73" s="63"/>
      <c r="J73" s="75"/>
      <c r="K73" s="39"/>
      <c r="L73" s="39"/>
      <c r="M73" s="39"/>
      <c r="N73" s="39"/>
      <c r="O73" s="65"/>
    </row>
    <row r="74" spans="2:18" x14ac:dyDescent="0.2">
      <c r="B74" s="803"/>
      <c r="C74" s="822"/>
      <c r="D74" s="782" t="s">
        <v>191</v>
      </c>
      <c r="E74" s="783"/>
      <c r="F74" s="783"/>
      <c r="G74" s="81">
        <f>O63</f>
        <v>65799</v>
      </c>
      <c r="H74" s="78">
        <f t="shared" si="5"/>
        <v>65799</v>
      </c>
      <c r="I74" s="58"/>
      <c r="J74" s="137"/>
      <c r="K74" s="50"/>
      <c r="L74" s="50"/>
      <c r="M74" s="50"/>
      <c r="N74" s="50"/>
      <c r="O74" s="83"/>
    </row>
    <row r="75" spans="2:18" x14ac:dyDescent="0.2">
      <c r="B75" s="803"/>
      <c r="C75" s="88" t="s">
        <v>192</v>
      </c>
      <c r="D75" s="813" t="s">
        <v>193</v>
      </c>
      <c r="E75" s="814"/>
      <c r="F75" s="814"/>
      <c r="G75" s="80">
        <v>0</v>
      </c>
      <c r="H75" s="78">
        <f t="shared" si="5"/>
        <v>0</v>
      </c>
      <c r="I75" s="58"/>
      <c r="J75" s="85"/>
      <c r="K75" s="138"/>
      <c r="L75" s="138"/>
      <c r="M75" s="138"/>
      <c r="N75" s="138"/>
      <c r="O75" s="139"/>
    </row>
    <row r="76" spans="2:18" ht="13.5" customHeight="1" thickBot="1" x14ac:dyDescent="0.25">
      <c r="B76" s="803"/>
      <c r="C76" s="88" t="s">
        <v>194</v>
      </c>
      <c r="D76" s="815" t="s">
        <v>195</v>
      </c>
      <c r="E76" s="815"/>
      <c r="F76" s="815"/>
      <c r="G76" s="89">
        <v>0</v>
      </c>
      <c r="H76" s="90">
        <f t="shared" si="5"/>
        <v>0</v>
      </c>
      <c r="I76" s="63"/>
      <c r="J76" s="75"/>
      <c r="K76" s="68"/>
      <c r="L76" s="68"/>
      <c r="M76" s="91"/>
      <c r="N76" s="91"/>
      <c r="O76" s="92"/>
    </row>
    <row r="77" spans="2:18" ht="13.5" thickBot="1" x14ac:dyDescent="0.25">
      <c r="B77" s="803"/>
      <c r="C77" s="93"/>
      <c r="D77" s="94"/>
      <c r="E77" s="816" t="s">
        <v>117</v>
      </c>
      <c r="F77" s="817"/>
      <c r="G77" s="95">
        <f>SUM(G68:G76)</f>
        <v>65799</v>
      </c>
      <c r="H77" s="96">
        <f>IF(SUM(G68:G74)&lt;150000,SUM(G68:G74),150000)+IF(+G75&lt;20000,+G75,20000)</f>
        <v>65799</v>
      </c>
      <c r="I77" s="63"/>
      <c r="J77" s="140"/>
      <c r="K77" s="141"/>
      <c r="L77" s="141"/>
      <c r="M77" s="142"/>
      <c r="N77" s="142"/>
      <c r="O77" s="143"/>
    </row>
    <row r="78" spans="2:18" ht="12.75" customHeight="1" x14ac:dyDescent="0.2">
      <c r="B78" s="803"/>
      <c r="C78" s="100" t="s">
        <v>196</v>
      </c>
      <c r="D78" s="782" t="s">
        <v>187</v>
      </c>
      <c r="E78" s="783"/>
      <c r="F78" s="818"/>
      <c r="G78" s="73">
        <f>+O42</f>
        <v>0</v>
      </c>
      <c r="H78" s="101">
        <f>+IF(+G78&lt;25000,+G78,25000)</f>
        <v>0</v>
      </c>
      <c r="I78" s="87"/>
    </row>
    <row r="79" spans="2:18" x14ac:dyDescent="0.2">
      <c r="B79" s="803"/>
      <c r="C79" s="100" t="s">
        <v>197</v>
      </c>
      <c r="D79" s="784" t="s">
        <v>198</v>
      </c>
      <c r="E79" s="785"/>
      <c r="F79" s="786"/>
      <c r="G79" s="102"/>
      <c r="H79" s="103">
        <f>+IF(+G79&lt;40000,+G79,40000)</f>
        <v>0</v>
      </c>
      <c r="I79" s="63"/>
    </row>
    <row r="80" spans="2:18" x14ac:dyDescent="0.2">
      <c r="B80" s="803"/>
      <c r="C80" s="100" t="s">
        <v>199</v>
      </c>
      <c r="D80" s="784" t="s">
        <v>200</v>
      </c>
      <c r="E80" s="785"/>
      <c r="F80" s="786"/>
      <c r="G80" s="81"/>
      <c r="H80" s="104">
        <v>0</v>
      </c>
      <c r="I80" s="63"/>
      <c r="J80" s="106"/>
    </row>
    <row r="81" spans="2:12" x14ac:dyDescent="0.2">
      <c r="B81" s="803"/>
      <c r="C81" s="100" t="s">
        <v>201</v>
      </c>
      <c r="D81" s="784" t="s">
        <v>202</v>
      </c>
      <c r="E81" s="785"/>
      <c r="F81" s="786"/>
      <c r="G81" s="81"/>
      <c r="H81" s="104">
        <v>0</v>
      </c>
      <c r="I81" s="63"/>
    </row>
    <row r="82" spans="2:12" ht="13.5" thickBot="1" x14ac:dyDescent="0.25">
      <c r="B82" s="804"/>
      <c r="C82" s="100" t="s">
        <v>203</v>
      </c>
      <c r="D82" s="784" t="s">
        <v>204</v>
      </c>
      <c r="E82" s="785"/>
      <c r="F82" s="786"/>
      <c r="G82" s="102"/>
      <c r="H82" s="103">
        <f>+IF(+G82&lt;100000,+G82,10000)</f>
        <v>0</v>
      </c>
      <c r="I82" s="63"/>
    </row>
    <row r="83" spans="2:12" ht="13.5" thickBot="1" x14ac:dyDescent="0.25">
      <c r="B83" s="787" t="s">
        <v>205</v>
      </c>
      <c r="C83" s="788"/>
      <c r="D83" s="788"/>
      <c r="E83" s="788"/>
      <c r="F83" s="788"/>
      <c r="G83" s="107">
        <f>SUM(G78:G82)</f>
        <v>0</v>
      </c>
      <c r="H83" s="108">
        <f>SUM(H77:H82)</f>
        <v>65799</v>
      </c>
    </row>
    <row r="84" spans="2:12" ht="13.5" thickBot="1" x14ac:dyDescent="0.25"/>
    <row r="85" spans="2:12" ht="13.5" thickBot="1" x14ac:dyDescent="0.25">
      <c r="B85" s="789" t="s">
        <v>206</v>
      </c>
      <c r="C85" s="790"/>
      <c r="D85" s="790"/>
      <c r="E85" s="790"/>
      <c r="F85" s="791"/>
      <c r="G85" s="341"/>
      <c r="H85" s="342">
        <f>+G64-H83</f>
        <v>-182400</v>
      </c>
      <c r="J85" s="109">
        <f>C37+D37+E37+F37</f>
        <v>0</v>
      </c>
      <c r="K85" s="16" t="s">
        <v>235</v>
      </c>
    </row>
    <row r="86" spans="2:12" x14ac:dyDescent="0.2">
      <c r="B86" s="110"/>
      <c r="F86" s="105"/>
      <c r="J86" s="109">
        <f>G37+H37+I37</f>
        <v>0</v>
      </c>
      <c r="K86" s="16" t="s">
        <v>236</v>
      </c>
    </row>
    <row r="87" spans="2:12" x14ac:dyDescent="0.2">
      <c r="C87" s="793" t="s">
        <v>207</v>
      </c>
      <c r="D87" s="794"/>
      <c r="E87" s="111" t="s">
        <v>208</v>
      </c>
      <c r="F87" s="111" t="s">
        <v>209</v>
      </c>
      <c r="G87" s="111" t="s">
        <v>210</v>
      </c>
      <c r="H87" s="111" t="s">
        <v>211</v>
      </c>
      <c r="J87" s="109">
        <f>J37+K37+L37</f>
        <v>0</v>
      </c>
      <c r="K87" s="47" t="s">
        <v>237</v>
      </c>
    </row>
    <row r="88" spans="2:12" x14ac:dyDescent="0.2">
      <c r="C88" s="795" t="str">
        <f>IF(I6="M","0          - 250000","0          -  250000")</f>
        <v>0          - 250000</v>
      </c>
      <c r="D88" s="796"/>
      <c r="E88" s="112">
        <v>0</v>
      </c>
      <c r="F88" s="113">
        <f>IF(I6="M",(IF(H85&lt;250000,H85,250000)),(IF(H85&lt;250000,H85,250000)))</f>
        <v>-182400</v>
      </c>
      <c r="G88" s="113">
        <f>H85-F88</f>
        <v>0</v>
      </c>
      <c r="H88" s="113">
        <f>E88*F88</f>
        <v>0</v>
      </c>
      <c r="J88" s="16">
        <f>M37+N37</f>
        <v>0</v>
      </c>
      <c r="K88" s="1" t="s">
        <v>238</v>
      </c>
    </row>
    <row r="89" spans="2:12" x14ac:dyDescent="0.2">
      <c r="C89" s="795" t="str">
        <f>IF(I6="M","250001 - 500000","250001-500000")</f>
        <v>250001 - 500000</v>
      </c>
      <c r="D89" s="796"/>
      <c r="E89" s="112">
        <v>0.05</v>
      </c>
      <c r="F89" s="113">
        <f>IF(I6="M",(IF(G88&lt;250000,G88,250000)),(IF(G88&lt;250000,G88,250000)))</f>
        <v>0</v>
      </c>
      <c r="G89" s="113">
        <f>G88-F89</f>
        <v>0</v>
      </c>
      <c r="H89" s="114">
        <f>ROUND(E89*F89,0.1)</f>
        <v>0</v>
      </c>
      <c r="J89" s="115">
        <f>SUM(J85:J88)</f>
        <v>0</v>
      </c>
    </row>
    <row r="90" spans="2:12" x14ac:dyDescent="0.2">
      <c r="C90" s="797" t="s">
        <v>212</v>
      </c>
      <c r="D90" s="798"/>
      <c r="E90" s="112">
        <v>0.2</v>
      </c>
      <c r="F90" s="113">
        <f>IF(G89&lt;500000,G89,500000)</f>
        <v>0</v>
      </c>
      <c r="G90" s="113">
        <f>G89-F90</f>
        <v>0</v>
      </c>
      <c r="H90" s="114">
        <f>ROUND(E90*F90,0.1)</f>
        <v>0</v>
      </c>
      <c r="J90" s="16">
        <f>+G85</f>
        <v>0</v>
      </c>
    </row>
    <row r="91" spans="2:12" x14ac:dyDescent="0.2">
      <c r="C91" s="795" t="s">
        <v>213</v>
      </c>
      <c r="D91" s="796"/>
      <c r="E91" s="112">
        <v>0.3</v>
      </c>
      <c r="F91" s="113">
        <f>G90</f>
        <v>0</v>
      </c>
      <c r="G91" s="113">
        <f>G90-F91</f>
        <v>0</v>
      </c>
      <c r="H91" s="114">
        <f>ROUND(E91*F91,0.1)</f>
        <v>0</v>
      </c>
      <c r="J91" s="16">
        <f>+J89-J90</f>
        <v>0</v>
      </c>
    </row>
    <row r="92" spans="2:12" ht="12.75" customHeight="1" thickBot="1" x14ac:dyDescent="0.25">
      <c r="B92" s="116"/>
      <c r="C92" s="117"/>
      <c r="D92" s="47"/>
      <c r="E92" s="47"/>
      <c r="F92" s="47"/>
      <c r="J92" s="87">
        <f>+J91/3</f>
        <v>0</v>
      </c>
      <c r="K92" s="118"/>
    </row>
    <row r="93" spans="2:12" ht="13.5" thickBot="1" x14ac:dyDescent="0.25">
      <c r="B93" s="799" t="s">
        <v>239</v>
      </c>
      <c r="C93" s="800"/>
      <c r="D93" s="800"/>
      <c r="E93" s="800"/>
      <c r="F93" s="801"/>
      <c r="G93" s="897">
        <f>H88+H89+H90+H91</f>
        <v>0</v>
      </c>
      <c r="H93" s="898"/>
      <c r="J93" s="87"/>
      <c r="K93" s="87"/>
    </row>
    <row r="94" spans="2:12" ht="13.5" thickBot="1" x14ac:dyDescent="0.25">
      <c r="B94" s="119" t="s">
        <v>215</v>
      </c>
      <c r="C94" s="120"/>
      <c r="D94" s="120"/>
      <c r="E94" s="120"/>
      <c r="F94" s="120"/>
      <c r="G94" s="895">
        <f>IF((G64&lt;500000),5000,0)</f>
        <v>5000</v>
      </c>
      <c r="H94" s="896">
        <f>IF(H92&lt;200000,0,IF(H92&lt;220000,((H92-200000)*10%),IF(H92&lt;=500000,2000,IF(H92&gt;=500000,0))))</f>
        <v>0</v>
      </c>
      <c r="J94" s="1"/>
      <c r="K94" s="121"/>
      <c r="L94" s="121"/>
    </row>
    <row r="95" spans="2:12" ht="13.5" thickBot="1" x14ac:dyDescent="0.25">
      <c r="B95" s="122" t="s">
        <v>216</v>
      </c>
      <c r="C95" s="123"/>
      <c r="D95" s="123"/>
      <c r="E95" s="123"/>
      <c r="F95" s="123"/>
      <c r="G95" s="897">
        <f>IF((G93-G94)&lt;0,0,(G93-G94))</f>
        <v>0</v>
      </c>
      <c r="H95" s="898"/>
      <c r="I95" s="37"/>
    </row>
    <row r="96" spans="2:12" ht="13.5" thickBot="1" x14ac:dyDescent="0.25">
      <c r="B96" s="773" t="s">
        <v>217</v>
      </c>
      <c r="C96" s="774"/>
      <c r="D96" s="774"/>
      <c r="E96" s="774"/>
      <c r="F96" s="775"/>
      <c r="G96" s="899">
        <f>ROUND((IF(G95&gt;0,(G95*3%),0)),0)</f>
        <v>0</v>
      </c>
      <c r="H96" s="900"/>
      <c r="I96" s="37"/>
    </row>
    <row r="97" spans="2:9" ht="13.5" thickBot="1" x14ac:dyDescent="0.25">
      <c r="B97" s="778" t="s">
        <v>218</v>
      </c>
      <c r="C97" s="779"/>
      <c r="D97" s="779"/>
      <c r="E97" s="779"/>
      <c r="F97" s="779"/>
      <c r="G97" s="901">
        <f>G95+G96</f>
        <v>0</v>
      </c>
      <c r="H97" s="902"/>
      <c r="I97" s="121"/>
    </row>
    <row r="98" spans="2:9" ht="13.5" thickBot="1" x14ac:dyDescent="0.25">
      <c r="B98" s="765" t="s">
        <v>219</v>
      </c>
      <c r="C98" s="766"/>
      <c r="D98" s="766"/>
      <c r="E98" s="766"/>
      <c r="F98" s="766"/>
      <c r="G98" s="893">
        <f>O38</f>
        <v>0</v>
      </c>
      <c r="H98" s="894"/>
      <c r="I98" s="121"/>
    </row>
    <row r="99" spans="2:9" ht="13.5" thickBot="1" x14ac:dyDescent="0.25">
      <c r="B99" s="765" t="str">
        <f>IF(G99&gt;0,"TAX PAYABLE","TAX REFUND")</f>
        <v>TAX REFUND</v>
      </c>
      <c r="C99" s="766"/>
      <c r="D99" s="766"/>
      <c r="E99" s="766"/>
      <c r="F99" s="766"/>
      <c r="G99" s="893">
        <f>+G97-G98</f>
        <v>0</v>
      </c>
      <c r="H99" s="894"/>
      <c r="I99" s="37"/>
    </row>
    <row r="100" spans="2:9" x14ac:dyDescent="0.2">
      <c r="C100" s="124"/>
      <c r="D100" s="45"/>
      <c r="E100" s="118"/>
      <c r="F100" s="118"/>
      <c r="G100" s="118"/>
      <c r="H100" s="118"/>
      <c r="I100" s="125"/>
    </row>
    <row r="101" spans="2:9" x14ac:dyDescent="0.2">
      <c r="C101" s="47"/>
      <c r="D101" s="50"/>
      <c r="E101" s="117"/>
      <c r="F101" s="47"/>
      <c r="G101" s="47"/>
      <c r="I101" s="125"/>
    </row>
    <row r="102" spans="2:9" x14ac:dyDescent="0.2">
      <c r="C102" s="39"/>
      <c r="D102" s="126"/>
      <c r="E102" s="126"/>
      <c r="F102" s="126"/>
      <c r="G102" s="39"/>
      <c r="H102" s="343"/>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B61:F61"/>
    <mergeCell ref="G61:H61"/>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C62:F62"/>
    <mergeCell ref="G62:H62"/>
    <mergeCell ref="J62:O62"/>
    <mergeCell ref="B64:F64"/>
    <mergeCell ref="G64:H64"/>
    <mergeCell ref="J63:M63"/>
    <mergeCell ref="J67:K67"/>
    <mergeCell ref="B68:B82"/>
    <mergeCell ref="C68:C74"/>
    <mergeCell ref="D68:F68"/>
    <mergeCell ref="D69:F69"/>
    <mergeCell ref="D70:F70"/>
    <mergeCell ref="D71:F71"/>
    <mergeCell ref="D72:F72"/>
    <mergeCell ref="B85:F85"/>
    <mergeCell ref="D73:F73"/>
    <mergeCell ref="D74:F74"/>
    <mergeCell ref="D75:F75"/>
    <mergeCell ref="D76:F76"/>
    <mergeCell ref="E77:F77"/>
    <mergeCell ref="D78:F78"/>
    <mergeCell ref="D79:F79"/>
    <mergeCell ref="D80:F80"/>
    <mergeCell ref="D81:F81"/>
    <mergeCell ref="D82:F82"/>
    <mergeCell ref="B83:F83"/>
    <mergeCell ref="C87:D87"/>
    <mergeCell ref="C88:D88"/>
    <mergeCell ref="C89:D89"/>
    <mergeCell ref="C90:D90"/>
    <mergeCell ref="C91:D91"/>
    <mergeCell ref="B98:F98"/>
    <mergeCell ref="G98:H98"/>
    <mergeCell ref="B99:F99"/>
    <mergeCell ref="G99:H99"/>
    <mergeCell ref="G93:H93"/>
    <mergeCell ref="G94:H94"/>
    <mergeCell ref="G95:H95"/>
    <mergeCell ref="B96:F96"/>
    <mergeCell ref="G96:H96"/>
    <mergeCell ref="B97:F97"/>
    <mergeCell ref="G97:H97"/>
    <mergeCell ref="B93:F93"/>
  </mergeCells>
  <conditionalFormatting sqref="B90:F90 B99:F99 B93:F97">
    <cfRule type="cellIs" dxfId="133" priority="1" stopIfTrue="1" operator="equal">
      <formula>"TAX PAYABLE"</formula>
    </cfRule>
    <cfRule type="cellIs" dxfId="132" priority="2" stopIfTrue="1" operator="equal">
      <formula>"TAX REFUND"</formula>
    </cfRule>
  </conditionalFormatting>
  <conditionalFormatting sqref="G90:H90">
    <cfRule type="cellIs" dxfId="131" priority="3" stopIfTrue="1" operator="lessThan">
      <formula>0</formula>
    </cfRule>
    <cfRule type="cellIs" dxfId="130" priority="4" stopIfTrue="1" operator="greaterThan">
      <formula>0</formula>
    </cfRule>
  </conditionalFormatting>
  <conditionalFormatting sqref="G99:H99">
    <cfRule type="cellIs" dxfId="129" priority="5" stopIfTrue="1" operator="greaterThan">
      <formula>0</formula>
    </cfRule>
    <cfRule type="cellIs" dxfId="128" priority="6"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5" right="0.75" top="1" bottom="1" header="0.5" footer="0.5"/>
  <headerFooter alignWithMargins="0"/>
  <legacyDrawing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7"/>
  <sheetViews>
    <sheetView topLeftCell="A4" workbookViewId="0">
      <selection activeCell="F38" sqref="F38:M38"/>
    </sheetView>
  </sheetViews>
  <sheetFormatPr defaultRowHeight="12.75" x14ac:dyDescent="0.2"/>
  <cols>
    <col min="1" max="1" width="5" style="16" customWidth="1"/>
    <col min="2" max="2" width="20" style="37" customWidth="1"/>
    <col min="3" max="3" width="9.140625" style="16"/>
    <col min="4" max="4" width="7.42578125" style="16" customWidth="1"/>
    <col min="5" max="5" width="8.5703125" style="16" bestFit="1" customWidth="1"/>
    <col min="6" max="8" width="8.140625" style="16" customWidth="1"/>
    <col min="9" max="9" width="7.140625" style="16" bestFit="1" customWidth="1"/>
    <col min="10" max="10" width="8.42578125" style="16" customWidth="1"/>
    <col min="11" max="15" width="7.8554687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20" style="16" customWidth="1"/>
    <col min="259" max="259" width="9.140625" style="16"/>
    <col min="260" max="260" width="7.42578125" style="16" customWidth="1"/>
    <col min="261" max="261" width="8.5703125" style="16" bestFit="1" customWidth="1"/>
    <col min="262" max="264" width="8.140625" style="16" customWidth="1"/>
    <col min="265" max="265" width="7.140625" style="16" bestFit="1" customWidth="1"/>
    <col min="266" max="266" width="8.42578125" style="16" customWidth="1"/>
    <col min="267" max="271" width="7.8554687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20" style="16" customWidth="1"/>
    <col min="515" max="515" width="9.140625" style="16"/>
    <col min="516" max="516" width="7.42578125" style="16" customWidth="1"/>
    <col min="517" max="517" width="8.5703125" style="16" bestFit="1" customWidth="1"/>
    <col min="518" max="520" width="8.140625" style="16" customWidth="1"/>
    <col min="521" max="521" width="7.140625" style="16" bestFit="1" customWidth="1"/>
    <col min="522" max="522" width="8.42578125" style="16" customWidth="1"/>
    <col min="523" max="527" width="7.8554687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20" style="16" customWidth="1"/>
    <col min="771" max="771" width="9.140625" style="16"/>
    <col min="772" max="772" width="7.42578125" style="16" customWidth="1"/>
    <col min="773" max="773" width="8.5703125" style="16" bestFit="1" customWidth="1"/>
    <col min="774" max="776" width="8.140625" style="16" customWidth="1"/>
    <col min="777" max="777" width="7.140625" style="16" bestFit="1" customWidth="1"/>
    <col min="778" max="778" width="8.42578125" style="16" customWidth="1"/>
    <col min="779" max="783" width="7.8554687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20" style="16" customWidth="1"/>
    <col min="1027" max="1027" width="9.140625" style="16"/>
    <col min="1028" max="1028" width="7.42578125" style="16" customWidth="1"/>
    <col min="1029" max="1029" width="8.5703125" style="16" bestFit="1" customWidth="1"/>
    <col min="1030" max="1032" width="8.140625" style="16" customWidth="1"/>
    <col min="1033" max="1033" width="7.140625" style="16" bestFit="1" customWidth="1"/>
    <col min="1034" max="1034" width="8.42578125" style="16" customWidth="1"/>
    <col min="1035" max="1039" width="7.8554687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20" style="16" customWidth="1"/>
    <col min="1283" max="1283" width="9.140625" style="16"/>
    <col min="1284" max="1284" width="7.42578125" style="16" customWidth="1"/>
    <col min="1285" max="1285" width="8.5703125" style="16" bestFit="1" customWidth="1"/>
    <col min="1286" max="1288" width="8.140625" style="16" customWidth="1"/>
    <col min="1289" max="1289" width="7.140625" style="16" bestFit="1" customWidth="1"/>
    <col min="1290" max="1290" width="8.42578125" style="16" customWidth="1"/>
    <col min="1291" max="1295" width="7.8554687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20" style="16" customWidth="1"/>
    <col min="1539" max="1539" width="9.140625" style="16"/>
    <col min="1540" max="1540" width="7.42578125" style="16" customWidth="1"/>
    <col min="1541" max="1541" width="8.5703125" style="16" bestFit="1" customWidth="1"/>
    <col min="1542" max="1544" width="8.140625" style="16" customWidth="1"/>
    <col min="1545" max="1545" width="7.140625" style="16" bestFit="1" customWidth="1"/>
    <col min="1546" max="1546" width="8.42578125" style="16" customWidth="1"/>
    <col min="1547" max="1551" width="7.8554687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20" style="16" customWidth="1"/>
    <col min="1795" max="1795" width="9.140625" style="16"/>
    <col min="1796" max="1796" width="7.42578125" style="16" customWidth="1"/>
    <col min="1797" max="1797" width="8.5703125" style="16" bestFit="1" customWidth="1"/>
    <col min="1798" max="1800" width="8.140625" style="16" customWidth="1"/>
    <col min="1801" max="1801" width="7.140625" style="16" bestFit="1" customWidth="1"/>
    <col min="1802" max="1802" width="8.42578125" style="16" customWidth="1"/>
    <col min="1803" max="1807" width="7.8554687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20" style="16" customWidth="1"/>
    <col min="2051" max="2051" width="9.140625" style="16"/>
    <col min="2052" max="2052" width="7.42578125" style="16" customWidth="1"/>
    <col min="2053" max="2053" width="8.5703125" style="16" bestFit="1" customWidth="1"/>
    <col min="2054" max="2056" width="8.140625" style="16" customWidth="1"/>
    <col min="2057" max="2057" width="7.140625" style="16" bestFit="1" customWidth="1"/>
    <col min="2058" max="2058" width="8.42578125" style="16" customWidth="1"/>
    <col min="2059" max="2063" width="7.8554687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20" style="16" customWidth="1"/>
    <col min="2307" max="2307" width="9.140625" style="16"/>
    <col min="2308" max="2308" width="7.42578125" style="16" customWidth="1"/>
    <col min="2309" max="2309" width="8.5703125" style="16" bestFit="1" customWidth="1"/>
    <col min="2310" max="2312" width="8.140625" style="16" customWidth="1"/>
    <col min="2313" max="2313" width="7.140625" style="16" bestFit="1" customWidth="1"/>
    <col min="2314" max="2314" width="8.42578125" style="16" customWidth="1"/>
    <col min="2315" max="2319" width="7.8554687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20" style="16" customWidth="1"/>
    <col min="2563" max="2563" width="9.140625" style="16"/>
    <col min="2564" max="2564" width="7.42578125" style="16" customWidth="1"/>
    <col min="2565" max="2565" width="8.5703125" style="16" bestFit="1" customWidth="1"/>
    <col min="2566" max="2568" width="8.140625" style="16" customWidth="1"/>
    <col min="2569" max="2569" width="7.140625" style="16" bestFit="1" customWidth="1"/>
    <col min="2570" max="2570" width="8.42578125" style="16" customWidth="1"/>
    <col min="2571" max="2575" width="7.8554687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20" style="16" customWidth="1"/>
    <col min="2819" max="2819" width="9.140625" style="16"/>
    <col min="2820" max="2820" width="7.42578125" style="16" customWidth="1"/>
    <col min="2821" max="2821" width="8.5703125" style="16" bestFit="1" customWidth="1"/>
    <col min="2822" max="2824" width="8.140625" style="16" customWidth="1"/>
    <col min="2825" max="2825" width="7.140625" style="16" bestFit="1" customWidth="1"/>
    <col min="2826" max="2826" width="8.42578125" style="16" customWidth="1"/>
    <col min="2827" max="2831" width="7.8554687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20" style="16" customWidth="1"/>
    <col min="3075" max="3075" width="9.140625" style="16"/>
    <col min="3076" max="3076" width="7.42578125" style="16" customWidth="1"/>
    <col min="3077" max="3077" width="8.5703125" style="16" bestFit="1" customWidth="1"/>
    <col min="3078" max="3080" width="8.140625" style="16" customWidth="1"/>
    <col min="3081" max="3081" width="7.140625" style="16" bestFit="1" customWidth="1"/>
    <col min="3082" max="3082" width="8.42578125" style="16" customWidth="1"/>
    <col min="3083" max="3087" width="7.8554687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20" style="16" customWidth="1"/>
    <col min="3331" max="3331" width="9.140625" style="16"/>
    <col min="3332" max="3332" width="7.42578125" style="16" customWidth="1"/>
    <col min="3333" max="3333" width="8.5703125" style="16" bestFit="1" customWidth="1"/>
    <col min="3334" max="3336" width="8.140625" style="16" customWidth="1"/>
    <col min="3337" max="3337" width="7.140625" style="16" bestFit="1" customWidth="1"/>
    <col min="3338" max="3338" width="8.42578125" style="16" customWidth="1"/>
    <col min="3339" max="3343" width="7.8554687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20" style="16" customWidth="1"/>
    <col min="3587" max="3587" width="9.140625" style="16"/>
    <col min="3588" max="3588" width="7.42578125" style="16" customWidth="1"/>
    <col min="3589" max="3589" width="8.5703125" style="16" bestFit="1" customWidth="1"/>
    <col min="3590" max="3592" width="8.140625" style="16" customWidth="1"/>
    <col min="3593" max="3593" width="7.140625" style="16" bestFit="1" customWidth="1"/>
    <col min="3594" max="3594" width="8.42578125" style="16" customWidth="1"/>
    <col min="3595" max="3599" width="7.8554687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20" style="16" customWidth="1"/>
    <col min="3843" max="3843" width="9.140625" style="16"/>
    <col min="3844" max="3844" width="7.42578125" style="16" customWidth="1"/>
    <col min="3845" max="3845" width="8.5703125" style="16" bestFit="1" customWidth="1"/>
    <col min="3846" max="3848" width="8.140625" style="16" customWidth="1"/>
    <col min="3849" max="3849" width="7.140625" style="16" bestFit="1" customWidth="1"/>
    <col min="3850" max="3850" width="8.42578125" style="16" customWidth="1"/>
    <col min="3851" max="3855" width="7.8554687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20" style="16" customWidth="1"/>
    <col min="4099" max="4099" width="9.140625" style="16"/>
    <col min="4100" max="4100" width="7.42578125" style="16" customWidth="1"/>
    <col min="4101" max="4101" width="8.5703125" style="16" bestFit="1" customWidth="1"/>
    <col min="4102" max="4104" width="8.140625" style="16" customWidth="1"/>
    <col min="4105" max="4105" width="7.140625" style="16" bestFit="1" customWidth="1"/>
    <col min="4106" max="4106" width="8.42578125" style="16" customWidth="1"/>
    <col min="4107" max="4111" width="7.8554687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20" style="16" customWidth="1"/>
    <col min="4355" max="4355" width="9.140625" style="16"/>
    <col min="4356" max="4356" width="7.42578125" style="16" customWidth="1"/>
    <col min="4357" max="4357" width="8.5703125" style="16" bestFit="1" customWidth="1"/>
    <col min="4358" max="4360" width="8.140625" style="16" customWidth="1"/>
    <col min="4361" max="4361" width="7.140625" style="16" bestFit="1" customWidth="1"/>
    <col min="4362" max="4362" width="8.42578125" style="16" customWidth="1"/>
    <col min="4363" max="4367" width="7.8554687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20" style="16" customWidth="1"/>
    <col min="4611" max="4611" width="9.140625" style="16"/>
    <col min="4612" max="4612" width="7.42578125" style="16" customWidth="1"/>
    <col min="4613" max="4613" width="8.5703125" style="16" bestFit="1" customWidth="1"/>
    <col min="4614" max="4616" width="8.140625" style="16" customWidth="1"/>
    <col min="4617" max="4617" width="7.140625" style="16" bestFit="1" customWidth="1"/>
    <col min="4618" max="4618" width="8.42578125" style="16" customWidth="1"/>
    <col min="4619" max="4623" width="7.8554687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20" style="16" customWidth="1"/>
    <col min="4867" max="4867" width="9.140625" style="16"/>
    <col min="4868" max="4868" width="7.42578125" style="16" customWidth="1"/>
    <col min="4869" max="4869" width="8.5703125" style="16" bestFit="1" customWidth="1"/>
    <col min="4870" max="4872" width="8.140625" style="16" customWidth="1"/>
    <col min="4873" max="4873" width="7.140625" style="16" bestFit="1" customWidth="1"/>
    <col min="4874" max="4874" width="8.42578125" style="16" customWidth="1"/>
    <col min="4875" max="4879" width="7.8554687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20" style="16" customWidth="1"/>
    <col min="5123" max="5123" width="9.140625" style="16"/>
    <col min="5124" max="5124" width="7.42578125" style="16" customWidth="1"/>
    <col min="5125" max="5125" width="8.5703125" style="16" bestFit="1" customWidth="1"/>
    <col min="5126" max="5128" width="8.140625" style="16" customWidth="1"/>
    <col min="5129" max="5129" width="7.140625" style="16" bestFit="1" customWidth="1"/>
    <col min="5130" max="5130" width="8.42578125" style="16" customWidth="1"/>
    <col min="5131" max="5135" width="7.8554687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20" style="16" customWidth="1"/>
    <col min="5379" max="5379" width="9.140625" style="16"/>
    <col min="5380" max="5380" width="7.42578125" style="16" customWidth="1"/>
    <col min="5381" max="5381" width="8.5703125" style="16" bestFit="1" customWidth="1"/>
    <col min="5382" max="5384" width="8.140625" style="16" customWidth="1"/>
    <col min="5385" max="5385" width="7.140625" style="16" bestFit="1" customWidth="1"/>
    <col min="5386" max="5386" width="8.42578125" style="16" customWidth="1"/>
    <col min="5387" max="5391" width="7.8554687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20" style="16" customWidth="1"/>
    <col min="5635" max="5635" width="9.140625" style="16"/>
    <col min="5636" max="5636" width="7.42578125" style="16" customWidth="1"/>
    <col min="5637" max="5637" width="8.5703125" style="16" bestFit="1" customWidth="1"/>
    <col min="5638" max="5640" width="8.140625" style="16" customWidth="1"/>
    <col min="5641" max="5641" width="7.140625" style="16" bestFit="1" customWidth="1"/>
    <col min="5642" max="5642" width="8.42578125" style="16" customWidth="1"/>
    <col min="5643" max="5647" width="7.8554687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20" style="16" customWidth="1"/>
    <col min="5891" max="5891" width="9.140625" style="16"/>
    <col min="5892" max="5892" width="7.42578125" style="16" customWidth="1"/>
    <col min="5893" max="5893" width="8.5703125" style="16" bestFit="1" customWidth="1"/>
    <col min="5894" max="5896" width="8.140625" style="16" customWidth="1"/>
    <col min="5897" max="5897" width="7.140625" style="16" bestFit="1" customWidth="1"/>
    <col min="5898" max="5898" width="8.42578125" style="16" customWidth="1"/>
    <col min="5899" max="5903" width="7.8554687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20" style="16" customWidth="1"/>
    <col min="6147" max="6147" width="9.140625" style="16"/>
    <col min="6148" max="6148" width="7.42578125" style="16" customWidth="1"/>
    <col min="6149" max="6149" width="8.5703125" style="16" bestFit="1" customWidth="1"/>
    <col min="6150" max="6152" width="8.140625" style="16" customWidth="1"/>
    <col min="6153" max="6153" width="7.140625" style="16" bestFit="1" customWidth="1"/>
    <col min="6154" max="6154" width="8.42578125" style="16" customWidth="1"/>
    <col min="6155" max="6159" width="7.8554687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20" style="16" customWidth="1"/>
    <col min="6403" max="6403" width="9.140625" style="16"/>
    <col min="6404" max="6404" width="7.42578125" style="16" customWidth="1"/>
    <col min="6405" max="6405" width="8.5703125" style="16" bestFit="1" customWidth="1"/>
    <col min="6406" max="6408" width="8.140625" style="16" customWidth="1"/>
    <col min="6409" max="6409" width="7.140625" style="16" bestFit="1" customWidth="1"/>
    <col min="6410" max="6410" width="8.42578125" style="16" customWidth="1"/>
    <col min="6411" max="6415" width="7.8554687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20" style="16" customWidth="1"/>
    <col min="6659" max="6659" width="9.140625" style="16"/>
    <col min="6660" max="6660" width="7.42578125" style="16" customWidth="1"/>
    <col min="6661" max="6661" width="8.5703125" style="16" bestFit="1" customWidth="1"/>
    <col min="6662" max="6664" width="8.140625" style="16" customWidth="1"/>
    <col min="6665" max="6665" width="7.140625" style="16" bestFit="1" customWidth="1"/>
    <col min="6666" max="6666" width="8.42578125" style="16" customWidth="1"/>
    <col min="6667" max="6671" width="7.8554687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20" style="16" customWidth="1"/>
    <col min="6915" max="6915" width="9.140625" style="16"/>
    <col min="6916" max="6916" width="7.42578125" style="16" customWidth="1"/>
    <col min="6917" max="6917" width="8.5703125" style="16" bestFit="1" customWidth="1"/>
    <col min="6918" max="6920" width="8.140625" style="16" customWidth="1"/>
    <col min="6921" max="6921" width="7.140625" style="16" bestFit="1" customWidth="1"/>
    <col min="6922" max="6922" width="8.42578125" style="16" customWidth="1"/>
    <col min="6923" max="6927" width="7.8554687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20" style="16" customWidth="1"/>
    <col min="7171" max="7171" width="9.140625" style="16"/>
    <col min="7172" max="7172" width="7.42578125" style="16" customWidth="1"/>
    <col min="7173" max="7173" width="8.5703125" style="16" bestFit="1" customWidth="1"/>
    <col min="7174" max="7176" width="8.140625" style="16" customWidth="1"/>
    <col min="7177" max="7177" width="7.140625" style="16" bestFit="1" customWidth="1"/>
    <col min="7178" max="7178" width="8.42578125" style="16" customWidth="1"/>
    <col min="7179" max="7183" width="7.8554687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20" style="16" customWidth="1"/>
    <col min="7427" max="7427" width="9.140625" style="16"/>
    <col min="7428" max="7428" width="7.42578125" style="16" customWidth="1"/>
    <col min="7429" max="7429" width="8.5703125" style="16" bestFit="1" customWidth="1"/>
    <col min="7430" max="7432" width="8.140625" style="16" customWidth="1"/>
    <col min="7433" max="7433" width="7.140625" style="16" bestFit="1" customWidth="1"/>
    <col min="7434" max="7434" width="8.42578125" style="16" customWidth="1"/>
    <col min="7435" max="7439" width="7.8554687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20" style="16" customWidth="1"/>
    <col min="7683" max="7683" width="9.140625" style="16"/>
    <col min="7684" max="7684" width="7.42578125" style="16" customWidth="1"/>
    <col min="7685" max="7685" width="8.5703125" style="16" bestFit="1" customWidth="1"/>
    <col min="7686" max="7688" width="8.140625" style="16" customWidth="1"/>
    <col min="7689" max="7689" width="7.140625" style="16" bestFit="1" customWidth="1"/>
    <col min="7690" max="7690" width="8.42578125" style="16" customWidth="1"/>
    <col min="7691" max="7695" width="7.8554687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20" style="16" customWidth="1"/>
    <col min="7939" max="7939" width="9.140625" style="16"/>
    <col min="7940" max="7940" width="7.42578125" style="16" customWidth="1"/>
    <col min="7941" max="7941" width="8.5703125" style="16" bestFit="1" customWidth="1"/>
    <col min="7942" max="7944" width="8.140625" style="16" customWidth="1"/>
    <col min="7945" max="7945" width="7.140625" style="16" bestFit="1" customWidth="1"/>
    <col min="7946" max="7946" width="8.42578125" style="16" customWidth="1"/>
    <col min="7947" max="7951" width="7.8554687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20" style="16" customWidth="1"/>
    <col min="8195" max="8195" width="9.140625" style="16"/>
    <col min="8196" max="8196" width="7.42578125" style="16" customWidth="1"/>
    <col min="8197" max="8197" width="8.5703125" style="16" bestFit="1" customWidth="1"/>
    <col min="8198" max="8200" width="8.140625" style="16" customWidth="1"/>
    <col min="8201" max="8201" width="7.140625" style="16" bestFit="1" customWidth="1"/>
    <col min="8202" max="8202" width="8.42578125" style="16" customWidth="1"/>
    <col min="8203" max="8207" width="7.8554687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20" style="16" customWidth="1"/>
    <col min="8451" max="8451" width="9.140625" style="16"/>
    <col min="8452" max="8452" width="7.42578125" style="16" customWidth="1"/>
    <col min="8453" max="8453" width="8.5703125" style="16" bestFit="1" customWidth="1"/>
    <col min="8454" max="8456" width="8.140625" style="16" customWidth="1"/>
    <col min="8457" max="8457" width="7.140625" style="16" bestFit="1" customWidth="1"/>
    <col min="8458" max="8458" width="8.42578125" style="16" customWidth="1"/>
    <col min="8459" max="8463" width="7.8554687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20" style="16" customWidth="1"/>
    <col min="8707" max="8707" width="9.140625" style="16"/>
    <col min="8708" max="8708" width="7.42578125" style="16" customWidth="1"/>
    <col min="8709" max="8709" width="8.5703125" style="16" bestFit="1" customWidth="1"/>
    <col min="8710" max="8712" width="8.140625" style="16" customWidth="1"/>
    <col min="8713" max="8713" width="7.140625" style="16" bestFit="1" customWidth="1"/>
    <col min="8714" max="8714" width="8.42578125" style="16" customWidth="1"/>
    <col min="8715" max="8719" width="7.8554687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20" style="16" customWidth="1"/>
    <col min="8963" max="8963" width="9.140625" style="16"/>
    <col min="8964" max="8964" width="7.42578125" style="16" customWidth="1"/>
    <col min="8965" max="8965" width="8.5703125" style="16" bestFit="1" customWidth="1"/>
    <col min="8966" max="8968" width="8.140625" style="16" customWidth="1"/>
    <col min="8969" max="8969" width="7.140625" style="16" bestFit="1" customWidth="1"/>
    <col min="8970" max="8970" width="8.42578125" style="16" customWidth="1"/>
    <col min="8971" max="8975" width="7.8554687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20" style="16" customWidth="1"/>
    <col min="9219" max="9219" width="9.140625" style="16"/>
    <col min="9220" max="9220" width="7.42578125" style="16" customWidth="1"/>
    <col min="9221" max="9221" width="8.5703125" style="16" bestFit="1" customWidth="1"/>
    <col min="9222" max="9224" width="8.140625" style="16" customWidth="1"/>
    <col min="9225" max="9225" width="7.140625" style="16" bestFit="1" customWidth="1"/>
    <col min="9226" max="9226" width="8.42578125" style="16" customWidth="1"/>
    <col min="9227" max="9231" width="7.8554687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20" style="16" customWidth="1"/>
    <col min="9475" max="9475" width="9.140625" style="16"/>
    <col min="9476" max="9476" width="7.42578125" style="16" customWidth="1"/>
    <col min="9477" max="9477" width="8.5703125" style="16" bestFit="1" customWidth="1"/>
    <col min="9478" max="9480" width="8.140625" style="16" customWidth="1"/>
    <col min="9481" max="9481" width="7.140625" style="16" bestFit="1" customWidth="1"/>
    <col min="9482" max="9482" width="8.42578125" style="16" customWidth="1"/>
    <col min="9483" max="9487" width="7.8554687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20" style="16" customWidth="1"/>
    <col min="9731" max="9731" width="9.140625" style="16"/>
    <col min="9732" max="9732" width="7.42578125" style="16" customWidth="1"/>
    <col min="9733" max="9733" width="8.5703125" style="16" bestFit="1" customWidth="1"/>
    <col min="9734" max="9736" width="8.140625" style="16" customWidth="1"/>
    <col min="9737" max="9737" width="7.140625" style="16" bestFit="1" customWidth="1"/>
    <col min="9738" max="9738" width="8.42578125" style="16" customWidth="1"/>
    <col min="9739" max="9743" width="7.8554687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20" style="16" customWidth="1"/>
    <col min="9987" max="9987" width="9.140625" style="16"/>
    <col min="9988" max="9988" width="7.42578125" style="16" customWidth="1"/>
    <col min="9989" max="9989" width="8.5703125" style="16" bestFit="1" customWidth="1"/>
    <col min="9990" max="9992" width="8.140625" style="16" customWidth="1"/>
    <col min="9993" max="9993" width="7.140625" style="16" bestFit="1" customWidth="1"/>
    <col min="9994" max="9994" width="8.42578125" style="16" customWidth="1"/>
    <col min="9995" max="9999" width="7.8554687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20" style="16" customWidth="1"/>
    <col min="10243" max="10243" width="9.140625" style="16"/>
    <col min="10244" max="10244" width="7.42578125" style="16" customWidth="1"/>
    <col min="10245" max="10245" width="8.5703125" style="16" bestFit="1" customWidth="1"/>
    <col min="10246" max="10248" width="8.140625" style="16" customWidth="1"/>
    <col min="10249" max="10249" width="7.140625" style="16" bestFit="1" customWidth="1"/>
    <col min="10250" max="10250" width="8.42578125" style="16" customWidth="1"/>
    <col min="10251" max="10255" width="7.8554687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20" style="16" customWidth="1"/>
    <col min="10499" max="10499" width="9.140625" style="16"/>
    <col min="10500" max="10500" width="7.42578125" style="16" customWidth="1"/>
    <col min="10501" max="10501" width="8.5703125" style="16" bestFit="1" customWidth="1"/>
    <col min="10502" max="10504" width="8.140625" style="16" customWidth="1"/>
    <col min="10505" max="10505" width="7.140625" style="16" bestFit="1" customWidth="1"/>
    <col min="10506" max="10506" width="8.42578125" style="16" customWidth="1"/>
    <col min="10507" max="10511" width="7.8554687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20" style="16" customWidth="1"/>
    <col min="10755" max="10755" width="9.140625" style="16"/>
    <col min="10756" max="10756" width="7.42578125" style="16" customWidth="1"/>
    <col min="10757" max="10757" width="8.5703125" style="16" bestFit="1" customWidth="1"/>
    <col min="10758" max="10760" width="8.140625" style="16" customWidth="1"/>
    <col min="10761" max="10761" width="7.140625" style="16" bestFit="1" customWidth="1"/>
    <col min="10762" max="10762" width="8.42578125" style="16" customWidth="1"/>
    <col min="10763" max="10767" width="7.8554687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20" style="16" customWidth="1"/>
    <col min="11011" max="11011" width="9.140625" style="16"/>
    <col min="11012" max="11012" width="7.42578125" style="16" customWidth="1"/>
    <col min="11013" max="11013" width="8.5703125" style="16" bestFit="1" customWidth="1"/>
    <col min="11014" max="11016" width="8.140625" style="16" customWidth="1"/>
    <col min="11017" max="11017" width="7.140625" style="16" bestFit="1" customWidth="1"/>
    <col min="11018" max="11018" width="8.42578125" style="16" customWidth="1"/>
    <col min="11019" max="11023" width="7.8554687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20" style="16" customWidth="1"/>
    <col min="11267" max="11267" width="9.140625" style="16"/>
    <col min="11268" max="11268" width="7.42578125" style="16" customWidth="1"/>
    <col min="11269" max="11269" width="8.5703125" style="16" bestFit="1" customWidth="1"/>
    <col min="11270" max="11272" width="8.140625" style="16" customWidth="1"/>
    <col min="11273" max="11273" width="7.140625" style="16" bestFit="1" customWidth="1"/>
    <col min="11274" max="11274" width="8.42578125" style="16" customWidth="1"/>
    <col min="11275" max="11279" width="7.8554687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20" style="16" customWidth="1"/>
    <col min="11523" max="11523" width="9.140625" style="16"/>
    <col min="11524" max="11524" width="7.42578125" style="16" customWidth="1"/>
    <col min="11525" max="11525" width="8.5703125" style="16" bestFit="1" customWidth="1"/>
    <col min="11526" max="11528" width="8.140625" style="16" customWidth="1"/>
    <col min="11529" max="11529" width="7.140625" style="16" bestFit="1" customWidth="1"/>
    <col min="11530" max="11530" width="8.42578125" style="16" customWidth="1"/>
    <col min="11531" max="11535" width="7.8554687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20" style="16" customWidth="1"/>
    <col min="11779" max="11779" width="9.140625" style="16"/>
    <col min="11780" max="11780" width="7.42578125" style="16" customWidth="1"/>
    <col min="11781" max="11781" width="8.5703125" style="16" bestFit="1" customWidth="1"/>
    <col min="11782" max="11784" width="8.140625" style="16" customWidth="1"/>
    <col min="11785" max="11785" width="7.140625" style="16" bestFit="1" customWidth="1"/>
    <col min="11786" max="11786" width="8.42578125" style="16" customWidth="1"/>
    <col min="11787" max="11791" width="7.8554687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20" style="16" customWidth="1"/>
    <col min="12035" max="12035" width="9.140625" style="16"/>
    <col min="12036" max="12036" width="7.42578125" style="16" customWidth="1"/>
    <col min="12037" max="12037" width="8.5703125" style="16" bestFit="1" customWidth="1"/>
    <col min="12038" max="12040" width="8.140625" style="16" customWidth="1"/>
    <col min="12041" max="12041" width="7.140625" style="16" bestFit="1" customWidth="1"/>
    <col min="12042" max="12042" width="8.42578125" style="16" customWidth="1"/>
    <col min="12043" max="12047" width="7.8554687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20" style="16" customWidth="1"/>
    <col min="12291" max="12291" width="9.140625" style="16"/>
    <col min="12292" max="12292" width="7.42578125" style="16" customWidth="1"/>
    <col min="12293" max="12293" width="8.5703125" style="16" bestFit="1" customWidth="1"/>
    <col min="12294" max="12296" width="8.140625" style="16" customWidth="1"/>
    <col min="12297" max="12297" width="7.140625" style="16" bestFit="1" customWidth="1"/>
    <col min="12298" max="12298" width="8.42578125" style="16" customWidth="1"/>
    <col min="12299" max="12303" width="7.8554687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20" style="16" customWidth="1"/>
    <col min="12547" max="12547" width="9.140625" style="16"/>
    <col min="12548" max="12548" width="7.42578125" style="16" customWidth="1"/>
    <col min="12549" max="12549" width="8.5703125" style="16" bestFit="1" customWidth="1"/>
    <col min="12550" max="12552" width="8.140625" style="16" customWidth="1"/>
    <col min="12553" max="12553" width="7.140625" style="16" bestFit="1" customWidth="1"/>
    <col min="12554" max="12554" width="8.42578125" style="16" customWidth="1"/>
    <col min="12555" max="12559" width="7.8554687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20" style="16" customWidth="1"/>
    <col min="12803" max="12803" width="9.140625" style="16"/>
    <col min="12804" max="12804" width="7.42578125" style="16" customWidth="1"/>
    <col min="12805" max="12805" width="8.5703125" style="16" bestFit="1" customWidth="1"/>
    <col min="12806" max="12808" width="8.140625" style="16" customWidth="1"/>
    <col min="12809" max="12809" width="7.140625" style="16" bestFit="1" customWidth="1"/>
    <col min="12810" max="12810" width="8.42578125" style="16" customWidth="1"/>
    <col min="12811" max="12815" width="7.8554687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20" style="16" customWidth="1"/>
    <col min="13059" max="13059" width="9.140625" style="16"/>
    <col min="13060" max="13060" width="7.42578125" style="16" customWidth="1"/>
    <col min="13061" max="13061" width="8.5703125" style="16" bestFit="1" customWidth="1"/>
    <col min="13062" max="13064" width="8.140625" style="16" customWidth="1"/>
    <col min="13065" max="13065" width="7.140625" style="16" bestFit="1" customWidth="1"/>
    <col min="13066" max="13066" width="8.42578125" style="16" customWidth="1"/>
    <col min="13067" max="13071" width="7.8554687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20" style="16" customWidth="1"/>
    <col min="13315" max="13315" width="9.140625" style="16"/>
    <col min="13316" max="13316" width="7.42578125" style="16" customWidth="1"/>
    <col min="13317" max="13317" width="8.5703125" style="16" bestFit="1" customWidth="1"/>
    <col min="13318" max="13320" width="8.140625" style="16" customWidth="1"/>
    <col min="13321" max="13321" width="7.140625" style="16" bestFit="1" customWidth="1"/>
    <col min="13322" max="13322" width="8.42578125" style="16" customWidth="1"/>
    <col min="13323" max="13327" width="7.8554687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20" style="16" customWidth="1"/>
    <col min="13571" max="13571" width="9.140625" style="16"/>
    <col min="13572" max="13572" width="7.42578125" style="16" customWidth="1"/>
    <col min="13573" max="13573" width="8.5703125" style="16" bestFit="1" customWidth="1"/>
    <col min="13574" max="13576" width="8.140625" style="16" customWidth="1"/>
    <col min="13577" max="13577" width="7.140625" style="16" bestFit="1" customWidth="1"/>
    <col min="13578" max="13578" width="8.42578125" style="16" customWidth="1"/>
    <col min="13579" max="13583" width="7.8554687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20" style="16" customWidth="1"/>
    <col min="13827" max="13827" width="9.140625" style="16"/>
    <col min="13828" max="13828" width="7.42578125" style="16" customWidth="1"/>
    <col min="13829" max="13829" width="8.5703125" style="16" bestFit="1" customWidth="1"/>
    <col min="13830" max="13832" width="8.140625" style="16" customWidth="1"/>
    <col min="13833" max="13833" width="7.140625" style="16" bestFit="1" customWidth="1"/>
    <col min="13834" max="13834" width="8.42578125" style="16" customWidth="1"/>
    <col min="13835" max="13839" width="7.8554687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20" style="16" customWidth="1"/>
    <col min="14083" max="14083" width="9.140625" style="16"/>
    <col min="14084" max="14084" width="7.42578125" style="16" customWidth="1"/>
    <col min="14085" max="14085" width="8.5703125" style="16" bestFit="1" customWidth="1"/>
    <col min="14086" max="14088" width="8.140625" style="16" customWidth="1"/>
    <col min="14089" max="14089" width="7.140625" style="16" bestFit="1" customWidth="1"/>
    <col min="14090" max="14090" width="8.42578125" style="16" customWidth="1"/>
    <col min="14091" max="14095" width="7.8554687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20" style="16" customWidth="1"/>
    <col min="14339" max="14339" width="9.140625" style="16"/>
    <col min="14340" max="14340" width="7.42578125" style="16" customWidth="1"/>
    <col min="14341" max="14341" width="8.5703125" style="16" bestFit="1" customWidth="1"/>
    <col min="14342" max="14344" width="8.140625" style="16" customWidth="1"/>
    <col min="14345" max="14345" width="7.140625" style="16" bestFit="1" customWidth="1"/>
    <col min="14346" max="14346" width="8.42578125" style="16" customWidth="1"/>
    <col min="14347" max="14351" width="7.8554687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20" style="16" customWidth="1"/>
    <col min="14595" max="14595" width="9.140625" style="16"/>
    <col min="14596" max="14596" width="7.42578125" style="16" customWidth="1"/>
    <col min="14597" max="14597" width="8.5703125" style="16" bestFit="1" customWidth="1"/>
    <col min="14598" max="14600" width="8.140625" style="16" customWidth="1"/>
    <col min="14601" max="14601" width="7.140625" style="16" bestFit="1" customWidth="1"/>
    <col min="14602" max="14602" width="8.42578125" style="16" customWidth="1"/>
    <col min="14603" max="14607" width="7.8554687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20" style="16" customWidth="1"/>
    <col min="14851" max="14851" width="9.140625" style="16"/>
    <col min="14852" max="14852" width="7.42578125" style="16" customWidth="1"/>
    <col min="14853" max="14853" width="8.5703125" style="16" bestFit="1" customWidth="1"/>
    <col min="14854" max="14856" width="8.140625" style="16" customWidth="1"/>
    <col min="14857" max="14857" width="7.140625" style="16" bestFit="1" customWidth="1"/>
    <col min="14858" max="14858" width="8.42578125" style="16" customWidth="1"/>
    <col min="14859" max="14863" width="7.8554687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20" style="16" customWidth="1"/>
    <col min="15107" max="15107" width="9.140625" style="16"/>
    <col min="15108" max="15108" width="7.42578125" style="16" customWidth="1"/>
    <col min="15109" max="15109" width="8.5703125" style="16" bestFit="1" customWidth="1"/>
    <col min="15110" max="15112" width="8.140625" style="16" customWidth="1"/>
    <col min="15113" max="15113" width="7.140625" style="16" bestFit="1" customWidth="1"/>
    <col min="15114" max="15114" width="8.42578125" style="16" customWidth="1"/>
    <col min="15115" max="15119" width="7.8554687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20" style="16" customWidth="1"/>
    <col min="15363" max="15363" width="9.140625" style="16"/>
    <col min="15364" max="15364" width="7.42578125" style="16" customWidth="1"/>
    <col min="15365" max="15365" width="8.5703125" style="16" bestFit="1" customWidth="1"/>
    <col min="15366" max="15368" width="8.140625" style="16" customWidth="1"/>
    <col min="15369" max="15369" width="7.140625" style="16" bestFit="1" customWidth="1"/>
    <col min="15370" max="15370" width="8.42578125" style="16" customWidth="1"/>
    <col min="15371" max="15375" width="7.8554687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20" style="16" customWidth="1"/>
    <col min="15619" max="15619" width="9.140625" style="16"/>
    <col min="15620" max="15620" width="7.42578125" style="16" customWidth="1"/>
    <col min="15621" max="15621" width="8.5703125" style="16" bestFit="1" customWidth="1"/>
    <col min="15622" max="15624" width="8.140625" style="16" customWidth="1"/>
    <col min="15625" max="15625" width="7.140625" style="16" bestFit="1" customWidth="1"/>
    <col min="15626" max="15626" width="8.42578125" style="16" customWidth="1"/>
    <col min="15627" max="15631" width="7.8554687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20" style="16" customWidth="1"/>
    <col min="15875" max="15875" width="9.140625" style="16"/>
    <col min="15876" max="15876" width="7.42578125" style="16" customWidth="1"/>
    <col min="15877" max="15877" width="8.5703125" style="16" bestFit="1" customWidth="1"/>
    <col min="15878" max="15880" width="8.140625" style="16" customWidth="1"/>
    <col min="15881" max="15881" width="7.140625" style="16" bestFit="1" customWidth="1"/>
    <col min="15882" max="15882" width="8.42578125" style="16" customWidth="1"/>
    <col min="15883" max="15887" width="7.8554687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20" style="16" customWidth="1"/>
    <col min="16131" max="16131" width="9.140625" style="16"/>
    <col min="16132" max="16132" width="7.42578125" style="16" customWidth="1"/>
    <col min="16133" max="16133" width="8.5703125" style="16" bestFit="1" customWidth="1"/>
    <col min="16134" max="16136" width="8.140625" style="16" customWidth="1"/>
    <col min="16137" max="16137" width="7.140625" style="16" bestFit="1" customWidth="1"/>
    <col min="16138" max="16138" width="8.42578125" style="16" customWidth="1"/>
    <col min="16139" max="16143" width="7.8554687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67" t="s">
        <v>100</v>
      </c>
      <c r="B1" s="868"/>
      <c r="C1" s="868"/>
      <c r="D1" s="869">
        <v>270</v>
      </c>
      <c r="E1" s="868"/>
      <c r="F1" s="868"/>
      <c r="G1" s="867" t="s">
        <v>102</v>
      </c>
      <c r="H1" s="869"/>
      <c r="I1" s="869" t="s">
        <v>1161</v>
      </c>
      <c r="J1" s="868"/>
      <c r="K1" s="868"/>
      <c r="L1" s="870"/>
      <c r="M1" s="870"/>
      <c r="N1" s="870"/>
      <c r="O1" s="870"/>
    </row>
    <row r="2" spans="1:15" s="1" customFormat="1" x14ac:dyDescent="0.2">
      <c r="A2" s="867" t="s">
        <v>103</v>
      </c>
      <c r="B2" s="868"/>
      <c r="C2" s="868"/>
      <c r="D2" s="869"/>
      <c r="E2" s="868"/>
      <c r="F2" s="868"/>
      <c r="G2" s="867" t="s">
        <v>104</v>
      </c>
      <c r="H2" s="869"/>
      <c r="I2" s="869" t="s">
        <v>105</v>
      </c>
      <c r="J2" s="868"/>
      <c r="K2" s="868"/>
      <c r="L2" s="870"/>
      <c r="M2" s="870"/>
      <c r="N2" s="870"/>
      <c r="O2" s="870"/>
    </row>
    <row r="3" spans="1:15" s="1" customFormat="1" x14ac:dyDescent="0.2">
      <c r="A3" s="867" t="s">
        <v>106</v>
      </c>
      <c r="B3" s="868"/>
      <c r="C3" s="868"/>
      <c r="D3" s="883" t="s">
        <v>1162</v>
      </c>
      <c r="E3" s="868"/>
      <c r="F3" s="868"/>
      <c r="G3" s="867" t="s">
        <v>107</v>
      </c>
      <c r="H3" s="869"/>
      <c r="I3" s="869" t="s">
        <v>108</v>
      </c>
      <c r="J3" s="868"/>
      <c r="K3" s="868"/>
      <c r="L3" s="870"/>
      <c r="M3" s="870"/>
      <c r="N3" s="870"/>
      <c r="O3" s="870"/>
    </row>
    <row r="4" spans="1:15" s="1" customFormat="1" x14ac:dyDescent="0.2">
      <c r="A4" s="867" t="s">
        <v>109</v>
      </c>
      <c r="B4" s="868"/>
      <c r="C4" s="868"/>
      <c r="D4" s="869"/>
      <c r="E4" s="868"/>
      <c r="F4" s="868"/>
      <c r="G4" s="867" t="s">
        <v>110</v>
      </c>
      <c r="H4" s="869"/>
      <c r="I4" s="869" t="s">
        <v>478</v>
      </c>
      <c r="J4" s="868"/>
      <c r="K4" s="868"/>
      <c r="L4" s="870"/>
      <c r="M4" s="870"/>
      <c r="N4" s="870"/>
      <c r="O4" s="870"/>
    </row>
    <row r="5" spans="1:15" s="1" customFormat="1" x14ac:dyDescent="0.2">
      <c r="A5" s="867" t="s">
        <v>112</v>
      </c>
      <c r="B5" s="868"/>
      <c r="C5" s="868"/>
      <c r="D5" s="869"/>
      <c r="E5" s="868"/>
      <c r="F5" s="868"/>
      <c r="G5" s="867"/>
      <c r="H5" s="868"/>
      <c r="I5" s="869" t="s">
        <v>113</v>
      </c>
      <c r="J5" s="868"/>
      <c r="K5" s="868"/>
      <c r="L5" s="870"/>
      <c r="M5" s="870"/>
      <c r="N5" s="870"/>
      <c r="O5" s="870"/>
    </row>
    <row r="6" spans="1:15" s="1" customFormat="1" x14ac:dyDescent="0.2">
      <c r="A6" s="871" t="s">
        <v>114</v>
      </c>
      <c r="B6" s="872"/>
      <c r="C6" s="872"/>
      <c r="D6" s="868" t="s">
        <v>1163</v>
      </c>
      <c r="E6" s="868"/>
      <c r="F6" s="868"/>
      <c r="G6" s="871" t="s">
        <v>115</v>
      </c>
      <c r="H6" s="871"/>
      <c r="I6" s="2" t="s">
        <v>116</v>
      </c>
      <c r="J6" s="888"/>
      <c r="K6" s="888"/>
      <c r="L6" s="888"/>
      <c r="M6" s="888"/>
      <c r="N6" s="888"/>
      <c r="O6" s="889"/>
    </row>
    <row r="7" spans="1:15" s="1" customFormat="1" ht="13.5" thickBot="1" x14ac:dyDescent="0.25">
      <c r="A7" s="3"/>
      <c r="B7" s="4"/>
      <c r="C7" s="5"/>
      <c r="D7" s="6"/>
      <c r="E7" s="6"/>
      <c r="F7" s="6"/>
      <c r="G7" s="6"/>
      <c r="H7" s="6"/>
      <c r="I7" s="6"/>
      <c r="J7" s="7"/>
      <c r="K7" s="8"/>
      <c r="L7" s="875" t="s">
        <v>223</v>
      </c>
      <c r="M7" s="875"/>
      <c r="N7" s="875"/>
      <c r="O7" s="875"/>
    </row>
    <row r="8" spans="1:15" s="11" customFormat="1" x14ac:dyDescent="0.2">
      <c r="A8" s="876" t="str">
        <f>I1</f>
        <v>Mr.S.S.Joshi</v>
      </c>
      <c r="B8" s="877"/>
      <c r="C8" s="144">
        <v>43160</v>
      </c>
      <c r="D8" s="144">
        <v>43191</v>
      </c>
      <c r="E8" s="144">
        <v>43221</v>
      </c>
      <c r="F8" s="144">
        <v>43252</v>
      </c>
      <c r="G8" s="144">
        <v>43282</v>
      </c>
      <c r="H8" s="144">
        <v>43313</v>
      </c>
      <c r="I8" s="144">
        <v>43344</v>
      </c>
      <c r="J8" s="144">
        <v>43374</v>
      </c>
      <c r="K8" s="144">
        <v>43405</v>
      </c>
      <c r="L8" s="144">
        <v>43435</v>
      </c>
      <c r="M8" s="144">
        <v>43466</v>
      </c>
      <c r="N8" s="144">
        <v>43497</v>
      </c>
      <c r="O8" s="10" t="s">
        <v>117</v>
      </c>
    </row>
    <row r="9" spans="1:15" ht="15" x14ac:dyDescent="0.2">
      <c r="A9" s="12"/>
      <c r="B9" s="13" t="s">
        <v>118</v>
      </c>
      <c r="C9" s="14">
        <v>101700</v>
      </c>
      <c r="D9" s="14">
        <v>101700</v>
      </c>
      <c r="E9" s="14">
        <v>101700</v>
      </c>
      <c r="F9" s="14">
        <v>101700</v>
      </c>
      <c r="G9" s="14">
        <v>104800</v>
      </c>
      <c r="H9" s="14">
        <v>104800</v>
      </c>
      <c r="I9" s="14">
        <v>104800</v>
      </c>
      <c r="J9" s="14">
        <v>104800</v>
      </c>
      <c r="K9" s="14">
        <v>104800</v>
      </c>
      <c r="L9" s="14">
        <v>104800</v>
      </c>
      <c r="M9" s="14">
        <v>104800</v>
      </c>
      <c r="N9" s="14">
        <v>104800</v>
      </c>
      <c r="O9" s="15">
        <f t="shared" ref="O9:O50" si="0">SUM(C9:N9)</f>
        <v>1245200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 t="shared" si="0"/>
        <v>0</v>
      </c>
    </row>
    <row r="11" spans="1:15" ht="15" x14ac:dyDescent="0.2">
      <c r="A11" s="12"/>
      <c r="B11" s="13" t="s">
        <v>120</v>
      </c>
      <c r="C11" s="17">
        <v>5085</v>
      </c>
      <c r="D11" s="17">
        <v>5085</v>
      </c>
      <c r="E11" s="17">
        <v>5085</v>
      </c>
      <c r="F11" s="17">
        <v>7119</v>
      </c>
      <c r="G11" s="17">
        <v>7336</v>
      </c>
      <c r="H11" s="17">
        <v>7336</v>
      </c>
      <c r="I11" s="17">
        <v>7336</v>
      </c>
      <c r="J11" s="17">
        <v>9432</v>
      </c>
      <c r="K11" s="17">
        <v>9432</v>
      </c>
      <c r="L11" s="17">
        <v>9432</v>
      </c>
      <c r="M11" s="17">
        <v>9432</v>
      </c>
      <c r="N11" s="17">
        <v>9432</v>
      </c>
      <c r="O11" s="18">
        <f t="shared" si="0"/>
        <v>91542</v>
      </c>
    </row>
    <row r="12" spans="1:15"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 t="shared" si="0"/>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si="0"/>
        <v>0</v>
      </c>
    </row>
    <row r="14" spans="1:15" ht="15" x14ac:dyDescent="0.2">
      <c r="A14" s="12"/>
      <c r="B14" s="13" t="s">
        <v>123</v>
      </c>
      <c r="C14" s="17">
        <v>3780</v>
      </c>
      <c r="D14" s="17">
        <v>3780</v>
      </c>
      <c r="E14" s="17">
        <v>3780</v>
      </c>
      <c r="F14" s="17">
        <v>7704</v>
      </c>
      <c r="G14" s="17">
        <v>7704</v>
      </c>
      <c r="H14" s="17">
        <v>7704</v>
      </c>
      <c r="I14" s="17">
        <v>7704</v>
      </c>
      <c r="J14" s="17">
        <v>7848</v>
      </c>
      <c r="K14" s="17">
        <v>7848</v>
      </c>
      <c r="L14" s="17">
        <v>7848</v>
      </c>
      <c r="M14" s="17">
        <v>7848</v>
      </c>
      <c r="N14" s="17">
        <v>7848</v>
      </c>
      <c r="O14" s="18">
        <f t="shared" si="0"/>
        <v>81396</v>
      </c>
    </row>
    <row r="15" spans="1:15"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24408</v>
      </c>
      <c r="D19" s="17">
        <v>24408</v>
      </c>
      <c r="E19" s="17">
        <v>24408</v>
      </c>
      <c r="F19" s="17">
        <v>24408</v>
      </c>
      <c r="G19" s="17">
        <v>25152</v>
      </c>
      <c r="H19" s="17">
        <v>25152</v>
      </c>
      <c r="I19" s="17">
        <v>25152</v>
      </c>
      <c r="J19" s="17">
        <v>25152</v>
      </c>
      <c r="K19" s="17">
        <v>25152</v>
      </c>
      <c r="L19" s="17">
        <v>25152</v>
      </c>
      <c r="M19" s="17">
        <v>25152</v>
      </c>
      <c r="N19" s="17">
        <v>25152</v>
      </c>
      <c r="O19" s="18">
        <f t="shared" si="0"/>
        <v>298848</v>
      </c>
    </row>
    <row r="20" spans="1:15" ht="15" customHeight="1" x14ac:dyDescent="0.2">
      <c r="A20" s="12"/>
      <c r="B20" s="13" t="s">
        <v>141</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78"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79"/>
      <c r="B22" s="19" t="s">
        <v>132</v>
      </c>
      <c r="C22" s="17">
        <v>0</v>
      </c>
      <c r="D22" s="17">
        <v>0</v>
      </c>
      <c r="E22" s="17">
        <v>0</v>
      </c>
      <c r="F22" s="17">
        <v>0</v>
      </c>
      <c r="G22" s="17">
        <v>0</v>
      </c>
      <c r="H22" s="17">
        <v>0</v>
      </c>
      <c r="I22" s="17">
        <v>0</v>
      </c>
      <c r="J22" s="17">
        <v>0</v>
      </c>
      <c r="K22" s="17">
        <v>0</v>
      </c>
      <c r="L22" s="17">
        <v>0</v>
      </c>
      <c r="M22" s="17">
        <v>0</v>
      </c>
      <c r="N22" s="17">
        <v>0</v>
      </c>
      <c r="O22" s="18">
        <f t="shared" si="0"/>
        <v>0</v>
      </c>
    </row>
    <row r="23" spans="1:15" ht="15" hidden="1" customHeight="1" x14ac:dyDescent="0.2">
      <c r="A23" s="879"/>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79"/>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79"/>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79"/>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79"/>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79"/>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79"/>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79"/>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79"/>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79"/>
      <c r="B32" s="21" t="s">
        <v>142</v>
      </c>
      <c r="C32" s="17">
        <v>0</v>
      </c>
      <c r="D32" s="17">
        <v>0</v>
      </c>
      <c r="E32" s="17">
        <v>0</v>
      </c>
      <c r="F32" s="17">
        <v>0</v>
      </c>
      <c r="G32" s="17">
        <v>0</v>
      </c>
      <c r="H32" s="17">
        <v>0</v>
      </c>
      <c r="I32" s="17">
        <v>0</v>
      </c>
      <c r="J32" s="17">
        <v>0</v>
      </c>
      <c r="K32" s="17">
        <v>0</v>
      </c>
      <c r="L32" s="17">
        <v>0</v>
      </c>
      <c r="M32" s="17">
        <v>0</v>
      </c>
      <c r="N32" s="17">
        <v>0</v>
      </c>
      <c r="O32" s="18">
        <f t="shared" si="0"/>
        <v>0</v>
      </c>
    </row>
    <row r="33" spans="1:16" ht="15" hidden="1" customHeight="1" x14ac:dyDescent="0.2">
      <c r="A33" s="880"/>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865" t="s">
        <v>144</v>
      </c>
      <c r="B34" s="866"/>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865" t="s">
        <v>145</v>
      </c>
      <c r="B35" s="866"/>
      <c r="C35" s="17">
        <v>216</v>
      </c>
      <c r="D35" s="17">
        <v>0</v>
      </c>
      <c r="E35" s="17">
        <v>0</v>
      </c>
      <c r="F35" s="17">
        <v>0</v>
      </c>
      <c r="G35" s="17">
        <v>0</v>
      </c>
      <c r="H35" s="17">
        <v>0</v>
      </c>
      <c r="I35" s="17">
        <v>0</v>
      </c>
      <c r="J35" s="17">
        <v>432</v>
      </c>
      <c r="K35" s="17">
        <v>0</v>
      </c>
      <c r="L35" s="17">
        <v>0</v>
      </c>
      <c r="M35" s="17">
        <v>0</v>
      </c>
      <c r="N35" s="17">
        <v>0</v>
      </c>
      <c r="O35" s="18">
        <f t="shared" si="0"/>
        <v>648</v>
      </c>
    </row>
    <row r="36" spans="1:16" ht="15" customHeight="1" x14ac:dyDescent="0.2">
      <c r="A36" s="865" t="s">
        <v>146</v>
      </c>
      <c r="B36" s="866"/>
      <c r="C36" s="17">
        <v>6102</v>
      </c>
      <c r="D36" s="17">
        <v>0</v>
      </c>
      <c r="E36" s="17">
        <v>0</v>
      </c>
      <c r="F36" s="17">
        <v>0</v>
      </c>
      <c r="G36" s="17">
        <v>0</v>
      </c>
      <c r="H36" s="17">
        <v>0</v>
      </c>
      <c r="I36" s="17">
        <v>0</v>
      </c>
      <c r="J36" s="17">
        <v>6288</v>
      </c>
      <c r="K36" s="17">
        <v>0</v>
      </c>
      <c r="L36" s="17">
        <v>0</v>
      </c>
      <c r="M36" s="17">
        <v>0</v>
      </c>
      <c r="N36" s="17">
        <v>0</v>
      </c>
      <c r="O36" s="18">
        <f t="shared" si="0"/>
        <v>12390</v>
      </c>
    </row>
    <row r="37" spans="1:16" ht="15" customHeight="1" x14ac:dyDescent="0.2">
      <c r="A37" s="22"/>
      <c r="B37" s="23" t="s">
        <v>147</v>
      </c>
      <c r="C37" s="24">
        <f t="shared" ref="C37:N37" si="1">SUM(C9:C36)</f>
        <v>141291</v>
      </c>
      <c r="D37" s="24">
        <f t="shared" si="1"/>
        <v>134973</v>
      </c>
      <c r="E37" s="24">
        <f t="shared" si="1"/>
        <v>134973</v>
      </c>
      <c r="F37" s="24">
        <f t="shared" si="1"/>
        <v>140931</v>
      </c>
      <c r="G37" s="24">
        <f t="shared" si="1"/>
        <v>144992</v>
      </c>
      <c r="H37" s="24">
        <f t="shared" si="1"/>
        <v>144992</v>
      </c>
      <c r="I37" s="24">
        <f t="shared" si="1"/>
        <v>144992</v>
      </c>
      <c r="J37" s="24">
        <f t="shared" si="1"/>
        <v>153952</v>
      </c>
      <c r="K37" s="24">
        <f t="shared" si="1"/>
        <v>147232</v>
      </c>
      <c r="L37" s="24">
        <f t="shared" si="1"/>
        <v>147232</v>
      </c>
      <c r="M37" s="24">
        <f t="shared" si="1"/>
        <v>147232</v>
      </c>
      <c r="N37" s="24">
        <f t="shared" si="1"/>
        <v>147232</v>
      </c>
      <c r="O37" s="25">
        <f t="shared" si="0"/>
        <v>1730024</v>
      </c>
    </row>
    <row r="38" spans="1:16" ht="15" customHeight="1" x14ac:dyDescent="0.2">
      <c r="A38" s="853" t="s">
        <v>148</v>
      </c>
      <c r="B38" s="27" t="s">
        <v>149</v>
      </c>
      <c r="C38" s="147">
        <v>15000</v>
      </c>
      <c r="D38" s="147">
        <v>15000</v>
      </c>
      <c r="E38" s="147">
        <v>15000</v>
      </c>
      <c r="F38" s="147">
        <v>15000</v>
      </c>
      <c r="G38" s="147">
        <v>15000</v>
      </c>
      <c r="H38" s="147">
        <v>15000</v>
      </c>
      <c r="I38" s="147">
        <v>15000</v>
      </c>
      <c r="J38" s="147">
        <v>15000</v>
      </c>
      <c r="K38" s="147">
        <v>0</v>
      </c>
      <c r="L38" s="147">
        <v>5000</v>
      </c>
      <c r="M38" s="147">
        <v>0</v>
      </c>
      <c r="N38" s="147">
        <v>0</v>
      </c>
      <c r="O38" s="18">
        <f t="shared" si="0"/>
        <v>125000</v>
      </c>
      <c r="P38" s="29"/>
    </row>
    <row r="39" spans="1:16" ht="15" x14ac:dyDescent="0.2">
      <c r="A39" s="854"/>
      <c r="B39" s="27" t="s">
        <v>150</v>
      </c>
      <c r="C39" s="147">
        <v>0</v>
      </c>
      <c r="D39" s="147">
        <v>0</v>
      </c>
      <c r="E39" s="147">
        <v>0</v>
      </c>
      <c r="F39" s="147">
        <v>0</v>
      </c>
      <c r="G39" s="147">
        <v>0</v>
      </c>
      <c r="H39" s="147">
        <v>0</v>
      </c>
      <c r="I39" s="147">
        <v>0</v>
      </c>
      <c r="J39" s="147">
        <v>0</v>
      </c>
      <c r="K39" s="147">
        <v>0</v>
      </c>
      <c r="L39" s="147">
        <v>0</v>
      </c>
      <c r="M39" s="147">
        <v>0</v>
      </c>
      <c r="N39" s="147">
        <v>0</v>
      </c>
      <c r="O39" s="18">
        <f t="shared" si="0"/>
        <v>0</v>
      </c>
    </row>
    <row r="40" spans="1:16" ht="15" x14ac:dyDescent="0.2">
      <c r="A40" s="854"/>
      <c r="B40" s="27" t="s">
        <v>151</v>
      </c>
      <c r="C40" s="147">
        <v>60</v>
      </c>
      <c r="D40" s="147">
        <v>60</v>
      </c>
      <c r="E40" s="147">
        <v>60</v>
      </c>
      <c r="F40" s="147">
        <v>60</v>
      </c>
      <c r="G40" s="147">
        <v>60</v>
      </c>
      <c r="H40" s="147">
        <v>60</v>
      </c>
      <c r="I40" s="147">
        <v>60</v>
      </c>
      <c r="J40" s="147">
        <v>60</v>
      </c>
      <c r="K40" s="147">
        <v>60</v>
      </c>
      <c r="L40" s="147">
        <v>60</v>
      </c>
      <c r="M40" s="147">
        <v>60</v>
      </c>
      <c r="N40" s="147">
        <v>60</v>
      </c>
      <c r="O40" s="18">
        <f t="shared" si="0"/>
        <v>720</v>
      </c>
    </row>
    <row r="41" spans="1:16" ht="15" x14ac:dyDescent="0.2">
      <c r="A41" s="854"/>
      <c r="B41" s="27" t="s">
        <v>152</v>
      </c>
      <c r="C41" s="147">
        <v>0</v>
      </c>
      <c r="D41" s="147">
        <v>0</v>
      </c>
      <c r="E41" s="147">
        <v>0</v>
      </c>
      <c r="F41" s="147">
        <v>0</v>
      </c>
      <c r="G41" s="147">
        <v>0</v>
      </c>
      <c r="H41" s="147">
        <v>0</v>
      </c>
      <c r="I41" s="147">
        <v>0</v>
      </c>
      <c r="J41" s="147">
        <v>0</v>
      </c>
      <c r="K41" s="147">
        <v>0</v>
      </c>
      <c r="L41" s="147">
        <v>0</v>
      </c>
      <c r="M41" s="147">
        <v>0</v>
      </c>
      <c r="N41" s="147">
        <v>0</v>
      </c>
      <c r="O41" s="18">
        <f t="shared" si="0"/>
        <v>0</v>
      </c>
    </row>
    <row r="42" spans="1:16" ht="15" x14ac:dyDescent="0.2">
      <c r="A42" s="854"/>
      <c r="B42" s="27" t="s">
        <v>153</v>
      </c>
      <c r="C42" s="147">
        <v>0</v>
      </c>
      <c r="D42" s="147">
        <v>0</v>
      </c>
      <c r="E42" s="147">
        <v>0</v>
      </c>
      <c r="F42" s="147">
        <v>0</v>
      </c>
      <c r="G42" s="147">
        <v>0</v>
      </c>
      <c r="H42" s="147">
        <v>0</v>
      </c>
      <c r="I42" s="147">
        <v>0</v>
      </c>
      <c r="J42" s="147">
        <v>0</v>
      </c>
      <c r="K42" s="147">
        <v>0</v>
      </c>
      <c r="L42" s="147">
        <v>0</v>
      </c>
      <c r="M42" s="147">
        <v>0</v>
      </c>
      <c r="N42" s="147">
        <v>0</v>
      </c>
      <c r="O42" s="18">
        <f t="shared" si="0"/>
        <v>0</v>
      </c>
    </row>
    <row r="43" spans="1:16" ht="15" x14ac:dyDescent="0.2">
      <c r="A43" s="854"/>
      <c r="B43" s="27" t="s">
        <v>154</v>
      </c>
      <c r="C43" s="147">
        <v>10000</v>
      </c>
      <c r="D43" s="147">
        <v>10000</v>
      </c>
      <c r="E43" s="147">
        <v>10000</v>
      </c>
      <c r="F43" s="147">
        <v>10000</v>
      </c>
      <c r="G43" s="147">
        <v>10000</v>
      </c>
      <c r="H43" s="147">
        <v>10000</v>
      </c>
      <c r="I43" s="147">
        <v>10000</v>
      </c>
      <c r="J43" s="147">
        <v>10000</v>
      </c>
      <c r="K43" s="147">
        <v>10000</v>
      </c>
      <c r="L43" s="147">
        <v>10000</v>
      </c>
      <c r="M43" s="147">
        <v>10000</v>
      </c>
      <c r="N43" s="147">
        <v>10000</v>
      </c>
      <c r="O43" s="18">
        <f t="shared" si="0"/>
        <v>120000</v>
      </c>
      <c r="P43" s="170"/>
    </row>
    <row r="44" spans="1:16" ht="15" x14ac:dyDescent="0.2">
      <c r="A44" s="854"/>
      <c r="B44" s="27" t="s">
        <v>155</v>
      </c>
      <c r="C44" s="147">
        <v>0</v>
      </c>
      <c r="D44" s="147">
        <v>0</v>
      </c>
      <c r="E44" s="147">
        <v>0</v>
      </c>
      <c r="F44" s="147">
        <v>200</v>
      </c>
      <c r="G44" s="147">
        <v>200</v>
      </c>
      <c r="H44" s="147">
        <v>200</v>
      </c>
      <c r="I44" s="147">
        <v>200</v>
      </c>
      <c r="J44" s="147">
        <v>200</v>
      </c>
      <c r="K44" s="147">
        <v>200</v>
      </c>
      <c r="L44" s="147">
        <v>200</v>
      </c>
      <c r="M44" s="147">
        <v>200</v>
      </c>
      <c r="N44" s="147">
        <v>300</v>
      </c>
      <c r="O44" s="18">
        <f t="shared" si="0"/>
        <v>1900</v>
      </c>
    </row>
    <row r="45" spans="1:16" ht="15" x14ac:dyDescent="0.2">
      <c r="A45" s="854"/>
      <c r="B45" s="27" t="s">
        <v>156</v>
      </c>
      <c r="C45" s="147">
        <v>0</v>
      </c>
      <c r="D45" s="147">
        <v>0</v>
      </c>
      <c r="E45" s="147">
        <v>0</v>
      </c>
      <c r="F45" s="147">
        <v>0</v>
      </c>
      <c r="G45" s="147">
        <v>0</v>
      </c>
      <c r="H45" s="147">
        <v>0</v>
      </c>
      <c r="I45" s="147">
        <v>0</v>
      </c>
      <c r="J45" s="147">
        <v>0</v>
      </c>
      <c r="K45" s="147">
        <v>0</v>
      </c>
      <c r="L45" s="147">
        <v>0</v>
      </c>
      <c r="M45" s="147">
        <v>0</v>
      </c>
      <c r="N45" s="147">
        <v>0</v>
      </c>
      <c r="O45" s="18">
        <f t="shared" si="0"/>
        <v>0</v>
      </c>
    </row>
    <row r="46" spans="1:16" ht="15" x14ac:dyDescent="0.2">
      <c r="A46" s="854"/>
      <c r="B46" s="27" t="s">
        <v>157</v>
      </c>
      <c r="C46" s="147">
        <v>0</v>
      </c>
      <c r="D46" s="147">
        <v>0</v>
      </c>
      <c r="E46" s="147">
        <v>0</v>
      </c>
      <c r="F46" s="147">
        <v>0</v>
      </c>
      <c r="G46" s="147">
        <v>0</v>
      </c>
      <c r="H46" s="147">
        <v>0</v>
      </c>
      <c r="I46" s="147">
        <v>0</v>
      </c>
      <c r="J46" s="147">
        <v>0</v>
      </c>
      <c r="K46" s="147">
        <v>0</v>
      </c>
      <c r="L46" s="147">
        <v>0</v>
      </c>
      <c r="M46" s="147">
        <v>0</v>
      </c>
      <c r="N46" s="147">
        <v>0</v>
      </c>
      <c r="O46" s="18">
        <f t="shared" si="0"/>
        <v>0</v>
      </c>
    </row>
    <row r="47" spans="1:16" ht="28.5" customHeight="1" x14ac:dyDescent="0.2">
      <c r="A47" s="855"/>
      <c r="B47" s="30" t="s">
        <v>158</v>
      </c>
      <c r="C47" s="147">
        <v>0</v>
      </c>
      <c r="D47" s="147">
        <v>0</v>
      </c>
      <c r="E47" s="147">
        <v>0</v>
      </c>
      <c r="F47" s="147">
        <v>0</v>
      </c>
      <c r="G47" s="147">
        <v>0</v>
      </c>
      <c r="H47" s="147">
        <v>0</v>
      </c>
      <c r="I47" s="147">
        <v>0</v>
      </c>
      <c r="J47" s="147">
        <v>0</v>
      </c>
      <c r="K47" s="147">
        <v>0</v>
      </c>
      <c r="L47" s="147">
        <v>0</v>
      </c>
      <c r="M47" s="147">
        <v>0</v>
      </c>
      <c r="N47" s="147">
        <v>0</v>
      </c>
      <c r="O47" s="31">
        <f t="shared" si="0"/>
        <v>0</v>
      </c>
    </row>
    <row r="48" spans="1:16" ht="23.25" x14ac:dyDescent="0.2">
      <c r="A48" s="856"/>
      <c r="B48" s="160" t="s">
        <v>1156</v>
      </c>
      <c r="C48" s="147">
        <v>0</v>
      </c>
      <c r="D48" s="147">
        <v>0</v>
      </c>
      <c r="E48" s="147">
        <v>0</v>
      </c>
      <c r="F48" s="147">
        <v>0</v>
      </c>
      <c r="G48" s="147">
        <v>0</v>
      </c>
      <c r="H48" s="147">
        <v>0</v>
      </c>
      <c r="I48" s="147">
        <v>0</v>
      </c>
      <c r="J48" s="147">
        <v>0</v>
      </c>
      <c r="K48" s="147">
        <v>0</v>
      </c>
      <c r="L48" s="147">
        <v>0</v>
      </c>
      <c r="M48" s="147">
        <v>0</v>
      </c>
      <c r="N48" s="147">
        <v>0</v>
      </c>
      <c r="O48" s="31">
        <f t="shared" si="0"/>
        <v>0</v>
      </c>
    </row>
    <row r="49" spans="1:18" ht="15" x14ac:dyDescent="0.2">
      <c r="A49" s="857" t="s">
        <v>160</v>
      </c>
      <c r="B49" s="858"/>
      <c r="C49" s="33">
        <f>SUM(C37:C48)</f>
        <v>166351</v>
      </c>
      <c r="D49" s="33">
        <f>SUM(D37:D48)</f>
        <v>160033</v>
      </c>
      <c r="E49" s="33">
        <f>SUM(E37:E48)</f>
        <v>160033</v>
      </c>
      <c r="F49" s="33">
        <f>SUM(F38:F48)</f>
        <v>25260</v>
      </c>
      <c r="G49" s="33">
        <f t="shared" ref="G49:N49" si="2">SUM(G38:G48)</f>
        <v>25260</v>
      </c>
      <c r="H49" s="33">
        <f t="shared" si="2"/>
        <v>25260</v>
      </c>
      <c r="I49" s="33">
        <f t="shared" si="2"/>
        <v>25260</v>
      </c>
      <c r="J49" s="33">
        <f t="shared" si="2"/>
        <v>25260</v>
      </c>
      <c r="K49" s="33">
        <f t="shared" si="2"/>
        <v>10260</v>
      </c>
      <c r="L49" s="33">
        <f t="shared" si="2"/>
        <v>15260</v>
      </c>
      <c r="M49" s="33">
        <f t="shared" si="2"/>
        <v>10260</v>
      </c>
      <c r="N49" s="33">
        <f t="shared" si="2"/>
        <v>10360</v>
      </c>
      <c r="O49" s="34">
        <f t="shared" si="0"/>
        <v>658857</v>
      </c>
    </row>
    <row r="50" spans="1:18" ht="15.75" thickBot="1" x14ac:dyDescent="0.25">
      <c r="A50" s="859" t="s">
        <v>161</v>
      </c>
      <c r="B50" s="860"/>
      <c r="C50" s="35">
        <f t="shared" ref="C50:N50" si="3">C37-C49</f>
        <v>-25060</v>
      </c>
      <c r="D50" s="35">
        <f t="shared" si="3"/>
        <v>-25060</v>
      </c>
      <c r="E50" s="35">
        <f t="shared" si="3"/>
        <v>-25060</v>
      </c>
      <c r="F50" s="35">
        <f>F37-F49</f>
        <v>115671</v>
      </c>
      <c r="G50" s="35">
        <f t="shared" si="3"/>
        <v>119732</v>
      </c>
      <c r="H50" s="35">
        <f t="shared" si="3"/>
        <v>119732</v>
      </c>
      <c r="I50" s="35">
        <f t="shared" si="3"/>
        <v>119732</v>
      </c>
      <c r="J50" s="35">
        <f t="shared" si="3"/>
        <v>128692</v>
      </c>
      <c r="K50" s="35">
        <f t="shared" si="3"/>
        <v>136972</v>
      </c>
      <c r="L50" s="35">
        <f t="shared" si="3"/>
        <v>131972</v>
      </c>
      <c r="M50" s="35">
        <f t="shared" si="3"/>
        <v>136972</v>
      </c>
      <c r="N50" s="35">
        <f t="shared" si="3"/>
        <v>136872</v>
      </c>
      <c r="O50" s="36">
        <f t="shared" si="0"/>
        <v>1071167</v>
      </c>
      <c r="Q50" s="16">
        <f>15681+15381+3832+16229+16349+17321*2+2300+17321+3690+3454+18551+18176*3+18076</f>
        <v>220034</v>
      </c>
    </row>
    <row r="51" spans="1:18" x14ac:dyDescent="0.2">
      <c r="J51" s="409">
        <f>+J37-SUM(J22:J36)</f>
        <v>147232</v>
      </c>
    </row>
    <row r="52" spans="1:18" ht="13.5" thickBot="1" x14ac:dyDescent="0.25">
      <c r="J52" s="38">
        <f>+J51-J49</f>
        <v>121972</v>
      </c>
    </row>
    <row r="53" spans="1:18" ht="13.5" thickBot="1" x14ac:dyDescent="0.25">
      <c r="B53" s="789" t="s">
        <v>162</v>
      </c>
      <c r="C53" s="861"/>
      <c r="D53" s="861"/>
      <c r="E53" s="861"/>
      <c r="F53" s="862"/>
      <c r="G53" s="863">
        <f>O37</f>
        <v>1730024</v>
      </c>
      <c r="H53" s="864"/>
    </row>
    <row r="54" spans="1:18" ht="13.5" thickBot="1" x14ac:dyDescent="0.25"/>
    <row r="55" spans="1:18" x14ac:dyDescent="0.2">
      <c r="B55" s="830" t="s">
        <v>163</v>
      </c>
      <c r="C55" s="833" t="s">
        <v>164</v>
      </c>
      <c r="D55" s="836" t="s">
        <v>165</v>
      </c>
      <c r="E55" s="837"/>
      <c r="F55" s="838"/>
      <c r="G55" s="839">
        <v>40000</v>
      </c>
      <c r="H55" s="840"/>
    </row>
    <row r="56" spans="1:18" x14ac:dyDescent="0.2">
      <c r="B56" s="831"/>
      <c r="C56" s="834"/>
      <c r="D56" s="841" t="s">
        <v>166</v>
      </c>
      <c r="E56" s="842"/>
      <c r="F56" s="843"/>
      <c r="G56" s="844">
        <f>+O44</f>
        <v>1900</v>
      </c>
      <c r="H56" s="845"/>
      <c r="I56" s="39"/>
      <c r="J56" s="846"/>
      <c r="K56" s="846"/>
      <c r="L56" s="846"/>
      <c r="M56" s="847"/>
      <c r="N56" s="847"/>
      <c r="O56" s="847"/>
    </row>
    <row r="57" spans="1:18" ht="13.5" thickBot="1" x14ac:dyDescent="0.25">
      <c r="B57" s="832"/>
      <c r="C57" s="835"/>
      <c r="D57" s="848" t="s">
        <v>266</v>
      </c>
      <c r="E57" s="849"/>
      <c r="F57" s="850"/>
      <c r="G57" s="851">
        <v>0</v>
      </c>
      <c r="H57" s="852"/>
      <c r="J57" s="47"/>
      <c r="K57" s="47"/>
      <c r="L57" s="47"/>
      <c r="M57" s="47"/>
      <c r="N57" s="47"/>
      <c r="O57" s="47"/>
    </row>
    <row r="58" spans="1:18" ht="13.5" thickBot="1" x14ac:dyDescent="0.25">
      <c r="B58" s="48"/>
      <c r="J58" s="47"/>
      <c r="K58" s="47"/>
      <c r="L58" s="47"/>
      <c r="M58" s="47"/>
      <c r="N58" s="47"/>
      <c r="O58" s="47"/>
    </row>
    <row r="59" spans="1:18" ht="13.5" thickBot="1" x14ac:dyDescent="0.25">
      <c r="B59" s="789" t="s">
        <v>168</v>
      </c>
      <c r="C59" s="790"/>
      <c r="D59" s="790"/>
      <c r="E59" s="790"/>
      <c r="F59" s="791"/>
      <c r="G59" s="825">
        <f>+G53-SUM(G55:H57)</f>
        <v>1688124</v>
      </c>
      <c r="H59" s="826"/>
      <c r="J59" s="827" t="s">
        <v>169</v>
      </c>
      <c r="K59" s="828"/>
      <c r="L59" s="828"/>
      <c r="M59" s="828"/>
      <c r="N59" s="828"/>
      <c r="O59" s="829"/>
    </row>
    <row r="60" spans="1:18" ht="13.5" thickBot="1" x14ac:dyDescent="0.25">
      <c r="B60" s="49"/>
      <c r="C60" s="50"/>
      <c r="D60" s="50"/>
      <c r="E60" s="50"/>
      <c r="F60" s="50"/>
      <c r="G60" s="45"/>
      <c r="H60" s="50"/>
      <c r="J60" s="129"/>
      <c r="K60" s="130"/>
      <c r="L60" s="130"/>
      <c r="M60" s="130"/>
      <c r="N60" s="130"/>
      <c r="O60" s="131"/>
    </row>
    <row r="61" spans="1:18" ht="13.5" thickBot="1" x14ac:dyDescent="0.25">
      <c r="B61" s="789" t="s">
        <v>170</v>
      </c>
      <c r="C61" s="790"/>
      <c r="D61" s="790"/>
      <c r="E61" s="790"/>
      <c r="F61" s="791"/>
      <c r="G61" s="805"/>
      <c r="H61" s="791"/>
      <c r="J61" s="129"/>
      <c r="K61" s="130"/>
      <c r="L61" s="130"/>
      <c r="M61" s="130"/>
      <c r="N61" s="130"/>
      <c r="O61" s="131"/>
    </row>
    <row r="62" spans="1:18" ht="12.75" customHeight="1" x14ac:dyDescent="0.2">
      <c r="B62" s="57" t="s">
        <v>171</v>
      </c>
      <c r="C62" s="806" t="s">
        <v>172</v>
      </c>
      <c r="D62" s="807"/>
      <c r="E62" s="807"/>
      <c r="F62" s="808"/>
      <c r="G62" s="809">
        <v>139059</v>
      </c>
      <c r="H62" s="809"/>
      <c r="I62" s="58"/>
      <c r="J62" s="810" t="s">
        <v>173</v>
      </c>
      <c r="K62" s="811"/>
      <c r="L62" s="811"/>
      <c r="M62" s="811"/>
      <c r="N62" s="811"/>
      <c r="O62" s="812"/>
      <c r="Q62" s="59"/>
      <c r="R62" s="59"/>
    </row>
    <row r="63" spans="1:18" ht="13.5" thickBot="1" x14ac:dyDescent="0.25">
      <c r="D63" s="37"/>
      <c r="I63" s="58"/>
      <c r="J63" s="60" t="s">
        <v>254</v>
      </c>
      <c r="K63" s="132"/>
      <c r="L63" s="132"/>
      <c r="M63" s="133"/>
      <c r="N63" s="133"/>
      <c r="O63" s="134"/>
      <c r="Q63" s="59"/>
      <c r="R63" s="59"/>
    </row>
    <row r="64" spans="1:18" ht="13.5" thickBot="1" x14ac:dyDescent="0.25">
      <c r="B64" s="789" t="s">
        <v>175</v>
      </c>
      <c r="C64" s="790"/>
      <c r="D64" s="790"/>
      <c r="E64" s="790"/>
      <c r="F64" s="791"/>
      <c r="G64" s="805">
        <f>+G59-G62</f>
        <v>1549065</v>
      </c>
      <c r="H64" s="791"/>
      <c r="I64" s="63"/>
      <c r="J64" s="75"/>
      <c r="K64" s="39"/>
      <c r="L64" s="39"/>
      <c r="M64" s="39"/>
      <c r="N64" s="39"/>
      <c r="O64" s="65"/>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6.25" customHeight="1" thickBot="1" x14ac:dyDescent="0.25">
      <c r="B67" s="66"/>
      <c r="C67" s="48"/>
      <c r="G67" s="70" t="s">
        <v>177</v>
      </c>
      <c r="H67" s="70" t="s">
        <v>178</v>
      </c>
      <c r="I67" s="63"/>
      <c r="J67" s="810" t="s">
        <v>179</v>
      </c>
      <c r="K67" s="811"/>
      <c r="L67" s="71"/>
      <c r="M67" s="71"/>
      <c r="N67" s="71"/>
      <c r="O67" s="72"/>
      <c r="Q67" s="59"/>
      <c r="R67" s="59"/>
    </row>
    <row r="68" spans="2:18" ht="12.75" customHeight="1" x14ac:dyDescent="0.2">
      <c r="B68" s="802" t="s">
        <v>180</v>
      </c>
      <c r="C68" s="821" t="s">
        <v>181</v>
      </c>
      <c r="D68" s="823" t="s">
        <v>182</v>
      </c>
      <c r="E68" s="824"/>
      <c r="F68" s="824"/>
      <c r="G68" s="73">
        <f>+O43</f>
        <v>120000</v>
      </c>
      <c r="H68" s="74">
        <f t="shared" ref="H68:H76" si="4">+G68</f>
        <v>120000</v>
      </c>
      <c r="I68" s="63"/>
      <c r="J68" s="75" t="s">
        <v>231</v>
      </c>
      <c r="K68" s="58"/>
      <c r="L68" s="58"/>
      <c r="M68" s="58" t="s">
        <v>232</v>
      </c>
      <c r="N68" s="58" t="s">
        <v>233</v>
      </c>
      <c r="O68" s="76"/>
      <c r="Q68" s="59"/>
      <c r="R68" s="59"/>
    </row>
    <row r="69" spans="2:18" ht="12.75" customHeight="1" x14ac:dyDescent="0.2">
      <c r="B69" s="803"/>
      <c r="C69" s="822"/>
      <c r="D69" s="782" t="s">
        <v>184</v>
      </c>
      <c r="E69" s="783"/>
      <c r="F69" s="783"/>
      <c r="G69" s="77">
        <f>+O47</f>
        <v>0</v>
      </c>
      <c r="H69" s="78">
        <f t="shared" si="4"/>
        <v>0</v>
      </c>
      <c r="I69" s="63"/>
      <c r="J69" s="79"/>
      <c r="K69" s="68"/>
      <c r="L69" s="68"/>
      <c r="M69" s="68"/>
      <c r="N69" s="68"/>
      <c r="O69" s="69"/>
      <c r="Q69" s="59"/>
      <c r="R69" s="59"/>
    </row>
    <row r="70" spans="2:18" ht="12.75" customHeight="1" x14ac:dyDescent="0.2">
      <c r="B70" s="803"/>
      <c r="C70" s="822"/>
      <c r="D70" s="819" t="s">
        <v>185</v>
      </c>
      <c r="E70" s="820"/>
      <c r="F70" s="820"/>
      <c r="G70" s="80">
        <f>O40</f>
        <v>720</v>
      </c>
      <c r="H70" s="78">
        <f t="shared" si="4"/>
        <v>720</v>
      </c>
      <c r="I70" s="63"/>
      <c r="J70" s="67"/>
      <c r="K70" s="68"/>
      <c r="L70" s="68"/>
      <c r="M70" s="68"/>
      <c r="N70" s="68"/>
      <c r="O70" s="69"/>
    </row>
    <row r="71" spans="2:18" x14ac:dyDescent="0.2">
      <c r="B71" s="803"/>
      <c r="C71" s="822"/>
      <c r="D71" s="782" t="s">
        <v>186</v>
      </c>
      <c r="E71" s="783"/>
      <c r="F71" s="783"/>
      <c r="G71" s="81">
        <v>0</v>
      </c>
      <c r="H71" s="78">
        <f t="shared" si="4"/>
        <v>0</v>
      </c>
      <c r="I71" s="63"/>
      <c r="J71" s="82" t="s">
        <v>187</v>
      </c>
      <c r="K71" s="71"/>
      <c r="L71" s="71"/>
      <c r="M71" s="71"/>
      <c r="N71" s="71"/>
      <c r="O71" s="72"/>
    </row>
    <row r="72" spans="2:18" ht="12.75" customHeight="1" x14ac:dyDescent="0.2">
      <c r="B72" s="803"/>
      <c r="C72" s="822"/>
      <c r="D72" s="784" t="s">
        <v>188</v>
      </c>
      <c r="E72" s="783"/>
      <c r="F72" s="783"/>
      <c r="G72" s="80">
        <v>0</v>
      </c>
      <c r="H72" s="78">
        <f t="shared" si="4"/>
        <v>0</v>
      </c>
      <c r="I72" s="63"/>
      <c r="J72" s="75" t="s">
        <v>189</v>
      </c>
      <c r="K72" s="50"/>
      <c r="L72" s="50"/>
      <c r="M72" s="50"/>
      <c r="N72" s="50"/>
      <c r="O72" s="83">
        <f>O42</f>
        <v>0</v>
      </c>
    </row>
    <row r="73" spans="2:18" ht="14.25" customHeight="1" x14ac:dyDescent="0.2">
      <c r="B73" s="803"/>
      <c r="C73" s="822"/>
      <c r="D73" s="782" t="s">
        <v>190</v>
      </c>
      <c r="E73" s="783"/>
      <c r="F73" s="783"/>
      <c r="G73" s="84">
        <v>0</v>
      </c>
      <c r="H73" s="78">
        <f t="shared" si="4"/>
        <v>0</v>
      </c>
      <c r="I73" s="63"/>
      <c r="J73" s="75" t="s">
        <v>1157</v>
      </c>
      <c r="K73" s="39"/>
      <c r="L73" s="39"/>
      <c r="M73" s="39"/>
      <c r="N73" s="39"/>
      <c r="O73" s="65"/>
    </row>
    <row r="74" spans="2:18" x14ac:dyDescent="0.2">
      <c r="B74" s="803"/>
      <c r="C74" s="822"/>
      <c r="D74" s="782" t="s">
        <v>191</v>
      </c>
      <c r="E74" s="783"/>
      <c r="F74" s="783"/>
      <c r="G74" s="81">
        <v>293601</v>
      </c>
      <c r="H74" s="78">
        <f t="shared" si="4"/>
        <v>293601</v>
      </c>
      <c r="I74" s="58"/>
      <c r="J74" s="137" t="s">
        <v>1158</v>
      </c>
      <c r="K74" s="50"/>
      <c r="L74" s="50"/>
      <c r="M74" s="50"/>
      <c r="N74" s="50"/>
      <c r="O74" s="83"/>
    </row>
    <row r="75" spans="2:18" x14ac:dyDescent="0.2">
      <c r="B75" s="803"/>
      <c r="C75" s="88" t="s">
        <v>192</v>
      </c>
      <c r="D75" s="813" t="s">
        <v>193</v>
      </c>
      <c r="E75" s="814"/>
      <c r="F75" s="814"/>
      <c r="G75" s="80">
        <v>0</v>
      </c>
      <c r="H75" s="78">
        <f t="shared" si="4"/>
        <v>0</v>
      </c>
      <c r="I75" s="58"/>
      <c r="J75" s="85"/>
      <c r="K75" s="138"/>
      <c r="L75" s="138"/>
      <c r="M75" s="138"/>
      <c r="N75" s="138"/>
      <c r="O75" s="139"/>
    </row>
    <row r="76" spans="2:18" ht="13.5" customHeight="1" thickBot="1" x14ac:dyDescent="0.25">
      <c r="B76" s="803"/>
      <c r="C76" s="88" t="s">
        <v>194</v>
      </c>
      <c r="D76" s="815" t="s">
        <v>195</v>
      </c>
      <c r="E76" s="815"/>
      <c r="F76" s="815"/>
      <c r="G76" s="89">
        <v>0</v>
      </c>
      <c r="H76" s="90">
        <f t="shared" si="4"/>
        <v>0</v>
      </c>
      <c r="I76" s="63"/>
      <c r="J76" s="75"/>
      <c r="K76" s="68"/>
      <c r="L76" s="68"/>
      <c r="M76" s="91"/>
      <c r="N76" s="91"/>
      <c r="O76" s="92"/>
    </row>
    <row r="77" spans="2:18" ht="13.5" thickBot="1" x14ac:dyDescent="0.25">
      <c r="B77" s="803"/>
      <c r="C77" s="93"/>
      <c r="D77" s="94"/>
      <c r="E77" s="816" t="s">
        <v>117</v>
      </c>
      <c r="F77" s="817"/>
      <c r="G77" s="95">
        <f>SUM(G68:G76)</f>
        <v>414321</v>
      </c>
      <c r="H77" s="96">
        <f>IF(SUM(G68:G74)&lt;150000,SUM(G68:G74),150000)+IF(+G75&lt;20000,+G75,20000)</f>
        <v>150000</v>
      </c>
      <c r="I77" s="63"/>
      <c r="J77" s="140"/>
      <c r="K77" s="141"/>
      <c r="L77" s="141"/>
      <c r="M77" s="142"/>
      <c r="N77" s="142"/>
      <c r="O77" s="143"/>
    </row>
    <row r="78" spans="2:18" ht="12.75" customHeight="1" x14ac:dyDescent="0.2">
      <c r="B78" s="803"/>
      <c r="C78" s="100" t="s">
        <v>196</v>
      </c>
      <c r="D78" s="782" t="s">
        <v>187</v>
      </c>
      <c r="E78" s="783"/>
      <c r="F78" s="818"/>
      <c r="G78" s="73">
        <v>7434</v>
      </c>
      <c r="H78" s="101">
        <f>+IF(+G78&lt;25000,+G78,25000)</f>
        <v>7434</v>
      </c>
      <c r="I78" s="87"/>
    </row>
    <row r="79" spans="2:18" x14ac:dyDescent="0.2">
      <c r="B79" s="803"/>
      <c r="C79" s="100" t="s">
        <v>197</v>
      </c>
      <c r="D79" s="784" t="s">
        <v>198</v>
      </c>
      <c r="E79" s="785"/>
      <c r="F79" s="786"/>
      <c r="G79" s="102"/>
      <c r="H79" s="103">
        <f>+IF(+G79&lt;40000,+G79,40000)</f>
        <v>0</v>
      </c>
      <c r="I79" s="63"/>
    </row>
    <row r="80" spans="2:18" x14ac:dyDescent="0.2">
      <c r="B80" s="803"/>
      <c r="C80" s="100" t="s">
        <v>199</v>
      </c>
      <c r="D80" s="784" t="s">
        <v>200</v>
      </c>
      <c r="E80" s="785"/>
      <c r="F80" s="786"/>
      <c r="G80" s="81">
        <v>370010</v>
      </c>
      <c r="H80" s="81">
        <v>370010</v>
      </c>
      <c r="I80" s="63"/>
      <c r="J80" s="106"/>
    </row>
    <row r="81" spans="2:12" x14ac:dyDescent="0.2">
      <c r="B81" s="803"/>
      <c r="C81" s="100" t="s">
        <v>201</v>
      </c>
      <c r="D81" s="784" t="s">
        <v>202</v>
      </c>
      <c r="E81" s="785"/>
      <c r="F81" s="786"/>
      <c r="G81" s="81"/>
      <c r="H81" s="104">
        <v>0</v>
      </c>
      <c r="I81" s="63"/>
    </row>
    <row r="82" spans="2:12" ht="13.5" thickBot="1" x14ac:dyDescent="0.25">
      <c r="B82" s="804"/>
      <c r="C82" s="100" t="s">
        <v>203</v>
      </c>
      <c r="D82" s="784" t="s">
        <v>204</v>
      </c>
      <c r="E82" s="785"/>
      <c r="F82" s="786"/>
      <c r="G82" s="102"/>
      <c r="H82" s="103">
        <f>+IF(+G82&lt;100000,+G82,10000)</f>
        <v>0</v>
      </c>
      <c r="I82" s="63"/>
    </row>
    <row r="83" spans="2:12" ht="13.5" thickBot="1" x14ac:dyDescent="0.25">
      <c r="B83" s="787" t="s">
        <v>205</v>
      </c>
      <c r="C83" s="788"/>
      <c r="D83" s="788"/>
      <c r="E83" s="788"/>
      <c r="F83" s="788"/>
      <c r="G83" s="107">
        <f>SUM(G78:G82)</f>
        <v>377444</v>
      </c>
      <c r="H83" s="108">
        <f>SUM(H77:H82)</f>
        <v>527444</v>
      </c>
    </row>
    <row r="84" spans="2:12" ht="13.5" thickBot="1" x14ac:dyDescent="0.25"/>
    <row r="85" spans="2:12" ht="13.5" thickBot="1" x14ac:dyDescent="0.25">
      <c r="B85" s="789" t="s">
        <v>206</v>
      </c>
      <c r="C85" s="790"/>
      <c r="D85" s="790"/>
      <c r="E85" s="790"/>
      <c r="F85" s="791"/>
      <c r="G85" s="792">
        <f>+G64-H83</f>
        <v>1021621</v>
      </c>
      <c r="H85" s="791"/>
      <c r="J85" s="109">
        <f>C37+D37+E37+F37</f>
        <v>552168</v>
      </c>
      <c r="K85" s="16" t="s">
        <v>235</v>
      </c>
    </row>
    <row r="86" spans="2:12" x14ac:dyDescent="0.2">
      <c r="B86" s="110"/>
      <c r="F86" s="105"/>
      <c r="J86" s="109">
        <f>G37+H37+I37</f>
        <v>434976</v>
      </c>
      <c r="K86" s="16" t="s">
        <v>236</v>
      </c>
    </row>
    <row r="87" spans="2:12" x14ac:dyDescent="0.2">
      <c r="C87" s="793" t="s">
        <v>207</v>
      </c>
      <c r="D87" s="794"/>
      <c r="E87" s="111" t="s">
        <v>208</v>
      </c>
      <c r="F87" s="111" t="s">
        <v>209</v>
      </c>
      <c r="G87" s="111" t="s">
        <v>210</v>
      </c>
      <c r="H87" s="111" t="s">
        <v>211</v>
      </c>
      <c r="J87" s="109">
        <f>J37+K37+L37</f>
        <v>448416</v>
      </c>
      <c r="K87" s="47" t="s">
        <v>237</v>
      </c>
    </row>
    <row r="88" spans="2:12" x14ac:dyDescent="0.2">
      <c r="C88" s="795" t="str">
        <f>IF(I6="M","0          - 250000","0          -  250000")</f>
        <v>0          - 250000</v>
      </c>
      <c r="D88" s="796"/>
      <c r="E88" s="112">
        <v>0</v>
      </c>
      <c r="F88" s="113">
        <f>IF(I6="M",(IF(G85&lt;250000,G85,250000)),(IF(G85&lt;250000,G85,250000)))</f>
        <v>250000</v>
      </c>
      <c r="G88" s="113">
        <f>G85-F88</f>
        <v>771621</v>
      </c>
      <c r="H88" s="113">
        <f>E88*F88</f>
        <v>0</v>
      </c>
      <c r="J88" s="16">
        <f>M37+N37</f>
        <v>294464</v>
      </c>
      <c r="K88" s="1" t="s">
        <v>238</v>
      </c>
    </row>
    <row r="89" spans="2:12" x14ac:dyDescent="0.2">
      <c r="C89" s="795" t="str">
        <f>IF(I6="M","250001 - 500000","250001-500000")</f>
        <v>250001 - 500000</v>
      </c>
      <c r="D89" s="796"/>
      <c r="E89" s="112">
        <v>0.05</v>
      </c>
      <c r="F89" s="113">
        <f>IF(I6="M",(IF(G88&lt;250000,G88,250000)),(IF(G88&lt;250000,G88,250000)))</f>
        <v>250000</v>
      </c>
      <c r="G89" s="113">
        <f>G88-F89</f>
        <v>521621</v>
      </c>
      <c r="H89" s="114">
        <f>ROUND(E89*F89,0.1)</f>
        <v>12500</v>
      </c>
      <c r="J89" s="115">
        <f>SUM(J85:J88)</f>
        <v>1730024</v>
      </c>
    </row>
    <row r="90" spans="2:12" x14ac:dyDescent="0.2">
      <c r="C90" s="797" t="s">
        <v>212</v>
      </c>
      <c r="D90" s="798"/>
      <c r="E90" s="112">
        <v>0.2</v>
      </c>
      <c r="F90" s="113">
        <f>IF(G89&lt;500000,G89,500000)</f>
        <v>500000</v>
      </c>
      <c r="G90" s="113">
        <f>G89-F90</f>
        <v>21621</v>
      </c>
      <c r="H90" s="114">
        <f>ROUND(E90*F90,0.1)</f>
        <v>100000</v>
      </c>
      <c r="J90" s="16">
        <f>+G85</f>
        <v>1021621</v>
      </c>
    </row>
    <row r="91" spans="2:12" x14ac:dyDescent="0.2">
      <c r="C91" s="795" t="s">
        <v>213</v>
      </c>
      <c r="D91" s="796"/>
      <c r="E91" s="112">
        <v>0.3</v>
      </c>
      <c r="F91" s="113">
        <f>G90</f>
        <v>21621</v>
      </c>
      <c r="G91" s="113">
        <f>G90-F91</f>
        <v>0</v>
      </c>
      <c r="H91" s="114">
        <f>ROUND(E91*F91,0.1)</f>
        <v>6486</v>
      </c>
      <c r="J91" s="16">
        <f>+J89-J90</f>
        <v>708403</v>
      </c>
    </row>
    <row r="92" spans="2:12" ht="12.75" customHeight="1" thickBot="1" x14ac:dyDescent="0.25">
      <c r="B92" s="116"/>
      <c r="C92" s="117"/>
      <c r="D92" s="47"/>
      <c r="E92" s="47"/>
      <c r="F92" s="47"/>
      <c r="J92" s="87"/>
      <c r="K92" s="118"/>
    </row>
    <row r="93" spans="2:12" ht="13.5" thickBot="1" x14ac:dyDescent="0.25">
      <c r="B93" s="799" t="s">
        <v>239</v>
      </c>
      <c r="C93" s="800"/>
      <c r="D93" s="800"/>
      <c r="E93" s="800"/>
      <c r="F93" s="801"/>
      <c r="G93" s="771">
        <f>H88+H89+H90+H91</f>
        <v>118986</v>
      </c>
      <c r="H93" s="772"/>
      <c r="J93" s="87"/>
      <c r="K93" s="87"/>
    </row>
    <row r="94" spans="2:12" ht="13.5" thickBot="1" x14ac:dyDescent="0.25">
      <c r="B94" s="119" t="s">
        <v>215</v>
      </c>
      <c r="C94" s="120"/>
      <c r="D94" s="120"/>
      <c r="E94" s="120"/>
      <c r="F94" s="120"/>
      <c r="G94" s="895">
        <f>IF((G64&lt;500000),5000,0)</f>
        <v>0</v>
      </c>
      <c r="H94" s="896">
        <f>IF(H92&lt;200000,0,IF(H92&lt;220000,((H92-200000)*10%),IF(H92&lt;=500000,2000,IF(H92&gt;=500000,0))))</f>
        <v>0</v>
      </c>
      <c r="J94" s="1"/>
      <c r="K94" s="121"/>
      <c r="L94" s="121"/>
    </row>
    <row r="95" spans="2:12" ht="13.5" thickBot="1" x14ac:dyDescent="0.25">
      <c r="B95" s="122" t="s">
        <v>216</v>
      </c>
      <c r="C95" s="123"/>
      <c r="D95" s="123"/>
      <c r="E95" s="123"/>
      <c r="F95" s="123"/>
      <c r="G95" s="897">
        <f>IF((G93-G94)&lt;0,0,(G93-G94))</f>
        <v>118986</v>
      </c>
      <c r="H95" s="898"/>
      <c r="I95" s="37"/>
    </row>
    <row r="96" spans="2:12" ht="13.5" thickBot="1" x14ac:dyDescent="0.25">
      <c r="B96" s="773" t="s">
        <v>240</v>
      </c>
      <c r="C96" s="774"/>
      <c r="D96" s="774"/>
      <c r="E96" s="774"/>
      <c r="F96" s="775"/>
      <c r="G96" s="899">
        <f>ROUND((IF(G95&gt;0,(G95*4%),0)),0)</f>
        <v>4759</v>
      </c>
      <c r="H96" s="900"/>
      <c r="I96" s="37"/>
    </row>
    <row r="97" spans="2:9" ht="13.5" thickBot="1" x14ac:dyDescent="0.25">
      <c r="B97" s="778" t="s">
        <v>218</v>
      </c>
      <c r="C97" s="779"/>
      <c r="D97" s="779"/>
      <c r="E97" s="779"/>
      <c r="F97" s="779"/>
      <c r="G97" s="901">
        <f>G95+G96</f>
        <v>123745</v>
      </c>
      <c r="H97" s="902"/>
      <c r="I97" s="121"/>
    </row>
    <row r="98" spans="2:9" ht="13.5" thickBot="1" x14ac:dyDescent="0.25">
      <c r="B98" s="765" t="s">
        <v>219</v>
      </c>
      <c r="C98" s="766"/>
      <c r="D98" s="766"/>
      <c r="E98" s="766"/>
      <c r="F98" s="766"/>
      <c r="G98" s="893">
        <f>O38</f>
        <v>125000</v>
      </c>
      <c r="H98" s="894"/>
      <c r="I98" s="121"/>
    </row>
    <row r="99" spans="2:9" ht="13.5" thickBot="1" x14ac:dyDescent="0.25">
      <c r="B99" s="765" t="str">
        <f>IF(G99&gt;0,"TAX PAYABLE","TAX REFUND")</f>
        <v>TAX REFUND</v>
      </c>
      <c r="C99" s="766"/>
      <c r="D99" s="766"/>
      <c r="E99" s="766"/>
      <c r="F99" s="766"/>
      <c r="G99" s="893">
        <f>+G97-G98</f>
        <v>-1255</v>
      </c>
      <c r="H99" s="894"/>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0:F90 B99:F99 B93:F97">
    <cfRule type="cellIs" dxfId="127" priority="1" stopIfTrue="1" operator="equal">
      <formula>"TAX PAYABLE"</formula>
    </cfRule>
    <cfRule type="cellIs" dxfId="126" priority="2" stopIfTrue="1" operator="equal">
      <formula>"TAX REFUND"</formula>
    </cfRule>
  </conditionalFormatting>
  <conditionalFormatting sqref="G90:H90">
    <cfRule type="cellIs" dxfId="125" priority="3" stopIfTrue="1" operator="lessThan">
      <formula>0</formula>
    </cfRule>
    <cfRule type="cellIs" dxfId="124" priority="4" stopIfTrue="1" operator="greaterThan">
      <formula>0</formula>
    </cfRule>
  </conditionalFormatting>
  <conditionalFormatting sqref="G99:H99">
    <cfRule type="cellIs" dxfId="123" priority="5" stopIfTrue="1" operator="greaterThan">
      <formula>0</formula>
    </cfRule>
    <cfRule type="cellIs" dxfId="122" priority="6"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5" right="0.75" top="1" bottom="1" header="0.5" footer="0.5"/>
  <pageSetup orientation="portrait" verticalDpi="0" r:id="rId1"/>
  <headerFooter alignWithMargins="0"/>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7"/>
  <sheetViews>
    <sheetView topLeftCell="A44" workbookViewId="0">
      <selection activeCell="G53" sqref="G53:H53"/>
    </sheetView>
  </sheetViews>
  <sheetFormatPr defaultRowHeight="12.75" x14ac:dyDescent="0.2"/>
  <cols>
    <col min="1" max="1" width="5" style="16" customWidth="1"/>
    <col min="2" max="2" width="20" style="37" customWidth="1"/>
    <col min="3" max="3" width="9.140625" style="16"/>
    <col min="4" max="4" width="7.42578125" style="16" customWidth="1"/>
    <col min="5" max="5" width="8.5703125" style="16" bestFit="1" customWidth="1"/>
    <col min="6" max="7" width="9.28515625" style="16" customWidth="1"/>
    <col min="8" max="8" width="8.140625" style="16" customWidth="1"/>
    <col min="9" max="9" width="7.140625" style="16" bestFit="1" customWidth="1"/>
    <col min="10" max="10" width="8.42578125" style="16" customWidth="1"/>
    <col min="11" max="15" width="7.8554687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20" style="16" customWidth="1"/>
    <col min="259" max="259" width="9.140625" style="16"/>
    <col min="260" max="260" width="7.42578125" style="16" customWidth="1"/>
    <col min="261" max="261" width="8.5703125" style="16" bestFit="1" customWidth="1"/>
    <col min="262" max="263" width="9.28515625" style="16" customWidth="1"/>
    <col min="264" max="264" width="8.140625" style="16" customWidth="1"/>
    <col min="265" max="265" width="7.140625" style="16" bestFit="1" customWidth="1"/>
    <col min="266" max="266" width="8.42578125" style="16" customWidth="1"/>
    <col min="267" max="271" width="7.8554687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20" style="16" customWidth="1"/>
    <col min="515" max="515" width="9.140625" style="16"/>
    <col min="516" max="516" width="7.42578125" style="16" customWidth="1"/>
    <col min="517" max="517" width="8.5703125" style="16" bestFit="1" customWidth="1"/>
    <col min="518" max="519" width="9.28515625" style="16" customWidth="1"/>
    <col min="520" max="520" width="8.140625" style="16" customWidth="1"/>
    <col min="521" max="521" width="7.140625" style="16" bestFit="1" customWidth="1"/>
    <col min="522" max="522" width="8.42578125" style="16" customWidth="1"/>
    <col min="523" max="527" width="7.8554687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20" style="16" customWidth="1"/>
    <col min="771" max="771" width="9.140625" style="16"/>
    <col min="772" max="772" width="7.42578125" style="16" customWidth="1"/>
    <col min="773" max="773" width="8.5703125" style="16" bestFit="1" customWidth="1"/>
    <col min="774" max="775" width="9.28515625" style="16" customWidth="1"/>
    <col min="776" max="776" width="8.140625" style="16" customWidth="1"/>
    <col min="777" max="777" width="7.140625" style="16" bestFit="1" customWidth="1"/>
    <col min="778" max="778" width="8.42578125" style="16" customWidth="1"/>
    <col min="779" max="783" width="7.8554687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20" style="16" customWidth="1"/>
    <col min="1027" max="1027" width="9.140625" style="16"/>
    <col min="1028" max="1028" width="7.42578125" style="16" customWidth="1"/>
    <col min="1029" max="1029" width="8.5703125" style="16" bestFit="1" customWidth="1"/>
    <col min="1030" max="1031" width="9.28515625" style="16" customWidth="1"/>
    <col min="1032" max="1032" width="8.140625" style="16" customWidth="1"/>
    <col min="1033" max="1033" width="7.140625" style="16" bestFit="1" customWidth="1"/>
    <col min="1034" max="1034" width="8.42578125" style="16" customWidth="1"/>
    <col min="1035" max="1039" width="7.8554687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20" style="16" customWidth="1"/>
    <col min="1283" max="1283" width="9.140625" style="16"/>
    <col min="1284" max="1284" width="7.42578125" style="16" customWidth="1"/>
    <col min="1285" max="1285" width="8.5703125" style="16" bestFit="1" customWidth="1"/>
    <col min="1286" max="1287" width="9.28515625" style="16" customWidth="1"/>
    <col min="1288" max="1288" width="8.140625" style="16" customWidth="1"/>
    <col min="1289" max="1289" width="7.140625" style="16" bestFit="1" customWidth="1"/>
    <col min="1290" max="1290" width="8.42578125" style="16" customWidth="1"/>
    <col min="1291" max="1295" width="7.8554687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20" style="16" customWidth="1"/>
    <col min="1539" max="1539" width="9.140625" style="16"/>
    <col min="1540" max="1540" width="7.42578125" style="16" customWidth="1"/>
    <col min="1541" max="1541" width="8.5703125" style="16" bestFit="1" customWidth="1"/>
    <col min="1542" max="1543" width="9.28515625" style="16" customWidth="1"/>
    <col min="1544" max="1544" width="8.140625" style="16" customWidth="1"/>
    <col min="1545" max="1545" width="7.140625" style="16" bestFit="1" customWidth="1"/>
    <col min="1546" max="1546" width="8.42578125" style="16" customWidth="1"/>
    <col min="1547" max="1551" width="7.8554687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20" style="16" customWidth="1"/>
    <col min="1795" max="1795" width="9.140625" style="16"/>
    <col min="1796" max="1796" width="7.42578125" style="16" customWidth="1"/>
    <col min="1797" max="1797" width="8.5703125" style="16" bestFit="1" customWidth="1"/>
    <col min="1798" max="1799" width="9.28515625" style="16" customWidth="1"/>
    <col min="1800" max="1800" width="8.140625" style="16" customWidth="1"/>
    <col min="1801" max="1801" width="7.140625" style="16" bestFit="1" customWidth="1"/>
    <col min="1802" max="1802" width="8.42578125" style="16" customWidth="1"/>
    <col min="1803" max="1807" width="7.8554687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20" style="16" customWidth="1"/>
    <col min="2051" max="2051" width="9.140625" style="16"/>
    <col min="2052" max="2052" width="7.42578125" style="16" customWidth="1"/>
    <col min="2053" max="2053" width="8.5703125" style="16" bestFit="1" customWidth="1"/>
    <col min="2054" max="2055" width="9.28515625" style="16" customWidth="1"/>
    <col min="2056" max="2056" width="8.140625" style="16" customWidth="1"/>
    <col min="2057" max="2057" width="7.140625" style="16" bestFit="1" customWidth="1"/>
    <col min="2058" max="2058" width="8.42578125" style="16" customWidth="1"/>
    <col min="2059" max="2063" width="7.8554687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20" style="16" customWidth="1"/>
    <col min="2307" max="2307" width="9.140625" style="16"/>
    <col min="2308" max="2308" width="7.42578125" style="16" customWidth="1"/>
    <col min="2309" max="2309" width="8.5703125" style="16" bestFit="1" customWidth="1"/>
    <col min="2310" max="2311" width="9.28515625" style="16" customWidth="1"/>
    <col min="2312" max="2312" width="8.140625" style="16" customWidth="1"/>
    <col min="2313" max="2313" width="7.140625" style="16" bestFit="1" customWidth="1"/>
    <col min="2314" max="2314" width="8.42578125" style="16" customWidth="1"/>
    <col min="2315" max="2319" width="7.8554687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20" style="16" customWidth="1"/>
    <col min="2563" max="2563" width="9.140625" style="16"/>
    <col min="2564" max="2564" width="7.42578125" style="16" customWidth="1"/>
    <col min="2565" max="2565" width="8.5703125" style="16" bestFit="1" customWidth="1"/>
    <col min="2566" max="2567" width="9.28515625" style="16" customWidth="1"/>
    <col min="2568" max="2568" width="8.140625" style="16" customWidth="1"/>
    <col min="2569" max="2569" width="7.140625" style="16" bestFit="1" customWidth="1"/>
    <col min="2570" max="2570" width="8.42578125" style="16" customWidth="1"/>
    <col min="2571" max="2575" width="7.8554687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20" style="16" customWidth="1"/>
    <col min="2819" max="2819" width="9.140625" style="16"/>
    <col min="2820" max="2820" width="7.42578125" style="16" customWidth="1"/>
    <col min="2821" max="2821" width="8.5703125" style="16" bestFit="1" customWidth="1"/>
    <col min="2822" max="2823" width="9.28515625" style="16" customWidth="1"/>
    <col min="2824" max="2824" width="8.140625" style="16" customWidth="1"/>
    <col min="2825" max="2825" width="7.140625" style="16" bestFit="1" customWidth="1"/>
    <col min="2826" max="2826" width="8.42578125" style="16" customWidth="1"/>
    <col min="2827" max="2831" width="7.8554687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20" style="16" customWidth="1"/>
    <col min="3075" max="3075" width="9.140625" style="16"/>
    <col min="3076" max="3076" width="7.42578125" style="16" customWidth="1"/>
    <col min="3077" max="3077" width="8.5703125" style="16" bestFit="1" customWidth="1"/>
    <col min="3078" max="3079" width="9.28515625" style="16" customWidth="1"/>
    <col min="3080" max="3080" width="8.140625" style="16" customWidth="1"/>
    <col min="3081" max="3081" width="7.140625" style="16" bestFit="1" customWidth="1"/>
    <col min="3082" max="3082" width="8.42578125" style="16" customWidth="1"/>
    <col min="3083" max="3087" width="7.8554687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20" style="16" customWidth="1"/>
    <col min="3331" max="3331" width="9.140625" style="16"/>
    <col min="3332" max="3332" width="7.42578125" style="16" customWidth="1"/>
    <col min="3333" max="3333" width="8.5703125" style="16" bestFit="1" customWidth="1"/>
    <col min="3334" max="3335" width="9.28515625" style="16" customWidth="1"/>
    <col min="3336" max="3336" width="8.140625" style="16" customWidth="1"/>
    <col min="3337" max="3337" width="7.140625" style="16" bestFit="1" customWidth="1"/>
    <col min="3338" max="3338" width="8.42578125" style="16" customWidth="1"/>
    <col min="3339" max="3343" width="7.8554687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20" style="16" customWidth="1"/>
    <col min="3587" max="3587" width="9.140625" style="16"/>
    <col min="3588" max="3588" width="7.42578125" style="16" customWidth="1"/>
    <col min="3589" max="3589" width="8.5703125" style="16" bestFit="1" customWidth="1"/>
    <col min="3590" max="3591" width="9.28515625" style="16" customWidth="1"/>
    <col min="3592" max="3592" width="8.140625" style="16" customWidth="1"/>
    <col min="3593" max="3593" width="7.140625" style="16" bestFit="1" customWidth="1"/>
    <col min="3594" max="3594" width="8.42578125" style="16" customWidth="1"/>
    <col min="3595" max="3599" width="7.8554687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20" style="16" customWidth="1"/>
    <col min="3843" max="3843" width="9.140625" style="16"/>
    <col min="3844" max="3844" width="7.42578125" style="16" customWidth="1"/>
    <col min="3845" max="3845" width="8.5703125" style="16" bestFit="1" customWidth="1"/>
    <col min="3846" max="3847" width="9.28515625" style="16" customWidth="1"/>
    <col min="3848" max="3848" width="8.140625" style="16" customWidth="1"/>
    <col min="3849" max="3849" width="7.140625" style="16" bestFit="1" customWidth="1"/>
    <col min="3850" max="3850" width="8.42578125" style="16" customWidth="1"/>
    <col min="3851" max="3855" width="7.8554687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20" style="16" customWidth="1"/>
    <col min="4099" max="4099" width="9.140625" style="16"/>
    <col min="4100" max="4100" width="7.42578125" style="16" customWidth="1"/>
    <col min="4101" max="4101" width="8.5703125" style="16" bestFit="1" customWidth="1"/>
    <col min="4102" max="4103" width="9.28515625" style="16" customWidth="1"/>
    <col min="4104" max="4104" width="8.140625" style="16" customWidth="1"/>
    <col min="4105" max="4105" width="7.140625" style="16" bestFit="1" customWidth="1"/>
    <col min="4106" max="4106" width="8.42578125" style="16" customWidth="1"/>
    <col min="4107" max="4111" width="7.8554687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20" style="16" customWidth="1"/>
    <col min="4355" max="4355" width="9.140625" style="16"/>
    <col min="4356" max="4356" width="7.42578125" style="16" customWidth="1"/>
    <col min="4357" max="4357" width="8.5703125" style="16" bestFit="1" customWidth="1"/>
    <col min="4358" max="4359" width="9.28515625" style="16" customWidth="1"/>
    <col min="4360" max="4360" width="8.140625" style="16" customWidth="1"/>
    <col min="4361" max="4361" width="7.140625" style="16" bestFit="1" customWidth="1"/>
    <col min="4362" max="4362" width="8.42578125" style="16" customWidth="1"/>
    <col min="4363" max="4367" width="7.8554687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20" style="16" customWidth="1"/>
    <col min="4611" max="4611" width="9.140625" style="16"/>
    <col min="4612" max="4612" width="7.42578125" style="16" customWidth="1"/>
    <col min="4613" max="4613" width="8.5703125" style="16" bestFit="1" customWidth="1"/>
    <col min="4614" max="4615" width="9.28515625" style="16" customWidth="1"/>
    <col min="4616" max="4616" width="8.140625" style="16" customWidth="1"/>
    <col min="4617" max="4617" width="7.140625" style="16" bestFit="1" customWidth="1"/>
    <col min="4618" max="4618" width="8.42578125" style="16" customWidth="1"/>
    <col min="4619" max="4623" width="7.8554687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20" style="16" customWidth="1"/>
    <col min="4867" max="4867" width="9.140625" style="16"/>
    <col min="4868" max="4868" width="7.42578125" style="16" customWidth="1"/>
    <col min="4869" max="4869" width="8.5703125" style="16" bestFit="1" customWidth="1"/>
    <col min="4870" max="4871" width="9.28515625" style="16" customWidth="1"/>
    <col min="4872" max="4872" width="8.140625" style="16" customWidth="1"/>
    <col min="4873" max="4873" width="7.140625" style="16" bestFit="1" customWidth="1"/>
    <col min="4874" max="4874" width="8.42578125" style="16" customWidth="1"/>
    <col min="4875" max="4879" width="7.8554687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20" style="16" customWidth="1"/>
    <col min="5123" max="5123" width="9.140625" style="16"/>
    <col min="5124" max="5124" width="7.42578125" style="16" customWidth="1"/>
    <col min="5125" max="5125" width="8.5703125" style="16" bestFit="1" customWidth="1"/>
    <col min="5126" max="5127" width="9.28515625" style="16" customWidth="1"/>
    <col min="5128" max="5128" width="8.140625" style="16" customWidth="1"/>
    <col min="5129" max="5129" width="7.140625" style="16" bestFit="1" customWidth="1"/>
    <col min="5130" max="5130" width="8.42578125" style="16" customWidth="1"/>
    <col min="5131" max="5135" width="7.8554687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20" style="16" customWidth="1"/>
    <col min="5379" max="5379" width="9.140625" style="16"/>
    <col min="5380" max="5380" width="7.42578125" style="16" customWidth="1"/>
    <col min="5381" max="5381" width="8.5703125" style="16" bestFit="1" customWidth="1"/>
    <col min="5382" max="5383" width="9.28515625" style="16" customWidth="1"/>
    <col min="5384" max="5384" width="8.140625" style="16" customWidth="1"/>
    <col min="5385" max="5385" width="7.140625" style="16" bestFit="1" customWidth="1"/>
    <col min="5386" max="5386" width="8.42578125" style="16" customWidth="1"/>
    <col min="5387" max="5391" width="7.8554687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20" style="16" customWidth="1"/>
    <col min="5635" max="5635" width="9.140625" style="16"/>
    <col min="5636" max="5636" width="7.42578125" style="16" customWidth="1"/>
    <col min="5637" max="5637" width="8.5703125" style="16" bestFit="1" customWidth="1"/>
    <col min="5638" max="5639" width="9.28515625" style="16" customWidth="1"/>
    <col min="5640" max="5640" width="8.140625" style="16" customWidth="1"/>
    <col min="5641" max="5641" width="7.140625" style="16" bestFit="1" customWidth="1"/>
    <col min="5642" max="5642" width="8.42578125" style="16" customWidth="1"/>
    <col min="5643" max="5647" width="7.8554687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20" style="16" customWidth="1"/>
    <col min="5891" max="5891" width="9.140625" style="16"/>
    <col min="5892" max="5892" width="7.42578125" style="16" customWidth="1"/>
    <col min="5893" max="5893" width="8.5703125" style="16" bestFit="1" customWidth="1"/>
    <col min="5894" max="5895" width="9.28515625" style="16" customWidth="1"/>
    <col min="5896" max="5896" width="8.140625" style="16" customWidth="1"/>
    <col min="5897" max="5897" width="7.140625" style="16" bestFit="1" customWidth="1"/>
    <col min="5898" max="5898" width="8.42578125" style="16" customWidth="1"/>
    <col min="5899" max="5903" width="7.8554687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20" style="16" customWidth="1"/>
    <col min="6147" max="6147" width="9.140625" style="16"/>
    <col min="6148" max="6148" width="7.42578125" style="16" customWidth="1"/>
    <col min="6149" max="6149" width="8.5703125" style="16" bestFit="1" customWidth="1"/>
    <col min="6150" max="6151" width="9.28515625" style="16" customWidth="1"/>
    <col min="6152" max="6152" width="8.140625" style="16" customWidth="1"/>
    <col min="6153" max="6153" width="7.140625" style="16" bestFit="1" customWidth="1"/>
    <col min="6154" max="6154" width="8.42578125" style="16" customWidth="1"/>
    <col min="6155" max="6159" width="7.8554687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20" style="16" customWidth="1"/>
    <col min="6403" max="6403" width="9.140625" style="16"/>
    <col min="6404" max="6404" width="7.42578125" style="16" customWidth="1"/>
    <col min="6405" max="6405" width="8.5703125" style="16" bestFit="1" customWidth="1"/>
    <col min="6406" max="6407" width="9.28515625" style="16" customWidth="1"/>
    <col min="6408" max="6408" width="8.140625" style="16" customWidth="1"/>
    <col min="6409" max="6409" width="7.140625" style="16" bestFit="1" customWidth="1"/>
    <col min="6410" max="6410" width="8.42578125" style="16" customWidth="1"/>
    <col min="6411" max="6415" width="7.8554687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20" style="16" customWidth="1"/>
    <col min="6659" max="6659" width="9.140625" style="16"/>
    <col min="6660" max="6660" width="7.42578125" style="16" customWidth="1"/>
    <col min="6661" max="6661" width="8.5703125" style="16" bestFit="1" customWidth="1"/>
    <col min="6662" max="6663" width="9.28515625" style="16" customWidth="1"/>
    <col min="6664" max="6664" width="8.140625" style="16" customWidth="1"/>
    <col min="6665" max="6665" width="7.140625" style="16" bestFit="1" customWidth="1"/>
    <col min="6666" max="6666" width="8.42578125" style="16" customWidth="1"/>
    <col min="6667" max="6671" width="7.8554687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20" style="16" customWidth="1"/>
    <col min="6915" max="6915" width="9.140625" style="16"/>
    <col min="6916" max="6916" width="7.42578125" style="16" customWidth="1"/>
    <col min="6917" max="6917" width="8.5703125" style="16" bestFit="1" customWidth="1"/>
    <col min="6918" max="6919" width="9.28515625" style="16" customWidth="1"/>
    <col min="6920" max="6920" width="8.140625" style="16" customWidth="1"/>
    <col min="6921" max="6921" width="7.140625" style="16" bestFit="1" customWidth="1"/>
    <col min="6922" max="6922" width="8.42578125" style="16" customWidth="1"/>
    <col min="6923" max="6927" width="7.8554687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20" style="16" customWidth="1"/>
    <col min="7171" max="7171" width="9.140625" style="16"/>
    <col min="7172" max="7172" width="7.42578125" style="16" customWidth="1"/>
    <col min="7173" max="7173" width="8.5703125" style="16" bestFit="1" customWidth="1"/>
    <col min="7174" max="7175" width="9.28515625" style="16" customWidth="1"/>
    <col min="7176" max="7176" width="8.140625" style="16" customWidth="1"/>
    <col min="7177" max="7177" width="7.140625" style="16" bestFit="1" customWidth="1"/>
    <col min="7178" max="7178" width="8.42578125" style="16" customWidth="1"/>
    <col min="7179" max="7183" width="7.8554687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20" style="16" customWidth="1"/>
    <col min="7427" max="7427" width="9.140625" style="16"/>
    <col min="7428" max="7428" width="7.42578125" style="16" customWidth="1"/>
    <col min="7429" max="7429" width="8.5703125" style="16" bestFit="1" customWidth="1"/>
    <col min="7430" max="7431" width="9.28515625" style="16" customWidth="1"/>
    <col min="7432" max="7432" width="8.140625" style="16" customWidth="1"/>
    <col min="7433" max="7433" width="7.140625" style="16" bestFit="1" customWidth="1"/>
    <col min="7434" max="7434" width="8.42578125" style="16" customWidth="1"/>
    <col min="7435" max="7439" width="7.8554687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20" style="16" customWidth="1"/>
    <col min="7683" max="7683" width="9.140625" style="16"/>
    <col min="7684" max="7684" width="7.42578125" style="16" customWidth="1"/>
    <col min="7685" max="7685" width="8.5703125" style="16" bestFit="1" customWidth="1"/>
    <col min="7686" max="7687" width="9.28515625" style="16" customWidth="1"/>
    <col min="7688" max="7688" width="8.140625" style="16" customWidth="1"/>
    <col min="7689" max="7689" width="7.140625" style="16" bestFit="1" customWidth="1"/>
    <col min="7690" max="7690" width="8.42578125" style="16" customWidth="1"/>
    <col min="7691" max="7695" width="7.8554687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20" style="16" customWidth="1"/>
    <col min="7939" max="7939" width="9.140625" style="16"/>
    <col min="7940" max="7940" width="7.42578125" style="16" customWidth="1"/>
    <col min="7941" max="7941" width="8.5703125" style="16" bestFit="1" customWidth="1"/>
    <col min="7942" max="7943" width="9.28515625" style="16" customWidth="1"/>
    <col min="7944" max="7944" width="8.140625" style="16" customWidth="1"/>
    <col min="7945" max="7945" width="7.140625" style="16" bestFit="1" customWidth="1"/>
    <col min="7946" max="7946" width="8.42578125" style="16" customWidth="1"/>
    <col min="7947" max="7951" width="7.8554687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20" style="16" customWidth="1"/>
    <col min="8195" max="8195" width="9.140625" style="16"/>
    <col min="8196" max="8196" width="7.42578125" style="16" customWidth="1"/>
    <col min="8197" max="8197" width="8.5703125" style="16" bestFit="1" customWidth="1"/>
    <col min="8198" max="8199" width="9.28515625" style="16" customWidth="1"/>
    <col min="8200" max="8200" width="8.140625" style="16" customWidth="1"/>
    <col min="8201" max="8201" width="7.140625" style="16" bestFit="1" customWidth="1"/>
    <col min="8202" max="8202" width="8.42578125" style="16" customWidth="1"/>
    <col min="8203" max="8207" width="7.8554687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20" style="16" customWidth="1"/>
    <col min="8451" max="8451" width="9.140625" style="16"/>
    <col min="8452" max="8452" width="7.42578125" style="16" customWidth="1"/>
    <col min="8453" max="8453" width="8.5703125" style="16" bestFit="1" customWidth="1"/>
    <col min="8454" max="8455" width="9.28515625" style="16" customWidth="1"/>
    <col min="8456" max="8456" width="8.140625" style="16" customWidth="1"/>
    <col min="8457" max="8457" width="7.140625" style="16" bestFit="1" customWidth="1"/>
    <col min="8458" max="8458" width="8.42578125" style="16" customWidth="1"/>
    <col min="8459" max="8463" width="7.8554687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20" style="16" customWidth="1"/>
    <col min="8707" max="8707" width="9.140625" style="16"/>
    <col min="8708" max="8708" width="7.42578125" style="16" customWidth="1"/>
    <col min="8709" max="8709" width="8.5703125" style="16" bestFit="1" customWidth="1"/>
    <col min="8710" max="8711" width="9.28515625" style="16" customWidth="1"/>
    <col min="8712" max="8712" width="8.140625" style="16" customWidth="1"/>
    <col min="8713" max="8713" width="7.140625" style="16" bestFit="1" customWidth="1"/>
    <col min="8714" max="8714" width="8.42578125" style="16" customWidth="1"/>
    <col min="8715" max="8719" width="7.8554687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20" style="16" customWidth="1"/>
    <col min="8963" max="8963" width="9.140625" style="16"/>
    <col min="8964" max="8964" width="7.42578125" style="16" customWidth="1"/>
    <col min="8965" max="8965" width="8.5703125" style="16" bestFit="1" customWidth="1"/>
    <col min="8966" max="8967" width="9.28515625" style="16" customWidth="1"/>
    <col min="8968" max="8968" width="8.140625" style="16" customWidth="1"/>
    <col min="8969" max="8969" width="7.140625" style="16" bestFit="1" customWidth="1"/>
    <col min="8970" max="8970" width="8.42578125" style="16" customWidth="1"/>
    <col min="8971" max="8975" width="7.8554687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20" style="16" customWidth="1"/>
    <col min="9219" max="9219" width="9.140625" style="16"/>
    <col min="9220" max="9220" width="7.42578125" style="16" customWidth="1"/>
    <col min="9221" max="9221" width="8.5703125" style="16" bestFit="1" customWidth="1"/>
    <col min="9222" max="9223" width="9.28515625" style="16" customWidth="1"/>
    <col min="9224" max="9224" width="8.140625" style="16" customWidth="1"/>
    <col min="9225" max="9225" width="7.140625" style="16" bestFit="1" customWidth="1"/>
    <col min="9226" max="9226" width="8.42578125" style="16" customWidth="1"/>
    <col min="9227" max="9231" width="7.8554687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20" style="16" customWidth="1"/>
    <col min="9475" max="9475" width="9.140625" style="16"/>
    <col min="9476" max="9476" width="7.42578125" style="16" customWidth="1"/>
    <col min="9477" max="9477" width="8.5703125" style="16" bestFit="1" customWidth="1"/>
    <col min="9478" max="9479" width="9.28515625" style="16" customWidth="1"/>
    <col min="9480" max="9480" width="8.140625" style="16" customWidth="1"/>
    <col min="9481" max="9481" width="7.140625" style="16" bestFit="1" customWidth="1"/>
    <col min="9482" max="9482" width="8.42578125" style="16" customWidth="1"/>
    <col min="9483" max="9487" width="7.8554687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20" style="16" customWidth="1"/>
    <col min="9731" max="9731" width="9.140625" style="16"/>
    <col min="9732" max="9732" width="7.42578125" style="16" customWidth="1"/>
    <col min="9733" max="9733" width="8.5703125" style="16" bestFit="1" customWidth="1"/>
    <col min="9734" max="9735" width="9.28515625" style="16" customWidth="1"/>
    <col min="9736" max="9736" width="8.140625" style="16" customWidth="1"/>
    <col min="9737" max="9737" width="7.140625" style="16" bestFit="1" customWidth="1"/>
    <col min="9738" max="9738" width="8.42578125" style="16" customWidth="1"/>
    <col min="9739" max="9743" width="7.8554687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20" style="16" customWidth="1"/>
    <col min="9987" max="9987" width="9.140625" style="16"/>
    <col min="9988" max="9988" width="7.42578125" style="16" customWidth="1"/>
    <col min="9989" max="9989" width="8.5703125" style="16" bestFit="1" customWidth="1"/>
    <col min="9990" max="9991" width="9.28515625" style="16" customWidth="1"/>
    <col min="9992" max="9992" width="8.140625" style="16" customWidth="1"/>
    <col min="9993" max="9993" width="7.140625" style="16" bestFit="1" customWidth="1"/>
    <col min="9994" max="9994" width="8.42578125" style="16" customWidth="1"/>
    <col min="9995" max="9999" width="7.8554687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20" style="16" customWidth="1"/>
    <col min="10243" max="10243" width="9.140625" style="16"/>
    <col min="10244" max="10244" width="7.42578125" style="16" customWidth="1"/>
    <col min="10245" max="10245" width="8.5703125" style="16" bestFit="1" customWidth="1"/>
    <col min="10246" max="10247" width="9.28515625" style="16" customWidth="1"/>
    <col min="10248" max="10248" width="8.140625" style="16" customWidth="1"/>
    <col min="10249" max="10249" width="7.140625" style="16" bestFit="1" customWidth="1"/>
    <col min="10250" max="10250" width="8.42578125" style="16" customWidth="1"/>
    <col min="10251" max="10255" width="7.8554687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20" style="16" customWidth="1"/>
    <col min="10499" max="10499" width="9.140625" style="16"/>
    <col min="10500" max="10500" width="7.42578125" style="16" customWidth="1"/>
    <col min="10501" max="10501" width="8.5703125" style="16" bestFit="1" customWidth="1"/>
    <col min="10502" max="10503" width="9.28515625" style="16" customWidth="1"/>
    <col min="10504" max="10504" width="8.140625" style="16" customWidth="1"/>
    <col min="10505" max="10505" width="7.140625" style="16" bestFit="1" customWidth="1"/>
    <col min="10506" max="10506" width="8.42578125" style="16" customWidth="1"/>
    <col min="10507" max="10511" width="7.8554687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20" style="16" customWidth="1"/>
    <col min="10755" max="10755" width="9.140625" style="16"/>
    <col min="10756" max="10756" width="7.42578125" style="16" customWidth="1"/>
    <col min="10757" max="10757" width="8.5703125" style="16" bestFit="1" customWidth="1"/>
    <col min="10758" max="10759" width="9.28515625" style="16" customWidth="1"/>
    <col min="10760" max="10760" width="8.140625" style="16" customWidth="1"/>
    <col min="10761" max="10761" width="7.140625" style="16" bestFit="1" customWidth="1"/>
    <col min="10762" max="10762" width="8.42578125" style="16" customWidth="1"/>
    <col min="10763" max="10767" width="7.8554687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20" style="16" customWidth="1"/>
    <col min="11011" max="11011" width="9.140625" style="16"/>
    <col min="11012" max="11012" width="7.42578125" style="16" customWidth="1"/>
    <col min="11013" max="11013" width="8.5703125" style="16" bestFit="1" customWidth="1"/>
    <col min="11014" max="11015" width="9.28515625" style="16" customWidth="1"/>
    <col min="11016" max="11016" width="8.140625" style="16" customWidth="1"/>
    <col min="11017" max="11017" width="7.140625" style="16" bestFit="1" customWidth="1"/>
    <col min="11018" max="11018" width="8.42578125" style="16" customWidth="1"/>
    <col min="11019" max="11023" width="7.8554687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20" style="16" customWidth="1"/>
    <col min="11267" max="11267" width="9.140625" style="16"/>
    <col min="11268" max="11268" width="7.42578125" style="16" customWidth="1"/>
    <col min="11269" max="11269" width="8.5703125" style="16" bestFit="1" customWidth="1"/>
    <col min="11270" max="11271" width="9.28515625" style="16" customWidth="1"/>
    <col min="11272" max="11272" width="8.140625" style="16" customWidth="1"/>
    <col min="11273" max="11273" width="7.140625" style="16" bestFit="1" customWidth="1"/>
    <col min="11274" max="11274" width="8.42578125" style="16" customWidth="1"/>
    <col min="11275" max="11279" width="7.8554687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20" style="16" customWidth="1"/>
    <col min="11523" max="11523" width="9.140625" style="16"/>
    <col min="11524" max="11524" width="7.42578125" style="16" customWidth="1"/>
    <col min="11525" max="11525" width="8.5703125" style="16" bestFit="1" customWidth="1"/>
    <col min="11526" max="11527" width="9.28515625" style="16" customWidth="1"/>
    <col min="11528" max="11528" width="8.140625" style="16" customWidth="1"/>
    <col min="11529" max="11529" width="7.140625" style="16" bestFit="1" customWidth="1"/>
    <col min="11530" max="11530" width="8.42578125" style="16" customWidth="1"/>
    <col min="11531" max="11535" width="7.8554687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20" style="16" customWidth="1"/>
    <col min="11779" max="11779" width="9.140625" style="16"/>
    <col min="11780" max="11780" width="7.42578125" style="16" customWidth="1"/>
    <col min="11781" max="11781" width="8.5703125" style="16" bestFit="1" customWidth="1"/>
    <col min="11782" max="11783" width="9.28515625" style="16" customWidth="1"/>
    <col min="11784" max="11784" width="8.140625" style="16" customWidth="1"/>
    <col min="11785" max="11785" width="7.140625" style="16" bestFit="1" customWidth="1"/>
    <col min="11786" max="11786" width="8.42578125" style="16" customWidth="1"/>
    <col min="11787" max="11791" width="7.8554687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20" style="16" customWidth="1"/>
    <col min="12035" max="12035" width="9.140625" style="16"/>
    <col min="12036" max="12036" width="7.42578125" style="16" customWidth="1"/>
    <col min="12037" max="12037" width="8.5703125" style="16" bestFit="1" customWidth="1"/>
    <col min="12038" max="12039" width="9.28515625" style="16" customWidth="1"/>
    <col min="12040" max="12040" width="8.140625" style="16" customWidth="1"/>
    <col min="12041" max="12041" width="7.140625" style="16" bestFit="1" customWidth="1"/>
    <col min="12042" max="12042" width="8.42578125" style="16" customWidth="1"/>
    <col min="12043" max="12047" width="7.8554687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20" style="16" customWidth="1"/>
    <col min="12291" max="12291" width="9.140625" style="16"/>
    <col min="12292" max="12292" width="7.42578125" style="16" customWidth="1"/>
    <col min="12293" max="12293" width="8.5703125" style="16" bestFit="1" customWidth="1"/>
    <col min="12294" max="12295" width="9.28515625" style="16" customWidth="1"/>
    <col min="12296" max="12296" width="8.140625" style="16" customWidth="1"/>
    <col min="12297" max="12297" width="7.140625" style="16" bestFit="1" customWidth="1"/>
    <col min="12298" max="12298" width="8.42578125" style="16" customWidth="1"/>
    <col min="12299" max="12303" width="7.8554687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20" style="16" customWidth="1"/>
    <col min="12547" max="12547" width="9.140625" style="16"/>
    <col min="12548" max="12548" width="7.42578125" style="16" customWidth="1"/>
    <col min="12549" max="12549" width="8.5703125" style="16" bestFit="1" customWidth="1"/>
    <col min="12550" max="12551" width="9.28515625" style="16" customWidth="1"/>
    <col min="12552" max="12552" width="8.140625" style="16" customWidth="1"/>
    <col min="12553" max="12553" width="7.140625" style="16" bestFit="1" customWidth="1"/>
    <col min="12554" max="12554" width="8.42578125" style="16" customWidth="1"/>
    <col min="12555" max="12559" width="7.8554687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20" style="16" customWidth="1"/>
    <col min="12803" max="12803" width="9.140625" style="16"/>
    <col min="12804" max="12804" width="7.42578125" style="16" customWidth="1"/>
    <col min="12805" max="12805" width="8.5703125" style="16" bestFit="1" customWidth="1"/>
    <col min="12806" max="12807" width="9.28515625" style="16" customWidth="1"/>
    <col min="12808" max="12808" width="8.140625" style="16" customWidth="1"/>
    <col min="12809" max="12809" width="7.140625" style="16" bestFit="1" customWidth="1"/>
    <col min="12810" max="12810" width="8.42578125" style="16" customWidth="1"/>
    <col min="12811" max="12815" width="7.8554687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20" style="16" customWidth="1"/>
    <col min="13059" max="13059" width="9.140625" style="16"/>
    <col min="13060" max="13060" width="7.42578125" style="16" customWidth="1"/>
    <col min="13061" max="13061" width="8.5703125" style="16" bestFit="1" customWidth="1"/>
    <col min="13062" max="13063" width="9.28515625" style="16" customWidth="1"/>
    <col min="13064" max="13064" width="8.140625" style="16" customWidth="1"/>
    <col min="13065" max="13065" width="7.140625" style="16" bestFit="1" customWidth="1"/>
    <col min="13066" max="13066" width="8.42578125" style="16" customWidth="1"/>
    <col min="13067" max="13071" width="7.8554687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20" style="16" customWidth="1"/>
    <col min="13315" max="13315" width="9.140625" style="16"/>
    <col min="13316" max="13316" width="7.42578125" style="16" customWidth="1"/>
    <col min="13317" max="13317" width="8.5703125" style="16" bestFit="1" customWidth="1"/>
    <col min="13318" max="13319" width="9.28515625" style="16" customWidth="1"/>
    <col min="13320" max="13320" width="8.140625" style="16" customWidth="1"/>
    <col min="13321" max="13321" width="7.140625" style="16" bestFit="1" customWidth="1"/>
    <col min="13322" max="13322" width="8.42578125" style="16" customWidth="1"/>
    <col min="13323" max="13327" width="7.8554687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20" style="16" customWidth="1"/>
    <col min="13571" max="13571" width="9.140625" style="16"/>
    <col min="13572" max="13572" width="7.42578125" style="16" customWidth="1"/>
    <col min="13573" max="13573" width="8.5703125" style="16" bestFit="1" customWidth="1"/>
    <col min="13574" max="13575" width="9.28515625" style="16" customWidth="1"/>
    <col min="13576" max="13576" width="8.140625" style="16" customWidth="1"/>
    <col min="13577" max="13577" width="7.140625" style="16" bestFit="1" customWidth="1"/>
    <col min="13578" max="13578" width="8.42578125" style="16" customWidth="1"/>
    <col min="13579" max="13583" width="7.8554687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20" style="16" customWidth="1"/>
    <col min="13827" max="13827" width="9.140625" style="16"/>
    <col min="13828" max="13828" width="7.42578125" style="16" customWidth="1"/>
    <col min="13829" max="13829" width="8.5703125" style="16" bestFit="1" customWidth="1"/>
    <col min="13830" max="13831" width="9.28515625" style="16" customWidth="1"/>
    <col min="13832" max="13832" width="8.140625" style="16" customWidth="1"/>
    <col min="13833" max="13833" width="7.140625" style="16" bestFit="1" customWidth="1"/>
    <col min="13834" max="13834" width="8.42578125" style="16" customWidth="1"/>
    <col min="13835" max="13839" width="7.8554687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20" style="16" customWidth="1"/>
    <col min="14083" max="14083" width="9.140625" style="16"/>
    <col min="14084" max="14084" width="7.42578125" style="16" customWidth="1"/>
    <col min="14085" max="14085" width="8.5703125" style="16" bestFit="1" customWidth="1"/>
    <col min="14086" max="14087" width="9.28515625" style="16" customWidth="1"/>
    <col min="14088" max="14088" width="8.140625" style="16" customWidth="1"/>
    <col min="14089" max="14089" width="7.140625" style="16" bestFit="1" customWidth="1"/>
    <col min="14090" max="14090" width="8.42578125" style="16" customWidth="1"/>
    <col min="14091" max="14095" width="7.8554687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20" style="16" customWidth="1"/>
    <col min="14339" max="14339" width="9.140625" style="16"/>
    <col min="14340" max="14340" width="7.42578125" style="16" customWidth="1"/>
    <col min="14341" max="14341" width="8.5703125" style="16" bestFit="1" customWidth="1"/>
    <col min="14342" max="14343" width="9.28515625" style="16" customWidth="1"/>
    <col min="14344" max="14344" width="8.140625" style="16" customWidth="1"/>
    <col min="14345" max="14345" width="7.140625" style="16" bestFit="1" customWidth="1"/>
    <col min="14346" max="14346" width="8.42578125" style="16" customWidth="1"/>
    <col min="14347" max="14351" width="7.8554687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20" style="16" customWidth="1"/>
    <col min="14595" max="14595" width="9.140625" style="16"/>
    <col min="14596" max="14596" width="7.42578125" style="16" customWidth="1"/>
    <col min="14597" max="14597" width="8.5703125" style="16" bestFit="1" customWidth="1"/>
    <col min="14598" max="14599" width="9.28515625" style="16" customWidth="1"/>
    <col min="14600" max="14600" width="8.140625" style="16" customWidth="1"/>
    <col min="14601" max="14601" width="7.140625" style="16" bestFit="1" customWidth="1"/>
    <col min="14602" max="14602" width="8.42578125" style="16" customWidth="1"/>
    <col min="14603" max="14607" width="7.8554687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20" style="16" customWidth="1"/>
    <col min="14851" max="14851" width="9.140625" style="16"/>
    <col min="14852" max="14852" width="7.42578125" style="16" customWidth="1"/>
    <col min="14853" max="14853" width="8.5703125" style="16" bestFit="1" customWidth="1"/>
    <col min="14854" max="14855" width="9.28515625" style="16" customWidth="1"/>
    <col min="14856" max="14856" width="8.140625" style="16" customWidth="1"/>
    <col min="14857" max="14857" width="7.140625" style="16" bestFit="1" customWidth="1"/>
    <col min="14858" max="14858" width="8.42578125" style="16" customWidth="1"/>
    <col min="14859" max="14863" width="7.8554687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20" style="16" customWidth="1"/>
    <col min="15107" max="15107" width="9.140625" style="16"/>
    <col min="15108" max="15108" width="7.42578125" style="16" customWidth="1"/>
    <col min="15109" max="15109" width="8.5703125" style="16" bestFit="1" customWidth="1"/>
    <col min="15110" max="15111" width="9.28515625" style="16" customWidth="1"/>
    <col min="15112" max="15112" width="8.140625" style="16" customWidth="1"/>
    <col min="15113" max="15113" width="7.140625" style="16" bestFit="1" customWidth="1"/>
    <col min="15114" max="15114" width="8.42578125" style="16" customWidth="1"/>
    <col min="15115" max="15119" width="7.8554687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20" style="16" customWidth="1"/>
    <col min="15363" max="15363" width="9.140625" style="16"/>
    <col min="15364" max="15364" width="7.42578125" style="16" customWidth="1"/>
    <col min="15365" max="15365" width="8.5703125" style="16" bestFit="1" customWidth="1"/>
    <col min="15366" max="15367" width="9.28515625" style="16" customWidth="1"/>
    <col min="15368" max="15368" width="8.140625" style="16" customWidth="1"/>
    <col min="15369" max="15369" width="7.140625" style="16" bestFit="1" customWidth="1"/>
    <col min="15370" max="15370" width="8.42578125" style="16" customWidth="1"/>
    <col min="15371" max="15375" width="7.8554687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20" style="16" customWidth="1"/>
    <col min="15619" max="15619" width="9.140625" style="16"/>
    <col min="15620" max="15620" width="7.42578125" style="16" customWidth="1"/>
    <col min="15621" max="15621" width="8.5703125" style="16" bestFit="1" customWidth="1"/>
    <col min="15622" max="15623" width="9.28515625" style="16" customWidth="1"/>
    <col min="15624" max="15624" width="8.140625" style="16" customWidth="1"/>
    <col min="15625" max="15625" width="7.140625" style="16" bestFit="1" customWidth="1"/>
    <col min="15626" max="15626" width="8.42578125" style="16" customWidth="1"/>
    <col min="15627" max="15631" width="7.8554687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20" style="16" customWidth="1"/>
    <col min="15875" max="15875" width="9.140625" style="16"/>
    <col min="15876" max="15876" width="7.42578125" style="16" customWidth="1"/>
    <col min="15877" max="15877" width="8.5703125" style="16" bestFit="1" customWidth="1"/>
    <col min="15878" max="15879" width="9.28515625" style="16" customWidth="1"/>
    <col min="15880" max="15880" width="8.140625" style="16" customWidth="1"/>
    <col min="15881" max="15881" width="7.140625" style="16" bestFit="1" customWidth="1"/>
    <col min="15882" max="15882" width="8.42578125" style="16" customWidth="1"/>
    <col min="15883" max="15887" width="7.8554687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20" style="16" customWidth="1"/>
    <col min="16131" max="16131" width="9.140625" style="16"/>
    <col min="16132" max="16132" width="7.42578125" style="16" customWidth="1"/>
    <col min="16133" max="16133" width="8.5703125" style="16" bestFit="1" customWidth="1"/>
    <col min="16134" max="16135" width="9.28515625" style="16" customWidth="1"/>
    <col min="16136" max="16136" width="8.140625" style="16" customWidth="1"/>
    <col min="16137" max="16137" width="7.140625" style="16" bestFit="1" customWidth="1"/>
    <col min="16138" max="16138" width="8.42578125" style="16" customWidth="1"/>
    <col min="16139" max="16143" width="7.8554687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67" t="s">
        <v>100</v>
      </c>
      <c r="B1" s="868"/>
      <c r="C1" s="868"/>
      <c r="D1" s="869"/>
      <c r="E1" s="868"/>
      <c r="F1" s="868"/>
      <c r="G1" s="867" t="s">
        <v>102</v>
      </c>
      <c r="H1" s="869"/>
      <c r="I1" s="869" t="s">
        <v>1165</v>
      </c>
      <c r="J1" s="868"/>
      <c r="K1" s="868"/>
      <c r="L1" s="870"/>
      <c r="M1" s="870"/>
      <c r="N1" s="870"/>
      <c r="O1" s="870"/>
    </row>
    <row r="2" spans="1:15" s="1" customFormat="1" x14ac:dyDescent="0.2">
      <c r="A2" s="867" t="s">
        <v>103</v>
      </c>
      <c r="B2" s="868"/>
      <c r="C2" s="868"/>
      <c r="D2" s="869"/>
      <c r="E2" s="868"/>
      <c r="F2" s="868"/>
      <c r="G2" s="867" t="s">
        <v>104</v>
      </c>
      <c r="H2" s="869"/>
      <c r="I2" s="869" t="s">
        <v>105</v>
      </c>
      <c r="J2" s="868"/>
      <c r="K2" s="868"/>
      <c r="L2" s="870"/>
      <c r="M2" s="870"/>
      <c r="N2" s="870"/>
      <c r="O2" s="870"/>
    </row>
    <row r="3" spans="1:15" s="1" customFormat="1" x14ac:dyDescent="0.2">
      <c r="A3" s="867" t="s">
        <v>106</v>
      </c>
      <c r="B3" s="868"/>
      <c r="C3" s="868"/>
      <c r="D3" s="883"/>
      <c r="E3" s="868"/>
      <c r="F3" s="868"/>
      <c r="G3" s="867" t="s">
        <v>107</v>
      </c>
      <c r="H3" s="869"/>
      <c r="I3" s="869" t="s">
        <v>108</v>
      </c>
      <c r="J3" s="868"/>
      <c r="K3" s="868"/>
      <c r="L3" s="870"/>
      <c r="M3" s="870"/>
      <c r="N3" s="870"/>
      <c r="O3" s="870"/>
    </row>
    <row r="4" spans="1:15" s="1" customFormat="1" x14ac:dyDescent="0.2">
      <c r="A4" s="867" t="s">
        <v>109</v>
      </c>
      <c r="B4" s="868"/>
      <c r="C4" s="868"/>
      <c r="D4" s="869"/>
      <c r="E4" s="868"/>
      <c r="F4" s="868"/>
      <c r="G4" s="867" t="s">
        <v>110</v>
      </c>
      <c r="H4" s="869"/>
      <c r="I4" s="869" t="s">
        <v>478</v>
      </c>
      <c r="J4" s="868"/>
      <c r="K4" s="868"/>
      <c r="L4" s="870"/>
      <c r="M4" s="870"/>
      <c r="N4" s="870"/>
      <c r="O4" s="870"/>
    </row>
    <row r="5" spans="1:15" s="1" customFormat="1" x14ac:dyDescent="0.2">
      <c r="A5" s="867" t="s">
        <v>112</v>
      </c>
      <c r="B5" s="868"/>
      <c r="C5" s="868"/>
      <c r="D5" s="869"/>
      <c r="E5" s="868"/>
      <c r="F5" s="868"/>
      <c r="G5" s="867"/>
      <c r="H5" s="868"/>
      <c r="I5" s="869" t="s">
        <v>113</v>
      </c>
      <c r="J5" s="868"/>
      <c r="K5" s="868"/>
      <c r="L5" s="870"/>
      <c r="M5" s="870"/>
      <c r="N5" s="870"/>
      <c r="O5" s="870"/>
    </row>
    <row r="6" spans="1:15" s="1" customFormat="1" x14ac:dyDescent="0.2">
      <c r="A6" s="871" t="s">
        <v>114</v>
      </c>
      <c r="B6" s="872"/>
      <c r="C6" s="872"/>
      <c r="D6" s="868" t="s">
        <v>1166</v>
      </c>
      <c r="E6" s="868"/>
      <c r="F6" s="868"/>
      <c r="G6" s="871" t="s">
        <v>115</v>
      </c>
      <c r="H6" s="871"/>
      <c r="I6" s="2" t="s">
        <v>116</v>
      </c>
      <c r="J6" s="888"/>
      <c r="K6" s="888"/>
      <c r="L6" s="888"/>
      <c r="M6" s="888"/>
      <c r="N6" s="888"/>
      <c r="O6" s="889"/>
    </row>
    <row r="7" spans="1:15" s="1" customFormat="1" ht="13.5" thickBot="1" x14ac:dyDescent="0.25">
      <c r="A7" s="3"/>
      <c r="B7" s="4"/>
      <c r="C7" s="5"/>
      <c r="D7" s="6"/>
      <c r="E7" s="6"/>
      <c r="F7" s="6"/>
      <c r="G7" s="6"/>
      <c r="H7" s="6"/>
      <c r="I7" s="6"/>
      <c r="J7" s="7"/>
      <c r="K7" s="8"/>
      <c r="L7" s="875" t="s">
        <v>223</v>
      </c>
      <c r="M7" s="875"/>
      <c r="N7" s="875"/>
      <c r="O7" s="875"/>
    </row>
    <row r="8" spans="1:15" s="11" customFormat="1" x14ac:dyDescent="0.2">
      <c r="A8" s="876" t="str">
        <f>I1</f>
        <v>Mr.B.D.Rajput</v>
      </c>
      <c r="B8" s="877"/>
      <c r="C8" s="144">
        <v>43160</v>
      </c>
      <c r="D8" s="144">
        <v>43191</v>
      </c>
      <c r="E8" s="144">
        <v>43221</v>
      </c>
      <c r="F8" s="144">
        <v>43252</v>
      </c>
      <c r="G8" s="144">
        <v>43282</v>
      </c>
      <c r="H8" s="144">
        <v>43313</v>
      </c>
      <c r="I8" s="144">
        <v>43344</v>
      </c>
      <c r="J8" s="144">
        <v>43374</v>
      </c>
      <c r="K8" s="144">
        <v>43405</v>
      </c>
      <c r="L8" s="144">
        <v>43435</v>
      </c>
      <c r="M8" s="144">
        <v>43466</v>
      </c>
      <c r="N8" s="144">
        <v>43497</v>
      </c>
      <c r="O8" s="10" t="s">
        <v>117</v>
      </c>
    </row>
    <row r="9" spans="1:15" ht="15" x14ac:dyDescent="0.2">
      <c r="A9" s="12"/>
      <c r="B9" s="13" t="s">
        <v>118</v>
      </c>
      <c r="C9" s="14">
        <v>101700</v>
      </c>
      <c r="D9" s="14">
        <v>101700</v>
      </c>
      <c r="E9" s="14">
        <v>101700</v>
      </c>
      <c r="F9" s="14">
        <v>101700</v>
      </c>
      <c r="G9" s="14">
        <v>104800</v>
      </c>
      <c r="H9" s="14">
        <v>104800</v>
      </c>
      <c r="I9" s="14">
        <v>104800</v>
      </c>
      <c r="J9" s="14">
        <v>104800</v>
      </c>
      <c r="K9" s="14">
        <v>110700</v>
      </c>
      <c r="L9" s="14">
        <v>110700</v>
      </c>
      <c r="M9" s="14">
        <v>110700</v>
      </c>
      <c r="N9" s="14">
        <v>110700</v>
      </c>
      <c r="O9" s="15">
        <f t="shared" ref="O9:O50" si="0">SUM(C9:N9)</f>
        <v>1268800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 t="shared" si="0"/>
        <v>0</v>
      </c>
    </row>
    <row r="11" spans="1:15" ht="15" x14ac:dyDescent="0.2">
      <c r="A11" s="12"/>
      <c r="B11" s="13" t="s">
        <v>120</v>
      </c>
      <c r="C11" s="17">
        <v>5085</v>
      </c>
      <c r="D11" s="17">
        <v>7119</v>
      </c>
      <c r="E11" s="17">
        <v>7119</v>
      </c>
      <c r="F11" s="17">
        <v>7119</v>
      </c>
      <c r="G11" s="17">
        <v>7336</v>
      </c>
      <c r="H11" s="17">
        <v>7336</v>
      </c>
      <c r="I11" s="17">
        <v>7336</v>
      </c>
      <c r="J11" s="17">
        <v>9432</v>
      </c>
      <c r="K11" s="17">
        <f>K9*9%</f>
        <v>9963</v>
      </c>
      <c r="L11" s="17">
        <f>L9*9%</f>
        <v>9963</v>
      </c>
      <c r="M11" s="17">
        <f>M9*9%</f>
        <v>9963</v>
      </c>
      <c r="N11" s="17">
        <f>N9*9%</f>
        <v>9963</v>
      </c>
      <c r="O11" s="18">
        <f t="shared" si="0"/>
        <v>97734</v>
      </c>
    </row>
    <row r="12" spans="1:15"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 t="shared" si="0"/>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si="0"/>
        <v>0</v>
      </c>
    </row>
    <row r="14" spans="1:15" ht="15" x14ac:dyDescent="0.2">
      <c r="A14" s="12"/>
      <c r="B14" s="13" t="s">
        <v>123</v>
      </c>
      <c r="C14" s="17">
        <v>7560</v>
      </c>
      <c r="D14" s="17">
        <v>7704</v>
      </c>
      <c r="E14" s="17">
        <v>7704</v>
      </c>
      <c r="F14" s="17">
        <v>7704</v>
      </c>
      <c r="G14" s="17">
        <v>7704</v>
      </c>
      <c r="H14" s="17">
        <v>7704</v>
      </c>
      <c r="I14" s="17">
        <v>7704</v>
      </c>
      <c r="J14" s="17">
        <v>7848</v>
      </c>
      <c r="K14" s="17">
        <v>7848</v>
      </c>
      <c r="L14" s="17">
        <v>7848</v>
      </c>
      <c r="M14" s="17">
        <v>7848</v>
      </c>
      <c r="N14" s="17">
        <v>7848</v>
      </c>
      <c r="O14" s="18">
        <f t="shared" si="0"/>
        <v>93024</v>
      </c>
    </row>
    <row r="15" spans="1:15"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24408</v>
      </c>
      <c r="D19" s="17">
        <v>24408</v>
      </c>
      <c r="E19" s="17">
        <v>24408</v>
      </c>
      <c r="F19" s="17">
        <v>24408</v>
      </c>
      <c r="G19" s="17">
        <v>25152</v>
      </c>
      <c r="H19" s="17">
        <v>25152</v>
      </c>
      <c r="I19" s="17">
        <v>25152</v>
      </c>
      <c r="J19" s="17">
        <v>25152</v>
      </c>
      <c r="K19" s="17">
        <v>25152</v>
      </c>
      <c r="L19" s="17">
        <v>25152</v>
      </c>
      <c r="M19" s="17">
        <v>25152</v>
      </c>
      <c r="N19" s="17">
        <v>25152</v>
      </c>
      <c r="O19" s="18">
        <f t="shared" si="0"/>
        <v>298848</v>
      </c>
    </row>
    <row r="20" spans="1:15" ht="15" customHeight="1" x14ac:dyDescent="0.2">
      <c r="A20" s="12"/>
      <c r="B20" s="13" t="s">
        <v>141</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78"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79"/>
      <c r="B22" s="19" t="s">
        <v>132</v>
      </c>
      <c r="C22" s="17">
        <v>0</v>
      </c>
      <c r="D22" s="17">
        <v>0</v>
      </c>
      <c r="E22" s="17">
        <v>0</v>
      </c>
      <c r="F22" s="17">
        <v>0</v>
      </c>
      <c r="G22" s="17">
        <v>0</v>
      </c>
      <c r="H22" s="17">
        <v>0</v>
      </c>
      <c r="I22" s="17">
        <v>0</v>
      </c>
      <c r="J22" s="17">
        <v>0</v>
      </c>
      <c r="K22" s="17">
        <v>0</v>
      </c>
      <c r="L22" s="17">
        <v>0</v>
      </c>
      <c r="M22" s="17">
        <v>0</v>
      </c>
      <c r="N22" s="17">
        <v>0</v>
      </c>
      <c r="O22" s="18">
        <f t="shared" si="0"/>
        <v>0</v>
      </c>
    </row>
    <row r="23" spans="1:15" ht="15" hidden="1" customHeight="1" x14ac:dyDescent="0.2">
      <c r="A23" s="879"/>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79"/>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79"/>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79"/>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79"/>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79"/>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79"/>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79"/>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79"/>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79"/>
      <c r="B32" s="21" t="s">
        <v>142</v>
      </c>
      <c r="C32" s="17">
        <v>0</v>
      </c>
      <c r="D32" s="17">
        <v>0</v>
      </c>
      <c r="E32" s="17">
        <v>0</v>
      </c>
      <c r="F32" s="17">
        <v>0</v>
      </c>
      <c r="G32" s="17">
        <v>0</v>
      </c>
      <c r="H32" s="17">
        <v>0</v>
      </c>
      <c r="I32" s="17">
        <v>0</v>
      </c>
      <c r="J32" s="17">
        <v>0</v>
      </c>
      <c r="K32" s="17">
        <v>0</v>
      </c>
      <c r="L32" s="17">
        <v>0</v>
      </c>
      <c r="M32" s="17">
        <v>0</v>
      </c>
      <c r="N32" s="17">
        <v>0</v>
      </c>
      <c r="O32" s="18">
        <f t="shared" si="0"/>
        <v>0</v>
      </c>
    </row>
    <row r="33" spans="1:16" ht="15" hidden="1" customHeight="1" x14ac:dyDescent="0.2">
      <c r="A33" s="880"/>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865" t="s">
        <v>144</v>
      </c>
      <c r="B34" s="866"/>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865" t="s">
        <v>145</v>
      </c>
      <c r="B35" s="866"/>
      <c r="C35" s="17">
        <v>0</v>
      </c>
      <c r="D35" s="17">
        <v>432</v>
      </c>
      <c r="E35" s="17">
        <v>0</v>
      </c>
      <c r="F35" s="17">
        <v>0</v>
      </c>
      <c r="G35" s="17">
        <v>0</v>
      </c>
      <c r="H35" s="17">
        <v>0</v>
      </c>
      <c r="I35" s="17">
        <v>0</v>
      </c>
      <c r="J35" s="17">
        <v>432</v>
      </c>
      <c r="K35" s="17">
        <v>0</v>
      </c>
      <c r="L35" s="17">
        <v>0</v>
      </c>
      <c r="M35" s="17">
        <v>0</v>
      </c>
      <c r="N35" s="17">
        <v>0</v>
      </c>
      <c r="O35" s="18">
        <f t="shared" si="0"/>
        <v>864</v>
      </c>
    </row>
    <row r="36" spans="1:16" ht="15" customHeight="1" x14ac:dyDescent="0.2">
      <c r="A36" s="865" t="s">
        <v>146</v>
      </c>
      <c r="B36" s="866"/>
      <c r="C36" s="17">
        <v>0</v>
      </c>
      <c r="D36" s="17">
        <v>6102</v>
      </c>
      <c r="E36" s="17">
        <v>0</v>
      </c>
      <c r="F36" s="17">
        <v>0</v>
      </c>
      <c r="G36" s="17">
        <v>0</v>
      </c>
      <c r="H36" s="17">
        <v>0</v>
      </c>
      <c r="I36" s="17">
        <v>0</v>
      </c>
      <c r="J36" s="17">
        <v>6288</v>
      </c>
      <c r="K36" s="17">
        <v>0</v>
      </c>
      <c r="L36" s="17">
        <v>0</v>
      </c>
      <c r="M36" s="17">
        <v>0</v>
      </c>
      <c r="N36" s="17">
        <v>0</v>
      </c>
      <c r="O36" s="18">
        <f t="shared" si="0"/>
        <v>12390</v>
      </c>
    </row>
    <row r="37" spans="1:16" ht="15" customHeight="1" x14ac:dyDescent="0.2">
      <c r="A37" s="22"/>
      <c r="B37" s="23" t="s">
        <v>147</v>
      </c>
      <c r="C37" s="24">
        <f t="shared" ref="C37:N37" si="1">SUM(C9:C36)</f>
        <v>138753</v>
      </c>
      <c r="D37" s="24">
        <f t="shared" si="1"/>
        <v>147465</v>
      </c>
      <c r="E37" s="24">
        <f t="shared" si="1"/>
        <v>140931</v>
      </c>
      <c r="F37" s="24">
        <f t="shared" si="1"/>
        <v>140931</v>
      </c>
      <c r="G37" s="24">
        <f t="shared" si="1"/>
        <v>144992</v>
      </c>
      <c r="H37" s="24">
        <f t="shared" si="1"/>
        <v>144992</v>
      </c>
      <c r="I37" s="24">
        <f t="shared" si="1"/>
        <v>144992</v>
      </c>
      <c r="J37" s="24">
        <f t="shared" si="1"/>
        <v>153952</v>
      </c>
      <c r="K37" s="24">
        <f t="shared" si="1"/>
        <v>153663</v>
      </c>
      <c r="L37" s="24">
        <f t="shared" si="1"/>
        <v>153663</v>
      </c>
      <c r="M37" s="24">
        <f t="shared" si="1"/>
        <v>153663</v>
      </c>
      <c r="N37" s="24">
        <f t="shared" si="1"/>
        <v>153663</v>
      </c>
      <c r="O37" s="25">
        <f t="shared" si="0"/>
        <v>1771660</v>
      </c>
    </row>
    <row r="38" spans="1:16" ht="15" customHeight="1" x14ac:dyDescent="0.25">
      <c r="A38" s="853" t="s">
        <v>148</v>
      </c>
      <c r="B38" s="27" t="s">
        <v>149</v>
      </c>
      <c r="C38" s="147">
        <v>17000</v>
      </c>
      <c r="D38" s="147">
        <v>17000</v>
      </c>
      <c r="E38" s="147">
        <v>17000</v>
      </c>
      <c r="F38" s="147">
        <v>17000</v>
      </c>
      <c r="G38" s="147">
        <v>17000</v>
      </c>
      <c r="H38" s="147">
        <v>17000</v>
      </c>
      <c r="I38" s="147">
        <v>17000</v>
      </c>
      <c r="J38" s="147">
        <v>17000</v>
      </c>
      <c r="K38" s="147">
        <v>40000</v>
      </c>
      <c r="L38" s="147">
        <v>40000</v>
      </c>
      <c r="M38" s="147">
        <v>39420</v>
      </c>
      <c r="N38">
        <v>42283</v>
      </c>
      <c r="O38" s="18">
        <f t="shared" si="0"/>
        <v>297703</v>
      </c>
      <c r="P38" s="29"/>
    </row>
    <row r="39" spans="1:16" ht="15" x14ac:dyDescent="0.2">
      <c r="A39" s="854"/>
      <c r="B39" s="27" t="s">
        <v>150</v>
      </c>
      <c r="C39" s="147">
        <v>0</v>
      </c>
      <c r="D39" s="147">
        <v>0</v>
      </c>
      <c r="E39" s="147">
        <v>0</v>
      </c>
      <c r="F39" s="147">
        <v>0</v>
      </c>
      <c r="G39" s="147">
        <v>0</v>
      </c>
      <c r="H39" s="147">
        <v>0</v>
      </c>
      <c r="I39" s="147">
        <v>0</v>
      </c>
      <c r="J39" s="147">
        <v>0</v>
      </c>
      <c r="K39" s="147">
        <v>0</v>
      </c>
      <c r="L39" s="147">
        <v>0</v>
      </c>
      <c r="M39" s="147">
        <v>0</v>
      </c>
      <c r="N39" s="147">
        <v>0</v>
      </c>
      <c r="O39" s="18">
        <f t="shared" si="0"/>
        <v>0</v>
      </c>
    </row>
    <row r="40" spans="1:16" ht="15" x14ac:dyDescent="0.2">
      <c r="A40" s="854"/>
      <c r="B40" s="27" t="s">
        <v>151</v>
      </c>
      <c r="C40" s="147">
        <v>60</v>
      </c>
      <c r="D40" s="147">
        <v>60</v>
      </c>
      <c r="E40" s="147">
        <v>60</v>
      </c>
      <c r="F40" s="147">
        <v>60</v>
      </c>
      <c r="G40" s="147">
        <v>60</v>
      </c>
      <c r="H40" s="147">
        <v>60</v>
      </c>
      <c r="I40" s="147">
        <v>60</v>
      </c>
      <c r="J40" s="147">
        <v>60</v>
      </c>
      <c r="K40" s="147">
        <v>60</v>
      </c>
      <c r="L40" s="147">
        <v>60</v>
      </c>
      <c r="M40" s="147">
        <v>60</v>
      </c>
      <c r="N40" s="147">
        <v>60</v>
      </c>
      <c r="O40" s="18">
        <f t="shared" si="0"/>
        <v>720</v>
      </c>
    </row>
    <row r="41" spans="1:16" ht="15" x14ac:dyDescent="0.2">
      <c r="A41" s="854"/>
      <c r="B41" s="27" t="s">
        <v>152</v>
      </c>
      <c r="C41" s="147">
        <v>0</v>
      </c>
      <c r="D41" s="147">
        <v>0</v>
      </c>
      <c r="E41" s="147">
        <v>0</v>
      </c>
      <c r="F41" s="147">
        <v>0</v>
      </c>
      <c r="G41" s="147">
        <v>0</v>
      </c>
      <c r="H41" s="147">
        <v>0</v>
      </c>
      <c r="I41" s="147">
        <v>0</v>
      </c>
      <c r="J41" s="147">
        <v>0</v>
      </c>
      <c r="K41" s="147">
        <v>0</v>
      </c>
      <c r="L41" s="147">
        <v>0</v>
      </c>
      <c r="M41" s="147">
        <v>0</v>
      </c>
      <c r="N41" s="147">
        <v>0</v>
      </c>
      <c r="O41" s="18">
        <f t="shared" si="0"/>
        <v>0</v>
      </c>
    </row>
    <row r="42" spans="1:16" ht="15" x14ac:dyDescent="0.2">
      <c r="A42" s="854"/>
      <c r="B42" s="27" t="s">
        <v>153</v>
      </c>
      <c r="C42" s="147">
        <v>0</v>
      </c>
      <c r="D42" s="147">
        <v>0</v>
      </c>
      <c r="E42" s="147">
        <v>0</v>
      </c>
      <c r="F42" s="147">
        <v>0</v>
      </c>
      <c r="G42" s="147">
        <v>0</v>
      </c>
      <c r="H42" s="147">
        <v>0</v>
      </c>
      <c r="I42" s="147">
        <v>0</v>
      </c>
      <c r="J42" s="147">
        <v>0</v>
      </c>
      <c r="K42" s="147">
        <v>0</v>
      </c>
      <c r="L42" s="147">
        <v>0</v>
      </c>
      <c r="M42" s="147">
        <v>0</v>
      </c>
      <c r="N42" s="147">
        <v>0</v>
      </c>
      <c r="O42" s="18">
        <f t="shared" si="0"/>
        <v>0</v>
      </c>
    </row>
    <row r="43" spans="1:16" ht="15" x14ac:dyDescent="0.2">
      <c r="A43" s="854"/>
      <c r="B43" s="27" t="s">
        <v>154</v>
      </c>
      <c r="C43" s="147">
        <v>20000</v>
      </c>
      <c r="D43" s="147">
        <v>20000</v>
      </c>
      <c r="E43" s="147">
        <v>20000</v>
      </c>
      <c r="F43" s="147">
        <v>20000</v>
      </c>
      <c r="G43" s="147">
        <v>20000</v>
      </c>
      <c r="H43" s="147">
        <v>20000</v>
      </c>
      <c r="I43" s="147">
        <v>20000</v>
      </c>
      <c r="J43" s="147">
        <v>20000</v>
      </c>
      <c r="K43" s="147">
        <v>20000</v>
      </c>
      <c r="L43" s="147">
        <v>20000</v>
      </c>
      <c r="M43" s="147">
        <v>20000</v>
      </c>
      <c r="N43" s="147">
        <v>20000</v>
      </c>
      <c r="O43" s="18">
        <f t="shared" si="0"/>
        <v>240000</v>
      </c>
      <c r="P43" s="170"/>
    </row>
    <row r="44" spans="1:16" ht="15" x14ac:dyDescent="0.2">
      <c r="A44" s="854"/>
      <c r="B44" s="27" t="s">
        <v>155</v>
      </c>
      <c r="C44" s="147">
        <v>200</v>
      </c>
      <c r="D44" s="147">
        <v>200</v>
      </c>
      <c r="E44" s="147">
        <v>200</v>
      </c>
      <c r="F44" s="147">
        <v>200</v>
      </c>
      <c r="G44" s="147">
        <v>200</v>
      </c>
      <c r="H44" s="147">
        <v>200</v>
      </c>
      <c r="I44" s="147">
        <v>200</v>
      </c>
      <c r="J44" s="147">
        <v>200</v>
      </c>
      <c r="K44" s="147">
        <v>200</v>
      </c>
      <c r="L44" s="147">
        <v>200</v>
      </c>
      <c r="M44" s="147">
        <v>200</v>
      </c>
      <c r="N44" s="147">
        <v>300</v>
      </c>
      <c r="O44" s="18">
        <f t="shared" si="0"/>
        <v>2500</v>
      </c>
    </row>
    <row r="45" spans="1:16" ht="15" x14ac:dyDescent="0.2">
      <c r="A45" s="854"/>
      <c r="B45" s="27" t="s">
        <v>156</v>
      </c>
      <c r="C45" s="147">
        <v>0</v>
      </c>
      <c r="D45" s="147">
        <v>0</v>
      </c>
      <c r="E45" s="147">
        <v>0</v>
      </c>
      <c r="F45" s="147">
        <v>0</v>
      </c>
      <c r="G45" s="147">
        <v>0</v>
      </c>
      <c r="H45" s="147">
        <v>0</v>
      </c>
      <c r="I45" s="147">
        <v>0</v>
      </c>
      <c r="J45" s="147">
        <v>0</v>
      </c>
      <c r="K45" s="147">
        <v>0</v>
      </c>
      <c r="L45" s="147">
        <v>0</v>
      </c>
      <c r="M45" s="147">
        <v>0</v>
      </c>
      <c r="N45" s="147">
        <v>0</v>
      </c>
      <c r="O45" s="18">
        <f t="shared" si="0"/>
        <v>0</v>
      </c>
    </row>
    <row r="46" spans="1:16" ht="15" x14ac:dyDescent="0.2">
      <c r="A46" s="854"/>
      <c r="B46" s="27" t="s">
        <v>157</v>
      </c>
      <c r="C46" s="147">
        <v>0</v>
      </c>
      <c r="D46" s="147">
        <v>0</v>
      </c>
      <c r="E46" s="147">
        <v>0</v>
      </c>
      <c r="F46" s="147">
        <v>0</v>
      </c>
      <c r="G46" s="147">
        <v>0</v>
      </c>
      <c r="H46" s="147">
        <v>0</v>
      </c>
      <c r="I46" s="147">
        <v>0</v>
      </c>
      <c r="J46" s="147">
        <v>0</v>
      </c>
      <c r="K46" s="147">
        <v>0</v>
      </c>
      <c r="L46" s="147">
        <v>0</v>
      </c>
      <c r="M46" s="147">
        <v>0</v>
      </c>
      <c r="N46" s="147">
        <v>0</v>
      </c>
      <c r="O46" s="18">
        <f t="shared" si="0"/>
        <v>0</v>
      </c>
    </row>
    <row r="47" spans="1:16" ht="28.5" customHeight="1" x14ac:dyDescent="0.2">
      <c r="A47" s="855"/>
      <c r="B47" s="30" t="s">
        <v>158</v>
      </c>
      <c r="C47" s="147">
        <v>0</v>
      </c>
      <c r="D47" s="147">
        <v>0</v>
      </c>
      <c r="E47" s="147">
        <v>0</v>
      </c>
      <c r="F47" s="147">
        <v>0</v>
      </c>
      <c r="G47" s="147">
        <v>0</v>
      </c>
      <c r="H47" s="147">
        <v>0</v>
      </c>
      <c r="I47" s="147">
        <v>0</v>
      </c>
      <c r="J47" s="147">
        <v>0</v>
      </c>
      <c r="K47" s="147">
        <v>0</v>
      </c>
      <c r="L47" s="147">
        <v>0</v>
      </c>
      <c r="M47" s="147">
        <v>0</v>
      </c>
      <c r="N47" s="147">
        <v>0</v>
      </c>
      <c r="O47" s="31">
        <f t="shared" si="0"/>
        <v>0</v>
      </c>
    </row>
    <row r="48" spans="1:16" ht="23.25" x14ac:dyDescent="0.2">
      <c r="A48" s="856"/>
      <c r="B48" s="160" t="s">
        <v>1156</v>
      </c>
      <c r="C48" s="147">
        <v>0</v>
      </c>
      <c r="D48" s="147">
        <v>0</v>
      </c>
      <c r="E48" s="147">
        <v>0</v>
      </c>
      <c r="F48" s="147">
        <v>0</v>
      </c>
      <c r="G48" s="147">
        <v>0</v>
      </c>
      <c r="H48" s="147">
        <v>0</v>
      </c>
      <c r="I48" s="147">
        <v>0</v>
      </c>
      <c r="J48" s="147">
        <v>0</v>
      </c>
      <c r="K48" s="147">
        <v>0</v>
      </c>
      <c r="L48" s="147">
        <v>0</v>
      </c>
      <c r="M48" s="147">
        <v>0</v>
      </c>
      <c r="N48" s="147">
        <v>0</v>
      </c>
      <c r="O48" s="31">
        <f t="shared" si="0"/>
        <v>0</v>
      </c>
    </row>
    <row r="49" spans="1:18" ht="15" x14ac:dyDescent="0.2">
      <c r="A49" s="857" t="s">
        <v>160</v>
      </c>
      <c r="B49" s="858"/>
      <c r="C49" s="33">
        <f>SUM(C38:C48)</f>
        <v>37260</v>
      </c>
      <c r="D49" s="33">
        <f t="shared" ref="D49:N49" si="2">SUM(D38:D48)</f>
        <v>37260</v>
      </c>
      <c r="E49" s="33">
        <f t="shared" si="2"/>
        <v>37260</v>
      </c>
      <c r="F49" s="33">
        <f t="shared" si="2"/>
        <v>37260</v>
      </c>
      <c r="G49" s="33">
        <f t="shared" si="2"/>
        <v>37260</v>
      </c>
      <c r="H49" s="33">
        <f t="shared" si="2"/>
        <v>37260</v>
      </c>
      <c r="I49" s="33">
        <f t="shared" si="2"/>
        <v>37260</v>
      </c>
      <c r="J49" s="33">
        <f t="shared" si="2"/>
        <v>37260</v>
      </c>
      <c r="K49" s="33">
        <f t="shared" si="2"/>
        <v>60260</v>
      </c>
      <c r="L49" s="33">
        <f t="shared" si="2"/>
        <v>60260</v>
      </c>
      <c r="M49" s="33">
        <f t="shared" si="2"/>
        <v>59680</v>
      </c>
      <c r="N49" s="33">
        <f t="shared" si="2"/>
        <v>62643</v>
      </c>
      <c r="O49" s="34">
        <f t="shared" si="0"/>
        <v>540923</v>
      </c>
    </row>
    <row r="50" spans="1:18" ht="15.75" thickBot="1" x14ac:dyDescent="0.25">
      <c r="A50" s="859" t="s">
        <v>161</v>
      </c>
      <c r="B50" s="860"/>
      <c r="C50" s="35">
        <f>C37-C49</f>
        <v>101493</v>
      </c>
      <c r="D50" s="35">
        <f t="shared" ref="D50:N50" si="3">D37-D49</f>
        <v>110205</v>
      </c>
      <c r="E50" s="35">
        <f t="shared" si="3"/>
        <v>103671</v>
      </c>
      <c r="F50" s="35">
        <f t="shared" si="3"/>
        <v>103671</v>
      </c>
      <c r="G50" s="35">
        <f t="shared" si="3"/>
        <v>107732</v>
      </c>
      <c r="H50" s="35">
        <f t="shared" si="3"/>
        <v>107732</v>
      </c>
      <c r="I50" s="35">
        <f t="shared" si="3"/>
        <v>107732</v>
      </c>
      <c r="J50" s="35">
        <f t="shared" si="3"/>
        <v>116692</v>
      </c>
      <c r="K50" s="35">
        <f t="shared" si="3"/>
        <v>93403</v>
      </c>
      <c r="L50" s="35">
        <f t="shared" si="3"/>
        <v>93403</v>
      </c>
      <c r="M50" s="35">
        <f t="shared" si="3"/>
        <v>93983</v>
      </c>
      <c r="N50" s="35">
        <f t="shared" si="3"/>
        <v>91020</v>
      </c>
      <c r="O50" s="36">
        <f t="shared" si="0"/>
        <v>1230737</v>
      </c>
      <c r="Q50" s="16">
        <f>15681+15381+3832+16229+16349+17321*2+2300+17321+3690+3454+18551+18176*3+18076</f>
        <v>220034</v>
      </c>
    </row>
    <row r="51" spans="1:18" x14ac:dyDescent="0.2">
      <c r="J51" s="409">
        <f>+J37-SUM(J22:J36)</f>
        <v>147232</v>
      </c>
    </row>
    <row r="52" spans="1:18" ht="13.5" thickBot="1" x14ac:dyDescent="0.25">
      <c r="J52" s="38">
        <f>+J51-J49</f>
        <v>109972</v>
      </c>
    </row>
    <row r="53" spans="1:18" ht="13.5" thickBot="1" x14ac:dyDescent="0.25">
      <c r="B53" s="789" t="s">
        <v>162</v>
      </c>
      <c r="C53" s="861"/>
      <c r="D53" s="861"/>
      <c r="E53" s="861"/>
      <c r="F53" s="862"/>
      <c r="G53" s="863">
        <f>O37</f>
        <v>1771660</v>
      </c>
      <c r="H53" s="864"/>
    </row>
    <row r="54" spans="1:18" ht="13.5" thickBot="1" x14ac:dyDescent="0.25"/>
    <row r="55" spans="1:18" x14ac:dyDescent="0.2">
      <c r="B55" s="830" t="s">
        <v>163</v>
      </c>
      <c r="C55" s="833" t="s">
        <v>164</v>
      </c>
      <c r="D55" s="836" t="s">
        <v>229</v>
      </c>
      <c r="E55" s="837"/>
      <c r="F55" s="838"/>
      <c r="G55" s="839">
        <v>40000</v>
      </c>
      <c r="H55" s="840"/>
    </row>
    <row r="56" spans="1:18" x14ac:dyDescent="0.2">
      <c r="B56" s="831"/>
      <c r="C56" s="834"/>
      <c r="D56" s="841" t="s">
        <v>166</v>
      </c>
      <c r="E56" s="842"/>
      <c r="F56" s="843"/>
      <c r="G56" s="844">
        <f>+O44</f>
        <v>2500</v>
      </c>
      <c r="H56" s="845"/>
      <c r="I56" s="39"/>
      <c r="J56" s="846"/>
      <c r="K56" s="846"/>
      <c r="L56" s="846"/>
      <c r="M56" s="847"/>
      <c r="N56" s="847"/>
      <c r="O56" s="847"/>
    </row>
    <row r="57" spans="1:18" ht="13.5" thickBot="1" x14ac:dyDescent="0.25">
      <c r="B57" s="832"/>
      <c r="C57" s="835"/>
      <c r="D57" s="848" t="s">
        <v>266</v>
      </c>
      <c r="E57" s="849"/>
      <c r="F57" s="850"/>
      <c r="G57" s="851">
        <v>0</v>
      </c>
      <c r="H57" s="852"/>
      <c r="J57" s="47"/>
      <c r="K57" s="47"/>
      <c r="L57" s="47"/>
      <c r="M57" s="47"/>
      <c r="N57" s="47"/>
      <c r="O57" s="47"/>
    </row>
    <row r="58" spans="1:18" ht="13.5" thickBot="1" x14ac:dyDescent="0.25">
      <c r="B58" s="48"/>
      <c r="J58" s="47"/>
      <c r="K58" s="47"/>
      <c r="L58" s="47"/>
      <c r="M58" s="47"/>
      <c r="N58" s="47"/>
      <c r="O58" s="47"/>
    </row>
    <row r="59" spans="1:18" ht="13.5" thickBot="1" x14ac:dyDescent="0.25">
      <c r="B59" s="789" t="s">
        <v>168</v>
      </c>
      <c r="C59" s="790"/>
      <c r="D59" s="790"/>
      <c r="E59" s="790"/>
      <c r="F59" s="791"/>
      <c r="G59" s="825">
        <f>+G53-SUM(G55:H57)</f>
        <v>1729160</v>
      </c>
      <c r="H59" s="826"/>
      <c r="J59" s="827" t="s">
        <v>169</v>
      </c>
      <c r="K59" s="828"/>
      <c r="L59" s="828"/>
      <c r="M59" s="828"/>
      <c r="N59" s="828"/>
      <c r="O59" s="829"/>
    </row>
    <row r="60" spans="1:18" ht="13.5" thickBot="1" x14ac:dyDescent="0.25">
      <c r="B60" s="49"/>
      <c r="C60" s="50"/>
      <c r="D60" s="50"/>
      <c r="E60" s="50"/>
      <c r="F60" s="50"/>
      <c r="G60" s="45"/>
      <c r="H60" s="50"/>
      <c r="J60" s="129"/>
      <c r="K60" s="130"/>
      <c r="L60" s="130"/>
      <c r="M60" s="130"/>
      <c r="N60" s="130"/>
      <c r="O60" s="131"/>
    </row>
    <row r="61" spans="1:18" ht="13.5" thickBot="1" x14ac:dyDescent="0.25">
      <c r="B61" s="789" t="s">
        <v>170</v>
      </c>
      <c r="C61" s="790"/>
      <c r="D61" s="790"/>
      <c r="E61" s="790"/>
      <c r="F61" s="791"/>
      <c r="G61" s="805"/>
      <c r="H61" s="791"/>
      <c r="J61" s="129"/>
      <c r="K61" s="130"/>
      <c r="L61" s="130"/>
      <c r="M61" s="130"/>
      <c r="N61" s="130"/>
      <c r="O61" s="131"/>
    </row>
    <row r="62" spans="1:18" ht="12.75" customHeight="1" x14ac:dyDescent="0.2">
      <c r="B62" s="57" t="s">
        <v>171</v>
      </c>
      <c r="C62" s="806" t="s">
        <v>172</v>
      </c>
      <c r="D62" s="807"/>
      <c r="E62" s="807"/>
      <c r="F62" s="808"/>
      <c r="G62" s="809">
        <v>0</v>
      </c>
      <c r="H62" s="809"/>
      <c r="I62" s="58"/>
      <c r="J62" s="810" t="s">
        <v>173</v>
      </c>
      <c r="K62" s="811"/>
      <c r="L62" s="811"/>
      <c r="M62" s="811"/>
      <c r="N62" s="811"/>
      <c r="O62" s="812"/>
      <c r="Q62" s="59"/>
      <c r="R62" s="59"/>
    </row>
    <row r="63" spans="1:18" ht="13.5" thickBot="1" x14ac:dyDescent="0.25">
      <c r="D63" s="37"/>
      <c r="I63" s="58"/>
      <c r="J63" s="60" t="s">
        <v>254</v>
      </c>
      <c r="K63" s="132"/>
      <c r="L63" s="132"/>
      <c r="M63" s="133"/>
      <c r="N63" s="133"/>
      <c r="O63" s="134"/>
      <c r="Q63" s="59"/>
      <c r="R63" s="59"/>
    </row>
    <row r="64" spans="1:18" ht="13.5" thickBot="1" x14ac:dyDescent="0.25">
      <c r="B64" s="789" t="s">
        <v>175</v>
      </c>
      <c r="C64" s="790"/>
      <c r="D64" s="790"/>
      <c r="E64" s="790"/>
      <c r="F64" s="791"/>
      <c r="G64" s="805">
        <f>+G59-G62</f>
        <v>1729160</v>
      </c>
      <c r="H64" s="791"/>
      <c r="I64" s="63"/>
      <c r="J64" s="75"/>
      <c r="K64" s="39"/>
      <c r="L64" s="39"/>
      <c r="M64" s="39"/>
      <c r="N64" s="39"/>
      <c r="O64" s="65"/>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6.25" customHeight="1" thickBot="1" x14ac:dyDescent="0.25">
      <c r="B67" s="66"/>
      <c r="C67" s="48"/>
      <c r="G67" s="70" t="s">
        <v>177</v>
      </c>
      <c r="H67" s="70" t="s">
        <v>178</v>
      </c>
      <c r="I67" s="63"/>
      <c r="J67" s="810" t="s">
        <v>179</v>
      </c>
      <c r="K67" s="811"/>
      <c r="L67" s="71"/>
      <c r="M67" s="71"/>
      <c r="N67" s="71"/>
      <c r="O67" s="72"/>
      <c r="Q67" s="59"/>
      <c r="R67" s="59"/>
    </row>
    <row r="68" spans="2:18" ht="12.75" customHeight="1" x14ac:dyDescent="0.2">
      <c r="B68" s="802" t="s">
        <v>180</v>
      </c>
      <c r="C68" s="821" t="s">
        <v>181</v>
      </c>
      <c r="D68" s="823" t="s">
        <v>182</v>
      </c>
      <c r="E68" s="824"/>
      <c r="F68" s="824"/>
      <c r="G68" s="73">
        <f>+O43</f>
        <v>240000</v>
      </c>
      <c r="H68" s="74">
        <f t="shared" ref="H68:H76" si="4">+G68</f>
        <v>240000</v>
      </c>
      <c r="I68" s="63"/>
      <c r="J68" s="75" t="s">
        <v>231</v>
      </c>
      <c r="K68" s="58"/>
      <c r="L68" s="58"/>
      <c r="M68" s="58" t="s">
        <v>232</v>
      </c>
      <c r="N68" s="58" t="s">
        <v>233</v>
      </c>
      <c r="O68" s="76"/>
      <c r="Q68" s="59"/>
      <c r="R68" s="59"/>
    </row>
    <row r="69" spans="2:18" ht="12.75" customHeight="1" x14ac:dyDescent="0.2">
      <c r="B69" s="803"/>
      <c r="C69" s="822"/>
      <c r="D69" s="782" t="s">
        <v>184</v>
      </c>
      <c r="E69" s="783"/>
      <c r="F69" s="783"/>
      <c r="G69" s="77">
        <f>+O47</f>
        <v>0</v>
      </c>
      <c r="H69" s="78">
        <f t="shared" si="4"/>
        <v>0</v>
      </c>
      <c r="I69" s="63"/>
      <c r="J69" s="79"/>
      <c r="K69" s="68"/>
      <c r="L69" s="68"/>
      <c r="M69" s="68"/>
      <c r="N69" s="68"/>
      <c r="O69" s="69"/>
      <c r="Q69" s="59"/>
      <c r="R69" s="59"/>
    </row>
    <row r="70" spans="2:18" ht="12.75" customHeight="1" x14ac:dyDescent="0.2">
      <c r="B70" s="803"/>
      <c r="C70" s="822"/>
      <c r="D70" s="819" t="s">
        <v>185</v>
      </c>
      <c r="E70" s="820"/>
      <c r="F70" s="820"/>
      <c r="G70" s="80">
        <f>O40</f>
        <v>720</v>
      </c>
      <c r="H70" s="78">
        <f t="shared" si="4"/>
        <v>720</v>
      </c>
      <c r="I70" s="63"/>
      <c r="J70" s="67"/>
      <c r="K70" s="68"/>
      <c r="L70" s="68"/>
      <c r="M70" s="68"/>
      <c r="N70" s="68"/>
      <c r="O70" s="69"/>
    </row>
    <row r="71" spans="2:18" x14ac:dyDescent="0.2">
      <c r="B71" s="803"/>
      <c r="C71" s="822"/>
      <c r="D71" s="782" t="s">
        <v>186</v>
      </c>
      <c r="E71" s="783"/>
      <c r="F71" s="783"/>
      <c r="G71" s="81">
        <v>0</v>
      </c>
      <c r="H71" s="78">
        <f t="shared" si="4"/>
        <v>0</v>
      </c>
      <c r="I71" s="63"/>
      <c r="J71" s="82" t="s">
        <v>187</v>
      </c>
      <c r="K71" s="71"/>
      <c r="L71" s="71"/>
      <c r="M71" s="71"/>
      <c r="N71" s="71"/>
      <c r="O71" s="72"/>
    </row>
    <row r="72" spans="2:18" ht="12.75" customHeight="1" x14ac:dyDescent="0.2">
      <c r="B72" s="803"/>
      <c r="C72" s="822"/>
      <c r="D72" s="784" t="s">
        <v>188</v>
      </c>
      <c r="E72" s="783"/>
      <c r="F72" s="783"/>
      <c r="G72" s="80">
        <v>0</v>
      </c>
      <c r="H72" s="78">
        <f t="shared" si="4"/>
        <v>0</v>
      </c>
      <c r="I72" s="63"/>
      <c r="J72" s="75" t="s">
        <v>189</v>
      </c>
      <c r="K72" s="50"/>
      <c r="L72" s="50"/>
      <c r="M72" s="50"/>
      <c r="N72" s="50"/>
      <c r="O72" s="83">
        <f>O42</f>
        <v>0</v>
      </c>
    </row>
    <row r="73" spans="2:18" ht="14.25" customHeight="1" x14ac:dyDescent="0.2">
      <c r="B73" s="803"/>
      <c r="C73" s="822"/>
      <c r="D73" s="782" t="s">
        <v>190</v>
      </c>
      <c r="E73" s="783"/>
      <c r="F73" s="783"/>
      <c r="G73" s="84">
        <v>0</v>
      </c>
      <c r="H73" s="78">
        <f t="shared" si="4"/>
        <v>0</v>
      </c>
      <c r="I73" s="63"/>
      <c r="J73" s="75" t="s">
        <v>1157</v>
      </c>
      <c r="K73" s="39"/>
      <c r="L73" s="39"/>
      <c r="M73" s="39"/>
      <c r="N73" s="39"/>
      <c r="O73" s="65"/>
    </row>
    <row r="74" spans="2:18" x14ac:dyDescent="0.2">
      <c r="B74" s="803"/>
      <c r="C74" s="822"/>
      <c r="D74" s="782" t="s">
        <v>191</v>
      </c>
      <c r="E74" s="783"/>
      <c r="F74" s="783"/>
      <c r="G74" s="81">
        <v>0</v>
      </c>
      <c r="H74" s="78">
        <f t="shared" si="4"/>
        <v>0</v>
      </c>
      <c r="I74" s="58"/>
      <c r="J74" s="137" t="s">
        <v>1158</v>
      </c>
      <c r="K74" s="50"/>
      <c r="L74" s="50"/>
      <c r="M74" s="50"/>
      <c r="N74" s="50"/>
      <c r="O74" s="83"/>
    </row>
    <row r="75" spans="2:18" x14ac:dyDescent="0.2">
      <c r="B75" s="803"/>
      <c r="C75" s="88" t="s">
        <v>192</v>
      </c>
      <c r="D75" s="813" t="s">
        <v>193</v>
      </c>
      <c r="E75" s="814"/>
      <c r="F75" s="814"/>
      <c r="G75" s="80">
        <v>0</v>
      </c>
      <c r="H75" s="78">
        <f t="shared" si="4"/>
        <v>0</v>
      </c>
      <c r="I75" s="58"/>
      <c r="J75" s="85"/>
      <c r="K75" s="138"/>
      <c r="L75" s="138"/>
      <c r="M75" s="138"/>
      <c r="N75" s="138"/>
      <c r="O75" s="139"/>
    </row>
    <row r="76" spans="2:18" ht="13.5" customHeight="1" thickBot="1" x14ac:dyDescent="0.25">
      <c r="B76" s="803"/>
      <c r="C76" s="88" t="s">
        <v>194</v>
      </c>
      <c r="D76" s="815" t="s">
        <v>195</v>
      </c>
      <c r="E76" s="815"/>
      <c r="F76" s="815"/>
      <c r="G76" s="89">
        <v>0</v>
      </c>
      <c r="H76" s="90">
        <f t="shared" si="4"/>
        <v>0</v>
      </c>
      <c r="I76" s="63"/>
      <c r="J76" s="75"/>
      <c r="K76" s="68"/>
      <c r="L76" s="68"/>
      <c r="M76" s="91"/>
      <c r="N76" s="91"/>
      <c r="O76" s="92"/>
    </row>
    <row r="77" spans="2:18" ht="13.5" thickBot="1" x14ac:dyDescent="0.25">
      <c r="B77" s="803"/>
      <c r="C77" s="93"/>
      <c r="D77" s="94"/>
      <c r="E77" s="816" t="s">
        <v>117</v>
      </c>
      <c r="F77" s="817"/>
      <c r="G77" s="95">
        <f>SUM(G68:G76)</f>
        <v>240720</v>
      </c>
      <c r="H77" s="96">
        <f>IF(SUM(G68:G74)&lt;150000,SUM(G68:G74),150000)+IF(+G75&lt;20000,+G75,20000)</f>
        <v>150000</v>
      </c>
      <c r="I77" s="63"/>
      <c r="J77" s="140"/>
      <c r="K77" s="141"/>
      <c r="L77" s="141"/>
      <c r="M77" s="142"/>
      <c r="N77" s="142"/>
      <c r="O77" s="143"/>
    </row>
    <row r="78" spans="2:18" ht="12.75" customHeight="1" x14ac:dyDescent="0.2">
      <c r="B78" s="803"/>
      <c r="C78" s="100" t="s">
        <v>196</v>
      </c>
      <c r="D78" s="782" t="s">
        <v>187</v>
      </c>
      <c r="E78" s="783"/>
      <c r="F78" s="818"/>
      <c r="G78" s="73">
        <f>+O42+O73</f>
        <v>0</v>
      </c>
      <c r="H78" s="101">
        <f>+IF(+G78&lt;25000,+G78,25000)</f>
        <v>0</v>
      </c>
      <c r="I78" s="87"/>
    </row>
    <row r="79" spans="2:18" x14ac:dyDescent="0.2">
      <c r="B79" s="803"/>
      <c r="C79" s="100" t="s">
        <v>197</v>
      </c>
      <c r="D79" s="784" t="s">
        <v>198</v>
      </c>
      <c r="E79" s="785"/>
      <c r="F79" s="786"/>
      <c r="G79" s="102"/>
      <c r="H79" s="103">
        <f>+IF(+G79&lt;40000,+G79,40000)</f>
        <v>0</v>
      </c>
      <c r="I79" s="63"/>
    </row>
    <row r="80" spans="2:18" x14ac:dyDescent="0.2">
      <c r="B80" s="803"/>
      <c r="C80" s="100" t="s">
        <v>199</v>
      </c>
      <c r="D80" s="784" t="s">
        <v>200</v>
      </c>
      <c r="E80" s="785"/>
      <c r="F80" s="786"/>
      <c r="G80" s="81"/>
      <c r="H80" s="104">
        <v>0</v>
      </c>
      <c r="I80" s="63"/>
      <c r="J80" s="106"/>
    </row>
    <row r="81" spans="2:12" x14ac:dyDescent="0.2">
      <c r="B81" s="803"/>
      <c r="C81" s="100" t="s">
        <v>201</v>
      </c>
      <c r="D81" s="784" t="s">
        <v>202</v>
      </c>
      <c r="E81" s="785"/>
      <c r="F81" s="786"/>
      <c r="G81" s="81"/>
      <c r="H81" s="104">
        <v>0</v>
      </c>
      <c r="I81" s="63"/>
    </row>
    <row r="82" spans="2:12" ht="13.5" thickBot="1" x14ac:dyDescent="0.25">
      <c r="B82" s="804"/>
      <c r="C82" s="100" t="s">
        <v>203</v>
      </c>
      <c r="D82" s="784" t="s">
        <v>204</v>
      </c>
      <c r="E82" s="785"/>
      <c r="F82" s="786"/>
      <c r="G82" s="102"/>
      <c r="H82" s="103">
        <f>+IF(+G82&lt;100000,+G82,10000)</f>
        <v>0</v>
      </c>
      <c r="I82" s="63"/>
    </row>
    <row r="83" spans="2:12" ht="13.5" thickBot="1" x14ac:dyDescent="0.25">
      <c r="B83" s="787" t="s">
        <v>205</v>
      </c>
      <c r="C83" s="788"/>
      <c r="D83" s="788"/>
      <c r="E83" s="788"/>
      <c r="F83" s="788"/>
      <c r="G83" s="107">
        <f>SUM(G78:G82)</f>
        <v>0</v>
      </c>
      <c r="H83" s="108">
        <f>SUM(H77:H82)</f>
        <v>150000</v>
      </c>
    </row>
    <row r="84" spans="2:12" ht="13.5" thickBot="1" x14ac:dyDescent="0.25"/>
    <row r="85" spans="2:12" ht="13.5" thickBot="1" x14ac:dyDescent="0.25">
      <c r="B85" s="789" t="s">
        <v>206</v>
      </c>
      <c r="C85" s="790"/>
      <c r="D85" s="790"/>
      <c r="E85" s="790"/>
      <c r="F85" s="791"/>
      <c r="G85" s="792">
        <f>+G64-H83</f>
        <v>1579160</v>
      </c>
      <c r="H85" s="791"/>
      <c r="J85" s="109">
        <f>C37+D37+E37+F37</f>
        <v>568080</v>
      </c>
      <c r="K85" s="16" t="s">
        <v>235</v>
      </c>
    </row>
    <row r="86" spans="2:12" x14ac:dyDescent="0.2">
      <c r="B86" s="110"/>
      <c r="F86" s="105"/>
      <c r="J86" s="109">
        <f>G37+H37+I37</f>
        <v>434976</v>
      </c>
      <c r="K86" s="16" t="s">
        <v>236</v>
      </c>
    </row>
    <row r="87" spans="2:12" x14ac:dyDescent="0.2">
      <c r="C87" s="793" t="s">
        <v>207</v>
      </c>
      <c r="D87" s="794"/>
      <c r="E87" s="111" t="s">
        <v>208</v>
      </c>
      <c r="F87" s="111" t="s">
        <v>209</v>
      </c>
      <c r="G87" s="111" t="s">
        <v>210</v>
      </c>
      <c r="H87" s="111" t="s">
        <v>211</v>
      </c>
      <c r="J87" s="109">
        <f>J37+K37+L37</f>
        <v>461278</v>
      </c>
      <c r="K87" s="47" t="s">
        <v>237</v>
      </c>
    </row>
    <row r="88" spans="2:12" x14ac:dyDescent="0.2">
      <c r="C88" s="795" t="str">
        <f>IF(I6="M","0          - 250000","0          -  250000")</f>
        <v>0          - 250000</v>
      </c>
      <c r="D88" s="796"/>
      <c r="E88" s="112">
        <v>0</v>
      </c>
      <c r="F88" s="113">
        <f>IF(I6="M",(IF(G85&lt;250000,G85,250000)),(IF(G85&lt;250000,G85,250000)))</f>
        <v>250000</v>
      </c>
      <c r="G88" s="113">
        <f>G85-F88</f>
        <v>1329160</v>
      </c>
      <c r="H88" s="113">
        <f>E88*F88</f>
        <v>0</v>
      </c>
      <c r="J88" s="16">
        <f>M37+N37</f>
        <v>307326</v>
      </c>
      <c r="K88" s="1" t="s">
        <v>238</v>
      </c>
    </row>
    <row r="89" spans="2:12" x14ac:dyDescent="0.2">
      <c r="C89" s="795" t="str">
        <f>IF(I6="M","250001 - 500000","250001-500000")</f>
        <v>250001 - 500000</v>
      </c>
      <c r="D89" s="796"/>
      <c r="E89" s="112">
        <v>0.05</v>
      </c>
      <c r="F89" s="113">
        <f>IF(I6="M",(IF(G88&lt;250000,G88,250000)),(IF(G88&lt;250000,G88,250000)))</f>
        <v>250000</v>
      </c>
      <c r="G89" s="113">
        <f>G88-F89</f>
        <v>1079160</v>
      </c>
      <c r="H89" s="114">
        <f>ROUND(E89*F89,0.1)</f>
        <v>12500</v>
      </c>
      <c r="J89" s="115">
        <f>SUM(J85:J88)</f>
        <v>1771660</v>
      </c>
    </row>
    <row r="90" spans="2:12" x14ac:dyDescent="0.2">
      <c r="C90" s="797" t="s">
        <v>212</v>
      </c>
      <c r="D90" s="798"/>
      <c r="E90" s="112">
        <v>0.2</v>
      </c>
      <c r="F90" s="113">
        <f>IF(G89&lt;500000,G89,500000)</f>
        <v>500000</v>
      </c>
      <c r="G90" s="113">
        <f>G89-F90</f>
        <v>579160</v>
      </c>
      <c r="H90" s="114">
        <f>ROUND(E90*F90,0.1)</f>
        <v>100000</v>
      </c>
      <c r="J90" s="16">
        <f>+G85</f>
        <v>1579160</v>
      </c>
    </row>
    <row r="91" spans="2:12" x14ac:dyDescent="0.2">
      <c r="C91" s="795" t="s">
        <v>213</v>
      </c>
      <c r="D91" s="796"/>
      <c r="E91" s="112">
        <v>0.3</v>
      </c>
      <c r="F91" s="113">
        <f>G90</f>
        <v>579160</v>
      </c>
      <c r="G91" s="113">
        <f>G90-F91</f>
        <v>0</v>
      </c>
      <c r="H91" s="114">
        <f>ROUND(E91*F91,0.1)</f>
        <v>173748</v>
      </c>
      <c r="J91" s="16">
        <f>+J89-J90</f>
        <v>192500</v>
      </c>
    </row>
    <row r="92" spans="2:12" ht="12.75" customHeight="1" thickBot="1" x14ac:dyDescent="0.25">
      <c r="B92" s="116"/>
      <c r="C92" s="117"/>
      <c r="D92" s="47"/>
      <c r="E92" s="47"/>
      <c r="F92" s="47"/>
      <c r="J92" s="87"/>
      <c r="K92" s="118"/>
    </row>
    <row r="93" spans="2:12" ht="13.5" thickBot="1" x14ac:dyDescent="0.25">
      <c r="B93" s="799" t="s">
        <v>239</v>
      </c>
      <c r="C93" s="800"/>
      <c r="D93" s="800"/>
      <c r="E93" s="800"/>
      <c r="F93" s="801"/>
      <c r="G93" s="771">
        <f>H88+H89+H90+H91</f>
        <v>286248</v>
      </c>
      <c r="H93" s="772"/>
      <c r="J93" s="87"/>
      <c r="K93" s="87"/>
    </row>
    <row r="94" spans="2:12" ht="13.5" thickBot="1" x14ac:dyDescent="0.25">
      <c r="B94" s="119" t="s">
        <v>215</v>
      </c>
      <c r="C94" s="120"/>
      <c r="D94" s="120"/>
      <c r="E94" s="120"/>
      <c r="F94" s="120"/>
      <c r="G94" s="895">
        <f>IF((G64&lt;500000),5000,0)</f>
        <v>0</v>
      </c>
      <c r="H94" s="896">
        <f>IF(H92&lt;200000,0,IF(H92&lt;220000,((H92-200000)*10%),IF(H92&lt;=500000,2000,IF(H92&gt;=500000,0))))</f>
        <v>0</v>
      </c>
      <c r="J94" s="1"/>
      <c r="K94" s="121"/>
      <c r="L94" s="121"/>
    </row>
    <row r="95" spans="2:12" ht="13.5" thickBot="1" x14ac:dyDescent="0.25">
      <c r="B95" s="122" t="s">
        <v>216</v>
      </c>
      <c r="C95" s="123"/>
      <c r="D95" s="123"/>
      <c r="E95" s="123"/>
      <c r="F95" s="123"/>
      <c r="G95" s="897">
        <f>IF((G93-G94)&lt;0,0,(G93-G94))</f>
        <v>286248</v>
      </c>
      <c r="H95" s="898"/>
      <c r="I95" s="37"/>
    </row>
    <row r="96" spans="2:12" ht="13.5" thickBot="1" x14ac:dyDescent="0.25">
      <c r="B96" s="773" t="s">
        <v>240</v>
      </c>
      <c r="C96" s="774"/>
      <c r="D96" s="774"/>
      <c r="E96" s="774"/>
      <c r="F96" s="775"/>
      <c r="G96" s="899">
        <f>ROUND((IF(G95&gt;0,(G95*4%),0)),0)</f>
        <v>11450</v>
      </c>
      <c r="H96" s="900"/>
      <c r="I96" s="37"/>
    </row>
    <row r="97" spans="2:9" ht="13.5" thickBot="1" x14ac:dyDescent="0.25">
      <c r="B97" s="778" t="s">
        <v>218</v>
      </c>
      <c r="C97" s="779"/>
      <c r="D97" s="779"/>
      <c r="E97" s="779"/>
      <c r="F97" s="779"/>
      <c r="G97" s="901">
        <f>G95+G96</f>
        <v>297698</v>
      </c>
      <c r="H97" s="902"/>
      <c r="I97" s="121"/>
    </row>
    <row r="98" spans="2:9" ht="13.5" thickBot="1" x14ac:dyDescent="0.25">
      <c r="B98" s="765" t="s">
        <v>219</v>
      </c>
      <c r="C98" s="766"/>
      <c r="D98" s="766"/>
      <c r="E98" s="766"/>
      <c r="F98" s="766"/>
      <c r="G98" s="893">
        <f>O38</f>
        <v>297703</v>
      </c>
      <c r="H98" s="894"/>
      <c r="I98" s="121"/>
    </row>
    <row r="99" spans="2:9" ht="13.5" thickBot="1" x14ac:dyDescent="0.25">
      <c r="B99" s="765" t="str">
        <f>IF(G99&gt;0,"TAX PAYABLE","TAX REFUND")</f>
        <v>TAX REFUND</v>
      </c>
      <c r="C99" s="766"/>
      <c r="D99" s="766"/>
      <c r="E99" s="766"/>
      <c r="F99" s="766"/>
      <c r="G99" s="893">
        <f>+G97-G98</f>
        <v>-5</v>
      </c>
      <c r="H99" s="894"/>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0:F90 B99:F99 B93:F97">
    <cfRule type="cellIs" dxfId="121" priority="1" stopIfTrue="1" operator="equal">
      <formula>"TAX PAYABLE"</formula>
    </cfRule>
    <cfRule type="cellIs" dxfId="120" priority="2" stopIfTrue="1" operator="equal">
      <formula>"TAX REFUND"</formula>
    </cfRule>
  </conditionalFormatting>
  <conditionalFormatting sqref="G90:H90">
    <cfRule type="cellIs" dxfId="119" priority="3" stopIfTrue="1" operator="lessThan">
      <formula>0</formula>
    </cfRule>
    <cfRule type="cellIs" dxfId="118" priority="4" stopIfTrue="1" operator="greaterThan">
      <formula>0</formula>
    </cfRule>
  </conditionalFormatting>
  <conditionalFormatting sqref="G99:H99">
    <cfRule type="cellIs" dxfId="117" priority="5" stopIfTrue="1" operator="greaterThan">
      <formula>0</formula>
    </cfRule>
    <cfRule type="cellIs" dxfId="116" priority="6"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5" right="0.75" top="1" bottom="1" header="0.5" footer="0.5"/>
  <headerFooter alignWithMargins="0"/>
</worksheet>
</file>

<file path=xl/worksheets/sheet1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107"/>
  <sheetViews>
    <sheetView workbookViewId="0">
      <selection activeCell="K38" sqref="K38:N38"/>
    </sheetView>
  </sheetViews>
  <sheetFormatPr defaultRowHeight="12.75" x14ac:dyDescent="0.2"/>
  <cols>
    <col min="1" max="1" width="5" style="16" customWidth="1"/>
    <col min="2" max="2" width="18.7109375" style="37" customWidth="1"/>
    <col min="3" max="5" width="7.85546875" style="16" customWidth="1"/>
    <col min="6" max="6" width="8.5703125" style="16" customWidth="1"/>
    <col min="7" max="7" width="8.42578125" style="16" customWidth="1"/>
    <col min="8" max="15" width="7.8554687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8.7109375" style="16" customWidth="1"/>
    <col min="259" max="261" width="7.85546875" style="16" customWidth="1"/>
    <col min="262" max="262" width="8.5703125" style="16" customWidth="1"/>
    <col min="263" max="263" width="8.42578125" style="16" customWidth="1"/>
    <col min="264" max="271" width="7.8554687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8.7109375" style="16" customWidth="1"/>
    <col min="515" max="517" width="7.85546875" style="16" customWidth="1"/>
    <col min="518" max="518" width="8.5703125" style="16" customWidth="1"/>
    <col min="519" max="519" width="8.42578125" style="16" customWidth="1"/>
    <col min="520" max="527" width="7.8554687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8.7109375" style="16" customWidth="1"/>
    <col min="771" max="773" width="7.85546875" style="16" customWidth="1"/>
    <col min="774" max="774" width="8.5703125" style="16" customWidth="1"/>
    <col min="775" max="775" width="8.42578125" style="16" customWidth="1"/>
    <col min="776" max="783" width="7.8554687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8.7109375" style="16" customWidth="1"/>
    <col min="1027" max="1029" width="7.85546875" style="16" customWidth="1"/>
    <col min="1030" max="1030" width="8.5703125" style="16" customWidth="1"/>
    <col min="1031" max="1031" width="8.42578125" style="16" customWidth="1"/>
    <col min="1032" max="1039" width="7.8554687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8.7109375" style="16" customWidth="1"/>
    <col min="1283" max="1285" width="7.85546875" style="16" customWidth="1"/>
    <col min="1286" max="1286" width="8.5703125" style="16" customWidth="1"/>
    <col min="1287" max="1287" width="8.42578125" style="16" customWidth="1"/>
    <col min="1288" max="1295" width="7.8554687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8.7109375" style="16" customWidth="1"/>
    <col min="1539" max="1541" width="7.85546875" style="16" customWidth="1"/>
    <col min="1542" max="1542" width="8.5703125" style="16" customWidth="1"/>
    <col min="1543" max="1543" width="8.42578125" style="16" customWidth="1"/>
    <col min="1544" max="1551" width="7.8554687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8.7109375" style="16" customWidth="1"/>
    <col min="1795" max="1797" width="7.85546875" style="16" customWidth="1"/>
    <col min="1798" max="1798" width="8.5703125" style="16" customWidth="1"/>
    <col min="1799" max="1799" width="8.42578125" style="16" customWidth="1"/>
    <col min="1800" max="1807" width="7.8554687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8.7109375" style="16" customWidth="1"/>
    <col min="2051" max="2053" width="7.85546875" style="16" customWidth="1"/>
    <col min="2054" max="2054" width="8.5703125" style="16" customWidth="1"/>
    <col min="2055" max="2055" width="8.42578125" style="16" customWidth="1"/>
    <col min="2056" max="2063" width="7.8554687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8.7109375" style="16" customWidth="1"/>
    <col min="2307" max="2309" width="7.85546875" style="16" customWidth="1"/>
    <col min="2310" max="2310" width="8.5703125" style="16" customWidth="1"/>
    <col min="2311" max="2311" width="8.42578125" style="16" customWidth="1"/>
    <col min="2312" max="2319" width="7.8554687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8.7109375" style="16" customWidth="1"/>
    <col min="2563" max="2565" width="7.85546875" style="16" customWidth="1"/>
    <col min="2566" max="2566" width="8.5703125" style="16" customWidth="1"/>
    <col min="2567" max="2567" width="8.42578125" style="16" customWidth="1"/>
    <col min="2568" max="2575" width="7.8554687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8.7109375" style="16" customWidth="1"/>
    <col min="2819" max="2821" width="7.85546875" style="16" customWidth="1"/>
    <col min="2822" max="2822" width="8.5703125" style="16" customWidth="1"/>
    <col min="2823" max="2823" width="8.42578125" style="16" customWidth="1"/>
    <col min="2824" max="2831" width="7.8554687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8.7109375" style="16" customWidth="1"/>
    <col min="3075" max="3077" width="7.85546875" style="16" customWidth="1"/>
    <col min="3078" max="3078" width="8.5703125" style="16" customWidth="1"/>
    <col min="3079" max="3079" width="8.42578125" style="16" customWidth="1"/>
    <col min="3080" max="3087" width="7.8554687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8.7109375" style="16" customWidth="1"/>
    <col min="3331" max="3333" width="7.85546875" style="16" customWidth="1"/>
    <col min="3334" max="3334" width="8.5703125" style="16" customWidth="1"/>
    <col min="3335" max="3335" width="8.42578125" style="16" customWidth="1"/>
    <col min="3336" max="3343" width="7.8554687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8.7109375" style="16" customWidth="1"/>
    <col min="3587" max="3589" width="7.85546875" style="16" customWidth="1"/>
    <col min="3590" max="3590" width="8.5703125" style="16" customWidth="1"/>
    <col min="3591" max="3591" width="8.42578125" style="16" customWidth="1"/>
    <col min="3592" max="3599" width="7.8554687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8.7109375" style="16" customWidth="1"/>
    <col min="3843" max="3845" width="7.85546875" style="16" customWidth="1"/>
    <col min="3846" max="3846" width="8.5703125" style="16" customWidth="1"/>
    <col min="3847" max="3847" width="8.42578125" style="16" customWidth="1"/>
    <col min="3848" max="3855" width="7.8554687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8.7109375" style="16" customWidth="1"/>
    <col min="4099" max="4101" width="7.85546875" style="16" customWidth="1"/>
    <col min="4102" max="4102" width="8.5703125" style="16" customWidth="1"/>
    <col min="4103" max="4103" width="8.42578125" style="16" customWidth="1"/>
    <col min="4104" max="4111" width="7.8554687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8.7109375" style="16" customWidth="1"/>
    <col min="4355" max="4357" width="7.85546875" style="16" customWidth="1"/>
    <col min="4358" max="4358" width="8.5703125" style="16" customWidth="1"/>
    <col min="4359" max="4359" width="8.42578125" style="16" customWidth="1"/>
    <col min="4360" max="4367" width="7.8554687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8.7109375" style="16" customWidth="1"/>
    <col min="4611" max="4613" width="7.85546875" style="16" customWidth="1"/>
    <col min="4614" max="4614" width="8.5703125" style="16" customWidth="1"/>
    <col min="4615" max="4615" width="8.42578125" style="16" customWidth="1"/>
    <col min="4616" max="4623" width="7.8554687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8.7109375" style="16" customWidth="1"/>
    <col min="4867" max="4869" width="7.85546875" style="16" customWidth="1"/>
    <col min="4870" max="4870" width="8.5703125" style="16" customWidth="1"/>
    <col min="4871" max="4871" width="8.42578125" style="16" customWidth="1"/>
    <col min="4872" max="4879" width="7.8554687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8.7109375" style="16" customWidth="1"/>
    <col min="5123" max="5125" width="7.85546875" style="16" customWidth="1"/>
    <col min="5126" max="5126" width="8.5703125" style="16" customWidth="1"/>
    <col min="5127" max="5127" width="8.42578125" style="16" customWidth="1"/>
    <col min="5128" max="5135" width="7.8554687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8.7109375" style="16" customWidth="1"/>
    <col min="5379" max="5381" width="7.85546875" style="16" customWidth="1"/>
    <col min="5382" max="5382" width="8.5703125" style="16" customWidth="1"/>
    <col min="5383" max="5383" width="8.42578125" style="16" customWidth="1"/>
    <col min="5384" max="5391" width="7.8554687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8.7109375" style="16" customWidth="1"/>
    <col min="5635" max="5637" width="7.85546875" style="16" customWidth="1"/>
    <col min="5638" max="5638" width="8.5703125" style="16" customWidth="1"/>
    <col min="5639" max="5639" width="8.42578125" style="16" customWidth="1"/>
    <col min="5640" max="5647" width="7.8554687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8.7109375" style="16" customWidth="1"/>
    <col min="5891" max="5893" width="7.85546875" style="16" customWidth="1"/>
    <col min="5894" max="5894" width="8.5703125" style="16" customWidth="1"/>
    <col min="5895" max="5895" width="8.42578125" style="16" customWidth="1"/>
    <col min="5896" max="5903" width="7.8554687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8.7109375" style="16" customWidth="1"/>
    <col min="6147" max="6149" width="7.85546875" style="16" customWidth="1"/>
    <col min="6150" max="6150" width="8.5703125" style="16" customWidth="1"/>
    <col min="6151" max="6151" width="8.42578125" style="16" customWidth="1"/>
    <col min="6152" max="6159" width="7.8554687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8.7109375" style="16" customWidth="1"/>
    <col min="6403" max="6405" width="7.85546875" style="16" customWidth="1"/>
    <col min="6406" max="6406" width="8.5703125" style="16" customWidth="1"/>
    <col min="6407" max="6407" width="8.42578125" style="16" customWidth="1"/>
    <col min="6408" max="6415" width="7.8554687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8.7109375" style="16" customWidth="1"/>
    <col min="6659" max="6661" width="7.85546875" style="16" customWidth="1"/>
    <col min="6662" max="6662" width="8.5703125" style="16" customWidth="1"/>
    <col min="6663" max="6663" width="8.42578125" style="16" customWidth="1"/>
    <col min="6664" max="6671" width="7.8554687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8.7109375" style="16" customWidth="1"/>
    <col min="6915" max="6917" width="7.85546875" style="16" customWidth="1"/>
    <col min="6918" max="6918" width="8.5703125" style="16" customWidth="1"/>
    <col min="6919" max="6919" width="8.42578125" style="16" customWidth="1"/>
    <col min="6920" max="6927" width="7.8554687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8.7109375" style="16" customWidth="1"/>
    <col min="7171" max="7173" width="7.85546875" style="16" customWidth="1"/>
    <col min="7174" max="7174" width="8.5703125" style="16" customWidth="1"/>
    <col min="7175" max="7175" width="8.42578125" style="16" customWidth="1"/>
    <col min="7176" max="7183" width="7.8554687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8.7109375" style="16" customWidth="1"/>
    <col min="7427" max="7429" width="7.85546875" style="16" customWidth="1"/>
    <col min="7430" max="7430" width="8.5703125" style="16" customWidth="1"/>
    <col min="7431" max="7431" width="8.42578125" style="16" customWidth="1"/>
    <col min="7432" max="7439" width="7.8554687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8.7109375" style="16" customWidth="1"/>
    <col min="7683" max="7685" width="7.85546875" style="16" customWidth="1"/>
    <col min="7686" max="7686" width="8.5703125" style="16" customWidth="1"/>
    <col min="7687" max="7687" width="8.42578125" style="16" customWidth="1"/>
    <col min="7688" max="7695" width="7.8554687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8.7109375" style="16" customWidth="1"/>
    <col min="7939" max="7941" width="7.85546875" style="16" customWidth="1"/>
    <col min="7942" max="7942" width="8.5703125" style="16" customWidth="1"/>
    <col min="7943" max="7943" width="8.42578125" style="16" customWidth="1"/>
    <col min="7944" max="7951" width="7.8554687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8.7109375" style="16" customWidth="1"/>
    <col min="8195" max="8197" width="7.85546875" style="16" customWidth="1"/>
    <col min="8198" max="8198" width="8.5703125" style="16" customWidth="1"/>
    <col min="8199" max="8199" width="8.42578125" style="16" customWidth="1"/>
    <col min="8200" max="8207" width="7.8554687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8.7109375" style="16" customWidth="1"/>
    <col min="8451" max="8453" width="7.85546875" style="16" customWidth="1"/>
    <col min="8454" max="8454" width="8.5703125" style="16" customWidth="1"/>
    <col min="8455" max="8455" width="8.42578125" style="16" customWidth="1"/>
    <col min="8456" max="8463" width="7.8554687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8.7109375" style="16" customWidth="1"/>
    <col min="8707" max="8709" width="7.85546875" style="16" customWidth="1"/>
    <col min="8710" max="8710" width="8.5703125" style="16" customWidth="1"/>
    <col min="8711" max="8711" width="8.42578125" style="16" customWidth="1"/>
    <col min="8712" max="8719" width="7.8554687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8.7109375" style="16" customWidth="1"/>
    <col min="8963" max="8965" width="7.85546875" style="16" customWidth="1"/>
    <col min="8966" max="8966" width="8.5703125" style="16" customWidth="1"/>
    <col min="8967" max="8967" width="8.42578125" style="16" customWidth="1"/>
    <col min="8968" max="8975" width="7.8554687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8.7109375" style="16" customWidth="1"/>
    <col min="9219" max="9221" width="7.85546875" style="16" customWidth="1"/>
    <col min="9222" max="9222" width="8.5703125" style="16" customWidth="1"/>
    <col min="9223" max="9223" width="8.42578125" style="16" customWidth="1"/>
    <col min="9224" max="9231" width="7.8554687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8.7109375" style="16" customWidth="1"/>
    <col min="9475" max="9477" width="7.85546875" style="16" customWidth="1"/>
    <col min="9478" max="9478" width="8.5703125" style="16" customWidth="1"/>
    <col min="9479" max="9479" width="8.42578125" style="16" customWidth="1"/>
    <col min="9480" max="9487" width="7.8554687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8.7109375" style="16" customWidth="1"/>
    <col min="9731" max="9733" width="7.85546875" style="16" customWidth="1"/>
    <col min="9734" max="9734" width="8.5703125" style="16" customWidth="1"/>
    <col min="9735" max="9735" width="8.42578125" style="16" customWidth="1"/>
    <col min="9736" max="9743" width="7.8554687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8.7109375" style="16" customWidth="1"/>
    <col min="9987" max="9989" width="7.85546875" style="16" customWidth="1"/>
    <col min="9990" max="9990" width="8.5703125" style="16" customWidth="1"/>
    <col min="9991" max="9991" width="8.42578125" style="16" customWidth="1"/>
    <col min="9992" max="9999" width="7.8554687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8.7109375" style="16" customWidth="1"/>
    <col min="10243" max="10245" width="7.85546875" style="16" customWidth="1"/>
    <col min="10246" max="10246" width="8.5703125" style="16" customWidth="1"/>
    <col min="10247" max="10247" width="8.42578125" style="16" customWidth="1"/>
    <col min="10248" max="10255" width="7.8554687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8.7109375" style="16" customWidth="1"/>
    <col min="10499" max="10501" width="7.85546875" style="16" customWidth="1"/>
    <col min="10502" max="10502" width="8.5703125" style="16" customWidth="1"/>
    <col min="10503" max="10503" width="8.42578125" style="16" customWidth="1"/>
    <col min="10504" max="10511" width="7.8554687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8.7109375" style="16" customWidth="1"/>
    <col min="10755" max="10757" width="7.85546875" style="16" customWidth="1"/>
    <col min="10758" max="10758" width="8.5703125" style="16" customWidth="1"/>
    <col min="10759" max="10759" width="8.42578125" style="16" customWidth="1"/>
    <col min="10760" max="10767" width="7.8554687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8.7109375" style="16" customWidth="1"/>
    <col min="11011" max="11013" width="7.85546875" style="16" customWidth="1"/>
    <col min="11014" max="11014" width="8.5703125" style="16" customWidth="1"/>
    <col min="11015" max="11015" width="8.42578125" style="16" customWidth="1"/>
    <col min="11016" max="11023" width="7.8554687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8.7109375" style="16" customWidth="1"/>
    <col min="11267" max="11269" width="7.85546875" style="16" customWidth="1"/>
    <col min="11270" max="11270" width="8.5703125" style="16" customWidth="1"/>
    <col min="11271" max="11271" width="8.42578125" style="16" customWidth="1"/>
    <col min="11272" max="11279" width="7.8554687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8.7109375" style="16" customWidth="1"/>
    <col min="11523" max="11525" width="7.85546875" style="16" customWidth="1"/>
    <col min="11526" max="11526" width="8.5703125" style="16" customWidth="1"/>
    <col min="11527" max="11527" width="8.42578125" style="16" customWidth="1"/>
    <col min="11528" max="11535" width="7.8554687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8.7109375" style="16" customWidth="1"/>
    <col min="11779" max="11781" width="7.85546875" style="16" customWidth="1"/>
    <col min="11782" max="11782" width="8.5703125" style="16" customWidth="1"/>
    <col min="11783" max="11783" width="8.42578125" style="16" customWidth="1"/>
    <col min="11784" max="11791" width="7.8554687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8.7109375" style="16" customWidth="1"/>
    <col min="12035" max="12037" width="7.85546875" style="16" customWidth="1"/>
    <col min="12038" max="12038" width="8.5703125" style="16" customWidth="1"/>
    <col min="12039" max="12039" width="8.42578125" style="16" customWidth="1"/>
    <col min="12040" max="12047" width="7.8554687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8.7109375" style="16" customWidth="1"/>
    <col min="12291" max="12293" width="7.85546875" style="16" customWidth="1"/>
    <col min="12294" max="12294" width="8.5703125" style="16" customWidth="1"/>
    <col min="12295" max="12295" width="8.42578125" style="16" customWidth="1"/>
    <col min="12296" max="12303" width="7.8554687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8.7109375" style="16" customWidth="1"/>
    <col min="12547" max="12549" width="7.85546875" style="16" customWidth="1"/>
    <col min="12550" max="12550" width="8.5703125" style="16" customWidth="1"/>
    <col min="12551" max="12551" width="8.42578125" style="16" customWidth="1"/>
    <col min="12552" max="12559" width="7.8554687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8.7109375" style="16" customWidth="1"/>
    <col min="12803" max="12805" width="7.85546875" style="16" customWidth="1"/>
    <col min="12806" max="12806" width="8.5703125" style="16" customWidth="1"/>
    <col min="12807" max="12807" width="8.42578125" style="16" customWidth="1"/>
    <col min="12808" max="12815" width="7.8554687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8.7109375" style="16" customWidth="1"/>
    <col min="13059" max="13061" width="7.85546875" style="16" customWidth="1"/>
    <col min="13062" max="13062" width="8.5703125" style="16" customWidth="1"/>
    <col min="13063" max="13063" width="8.42578125" style="16" customWidth="1"/>
    <col min="13064" max="13071" width="7.8554687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8.7109375" style="16" customWidth="1"/>
    <col min="13315" max="13317" width="7.85546875" style="16" customWidth="1"/>
    <col min="13318" max="13318" width="8.5703125" style="16" customWidth="1"/>
    <col min="13319" max="13319" width="8.42578125" style="16" customWidth="1"/>
    <col min="13320" max="13327" width="7.8554687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8.7109375" style="16" customWidth="1"/>
    <col min="13571" max="13573" width="7.85546875" style="16" customWidth="1"/>
    <col min="13574" max="13574" width="8.5703125" style="16" customWidth="1"/>
    <col min="13575" max="13575" width="8.42578125" style="16" customWidth="1"/>
    <col min="13576" max="13583" width="7.8554687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8.7109375" style="16" customWidth="1"/>
    <col min="13827" max="13829" width="7.85546875" style="16" customWidth="1"/>
    <col min="13830" max="13830" width="8.5703125" style="16" customWidth="1"/>
    <col min="13831" max="13831" width="8.42578125" style="16" customWidth="1"/>
    <col min="13832" max="13839" width="7.8554687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8.7109375" style="16" customWidth="1"/>
    <col min="14083" max="14085" width="7.85546875" style="16" customWidth="1"/>
    <col min="14086" max="14086" width="8.5703125" style="16" customWidth="1"/>
    <col min="14087" max="14087" width="8.42578125" style="16" customWidth="1"/>
    <col min="14088" max="14095" width="7.8554687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8.7109375" style="16" customWidth="1"/>
    <col min="14339" max="14341" width="7.85546875" style="16" customWidth="1"/>
    <col min="14342" max="14342" width="8.5703125" style="16" customWidth="1"/>
    <col min="14343" max="14343" width="8.42578125" style="16" customWidth="1"/>
    <col min="14344" max="14351" width="7.8554687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8.7109375" style="16" customWidth="1"/>
    <col min="14595" max="14597" width="7.85546875" style="16" customWidth="1"/>
    <col min="14598" max="14598" width="8.5703125" style="16" customWidth="1"/>
    <col min="14599" max="14599" width="8.42578125" style="16" customWidth="1"/>
    <col min="14600" max="14607" width="7.8554687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8.7109375" style="16" customWidth="1"/>
    <col min="14851" max="14853" width="7.85546875" style="16" customWidth="1"/>
    <col min="14854" max="14854" width="8.5703125" style="16" customWidth="1"/>
    <col min="14855" max="14855" width="8.42578125" style="16" customWidth="1"/>
    <col min="14856" max="14863" width="7.8554687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8.7109375" style="16" customWidth="1"/>
    <col min="15107" max="15109" width="7.85546875" style="16" customWidth="1"/>
    <col min="15110" max="15110" width="8.5703125" style="16" customWidth="1"/>
    <col min="15111" max="15111" width="8.42578125" style="16" customWidth="1"/>
    <col min="15112" max="15119" width="7.8554687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8.7109375" style="16" customWidth="1"/>
    <col min="15363" max="15365" width="7.85546875" style="16" customWidth="1"/>
    <col min="15366" max="15366" width="8.5703125" style="16" customWidth="1"/>
    <col min="15367" max="15367" width="8.42578125" style="16" customWidth="1"/>
    <col min="15368" max="15375" width="7.8554687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8.7109375" style="16" customWidth="1"/>
    <col min="15619" max="15621" width="7.85546875" style="16" customWidth="1"/>
    <col min="15622" max="15622" width="8.5703125" style="16" customWidth="1"/>
    <col min="15623" max="15623" width="8.42578125" style="16" customWidth="1"/>
    <col min="15624" max="15631" width="7.8554687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8.7109375" style="16" customWidth="1"/>
    <col min="15875" max="15877" width="7.85546875" style="16" customWidth="1"/>
    <col min="15878" max="15878" width="8.5703125" style="16" customWidth="1"/>
    <col min="15879" max="15879" width="8.42578125" style="16" customWidth="1"/>
    <col min="15880" max="15887" width="7.8554687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8.7109375" style="16" customWidth="1"/>
    <col min="16131" max="16133" width="7.85546875" style="16" customWidth="1"/>
    <col min="16134" max="16134" width="8.5703125" style="16" customWidth="1"/>
    <col min="16135" max="16135" width="8.42578125" style="16" customWidth="1"/>
    <col min="16136" max="16143" width="7.8554687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67" t="s">
        <v>100</v>
      </c>
      <c r="B1" s="868"/>
      <c r="C1" s="868"/>
      <c r="D1" s="869"/>
      <c r="E1" s="868"/>
      <c r="F1" s="868"/>
      <c r="G1" s="867" t="s">
        <v>102</v>
      </c>
      <c r="H1" s="869"/>
      <c r="I1" s="869" t="s">
        <v>1177</v>
      </c>
      <c r="J1" s="868"/>
      <c r="K1" s="868"/>
      <c r="L1" s="870"/>
      <c r="M1" s="870"/>
      <c r="N1" s="870"/>
      <c r="O1" s="870"/>
    </row>
    <row r="2" spans="1:15" s="1" customFormat="1" x14ac:dyDescent="0.2">
      <c r="A2" s="867" t="s">
        <v>103</v>
      </c>
      <c r="B2" s="868"/>
      <c r="C2" s="868"/>
      <c r="D2" s="869"/>
      <c r="E2" s="868"/>
      <c r="F2" s="868"/>
      <c r="G2" s="867" t="s">
        <v>104</v>
      </c>
      <c r="H2" s="869"/>
      <c r="I2" s="869" t="s">
        <v>105</v>
      </c>
      <c r="J2" s="868"/>
      <c r="K2" s="868"/>
      <c r="L2" s="870"/>
      <c r="M2" s="870"/>
      <c r="N2" s="870"/>
      <c r="O2" s="870"/>
    </row>
    <row r="3" spans="1:15" s="1" customFormat="1" x14ac:dyDescent="0.2">
      <c r="A3" s="867" t="s">
        <v>106</v>
      </c>
      <c r="B3" s="868"/>
      <c r="C3" s="868"/>
      <c r="D3" s="883"/>
      <c r="E3" s="868"/>
      <c r="F3" s="868"/>
      <c r="G3" s="867" t="s">
        <v>107</v>
      </c>
      <c r="H3" s="869"/>
      <c r="I3" s="869" t="s">
        <v>108</v>
      </c>
      <c r="J3" s="868"/>
      <c r="K3" s="868"/>
      <c r="L3" s="870"/>
      <c r="M3" s="870"/>
      <c r="N3" s="870"/>
      <c r="O3" s="870"/>
    </row>
    <row r="4" spans="1:15" s="1" customFormat="1" x14ac:dyDescent="0.2">
      <c r="A4" s="867" t="s">
        <v>109</v>
      </c>
      <c r="B4" s="868"/>
      <c r="C4" s="868"/>
      <c r="D4" s="869"/>
      <c r="E4" s="868"/>
      <c r="F4" s="868"/>
      <c r="G4" s="867" t="s">
        <v>110</v>
      </c>
      <c r="H4" s="869"/>
      <c r="I4" s="869" t="s">
        <v>697</v>
      </c>
      <c r="J4" s="868"/>
      <c r="K4" s="868"/>
      <c r="L4" s="870"/>
      <c r="M4" s="870"/>
      <c r="N4" s="870"/>
      <c r="O4" s="870"/>
    </row>
    <row r="5" spans="1:15" s="1" customFormat="1" x14ac:dyDescent="0.2">
      <c r="A5" s="867" t="s">
        <v>278</v>
      </c>
      <c r="B5" s="868"/>
      <c r="C5" s="868"/>
      <c r="D5" s="869"/>
      <c r="E5" s="868"/>
      <c r="F5" s="868"/>
      <c r="G5" s="867"/>
      <c r="H5" s="868"/>
      <c r="I5" s="869" t="s">
        <v>113</v>
      </c>
      <c r="J5" s="868"/>
      <c r="K5" s="868"/>
      <c r="L5" s="870"/>
      <c r="M5" s="870"/>
      <c r="N5" s="870"/>
      <c r="O5" s="870"/>
    </row>
    <row r="6" spans="1:15" s="1" customFormat="1" x14ac:dyDescent="0.2">
      <c r="A6" s="871" t="s">
        <v>114</v>
      </c>
      <c r="B6" s="872"/>
      <c r="C6" s="872"/>
      <c r="D6" s="868" t="s">
        <v>1352</v>
      </c>
      <c r="E6" s="868"/>
      <c r="F6" s="868"/>
      <c r="G6" s="871" t="s">
        <v>115</v>
      </c>
      <c r="H6" s="871"/>
      <c r="I6" s="2" t="s">
        <v>116</v>
      </c>
      <c r="J6" s="888"/>
      <c r="K6" s="888"/>
      <c r="L6" s="888"/>
      <c r="M6" s="888"/>
      <c r="N6" s="888"/>
      <c r="O6" s="889"/>
    </row>
    <row r="7" spans="1:15" s="1" customFormat="1" ht="13.5" thickBot="1" x14ac:dyDescent="0.25">
      <c r="A7" s="3"/>
      <c r="B7" s="4"/>
      <c r="C7" s="5"/>
      <c r="D7" s="6"/>
      <c r="E7" s="6"/>
      <c r="F7" s="6"/>
      <c r="G7" s="6"/>
      <c r="H7" s="6"/>
      <c r="I7" s="6"/>
      <c r="J7" s="7"/>
      <c r="K7" s="8"/>
      <c r="L7" s="875" t="s">
        <v>223</v>
      </c>
      <c r="M7" s="875"/>
      <c r="N7" s="875"/>
      <c r="O7" s="875"/>
    </row>
    <row r="8" spans="1:15" s="11" customFormat="1" x14ac:dyDescent="0.2">
      <c r="A8" s="876" t="str">
        <f>I1</f>
        <v>Mr. D.S.Jadhav</v>
      </c>
      <c r="B8" s="877"/>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70000</v>
      </c>
      <c r="D9" s="14">
        <v>70000</v>
      </c>
      <c r="E9" s="14">
        <v>70000</v>
      </c>
      <c r="F9" s="14">
        <v>70000</v>
      </c>
      <c r="G9" s="14">
        <v>72100</v>
      </c>
      <c r="H9" s="14">
        <v>72100</v>
      </c>
      <c r="I9" s="14">
        <v>72100</v>
      </c>
      <c r="J9" s="14">
        <v>72100</v>
      </c>
      <c r="K9" s="14">
        <v>72100</v>
      </c>
      <c r="L9" s="14">
        <v>72100</v>
      </c>
      <c r="M9" s="14">
        <v>72100</v>
      </c>
      <c r="N9" s="14">
        <v>72100</v>
      </c>
      <c r="O9" s="15">
        <f t="shared" ref="O9:O50" si="0">SUM(C9:N9)</f>
        <v>856800</v>
      </c>
    </row>
    <row r="10" spans="1:15" ht="15" x14ac:dyDescent="0.2">
      <c r="A10" s="12"/>
      <c r="B10" s="13" t="s">
        <v>119</v>
      </c>
      <c r="C10" s="17">
        <v>0</v>
      </c>
      <c r="D10" s="17">
        <f t="shared" ref="D10:G22" si="1">+C10</f>
        <v>0</v>
      </c>
      <c r="E10" s="17">
        <f t="shared" si="1"/>
        <v>0</v>
      </c>
      <c r="F10" s="17">
        <f t="shared" si="1"/>
        <v>0</v>
      </c>
      <c r="G10" s="17">
        <f t="shared" si="1"/>
        <v>0</v>
      </c>
      <c r="H10" s="17">
        <v>0</v>
      </c>
      <c r="I10" s="17">
        <f t="shared" ref="I10:N22" si="2">+H10</f>
        <v>0</v>
      </c>
      <c r="J10" s="17">
        <f t="shared" si="2"/>
        <v>0</v>
      </c>
      <c r="K10" s="17">
        <f t="shared" si="2"/>
        <v>0</v>
      </c>
      <c r="L10" s="17">
        <f t="shared" si="2"/>
        <v>0</v>
      </c>
      <c r="M10" s="17">
        <f t="shared" si="2"/>
        <v>0</v>
      </c>
      <c r="N10" s="17">
        <f t="shared" si="2"/>
        <v>0</v>
      </c>
      <c r="O10" s="18">
        <f t="shared" si="0"/>
        <v>0</v>
      </c>
    </row>
    <row r="11" spans="1:15" ht="15" x14ac:dyDescent="0.2">
      <c r="A11" s="12"/>
      <c r="B11" s="13" t="s">
        <v>120</v>
      </c>
      <c r="C11" s="17">
        <v>3500</v>
      </c>
      <c r="D11" s="17">
        <v>4900</v>
      </c>
      <c r="E11" s="17">
        <f t="shared" si="1"/>
        <v>4900</v>
      </c>
      <c r="F11" s="17">
        <f t="shared" si="1"/>
        <v>4900</v>
      </c>
      <c r="G11" s="17">
        <v>6489</v>
      </c>
      <c r="H11" s="17">
        <v>6489</v>
      </c>
      <c r="I11" s="17">
        <v>6489</v>
      </c>
      <c r="J11" s="17">
        <v>6489</v>
      </c>
      <c r="K11" s="17">
        <v>6489</v>
      </c>
      <c r="L11" s="17">
        <f t="shared" si="2"/>
        <v>6489</v>
      </c>
      <c r="M11" s="17">
        <f t="shared" si="2"/>
        <v>6489</v>
      </c>
      <c r="N11" s="17">
        <f t="shared" si="2"/>
        <v>6489</v>
      </c>
      <c r="O11" s="18">
        <f t="shared" si="0"/>
        <v>70112</v>
      </c>
    </row>
    <row r="12" spans="1:15" ht="15" hidden="1" x14ac:dyDescent="0.2">
      <c r="A12" s="12"/>
      <c r="B12" s="13" t="s">
        <v>121</v>
      </c>
      <c r="C12" s="17">
        <v>0</v>
      </c>
      <c r="D12" s="17">
        <f t="shared" si="1"/>
        <v>0</v>
      </c>
      <c r="E12" s="17">
        <f t="shared" si="1"/>
        <v>0</v>
      </c>
      <c r="F12" s="17">
        <f t="shared" si="1"/>
        <v>0</v>
      </c>
      <c r="G12" s="17">
        <f t="shared" si="1"/>
        <v>0</v>
      </c>
      <c r="H12" s="17">
        <v>0</v>
      </c>
      <c r="I12" s="17">
        <f t="shared" si="2"/>
        <v>0</v>
      </c>
      <c r="J12" s="17">
        <f t="shared" si="2"/>
        <v>0</v>
      </c>
      <c r="K12" s="17">
        <f t="shared" si="2"/>
        <v>0</v>
      </c>
      <c r="L12" s="17">
        <f t="shared" si="2"/>
        <v>0</v>
      </c>
      <c r="M12" s="17">
        <f t="shared" si="2"/>
        <v>0</v>
      </c>
      <c r="N12" s="17">
        <f t="shared" si="2"/>
        <v>0</v>
      </c>
      <c r="O12" s="18">
        <f t="shared" si="0"/>
        <v>0</v>
      </c>
    </row>
    <row r="13" spans="1:15" ht="15" hidden="1" x14ac:dyDescent="0.2">
      <c r="A13" s="12"/>
      <c r="B13" s="13" t="s">
        <v>122</v>
      </c>
      <c r="C13" s="17">
        <v>0</v>
      </c>
      <c r="D13" s="17">
        <f t="shared" si="1"/>
        <v>0</v>
      </c>
      <c r="E13" s="17">
        <f t="shared" si="1"/>
        <v>0</v>
      </c>
      <c r="F13" s="17">
        <f t="shared" si="1"/>
        <v>0</v>
      </c>
      <c r="G13" s="17">
        <f t="shared" si="1"/>
        <v>0</v>
      </c>
      <c r="H13" s="17">
        <v>0</v>
      </c>
      <c r="I13" s="17">
        <f t="shared" si="2"/>
        <v>0</v>
      </c>
      <c r="J13" s="17">
        <f t="shared" si="2"/>
        <v>0</v>
      </c>
      <c r="K13" s="17">
        <f t="shared" si="2"/>
        <v>0</v>
      </c>
      <c r="L13" s="17">
        <f t="shared" si="2"/>
        <v>0</v>
      </c>
      <c r="M13" s="17">
        <f t="shared" si="2"/>
        <v>0</v>
      </c>
      <c r="N13" s="17">
        <f t="shared" si="2"/>
        <v>0</v>
      </c>
      <c r="O13" s="18">
        <f t="shared" si="0"/>
        <v>0</v>
      </c>
    </row>
    <row r="14" spans="1:15" ht="15" x14ac:dyDescent="0.2">
      <c r="A14" s="12"/>
      <c r="B14" s="13" t="s">
        <v>123</v>
      </c>
      <c r="C14" s="17">
        <v>1926</v>
      </c>
      <c r="D14" s="17">
        <f t="shared" si="1"/>
        <v>1926</v>
      </c>
      <c r="E14" s="17">
        <f t="shared" si="1"/>
        <v>1926</v>
      </c>
      <c r="F14" s="17">
        <f t="shared" si="1"/>
        <v>1926</v>
      </c>
      <c r="G14" s="17">
        <v>1962</v>
      </c>
      <c r="H14" s="17">
        <v>1962</v>
      </c>
      <c r="I14" s="17">
        <f t="shared" si="2"/>
        <v>1962</v>
      </c>
      <c r="J14" s="17">
        <f t="shared" si="2"/>
        <v>1962</v>
      </c>
      <c r="K14" s="17">
        <v>3924</v>
      </c>
      <c r="L14" s="17">
        <f t="shared" si="2"/>
        <v>3924</v>
      </c>
      <c r="M14" s="17">
        <f t="shared" si="2"/>
        <v>3924</v>
      </c>
      <c r="N14" s="17">
        <f t="shared" si="2"/>
        <v>3924</v>
      </c>
      <c r="O14" s="18">
        <f t="shared" si="0"/>
        <v>31248</v>
      </c>
    </row>
    <row r="15" spans="1:15" ht="15" hidden="1" x14ac:dyDescent="0.2">
      <c r="A15" s="12"/>
      <c r="B15" s="13" t="s">
        <v>124</v>
      </c>
      <c r="C15" s="17">
        <v>0</v>
      </c>
      <c r="D15" s="17">
        <f t="shared" si="1"/>
        <v>0</v>
      </c>
      <c r="E15" s="17">
        <f t="shared" si="1"/>
        <v>0</v>
      </c>
      <c r="F15" s="17">
        <f t="shared" si="1"/>
        <v>0</v>
      </c>
      <c r="G15" s="17">
        <f t="shared" si="1"/>
        <v>0</v>
      </c>
      <c r="H15" s="17">
        <v>0</v>
      </c>
      <c r="I15" s="17">
        <f t="shared" si="2"/>
        <v>0</v>
      </c>
      <c r="J15" s="17">
        <f t="shared" si="2"/>
        <v>0</v>
      </c>
      <c r="K15" s="17">
        <f t="shared" si="2"/>
        <v>0</v>
      </c>
      <c r="L15" s="17">
        <f t="shared" si="2"/>
        <v>0</v>
      </c>
      <c r="M15" s="17">
        <f t="shared" si="2"/>
        <v>0</v>
      </c>
      <c r="N15" s="17">
        <f t="shared" si="2"/>
        <v>0</v>
      </c>
      <c r="O15" s="18">
        <f t="shared" si="0"/>
        <v>0</v>
      </c>
    </row>
    <row r="16" spans="1:15" ht="15" hidden="1" x14ac:dyDescent="0.2">
      <c r="A16" s="12"/>
      <c r="B16" s="13" t="s">
        <v>125</v>
      </c>
      <c r="C16" s="17">
        <v>0</v>
      </c>
      <c r="D16" s="17">
        <f t="shared" si="1"/>
        <v>0</v>
      </c>
      <c r="E16" s="17">
        <f t="shared" si="1"/>
        <v>0</v>
      </c>
      <c r="F16" s="17">
        <f t="shared" si="1"/>
        <v>0</v>
      </c>
      <c r="G16" s="17">
        <f t="shared" si="1"/>
        <v>0</v>
      </c>
      <c r="H16" s="17">
        <v>0</v>
      </c>
      <c r="I16" s="17">
        <f t="shared" si="2"/>
        <v>0</v>
      </c>
      <c r="J16" s="17">
        <f t="shared" si="2"/>
        <v>0</v>
      </c>
      <c r="K16" s="17">
        <f t="shared" si="2"/>
        <v>0</v>
      </c>
      <c r="L16" s="17">
        <f t="shared" si="2"/>
        <v>0</v>
      </c>
      <c r="M16" s="17">
        <f t="shared" si="2"/>
        <v>0</v>
      </c>
      <c r="N16" s="17">
        <f t="shared" si="2"/>
        <v>0</v>
      </c>
      <c r="O16" s="18">
        <f t="shared" si="0"/>
        <v>0</v>
      </c>
    </row>
    <row r="17" spans="1:16" ht="15" hidden="1" x14ac:dyDescent="0.2">
      <c r="A17" s="12"/>
      <c r="B17" s="13" t="s">
        <v>126</v>
      </c>
      <c r="C17" s="17">
        <v>0</v>
      </c>
      <c r="D17" s="17">
        <f t="shared" si="1"/>
        <v>0</v>
      </c>
      <c r="E17" s="17">
        <f t="shared" si="1"/>
        <v>0</v>
      </c>
      <c r="F17" s="17">
        <f t="shared" si="1"/>
        <v>0</v>
      </c>
      <c r="G17" s="17">
        <f t="shared" si="1"/>
        <v>0</v>
      </c>
      <c r="H17" s="17">
        <v>0</v>
      </c>
      <c r="I17" s="17">
        <f t="shared" si="2"/>
        <v>0</v>
      </c>
      <c r="J17" s="17">
        <f t="shared" si="2"/>
        <v>0</v>
      </c>
      <c r="K17" s="17">
        <f t="shared" si="2"/>
        <v>0</v>
      </c>
      <c r="L17" s="17">
        <f t="shared" si="2"/>
        <v>0</v>
      </c>
      <c r="M17" s="17">
        <f t="shared" si="2"/>
        <v>0</v>
      </c>
      <c r="N17" s="17">
        <f t="shared" si="2"/>
        <v>0</v>
      </c>
      <c r="O17" s="18">
        <f t="shared" si="0"/>
        <v>0</v>
      </c>
    </row>
    <row r="18" spans="1:16" ht="15" x14ac:dyDescent="0.2">
      <c r="A18" s="12"/>
      <c r="B18" s="13" t="s">
        <v>127</v>
      </c>
      <c r="C18" s="17">
        <v>0</v>
      </c>
      <c r="D18" s="17">
        <f t="shared" si="1"/>
        <v>0</v>
      </c>
      <c r="E18" s="17">
        <f t="shared" si="1"/>
        <v>0</v>
      </c>
      <c r="F18" s="17">
        <f t="shared" si="1"/>
        <v>0</v>
      </c>
      <c r="G18" s="17">
        <f t="shared" si="1"/>
        <v>0</v>
      </c>
      <c r="H18" s="17">
        <v>0</v>
      </c>
      <c r="I18" s="17">
        <f t="shared" si="2"/>
        <v>0</v>
      </c>
      <c r="J18" s="17">
        <f t="shared" si="2"/>
        <v>0</v>
      </c>
      <c r="K18" s="17">
        <f t="shared" si="2"/>
        <v>0</v>
      </c>
      <c r="L18" s="17">
        <f t="shared" si="2"/>
        <v>0</v>
      </c>
      <c r="M18" s="17">
        <f t="shared" si="2"/>
        <v>0</v>
      </c>
      <c r="N18" s="17">
        <f t="shared" si="2"/>
        <v>0</v>
      </c>
      <c r="O18" s="18">
        <f t="shared" si="0"/>
        <v>0</v>
      </c>
    </row>
    <row r="19" spans="1:16" ht="15" x14ac:dyDescent="0.2">
      <c r="A19" s="12"/>
      <c r="B19" s="13" t="s">
        <v>128</v>
      </c>
      <c r="C19" s="17">
        <v>5600</v>
      </c>
      <c r="D19" s="17">
        <f t="shared" si="1"/>
        <v>5600</v>
      </c>
      <c r="E19" s="17">
        <f t="shared" si="1"/>
        <v>5600</v>
      </c>
      <c r="F19" s="17">
        <f t="shared" si="1"/>
        <v>5600</v>
      </c>
      <c r="G19" s="17">
        <v>5768</v>
      </c>
      <c r="H19" s="17">
        <v>5768</v>
      </c>
      <c r="I19" s="17">
        <v>5768</v>
      </c>
      <c r="J19" s="17">
        <v>5768</v>
      </c>
      <c r="K19" s="17">
        <v>17304</v>
      </c>
      <c r="L19" s="17">
        <f t="shared" si="2"/>
        <v>17304</v>
      </c>
      <c r="M19" s="17">
        <f t="shared" si="2"/>
        <v>17304</v>
      </c>
      <c r="N19" s="17">
        <f t="shared" si="2"/>
        <v>17304</v>
      </c>
      <c r="O19" s="18">
        <f t="shared" si="0"/>
        <v>114688</v>
      </c>
    </row>
    <row r="20" spans="1:16" ht="15" customHeight="1" x14ac:dyDescent="0.2">
      <c r="A20" s="12"/>
      <c r="B20" s="13" t="s">
        <v>129</v>
      </c>
      <c r="C20" s="17">
        <v>0</v>
      </c>
      <c r="D20" s="17">
        <f t="shared" si="1"/>
        <v>0</v>
      </c>
      <c r="E20" s="17">
        <f t="shared" si="1"/>
        <v>0</v>
      </c>
      <c r="F20" s="17">
        <f t="shared" si="1"/>
        <v>0</v>
      </c>
      <c r="G20" s="17">
        <f t="shared" si="1"/>
        <v>0</v>
      </c>
      <c r="H20" s="17">
        <v>0</v>
      </c>
      <c r="I20" s="17">
        <f t="shared" si="2"/>
        <v>0</v>
      </c>
      <c r="J20" s="17">
        <f t="shared" si="2"/>
        <v>0</v>
      </c>
      <c r="K20" s="17">
        <f t="shared" si="2"/>
        <v>0</v>
      </c>
      <c r="L20" s="17">
        <f t="shared" si="2"/>
        <v>0</v>
      </c>
      <c r="M20" s="17">
        <f t="shared" si="2"/>
        <v>0</v>
      </c>
      <c r="N20" s="17">
        <f t="shared" si="2"/>
        <v>0</v>
      </c>
      <c r="O20" s="18">
        <f t="shared" si="0"/>
        <v>0</v>
      </c>
    </row>
    <row r="21" spans="1:16" ht="15" hidden="1" customHeight="1" x14ac:dyDescent="0.2">
      <c r="A21" s="878" t="s">
        <v>130</v>
      </c>
      <c r="B21" s="19" t="s">
        <v>131</v>
      </c>
      <c r="C21" s="17">
        <v>0</v>
      </c>
      <c r="D21" s="17">
        <f t="shared" si="1"/>
        <v>0</v>
      </c>
      <c r="E21" s="17">
        <f t="shared" si="1"/>
        <v>0</v>
      </c>
      <c r="F21" s="17">
        <f t="shared" si="1"/>
        <v>0</v>
      </c>
      <c r="G21" s="17">
        <f t="shared" si="1"/>
        <v>0</v>
      </c>
      <c r="H21" s="17">
        <v>0</v>
      </c>
      <c r="I21" s="17">
        <f t="shared" si="2"/>
        <v>0</v>
      </c>
      <c r="J21" s="17">
        <f t="shared" si="2"/>
        <v>0</v>
      </c>
      <c r="K21" s="17">
        <f t="shared" si="2"/>
        <v>0</v>
      </c>
      <c r="L21" s="17">
        <f t="shared" si="2"/>
        <v>0</v>
      </c>
      <c r="M21" s="17">
        <f t="shared" si="2"/>
        <v>0</v>
      </c>
      <c r="N21" s="17">
        <f t="shared" si="2"/>
        <v>0</v>
      </c>
      <c r="O21" s="18">
        <f t="shared" si="0"/>
        <v>0</v>
      </c>
    </row>
    <row r="22" spans="1:16" ht="15" customHeight="1" x14ac:dyDescent="0.2">
      <c r="A22" s="879"/>
      <c r="B22" s="19" t="s">
        <v>132</v>
      </c>
      <c r="C22" s="17">
        <v>0</v>
      </c>
      <c r="D22" s="17">
        <f t="shared" si="1"/>
        <v>0</v>
      </c>
      <c r="E22" s="17">
        <f t="shared" si="1"/>
        <v>0</v>
      </c>
      <c r="F22" s="17">
        <f t="shared" si="1"/>
        <v>0</v>
      </c>
      <c r="G22" s="17">
        <f t="shared" si="1"/>
        <v>0</v>
      </c>
      <c r="H22" s="17">
        <v>0</v>
      </c>
      <c r="I22" s="17">
        <f t="shared" si="2"/>
        <v>0</v>
      </c>
      <c r="J22" s="17">
        <v>6908</v>
      </c>
      <c r="K22" s="17">
        <v>0</v>
      </c>
      <c r="L22" s="17">
        <v>0</v>
      </c>
      <c r="M22" s="17">
        <f t="shared" si="2"/>
        <v>0</v>
      </c>
      <c r="N22" s="17">
        <f t="shared" si="2"/>
        <v>0</v>
      </c>
      <c r="O22" s="18">
        <f t="shared" si="0"/>
        <v>6908</v>
      </c>
    </row>
    <row r="23" spans="1:16" ht="15" hidden="1" customHeight="1" x14ac:dyDescent="0.2">
      <c r="A23" s="879"/>
      <c r="B23" s="19" t="s">
        <v>133</v>
      </c>
      <c r="C23" s="147">
        <v>0</v>
      </c>
      <c r="D23" s="147">
        <v>0</v>
      </c>
      <c r="E23" s="147">
        <v>0</v>
      </c>
      <c r="F23" s="147">
        <v>0</v>
      </c>
      <c r="G23" s="147">
        <v>0</v>
      </c>
      <c r="H23" s="147">
        <v>0</v>
      </c>
      <c r="I23" s="147">
        <v>0</v>
      </c>
      <c r="J23" s="147">
        <v>0</v>
      </c>
      <c r="K23" s="147">
        <v>0</v>
      </c>
      <c r="L23" s="147">
        <v>0</v>
      </c>
      <c r="M23" s="147">
        <v>0</v>
      </c>
      <c r="N23" s="147">
        <v>0</v>
      </c>
      <c r="O23" s="18">
        <f t="shared" si="0"/>
        <v>0</v>
      </c>
    </row>
    <row r="24" spans="1:16" ht="15" hidden="1" customHeight="1" x14ac:dyDescent="0.2">
      <c r="A24" s="879"/>
      <c r="B24" s="19" t="s">
        <v>134</v>
      </c>
      <c r="C24" s="147">
        <v>0</v>
      </c>
      <c r="D24" s="147">
        <v>0</v>
      </c>
      <c r="E24" s="147">
        <v>0</v>
      </c>
      <c r="F24" s="147">
        <v>0</v>
      </c>
      <c r="G24" s="147">
        <v>0</v>
      </c>
      <c r="H24" s="147">
        <v>0</v>
      </c>
      <c r="I24" s="147">
        <v>0</v>
      </c>
      <c r="J24" s="147">
        <v>0</v>
      </c>
      <c r="K24" s="147">
        <v>0</v>
      </c>
      <c r="L24" s="147">
        <v>0</v>
      </c>
      <c r="M24" s="147">
        <v>0</v>
      </c>
      <c r="N24" s="147">
        <v>0</v>
      </c>
      <c r="O24" s="18">
        <f t="shared" si="0"/>
        <v>0</v>
      </c>
    </row>
    <row r="25" spans="1:16" ht="15" hidden="1" customHeight="1" x14ac:dyDescent="0.2">
      <c r="A25" s="879"/>
      <c r="B25" s="19" t="s">
        <v>135</v>
      </c>
      <c r="C25" s="147">
        <v>0</v>
      </c>
      <c r="D25" s="147">
        <v>0</v>
      </c>
      <c r="E25" s="147">
        <v>0</v>
      </c>
      <c r="F25" s="147">
        <v>0</v>
      </c>
      <c r="G25" s="147">
        <v>0</v>
      </c>
      <c r="H25" s="147">
        <v>0</v>
      </c>
      <c r="I25" s="147">
        <v>0</v>
      </c>
      <c r="J25" s="147">
        <v>0</v>
      </c>
      <c r="K25" s="147">
        <v>0</v>
      </c>
      <c r="L25" s="147">
        <v>0</v>
      </c>
      <c r="M25" s="147">
        <v>0</v>
      </c>
      <c r="N25" s="147">
        <v>0</v>
      </c>
      <c r="O25" s="18">
        <f t="shared" si="0"/>
        <v>0</v>
      </c>
    </row>
    <row r="26" spans="1:16" ht="15" hidden="1" customHeight="1" x14ac:dyDescent="0.2">
      <c r="A26" s="879"/>
      <c r="B26" s="19" t="s">
        <v>136</v>
      </c>
      <c r="C26" s="147">
        <v>0</v>
      </c>
      <c r="D26" s="147">
        <v>0</v>
      </c>
      <c r="E26" s="147">
        <v>0</v>
      </c>
      <c r="F26" s="147">
        <v>0</v>
      </c>
      <c r="G26" s="147">
        <v>0</v>
      </c>
      <c r="H26" s="147">
        <v>0</v>
      </c>
      <c r="I26" s="147">
        <v>0</v>
      </c>
      <c r="J26" s="147">
        <v>0</v>
      </c>
      <c r="K26" s="147">
        <v>0</v>
      </c>
      <c r="L26" s="147">
        <v>0</v>
      </c>
      <c r="M26" s="147">
        <v>0</v>
      </c>
      <c r="N26" s="147">
        <v>0</v>
      </c>
      <c r="O26" s="18">
        <f t="shared" si="0"/>
        <v>0</v>
      </c>
    </row>
    <row r="27" spans="1:16" ht="15" hidden="1" customHeight="1" x14ac:dyDescent="0.2">
      <c r="A27" s="879"/>
      <c r="B27" s="19" t="s">
        <v>137</v>
      </c>
      <c r="C27" s="147">
        <v>0</v>
      </c>
      <c r="D27" s="147">
        <v>0</v>
      </c>
      <c r="E27" s="147">
        <v>0</v>
      </c>
      <c r="F27" s="147">
        <v>0</v>
      </c>
      <c r="G27" s="147">
        <v>0</v>
      </c>
      <c r="H27" s="147">
        <v>0</v>
      </c>
      <c r="I27" s="147">
        <v>0</v>
      </c>
      <c r="J27" s="147">
        <v>0</v>
      </c>
      <c r="K27" s="147">
        <v>0</v>
      </c>
      <c r="L27" s="147">
        <v>0</v>
      </c>
      <c r="M27" s="147">
        <v>0</v>
      </c>
      <c r="N27" s="147">
        <v>0</v>
      </c>
      <c r="O27" s="18">
        <f t="shared" si="0"/>
        <v>0</v>
      </c>
    </row>
    <row r="28" spans="1:16" ht="15" hidden="1" customHeight="1" x14ac:dyDescent="0.2">
      <c r="A28" s="879"/>
      <c r="B28" s="19" t="s">
        <v>138</v>
      </c>
      <c r="C28" s="147">
        <v>0</v>
      </c>
      <c r="D28" s="147">
        <v>0</v>
      </c>
      <c r="E28" s="147">
        <v>0</v>
      </c>
      <c r="F28" s="147">
        <v>0</v>
      </c>
      <c r="G28" s="147">
        <v>0</v>
      </c>
      <c r="H28" s="147">
        <v>0</v>
      </c>
      <c r="I28" s="147">
        <v>0</v>
      </c>
      <c r="J28" s="147">
        <v>0</v>
      </c>
      <c r="K28" s="147">
        <v>0</v>
      </c>
      <c r="L28" s="147">
        <v>0</v>
      </c>
      <c r="M28" s="147">
        <v>0</v>
      </c>
      <c r="N28" s="147">
        <v>0</v>
      </c>
      <c r="O28" s="18">
        <f t="shared" si="0"/>
        <v>0</v>
      </c>
    </row>
    <row r="29" spans="1:16" ht="15" hidden="1" customHeight="1" x14ac:dyDescent="0.2">
      <c r="A29" s="879"/>
      <c r="B29" s="19" t="s">
        <v>139</v>
      </c>
      <c r="C29" s="147">
        <v>0</v>
      </c>
      <c r="D29" s="147">
        <v>0</v>
      </c>
      <c r="E29" s="147">
        <v>0</v>
      </c>
      <c r="F29" s="147">
        <v>0</v>
      </c>
      <c r="G29" s="147">
        <v>0</v>
      </c>
      <c r="H29" s="147">
        <v>0</v>
      </c>
      <c r="I29" s="147">
        <v>0</v>
      </c>
      <c r="J29" s="147">
        <v>0</v>
      </c>
      <c r="K29" s="147">
        <v>0</v>
      </c>
      <c r="L29" s="147">
        <v>0</v>
      </c>
      <c r="M29" s="147">
        <v>0</v>
      </c>
      <c r="N29" s="147">
        <v>0</v>
      </c>
      <c r="O29" s="18">
        <f t="shared" si="0"/>
        <v>0</v>
      </c>
    </row>
    <row r="30" spans="1:16" ht="15" hidden="1" customHeight="1" x14ac:dyDescent="0.2">
      <c r="A30" s="879"/>
      <c r="B30" s="19" t="s">
        <v>140</v>
      </c>
      <c r="C30" s="147">
        <v>0</v>
      </c>
      <c r="D30" s="147">
        <v>0</v>
      </c>
      <c r="E30" s="147">
        <v>0</v>
      </c>
      <c r="F30" s="147">
        <v>0</v>
      </c>
      <c r="G30" s="147">
        <v>0</v>
      </c>
      <c r="H30" s="147">
        <v>0</v>
      </c>
      <c r="I30" s="147">
        <v>0</v>
      </c>
      <c r="J30" s="147">
        <v>0</v>
      </c>
      <c r="K30" s="147">
        <v>0</v>
      </c>
      <c r="L30" s="147">
        <v>0</v>
      </c>
      <c r="M30" s="147">
        <v>0</v>
      </c>
      <c r="N30" s="147">
        <v>0</v>
      </c>
      <c r="O30" s="18">
        <f t="shared" si="0"/>
        <v>0</v>
      </c>
    </row>
    <row r="31" spans="1:16" ht="15" customHeight="1" x14ac:dyDescent="0.2">
      <c r="A31" s="879"/>
      <c r="B31" s="19" t="s">
        <v>1170</v>
      </c>
      <c r="C31" s="410">
        <v>0</v>
      </c>
      <c r="D31" s="410">
        <v>0</v>
      </c>
      <c r="E31" s="410">
        <v>0</v>
      </c>
      <c r="F31" s="410">
        <v>0</v>
      </c>
      <c r="G31" s="410">
        <v>0</v>
      </c>
      <c r="H31" s="410">
        <v>0</v>
      </c>
      <c r="I31" s="410">
        <v>0</v>
      </c>
      <c r="J31" s="410">
        <v>0</v>
      </c>
      <c r="K31" s="410">
        <v>0</v>
      </c>
      <c r="L31" s="410">
        <v>0</v>
      </c>
      <c r="M31" s="410">
        <v>0</v>
      </c>
      <c r="N31" s="410">
        <v>0</v>
      </c>
      <c r="O31" s="411">
        <f t="shared" si="0"/>
        <v>0</v>
      </c>
      <c r="P31" s="1"/>
    </row>
    <row r="32" spans="1:16" ht="15" customHeight="1" x14ac:dyDescent="0.2">
      <c r="A32" s="879"/>
      <c r="B32" s="21" t="s">
        <v>142</v>
      </c>
      <c r="C32" s="28">
        <v>0</v>
      </c>
      <c r="D32" s="28">
        <v>0</v>
      </c>
      <c r="E32" s="28">
        <v>0</v>
      </c>
      <c r="F32" s="28">
        <v>0</v>
      </c>
      <c r="G32" s="28">
        <v>0</v>
      </c>
      <c r="H32" s="28">
        <v>0</v>
      </c>
      <c r="I32" s="28">
        <v>0</v>
      </c>
      <c r="J32" s="28">
        <v>0</v>
      </c>
      <c r="K32" s="28">
        <v>0</v>
      </c>
      <c r="L32" s="28">
        <v>0</v>
      </c>
      <c r="M32" s="28">
        <v>0</v>
      </c>
      <c r="N32" s="28">
        <v>0</v>
      </c>
      <c r="O32" s="18">
        <f t="shared" si="0"/>
        <v>0</v>
      </c>
    </row>
    <row r="33" spans="1:17" ht="15" hidden="1" customHeight="1" x14ac:dyDescent="0.2">
      <c r="A33" s="880"/>
      <c r="B33" s="19" t="s">
        <v>226</v>
      </c>
      <c r="C33" s="28">
        <v>0</v>
      </c>
      <c r="D33" s="28">
        <v>0</v>
      </c>
      <c r="E33" s="28">
        <v>0</v>
      </c>
      <c r="F33" s="28">
        <v>0</v>
      </c>
      <c r="G33" s="28">
        <v>0</v>
      </c>
      <c r="H33" s="28">
        <v>0</v>
      </c>
      <c r="I33" s="28">
        <v>0</v>
      </c>
      <c r="J33" s="28">
        <v>0</v>
      </c>
      <c r="K33" s="28">
        <v>0</v>
      </c>
      <c r="L33" s="28">
        <v>0</v>
      </c>
      <c r="M33" s="28">
        <v>0</v>
      </c>
      <c r="N33" s="28">
        <v>0</v>
      </c>
      <c r="O33" s="18">
        <f t="shared" si="0"/>
        <v>0</v>
      </c>
    </row>
    <row r="34" spans="1:17" ht="15" customHeight="1" x14ac:dyDescent="0.2">
      <c r="A34" s="865" t="s">
        <v>143</v>
      </c>
      <c r="B34" s="866"/>
      <c r="C34" s="28">
        <v>0</v>
      </c>
      <c r="D34" s="28">
        <v>0</v>
      </c>
      <c r="E34" s="28">
        <v>0</v>
      </c>
      <c r="F34" s="28">
        <v>0</v>
      </c>
      <c r="G34" s="28">
        <v>0</v>
      </c>
      <c r="H34" s="28">
        <v>0</v>
      </c>
      <c r="I34" s="28">
        <v>0</v>
      </c>
      <c r="J34" s="28">
        <v>0</v>
      </c>
      <c r="K34" s="28">
        <v>0</v>
      </c>
      <c r="L34" s="28">
        <v>0</v>
      </c>
      <c r="M34" s="28">
        <v>0</v>
      </c>
      <c r="N34" s="28">
        <v>0</v>
      </c>
      <c r="O34" s="18">
        <f t="shared" si="0"/>
        <v>0</v>
      </c>
    </row>
    <row r="35" spans="1:17" ht="15" customHeight="1" x14ac:dyDescent="0.2">
      <c r="A35" s="865" t="s">
        <v>145</v>
      </c>
      <c r="B35" s="866"/>
      <c r="C35" s="28">
        <v>0</v>
      </c>
      <c r="D35" s="28">
        <v>0</v>
      </c>
      <c r="E35" s="28">
        <v>0</v>
      </c>
      <c r="F35" s="28">
        <v>0</v>
      </c>
      <c r="G35" s="28">
        <v>0</v>
      </c>
      <c r="H35" s="28">
        <v>0</v>
      </c>
      <c r="I35" s="28">
        <v>0</v>
      </c>
      <c r="J35" s="28">
        <v>0</v>
      </c>
      <c r="K35" s="28">
        <v>0</v>
      </c>
      <c r="L35" s="28">
        <v>0</v>
      </c>
      <c r="M35" s="28">
        <v>0</v>
      </c>
      <c r="N35" s="28">
        <v>0</v>
      </c>
      <c r="O35" s="18">
        <f t="shared" si="0"/>
        <v>0</v>
      </c>
    </row>
    <row r="36" spans="1:17" ht="15" customHeight="1" x14ac:dyDescent="0.2">
      <c r="A36" s="865" t="s">
        <v>146</v>
      </c>
      <c r="B36" s="866"/>
      <c r="C36" s="28">
        <v>0</v>
      </c>
      <c r="D36" s="28">
        <v>4308</v>
      </c>
      <c r="E36" s="28">
        <v>0</v>
      </c>
      <c r="F36" s="28">
        <v>0</v>
      </c>
      <c r="G36" s="28">
        <v>0</v>
      </c>
      <c r="H36" s="28">
        <v>0</v>
      </c>
      <c r="I36" s="28">
        <v>0</v>
      </c>
      <c r="J36" s="28">
        <v>2956</v>
      </c>
      <c r="K36" s="28">
        <v>0</v>
      </c>
      <c r="L36" s="28">
        <v>0</v>
      </c>
      <c r="M36" s="28">
        <v>0</v>
      </c>
      <c r="N36" s="28">
        <v>0</v>
      </c>
      <c r="O36" s="18">
        <f t="shared" si="0"/>
        <v>7264</v>
      </c>
    </row>
    <row r="37" spans="1:17" ht="15" customHeight="1" x14ac:dyDescent="0.2">
      <c r="A37" s="22"/>
      <c r="B37" s="23" t="s">
        <v>147</v>
      </c>
      <c r="C37" s="24">
        <f t="shared" ref="C37:N37" si="3">SUM(C9:C36)</f>
        <v>81026</v>
      </c>
      <c r="D37" s="24">
        <f t="shared" si="3"/>
        <v>86734</v>
      </c>
      <c r="E37" s="24">
        <f t="shared" si="3"/>
        <v>82426</v>
      </c>
      <c r="F37" s="24">
        <f t="shared" si="3"/>
        <v>82426</v>
      </c>
      <c r="G37" s="24">
        <f t="shared" si="3"/>
        <v>86319</v>
      </c>
      <c r="H37" s="24">
        <f t="shared" si="3"/>
        <v>86319</v>
      </c>
      <c r="I37" s="24">
        <f t="shared" si="3"/>
        <v>86319</v>
      </c>
      <c r="J37" s="24">
        <f t="shared" si="3"/>
        <v>96183</v>
      </c>
      <c r="K37" s="24">
        <f t="shared" si="3"/>
        <v>99817</v>
      </c>
      <c r="L37" s="24">
        <f t="shared" si="3"/>
        <v>99817</v>
      </c>
      <c r="M37" s="24">
        <f t="shared" si="3"/>
        <v>99817</v>
      </c>
      <c r="N37" s="24">
        <f t="shared" si="3"/>
        <v>99817</v>
      </c>
      <c r="O37" s="25">
        <f t="shared" si="0"/>
        <v>1087020</v>
      </c>
    </row>
    <row r="38" spans="1:17" ht="15" customHeight="1" x14ac:dyDescent="0.2">
      <c r="A38" s="853" t="s">
        <v>148</v>
      </c>
      <c r="B38" s="27" t="s">
        <v>149</v>
      </c>
      <c r="C38" s="28">
        <v>2300</v>
      </c>
      <c r="D38" s="28">
        <v>3190</v>
      </c>
      <c r="E38" s="28">
        <v>6000</v>
      </c>
      <c r="F38" s="28">
        <v>6000</v>
      </c>
      <c r="G38" s="28">
        <v>6000</v>
      </c>
      <c r="H38" s="28">
        <v>6000</v>
      </c>
      <c r="I38" s="28">
        <v>6000</v>
      </c>
      <c r="J38" s="28">
        <v>6600</v>
      </c>
      <c r="K38" s="28">
        <v>6500</v>
      </c>
      <c r="L38" s="28">
        <v>6500</v>
      </c>
      <c r="M38" s="28">
        <v>10000</v>
      </c>
      <c r="N38" s="28">
        <v>29975</v>
      </c>
      <c r="O38" s="18">
        <f t="shared" si="0"/>
        <v>95065</v>
      </c>
      <c r="P38" s="29"/>
    </row>
    <row r="39" spans="1:17" ht="15" x14ac:dyDescent="0.2">
      <c r="A39" s="854"/>
      <c r="B39" s="27" t="s">
        <v>150</v>
      </c>
      <c r="C39" s="28">
        <v>0</v>
      </c>
      <c r="D39" s="28">
        <v>0</v>
      </c>
      <c r="E39" s="28">
        <v>0</v>
      </c>
      <c r="F39" s="28">
        <v>0</v>
      </c>
      <c r="G39" s="28">
        <v>0</v>
      </c>
      <c r="H39" s="28">
        <v>0</v>
      </c>
      <c r="I39" s="28">
        <v>0</v>
      </c>
      <c r="J39" s="28">
        <v>0</v>
      </c>
      <c r="K39" s="28">
        <v>0</v>
      </c>
      <c r="L39" s="28">
        <v>0</v>
      </c>
      <c r="M39" s="28">
        <v>0</v>
      </c>
      <c r="N39" s="28">
        <v>0</v>
      </c>
      <c r="O39" s="18">
        <f t="shared" si="0"/>
        <v>0</v>
      </c>
      <c r="Q39" s="16">
        <f>+Q37+Q38</f>
        <v>0</v>
      </c>
    </row>
    <row r="40" spans="1:17" ht="15" x14ac:dyDescent="0.2">
      <c r="A40" s="854"/>
      <c r="B40" s="27" t="s">
        <v>151</v>
      </c>
      <c r="C40" s="28">
        <v>60</v>
      </c>
      <c r="D40" s="28">
        <v>60</v>
      </c>
      <c r="E40" s="28">
        <v>60</v>
      </c>
      <c r="F40" s="28">
        <v>60</v>
      </c>
      <c r="G40" s="28">
        <v>60</v>
      </c>
      <c r="H40" s="28">
        <v>60</v>
      </c>
      <c r="I40" s="28">
        <v>60</v>
      </c>
      <c r="J40" s="28">
        <v>60</v>
      </c>
      <c r="K40" s="28">
        <v>60</v>
      </c>
      <c r="L40" s="28">
        <v>60</v>
      </c>
      <c r="M40" s="28">
        <v>60</v>
      </c>
      <c r="N40" s="28">
        <v>60</v>
      </c>
      <c r="O40" s="18">
        <f t="shared" si="0"/>
        <v>720</v>
      </c>
    </row>
    <row r="41" spans="1:17" ht="15" x14ac:dyDescent="0.2">
      <c r="A41" s="854"/>
      <c r="B41" s="27" t="s">
        <v>152</v>
      </c>
      <c r="C41" s="28">
        <v>0</v>
      </c>
      <c r="D41" s="28">
        <v>0</v>
      </c>
      <c r="E41" s="28">
        <v>0</v>
      </c>
      <c r="F41" s="28">
        <v>0</v>
      </c>
      <c r="G41" s="28">
        <v>0</v>
      </c>
      <c r="H41" s="28">
        <v>0</v>
      </c>
      <c r="I41" s="28">
        <v>0</v>
      </c>
      <c r="J41" s="28">
        <v>0</v>
      </c>
      <c r="K41" s="28">
        <v>0</v>
      </c>
      <c r="L41" s="28">
        <v>0</v>
      </c>
      <c r="M41" s="28">
        <v>0</v>
      </c>
      <c r="N41" s="28">
        <v>0</v>
      </c>
      <c r="O41" s="18">
        <f t="shared" si="0"/>
        <v>0</v>
      </c>
    </row>
    <row r="42" spans="1:17" ht="15" x14ac:dyDescent="0.2">
      <c r="A42" s="854"/>
      <c r="B42" s="27" t="s">
        <v>153</v>
      </c>
      <c r="C42" s="28">
        <v>0</v>
      </c>
      <c r="D42" s="28">
        <v>0</v>
      </c>
      <c r="E42" s="28">
        <v>0</v>
      </c>
      <c r="F42" s="28">
        <v>0</v>
      </c>
      <c r="G42" s="28">
        <v>0</v>
      </c>
      <c r="H42" s="28">
        <v>0</v>
      </c>
      <c r="I42" s="28">
        <v>0</v>
      </c>
      <c r="J42" s="28">
        <v>0</v>
      </c>
      <c r="K42" s="28">
        <v>0</v>
      </c>
      <c r="L42" s="28">
        <v>0</v>
      </c>
      <c r="M42" s="28">
        <v>0</v>
      </c>
      <c r="N42" s="28">
        <v>0</v>
      </c>
      <c r="O42" s="18">
        <f t="shared" si="0"/>
        <v>0</v>
      </c>
    </row>
    <row r="43" spans="1:17" ht="15" x14ac:dyDescent="0.2">
      <c r="A43" s="854"/>
      <c r="B43" s="27" t="s">
        <v>154</v>
      </c>
      <c r="C43" s="28">
        <v>6000</v>
      </c>
      <c r="D43" s="28">
        <v>6000</v>
      </c>
      <c r="E43" s="28">
        <v>6000</v>
      </c>
      <c r="F43" s="28">
        <v>6000</v>
      </c>
      <c r="G43" s="28">
        <v>6000</v>
      </c>
      <c r="H43" s="28">
        <v>6000</v>
      </c>
      <c r="I43" s="28">
        <v>35000</v>
      </c>
      <c r="J43" s="28">
        <v>35000</v>
      </c>
      <c r="K43" s="28">
        <v>35000</v>
      </c>
      <c r="L43" s="28">
        <v>35000</v>
      </c>
      <c r="M43" s="28">
        <v>35000</v>
      </c>
      <c r="N43" s="28">
        <v>35000</v>
      </c>
      <c r="O43" s="18">
        <f t="shared" si="0"/>
        <v>246000</v>
      </c>
      <c r="P43" s="170"/>
    </row>
    <row r="44" spans="1:17" ht="15" x14ac:dyDescent="0.2">
      <c r="A44" s="854"/>
      <c r="B44" s="27" t="s">
        <v>155</v>
      </c>
      <c r="C44" s="28">
        <v>200</v>
      </c>
      <c r="D44" s="28">
        <v>200</v>
      </c>
      <c r="E44" s="28">
        <v>200</v>
      </c>
      <c r="F44" s="28">
        <v>200</v>
      </c>
      <c r="G44" s="28">
        <v>200</v>
      </c>
      <c r="H44" s="28">
        <v>200</v>
      </c>
      <c r="I44" s="28">
        <v>200</v>
      </c>
      <c r="J44" s="28">
        <v>200</v>
      </c>
      <c r="K44" s="28">
        <v>200</v>
      </c>
      <c r="L44" s="28">
        <v>200</v>
      </c>
      <c r="M44" s="28">
        <v>200</v>
      </c>
      <c r="N44" s="28">
        <v>300</v>
      </c>
      <c r="O44" s="18">
        <f t="shared" si="0"/>
        <v>2500</v>
      </c>
    </row>
    <row r="45" spans="1:17" ht="15" x14ac:dyDescent="0.2">
      <c r="A45" s="854"/>
      <c r="B45" s="27" t="s">
        <v>156</v>
      </c>
      <c r="C45" s="28">
        <v>0</v>
      </c>
      <c r="D45" s="28">
        <v>0</v>
      </c>
      <c r="E45" s="28">
        <v>0</v>
      </c>
      <c r="F45" s="28">
        <v>0</v>
      </c>
      <c r="G45" s="28">
        <v>0</v>
      </c>
      <c r="H45" s="28">
        <v>0</v>
      </c>
      <c r="I45" s="28">
        <v>0</v>
      </c>
      <c r="J45" s="28">
        <v>0</v>
      </c>
      <c r="K45" s="28">
        <v>0</v>
      </c>
      <c r="L45" s="28">
        <v>0</v>
      </c>
      <c r="M45" s="28">
        <v>0</v>
      </c>
      <c r="N45" s="28">
        <v>0</v>
      </c>
      <c r="O45" s="18">
        <f t="shared" si="0"/>
        <v>0</v>
      </c>
    </row>
    <row r="46" spans="1:17" ht="15" x14ac:dyDescent="0.2">
      <c r="A46" s="854"/>
      <c r="B46" s="27" t="s">
        <v>157</v>
      </c>
      <c r="C46" s="28">
        <v>0</v>
      </c>
      <c r="D46" s="28">
        <v>0</v>
      </c>
      <c r="E46" s="28">
        <v>0</v>
      </c>
      <c r="F46" s="28">
        <v>0</v>
      </c>
      <c r="G46" s="28">
        <v>0</v>
      </c>
      <c r="H46" s="28">
        <v>0</v>
      </c>
      <c r="I46" s="28">
        <v>0</v>
      </c>
      <c r="J46" s="28">
        <v>0</v>
      </c>
      <c r="K46" s="28">
        <v>0</v>
      </c>
      <c r="L46" s="28">
        <v>0</v>
      </c>
      <c r="M46" s="28">
        <v>0</v>
      </c>
      <c r="N46" s="28">
        <v>0</v>
      </c>
      <c r="O46" s="18">
        <f t="shared" si="0"/>
        <v>0</v>
      </c>
    </row>
    <row r="47" spans="1:17" ht="28.5" customHeight="1" x14ac:dyDescent="0.2">
      <c r="A47" s="855"/>
      <c r="B47" s="30" t="s">
        <v>158</v>
      </c>
      <c r="C47" s="28">
        <v>0</v>
      </c>
      <c r="D47" s="28">
        <v>0</v>
      </c>
      <c r="E47" s="28">
        <v>0</v>
      </c>
      <c r="F47" s="28">
        <v>0</v>
      </c>
      <c r="G47" s="28">
        <v>0</v>
      </c>
      <c r="H47" s="28">
        <v>0</v>
      </c>
      <c r="I47" s="28">
        <v>0</v>
      </c>
      <c r="J47" s="28">
        <v>0</v>
      </c>
      <c r="K47" s="28">
        <v>0</v>
      </c>
      <c r="L47" s="28">
        <v>0</v>
      </c>
      <c r="M47" s="28">
        <v>0</v>
      </c>
      <c r="N47" s="28">
        <v>0</v>
      </c>
      <c r="O47" s="31">
        <f t="shared" si="0"/>
        <v>0</v>
      </c>
    </row>
    <row r="48" spans="1:17" ht="15" x14ac:dyDescent="0.2">
      <c r="A48" s="856"/>
      <c r="B48" s="127" t="s">
        <v>434</v>
      </c>
      <c r="C48" s="28">
        <v>0</v>
      </c>
      <c r="D48" s="28">
        <v>0</v>
      </c>
      <c r="E48" s="28">
        <v>0</v>
      </c>
      <c r="F48" s="28">
        <v>0</v>
      </c>
      <c r="G48" s="28">
        <v>0</v>
      </c>
      <c r="H48" s="28">
        <v>0</v>
      </c>
      <c r="I48" s="28">
        <v>0</v>
      </c>
      <c r="J48" s="28">
        <v>0</v>
      </c>
      <c r="K48" s="28">
        <v>0</v>
      </c>
      <c r="L48" s="28">
        <v>0</v>
      </c>
      <c r="M48" s="28">
        <v>0</v>
      </c>
      <c r="N48" s="28">
        <v>0</v>
      </c>
      <c r="O48" s="31">
        <f t="shared" si="0"/>
        <v>0</v>
      </c>
    </row>
    <row r="49" spans="1:18" ht="15" x14ac:dyDescent="0.2">
      <c r="A49" s="857" t="s">
        <v>160</v>
      </c>
      <c r="B49" s="858"/>
      <c r="C49" s="33">
        <f t="shared" ref="C49:N49" si="4">SUM(C38:C48)</f>
        <v>8560</v>
      </c>
      <c r="D49" s="33">
        <f t="shared" si="4"/>
        <v>9450</v>
      </c>
      <c r="E49" s="33">
        <f t="shared" si="4"/>
        <v>12260</v>
      </c>
      <c r="F49" s="33">
        <f t="shared" si="4"/>
        <v>12260</v>
      </c>
      <c r="G49" s="33">
        <f t="shared" si="4"/>
        <v>12260</v>
      </c>
      <c r="H49" s="33">
        <f t="shared" si="4"/>
        <v>12260</v>
      </c>
      <c r="I49" s="33">
        <f t="shared" si="4"/>
        <v>41260</v>
      </c>
      <c r="J49" s="33">
        <f t="shared" si="4"/>
        <v>41860</v>
      </c>
      <c r="K49" s="33">
        <f t="shared" si="4"/>
        <v>41760</v>
      </c>
      <c r="L49" s="33">
        <f t="shared" si="4"/>
        <v>41760</v>
      </c>
      <c r="M49" s="33">
        <f t="shared" si="4"/>
        <v>45260</v>
      </c>
      <c r="N49" s="33">
        <f t="shared" si="4"/>
        <v>65335</v>
      </c>
      <c r="O49" s="34">
        <f t="shared" si="0"/>
        <v>344285</v>
      </c>
    </row>
    <row r="50" spans="1:18" ht="15.75" thickBot="1" x14ac:dyDescent="0.25">
      <c r="A50" s="859" t="s">
        <v>161</v>
      </c>
      <c r="B50" s="860"/>
      <c r="C50" s="35">
        <f t="shared" ref="C50:N50" si="5">C37-C49</f>
        <v>72466</v>
      </c>
      <c r="D50" s="35">
        <f t="shared" si="5"/>
        <v>77284</v>
      </c>
      <c r="E50" s="35">
        <f t="shared" si="5"/>
        <v>70166</v>
      </c>
      <c r="F50" s="35">
        <f t="shared" si="5"/>
        <v>70166</v>
      </c>
      <c r="G50" s="35">
        <f t="shared" si="5"/>
        <v>74059</v>
      </c>
      <c r="H50" s="35">
        <f t="shared" si="5"/>
        <v>74059</v>
      </c>
      <c r="I50" s="35">
        <f t="shared" si="5"/>
        <v>45059</v>
      </c>
      <c r="J50" s="35">
        <f t="shared" si="5"/>
        <v>54323</v>
      </c>
      <c r="K50" s="35">
        <f t="shared" si="5"/>
        <v>58057</v>
      </c>
      <c r="L50" s="35">
        <f t="shared" si="5"/>
        <v>58057</v>
      </c>
      <c r="M50" s="35">
        <f t="shared" si="5"/>
        <v>54557</v>
      </c>
      <c r="N50" s="35">
        <f t="shared" si="5"/>
        <v>34482</v>
      </c>
      <c r="O50" s="36">
        <f t="shared" si="0"/>
        <v>742735</v>
      </c>
    </row>
    <row r="51" spans="1:18" x14ac:dyDescent="0.2">
      <c r="C51" s="38"/>
      <c r="D51" s="38"/>
      <c r="E51" s="38"/>
      <c r="F51" s="38"/>
      <c r="G51" s="38"/>
      <c r="H51" s="38"/>
      <c r="I51" s="38"/>
      <c r="J51" s="409">
        <f>+J37-SUM(J22:J36)</f>
        <v>86319</v>
      </c>
      <c r="K51" s="38"/>
      <c r="L51" s="38"/>
      <c r="M51" s="38"/>
      <c r="N51" s="38"/>
    </row>
    <row r="52" spans="1:18" ht="13.5" thickBot="1" x14ac:dyDescent="0.25">
      <c r="J52" s="38">
        <f>+J51-J49</f>
        <v>44459</v>
      </c>
      <c r="M52" s="38"/>
      <c r="Q52" s="16">
        <f>+Q50+Q51</f>
        <v>0</v>
      </c>
    </row>
    <row r="53" spans="1:18" ht="13.5" thickBot="1" x14ac:dyDescent="0.25">
      <c r="B53" s="789" t="s">
        <v>162</v>
      </c>
      <c r="C53" s="861"/>
      <c r="D53" s="861"/>
      <c r="E53" s="861"/>
      <c r="F53" s="862"/>
      <c r="G53" s="863">
        <f>O37</f>
        <v>1087020</v>
      </c>
      <c r="H53" s="864"/>
      <c r="M53" s="38"/>
      <c r="Q53" s="38"/>
    </row>
    <row r="54" spans="1:18" ht="13.5" thickBot="1" x14ac:dyDescent="0.25"/>
    <row r="55" spans="1:18" x14ac:dyDescent="0.2">
      <c r="B55" s="830" t="s">
        <v>163</v>
      </c>
      <c r="C55" s="833" t="s">
        <v>164</v>
      </c>
      <c r="D55" s="836" t="s">
        <v>229</v>
      </c>
      <c r="E55" s="837"/>
      <c r="F55" s="838"/>
      <c r="G55" s="839">
        <v>40000</v>
      </c>
      <c r="H55" s="840"/>
    </row>
    <row r="56" spans="1:18" x14ac:dyDescent="0.2">
      <c r="B56" s="831"/>
      <c r="C56" s="834"/>
      <c r="D56" s="841" t="s">
        <v>166</v>
      </c>
      <c r="E56" s="842"/>
      <c r="F56" s="843"/>
      <c r="G56" s="844">
        <f>+O44</f>
        <v>2500</v>
      </c>
      <c r="H56" s="845"/>
      <c r="I56" s="39"/>
      <c r="J56" s="45"/>
      <c r="K56" s="45"/>
      <c r="L56" s="45"/>
      <c r="M56" s="45"/>
      <c r="N56" s="45"/>
      <c r="O56" s="45"/>
    </row>
    <row r="57" spans="1:18" ht="13.5" thickBot="1" x14ac:dyDescent="0.25">
      <c r="B57" s="832"/>
      <c r="C57" s="835"/>
      <c r="D57" s="848" t="s">
        <v>266</v>
      </c>
      <c r="E57" s="849"/>
      <c r="F57" s="850"/>
      <c r="G57" s="851">
        <v>0</v>
      </c>
      <c r="H57" s="852"/>
      <c r="J57" s="47"/>
      <c r="K57" s="47"/>
      <c r="L57" s="47"/>
      <c r="M57" s="47"/>
      <c r="N57" s="47"/>
      <c r="O57" s="47"/>
    </row>
    <row r="58" spans="1:18" ht="13.5" thickBot="1" x14ac:dyDescent="0.25">
      <c r="B58" s="48"/>
      <c r="J58" s="47"/>
      <c r="K58" s="47"/>
      <c r="L58" s="47"/>
      <c r="M58" s="47"/>
      <c r="N58" s="47"/>
      <c r="O58" s="47"/>
    </row>
    <row r="59" spans="1:18" ht="13.5" thickBot="1" x14ac:dyDescent="0.25">
      <c r="B59" s="789" t="s">
        <v>168</v>
      </c>
      <c r="C59" s="790"/>
      <c r="D59" s="790"/>
      <c r="E59" s="790"/>
      <c r="F59" s="791"/>
      <c r="G59" s="825">
        <f>+G53-SUM(G55:H57)</f>
        <v>1044520</v>
      </c>
      <c r="H59" s="826"/>
      <c r="J59" s="827" t="s">
        <v>169</v>
      </c>
      <c r="K59" s="828"/>
      <c r="L59" s="828"/>
      <c r="M59" s="828"/>
      <c r="N59" s="828"/>
      <c r="O59" s="829"/>
    </row>
    <row r="60" spans="1:18" ht="13.5" thickBot="1" x14ac:dyDescent="0.25">
      <c r="B60" s="49"/>
      <c r="C60" s="50"/>
      <c r="D60" s="50"/>
      <c r="E60" s="50"/>
      <c r="F60" s="50"/>
      <c r="G60" s="45"/>
      <c r="H60" s="50"/>
      <c r="J60" s="129"/>
      <c r="K60" s="130"/>
      <c r="L60" s="130"/>
      <c r="M60" s="130"/>
      <c r="N60" s="130"/>
      <c r="O60" s="131"/>
    </row>
    <row r="61" spans="1:18" ht="13.5" thickBot="1" x14ac:dyDescent="0.25">
      <c r="B61" s="789" t="s">
        <v>170</v>
      </c>
      <c r="C61" s="790"/>
      <c r="D61" s="790"/>
      <c r="E61" s="790"/>
      <c r="F61" s="791"/>
      <c r="G61" s="805"/>
      <c r="H61" s="791"/>
      <c r="J61" s="129"/>
      <c r="K61" s="130"/>
      <c r="L61" s="130"/>
      <c r="M61" s="130"/>
      <c r="N61" s="130"/>
      <c r="O61" s="131"/>
    </row>
    <row r="62" spans="1:18" ht="12.75" customHeight="1" x14ac:dyDescent="0.2">
      <c r="B62" s="57" t="s">
        <v>171</v>
      </c>
      <c r="C62" s="806" t="s">
        <v>172</v>
      </c>
      <c r="D62" s="807"/>
      <c r="E62" s="807"/>
      <c r="F62" s="808"/>
      <c r="G62" s="809">
        <v>0</v>
      </c>
      <c r="H62" s="809"/>
      <c r="I62" s="58"/>
      <c r="J62" s="810" t="s">
        <v>173</v>
      </c>
      <c r="K62" s="811"/>
      <c r="L62" s="811"/>
      <c r="M62" s="811"/>
      <c r="N62" s="811"/>
      <c r="O62" s="812"/>
      <c r="Q62" s="59"/>
      <c r="R62" s="59"/>
    </row>
    <row r="63" spans="1:18" ht="13.5" thickBot="1" x14ac:dyDescent="0.25">
      <c r="D63" s="37"/>
      <c r="G63" s="16" t="s">
        <v>1123</v>
      </c>
      <c r="I63" s="58"/>
      <c r="J63" s="60" t="s">
        <v>1171</v>
      </c>
      <c r="K63" s="61"/>
      <c r="L63" s="61"/>
      <c r="M63" s="61"/>
      <c r="N63" s="61"/>
      <c r="O63" s="62"/>
      <c r="Q63" s="59"/>
      <c r="R63" s="59"/>
    </row>
    <row r="64" spans="1:18" ht="13.5" thickBot="1" x14ac:dyDescent="0.25">
      <c r="B64" s="789" t="s">
        <v>175</v>
      </c>
      <c r="C64" s="790"/>
      <c r="D64" s="790"/>
      <c r="E64" s="790"/>
      <c r="F64" s="791"/>
      <c r="G64" s="805">
        <f>+G59-G62</f>
        <v>1044520</v>
      </c>
      <c r="H64" s="791"/>
      <c r="I64" s="63"/>
      <c r="J64" s="75" t="s">
        <v>1172</v>
      </c>
      <c r="K64" s="39"/>
      <c r="L64" s="39"/>
      <c r="M64" s="39"/>
      <c r="N64" s="39"/>
      <c r="O64" s="65"/>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6.25" customHeight="1" thickBot="1" x14ac:dyDescent="0.25">
      <c r="B67" s="66"/>
      <c r="C67" s="48"/>
      <c r="G67" s="70" t="s">
        <v>177</v>
      </c>
      <c r="H67" s="70" t="s">
        <v>178</v>
      </c>
      <c r="I67" s="63"/>
      <c r="J67" s="810" t="s">
        <v>179</v>
      </c>
      <c r="K67" s="811"/>
      <c r="L67" s="71"/>
      <c r="M67" s="71"/>
      <c r="N67" s="71"/>
      <c r="O67" s="72"/>
      <c r="Q67" s="59"/>
      <c r="R67" s="59"/>
    </row>
    <row r="68" spans="2:18" ht="12.75" customHeight="1" x14ac:dyDescent="0.2">
      <c r="B68" s="802" t="s">
        <v>180</v>
      </c>
      <c r="C68" s="821" t="s">
        <v>181</v>
      </c>
      <c r="D68" s="823" t="s">
        <v>182</v>
      </c>
      <c r="E68" s="824"/>
      <c r="F68" s="824"/>
      <c r="G68" s="73">
        <f>+O43</f>
        <v>246000</v>
      </c>
      <c r="H68" s="74">
        <f t="shared" ref="H68:H76" si="6">+G68</f>
        <v>246000</v>
      </c>
      <c r="I68" s="63"/>
      <c r="J68" s="75" t="s">
        <v>183</v>
      </c>
      <c r="K68" s="58"/>
      <c r="L68" s="58"/>
      <c r="M68" s="135"/>
      <c r="N68" s="135"/>
      <c r="O68" s="76"/>
      <c r="Q68" s="59"/>
      <c r="R68" s="59"/>
    </row>
    <row r="69" spans="2:18" ht="12.75" customHeight="1" x14ac:dyDescent="0.2">
      <c r="B69" s="803"/>
      <c r="C69" s="822"/>
      <c r="D69" s="782" t="s">
        <v>184</v>
      </c>
      <c r="E69" s="783"/>
      <c r="F69" s="783"/>
      <c r="G69" s="77">
        <f>+O47</f>
        <v>0</v>
      </c>
      <c r="H69" s="78">
        <f t="shared" si="6"/>
        <v>0</v>
      </c>
      <c r="I69" s="63"/>
      <c r="J69" s="181"/>
      <c r="K69" s="135"/>
      <c r="L69" s="135"/>
      <c r="M69" s="135"/>
      <c r="N69" s="135"/>
      <c r="O69" s="136"/>
      <c r="Q69" s="59"/>
      <c r="R69" s="59"/>
    </row>
    <row r="70" spans="2:18" ht="12.75" customHeight="1" x14ac:dyDescent="0.2">
      <c r="B70" s="803"/>
      <c r="C70" s="822"/>
      <c r="D70" s="819" t="s">
        <v>185</v>
      </c>
      <c r="E70" s="820"/>
      <c r="F70" s="820"/>
      <c r="G70" s="80">
        <f>O40</f>
        <v>720</v>
      </c>
      <c r="H70" s="78">
        <f t="shared" si="6"/>
        <v>720</v>
      </c>
      <c r="I70" s="63"/>
      <c r="J70" s="181"/>
      <c r="K70" s="182"/>
      <c r="L70" s="135"/>
      <c r="M70" s="135"/>
      <c r="N70" s="135"/>
      <c r="O70" s="136"/>
    </row>
    <row r="71" spans="2:18" x14ac:dyDescent="0.2">
      <c r="B71" s="803"/>
      <c r="C71" s="822"/>
      <c r="D71" s="782" t="s">
        <v>186</v>
      </c>
      <c r="E71" s="783"/>
      <c r="F71" s="783"/>
      <c r="G71" s="81">
        <v>0</v>
      </c>
      <c r="H71" s="78">
        <f t="shared" si="6"/>
        <v>0</v>
      </c>
      <c r="I71" s="63"/>
      <c r="J71" s="181"/>
      <c r="K71" s="183"/>
      <c r="L71" s="183"/>
      <c r="M71" s="135"/>
      <c r="N71" s="135"/>
      <c r="O71" s="184"/>
    </row>
    <row r="72" spans="2:18" ht="12.75" customHeight="1" x14ac:dyDescent="0.2">
      <c r="B72" s="803"/>
      <c r="C72" s="822"/>
      <c r="D72" s="784" t="s">
        <v>188</v>
      </c>
      <c r="E72" s="783"/>
      <c r="F72" s="783"/>
      <c r="G72" s="80">
        <v>0</v>
      </c>
      <c r="H72" s="78">
        <f t="shared" si="6"/>
        <v>0</v>
      </c>
      <c r="I72" s="63"/>
      <c r="J72" s="181"/>
      <c r="K72" s="183"/>
      <c r="L72" s="183"/>
      <c r="M72" s="135"/>
      <c r="N72" s="135"/>
      <c r="O72" s="184"/>
    </row>
    <row r="73" spans="2:18" ht="14.25" customHeight="1" x14ac:dyDescent="0.2">
      <c r="B73" s="803"/>
      <c r="C73" s="822"/>
      <c r="D73" s="782" t="s">
        <v>190</v>
      </c>
      <c r="E73" s="783"/>
      <c r="F73" s="783"/>
      <c r="G73" s="84">
        <v>0</v>
      </c>
      <c r="H73" s="78">
        <f t="shared" si="6"/>
        <v>0</v>
      </c>
      <c r="I73" s="63"/>
      <c r="J73" s="181"/>
      <c r="K73" s="183"/>
      <c r="L73" s="183"/>
      <c r="M73" s="183"/>
      <c r="N73" s="183"/>
      <c r="O73" s="184"/>
    </row>
    <row r="74" spans="2:18" x14ac:dyDescent="0.2">
      <c r="B74" s="803"/>
      <c r="C74" s="822"/>
      <c r="D74" s="782" t="s">
        <v>191</v>
      </c>
      <c r="E74" s="783"/>
      <c r="F74" s="783"/>
      <c r="G74" s="81">
        <v>0</v>
      </c>
      <c r="H74" s="78">
        <f t="shared" si="6"/>
        <v>0</v>
      </c>
      <c r="I74" s="58"/>
      <c r="J74" s="150"/>
      <c r="K74" s="50"/>
      <c r="L74" s="50"/>
      <c r="M74" s="50"/>
      <c r="N74" s="50"/>
      <c r="O74" s="83"/>
    </row>
    <row r="75" spans="2:18" x14ac:dyDescent="0.2">
      <c r="B75" s="803"/>
      <c r="C75" s="88" t="s">
        <v>192</v>
      </c>
      <c r="D75" s="813" t="s">
        <v>193</v>
      </c>
      <c r="E75" s="814"/>
      <c r="F75" s="814"/>
      <c r="G75" s="80">
        <v>0</v>
      </c>
      <c r="H75" s="78">
        <f t="shared" si="6"/>
        <v>0</v>
      </c>
      <c r="I75" s="58"/>
      <c r="J75" s="82" t="s">
        <v>187</v>
      </c>
      <c r="K75" s="71"/>
      <c r="L75" s="71"/>
      <c r="M75" s="71"/>
      <c r="N75" s="71"/>
      <c r="O75" s="72"/>
    </row>
    <row r="76" spans="2:18" ht="13.5" customHeight="1" thickBot="1" x14ac:dyDescent="0.25">
      <c r="B76" s="803"/>
      <c r="C76" s="88" t="s">
        <v>194</v>
      </c>
      <c r="D76" s="815" t="s">
        <v>195</v>
      </c>
      <c r="E76" s="815"/>
      <c r="F76" s="815"/>
      <c r="G76" s="89">
        <v>0</v>
      </c>
      <c r="H76" s="90">
        <f t="shared" si="6"/>
        <v>0</v>
      </c>
      <c r="I76" s="63"/>
      <c r="J76" s="75" t="s">
        <v>189</v>
      </c>
      <c r="K76" s="50"/>
      <c r="L76" s="50"/>
      <c r="M76" s="50"/>
      <c r="N76" s="50"/>
      <c r="O76" s="83">
        <f>O42</f>
        <v>0</v>
      </c>
    </row>
    <row r="77" spans="2:18" ht="13.5" thickBot="1" x14ac:dyDescent="0.25">
      <c r="B77" s="803"/>
      <c r="C77" s="93"/>
      <c r="D77" s="94"/>
      <c r="E77" s="816" t="s">
        <v>117</v>
      </c>
      <c r="F77" s="817"/>
      <c r="G77" s="95">
        <f>SUM(G68:G76)</f>
        <v>246720</v>
      </c>
      <c r="H77" s="96">
        <f>IF(SUM(G68:G74)&lt;150000,SUM(G68:G74),150000)+IF(+G75&lt;20000,+G75,20000)</f>
        <v>150000</v>
      </c>
      <c r="I77" s="63"/>
      <c r="J77" s="140"/>
      <c r="K77" s="141"/>
      <c r="L77" s="141"/>
      <c r="M77" s="142"/>
      <c r="N77" s="142"/>
      <c r="O77" s="143"/>
    </row>
    <row r="78" spans="2:18" ht="12.75" customHeight="1" x14ac:dyDescent="0.2">
      <c r="B78" s="803"/>
      <c r="C78" s="100" t="s">
        <v>196</v>
      </c>
      <c r="D78" s="782" t="s">
        <v>187</v>
      </c>
      <c r="E78" s="783"/>
      <c r="F78" s="818"/>
      <c r="G78" s="73">
        <f>+O42</f>
        <v>0</v>
      </c>
      <c r="H78" s="101">
        <f>+IF(+G78&lt;25000,+G78,25000)</f>
        <v>0</v>
      </c>
      <c r="I78" s="87"/>
    </row>
    <row r="79" spans="2:18" ht="15" customHeight="1" x14ac:dyDescent="0.2">
      <c r="B79" s="803"/>
      <c r="C79" s="100" t="s">
        <v>197</v>
      </c>
      <c r="D79" s="784" t="s">
        <v>198</v>
      </c>
      <c r="E79" s="785"/>
      <c r="F79" s="786"/>
      <c r="G79" s="102"/>
      <c r="H79" s="103">
        <f>+IF(+G79&lt;40000,+G79,40000)</f>
        <v>0</v>
      </c>
      <c r="I79" s="63"/>
    </row>
    <row r="80" spans="2:18" ht="15" x14ac:dyDescent="0.25">
      <c r="B80" s="803"/>
      <c r="C80" s="100" t="s">
        <v>199</v>
      </c>
      <c r="D80" s="784" t="s">
        <v>200</v>
      </c>
      <c r="E80" s="785"/>
      <c r="F80" s="786"/>
      <c r="G80" s="81"/>
      <c r="H80" s="104">
        <v>0</v>
      </c>
      <c r="I80" s="63"/>
      <c r="J80" s="264"/>
      <c r="K80" s="264"/>
      <c r="L80" s="264"/>
    </row>
    <row r="81" spans="2:20" x14ac:dyDescent="0.2">
      <c r="B81" s="803"/>
      <c r="C81" s="100" t="s">
        <v>201</v>
      </c>
      <c r="D81" s="784" t="s">
        <v>202</v>
      </c>
      <c r="E81" s="785"/>
      <c r="F81" s="786"/>
      <c r="G81" s="81"/>
      <c r="H81" s="104">
        <v>0</v>
      </c>
      <c r="I81" s="63"/>
    </row>
    <row r="82" spans="2:20" ht="13.5" thickBot="1" x14ac:dyDescent="0.25">
      <c r="B82" s="804"/>
      <c r="C82" s="100" t="s">
        <v>203</v>
      </c>
      <c r="D82" s="784" t="s">
        <v>204</v>
      </c>
      <c r="E82" s="785"/>
      <c r="F82" s="786"/>
      <c r="G82" s="102"/>
      <c r="H82" s="103">
        <f>+IF(+G82&lt;100000,+G82,10000)</f>
        <v>0</v>
      </c>
      <c r="I82" s="63"/>
      <c r="J82" s="106"/>
    </row>
    <row r="83" spans="2:20" ht="13.5" thickBot="1" x14ac:dyDescent="0.25">
      <c r="B83" s="787" t="s">
        <v>205</v>
      </c>
      <c r="C83" s="788"/>
      <c r="D83" s="788"/>
      <c r="E83" s="788"/>
      <c r="F83" s="788"/>
      <c r="G83" s="107">
        <f>SUM(G78:G82)</f>
        <v>0</v>
      </c>
      <c r="H83" s="108">
        <f>SUM(H77:H82)</f>
        <v>150000</v>
      </c>
    </row>
    <row r="84" spans="2:20" ht="13.5" thickBot="1" x14ac:dyDescent="0.25"/>
    <row r="85" spans="2:20" ht="13.5" thickBot="1" x14ac:dyDescent="0.25">
      <c r="B85" s="789" t="s">
        <v>206</v>
      </c>
      <c r="C85" s="790"/>
      <c r="D85" s="790"/>
      <c r="E85" s="790"/>
      <c r="F85" s="791"/>
      <c r="G85" s="792">
        <f>+G64-H83</f>
        <v>894520</v>
      </c>
      <c r="H85" s="791"/>
      <c r="J85" s="105">
        <f>C37+D37+E37+F37</f>
        <v>332612</v>
      </c>
      <c r="K85" s="16" t="s">
        <v>235</v>
      </c>
      <c r="L85" s="87"/>
    </row>
    <row r="86" spans="2:20" x14ac:dyDescent="0.2">
      <c r="B86" s="110"/>
      <c r="F86" s="105"/>
      <c r="J86" s="105">
        <f>G37+H37+I37</f>
        <v>258957</v>
      </c>
      <c r="K86" s="16" t="s">
        <v>236</v>
      </c>
      <c r="L86" s="87"/>
    </row>
    <row r="87" spans="2:20" x14ac:dyDescent="0.2">
      <c r="C87" s="793" t="s">
        <v>207</v>
      </c>
      <c r="D87" s="794"/>
      <c r="E87" s="111" t="s">
        <v>208</v>
      </c>
      <c r="F87" s="111" t="s">
        <v>209</v>
      </c>
      <c r="G87" s="111" t="s">
        <v>210</v>
      </c>
      <c r="H87" s="111" t="s">
        <v>211</v>
      </c>
      <c r="J87" s="213">
        <f>J37+K37+L37</f>
        <v>295817</v>
      </c>
      <c r="K87" s="47" t="s">
        <v>237</v>
      </c>
      <c r="L87" s="87"/>
    </row>
    <row r="88" spans="2:20" x14ac:dyDescent="0.2">
      <c r="C88" s="795" t="str">
        <f>IF(I6="M","0          - 250000","0          -  250000")</f>
        <v>0          - 250000</v>
      </c>
      <c r="D88" s="796"/>
      <c r="E88" s="112">
        <v>0</v>
      </c>
      <c r="F88" s="113">
        <f>IF(I6="M",(IF(G85&lt;250000,G85,250000)),(IF(G85&lt;250000,G85,250000)))</f>
        <v>250000</v>
      </c>
      <c r="G88" s="113">
        <f>G85-F88</f>
        <v>644520</v>
      </c>
      <c r="H88" s="113">
        <f>E88*F88</f>
        <v>0</v>
      </c>
      <c r="J88" s="207">
        <f>M37+N37</f>
        <v>199634</v>
      </c>
      <c r="K88" s="1" t="s">
        <v>238</v>
      </c>
      <c r="L88" s="87"/>
    </row>
    <row r="89" spans="2:20" x14ac:dyDescent="0.2">
      <c r="C89" s="795" t="str">
        <f>IF(I6="M","250001 - 500000","250001-500000")</f>
        <v>250001 - 500000</v>
      </c>
      <c r="D89" s="796"/>
      <c r="E89" s="112">
        <v>0.05</v>
      </c>
      <c r="F89" s="113">
        <f>IF(I6="M",(IF(G88&lt;250000,G88,250000)),(IF(G88&lt;250000,G88,250000)))</f>
        <v>250000</v>
      </c>
      <c r="G89" s="113">
        <f>G88-F89</f>
        <v>394520</v>
      </c>
      <c r="H89" s="114">
        <f>ROUND(E89*F89,0.1)</f>
        <v>12500</v>
      </c>
      <c r="J89" s="115">
        <f>SUM(J85:J88)</f>
        <v>1087020</v>
      </c>
      <c r="L89" s="87"/>
    </row>
    <row r="90" spans="2:20" x14ac:dyDescent="0.2">
      <c r="C90" s="797" t="s">
        <v>212</v>
      </c>
      <c r="D90" s="798"/>
      <c r="E90" s="112">
        <v>0.2</v>
      </c>
      <c r="F90" s="113">
        <f>IF(G89&lt;500000,G89,500000)</f>
        <v>394520</v>
      </c>
      <c r="G90" s="113">
        <f>G89-F90</f>
        <v>0</v>
      </c>
      <c r="H90" s="114">
        <f>ROUND(E90*F90,0.1)</f>
        <v>78904</v>
      </c>
      <c r="J90" s="16">
        <f>+G85</f>
        <v>894520</v>
      </c>
      <c r="L90" s="87"/>
    </row>
    <row r="91" spans="2:20" x14ac:dyDescent="0.2">
      <c r="C91" s="795" t="s">
        <v>213</v>
      </c>
      <c r="D91" s="796"/>
      <c r="E91" s="112">
        <v>0.3</v>
      </c>
      <c r="F91" s="113">
        <f>G90</f>
        <v>0</v>
      </c>
      <c r="G91" s="113">
        <f>G90-F91</f>
        <v>0</v>
      </c>
      <c r="H91" s="114">
        <f>ROUND(E91*F91,0.1)</f>
        <v>0</v>
      </c>
      <c r="J91" s="16">
        <f>+J89-J90</f>
        <v>192500</v>
      </c>
      <c r="L91" s="87"/>
    </row>
    <row r="92" spans="2:20" ht="12.75" customHeight="1" thickBot="1" x14ac:dyDescent="0.25">
      <c r="B92" s="116"/>
      <c r="C92" s="117"/>
      <c r="D92" s="47"/>
      <c r="E92" s="47"/>
      <c r="F92" s="47"/>
      <c r="J92" s="87"/>
      <c r="K92" s="118"/>
      <c r="L92" s="87"/>
      <c r="N92" s="109" t="s">
        <v>1173</v>
      </c>
      <c r="O92" s="109"/>
      <c r="P92" s="109"/>
      <c r="Q92" s="109"/>
      <c r="R92" s="109"/>
      <c r="S92" s="109"/>
      <c r="T92" s="109"/>
    </row>
    <row r="93" spans="2:20" ht="13.5" thickBot="1" x14ac:dyDescent="0.25">
      <c r="B93" s="799" t="s">
        <v>239</v>
      </c>
      <c r="C93" s="800"/>
      <c r="D93" s="800"/>
      <c r="E93" s="800"/>
      <c r="F93" s="801"/>
      <c r="G93" s="897">
        <f>H88+H89+H90+H91</f>
        <v>91404</v>
      </c>
      <c r="H93" s="898"/>
    </row>
    <row r="94" spans="2:20" ht="13.5" thickBot="1" x14ac:dyDescent="0.25">
      <c r="B94" s="119" t="s">
        <v>215</v>
      </c>
      <c r="C94" s="120"/>
      <c r="D94" s="120"/>
      <c r="E94" s="120"/>
      <c r="F94" s="120"/>
      <c r="G94" s="895">
        <f>IF((G64&lt;500000),5000,0)</f>
        <v>0</v>
      </c>
      <c r="H94" s="896">
        <f>IF(H92&lt;200000,0,IF(H92&lt;220000,((H92-200000)*10%),IF(H92&lt;=500000,2000,IF(H92&gt;=500000,0))))</f>
        <v>0</v>
      </c>
      <c r="J94" s="1"/>
      <c r="K94" s="121"/>
      <c r="L94" s="121"/>
    </row>
    <row r="95" spans="2:20" ht="13.5" thickBot="1" x14ac:dyDescent="0.25">
      <c r="B95" s="122" t="s">
        <v>216</v>
      </c>
      <c r="C95" s="123"/>
      <c r="D95" s="123"/>
      <c r="E95" s="123"/>
      <c r="F95" s="123"/>
      <c r="G95" s="897">
        <f>IF((G93-G94)&lt;0,0,(G93-G94))</f>
        <v>91404</v>
      </c>
      <c r="H95" s="898"/>
      <c r="I95" s="37"/>
    </row>
    <row r="96" spans="2:20" ht="13.5" thickBot="1" x14ac:dyDescent="0.25">
      <c r="B96" s="773" t="s">
        <v>240</v>
      </c>
      <c r="C96" s="774"/>
      <c r="D96" s="774"/>
      <c r="E96" s="774"/>
      <c r="F96" s="775"/>
      <c r="G96" s="899">
        <f>ROUND((IF(G95&gt;0,(G95*4%),0)),0)</f>
        <v>3656</v>
      </c>
      <c r="H96" s="900"/>
      <c r="I96" s="37"/>
    </row>
    <row r="97" spans="2:9" ht="13.5" thickBot="1" x14ac:dyDescent="0.25">
      <c r="B97" s="778" t="s">
        <v>218</v>
      </c>
      <c r="C97" s="779"/>
      <c r="D97" s="779"/>
      <c r="E97" s="779"/>
      <c r="F97" s="779"/>
      <c r="G97" s="901">
        <f>G95+G96</f>
        <v>95060</v>
      </c>
      <c r="H97" s="902"/>
      <c r="I97" s="121"/>
    </row>
    <row r="98" spans="2:9" ht="13.5" thickBot="1" x14ac:dyDescent="0.25">
      <c r="B98" s="765" t="s">
        <v>219</v>
      </c>
      <c r="C98" s="766"/>
      <c r="D98" s="766"/>
      <c r="E98" s="766"/>
      <c r="F98" s="766"/>
      <c r="G98" s="893">
        <f>O38</f>
        <v>95065</v>
      </c>
      <c r="H98" s="894"/>
      <c r="I98" s="121"/>
    </row>
    <row r="99" spans="2:9" ht="13.5" thickBot="1" x14ac:dyDescent="0.25">
      <c r="B99" s="765" t="str">
        <f>IF(G99&gt;0,"TAX PAYABLE","TAX REFUND")</f>
        <v>TAX REFUND</v>
      </c>
      <c r="C99" s="766"/>
      <c r="D99" s="766"/>
      <c r="E99" s="766"/>
      <c r="F99" s="766"/>
      <c r="G99" s="893">
        <f>+G97-G98</f>
        <v>-5</v>
      </c>
      <c r="H99" s="894"/>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1">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J59:O59"/>
    <mergeCell ref="A38:A48"/>
    <mergeCell ref="A49:B49"/>
    <mergeCell ref="A50:B50"/>
    <mergeCell ref="B53:F53"/>
    <mergeCell ref="G53:H53"/>
    <mergeCell ref="B55:B57"/>
    <mergeCell ref="C55:C57"/>
    <mergeCell ref="D55:F55"/>
    <mergeCell ref="G55:H55"/>
    <mergeCell ref="D56:F56"/>
    <mergeCell ref="B64:F64"/>
    <mergeCell ref="G64:H64"/>
    <mergeCell ref="G56:H56"/>
    <mergeCell ref="D57:F57"/>
    <mergeCell ref="G57:H57"/>
    <mergeCell ref="B59:F59"/>
    <mergeCell ref="G59:H59"/>
    <mergeCell ref="B61:F61"/>
    <mergeCell ref="G61:H61"/>
    <mergeCell ref="C62:F62"/>
    <mergeCell ref="G62:H62"/>
    <mergeCell ref="J62:O62"/>
    <mergeCell ref="D80:F80"/>
    <mergeCell ref="J67:K67"/>
    <mergeCell ref="B68:B82"/>
    <mergeCell ref="C68:C74"/>
    <mergeCell ref="D68:F68"/>
    <mergeCell ref="D69:F69"/>
    <mergeCell ref="D70:F70"/>
    <mergeCell ref="D71:F71"/>
    <mergeCell ref="D72:F72"/>
    <mergeCell ref="D73:F73"/>
    <mergeCell ref="D74:F74"/>
    <mergeCell ref="D75:F75"/>
    <mergeCell ref="D76:F76"/>
    <mergeCell ref="E77:F77"/>
    <mergeCell ref="D78:F78"/>
    <mergeCell ref="D79:F79"/>
    <mergeCell ref="G93:H93"/>
    <mergeCell ref="D81:F81"/>
    <mergeCell ref="D82:F82"/>
    <mergeCell ref="B83:F83"/>
    <mergeCell ref="B85:F85"/>
    <mergeCell ref="G85:H85"/>
    <mergeCell ref="C87:D87"/>
    <mergeCell ref="C88:D88"/>
    <mergeCell ref="C89:D89"/>
    <mergeCell ref="C90:D90"/>
    <mergeCell ref="C91:D91"/>
    <mergeCell ref="B93:F93"/>
    <mergeCell ref="B98:F98"/>
    <mergeCell ref="G98:H98"/>
    <mergeCell ref="B99:F99"/>
    <mergeCell ref="G99:H99"/>
    <mergeCell ref="G94:H94"/>
    <mergeCell ref="G95:H95"/>
    <mergeCell ref="B96:F96"/>
    <mergeCell ref="G96:H96"/>
    <mergeCell ref="B97:F97"/>
    <mergeCell ref="G97:H97"/>
  </mergeCells>
  <conditionalFormatting sqref="B90:F90 B99:F99 B93:F97">
    <cfRule type="cellIs" dxfId="115" priority="1" stopIfTrue="1" operator="equal">
      <formula>"TAX PAYABLE"</formula>
    </cfRule>
    <cfRule type="cellIs" dxfId="114" priority="2" stopIfTrue="1" operator="equal">
      <formula>"TAX REFUND"</formula>
    </cfRule>
  </conditionalFormatting>
  <conditionalFormatting sqref="G90:H90">
    <cfRule type="cellIs" dxfId="113" priority="3" stopIfTrue="1" operator="lessThan">
      <formula>0</formula>
    </cfRule>
    <cfRule type="cellIs" dxfId="112" priority="4" stopIfTrue="1" operator="greaterThan">
      <formula>0</formula>
    </cfRule>
  </conditionalFormatting>
  <conditionalFormatting sqref="G99:H99">
    <cfRule type="cellIs" dxfId="111" priority="5" stopIfTrue="1" operator="greaterThan">
      <formula>0</formula>
    </cfRule>
    <cfRule type="cellIs" dxfId="110" priority="6"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5" right="0.75" top="1" bottom="1" header="0.5" footer="0.5"/>
  <headerFooter alignWithMargins="0"/>
  <legacyDrawing r:id="rId1"/>
</worksheet>
</file>

<file path=xl/worksheets/sheet1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107"/>
  <sheetViews>
    <sheetView zoomScaleNormal="100" workbookViewId="0">
      <selection activeCell="L38" sqref="L38:N38"/>
    </sheetView>
  </sheetViews>
  <sheetFormatPr defaultRowHeight="12.75" x14ac:dyDescent="0.2"/>
  <cols>
    <col min="1" max="1" width="5" style="16" customWidth="1"/>
    <col min="2" max="2" width="18.7109375" style="37" customWidth="1"/>
    <col min="3" max="5" width="7.85546875" style="16" customWidth="1"/>
    <col min="6" max="6" width="8.5703125" style="16" customWidth="1"/>
    <col min="7" max="7" width="8.42578125" style="16" customWidth="1"/>
    <col min="8" max="15" width="7.8554687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8.7109375" style="16" customWidth="1"/>
    <col min="259" max="261" width="7.85546875" style="16" customWidth="1"/>
    <col min="262" max="262" width="8.5703125" style="16" customWidth="1"/>
    <col min="263" max="263" width="8.42578125" style="16" customWidth="1"/>
    <col min="264" max="271" width="7.8554687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8.7109375" style="16" customWidth="1"/>
    <col min="515" max="517" width="7.85546875" style="16" customWidth="1"/>
    <col min="518" max="518" width="8.5703125" style="16" customWidth="1"/>
    <col min="519" max="519" width="8.42578125" style="16" customWidth="1"/>
    <col min="520" max="527" width="7.8554687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8.7109375" style="16" customWidth="1"/>
    <col min="771" max="773" width="7.85546875" style="16" customWidth="1"/>
    <col min="774" max="774" width="8.5703125" style="16" customWidth="1"/>
    <col min="775" max="775" width="8.42578125" style="16" customWidth="1"/>
    <col min="776" max="783" width="7.8554687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8.7109375" style="16" customWidth="1"/>
    <col min="1027" max="1029" width="7.85546875" style="16" customWidth="1"/>
    <col min="1030" max="1030" width="8.5703125" style="16" customWidth="1"/>
    <col min="1031" max="1031" width="8.42578125" style="16" customWidth="1"/>
    <col min="1032" max="1039" width="7.8554687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8.7109375" style="16" customWidth="1"/>
    <col min="1283" max="1285" width="7.85546875" style="16" customWidth="1"/>
    <col min="1286" max="1286" width="8.5703125" style="16" customWidth="1"/>
    <col min="1287" max="1287" width="8.42578125" style="16" customWidth="1"/>
    <col min="1288" max="1295" width="7.8554687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8.7109375" style="16" customWidth="1"/>
    <col min="1539" max="1541" width="7.85546875" style="16" customWidth="1"/>
    <col min="1542" max="1542" width="8.5703125" style="16" customWidth="1"/>
    <col min="1543" max="1543" width="8.42578125" style="16" customWidth="1"/>
    <col min="1544" max="1551" width="7.8554687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8.7109375" style="16" customWidth="1"/>
    <col min="1795" max="1797" width="7.85546875" style="16" customWidth="1"/>
    <col min="1798" max="1798" width="8.5703125" style="16" customWidth="1"/>
    <col min="1799" max="1799" width="8.42578125" style="16" customWidth="1"/>
    <col min="1800" max="1807" width="7.8554687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8.7109375" style="16" customWidth="1"/>
    <col min="2051" max="2053" width="7.85546875" style="16" customWidth="1"/>
    <col min="2054" max="2054" width="8.5703125" style="16" customWidth="1"/>
    <col min="2055" max="2055" width="8.42578125" style="16" customWidth="1"/>
    <col min="2056" max="2063" width="7.8554687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8.7109375" style="16" customWidth="1"/>
    <col min="2307" max="2309" width="7.85546875" style="16" customWidth="1"/>
    <col min="2310" max="2310" width="8.5703125" style="16" customWidth="1"/>
    <col min="2311" max="2311" width="8.42578125" style="16" customWidth="1"/>
    <col min="2312" max="2319" width="7.8554687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8.7109375" style="16" customWidth="1"/>
    <col min="2563" max="2565" width="7.85546875" style="16" customWidth="1"/>
    <col min="2566" max="2566" width="8.5703125" style="16" customWidth="1"/>
    <col min="2567" max="2567" width="8.42578125" style="16" customWidth="1"/>
    <col min="2568" max="2575" width="7.8554687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8.7109375" style="16" customWidth="1"/>
    <col min="2819" max="2821" width="7.85546875" style="16" customWidth="1"/>
    <col min="2822" max="2822" width="8.5703125" style="16" customWidth="1"/>
    <col min="2823" max="2823" width="8.42578125" style="16" customWidth="1"/>
    <col min="2824" max="2831" width="7.8554687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8.7109375" style="16" customWidth="1"/>
    <col min="3075" max="3077" width="7.85546875" style="16" customWidth="1"/>
    <col min="3078" max="3078" width="8.5703125" style="16" customWidth="1"/>
    <col min="3079" max="3079" width="8.42578125" style="16" customWidth="1"/>
    <col min="3080" max="3087" width="7.8554687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8.7109375" style="16" customWidth="1"/>
    <col min="3331" max="3333" width="7.85546875" style="16" customWidth="1"/>
    <col min="3334" max="3334" width="8.5703125" style="16" customWidth="1"/>
    <col min="3335" max="3335" width="8.42578125" style="16" customWidth="1"/>
    <col min="3336" max="3343" width="7.8554687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8.7109375" style="16" customWidth="1"/>
    <col min="3587" max="3589" width="7.85546875" style="16" customWidth="1"/>
    <col min="3590" max="3590" width="8.5703125" style="16" customWidth="1"/>
    <col min="3591" max="3591" width="8.42578125" style="16" customWidth="1"/>
    <col min="3592" max="3599" width="7.8554687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8.7109375" style="16" customWidth="1"/>
    <col min="3843" max="3845" width="7.85546875" style="16" customWidth="1"/>
    <col min="3846" max="3846" width="8.5703125" style="16" customWidth="1"/>
    <col min="3847" max="3847" width="8.42578125" style="16" customWidth="1"/>
    <col min="3848" max="3855" width="7.8554687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8.7109375" style="16" customWidth="1"/>
    <col min="4099" max="4101" width="7.85546875" style="16" customWidth="1"/>
    <col min="4102" max="4102" width="8.5703125" style="16" customWidth="1"/>
    <col min="4103" max="4103" width="8.42578125" style="16" customWidth="1"/>
    <col min="4104" max="4111" width="7.8554687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8.7109375" style="16" customWidth="1"/>
    <col min="4355" max="4357" width="7.85546875" style="16" customWidth="1"/>
    <col min="4358" max="4358" width="8.5703125" style="16" customWidth="1"/>
    <col min="4359" max="4359" width="8.42578125" style="16" customWidth="1"/>
    <col min="4360" max="4367" width="7.8554687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8.7109375" style="16" customWidth="1"/>
    <col min="4611" max="4613" width="7.85546875" style="16" customWidth="1"/>
    <col min="4614" max="4614" width="8.5703125" style="16" customWidth="1"/>
    <col min="4615" max="4615" width="8.42578125" style="16" customWidth="1"/>
    <col min="4616" max="4623" width="7.8554687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8.7109375" style="16" customWidth="1"/>
    <col min="4867" max="4869" width="7.85546875" style="16" customWidth="1"/>
    <col min="4870" max="4870" width="8.5703125" style="16" customWidth="1"/>
    <col min="4871" max="4871" width="8.42578125" style="16" customWidth="1"/>
    <col min="4872" max="4879" width="7.8554687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8.7109375" style="16" customWidth="1"/>
    <col min="5123" max="5125" width="7.85546875" style="16" customWidth="1"/>
    <col min="5126" max="5126" width="8.5703125" style="16" customWidth="1"/>
    <col min="5127" max="5127" width="8.42578125" style="16" customWidth="1"/>
    <col min="5128" max="5135" width="7.8554687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8.7109375" style="16" customWidth="1"/>
    <col min="5379" max="5381" width="7.85546875" style="16" customWidth="1"/>
    <col min="5382" max="5382" width="8.5703125" style="16" customWidth="1"/>
    <col min="5383" max="5383" width="8.42578125" style="16" customWidth="1"/>
    <col min="5384" max="5391" width="7.8554687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8.7109375" style="16" customWidth="1"/>
    <col min="5635" max="5637" width="7.85546875" style="16" customWidth="1"/>
    <col min="5638" max="5638" width="8.5703125" style="16" customWidth="1"/>
    <col min="5639" max="5639" width="8.42578125" style="16" customWidth="1"/>
    <col min="5640" max="5647" width="7.8554687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8.7109375" style="16" customWidth="1"/>
    <col min="5891" max="5893" width="7.85546875" style="16" customWidth="1"/>
    <col min="5894" max="5894" width="8.5703125" style="16" customWidth="1"/>
    <col min="5895" max="5895" width="8.42578125" style="16" customWidth="1"/>
    <col min="5896" max="5903" width="7.8554687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8.7109375" style="16" customWidth="1"/>
    <col min="6147" max="6149" width="7.85546875" style="16" customWidth="1"/>
    <col min="6150" max="6150" width="8.5703125" style="16" customWidth="1"/>
    <col min="6151" max="6151" width="8.42578125" style="16" customWidth="1"/>
    <col min="6152" max="6159" width="7.8554687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8.7109375" style="16" customWidth="1"/>
    <col min="6403" max="6405" width="7.85546875" style="16" customWidth="1"/>
    <col min="6406" max="6406" width="8.5703125" style="16" customWidth="1"/>
    <col min="6407" max="6407" width="8.42578125" style="16" customWidth="1"/>
    <col min="6408" max="6415" width="7.8554687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8.7109375" style="16" customWidth="1"/>
    <col min="6659" max="6661" width="7.85546875" style="16" customWidth="1"/>
    <col min="6662" max="6662" width="8.5703125" style="16" customWidth="1"/>
    <col min="6663" max="6663" width="8.42578125" style="16" customWidth="1"/>
    <col min="6664" max="6671" width="7.8554687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8.7109375" style="16" customWidth="1"/>
    <col min="6915" max="6917" width="7.85546875" style="16" customWidth="1"/>
    <col min="6918" max="6918" width="8.5703125" style="16" customWidth="1"/>
    <col min="6919" max="6919" width="8.42578125" style="16" customWidth="1"/>
    <col min="6920" max="6927" width="7.8554687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8.7109375" style="16" customWidth="1"/>
    <col min="7171" max="7173" width="7.85546875" style="16" customWidth="1"/>
    <col min="7174" max="7174" width="8.5703125" style="16" customWidth="1"/>
    <col min="7175" max="7175" width="8.42578125" style="16" customWidth="1"/>
    <col min="7176" max="7183" width="7.8554687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8.7109375" style="16" customWidth="1"/>
    <col min="7427" max="7429" width="7.85546875" style="16" customWidth="1"/>
    <col min="7430" max="7430" width="8.5703125" style="16" customWidth="1"/>
    <col min="7431" max="7431" width="8.42578125" style="16" customWidth="1"/>
    <col min="7432" max="7439" width="7.8554687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8.7109375" style="16" customWidth="1"/>
    <col min="7683" max="7685" width="7.85546875" style="16" customWidth="1"/>
    <col min="7686" max="7686" width="8.5703125" style="16" customWidth="1"/>
    <col min="7687" max="7687" width="8.42578125" style="16" customWidth="1"/>
    <col min="7688" max="7695" width="7.8554687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8.7109375" style="16" customWidth="1"/>
    <col min="7939" max="7941" width="7.85546875" style="16" customWidth="1"/>
    <col min="7942" max="7942" width="8.5703125" style="16" customWidth="1"/>
    <col min="7943" max="7943" width="8.42578125" style="16" customWidth="1"/>
    <col min="7944" max="7951" width="7.8554687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8.7109375" style="16" customWidth="1"/>
    <col min="8195" max="8197" width="7.85546875" style="16" customWidth="1"/>
    <col min="8198" max="8198" width="8.5703125" style="16" customWidth="1"/>
    <col min="8199" max="8199" width="8.42578125" style="16" customWidth="1"/>
    <col min="8200" max="8207" width="7.8554687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8.7109375" style="16" customWidth="1"/>
    <col min="8451" max="8453" width="7.85546875" style="16" customWidth="1"/>
    <col min="8454" max="8454" width="8.5703125" style="16" customWidth="1"/>
    <col min="8455" max="8455" width="8.42578125" style="16" customWidth="1"/>
    <col min="8456" max="8463" width="7.8554687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8.7109375" style="16" customWidth="1"/>
    <col min="8707" max="8709" width="7.85546875" style="16" customWidth="1"/>
    <col min="8710" max="8710" width="8.5703125" style="16" customWidth="1"/>
    <col min="8711" max="8711" width="8.42578125" style="16" customWidth="1"/>
    <col min="8712" max="8719" width="7.8554687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8.7109375" style="16" customWidth="1"/>
    <col min="8963" max="8965" width="7.85546875" style="16" customWidth="1"/>
    <col min="8966" max="8966" width="8.5703125" style="16" customWidth="1"/>
    <col min="8967" max="8967" width="8.42578125" style="16" customWidth="1"/>
    <col min="8968" max="8975" width="7.8554687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8.7109375" style="16" customWidth="1"/>
    <col min="9219" max="9221" width="7.85546875" style="16" customWidth="1"/>
    <col min="9222" max="9222" width="8.5703125" style="16" customWidth="1"/>
    <col min="9223" max="9223" width="8.42578125" style="16" customWidth="1"/>
    <col min="9224" max="9231" width="7.8554687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8.7109375" style="16" customWidth="1"/>
    <col min="9475" max="9477" width="7.85546875" style="16" customWidth="1"/>
    <col min="9478" max="9478" width="8.5703125" style="16" customWidth="1"/>
    <col min="9479" max="9479" width="8.42578125" style="16" customWidth="1"/>
    <col min="9480" max="9487" width="7.8554687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8.7109375" style="16" customWidth="1"/>
    <col min="9731" max="9733" width="7.85546875" style="16" customWidth="1"/>
    <col min="9734" max="9734" width="8.5703125" style="16" customWidth="1"/>
    <col min="9735" max="9735" width="8.42578125" style="16" customWidth="1"/>
    <col min="9736" max="9743" width="7.8554687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8.7109375" style="16" customWidth="1"/>
    <col min="9987" max="9989" width="7.85546875" style="16" customWidth="1"/>
    <col min="9990" max="9990" width="8.5703125" style="16" customWidth="1"/>
    <col min="9991" max="9991" width="8.42578125" style="16" customWidth="1"/>
    <col min="9992" max="9999" width="7.8554687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8.7109375" style="16" customWidth="1"/>
    <col min="10243" max="10245" width="7.85546875" style="16" customWidth="1"/>
    <col min="10246" max="10246" width="8.5703125" style="16" customWidth="1"/>
    <col min="10247" max="10247" width="8.42578125" style="16" customWidth="1"/>
    <col min="10248" max="10255" width="7.8554687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8.7109375" style="16" customWidth="1"/>
    <col min="10499" max="10501" width="7.85546875" style="16" customWidth="1"/>
    <col min="10502" max="10502" width="8.5703125" style="16" customWidth="1"/>
    <col min="10503" max="10503" width="8.42578125" style="16" customWidth="1"/>
    <col min="10504" max="10511" width="7.8554687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8.7109375" style="16" customWidth="1"/>
    <col min="10755" max="10757" width="7.85546875" style="16" customWidth="1"/>
    <col min="10758" max="10758" width="8.5703125" style="16" customWidth="1"/>
    <col min="10759" max="10759" width="8.42578125" style="16" customWidth="1"/>
    <col min="10760" max="10767" width="7.8554687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8.7109375" style="16" customWidth="1"/>
    <col min="11011" max="11013" width="7.85546875" style="16" customWidth="1"/>
    <col min="11014" max="11014" width="8.5703125" style="16" customWidth="1"/>
    <col min="11015" max="11015" width="8.42578125" style="16" customWidth="1"/>
    <col min="11016" max="11023" width="7.8554687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8.7109375" style="16" customWidth="1"/>
    <col min="11267" max="11269" width="7.85546875" style="16" customWidth="1"/>
    <col min="11270" max="11270" width="8.5703125" style="16" customWidth="1"/>
    <col min="11271" max="11271" width="8.42578125" style="16" customWidth="1"/>
    <col min="11272" max="11279" width="7.8554687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8.7109375" style="16" customWidth="1"/>
    <col min="11523" max="11525" width="7.85546875" style="16" customWidth="1"/>
    <col min="11526" max="11526" width="8.5703125" style="16" customWidth="1"/>
    <col min="11527" max="11527" width="8.42578125" style="16" customWidth="1"/>
    <col min="11528" max="11535" width="7.8554687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8.7109375" style="16" customWidth="1"/>
    <col min="11779" max="11781" width="7.85546875" style="16" customWidth="1"/>
    <col min="11782" max="11782" width="8.5703125" style="16" customWidth="1"/>
    <col min="11783" max="11783" width="8.42578125" style="16" customWidth="1"/>
    <col min="11784" max="11791" width="7.8554687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8.7109375" style="16" customWidth="1"/>
    <col min="12035" max="12037" width="7.85546875" style="16" customWidth="1"/>
    <col min="12038" max="12038" width="8.5703125" style="16" customWidth="1"/>
    <col min="12039" max="12039" width="8.42578125" style="16" customWidth="1"/>
    <col min="12040" max="12047" width="7.8554687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8.7109375" style="16" customWidth="1"/>
    <col min="12291" max="12293" width="7.85546875" style="16" customWidth="1"/>
    <col min="12294" max="12294" width="8.5703125" style="16" customWidth="1"/>
    <col min="12295" max="12295" width="8.42578125" style="16" customWidth="1"/>
    <col min="12296" max="12303" width="7.8554687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8.7109375" style="16" customWidth="1"/>
    <col min="12547" max="12549" width="7.85546875" style="16" customWidth="1"/>
    <col min="12550" max="12550" width="8.5703125" style="16" customWidth="1"/>
    <col min="12551" max="12551" width="8.42578125" style="16" customWidth="1"/>
    <col min="12552" max="12559" width="7.8554687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8.7109375" style="16" customWidth="1"/>
    <col min="12803" max="12805" width="7.85546875" style="16" customWidth="1"/>
    <col min="12806" max="12806" width="8.5703125" style="16" customWidth="1"/>
    <col min="12807" max="12807" width="8.42578125" style="16" customWidth="1"/>
    <col min="12808" max="12815" width="7.8554687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8.7109375" style="16" customWidth="1"/>
    <col min="13059" max="13061" width="7.85546875" style="16" customWidth="1"/>
    <col min="13062" max="13062" width="8.5703125" style="16" customWidth="1"/>
    <col min="13063" max="13063" width="8.42578125" style="16" customWidth="1"/>
    <col min="13064" max="13071" width="7.8554687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8.7109375" style="16" customWidth="1"/>
    <col min="13315" max="13317" width="7.85546875" style="16" customWidth="1"/>
    <col min="13318" max="13318" width="8.5703125" style="16" customWidth="1"/>
    <col min="13319" max="13319" width="8.42578125" style="16" customWidth="1"/>
    <col min="13320" max="13327" width="7.8554687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8.7109375" style="16" customWidth="1"/>
    <col min="13571" max="13573" width="7.85546875" style="16" customWidth="1"/>
    <col min="13574" max="13574" width="8.5703125" style="16" customWidth="1"/>
    <col min="13575" max="13575" width="8.42578125" style="16" customWidth="1"/>
    <col min="13576" max="13583" width="7.8554687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8.7109375" style="16" customWidth="1"/>
    <col min="13827" max="13829" width="7.85546875" style="16" customWidth="1"/>
    <col min="13830" max="13830" width="8.5703125" style="16" customWidth="1"/>
    <col min="13831" max="13831" width="8.42578125" style="16" customWidth="1"/>
    <col min="13832" max="13839" width="7.8554687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8.7109375" style="16" customWidth="1"/>
    <col min="14083" max="14085" width="7.85546875" style="16" customWidth="1"/>
    <col min="14086" max="14086" width="8.5703125" style="16" customWidth="1"/>
    <col min="14087" max="14087" width="8.42578125" style="16" customWidth="1"/>
    <col min="14088" max="14095" width="7.8554687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8.7109375" style="16" customWidth="1"/>
    <col min="14339" max="14341" width="7.85546875" style="16" customWidth="1"/>
    <col min="14342" max="14342" width="8.5703125" style="16" customWidth="1"/>
    <col min="14343" max="14343" width="8.42578125" style="16" customWidth="1"/>
    <col min="14344" max="14351" width="7.8554687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8.7109375" style="16" customWidth="1"/>
    <col min="14595" max="14597" width="7.85546875" style="16" customWidth="1"/>
    <col min="14598" max="14598" width="8.5703125" style="16" customWidth="1"/>
    <col min="14599" max="14599" width="8.42578125" style="16" customWidth="1"/>
    <col min="14600" max="14607" width="7.8554687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8.7109375" style="16" customWidth="1"/>
    <col min="14851" max="14853" width="7.85546875" style="16" customWidth="1"/>
    <col min="14854" max="14854" width="8.5703125" style="16" customWidth="1"/>
    <col min="14855" max="14855" width="8.42578125" style="16" customWidth="1"/>
    <col min="14856" max="14863" width="7.8554687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8.7109375" style="16" customWidth="1"/>
    <col min="15107" max="15109" width="7.85546875" style="16" customWidth="1"/>
    <col min="15110" max="15110" width="8.5703125" style="16" customWidth="1"/>
    <col min="15111" max="15111" width="8.42578125" style="16" customWidth="1"/>
    <col min="15112" max="15119" width="7.8554687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8.7109375" style="16" customWidth="1"/>
    <col min="15363" max="15365" width="7.85546875" style="16" customWidth="1"/>
    <col min="15366" max="15366" width="8.5703125" style="16" customWidth="1"/>
    <col min="15367" max="15367" width="8.42578125" style="16" customWidth="1"/>
    <col min="15368" max="15375" width="7.8554687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8.7109375" style="16" customWidth="1"/>
    <col min="15619" max="15621" width="7.85546875" style="16" customWidth="1"/>
    <col min="15622" max="15622" width="8.5703125" style="16" customWidth="1"/>
    <col min="15623" max="15623" width="8.42578125" style="16" customWidth="1"/>
    <col min="15624" max="15631" width="7.8554687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8.7109375" style="16" customWidth="1"/>
    <col min="15875" max="15877" width="7.85546875" style="16" customWidth="1"/>
    <col min="15878" max="15878" width="8.5703125" style="16" customWidth="1"/>
    <col min="15879" max="15879" width="8.42578125" style="16" customWidth="1"/>
    <col min="15880" max="15887" width="7.8554687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8.7109375" style="16" customWidth="1"/>
    <col min="16131" max="16133" width="7.85546875" style="16" customWidth="1"/>
    <col min="16134" max="16134" width="8.5703125" style="16" customWidth="1"/>
    <col min="16135" max="16135" width="8.42578125" style="16" customWidth="1"/>
    <col min="16136" max="16143" width="7.8554687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ht="12.75" customHeight="1" x14ac:dyDescent="0.2">
      <c r="A1" s="1211" t="s">
        <v>100</v>
      </c>
      <c r="B1" s="1212"/>
      <c r="C1" s="1213"/>
      <c r="D1" s="908">
        <v>278</v>
      </c>
      <c r="E1" s="909"/>
      <c r="F1" s="910"/>
      <c r="G1" s="1211" t="s">
        <v>102</v>
      </c>
      <c r="H1" s="1213"/>
      <c r="I1" s="908" t="s">
        <v>1178</v>
      </c>
      <c r="J1" s="909"/>
      <c r="K1" s="909"/>
      <c r="L1" s="909"/>
      <c r="M1" s="909"/>
      <c r="N1" s="909"/>
      <c r="O1" s="910"/>
    </row>
    <row r="2" spans="1:15" s="1" customFormat="1" ht="12.75" customHeight="1" x14ac:dyDescent="0.2">
      <c r="A2" s="1211" t="s">
        <v>103</v>
      </c>
      <c r="B2" s="1212"/>
      <c r="C2" s="1213"/>
      <c r="D2" s="908"/>
      <c r="E2" s="909"/>
      <c r="F2" s="910"/>
      <c r="G2" s="1211" t="s">
        <v>104</v>
      </c>
      <c r="H2" s="1213"/>
      <c r="I2" s="908" t="s">
        <v>105</v>
      </c>
      <c r="J2" s="909"/>
      <c r="K2" s="909"/>
      <c r="L2" s="909"/>
      <c r="M2" s="909"/>
      <c r="N2" s="909"/>
      <c r="O2" s="910"/>
    </row>
    <row r="3" spans="1:15" s="1" customFormat="1" ht="12.75" customHeight="1" x14ac:dyDescent="0.2">
      <c r="A3" s="1211" t="s">
        <v>106</v>
      </c>
      <c r="B3" s="1212"/>
      <c r="C3" s="1213"/>
      <c r="D3" s="1220" t="s">
        <v>1179</v>
      </c>
      <c r="E3" s="1221"/>
      <c r="F3" s="1222"/>
      <c r="G3" s="1211" t="s">
        <v>107</v>
      </c>
      <c r="H3" s="1213"/>
      <c r="I3" s="908" t="s">
        <v>108</v>
      </c>
      <c r="J3" s="909"/>
      <c r="K3" s="909"/>
      <c r="L3" s="909"/>
      <c r="M3" s="909"/>
      <c r="N3" s="909"/>
      <c r="O3" s="910"/>
    </row>
    <row r="4" spans="1:15" s="1" customFormat="1" ht="12.75" customHeight="1" x14ac:dyDescent="0.2">
      <c r="A4" s="1211" t="s">
        <v>109</v>
      </c>
      <c r="B4" s="1212"/>
      <c r="C4" s="1213"/>
      <c r="D4" s="908"/>
      <c r="E4" s="909"/>
      <c r="F4" s="910"/>
      <c r="G4" s="1211" t="s">
        <v>110</v>
      </c>
      <c r="H4" s="1213"/>
      <c r="I4" s="908" t="s">
        <v>1180</v>
      </c>
      <c r="J4" s="909"/>
      <c r="K4" s="909"/>
      <c r="L4" s="909"/>
      <c r="M4" s="909"/>
      <c r="N4" s="909"/>
      <c r="O4" s="910"/>
    </row>
    <row r="5" spans="1:15" s="1" customFormat="1" ht="12.75" customHeight="1" x14ac:dyDescent="0.2">
      <c r="A5" s="1211" t="s">
        <v>278</v>
      </c>
      <c r="B5" s="1212"/>
      <c r="C5" s="1213"/>
      <c r="D5" s="908" t="s">
        <v>1181</v>
      </c>
      <c r="E5" s="909"/>
      <c r="F5" s="910"/>
      <c r="G5" s="1211"/>
      <c r="H5" s="1213"/>
      <c r="I5" s="908" t="s">
        <v>113</v>
      </c>
      <c r="J5" s="909"/>
      <c r="K5" s="909"/>
      <c r="L5" s="909"/>
      <c r="M5" s="909"/>
      <c r="N5" s="909"/>
      <c r="O5" s="910"/>
    </row>
    <row r="6" spans="1:15" s="1" customFormat="1" x14ac:dyDescent="0.2">
      <c r="A6" s="1214" t="s">
        <v>114</v>
      </c>
      <c r="B6" s="1215"/>
      <c r="C6" s="1216"/>
      <c r="D6" s="1214" t="s">
        <v>1182</v>
      </c>
      <c r="E6" s="1172"/>
      <c r="F6" s="1173"/>
      <c r="G6" s="1214" t="s">
        <v>115</v>
      </c>
      <c r="H6" s="1216"/>
      <c r="I6" s="2" t="s">
        <v>116</v>
      </c>
      <c r="J6" s="888"/>
      <c r="K6" s="888"/>
      <c r="L6" s="888"/>
      <c r="M6" s="888"/>
      <c r="N6" s="888"/>
      <c r="O6" s="889"/>
    </row>
    <row r="7" spans="1:15" s="1" customFormat="1" ht="13.5" thickBot="1" x14ac:dyDescent="0.25">
      <c r="A7" s="3"/>
      <c r="B7" s="4"/>
      <c r="C7" s="5"/>
      <c r="D7" s="6"/>
      <c r="E7" s="6"/>
      <c r="F7" s="6"/>
      <c r="G7" s="6"/>
      <c r="H7" s="6"/>
      <c r="I7" s="6"/>
      <c r="J7" s="7"/>
      <c r="K7" s="8"/>
      <c r="L7" s="1217" t="s">
        <v>223</v>
      </c>
      <c r="M7" s="1218"/>
      <c r="N7" s="1218"/>
      <c r="O7" s="1219"/>
    </row>
    <row r="8" spans="1:15" s="11" customFormat="1" x14ac:dyDescent="0.2">
      <c r="A8" s="876" t="str">
        <f>I1</f>
        <v>Mr.C.S.SWAMI</v>
      </c>
      <c r="B8" s="877"/>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98700</v>
      </c>
      <c r="D9" s="14">
        <v>98700</v>
      </c>
      <c r="E9" s="14">
        <v>98700</v>
      </c>
      <c r="F9" s="14">
        <v>98700</v>
      </c>
      <c r="G9" s="14">
        <v>101700</v>
      </c>
      <c r="H9" s="14">
        <v>101700</v>
      </c>
      <c r="I9" s="14">
        <v>101700</v>
      </c>
      <c r="J9" s="14">
        <v>101700</v>
      </c>
      <c r="K9" s="14">
        <v>101700</v>
      </c>
      <c r="L9" s="14">
        <v>101700</v>
      </c>
      <c r="M9" s="14">
        <v>101700</v>
      </c>
      <c r="N9" s="14">
        <v>101700</v>
      </c>
      <c r="O9" s="15">
        <f t="shared" ref="O9:O50" si="0">SUM(C9:N9)</f>
        <v>1208400</v>
      </c>
    </row>
    <row r="10" spans="1:15" ht="15.75" customHeight="1" x14ac:dyDescent="0.2">
      <c r="A10" s="12"/>
      <c r="B10" s="13" t="s">
        <v>119</v>
      </c>
      <c r="C10" s="17">
        <v>0</v>
      </c>
      <c r="D10" s="17">
        <f t="shared" ref="D10:I22" si="1">+C10</f>
        <v>0</v>
      </c>
      <c r="E10" s="17">
        <f t="shared" si="1"/>
        <v>0</v>
      </c>
      <c r="F10" s="17">
        <f t="shared" si="1"/>
        <v>0</v>
      </c>
      <c r="G10" s="17">
        <f t="shared" si="1"/>
        <v>0</v>
      </c>
      <c r="H10" s="17">
        <v>0</v>
      </c>
      <c r="I10" s="17">
        <f t="shared" ref="I10:N22" si="2">+H10</f>
        <v>0</v>
      </c>
      <c r="J10" s="17">
        <f t="shared" si="2"/>
        <v>0</v>
      </c>
      <c r="K10" s="17">
        <f t="shared" si="2"/>
        <v>0</v>
      </c>
      <c r="L10" s="17">
        <f t="shared" si="2"/>
        <v>0</v>
      </c>
      <c r="M10" s="17">
        <f t="shared" si="2"/>
        <v>0</v>
      </c>
      <c r="N10" s="17">
        <f t="shared" si="2"/>
        <v>0</v>
      </c>
      <c r="O10" s="18">
        <f t="shared" si="0"/>
        <v>0</v>
      </c>
    </row>
    <row r="11" spans="1:15" ht="15" x14ac:dyDescent="0.2">
      <c r="A11" s="12"/>
      <c r="B11" s="13" t="s">
        <v>120</v>
      </c>
      <c r="C11" s="17">
        <v>4935</v>
      </c>
      <c r="D11" s="17">
        <v>6909</v>
      </c>
      <c r="E11" s="17">
        <f t="shared" si="1"/>
        <v>6909</v>
      </c>
      <c r="F11" s="17">
        <f t="shared" si="1"/>
        <v>6909</v>
      </c>
      <c r="G11" s="17">
        <v>7119</v>
      </c>
      <c r="H11" s="17">
        <v>7119</v>
      </c>
      <c r="I11" s="17">
        <v>7119</v>
      </c>
      <c r="J11" s="17">
        <v>9153</v>
      </c>
      <c r="K11" s="17">
        <f t="shared" si="2"/>
        <v>9153</v>
      </c>
      <c r="L11" s="17">
        <f t="shared" si="2"/>
        <v>9153</v>
      </c>
      <c r="M11" s="17">
        <f t="shared" si="2"/>
        <v>9153</v>
      </c>
      <c r="N11" s="17">
        <f t="shared" si="2"/>
        <v>9153</v>
      </c>
      <c r="O11" s="18">
        <f t="shared" si="0"/>
        <v>92784</v>
      </c>
    </row>
    <row r="12" spans="1:15" ht="15" hidden="1" x14ac:dyDescent="0.2">
      <c r="A12" s="12"/>
      <c r="B12" s="13" t="s">
        <v>121</v>
      </c>
      <c r="C12" s="17">
        <v>0</v>
      </c>
      <c r="D12" s="17">
        <f t="shared" si="1"/>
        <v>0</v>
      </c>
      <c r="E12" s="17">
        <f t="shared" si="1"/>
        <v>0</v>
      </c>
      <c r="F12" s="17">
        <f t="shared" si="1"/>
        <v>0</v>
      </c>
      <c r="G12" s="17">
        <f t="shared" si="1"/>
        <v>0</v>
      </c>
      <c r="H12" s="17">
        <v>0</v>
      </c>
      <c r="I12" s="17">
        <f t="shared" si="2"/>
        <v>0</v>
      </c>
      <c r="J12" s="17">
        <f t="shared" si="2"/>
        <v>0</v>
      </c>
      <c r="K12" s="17">
        <f t="shared" si="2"/>
        <v>0</v>
      </c>
      <c r="L12" s="17">
        <f t="shared" si="2"/>
        <v>0</v>
      </c>
      <c r="M12" s="17">
        <f t="shared" si="2"/>
        <v>0</v>
      </c>
      <c r="N12" s="17">
        <f t="shared" si="2"/>
        <v>0</v>
      </c>
      <c r="O12" s="18">
        <f t="shared" si="0"/>
        <v>0</v>
      </c>
    </row>
    <row r="13" spans="1:15" ht="15" hidden="1" x14ac:dyDescent="0.2">
      <c r="A13" s="12"/>
      <c r="B13" s="13" t="s">
        <v>122</v>
      </c>
      <c r="C13" s="17">
        <v>0</v>
      </c>
      <c r="D13" s="17">
        <f t="shared" si="1"/>
        <v>0</v>
      </c>
      <c r="E13" s="17">
        <f t="shared" si="1"/>
        <v>0</v>
      </c>
      <c r="F13" s="17">
        <f t="shared" si="1"/>
        <v>0</v>
      </c>
      <c r="G13" s="17">
        <f t="shared" si="1"/>
        <v>0</v>
      </c>
      <c r="H13" s="17">
        <v>0</v>
      </c>
      <c r="I13" s="17">
        <f t="shared" si="2"/>
        <v>0</v>
      </c>
      <c r="J13" s="17">
        <f t="shared" si="2"/>
        <v>0</v>
      </c>
      <c r="K13" s="17">
        <f t="shared" si="2"/>
        <v>0</v>
      </c>
      <c r="L13" s="17">
        <f t="shared" si="2"/>
        <v>0</v>
      </c>
      <c r="M13" s="17">
        <f t="shared" si="2"/>
        <v>0</v>
      </c>
      <c r="N13" s="17">
        <f t="shared" si="2"/>
        <v>0</v>
      </c>
      <c r="O13" s="18">
        <f t="shared" si="0"/>
        <v>0</v>
      </c>
    </row>
    <row r="14" spans="1:15" ht="15" x14ac:dyDescent="0.2">
      <c r="A14" s="12"/>
      <c r="B14" s="13" t="s">
        <v>123</v>
      </c>
      <c r="C14" s="17">
        <v>7560</v>
      </c>
      <c r="D14" s="17">
        <v>7704</v>
      </c>
      <c r="E14" s="17">
        <f t="shared" si="1"/>
        <v>7704</v>
      </c>
      <c r="F14" s="17">
        <f t="shared" si="1"/>
        <v>7704</v>
      </c>
      <c r="G14" s="17">
        <f t="shared" si="1"/>
        <v>7704</v>
      </c>
      <c r="H14" s="17">
        <f t="shared" si="1"/>
        <v>7704</v>
      </c>
      <c r="I14" s="17">
        <f t="shared" si="1"/>
        <v>7704</v>
      </c>
      <c r="J14" s="17">
        <v>7848</v>
      </c>
      <c r="K14" s="17">
        <f t="shared" si="2"/>
        <v>7848</v>
      </c>
      <c r="L14" s="17">
        <f t="shared" si="2"/>
        <v>7848</v>
      </c>
      <c r="M14" s="17">
        <f t="shared" si="2"/>
        <v>7848</v>
      </c>
      <c r="N14" s="17">
        <f t="shared" si="2"/>
        <v>7848</v>
      </c>
      <c r="O14" s="18">
        <f t="shared" si="0"/>
        <v>93024</v>
      </c>
    </row>
    <row r="15" spans="1:15" ht="15" hidden="1" x14ac:dyDescent="0.2">
      <c r="A15" s="12"/>
      <c r="B15" s="13" t="s">
        <v>124</v>
      </c>
      <c r="C15" s="17">
        <v>0</v>
      </c>
      <c r="D15" s="17">
        <f t="shared" si="1"/>
        <v>0</v>
      </c>
      <c r="E15" s="17">
        <f t="shared" si="1"/>
        <v>0</v>
      </c>
      <c r="F15" s="17">
        <f t="shared" si="1"/>
        <v>0</v>
      </c>
      <c r="G15" s="17">
        <f t="shared" si="1"/>
        <v>0</v>
      </c>
      <c r="H15" s="17">
        <v>0</v>
      </c>
      <c r="I15" s="17">
        <f t="shared" si="2"/>
        <v>0</v>
      </c>
      <c r="J15" s="17">
        <f t="shared" si="2"/>
        <v>0</v>
      </c>
      <c r="K15" s="17">
        <f t="shared" si="2"/>
        <v>0</v>
      </c>
      <c r="L15" s="17">
        <f t="shared" si="2"/>
        <v>0</v>
      </c>
      <c r="M15" s="17">
        <f t="shared" si="2"/>
        <v>0</v>
      </c>
      <c r="N15" s="17">
        <f t="shared" si="2"/>
        <v>0</v>
      </c>
      <c r="O15" s="18">
        <f t="shared" si="0"/>
        <v>0</v>
      </c>
    </row>
    <row r="16" spans="1:15" ht="15" hidden="1" x14ac:dyDescent="0.2">
      <c r="A16" s="12"/>
      <c r="B16" s="13" t="s">
        <v>125</v>
      </c>
      <c r="C16" s="17">
        <v>0</v>
      </c>
      <c r="D16" s="17">
        <f t="shared" si="1"/>
        <v>0</v>
      </c>
      <c r="E16" s="17">
        <f t="shared" si="1"/>
        <v>0</v>
      </c>
      <c r="F16" s="17">
        <f t="shared" si="1"/>
        <v>0</v>
      </c>
      <c r="G16" s="17">
        <f t="shared" si="1"/>
        <v>0</v>
      </c>
      <c r="H16" s="17">
        <v>0</v>
      </c>
      <c r="I16" s="17">
        <f t="shared" si="2"/>
        <v>0</v>
      </c>
      <c r="J16" s="17">
        <f t="shared" si="2"/>
        <v>0</v>
      </c>
      <c r="K16" s="17">
        <f t="shared" si="2"/>
        <v>0</v>
      </c>
      <c r="L16" s="17">
        <f t="shared" si="2"/>
        <v>0</v>
      </c>
      <c r="M16" s="17">
        <f t="shared" si="2"/>
        <v>0</v>
      </c>
      <c r="N16" s="17">
        <f t="shared" si="2"/>
        <v>0</v>
      </c>
      <c r="O16" s="18">
        <f t="shared" si="0"/>
        <v>0</v>
      </c>
    </row>
    <row r="17" spans="1:16" ht="15" hidden="1" x14ac:dyDescent="0.2">
      <c r="A17" s="12"/>
      <c r="B17" s="13" t="s">
        <v>126</v>
      </c>
      <c r="C17" s="17">
        <v>0</v>
      </c>
      <c r="D17" s="17">
        <f t="shared" si="1"/>
        <v>0</v>
      </c>
      <c r="E17" s="17">
        <f t="shared" si="1"/>
        <v>0</v>
      </c>
      <c r="F17" s="17">
        <f t="shared" si="1"/>
        <v>0</v>
      </c>
      <c r="G17" s="17">
        <f t="shared" si="1"/>
        <v>0</v>
      </c>
      <c r="H17" s="17">
        <v>0</v>
      </c>
      <c r="I17" s="17">
        <f t="shared" si="2"/>
        <v>0</v>
      </c>
      <c r="J17" s="17">
        <f t="shared" si="2"/>
        <v>0</v>
      </c>
      <c r="K17" s="17">
        <f t="shared" si="2"/>
        <v>0</v>
      </c>
      <c r="L17" s="17">
        <f t="shared" si="2"/>
        <v>0</v>
      </c>
      <c r="M17" s="17">
        <f t="shared" si="2"/>
        <v>0</v>
      </c>
      <c r="N17" s="17">
        <f t="shared" si="2"/>
        <v>0</v>
      </c>
      <c r="O17" s="18">
        <f t="shared" si="0"/>
        <v>0</v>
      </c>
    </row>
    <row r="18" spans="1:16" ht="15" x14ac:dyDescent="0.2">
      <c r="A18" s="12"/>
      <c r="B18" s="13" t="s">
        <v>127</v>
      </c>
      <c r="C18" s="17">
        <v>0</v>
      </c>
      <c r="D18" s="17">
        <f t="shared" si="1"/>
        <v>0</v>
      </c>
      <c r="E18" s="17">
        <f t="shared" si="1"/>
        <v>0</v>
      </c>
      <c r="F18" s="17">
        <f t="shared" si="1"/>
        <v>0</v>
      </c>
      <c r="G18" s="17">
        <f t="shared" si="1"/>
        <v>0</v>
      </c>
      <c r="H18" s="17">
        <v>0</v>
      </c>
      <c r="I18" s="17">
        <f t="shared" si="2"/>
        <v>0</v>
      </c>
      <c r="J18" s="17">
        <f t="shared" si="2"/>
        <v>0</v>
      </c>
      <c r="K18" s="17">
        <f t="shared" si="2"/>
        <v>0</v>
      </c>
      <c r="L18" s="17">
        <f t="shared" si="2"/>
        <v>0</v>
      </c>
      <c r="M18" s="17">
        <f t="shared" si="2"/>
        <v>0</v>
      </c>
      <c r="N18" s="17">
        <f t="shared" si="2"/>
        <v>0</v>
      </c>
      <c r="O18" s="18">
        <f t="shared" si="0"/>
        <v>0</v>
      </c>
    </row>
    <row r="19" spans="1:16" ht="15" x14ac:dyDescent="0.2">
      <c r="A19" s="12"/>
      <c r="B19" s="13" t="s">
        <v>128</v>
      </c>
      <c r="C19" s="17">
        <v>23688</v>
      </c>
      <c r="D19" s="17">
        <f t="shared" si="1"/>
        <v>23688</v>
      </c>
      <c r="E19" s="17">
        <f t="shared" si="1"/>
        <v>23688</v>
      </c>
      <c r="F19" s="17">
        <f t="shared" si="1"/>
        <v>23688</v>
      </c>
      <c r="G19" s="17">
        <v>24408</v>
      </c>
      <c r="H19" s="17">
        <v>24408</v>
      </c>
      <c r="I19" s="17">
        <v>24408</v>
      </c>
      <c r="J19" s="17">
        <v>24408</v>
      </c>
      <c r="K19" s="17">
        <v>24408</v>
      </c>
      <c r="L19" s="17">
        <v>24408</v>
      </c>
      <c r="M19" s="17">
        <v>24408</v>
      </c>
      <c r="N19" s="17">
        <v>24408</v>
      </c>
      <c r="O19" s="18">
        <f t="shared" si="0"/>
        <v>290016</v>
      </c>
    </row>
    <row r="20" spans="1:16" ht="15" customHeight="1" x14ac:dyDescent="0.2">
      <c r="A20" s="12"/>
      <c r="B20" s="13" t="s">
        <v>129</v>
      </c>
      <c r="C20" s="17">
        <v>0</v>
      </c>
      <c r="D20" s="17">
        <f t="shared" si="1"/>
        <v>0</v>
      </c>
      <c r="E20" s="17">
        <f t="shared" si="1"/>
        <v>0</v>
      </c>
      <c r="F20" s="17">
        <f t="shared" si="1"/>
        <v>0</v>
      </c>
      <c r="G20" s="17">
        <f t="shared" si="1"/>
        <v>0</v>
      </c>
      <c r="H20" s="17">
        <v>0</v>
      </c>
      <c r="I20" s="17">
        <f t="shared" si="2"/>
        <v>0</v>
      </c>
      <c r="J20" s="17">
        <f t="shared" si="2"/>
        <v>0</v>
      </c>
      <c r="K20" s="17">
        <f t="shared" si="2"/>
        <v>0</v>
      </c>
      <c r="L20" s="17">
        <f t="shared" si="2"/>
        <v>0</v>
      </c>
      <c r="M20" s="17">
        <f t="shared" si="2"/>
        <v>0</v>
      </c>
      <c r="N20" s="17">
        <f t="shared" si="2"/>
        <v>0</v>
      </c>
      <c r="O20" s="18">
        <f t="shared" si="0"/>
        <v>0</v>
      </c>
    </row>
    <row r="21" spans="1:16" ht="15" hidden="1" customHeight="1" x14ac:dyDescent="0.2">
      <c r="A21" s="878" t="s">
        <v>130</v>
      </c>
      <c r="B21" s="19" t="s">
        <v>131</v>
      </c>
      <c r="C21" s="17">
        <v>0</v>
      </c>
      <c r="D21" s="17">
        <f t="shared" si="1"/>
        <v>0</v>
      </c>
      <c r="E21" s="17">
        <f t="shared" si="1"/>
        <v>0</v>
      </c>
      <c r="F21" s="17">
        <f t="shared" si="1"/>
        <v>0</v>
      </c>
      <c r="G21" s="17">
        <f t="shared" si="1"/>
        <v>0</v>
      </c>
      <c r="H21" s="17">
        <v>0</v>
      </c>
      <c r="I21" s="17">
        <f t="shared" si="2"/>
        <v>0</v>
      </c>
      <c r="J21" s="17">
        <f t="shared" si="2"/>
        <v>0</v>
      </c>
      <c r="K21" s="17">
        <f t="shared" si="2"/>
        <v>0</v>
      </c>
      <c r="L21" s="17">
        <f t="shared" si="2"/>
        <v>0</v>
      </c>
      <c r="M21" s="17">
        <f t="shared" si="2"/>
        <v>0</v>
      </c>
      <c r="N21" s="17">
        <f t="shared" si="2"/>
        <v>0</v>
      </c>
      <c r="O21" s="18">
        <f t="shared" si="0"/>
        <v>0</v>
      </c>
    </row>
    <row r="22" spans="1:16" ht="15" customHeight="1" x14ac:dyDescent="0.2">
      <c r="A22" s="879"/>
      <c r="B22" s="19" t="s">
        <v>132</v>
      </c>
      <c r="C22" s="17">
        <v>0</v>
      </c>
      <c r="D22" s="17">
        <f t="shared" si="1"/>
        <v>0</v>
      </c>
      <c r="E22" s="17">
        <f t="shared" si="1"/>
        <v>0</v>
      </c>
      <c r="F22" s="17">
        <f t="shared" si="1"/>
        <v>0</v>
      </c>
      <c r="G22" s="17">
        <f t="shared" si="1"/>
        <v>0</v>
      </c>
      <c r="H22" s="17">
        <v>0</v>
      </c>
      <c r="I22" s="17">
        <v>6908</v>
      </c>
      <c r="J22" s="17">
        <v>0</v>
      </c>
      <c r="K22" s="17">
        <f t="shared" si="2"/>
        <v>0</v>
      </c>
      <c r="L22" s="17">
        <f t="shared" si="2"/>
        <v>0</v>
      </c>
      <c r="M22" s="17">
        <f t="shared" si="2"/>
        <v>0</v>
      </c>
      <c r="N22" s="17">
        <f t="shared" si="2"/>
        <v>0</v>
      </c>
      <c r="O22" s="18">
        <f t="shared" si="0"/>
        <v>6908</v>
      </c>
    </row>
    <row r="23" spans="1:16" ht="15" hidden="1" customHeight="1" x14ac:dyDescent="0.2">
      <c r="A23" s="879"/>
      <c r="B23" s="19" t="s">
        <v>133</v>
      </c>
      <c r="C23" s="147">
        <v>0</v>
      </c>
      <c r="D23" s="147">
        <v>0</v>
      </c>
      <c r="E23" s="147">
        <v>0</v>
      </c>
      <c r="F23" s="147">
        <v>0</v>
      </c>
      <c r="G23" s="147">
        <v>0</v>
      </c>
      <c r="H23" s="147">
        <v>0</v>
      </c>
      <c r="I23" s="147">
        <v>0</v>
      </c>
      <c r="J23" s="147">
        <v>0</v>
      </c>
      <c r="K23" s="147">
        <v>0</v>
      </c>
      <c r="L23" s="147">
        <v>0</v>
      </c>
      <c r="M23" s="147">
        <v>0</v>
      </c>
      <c r="N23" s="147">
        <v>0</v>
      </c>
      <c r="O23" s="18">
        <f t="shared" si="0"/>
        <v>0</v>
      </c>
    </row>
    <row r="24" spans="1:16" ht="15" hidden="1" customHeight="1" x14ac:dyDescent="0.2">
      <c r="A24" s="879"/>
      <c r="B24" s="19" t="s">
        <v>134</v>
      </c>
      <c r="C24" s="147">
        <v>0</v>
      </c>
      <c r="D24" s="147">
        <v>0</v>
      </c>
      <c r="E24" s="147">
        <v>0</v>
      </c>
      <c r="F24" s="147">
        <v>0</v>
      </c>
      <c r="G24" s="147">
        <v>0</v>
      </c>
      <c r="H24" s="147">
        <v>0</v>
      </c>
      <c r="I24" s="147">
        <v>0</v>
      </c>
      <c r="J24" s="147">
        <v>0</v>
      </c>
      <c r="K24" s="147">
        <v>0</v>
      </c>
      <c r="L24" s="147">
        <v>0</v>
      </c>
      <c r="M24" s="147">
        <v>0</v>
      </c>
      <c r="N24" s="147">
        <v>0</v>
      </c>
      <c r="O24" s="18">
        <f t="shared" si="0"/>
        <v>0</v>
      </c>
    </row>
    <row r="25" spans="1:16" ht="15" hidden="1" customHeight="1" x14ac:dyDescent="0.2">
      <c r="A25" s="879"/>
      <c r="B25" s="19" t="s">
        <v>135</v>
      </c>
      <c r="C25" s="147">
        <v>0</v>
      </c>
      <c r="D25" s="147">
        <v>0</v>
      </c>
      <c r="E25" s="147">
        <v>0</v>
      </c>
      <c r="F25" s="147">
        <v>0</v>
      </c>
      <c r="G25" s="147">
        <v>0</v>
      </c>
      <c r="H25" s="147">
        <v>0</v>
      </c>
      <c r="I25" s="147">
        <v>0</v>
      </c>
      <c r="J25" s="147">
        <v>0</v>
      </c>
      <c r="K25" s="147">
        <v>0</v>
      </c>
      <c r="L25" s="147">
        <v>0</v>
      </c>
      <c r="M25" s="147">
        <v>0</v>
      </c>
      <c r="N25" s="147">
        <v>0</v>
      </c>
      <c r="O25" s="18">
        <f t="shared" si="0"/>
        <v>0</v>
      </c>
    </row>
    <row r="26" spans="1:16" ht="15" hidden="1" customHeight="1" x14ac:dyDescent="0.2">
      <c r="A26" s="879"/>
      <c r="B26" s="19" t="s">
        <v>136</v>
      </c>
      <c r="C26" s="147">
        <v>0</v>
      </c>
      <c r="D26" s="147">
        <v>0</v>
      </c>
      <c r="E26" s="147">
        <v>0</v>
      </c>
      <c r="F26" s="147">
        <v>0</v>
      </c>
      <c r="G26" s="147">
        <v>0</v>
      </c>
      <c r="H26" s="147">
        <v>0</v>
      </c>
      <c r="I26" s="147">
        <v>0</v>
      </c>
      <c r="J26" s="147">
        <v>0</v>
      </c>
      <c r="K26" s="147">
        <v>0</v>
      </c>
      <c r="L26" s="147">
        <v>0</v>
      </c>
      <c r="M26" s="147">
        <v>0</v>
      </c>
      <c r="N26" s="147">
        <v>0</v>
      </c>
      <c r="O26" s="18">
        <f t="shared" si="0"/>
        <v>0</v>
      </c>
    </row>
    <row r="27" spans="1:16" ht="15" hidden="1" customHeight="1" x14ac:dyDescent="0.2">
      <c r="A27" s="879"/>
      <c r="B27" s="19" t="s">
        <v>137</v>
      </c>
      <c r="C27" s="147">
        <v>0</v>
      </c>
      <c r="D27" s="147">
        <v>0</v>
      </c>
      <c r="E27" s="147">
        <v>0</v>
      </c>
      <c r="F27" s="147">
        <v>0</v>
      </c>
      <c r="G27" s="147">
        <v>0</v>
      </c>
      <c r="H27" s="147">
        <v>0</v>
      </c>
      <c r="I27" s="147">
        <v>0</v>
      </c>
      <c r="J27" s="147">
        <v>0</v>
      </c>
      <c r="K27" s="147">
        <v>0</v>
      </c>
      <c r="L27" s="147">
        <v>0</v>
      </c>
      <c r="M27" s="147">
        <v>0</v>
      </c>
      <c r="N27" s="147">
        <v>0</v>
      </c>
      <c r="O27" s="18">
        <f t="shared" si="0"/>
        <v>0</v>
      </c>
    </row>
    <row r="28" spans="1:16" ht="15" hidden="1" customHeight="1" x14ac:dyDescent="0.2">
      <c r="A28" s="879"/>
      <c r="B28" s="19" t="s">
        <v>138</v>
      </c>
      <c r="C28" s="147">
        <v>0</v>
      </c>
      <c r="D28" s="147">
        <v>0</v>
      </c>
      <c r="E28" s="147">
        <v>0</v>
      </c>
      <c r="F28" s="147">
        <v>0</v>
      </c>
      <c r="G28" s="147">
        <v>0</v>
      </c>
      <c r="H28" s="147">
        <v>0</v>
      </c>
      <c r="I28" s="147">
        <v>0</v>
      </c>
      <c r="J28" s="147">
        <v>0</v>
      </c>
      <c r="K28" s="147">
        <v>0</v>
      </c>
      <c r="L28" s="147">
        <v>0</v>
      </c>
      <c r="M28" s="147">
        <v>0</v>
      </c>
      <c r="N28" s="147">
        <v>0</v>
      </c>
      <c r="O28" s="18">
        <f t="shared" si="0"/>
        <v>0</v>
      </c>
    </row>
    <row r="29" spans="1:16" ht="15" hidden="1" customHeight="1" x14ac:dyDescent="0.2">
      <c r="A29" s="879"/>
      <c r="B29" s="19" t="s">
        <v>139</v>
      </c>
      <c r="C29" s="147">
        <v>0</v>
      </c>
      <c r="D29" s="147">
        <v>0</v>
      </c>
      <c r="E29" s="147">
        <v>0</v>
      </c>
      <c r="F29" s="147">
        <v>0</v>
      </c>
      <c r="G29" s="147">
        <v>0</v>
      </c>
      <c r="H29" s="147">
        <v>0</v>
      </c>
      <c r="I29" s="147">
        <v>0</v>
      </c>
      <c r="J29" s="147">
        <v>0</v>
      </c>
      <c r="K29" s="147">
        <v>0</v>
      </c>
      <c r="L29" s="147">
        <v>0</v>
      </c>
      <c r="M29" s="147">
        <v>0</v>
      </c>
      <c r="N29" s="147">
        <v>0</v>
      </c>
      <c r="O29" s="18">
        <f t="shared" si="0"/>
        <v>0</v>
      </c>
    </row>
    <row r="30" spans="1:16" ht="15" hidden="1" customHeight="1" x14ac:dyDescent="0.2">
      <c r="A30" s="879"/>
      <c r="B30" s="19" t="s">
        <v>140</v>
      </c>
      <c r="C30" s="147">
        <v>0</v>
      </c>
      <c r="D30" s="147">
        <v>0</v>
      </c>
      <c r="E30" s="147">
        <v>0</v>
      </c>
      <c r="F30" s="147">
        <v>0</v>
      </c>
      <c r="G30" s="147">
        <v>0</v>
      </c>
      <c r="H30" s="147">
        <v>0</v>
      </c>
      <c r="I30" s="147">
        <v>0</v>
      </c>
      <c r="J30" s="147">
        <v>0</v>
      </c>
      <c r="K30" s="147">
        <v>0</v>
      </c>
      <c r="L30" s="147">
        <v>0</v>
      </c>
      <c r="M30" s="147">
        <v>0</v>
      </c>
      <c r="N30" s="147">
        <v>0</v>
      </c>
      <c r="O30" s="18">
        <f t="shared" si="0"/>
        <v>0</v>
      </c>
    </row>
    <row r="31" spans="1:16" ht="15" customHeight="1" x14ac:dyDescent="0.2">
      <c r="A31" s="879"/>
      <c r="B31" s="19" t="s">
        <v>1170</v>
      </c>
      <c r="C31" s="410">
        <v>0</v>
      </c>
      <c r="D31" s="410">
        <v>0</v>
      </c>
      <c r="E31" s="410">
        <v>0</v>
      </c>
      <c r="F31" s="410">
        <v>0</v>
      </c>
      <c r="G31" s="410">
        <v>0</v>
      </c>
      <c r="H31" s="410">
        <v>0</v>
      </c>
      <c r="I31" s="410">
        <v>0</v>
      </c>
      <c r="J31" s="410">
        <v>0</v>
      </c>
      <c r="K31" s="410">
        <v>0</v>
      </c>
      <c r="L31" s="410">
        <v>0</v>
      </c>
      <c r="M31" s="410">
        <v>0</v>
      </c>
      <c r="N31" s="410">
        <v>0</v>
      </c>
      <c r="O31" s="411">
        <f t="shared" si="0"/>
        <v>0</v>
      </c>
      <c r="P31" s="1"/>
    </row>
    <row r="32" spans="1:16" ht="15" customHeight="1" x14ac:dyDescent="0.2">
      <c r="A32" s="879"/>
      <c r="B32" s="21" t="s">
        <v>252</v>
      </c>
      <c r="C32" s="28">
        <v>0</v>
      </c>
      <c r="D32" s="28">
        <v>0</v>
      </c>
      <c r="E32" s="28">
        <v>0</v>
      </c>
      <c r="F32" s="28">
        <v>0</v>
      </c>
      <c r="G32" s="28">
        <v>0</v>
      </c>
      <c r="H32" s="28">
        <v>0</v>
      </c>
      <c r="I32" s="28">
        <v>0</v>
      </c>
      <c r="J32" s="28">
        <v>0</v>
      </c>
      <c r="K32" s="28">
        <v>36951</v>
      </c>
      <c r="L32" s="28">
        <v>0</v>
      </c>
      <c r="M32" s="28">
        <v>0</v>
      </c>
      <c r="N32" s="28">
        <v>0</v>
      </c>
      <c r="O32" s="18">
        <f t="shared" si="0"/>
        <v>36951</v>
      </c>
    </row>
    <row r="33" spans="1:17" ht="15" hidden="1" customHeight="1" x14ac:dyDescent="0.2">
      <c r="A33" s="880"/>
      <c r="B33" s="19" t="s">
        <v>226</v>
      </c>
      <c r="C33" s="28">
        <v>0</v>
      </c>
      <c r="D33" s="28">
        <v>0</v>
      </c>
      <c r="E33" s="28">
        <v>0</v>
      </c>
      <c r="F33" s="28">
        <v>0</v>
      </c>
      <c r="G33" s="28">
        <v>0</v>
      </c>
      <c r="H33" s="28">
        <v>0</v>
      </c>
      <c r="I33" s="28">
        <v>0</v>
      </c>
      <c r="J33" s="28">
        <v>0</v>
      </c>
      <c r="K33" s="28">
        <v>0</v>
      </c>
      <c r="L33" s="28">
        <v>0</v>
      </c>
      <c r="M33" s="28">
        <v>0</v>
      </c>
      <c r="N33" s="28">
        <v>0</v>
      </c>
      <c r="O33" s="18">
        <f t="shared" si="0"/>
        <v>0</v>
      </c>
    </row>
    <row r="34" spans="1:17" ht="15" customHeight="1" x14ac:dyDescent="0.2">
      <c r="A34" s="865" t="s">
        <v>143</v>
      </c>
      <c r="B34" s="866"/>
      <c r="C34" s="28">
        <v>0</v>
      </c>
      <c r="D34" s="28">
        <v>0</v>
      </c>
      <c r="E34" s="28">
        <v>0</v>
      </c>
      <c r="F34" s="28">
        <v>0</v>
      </c>
      <c r="G34" s="28">
        <v>0</v>
      </c>
      <c r="H34" s="28">
        <v>0</v>
      </c>
      <c r="I34" s="28">
        <v>0</v>
      </c>
      <c r="J34" s="28">
        <v>0</v>
      </c>
      <c r="K34" s="28">
        <v>0</v>
      </c>
      <c r="L34" s="28">
        <v>0</v>
      </c>
      <c r="M34" s="28">
        <v>0</v>
      </c>
      <c r="N34" s="28">
        <v>0</v>
      </c>
      <c r="O34" s="18">
        <f t="shared" si="0"/>
        <v>0</v>
      </c>
    </row>
    <row r="35" spans="1:17" ht="15" customHeight="1" x14ac:dyDescent="0.2">
      <c r="A35" s="865" t="s">
        <v>145</v>
      </c>
      <c r="B35" s="866"/>
      <c r="C35" s="28">
        <v>432</v>
      </c>
      <c r="D35" s="28">
        <v>0</v>
      </c>
      <c r="E35" s="28">
        <v>0</v>
      </c>
      <c r="F35" s="28">
        <v>0</v>
      </c>
      <c r="G35" s="28">
        <v>0</v>
      </c>
      <c r="H35" s="28">
        <v>144</v>
      </c>
      <c r="I35" s="28">
        <v>0</v>
      </c>
      <c r="J35" s="28">
        <v>0</v>
      </c>
      <c r="K35" s="28">
        <v>0</v>
      </c>
      <c r="L35" s="28">
        <v>0</v>
      </c>
      <c r="M35" s="28">
        <v>0</v>
      </c>
      <c r="N35" s="28">
        <v>0</v>
      </c>
      <c r="O35" s="18">
        <f t="shared" si="0"/>
        <v>576</v>
      </c>
    </row>
    <row r="36" spans="1:17" ht="15" customHeight="1" x14ac:dyDescent="0.2">
      <c r="A36" s="865" t="s">
        <v>146</v>
      </c>
      <c r="B36" s="866"/>
      <c r="C36" s="28">
        <v>5922</v>
      </c>
      <c r="D36" s="28">
        <v>0</v>
      </c>
      <c r="E36" s="28">
        <v>0</v>
      </c>
      <c r="F36" s="28">
        <v>0</v>
      </c>
      <c r="G36" s="28">
        <v>0</v>
      </c>
      <c r="H36" s="28">
        <v>4068</v>
      </c>
      <c r="I36" s="28">
        <v>0</v>
      </c>
      <c r="J36" s="28">
        <v>0</v>
      </c>
      <c r="K36" s="28">
        <v>0</v>
      </c>
      <c r="L36" s="28">
        <v>0</v>
      </c>
      <c r="M36" s="28">
        <v>0</v>
      </c>
      <c r="N36" s="28">
        <v>0</v>
      </c>
      <c r="O36" s="18">
        <f t="shared" si="0"/>
        <v>9990</v>
      </c>
    </row>
    <row r="37" spans="1:17" ht="15" customHeight="1" x14ac:dyDescent="0.2">
      <c r="A37" s="22"/>
      <c r="B37" s="23" t="s">
        <v>147</v>
      </c>
      <c r="C37" s="24">
        <f t="shared" ref="C37:N37" si="3">SUM(C9:C36)</f>
        <v>141237</v>
      </c>
      <c r="D37" s="24">
        <f t="shared" si="3"/>
        <v>137001</v>
      </c>
      <c r="E37" s="24">
        <f t="shared" si="3"/>
        <v>137001</v>
      </c>
      <c r="F37" s="24">
        <f t="shared" si="3"/>
        <v>137001</v>
      </c>
      <c r="G37" s="24">
        <f t="shared" si="3"/>
        <v>140931</v>
      </c>
      <c r="H37" s="24">
        <f t="shared" si="3"/>
        <v>145143</v>
      </c>
      <c r="I37" s="24">
        <f t="shared" si="3"/>
        <v>147839</v>
      </c>
      <c r="J37" s="24">
        <f t="shared" si="3"/>
        <v>143109</v>
      </c>
      <c r="K37" s="24">
        <f t="shared" si="3"/>
        <v>180060</v>
      </c>
      <c r="L37" s="24">
        <f t="shared" si="3"/>
        <v>143109</v>
      </c>
      <c r="M37" s="24">
        <f t="shared" si="3"/>
        <v>143109</v>
      </c>
      <c r="N37" s="24">
        <f t="shared" si="3"/>
        <v>143109</v>
      </c>
      <c r="O37" s="25">
        <f t="shared" si="0"/>
        <v>1738649</v>
      </c>
    </row>
    <row r="38" spans="1:17" ht="15" customHeight="1" x14ac:dyDescent="0.2">
      <c r="A38" s="853" t="s">
        <v>148</v>
      </c>
      <c r="B38" s="27" t="s">
        <v>149</v>
      </c>
      <c r="C38" s="28">
        <v>0</v>
      </c>
      <c r="D38" s="28">
        <v>20000</v>
      </c>
      <c r="E38" s="28">
        <v>20000</v>
      </c>
      <c r="F38" s="28">
        <v>20000</v>
      </c>
      <c r="G38" s="28">
        <v>20000</v>
      </c>
      <c r="H38" s="28">
        <v>20000</v>
      </c>
      <c r="I38" s="28">
        <v>20000</v>
      </c>
      <c r="J38" s="28">
        <v>20000</v>
      </c>
      <c r="K38" s="28">
        <v>32460</v>
      </c>
      <c r="L38" s="28">
        <v>32500</v>
      </c>
      <c r="M38" s="28">
        <v>37845</v>
      </c>
      <c r="N38" s="28">
        <v>37845</v>
      </c>
      <c r="O38" s="18">
        <f t="shared" si="0"/>
        <v>280650</v>
      </c>
      <c r="P38" s="29"/>
    </row>
    <row r="39" spans="1:17" ht="15" x14ac:dyDescent="0.2">
      <c r="A39" s="854"/>
      <c r="B39" s="27" t="s">
        <v>150</v>
      </c>
      <c r="C39" s="28">
        <v>0</v>
      </c>
      <c r="D39" s="28">
        <v>0</v>
      </c>
      <c r="E39" s="28">
        <v>0</v>
      </c>
      <c r="F39" s="28">
        <v>0</v>
      </c>
      <c r="G39" s="28">
        <v>0</v>
      </c>
      <c r="H39" s="28">
        <v>0</v>
      </c>
      <c r="I39" s="28">
        <v>0</v>
      </c>
      <c r="J39" s="28">
        <v>0</v>
      </c>
      <c r="K39" s="28">
        <v>0</v>
      </c>
      <c r="L39" s="28">
        <v>0</v>
      </c>
      <c r="M39" s="28">
        <v>0</v>
      </c>
      <c r="N39" s="28">
        <v>0</v>
      </c>
      <c r="O39" s="18">
        <f t="shared" si="0"/>
        <v>0</v>
      </c>
      <c r="Q39" s="16">
        <f>+Q37+Q38</f>
        <v>0</v>
      </c>
    </row>
    <row r="40" spans="1:17" ht="15" customHeight="1" x14ac:dyDescent="0.2">
      <c r="A40" s="854"/>
      <c r="B40" s="27" t="s">
        <v>151</v>
      </c>
      <c r="C40" s="28">
        <v>60</v>
      </c>
      <c r="D40" s="28">
        <v>60</v>
      </c>
      <c r="E40" s="28">
        <v>60</v>
      </c>
      <c r="F40" s="28">
        <v>60</v>
      </c>
      <c r="G40" s="28">
        <v>60</v>
      </c>
      <c r="H40" s="28">
        <v>60</v>
      </c>
      <c r="I40" s="28">
        <v>60</v>
      </c>
      <c r="J40" s="28">
        <v>60</v>
      </c>
      <c r="K40" s="28">
        <v>60</v>
      </c>
      <c r="L40" s="28">
        <v>60</v>
      </c>
      <c r="M40" s="28">
        <v>60</v>
      </c>
      <c r="N40" s="28">
        <v>60</v>
      </c>
      <c r="O40" s="18">
        <f t="shared" si="0"/>
        <v>720</v>
      </c>
    </row>
    <row r="41" spans="1:17" ht="15" x14ac:dyDescent="0.2">
      <c r="A41" s="854"/>
      <c r="B41" s="27" t="s">
        <v>152</v>
      </c>
      <c r="C41" s="28">
        <v>0</v>
      </c>
      <c r="D41" s="28">
        <v>0</v>
      </c>
      <c r="E41" s="28">
        <v>0</v>
      </c>
      <c r="F41" s="28">
        <v>0</v>
      </c>
      <c r="G41" s="28">
        <v>0</v>
      </c>
      <c r="H41" s="28">
        <v>0</v>
      </c>
      <c r="I41" s="28">
        <v>0</v>
      </c>
      <c r="J41" s="28">
        <v>0</v>
      </c>
      <c r="K41" s="28">
        <v>0</v>
      </c>
      <c r="L41" s="28">
        <v>0</v>
      </c>
      <c r="M41" s="28">
        <v>0</v>
      </c>
      <c r="N41" s="28">
        <v>0</v>
      </c>
      <c r="O41" s="18">
        <f t="shared" si="0"/>
        <v>0</v>
      </c>
    </row>
    <row r="42" spans="1:17" ht="15" x14ac:dyDescent="0.2">
      <c r="A42" s="854"/>
      <c r="B42" s="27" t="s">
        <v>153</v>
      </c>
      <c r="C42" s="28">
        <v>650</v>
      </c>
      <c r="D42" s="28">
        <v>650</v>
      </c>
      <c r="E42" s="28">
        <v>650</v>
      </c>
      <c r="F42" s="28">
        <v>650</v>
      </c>
      <c r="G42" s="28">
        <v>650</v>
      </c>
      <c r="H42" s="28">
        <v>650</v>
      </c>
      <c r="I42" s="28">
        <v>650</v>
      </c>
      <c r="J42" s="28">
        <v>650</v>
      </c>
      <c r="K42" s="28">
        <v>650</v>
      </c>
      <c r="L42" s="28">
        <v>650</v>
      </c>
      <c r="M42" s="28">
        <v>650</v>
      </c>
      <c r="N42" s="28">
        <v>650</v>
      </c>
      <c r="O42" s="18">
        <f t="shared" si="0"/>
        <v>7800</v>
      </c>
    </row>
    <row r="43" spans="1:17" ht="15" x14ac:dyDescent="0.2">
      <c r="A43" s="854"/>
      <c r="B43" s="27" t="s">
        <v>154</v>
      </c>
      <c r="C43" s="28">
        <v>8000</v>
      </c>
      <c r="D43" s="28">
        <v>8000</v>
      </c>
      <c r="E43" s="28">
        <v>8000</v>
      </c>
      <c r="F43" s="28">
        <v>8000</v>
      </c>
      <c r="G43" s="28">
        <v>8000</v>
      </c>
      <c r="H43" s="28">
        <v>8000</v>
      </c>
      <c r="I43" s="28">
        <v>8000</v>
      </c>
      <c r="J43" s="28">
        <v>8000</v>
      </c>
      <c r="K43" s="28">
        <v>8000</v>
      </c>
      <c r="L43" s="28">
        <v>8000</v>
      </c>
      <c r="M43" s="28">
        <v>8000</v>
      </c>
      <c r="N43" s="28">
        <v>8000</v>
      </c>
      <c r="O43" s="18">
        <f t="shared" si="0"/>
        <v>96000</v>
      </c>
      <c r="P43" s="170"/>
    </row>
    <row r="44" spans="1:17" ht="15" customHeight="1" x14ac:dyDescent="0.2">
      <c r="A44" s="854"/>
      <c r="B44" s="27" t="s">
        <v>155</v>
      </c>
      <c r="C44" s="28">
        <v>200</v>
      </c>
      <c r="D44" s="28">
        <v>200</v>
      </c>
      <c r="E44" s="28">
        <v>200</v>
      </c>
      <c r="F44" s="28">
        <v>200</v>
      </c>
      <c r="G44" s="28">
        <v>200</v>
      </c>
      <c r="H44" s="28">
        <v>200</v>
      </c>
      <c r="I44" s="28">
        <v>200</v>
      </c>
      <c r="J44" s="28">
        <v>200</v>
      </c>
      <c r="K44" s="28">
        <v>200</v>
      </c>
      <c r="L44" s="28">
        <v>200</v>
      </c>
      <c r="M44" s="28">
        <v>200</v>
      </c>
      <c r="N44" s="28">
        <v>300</v>
      </c>
      <c r="O44" s="18">
        <f t="shared" si="0"/>
        <v>2500</v>
      </c>
    </row>
    <row r="45" spans="1:17" ht="15" x14ac:dyDescent="0.2">
      <c r="A45" s="854"/>
      <c r="B45" s="27" t="s">
        <v>156</v>
      </c>
      <c r="C45" s="28">
        <v>0</v>
      </c>
      <c r="D45" s="28">
        <v>0</v>
      </c>
      <c r="E45" s="28">
        <v>0</v>
      </c>
      <c r="F45" s="28">
        <v>0</v>
      </c>
      <c r="G45" s="28">
        <v>0</v>
      </c>
      <c r="H45" s="28">
        <v>0</v>
      </c>
      <c r="I45" s="28">
        <v>0</v>
      </c>
      <c r="J45" s="28">
        <v>0</v>
      </c>
      <c r="K45" s="28">
        <v>0</v>
      </c>
      <c r="L45" s="28">
        <v>0</v>
      </c>
      <c r="M45" s="28">
        <v>0</v>
      </c>
      <c r="N45" s="28">
        <v>0</v>
      </c>
      <c r="O45" s="18">
        <f t="shared" si="0"/>
        <v>0</v>
      </c>
    </row>
    <row r="46" spans="1:17" ht="15" customHeight="1" x14ac:dyDescent="0.2">
      <c r="A46" s="854"/>
      <c r="B46" s="27" t="s">
        <v>157</v>
      </c>
      <c r="C46" s="28">
        <v>0</v>
      </c>
      <c r="D46" s="28">
        <v>0</v>
      </c>
      <c r="E46" s="28">
        <v>0</v>
      </c>
      <c r="F46" s="28">
        <v>0</v>
      </c>
      <c r="G46" s="28">
        <v>0</v>
      </c>
      <c r="H46" s="28">
        <v>0</v>
      </c>
      <c r="I46" s="28">
        <v>0</v>
      </c>
      <c r="J46" s="28">
        <v>0</v>
      </c>
      <c r="K46" s="28">
        <v>0</v>
      </c>
      <c r="L46" s="28">
        <v>0</v>
      </c>
      <c r="M46" s="28">
        <v>0</v>
      </c>
      <c r="N46" s="28">
        <v>0</v>
      </c>
      <c r="O46" s="18">
        <f t="shared" si="0"/>
        <v>0</v>
      </c>
    </row>
    <row r="47" spans="1:17" ht="28.5" customHeight="1" x14ac:dyDescent="0.2">
      <c r="A47" s="854"/>
      <c r="B47" s="30" t="s">
        <v>158</v>
      </c>
      <c r="C47" s="28">
        <v>0</v>
      </c>
      <c r="D47" s="28">
        <v>0</v>
      </c>
      <c r="E47" s="28">
        <v>0</v>
      </c>
      <c r="F47" s="28">
        <v>0</v>
      </c>
      <c r="G47" s="28">
        <v>0</v>
      </c>
      <c r="H47" s="28">
        <v>0</v>
      </c>
      <c r="I47" s="28">
        <v>0</v>
      </c>
      <c r="J47" s="28">
        <v>0</v>
      </c>
      <c r="K47" s="28">
        <v>0</v>
      </c>
      <c r="L47" s="28">
        <v>0</v>
      </c>
      <c r="M47" s="28">
        <v>0</v>
      </c>
      <c r="N47" s="28">
        <v>0</v>
      </c>
      <c r="O47" s="31">
        <f t="shared" si="0"/>
        <v>0</v>
      </c>
    </row>
    <row r="48" spans="1:17" ht="15" customHeight="1" x14ac:dyDescent="0.2">
      <c r="A48" s="1065"/>
      <c r="B48" s="127" t="s">
        <v>434</v>
      </c>
      <c r="C48" s="28">
        <v>0</v>
      </c>
      <c r="D48" s="28">
        <v>0</v>
      </c>
      <c r="E48" s="28">
        <v>0</v>
      </c>
      <c r="F48" s="28">
        <v>0</v>
      </c>
      <c r="G48" s="28">
        <v>0</v>
      </c>
      <c r="H48" s="28">
        <v>0</v>
      </c>
      <c r="I48" s="28">
        <v>0</v>
      </c>
      <c r="J48" s="28">
        <v>0</v>
      </c>
      <c r="K48" s="28">
        <v>0</v>
      </c>
      <c r="L48" s="28">
        <v>0</v>
      </c>
      <c r="M48" s="28">
        <v>0</v>
      </c>
      <c r="N48" s="28">
        <v>0</v>
      </c>
      <c r="O48" s="31">
        <f t="shared" si="0"/>
        <v>0</v>
      </c>
    </row>
    <row r="49" spans="1:18" ht="15" x14ac:dyDescent="0.2">
      <c r="A49" s="857" t="s">
        <v>160</v>
      </c>
      <c r="B49" s="1202"/>
      <c r="C49" s="33">
        <f t="shared" ref="C49:N49" si="4">SUM(C38:C48)</f>
        <v>8910</v>
      </c>
      <c r="D49" s="33">
        <f t="shared" si="4"/>
        <v>28910</v>
      </c>
      <c r="E49" s="33">
        <f t="shared" si="4"/>
        <v>28910</v>
      </c>
      <c r="F49" s="33">
        <f t="shared" si="4"/>
        <v>28910</v>
      </c>
      <c r="G49" s="33">
        <f t="shared" si="4"/>
        <v>28910</v>
      </c>
      <c r="H49" s="33">
        <f t="shared" si="4"/>
        <v>28910</v>
      </c>
      <c r="I49" s="33">
        <f t="shared" si="4"/>
        <v>28910</v>
      </c>
      <c r="J49" s="33">
        <f t="shared" si="4"/>
        <v>28910</v>
      </c>
      <c r="K49" s="33">
        <f t="shared" si="4"/>
        <v>41370</v>
      </c>
      <c r="L49" s="33">
        <f t="shared" si="4"/>
        <v>41410</v>
      </c>
      <c r="M49" s="33">
        <f t="shared" si="4"/>
        <v>46755</v>
      </c>
      <c r="N49" s="33">
        <f t="shared" si="4"/>
        <v>46855</v>
      </c>
      <c r="O49" s="34">
        <f t="shared" si="0"/>
        <v>387670</v>
      </c>
    </row>
    <row r="50" spans="1:18" ht="15.75" thickBot="1" x14ac:dyDescent="0.25">
      <c r="A50" s="859" t="s">
        <v>161</v>
      </c>
      <c r="B50" s="1203"/>
      <c r="C50" s="35">
        <f t="shared" ref="C50:N50" si="5">C37-C49</f>
        <v>132327</v>
      </c>
      <c r="D50" s="35">
        <f t="shared" si="5"/>
        <v>108091</v>
      </c>
      <c r="E50" s="35">
        <f t="shared" si="5"/>
        <v>108091</v>
      </c>
      <c r="F50" s="35">
        <f t="shared" si="5"/>
        <v>108091</v>
      </c>
      <c r="G50" s="35">
        <f t="shared" si="5"/>
        <v>112021</v>
      </c>
      <c r="H50" s="35">
        <f t="shared" si="5"/>
        <v>116233</v>
      </c>
      <c r="I50" s="35">
        <f t="shared" si="5"/>
        <v>118929</v>
      </c>
      <c r="J50" s="35">
        <f t="shared" si="5"/>
        <v>114199</v>
      </c>
      <c r="K50" s="35">
        <f t="shared" si="5"/>
        <v>138690</v>
      </c>
      <c r="L50" s="35">
        <f t="shared" si="5"/>
        <v>101699</v>
      </c>
      <c r="M50" s="35">
        <f t="shared" si="5"/>
        <v>96354</v>
      </c>
      <c r="N50" s="35">
        <f t="shared" si="5"/>
        <v>96254</v>
      </c>
      <c r="O50" s="36">
        <f t="shared" si="0"/>
        <v>1350979</v>
      </c>
    </row>
    <row r="51" spans="1:18" x14ac:dyDescent="0.2">
      <c r="C51" s="38"/>
      <c r="D51" s="38"/>
      <c r="E51" s="38"/>
      <c r="F51" s="38"/>
      <c r="G51" s="38"/>
      <c r="H51" s="38"/>
      <c r="I51" s="38"/>
      <c r="J51" s="409">
        <f>+J37-SUM(J22:J36)</f>
        <v>143109</v>
      </c>
      <c r="K51" s="38"/>
      <c r="L51" s="38"/>
      <c r="M51" s="38"/>
      <c r="N51" s="38"/>
    </row>
    <row r="52" spans="1:18" ht="13.5" thickBot="1" x14ac:dyDescent="0.25">
      <c r="J52" s="38">
        <f>+J51-J49</f>
        <v>114199</v>
      </c>
      <c r="M52" s="38"/>
      <c r="Q52" s="16">
        <f>+Q50+Q51</f>
        <v>0</v>
      </c>
    </row>
    <row r="53" spans="1:18" ht="13.5" thickBot="1" x14ac:dyDescent="0.25">
      <c r="B53" s="789" t="s">
        <v>162</v>
      </c>
      <c r="C53" s="1186"/>
      <c r="D53" s="1186"/>
      <c r="E53" s="1186"/>
      <c r="F53" s="1187"/>
      <c r="G53" s="805">
        <f>O37</f>
        <v>1738649</v>
      </c>
      <c r="H53" s="1192"/>
      <c r="M53" s="38"/>
      <c r="Q53" s="38"/>
    </row>
    <row r="54" spans="1:18" ht="13.5" thickBot="1" x14ac:dyDescent="0.25"/>
    <row r="55" spans="1:18" x14ac:dyDescent="0.2">
      <c r="B55" s="1204" t="s">
        <v>163</v>
      </c>
      <c r="C55" s="1207" t="s">
        <v>164</v>
      </c>
      <c r="D55" s="836" t="s">
        <v>229</v>
      </c>
      <c r="E55" s="837"/>
      <c r="F55" s="838"/>
      <c r="G55" s="836">
        <v>40000</v>
      </c>
      <c r="H55" s="1210"/>
    </row>
    <row r="56" spans="1:18" x14ac:dyDescent="0.2">
      <c r="B56" s="1205"/>
      <c r="C56" s="1208"/>
      <c r="D56" s="841" t="s">
        <v>166</v>
      </c>
      <c r="E56" s="842"/>
      <c r="F56" s="843"/>
      <c r="G56" s="841">
        <f>+O44</f>
        <v>2500</v>
      </c>
      <c r="H56" s="1064"/>
      <c r="I56" s="39"/>
      <c r="J56" s="45"/>
      <c r="K56" s="45"/>
      <c r="L56" s="45"/>
      <c r="M56" s="45"/>
      <c r="N56" s="45"/>
      <c r="O56" s="45"/>
    </row>
    <row r="57" spans="1:18" ht="13.5" thickBot="1" x14ac:dyDescent="0.25">
      <c r="B57" s="1206"/>
      <c r="C57" s="1209"/>
      <c r="D57" s="848" t="s">
        <v>266</v>
      </c>
      <c r="E57" s="849"/>
      <c r="F57" s="850"/>
      <c r="G57" s="848">
        <v>0</v>
      </c>
      <c r="H57" s="1193"/>
      <c r="J57" s="47"/>
      <c r="K57" s="47"/>
      <c r="L57" s="47"/>
      <c r="M57" s="47"/>
      <c r="N57" s="47"/>
      <c r="O57" s="47"/>
    </row>
    <row r="58" spans="1:18" ht="13.5" thickBot="1" x14ac:dyDescent="0.25">
      <c r="B58" s="48"/>
      <c r="J58" s="47"/>
      <c r="K58" s="47"/>
      <c r="L58" s="47"/>
      <c r="M58" s="47"/>
      <c r="N58" s="47"/>
      <c r="O58" s="47"/>
    </row>
    <row r="59" spans="1:18" ht="13.5" thickBot="1" x14ac:dyDescent="0.25">
      <c r="B59" s="789" t="s">
        <v>168</v>
      </c>
      <c r="C59" s="1186"/>
      <c r="D59" s="1186"/>
      <c r="E59" s="1186"/>
      <c r="F59" s="1187"/>
      <c r="G59" s="825">
        <f>+G53-SUM(G55:H57)</f>
        <v>1696149</v>
      </c>
      <c r="H59" s="826"/>
      <c r="J59" s="1199" t="s">
        <v>169</v>
      </c>
      <c r="K59" s="1200"/>
      <c r="L59" s="1200"/>
      <c r="M59" s="1200"/>
      <c r="N59" s="1200"/>
      <c r="O59" s="1201"/>
    </row>
    <row r="60" spans="1:18" ht="13.5" thickBot="1" x14ac:dyDescent="0.25">
      <c r="B60" s="49"/>
      <c r="C60" s="50"/>
      <c r="D60" s="50"/>
      <c r="E60" s="50"/>
      <c r="F60" s="50"/>
      <c r="G60" s="45"/>
      <c r="H60" s="50"/>
      <c r="J60" s="129"/>
      <c r="K60" s="130"/>
      <c r="L60" s="130"/>
      <c r="M60" s="130"/>
      <c r="N60" s="130"/>
      <c r="O60" s="131"/>
    </row>
    <row r="61" spans="1:18" ht="13.5" thickBot="1" x14ac:dyDescent="0.25">
      <c r="B61" s="789" t="s">
        <v>170</v>
      </c>
      <c r="C61" s="1186"/>
      <c r="D61" s="1186"/>
      <c r="E61" s="1186"/>
      <c r="F61" s="1187"/>
      <c r="G61" s="805"/>
      <c r="H61" s="1192"/>
      <c r="J61" s="129"/>
      <c r="K61" s="130"/>
      <c r="L61" s="130"/>
      <c r="M61" s="130"/>
      <c r="N61" s="130"/>
      <c r="O61" s="131"/>
    </row>
    <row r="62" spans="1:18" ht="12.75" customHeight="1" x14ac:dyDescent="0.2">
      <c r="B62" s="57" t="s">
        <v>171</v>
      </c>
      <c r="C62" s="1194" t="s">
        <v>172</v>
      </c>
      <c r="D62" s="1195"/>
      <c r="E62" s="1195"/>
      <c r="F62" s="1196"/>
      <c r="G62" s="1197">
        <v>6412</v>
      </c>
      <c r="H62" s="1198"/>
      <c r="I62" s="58"/>
      <c r="J62" s="810" t="s">
        <v>173</v>
      </c>
      <c r="K62" s="811"/>
      <c r="L62" s="811"/>
      <c r="M62" s="811"/>
      <c r="N62" s="811"/>
      <c r="O62" s="812"/>
      <c r="Q62" s="59"/>
      <c r="R62" s="59"/>
    </row>
    <row r="63" spans="1:18" ht="13.5" thickBot="1" x14ac:dyDescent="0.25">
      <c r="D63" s="37"/>
      <c r="G63" s="16" t="s">
        <v>1123</v>
      </c>
      <c r="I63" s="58"/>
      <c r="J63" s="60" t="s">
        <v>1171</v>
      </c>
      <c r="K63" s="61"/>
      <c r="L63" s="61"/>
      <c r="M63" s="61"/>
      <c r="N63" s="61"/>
      <c r="O63" s="62"/>
      <c r="Q63" s="59"/>
      <c r="R63" s="59"/>
    </row>
    <row r="64" spans="1:18" ht="13.5" thickBot="1" x14ac:dyDescent="0.25">
      <c r="B64" s="789" t="s">
        <v>175</v>
      </c>
      <c r="C64" s="1186"/>
      <c r="D64" s="1186"/>
      <c r="E64" s="1186"/>
      <c r="F64" s="1187"/>
      <c r="G64" s="805">
        <f>+G59-G62</f>
        <v>1689737</v>
      </c>
      <c r="H64" s="1192"/>
      <c r="I64" s="63"/>
      <c r="J64" s="75" t="s">
        <v>1172</v>
      </c>
      <c r="K64" s="39"/>
      <c r="L64" s="39"/>
      <c r="M64" s="39"/>
      <c r="N64" s="39"/>
      <c r="O64" s="65"/>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6.25" customHeight="1" thickBot="1" x14ac:dyDescent="0.25">
      <c r="B67" s="66"/>
      <c r="C67" s="48"/>
      <c r="G67" s="70" t="s">
        <v>177</v>
      </c>
      <c r="H67" s="70" t="s">
        <v>178</v>
      </c>
      <c r="I67" s="63"/>
      <c r="J67" s="810" t="s">
        <v>179</v>
      </c>
      <c r="K67" s="811"/>
      <c r="L67" s="71"/>
      <c r="M67" s="71"/>
      <c r="N67" s="71"/>
      <c r="O67" s="72"/>
      <c r="Q67" s="59"/>
      <c r="R67" s="59"/>
    </row>
    <row r="68" spans="2:18" ht="12.75" customHeight="1" x14ac:dyDescent="0.2">
      <c r="B68" s="802" t="s">
        <v>180</v>
      </c>
      <c r="C68" s="821" t="s">
        <v>181</v>
      </c>
      <c r="D68" s="823" t="s">
        <v>182</v>
      </c>
      <c r="E68" s="824"/>
      <c r="F68" s="1191"/>
      <c r="G68" s="73">
        <f>+O43</f>
        <v>96000</v>
      </c>
      <c r="H68" s="74">
        <f t="shared" ref="H68:H76" si="6">+G68</f>
        <v>96000</v>
      </c>
      <c r="I68" s="63"/>
      <c r="J68" s="75" t="s">
        <v>183</v>
      </c>
      <c r="K68" s="58"/>
      <c r="L68" s="58"/>
      <c r="M68" s="135"/>
      <c r="N68" s="135"/>
      <c r="O68" s="76"/>
      <c r="Q68" s="59"/>
      <c r="R68" s="59"/>
    </row>
    <row r="69" spans="2:18" ht="12.75" customHeight="1" x14ac:dyDescent="0.2">
      <c r="B69" s="803"/>
      <c r="C69" s="822"/>
      <c r="D69" s="782" t="s">
        <v>184</v>
      </c>
      <c r="E69" s="783"/>
      <c r="F69" s="818"/>
      <c r="G69" s="77">
        <v>24254</v>
      </c>
      <c r="H69" s="78">
        <f t="shared" si="6"/>
        <v>24254</v>
      </c>
      <c r="I69" s="63"/>
      <c r="J69" s="181"/>
      <c r="K69" s="135"/>
      <c r="L69" s="135"/>
      <c r="M69" s="135"/>
      <c r="N69" s="135"/>
      <c r="O69" s="136"/>
      <c r="Q69" s="59"/>
      <c r="R69" s="59"/>
    </row>
    <row r="70" spans="2:18" ht="12.75" customHeight="1" x14ac:dyDescent="0.2">
      <c r="B70" s="803"/>
      <c r="C70" s="822"/>
      <c r="D70" s="782" t="s">
        <v>185</v>
      </c>
      <c r="E70" s="783"/>
      <c r="F70" s="818"/>
      <c r="G70" s="80">
        <f>O40</f>
        <v>720</v>
      </c>
      <c r="H70" s="78">
        <f t="shared" si="6"/>
        <v>720</v>
      </c>
      <c r="I70" s="63"/>
      <c r="J70" s="181"/>
      <c r="K70" s="182"/>
      <c r="L70" s="135"/>
      <c r="M70" s="135"/>
      <c r="N70" s="135"/>
      <c r="O70" s="136"/>
    </row>
    <row r="71" spans="2:18" x14ac:dyDescent="0.2">
      <c r="B71" s="803"/>
      <c r="C71" s="822"/>
      <c r="D71" s="782" t="s">
        <v>186</v>
      </c>
      <c r="E71" s="783"/>
      <c r="F71" s="818"/>
      <c r="G71" s="81">
        <v>0</v>
      </c>
      <c r="H71" s="78">
        <f t="shared" si="6"/>
        <v>0</v>
      </c>
      <c r="I71" s="63"/>
      <c r="J71" s="181"/>
      <c r="K71" s="183"/>
      <c r="L71" s="183"/>
      <c r="M71" s="135"/>
      <c r="N71" s="135"/>
      <c r="O71" s="184"/>
    </row>
    <row r="72" spans="2:18" ht="12.75" customHeight="1" x14ac:dyDescent="0.2">
      <c r="B72" s="803"/>
      <c r="C72" s="822"/>
      <c r="D72" s="784" t="s">
        <v>188</v>
      </c>
      <c r="E72" s="785"/>
      <c r="F72" s="786"/>
      <c r="G72" s="80">
        <v>0</v>
      </c>
      <c r="H72" s="78">
        <f t="shared" si="6"/>
        <v>0</v>
      </c>
      <c r="I72" s="63"/>
      <c r="J72" s="181"/>
      <c r="K72" s="183"/>
      <c r="L72" s="183"/>
      <c r="M72" s="135"/>
      <c r="N72" s="135"/>
      <c r="O72" s="184"/>
    </row>
    <row r="73" spans="2:18" ht="14.25" customHeight="1" x14ac:dyDescent="0.2">
      <c r="B73" s="803"/>
      <c r="C73" s="822"/>
      <c r="D73" s="782" t="s">
        <v>190</v>
      </c>
      <c r="E73" s="783"/>
      <c r="F73" s="818"/>
      <c r="G73" s="84">
        <v>0</v>
      </c>
      <c r="H73" s="78">
        <f t="shared" si="6"/>
        <v>0</v>
      </c>
      <c r="I73" s="63"/>
      <c r="J73" s="181"/>
      <c r="K73" s="183"/>
      <c r="L73" s="183"/>
      <c r="M73" s="183"/>
      <c r="N73" s="183"/>
      <c r="O73" s="184"/>
    </row>
    <row r="74" spans="2:18" x14ac:dyDescent="0.2">
      <c r="B74" s="803"/>
      <c r="C74" s="1190"/>
      <c r="D74" s="782" t="s">
        <v>191</v>
      </c>
      <c r="E74" s="783"/>
      <c r="F74" s="818"/>
      <c r="G74" s="81">
        <v>70961</v>
      </c>
      <c r="H74" s="78">
        <f t="shared" si="6"/>
        <v>70961</v>
      </c>
      <c r="I74" s="58"/>
      <c r="J74" s="150"/>
      <c r="K74" s="50"/>
      <c r="L74" s="50"/>
      <c r="M74" s="50"/>
      <c r="N74" s="50"/>
      <c r="O74" s="83"/>
    </row>
    <row r="75" spans="2:18" x14ac:dyDescent="0.2">
      <c r="B75" s="803"/>
      <c r="C75" s="88" t="s">
        <v>192</v>
      </c>
      <c r="D75" s="784" t="s">
        <v>193</v>
      </c>
      <c r="E75" s="785"/>
      <c r="F75" s="786"/>
      <c r="G75" s="80">
        <v>0</v>
      </c>
      <c r="H75" s="78">
        <f t="shared" si="6"/>
        <v>0</v>
      </c>
      <c r="I75" s="58"/>
      <c r="J75" s="82" t="s">
        <v>187</v>
      </c>
      <c r="K75" s="71"/>
      <c r="L75" s="71"/>
      <c r="M75" s="71"/>
      <c r="N75" s="71"/>
      <c r="O75" s="72"/>
    </row>
    <row r="76" spans="2:18" ht="13.5" customHeight="1" thickBot="1" x14ac:dyDescent="0.25">
      <c r="B76" s="803"/>
      <c r="C76" s="88" t="s">
        <v>194</v>
      </c>
      <c r="D76" s="782" t="s">
        <v>195</v>
      </c>
      <c r="E76" s="783"/>
      <c r="F76" s="818"/>
      <c r="G76" s="89">
        <v>0</v>
      </c>
      <c r="H76" s="90">
        <f t="shared" si="6"/>
        <v>0</v>
      </c>
      <c r="I76" s="63"/>
      <c r="J76" s="75" t="s">
        <v>189</v>
      </c>
      <c r="K76" s="50"/>
      <c r="L76" s="50"/>
      <c r="M76" s="50"/>
      <c r="N76" s="50"/>
      <c r="O76" s="83">
        <f>O42</f>
        <v>7800</v>
      </c>
    </row>
    <row r="77" spans="2:18" ht="13.5" thickBot="1" x14ac:dyDescent="0.25">
      <c r="B77" s="803"/>
      <c r="C77" s="93"/>
      <c r="D77" s="94"/>
      <c r="E77" s="816" t="s">
        <v>117</v>
      </c>
      <c r="F77" s="817"/>
      <c r="G77" s="95">
        <f>SUM(G68:G76)</f>
        <v>191935</v>
      </c>
      <c r="H77" s="96">
        <f>IF(SUM(G68:G74)&lt;150000,SUM(G68:G74),150000)+IF(+G75&lt;20000,+G75,20000)</f>
        <v>150000</v>
      </c>
      <c r="I77" s="63"/>
      <c r="J77" s="140"/>
      <c r="K77" s="141"/>
      <c r="L77" s="141"/>
      <c r="M77" s="142"/>
      <c r="N77" s="142"/>
      <c r="O77" s="143"/>
    </row>
    <row r="78" spans="2:18" ht="12.75" customHeight="1" x14ac:dyDescent="0.2">
      <c r="B78" s="803"/>
      <c r="C78" s="100" t="s">
        <v>196</v>
      </c>
      <c r="D78" s="782" t="s">
        <v>187</v>
      </c>
      <c r="E78" s="783"/>
      <c r="F78" s="818"/>
      <c r="G78" s="73">
        <v>15234</v>
      </c>
      <c r="H78" s="101">
        <f>+IF(+G78&lt;25000,+G78,25000)</f>
        <v>15234</v>
      </c>
      <c r="I78" s="87"/>
    </row>
    <row r="79" spans="2:18" ht="15" customHeight="1" x14ac:dyDescent="0.2">
      <c r="B79" s="803"/>
      <c r="C79" s="100" t="s">
        <v>197</v>
      </c>
      <c r="D79" s="784" t="s">
        <v>198</v>
      </c>
      <c r="E79" s="785"/>
      <c r="F79" s="786"/>
      <c r="G79" s="102"/>
      <c r="H79" s="103">
        <f>+IF(+G79&lt;40000,+G79,40000)</f>
        <v>0</v>
      </c>
      <c r="I79" s="63"/>
    </row>
    <row r="80" spans="2:18" ht="15" x14ac:dyDescent="0.25">
      <c r="B80" s="803"/>
      <c r="C80" s="100" t="s">
        <v>199</v>
      </c>
      <c r="D80" s="784" t="s">
        <v>200</v>
      </c>
      <c r="E80" s="785"/>
      <c r="F80" s="786"/>
      <c r="G80" s="81"/>
      <c r="H80" s="104">
        <v>0</v>
      </c>
      <c r="I80" s="63"/>
      <c r="J80" s="264"/>
      <c r="K80" s="264"/>
      <c r="L80" s="264"/>
    </row>
    <row r="81" spans="2:20" x14ac:dyDescent="0.2">
      <c r="B81" s="803"/>
      <c r="C81" s="100" t="s">
        <v>201</v>
      </c>
      <c r="D81" s="784" t="s">
        <v>202</v>
      </c>
      <c r="E81" s="785"/>
      <c r="F81" s="786"/>
      <c r="G81" s="81"/>
      <c r="H81" s="104">
        <v>0</v>
      </c>
      <c r="I81" s="63"/>
    </row>
    <row r="82" spans="2:20" ht="13.5" thickBot="1" x14ac:dyDescent="0.25">
      <c r="B82" s="804"/>
      <c r="C82" s="100" t="s">
        <v>203</v>
      </c>
      <c r="D82" s="784" t="s">
        <v>204</v>
      </c>
      <c r="E82" s="785"/>
      <c r="F82" s="786"/>
      <c r="G82" s="102"/>
      <c r="H82" s="103">
        <f>+IF(+G82&lt;100000,+G82,10000)</f>
        <v>0</v>
      </c>
      <c r="I82" s="63"/>
      <c r="J82" s="106"/>
    </row>
    <row r="83" spans="2:20" ht="13.5" thickBot="1" x14ac:dyDescent="0.25">
      <c r="B83" s="787" t="s">
        <v>205</v>
      </c>
      <c r="C83" s="1184"/>
      <c r="D83" s="1184"/>
      <c r="E83" s="1184"/>
      <c r="F83" s="1185"/>
      <c r="G83" s="107">
        <f>SUM(G78:G82)</f>
        <v>15234</v>
      </c>
      <c r="H83" s="108">
        <f>SUM(H77:H82)</f>
        <v>165234</v>
      </c>
    </row>
    <row r="84" spans="2:20" ht="13.5" thickBot="1" x14ac:dyDescent="0.25"/>
    <row r="85" spans="2:20" ht="13.5" thickBot="1" x14ac:dyDescent="0.25">
      <c r="B85" s="789" t="s">
        <v>206</v>
      </c>
      <c r="C85" s="1186"/>
      <c r="D85" s="1186"/>
      <c r="E85" s="1186"/>
      <c r="F85" s="1187"/>
      <c r="G85" s="792">
        <f>+G64-H83</f>
        <v>1524503</v>
      </c>
      <c r="H85" s="791"/>
      <c r="J85" s="105">
        <f>C37+D37+E37+F37</f>
        <v>552240</v>
      </c>
      <c r="K85" s="16" t="s">
        <v>235</v>
      </c>
      <c r="L85" s="87"/>
    </row>
    <row r="86" spans="2:20" x14ac:dyDescent="0.2">
      <c r="B86" s="110"/>
      <c r="F86" s="105"/>
      <c r="J86" s="105">
        <f>G37+H37+I37</f>
        <v>433913</v>
      </c>
      <c r="K86" s="16" t="s">
        <v>236</v>
      </c>
      <c r="L86" s="87"/>
    </row>
    <row r="87" spans="2:20" x14ac:dyDescent="0.2">
      <c r="C87" s="1188" t="s">
        <v>207</v>
      </c>
      <c r="D87" s="1189"/>
      <c r="E87" s="111" t="s">
        <v>208</v>
      </c>
      <c r="F87" s="111" t="s">
        <v>209</v>
      </c>
      <c r="G87" s="111" t="s">
        <v>210</v>
      </c>
      <c r="H87" s="111" t="s">
        <v>211</v>
      </c>
      <c r="J87" s="213">
        <f>J37+K37+L37</f>
        <v>466278</v>
      </c>
      <c r="K87" s="47" t="s">
        <v>237</v>
      </c>
      <c r="L87" s="87"/>
    </row>
    <row r="88" spans="2:20" x14ac:dyDescent="0.2">
      <c r="C88" s="797" t="str">
        <f>IF(I6="M","0          - 250000","0          -  250000")</f>
        <v>0          - 250000</v>
      </c>
      <c r="D88" s="798"/>
      <c r="E88" s="112">
        <v>0</v>
      </c>
      <c r="F88" s="113">
        <f>IF(I6="M",(IF(G85&lt;250000,G85,250000)),(IF(G85&lt;250000,G85,250000)))</f>
        <v>250000</v>
      </c>
      <c r="G88" s="113">
        <f>G85-F88</f>
        <v>1274503</v>
      </c>
      <c r="H88" s="113">
        <f>E88*F88</f>
        <v>0</v>
      </c>
      <c r="J88" s="207">
        <f>M37+N37</f>
        <v>286218</v>
      </c>
      <c r="K88" s="1" t="s">
        <v>238</v>
      </c>
      <c r="L88" s="87"/>
    </row>
    <row r="89" spans="2:20" x14ac:dyDescent="0.2">
      <c r="C89" s="797" t="str">
        <f>IF(I6="M","250001 - 500000","250001-500000")</f>
        <v>250001 - 500000</v>
      </c>
      <c r="D89" s="798"/>
      <c r="E89" s="112">
        <v>0.05</v>
      </c>
      <c r="F89" s="113">
        <f>IF(I6="M",(IF(G88&lt;250000,G88,250000)),(IF(G88&lt;250000,G88,250000)))</f>
        <v>250000</v>
      </c>
      <c r="G89" s="113">
        <f>G88-F89</f>
        <v>1024503</v>
      </c>
      <c r="H89" s="114">
        <f>ROUND(E89*F89,0.1)</f>
        <v>12500</v>
      </c>
      <c r="J89" s="115">
        <f>SUM(J85:J88)</f>
        <v>1738649</v>
      </c>
      <c r="L89" s="87"/>
    </row>
    <row r="90" spans="2:20" x14ac:dyDescent="0.2">
      <c r="C90" s="797" t="s">
        <v>212</v>
      </c>
      <c r="D90" s="798"/>
      <c r="E90" s="112">
        <v>0.2</v>
      </c>
      <c r="F90" s="113">
        <f>IF(G89&lt;500000,G89,500000)</f>
        <v>500000</v>
      </c>
      <c r="G90" s="113">
        <f>G89-F90</f>
        <v>524503</v>
      </c>
      <c r="H90" s="114">
        <f>ROUND(E90*F90,0.1)</f>
        <v>100000</v>
      </c>
      <c r="J90" s="16">
        <f>+G85</f>
        <v>1524503</v>
      </c>
      <c r="L90" s="87"/>
    </row>
    <row r="91" spans="2:20" x14ac:dyDescent="0.2">
      <c r="C91" s="797" t="s">
        <v>213</v>
      </c>
      <c r="D91" s="798"/>
      <c r="E91" s="112">
        <v>0.3</v>
      </c>
      <c r="F91" s="113">
        <f>G90</f>
        <v>524503</v>
      </c>
      <c r="G91" s="113">
        <f>G90-F91</f>
        <v>0</v>
      </c>
      <c r="H91" s="114">
        <f>ROUND(E91*F91,0.1)</f>
        <v>157351</v>
      </c>
      <c r="J91" s="16">
        <f>+J89-J90</f>
        <v>214146</v>
      </c>
      <c r="L91" s="87"/>
    </row>
    <row r="92" spans="2:20" ht="12.75" customHeight="1" thickBot="1" x14ac:dyDescent="0.25">
      <c r="B92" s="116"/>
      <c r="C92" s="117"/>
      <c r="D92" s="47"/>
      <c r="E92" s="47"/>
      <c r="F92" s="47"/>
      <c r="J92" s="87"/>
      <c r="K92" s="118"/>
      <c r="L92" s="87"/>
      <c r="N92" s="109" t="s">
        <v>1173</v>
      </c>
      <c r="O92" s="109"/>
      <c r="P92" s="109"/>
      <c r="Q92" s="109"/>
      <c r="R92" s="109"/>
      <c r="S92" s="109"/>
      <c r="T92" s="109"/>
    </row>
    <row r="93" spans="2:20" ht="13.5" thickBot="1" x14ac:dyDescent="0.25">
      <c r="B93" s="1177" t="s">
        <v>239</v>
      </c>
      <c r="C93" s="1178"/>
      <c r="D93" s="1178"/>
      <c r="E93" s="1178"/>
      <c r="F93" s="1179"/>
      <c r="G93" s="897">
        <f>H88+H89+H90+H91</f>
        <v>269851</v>
      </c>
      <c r="H93" s="898"/>
    </row>
    <row r="94" spans="2:20" ht="13.5" thickBot="1" x14ac:dyDescent="0.25">
      <c r="B94" s="119" t="s">
        <v>215</v>
      </c>
      <c r="C94" s="120"/>
      <c r="D94" s="120"/>
      <c r="E94" s="120"/>
      <c r="F94" s="120"/>
      <c r="G94" s="895">
        <f>IF((G64&lt;500000),5000,0)</f>
        <v>0</v>
      </c>
      <c r="H94" s="896"/>
      <c r="J94" s="1"/>
      <c r="K94" s="121"/>
      <c r="L94" s="121"/>
    </row>
    <row r="95" spans="2:20" ht="13.5" thickBot="1" x14ac:dyDescent="0.25">
      <c r="B95" s="122" t="s">
        <v>216</v>
      </c>
      <c r="C95" s="123"/>
      <c r="D95" s="123"/>
      <c r="E95" s="123"/>
      <c r="F95" s="123"/>
      <c r="G95" s="897">
        <f>IF((G93-G94)&lt;0,0,(G93-G94))</f>
        <v>269851</v>
      </c>
      <c r="H95" s="898"/>
      <c r="I95" s="37"/>
    </row>
    <row r="96" spans="2:20" ht="13.5" thickBot="1" x14ac:dyDescent="0.25">
      <c r="B96" s="1177" t="s">
        <v>240</v>
      </c>
      <c r="C96" s="1178"/>
      <c r="D96" s="1178"/>
      <c r="E96" s="1178"/>
      <c r="F96" s="1179"/>
      <c r="G96" s="1180">
        <f>ROUND((IF(G95&gt;0,(G95*4%),0)),0)</f>
        <v>10794</v>
      </c>
      <c r="H96" s="1181"/>
      <c r="I96" s="37"/>
    </row>
    <row r="97" spans="2:9" ht="13.5" thickBot="1" x14ac:dyDescent="0.25">
      <c r="B97" s="778" t="s">
        <v>218</v>
      </c>
      <c r="C97" s="1182"/>
      <c r="D97" s="1182"/>
      <c r="E97" s="1182"/>
      <c r="F97" s="1183"/>
      <c r="G97" s="901">
        <f>G95+G96</f>
        <v>280645</v>
      </c>
      <c r="H97" s="902"/>
      <c r="I97" s="121"/>
    </row>
    <row r="98" spans="2:9" ht="13.5" thickBot="1" x14ac:dyDescent="0.25">
      <c r="B98" s="765" t="s">
        <v>219</v>
      </c>
      <c r="C98" s="1174"/>
      <c r="D98" s="1174"/>
      <c r="E98" s="1174"/>
      <c r="F98" s="1175"/>
      <c r="G98" s="893">
        <f>O38</f>
        <v>280650</v>
      </c>
      <c r="H98" s="1176"/>
      <c r="I98" s="121"/>
    </row>
    <row r="99" spans="2:9" ht="13.5" thickBot="1" x14ac:dyDescent="0.25">
      <c r="B99" s="765" t="str">
        <f>IF(G99&gt;0,"TAX PAYABLE","TAX REFUND")</f>
        <v>TAX REFUND</v>
      </c>
      <c r="C99" s="1174"/>
      <c r="D99" s="1174"/>
      <c r="E99" s="1174"/>
      <c r="F99" s="1175"/>
      <c r="G99" s="893">
        <f>+G97-G98</f>
        <v>-5</v>
      </c>
      <c r="H99" s="1176"/>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1">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J59:O59"/>
    <mergeCell ref="A38:A48"/>
    <mergeCell ref="A49:B49"/>
    <mergeCell ref="A50:B50"/>
    <mergeCell ref="B53:F53"/>
    <mergeCell ref="G53:H53"/>
    <mergeCell ref="B55:B57"/>
    <mergeCell ref="C55:C57"/>
    <mergeCell ref="D55:F55"/>
    <mergeCell ref="G55:H55"/>
    <mergeCell ref="D56:F56"/>
    <mergeCell ref="B64:F64"/>
    <mergeCell ref="G64:H64"/>
    <mergeCell ref="G56:H56"/>
    <mergeCell ref="D57:F57"/>
    <mergeCell ref="G57:H57"/>
    <mergeCell ref="B59:F59"/>
    <mergeCell ref="G59:H59"/>
    <mergeCell ref="B61:F61"/>
    <mergeCell ref="G61:H61"/>
    <mergeCell ref="C62:F62"/>
    <mergeCell ref="G62:H62"/>
    <mergeCell ref="J62:O62"/>
    <mergeCell ref="D80:F80"/>
    <mergeCell ref="J67:K67"/>
    <mergeCell ref="B68:B82"/>
    <mergeCell ref="C68:C74"/>
    <mergeCell ref="D68:F68"/>
    <mergeCell ref="D69:F69"/>
    <mergeCell ref="D70:F70"/>
    <mergeCell ref="D71:F71"/>
    <mergeCell ref="D72:F72"/>
    <mergeCell ref="D73:F73"/>
    <mergeCell ref="D74:F74"/>
    <mergeCell ref="D75:F75"/>
    <mergeCell ref="D76:F76"/>
    <mergeCell ref="E77:F77"/>
    <mergeCell ref="D78:F78"/>
    <mergeCell ref="D79:F79"/>
    <mergeCell ref="G93:H93"/>
    <mergeCell ref="D81:F81"/>
    <mergeCell ref="D82:F82"/>
    <mergeCell ref="B83:F83"/>
    <mergeCell ref="B85:F85"/>
    <mergeCell ref="G85:H85"/>
    <mergeCell ref="C87:D87"/>
    <mergeCell ref="C88:D88"/>
    <mergeCell ref="C89:D89"/>
    <mergeCell ref="C90:D90"/>
    <mergeCell ref="C91:D91"/>
    <mergeCell ref="B93:F93"/>
    <mergeCell ref="B98:F98"/>
    <mergeCell ref="G98:H98"/>
    <mergeCell ref="B99:F99"/>
    <mergeCell ref="G99:H99"/>
    <mergeCell ref="G94:H94"/>
    <mergeCell ref="G95:H95"/>
    <mergeCell ref="B96:F96"/>
    <mergeCell ref="G96:H96"/>
    <mergeCell ref="B97:F97"/>
    <mergeCell ref="G97:H97"/>
  </mergeCells>
  <conditionalFormatting sqref="C94:F95 B99 B93:B97 B90:C90 E90:F90">
    <cfRule type="cellIs" dxfId="109" priority="1" stopIfTrue="1" operator="equal">
      <formula>"TAX PAYABLE"</formula>
    </cfRule>
    <cfRule type="cellIs" dxfId="108" priority="2" stopIfTrue="1" operator="equal">
      <formula>"TAX REFUND"</formula>
    </cfRule>
  </conditionalFormatting>
  <conditionalFormatting sqref="G90:H90">
    <cfRule type="cellIs" dxfId="107" priority="3" stopIfTrue="1" operator="lessThan">
      <formula>0</formula>
    </cfRule>
    <cfRule type="cellIs" dxfId="106" priority="4" stopIfTrue="1" operator="greaterThan">
      <formula>0</formula>
    </cfRule>
  </conditionalFormatting>
  <conditionalFormatting sqref="G99">
    <cfRule type="cellIs" dxfId="105" priority="5" stopIfTrue="1" operator="greaterThan">
      <formula>0</formula>
    </cfRule>
    <cfRule type="cellIs" dxfId="104" priority="6"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5" right="0.75" top="1" bottom="1" header="0.5" footer="0.5"/>
  <pageSetup scale="66" orientation="portrait" verticalDpi="0" r:id="rId1"/>
  <headerFooter alignWithMargins="0"/>
  <rowBreaks count="1" manualBreakCount="1">
    <brk id="51" max="16383" man="1"/>
  </rowBreaks>
  <colBreaks count="1" manualBreakCount="1">
    <brk id="16" max="1048575" man="1"/>
  </colBreaks>
  <legacyDrawing r:id="rId2"/>
</worksheet>
</file>

<file path=xl/worksheets/sheet1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V107"/>
  <sheetViews>
    <sheetView workbookViewId="0">
      <selection activeCell="C38" sqref="C38:G38"/>
    </sheetView>
  </sheetViews>
  <sheetFormatPr defaultRowHeight="12.75" x14ac:dyDescent="0.2"/>
  <cols>
    <col min="1" max="1" width="5" style="16" customWidth="1"/>
    <col min="2" max="2" width="19.42578125" style="37" customWidth="1"/>
    <col min="3" max="3" width="8.28515625" style="16" customWidth="1"/>
    <col min="4" max="14" width="7.85546875" style="16" customWidth="1"/>
    <col min="15" max="15" width="8.570312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9.42578125" style="16" customWidth="1"/>
    <col min="259" max="259" width="8.28515625" style="16" customWidth="1"/>
    <col min="260" max="270" width="7.85546875" style="16" customWidth="1"/>
    <col min="271" max="271" width="8.570312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9.42578125" style="16" customWidth="1"/>
    <col min="515" max="515" width="8.28515625" style="16" customWidth="1"/>
    <col min="516" max="526" width="7.85546875" style="16" customWidth="1"/>
    <col min="527" max="527" width="8.570312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9.42578125" style="16" customWidth="1"/>
    <col min="771" max="771" width="8.28515625" style="16" customWidth="1"/>
    <col min="772" max="782" width="7.85546875" style="16" customWidth="1"/>
    <col min="783" max="783" width="8.570312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9.42578125" style="16" customWidth="1"/>
    <col min="1027" max="1027" width="8.28515625" style="16" customWidth="1"/>
    <col min="1028" max="1038" width="7.85546875" style="16" customWidth="1"/>
    <col min="1039" max="1039" width="8.570312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9.42578125" style="16" customWidth="1"/>
    <col min="1283" max="1283" width="8.28515625" style="16" customWidth="1"/>
    <col min="1284" max="1294" width="7.85546875" style="16" customWidth="1"/>
    <col min="1295" max="1295" width="8.570312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9.42578125" style="16" customWidth="1"/>
    <col min="1539" max="1539" width="8.28515625" style="16" customWidth="1"/>
    <col min="1540" max="1550" width="7.85546875" style="16" customWidth="1"/>
    <col min="1551" max="1551" width="8.570312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9.42578125" style="16" customWidth="1"/>
    <col min="1795" max="1795" width="8.28515625" style="16" customWidth="1"/>
    <col min="1796" max="1806" width="7.85546875" style="16" customWidth="1"/>
    <col min="1807" max="1807" width="8.570312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9.42578125" style="16" customWidth="1"/>
    <col min="2051" max="2051" width="8.28515625" style="16" customWidth="1"/>
    <col min="2052" max="2062" width="7.85546875" style="16" customWidth="1"/>
    <col min="2063" max="2063" width="8.570312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9.42578125" style="16" customWidth="1"/>
    <col min="2307" max="2307" width="8.28515625" style="16" customWidth="1"/>
    <col min="2308" max="2318" width="7.85546875" style="16" customWidth="1"/>
    <col min="2319" max="2319" width="8.570312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9.42578125" style="16" customWidth="1"/>
    <col min="2563" max="2563" width="8.28515625" style="16" customWidth="1"/>
    <col min="2564" max="2574" width="7.85546875" style="16" customWidth="1"/>
    <col min="2575" max="2575" width="8.570312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9.42578125" style="16" customWidth="1"/>
    <col min="2819" max="2819" width="8.28515625" style="16" customWidth="1"/>
    <col min="2820" max="2830" width="7.85546875" style="16" customWidth="1"/>
    <col min="2831" max="2831" width="8.570312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9.42578125" style="16" customWidth="1"/>
    <col min="3075" max="3075" width="8.28515625" style="16" customWidth="1"/>
    <col min="3076" max="3086" width="7.85546875" style="16" customWidth="1"/>
    <col min="3087" max="3087" width="8.570312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9.42578125" style="16" customWidth="1"/>
    <col min="3331" max="3331" width="8.28515625" style="16" customWidth="1"/>
    <col min="3332" max="3342" width="7.85546875" style="16" customWidth="1"/>
    <col min="3343" max="3343" width="8.570312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9.42578125" style="16" customWidth="1"/>
    <col min="3587" max="3587" width="8.28515625" style="16" customWidth="1"/>
    <col min="3588" max="3598" width="7.85546875" style="16" customWidth="1"/>
    <col min="3599" max="3599" width="8.570312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9.42578125" style="16" customWidth="1"/>
    <col min="3843" max="3843" width="8.28515625" style="16" customWidth="1"/>
    <col min="3844" max="3854" width="7.85546875" style="16" customWidth="1"/>
    <col min="3855" max="3855" width="8.570312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9.42578125" style="16" customWidth="1"/>
    <col min="4099" max="4099" width="8.28515625" style="16" customWidth="1"/>
    <col min="4100" max="4110" width="7.85546875" style="16" customWidth="1"/>
    <col min="4111" max="4111" width="8.570312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9.42578125" style="16" customWidth="1"/>
    <col min="4355" max="4355" width="8.28515625" style="16" customWidth="1"/>
    <col min="4356" max="4366" width="7.85546875" style="16" customWidth="1"/>
    <col min="4367" max="4367" width="8.570312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9.42578125" style="16" customWidth="1"/>
    <col min="4611" max="4611" width="8.28515625" style="16" customWidth="1"/>
    <col min="4612" max="4622" width="7.85546875" style="16" customWidth="1"/>
    <col min="4623" max="4623" width="8.570312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9.42578125" style="16" customWidth="1"/>
    <col min="4867" max="4867" width="8.28515625" style="16" customWidth="1"/>
    <col min="4868" max="4878" width="7.85546875" style="16" customWidth="1"/>
    <col min="4879" max="4879" width="8.570312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9.42578125" style="16" customWidth="1"/>
    <col min="5123" max="5123" width="8.28515625" style="16" customWidth="1"/>
    <col min="5124" max="5134" width="7.85546875" style="16" customWidth="1"/>
    <col min="5135" max="5135" width="8.570312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9.42578125" style="16" customWidth="1"/>
    <col min="5379" max="5379" width="8.28515625" style="16" customWidth="1"/>
    <col min="5380" max="5390" width="7.85546875" style="16" customWidth="1"/>
    <col min="5391" max="5391" width="8.570312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9.42578125" style="16" customWidth="1"/>
    <col min="5635" max="5635" width="8.28515625" style="16" customWidth="1"/>
    <col min="5636" max="5646" width="7.85546875" style="16" customWidth="1"/>
    <col min="5647" max="5647" width="8.570312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9.42578125" style="16" customWidth="1"/>
    <col min="5891" max="5891" width="8.28515625" style="16" customWidth="1"/>
    <col min="5892" max="5902" width="7.85546875" style="16" customWidth="1"/>
    <col min="5903" max="5903" width="8.570312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9.42578125" style="16" customWidth="1"/>
    <col min="6147" max="6147" width="8.28515625" style="16" customWidth="1"/>
    <col min="6148" max="6158" width="7.85546875" style="16" customWidth="1"/>
    <col min="6159" max="6159" width="8.570312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9.42578125" style="16" customWidth="1"/>
    <col min="6403" max="6403" width="8.28515625" style="16" customWidth="1"/>
    <col min="6404" max="6414" width="7.85546875" style="16" customWidth="1"/>
    <col min="6415" max="6415" width="8.570312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9.42578125" style="16" customWidth="1"/>
    <col min="6659" max="6659" width="8.28515625" style="16" customWidth="1"/>
    <col min="6660" max="6670" width="7.85546875" style="16" customWidth="1"/>
    <col min="6671" max="6671" width="8.570312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9.42578125" style="16" customWidth="1"/>
    <col min="6915" max="6915" width="8.28515625" style="16" customWidth="1"/>
    <col min="6916" max="6926" width="7.85546875" style="16" customWidth="1"/>
    <col min="6927" max="6927" width="8.570312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9.42578125" style="16" customWidth="1"/>
    <col min="7171" max="7171" width="8.28515625" style="16" customWidth="1"/>
    <col min="7172" max="7182" width="7.85546875" style="16" customWidth="1"/>
    <col min="7183" max="7183" width="8.570312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9.42578125" style="16" customWidth="1"/>
    <col min="7427" max="7427" width="8.28515625" style="16" customWidth="1"/>
    <col min="7428" max="7438" width="7.85546875" style="16" customWidth="1"/>
    <col min="7439" max="7439" width="8.570312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9.42578125" style="16" customWidth="1"/>
    <col min="7683" max="7683" width="8.28515625" style="16" customWidth="1"/>
    <col min="7684" max="7694" width="7.85546875" style="16" customWidth="1"/>
    <col min="7695" max="7695" width="8.570312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9.42578125" style="16" customWidth="1"/>
    <col min="7939" max="7939" width="8.28515625" style="16" customWidth="1"/>
    <col min="7940" max="7950" width="7.85546875" style="16" customWidth="1"/>
    <col min="7951" max="7951" width="8.570312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9.42578125" style="16" customWidth="1"/>
    <col min="8195" max="8195" width="8.28515625" style="16" customWidth="1"/>
    <col min="8196" max="8206" width="7.85546875" style="16" customWidth="1"/>
    <col min="8207" max="8207" width="8.570312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9.42578125" style="16" customWidth="1"/>
    <col min="8451" max="8451" width="8.28515625" style="16" customWidth="1"/>
    <col min="8452" max="8462" width="7.85546875" style="16" customWidth="1"/>
    <col min="8463" max="8463" width="8.570312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9.42578125" style="16" customWidth="1"/>
    <col min="8707" max="8707" width="8.28515625" style="16" customWidth="1"/>
    <col min="8708" max="8718" width="7.85546875" style="16" customWidth="1"/>
    <col min="8719" max="8719" width="8.570312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9.42578125" style="16" customWidth="1"/>
    <col min="8963" max="8963" width="8.28515625" style="16" customWidth="1"/>
    <col min="8964" max="8974" width="7.85546875" style="16" customWidth="1"/>
    <col min="8975" max="8975" width="8.570312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9.42578125" style="16" customWidth="1"/>
    <col min="9219" max="9219" width="8.28515625" style="16" customWidth="1"/>
    <col min="9220" max="9230" width="7.85546875" style="16" customWidth="1"/>
    <col min="9231" max="9231" width="8.570312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9.42578125" style="16" customWidth="1"/>
    <col min="9475" max="9475" width="8.28515625" style="16" customWidth="1"/>
    <col min="9476" max="9486" width="7.85546875" style="16" customWidth="1"/>
    <col min="9487" max="9487" width="8.570312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9.42578125" style="16" customWidth="1"/>
    <col min="9731" max="9731" width="8.28515625" style="16" customWidth="1"/>
    <col min="9732" max="9742" width="7.85546875" style="16" customWidth="1"/>
    <col min="9743" max="9743" width="8.570312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9.42578125" style="16" customWidth="1"/>
    <col min="9987" max="9987" width="8.28515625" style="16" customWidth="1"/>
    <col min="9988" max="9998" width="7.85546875" style="16" customWidth="1"/>
    <col min="9999" max="9999" width="8.570312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9.42578125" style="16" customWidth="1"/>
    <col min="10243" max="10243" width="8.28515625" style="16" customWidth="1"/>
    <col min="10244" max="10254" width="7.85546875" style="16" customWidth="1"/>
    <col min="10255" max="10255" width="8.570312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9.42578125" style="16" customWidth="1"/>
    <col min="10499" max="10499" width="8.28515625" style="16" customWidth="1"/>
    <col min="10500" max="10510" width="7.85546875" style="16" customWidth="1"/>
    <col min="10511" max="10511" width="8.570312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9.42578125" style="16" customWidth="1"/>
    <col min="10755" max="10755" width="8.28515625" style="16" customWidth="1"/>
    <col min="10756" max="10766" width="7.85546875" style="16" customWidth="1"/>
    <col min="10767" max="10767" width="8.570312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9.42578125" style="16" customWidth="1"/>
    <col min="11011" max="11011" width="8.28515625" style="16" customWidth="1"/>
    <col min="11012" max="11022" width="7.85546875" style="16" customWidth="1"/>
    <col min="11023" max="11023" width="8.570312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9.42578125" style="16" customWidth="1"/>
    <col min="11267" max="11267" width="8.28515625" style="16" customWidth="1"/>
    <col min="11268" max="11278" width="7.85546875" style="16" customWidth="1"/>
    <col min="11279" max="11279" width="8.570312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9.42578125" style="16" customWidth="1"/>
    <col min="11523" max="11523" width="8.28515625" style="16" customWidth="1"/>
    <col min="11524" max="11534" width="7.85546875" style="16" customWidth="1"/>
    <col min="11535" max="11535" width="8.570312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9.42578125" style="16" customWidth="1"/>
    <col min="11779" max="11779" width="8.28515625" style="16" customWidth="1"/>
    <col min="11780" max="11790" width="7.85546875" style="16" customWidth="1"/>
    <col min="11791" max="11791" width="8.570312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9.42578125" style="16" customWidth="1"/>
    <col min="12035" max="12035" width="8.28515625" style="16" customWidth="1"/>
    <col min="12036" max="12046" width="7.85546875" style="16" customWidth="1"/>
    <col min="12047" max="12047" width="8.570312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9.42578125" style="16" customWidth="1"/>
    <col min="12291" max="12291" width="8.28515625" style="16" customWidth="1"/>
    <col min="12292" max="12302" width="7.85546875" style="16" customWidth="1"/>
    <col min="12303" max="12303" width="8.570312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9.42578125" style="16" customWidth="1"/>
    <col min="12547" max="12547" width="8.28515625" style="16" customWidth="1"/>
    <col min="12548" max="12558" width="7.85546875" style="16" customWidth="1"/>
    <col min="12559" max="12559" width="8.570312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9.42578125" style="16" customWidth="1"/>
    <col min="12803" max="12803" width="8.28515625" style="16" customWidth="1"/>
    <col min="12804" max="12814" width="7.85546875" style="16" customWidth="1"/>
    <col min="12815" max="12815" width="8.570312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9.42578125" style="16" customWidth="1"/>
    <col min="13059" max="13059" width="8.28515625" style="16" customWidth="1"/>
    <col min="13060" max="13070" width="7.85546875" style="16" customWidth="1"/>
    <col min="13071" max="13071" width="8.570312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9.42578125" style="16" customWidth="1"/>
    <col min="13315" max="13315" width="8.28515625" style="16" customWidth="1"/>
    <col min="13316" max="13326" width="7.85546875" style="16" customWidth="1"/>
    <col min="13327" max="13327" width="8.570312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9.42578125" style="16" customWidth="1"/>
    <col min="13571" max="13571" width="8.28515625" style="16" customWidth="1"/>
    <col min="13572" max="13582" width="7.85546875" style="16" customWidth="1"/>
    <col min="13583" max="13583" width="8.570312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9.42578125" style="16" customWidth="1"/>
    <col min="13827" max="13827" width="8.28515625" style="16" customWidth="1"/>
    <col min="13828" max="13838" width="7.85546875" style="16" customWidth="1"/>
    <col min="13839" max="13839" width="8.570312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9.42578125" style="16" customWidth="1"/>
    <col min="14083" max="14083" width="8.28515625" style="16" customWidth="1"/>
    <col min="14084" max="14094" width="7.85546875" style="16" customWidth="1"/>
    <col min="14095" max="14095" width="8.570312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9.42578125" style="16" customWidth="1"/>
    <col min="14339" max="14339" width="8.28515625" style="16" customWidth="1"/>
    <col min="14340" max="14350" width="7.85546875" style="16" customWidth="1"/>
    <col min="14351" max="14351" width="8.570312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9.42578125" style="16" customWidth="1"/>
    <col min="14595" max="14595" width="8.28515625" style="16" customWidth="1"/>
    <col min="14596" max="14606" width="7.85546875" style="16" customWidth="1"/>
    <col min="14607" max="14607" width="8.570312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9.42578125" style="16" customWidth="1"/>
    <col min="14851" max="14851" width="8.28515625" style="16" customWidth="1"/>
    <col min="14852" max="14862" width="7.85546875" style="16" customWidth="1"/>
    <col min="14863" max="14863" width="8.570312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9.42578125" style="16" customWidth="1"/>
    <col min="15107" max="15107" width="8.28515625" style="16" customWidth="1"/>
    <col min="15108" max="15118" width="7.85546875" style="16" customWidth="1"/>
    <col min="15119" max="15119" width="8.570312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9.42578125" style="16" customWidth="1"/>
    <col min="15363" max="15363" width="8.28515625" style="16" customWidth="1"/>
    <col min="15364" max="15374" width="7.85546875" style="16" customWidth="1"/>
    <col min="15375" max="15375" width="8.570312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9.42578125" style="16" customWidth="1"/>
    <col min="15619" max="15619" width="8.28515625" style="16" customWidth="1"/>
    <col min="15620" max="15630" width="7.85546875" style="16" customWidth="1"/>
    <col min="15631" max="15631" width="8.570312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9.42578125" style="16" customWidth="1"/>
    <col min="15875" max="15875" width="8.28515625" style="16" customWidth="1"/>
    <col min="15876" max="15886" width="7.85546875" style="16" customWidth="1"/>
    <col min="15887" max="15887" width="8.570312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9.42578125" style="16" customWidth="1"/>
    <col min="16131" max="16131" width="8.28515625" style="16" customWidth="1"/>
    <col min="16132" max="16142" width="7.85546875" style="16" customWidth="1"/>
    <col min="16143" max="16143" width="8.570312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22" s="1" customFormat="1" x14ac:dyDescent="0.2">
      <c r="A1" s="867" t="s">
        <v>449</v>
      </c>
      <c r="B1" s="868"/>
      <c r="C1" s="868"/>
      <c r="D1" s="869"/>
      <c r="E1" s="868"/>
      <c r="F1" s="868"/>
      <c r="G1" s="867" t="s">
        <v>102</v>
      </c>
      <c r="H1" s="869"/>
      <c r="I1" s="869" t="s">
        <v>914</v>
      </c>
      <c r="J1" s="868"/>
      <c r="K1" s="868"/>
      <c r="L1" s="870"/>
      <c r="M1" s="870"/>
      <c r="N1" s="870"/>
      <c r="O1" s="870"/>
    </row>
    <row r="2" spans="1:22" s="1" customFormat="1" x14ac:dyDescent="0.2">
      <c r="A2" s="867" t="s">
        <v>103</v>
      </c>
      <c r="B2" s="868"/>
      <c r="C2" s="868"/>
      <c r="D2" s="869"/>
      <c r="E2" s="868"/>
      <c r="F2" s="868"/>
      <c r="G2" s="867" t="s">
        <v>104</v>
      </c>
      <c r="H2" s="869"/>
      <c r="I2" s="869" t="s">
        <v>105</v>
      </c>
      <c r="J2" s="868"/>
      <c r="K2" s="868"/>
      <c r="L2" s="870"/>
      <c r="M2" s="870"/>
      <c r="N2" s="870"/>
      <c r="O2" s="870"/>
    </row>
    <row r="3" spans="1:22" s="1" customFormat="1" x14ac:dyDescent="0.2">
      <c r="A3" s="867" t="s">
        <v>106</v>
      </c>
      <c r="B3" s="868"/>
      <c r="C3" s="868"/>
      <c r="D3" s="881">
        <v>24841</v>
      </c>
      <c r="E3" s="882"/>
      <c r="F3" s="882"/>
      <c r="G3" s="867" t="s">
        <v>107</v>
      </c>
      <c r="H3" s="869"/>
      <c r="I3" s="869" t="s">
        <v>108</v>
      </c>
      <c r="J3" s="868"/>
      <c r="K3" s="868"/>
      <c r="L3" s="870"/>
      <c r="M3" s="870"/>
      <c r="N3" s="870"/>
      <c r="O3" s="870"/>
    </row>
    <row r="4" spans="1:22" s="1" customFormat="1" x14ac:dyDescent="0.2">
      <c r="A4" s="867" t="s">
        <v>109</v>
      </c>
      <c r="B4" s="868"/>
      <c r="C4" s="868"/>
      <c r="D4" s="869"/>
      <c r="E4" s="868"/>
      <c r="F4" s="868"/>
      <c r="G4" s="867" t="s">
        <v>110</v>
      </c>
      <c r="H4" s="869"/>
      <c r="I4" s="869" t="s">
        <v>915</v>
      </c>
      <c r="J4" s="868"/>
      <c r="K4" s="868"/>
      <c r="L4" s="870"/>
      <c r="M4" s="870"/>
      <c r="N4" s="870"/>
      <c r="O4" s="870"/>
    </row>
    <row r="5" spans="1:22" s="1" customFormat="1" x14ac:dyDescent="0.2">
      <c r="A5" s="867" t="s">
        <v>443</v>
      </c>
      <c r="B5" s="868"/>
      <c r="C5" s="868"/>
      <c r="D5" s="883">
        <v>43109</v>
      </c>
      <c r="E5" s="868"/>
      <c r="F5" s="868"/>
      <c r="G5" s="867"/>
      <c r="H5" s="868"/>
      <c r="I5" s="869" t="s">
        <v>113</v>
      </c>
      <c r="J5" s="868"/>
      <c r="K5" s="868"/>
      <c r="L5" s="870"/>
      <c r="M5" s="870"/>
      <c r="N5" s="870"/>
      <c r="O5" s="870"/>
    </row>
    <row r="6" spans="1:22" s="1" customFormat="1" x14ac:dyDescent="0.2">
      <c r="A6" s="871" t="s">
        <v>114</v>
      </c>
      <c r="B6" s="872"/>
      <c r="C6" s="872"/>
      <c r="D6" s="868" t="s">
        <v>916</v>
      </c>
      <c r="E6" s="868"/>
      <c r="F6" s="868"/>
      <c r="G6" s="871" t="s">
        <v>115</v>
      </c>
      <c r="H6" s="871"/>
      <c r="I6" s="2" t="s">
        <v>116</v>
      </c>
      <c r="J6" s="888"/>
      <c r="K6" s="888"/>
      <c r="L6" s="888"/>
      <c r="M6" s="888"/>
      <c r="N6" s="888"/>
      <c r="O6" s="889"/>
    </row>
    <row r="7" spans="1:22" s="1" customFormat="1" ht="13.5" thickBot="1" x14ac:dyDescent="0.25">
      <c r="A7" s="3"/>
      <c r="B7" s="4"/>
      <c r="C7" s="5"/>
      <c r="D7" s="6"/>
      <c r="E7" s="6"/>
      <c r="F7" s="6"/>
      <c r="G7" s="6"/>
      <c r="H7" s="6"/>
      <c r="I7" s="6"/>
      <c r="J7" s="7"/>
      <c r="K7" s="8"/>
      <c r="L7" s="875" t="s">
        <v>223</v>
      </c>
      <c r="M7" s="875"/>
      <c r="N7" s="875"/>
      <c r="O7" s="875"/>
    </row>
    <row r="8" spans="1:22" s="11" customFormat="1" x14ac:dyDescent="0.2">
      <c r="A8" s="876" t="str">
        <f>I1</f>
        <v>Mr. Amjad Ali Mansoori</v>
      </c>
      <c r="B8" s="877"/>
      <c r="C8" s="9">
        <v>43160</v>
      </c>
      <c r="D8" s="9">
        <v>43191</v>
      </c>
      <c r="E8" s="9">
        <v>43221</v>
      </c>
      <c r="F8" s="9">
        <v>43252</v>
      </c>
      <c r="G8" s="9">
        <v>43282</v>
      </c>
      <c r="H8" s="9">
        <v>43313</v>
      </c>
      <c r="I8" s="9">
        <v>43344</v>
      </c>
      <c r="J8" s="9">
        <v>43374</v>
      </c>
      <c r="K8" s="9">
        <v>43405</v>
      </c>
      <c r="L8" s="9">
        <v>43435</v>
      </c>
      <c r="M8" s="9">
        <v>43466</v>
      </c>
      <c r="N8" s="9">
        <v>43497</v>
      </c>
      <c r="O8" s="10" t="s">
        <v>117</v>
      </c>
    </row>
    <row r="9" spans="1:22" ht="15" x14ac:dyDescent="0.2">
      <c r="A9" s="12"/>
      <c r="B9" s="13" t="s">
        <v>118</v>
      </c>
      <c r="C9" s="14">
        <v>66000</v>
      </c>
      <c r="D9" s="14">
        <v>66000</v>
      </c>
      <c r="E9" s="14">
        <v>66000</v>
      </c>
      <c r="F9" s="14">
        <v>66000</v>
      </c>
      <c r="G9" s="14">
        <v>68000</v>
      </c>
      <c r="H9" s="14">
        <v>68000</v>
      </c>
      <c r="I9" s="14">
        <v>68000</v>
      </c>
      <c r="J9" s="14">
        <v>68000</v>
      </c>
      <c r="K9" s="14">
        <v>68000</v>
      </c>
      <c r="L9" s="14">
        <v>68000</v>
      </c>
      <c r="M9" s="14">
        <v>68000</v>
      </c>
      <c r="N9" s="14">
        <v>68000</v>
      </c>
      <c r="O9" s="15">
        <f t="shared" ref="O9:O50" si="0">SUM(C9:N9)</f>
        <v>808000</v>
      </c>
    </row>
    <row r="10" spans="1:22" ht="15" x14ac:dyDescent="0.2">
      <c r="A10" s="12"/>
      <c r="B10" s="13" t="s">
        <v>119</v>
      </c>
      <c r="C10" s="17"/>
      <c r="D10" s="17"/>
      <c r="E10" s="17"/>
      <c r="F10" s="17"/>
      <c r="G10" s="17"/>
      <c r="H10" s="17"/>
      <c r="I10" s="17"/>
      <c r="J10" s="17"/>
      <c r="K10" s="17"/>
      <c r="L10" s="17"/>
      <c r="M10" s="17"/>
      <c r="N10" s="17"/>
      <c r="O10" s="18">
        <f t="shared" si="0"/>
        <v>0</v>
      </c>
    </row>
    <row r="11" spans="1:22" ht="15" x14ac:dyDescent="0.2">
      <c r="A11" s="12"/>
      <c r="B11" s="13" t="s">
        <v>120</v>
      </c>
      <c r="C11" s="17">
        <v>3300</v>
      </c>
      <c r="D11" s="17">
        <v>4620</v>
      </c>
      <c r="E11" s="17">
        <v>4620</v>
      </c>
      <c r="F11" s="17">
        <v>4620</v>
      </c>
      <c r="G11" s="17">
        <v>4760</v>
      </c>
      <c r="H11" s="17">
        <v>4760</v>
      </c>
      <c r="I11" s="17">
        <v>4760</v>
      </c>
      <c r="J11" s="17">
        <v>6120</v>
      </c>
      <c r="K11" s="17">
        <v>6120</v>
      </c>
      <c r="L11" s="17">
        <v>6120</v>
      </c>
      <c r="M11" s="17">
        <v>6120</v>
      </c>
      <c r="N11" s="17">
        <v>6120</v>
      </c>
      <c r="O11" s="18">
        <f t="shared" si="0"/>
        <v>62040</v>
      </c>
    </row>
    <row r="12" spans="1:22" ht="15" hidden="1" x14ac:dyDescent="0.2">
      <c r="A12" s="12"/>
      <c r="B12" s="13" t="s">
        <v>121</v>
      </c>
      <c r="C12" s="17"/>
      <c r="D12" s="17"/>
      <c r="E12" s="17"/>
      <c r="F12" s="17"/>
      <c r="G12" s="17"/>
      <c r="H12" s="17"/>
      <c r="I12" s="17"/>
      <c r="J12" s="17"/>
      <c r="K12" s="17"/>
      <c r="L12" s="17"/>
      <c r="M12" s="17"/>
      <c r="N12" s="17"/>
      <c r="O12" s="18">
        <f t="shared" si="0"/>
        <v>0</v>
      </c>
    </row>
    <row r="13" spans="1:22" ht="15" hidden="1" x14ac:dyDescent="0.2">
      <c r="A13" s="12"/>
      <c r="B13" s="13" t="s">
        <v>122</v>
      </c>
      <c r="C13" s="17"/>
      <c r="D13" s="17"/>
      <c r="E13" s="17"/>
      <c r="F13" s="17"/>
      <c r="G13" s="17"/>
      <c r="H13" s="17"/>
      <c r="I13" s="17"/>
      <c r="J13" s="17"/>
      <c r="K13" s="17"/>
      <c r="L13" s="17"/>
      <c r="M13" s="17"/>
      <c r="N13" s="17"/>
      <c r="O13" s="18">
        <f t="shared" si="0"/>
        <v>0</v>
      </c>
    </row>
    <row r="14" spans="1:22" ht="15" x14ac:dyDescent="0.2">
      <c r="A14" s="12"/>
      <c r="B14" s="13" t="s">
        <v>123</v>
      </c>
      <c r="C14" s="17">
        <v>3780</v>
      </c>
      <c r="D14" s="17">
        <v>3852</v>
      </c>
      <c r="E14" s="17">
        <v>3852</v>
      </c>
      <c r="F14" s="17">
        <v>3852</v>
      </c>
      <c r="G14" s="17">
        <v>3852</v>
      </c>
      <c r="H14" s="17">
        <v>3852</v>
      </c>
      <c r="I14" s="17">
        <v>3852</v>
      </c>
      <c r="J14" s="17">
        <v>3924</v>
      </c>
      <c r="K14" s="17">
        <v>3924</v>
      </c>
      <c r="L14" s="17">
        <v>3924</v>
      </c>
      <c r="M14" s="17">
        <v>3924</v>
      </c>
      <c r="N14" s="17">
        <v>3924</v>
      </c>
      <c r="O14" s="18">
        <f t="shared" si="0"/>
        <v>46512</v>
      </c>
    </row>
    <row r="15" spans="1:22" ht="15" hidden="1" x14ac:dyDescent="0.2">
      <c r="A15" s="12"/>
      <c r="B15" s="13" t="s">
        <v>124</v>
      </c>
      <c r="C15" s="17"/>
      <c r="D15" s="17"/>
      <c r="E15" s="17"/>
      <c r="F15" s="17"/>
      <c r="G15" s="17"/>
      <c r="H15" s="17"/>
      <c r="I15" s="17"/>
      <c r="J15" s="17"/>
      <c r="K15" s="17"/>
      <c r="L15" s="17"/>
      <c r="M15" s="17"/>
      <c r="N15" s="17"/>
      <c r="O15" s="18">
        <f t="shared" si="0"/>
        <v>0</v>
      </c>
    </row>
    <row r="16" spans="1:22" ht="15" x14ac:dyDescent="0.2">
      <c r="A16" s="12"/>
      <c r="B16" s="13" t="s">
        <v>125</v>
      </c>
      <c r="C16" s="17"/>
      <c r="D16" s="17"/>
      <c r="E16" s="17"/>
      <c r="F16" s="17"/>
      <c r="G16" s="17"/>
      <c r="H16" s="17"/>
      <c r="I16" s="17"/>
      <c r="J16" s="17"/>
      <c r="K16" s="17"/>
      <c r="L16" s="17"/>
      <c r="M16" s="17"/>
      <c r="N16" s="17"/>
      <c r="O16" s="18">
        <f t="shared" si="0"/>
        <v>0</v>
      </c>
      <c r="V16" s="16">
        <v>7</v>
      </c>
    </row>
    <row r="17" spans="1:22" ht="15" hidden="1" x14ac:dyDescent="0.2">
      <c r="A17" s="12"/>
      <c r="B17" s="13" t="s">
        <v>126</v>
      </c>
      <c r="C17" s="17"/>
      <c r="D17" s="17"/>
      <c r="E17" s="17"/>
      <c r="F17" s="17"/>
      <c r="G17" s="17"/>
      <c r="H17" s="17"/>
      <c r="I17" s="17"/>
      <c r="J17" s="17"/>
      <c r="K17" s="17"/>
      <c r="L17" s="17"/>
      <c r="M17" s="17"/>
      <c r="N17" s="17"/>
      <c r="O17" s="18">
        <f t="shared" si="0"/>
        <v>0</v>
      </c>
    </row>
    <row r="18" spans="1:22" ht="15" x14ac:dyDescent="0.2">
      <c r="A18" s="12"/>
      <c r="B18" s="13" t="s">
        <v>224</v>
      </c>
      <c r="C18" s="17"/>
      <c r="D18" s="17"/>
      <c r="E18" s="17"/>
      <c r="F18" s="17"/>
      <c r="G18" s="17"/>
      <c r="H18" s="17"/>
      <c r="I18" s="17"/>
      <c r="J18" s="17"/>
      <c r="K18" s="17"/>
      <c r="L18" s="17"/>
      <c r="M18" s="17"/>
      <c r="N18" s="17"/>
      <c r="O18" s="18">
        <f t="shared" si="0"/>
        <v>0</v>
      </c>
    </row>
    <row r="19" spans="1:22" ht="15" x14ac:dyDescent="0.2">
      <c r="A19" s="12"/>
      <c r="B19" s="13" t="s">
        <v>128</v>
      </c>
      <c r="C19" s="17">
        <v>15840</v>
      </c>
      <c r="D19" s="17">
        <v>15840</v>
      </c>
      <c r="E19" s="17">
        <v>15840</v>
      </c>
      <c r="F19" s="17">
        <v>15840</v>
      </c>
      <c r="G19" s="17">
        <v>16320</v>
      </c>
      <c r="H19" s="17">
        <v>16320</v>
      </c>
      <c r="I19" s="17">
        <v>16320</v>
      </c>
      <c r="J19" s="17">
        <v>16320</v>
      </c>
      <c r="K19" s="17">
        <v>16320</v>
      </c>
      <c r="L19" s="17">
        <v>16320</v>
      </c>
      <c r="M19" s="17">
        <v>16320</v>
      </c>
      <c r="N19" s="17">
        <v>16320</v>
      </c>
      <c r="O19" s="18">
        <f t="shared" si="0"/>
        <v>193920</v>
      </c>
    </row>
    <row r="20" spans="1:22" ht="15" customHeight="1" x14ac:dyDescent="0.2">
      <c r="A20" s="12"/>
      <c r="B20" s="13" t="s">
        <v>129</v>
      </c>
      <c r="C20" s="17"/>
      <c r="D20" s="17"/>
      <c r="E20" s="17"/>
      <c r="F20" s="17"/>
      <c r="G20" s="17"/>
      <c r="H20" s="17"/>
      <c r="I20" s="17"/>
      <c r="J20" s="17"/>
      <c r="K20" s="17"/>
      <c r="L20" s="17"/>
      <c r="M20" s="17"/>
      <c r="N20" s="17"/>
      <c r="O20" s="18">
        <f t="shared" si="0"/>
        <v>0</v>
      </c>
    </row>
    <row r="21" spans="1:22" ht="15" hidden="1" customHeight="1" x14ac:dyDescent="0.2">
      <c r="A21" s="878" t="s">
        <v>130</v>
      </c>
      <c r="B21" s="19" t="s">
        <v>131</v>
      </c>
      <c r="C21" s="17"/>
      <c r="D21" s="17"/>
      <c r="E21" s="17"/>
      <c r="F21" s="17"/>
      <c r="G21" s="17"/>
      <c r="H21" s="17"/>
      <c r="I21" s="17"/>
      <c r="J21" s="17"/>
      <c r="K21" s="17"/>
      <c r="L21" s="17"/>
      <c r="M21" s="17"/>
      <c r="N21" s="17"/>
      <c r="O21" s="18">
        <f t="shared" si="0"/>
        <v>0</v>
      </c>
    </row>
    <row r="22" spans="1:22" ht="15" customHeight="1" x14ac:dyDescent="0.2">
      <c r="A22" s="879"/>
      <c r="B22" s="19" t="s">
        <v>132</v>
      </c>
      <c r="C22" s="17"/>
      <c r="D22" s="17"/>
      <c r="E22" s="17"/>
      <c r="F22" s="17"/>
      <c r="G22" s="17"/>
      <c r="H22" s="17"/>
      <c r="I22" s="17"/>
      <c r="J22" s="17">
        <v>6908</v>
      </c>
      <c r="K22" s="17"/>
      <c r="L22" s="17"/>
      <c r="M22" s="17"/>
      <c r="N22" s="17"/>
      <c r="O22" s="18">
        <f t="shared" si="0"/>
        <v>6908</v>
      </c>
    </row>
    <row r="23" spans="1:22" ht="15" hidden="1" customHeight="1" x14ac:dyDescent="0.2">
      <c r="A23" s="879"/>
      <c r="B23" s="19" t="s">
        <v>133</v>
      </c>
      <c r="C23" s="17"/>
      <c r="D23" s="17"/>
      <c r="E23" s="17"/>
      <c r="F23" s="17"/>
      <c r="G23" s="17"/>
      <c r="H23" s="17"/>
      <c r="I23" s="17"/>
      <c r="J23" s="17"/>
      <c r="K23" s="17"/>
      <c r="L23" s="17"/>
      <c r="M23" s="17"/>
      <c r="N23" s="17"/>
      <c r="O23" s="18">
        <f t="shared" si="0"/>
        <v>0</v>
      </c>
    </row>
    <row r="24" spans="1:22" ht="15" hidden="1" customHeight="1" x14ac:dyDescent="0.2">
      <c r="A24" s="879"/>
      <c r="B24" s="19" t="s">
        <v>134</v>
      </c>
      <c r="C24" s="17"/>
      <c r="D24" s="17"/>
      <c r="E24" s="17"/>
      <c r="F24" s="17"/>
      <c r="G24" s="17"/>
      <c r="H24" s="17"/>
      <c r="I24" s="17"/>
      <c r="J24" s="17"/>
      <c r="K24" s="17"/>
      <c r="L24" s="17"/>
      <c r="M24" s="17"/>
      <c r="N24" s="17"/>
      <c r="O24" s="18">
        <f t="shared" si="0"/>
        <v>0</v>
      </c>
    </row>
    <row r="25" spans="1:22" ht="15" hidden="1" customHeight="1" x14ac:dyDescent="0.2">
      <c r="A25" s="879"/>
      <c r="B25" s="19" t="s">
        <v>135</v>
      </c>
      <c r="C25" s="17"/>
      <c r="D25" s="17"/>
      <c r="E25" s="17"/>
      <c r="F25" s="17"/>
      <c r="G25" s="17"/>
      <c r="H25" s="17"/>
      <c r="I25" s="17"/>
      <c r="J25" s="17"/>
      <c r="K25" s="17"/>
      <c r="L25" s="17"/>
      <c r="M25" s="17"/>
      <c r="N25" s="17"/>
      <c r="O25" s="18">
        <f t="shared" si="0"/>
        <v>0</v>
      </c>
    </row>
    <row r="26" spans="1:22" ht="15" hidden="1" customHeight="1" x14ac:dyDescent="0.2">
      <c r="A26" s="879"/>
      <c r="B26" s="19" t="s">
        <v>136</v>
      </c>
      <c r="C26" s="17"/>
      <c r="D26" s="17"/>
      <c r="E26" s="17"/>
      <c r="F26" s="17"/>
      <c r="G26" s="17"/>
      <c r="H26" s="17"/>
      <c r="I26" s="17"/>
      <c r="J26" s="17"/>
      <c r="K26" s="17"/>
      <c r="L26" s="17"/>
      <c r="M26" s="17"/>
      <c r="N26" s="17"/>
      <c r="O26" s="18">
        <f t="shared" si="0"/>
        <v>0</v>
      </c>
      <c r="V26" s="16">
        <v>14</v>
      </c>
    </row>
    <row r="27" spans="1:22" ht="15" hidden="1" customHeight="1" x14ac:dyDescent="0.2">
      <c r="A27" s="879"/>
      <c r="B27" s="19" t="s">
        <v>137</v>
      </c>
      <c r="C27" s="17"/>
      <c r="D27" s="17"/>
      <c r="E27" s="17"/>
      <c r="F27" s="17"/>
      <c r="G27" s="17"/>
      <c r="H27" s="17"/>
      <c r="I27" s="17"/>
      <c r="J27" s="17"/>
      <c r="K27" s="17"/>
      <c r="L27" s="17"/>
      <c r="M27" s="17"/>
      <c r="N27" s="17"/>
      <c r="O27" s="18">
        <f t="shared" si="0"/>
        <v>0</v>
      </c>
    </row>
    <row r="28" spans="1:22" ht="15" hidden="1" customHeight="1" x14ac:dyDescent="0.2">
      <c r="A28" s="879"/>
      <c r="B28" s="19" t="s">
        <v>138</v>
      </c>
      <c r="C28" s="17"/>
      <c r="D28" s="17"/>
      <c r="E28" s="17"/>
      <c r="F28" s="17"/>
      <c r="G28" s="17"/>
      <c r="H28" s="17"/>
      <c r="I28" s="17"/>
      <c r="J28" s="17"/>
      <c r="K28" s="17"/>
      <c r="L28" s="17"/>
      <c r="M28" s="17"/>
      <c r="N28" s="17"/>
      <c r="O28" s="18">
        <f t="shared" si="0"/>
        <v>0</v>
      </c>
      <c r="V28" s="16">
        <v>21</v>
      </c>
    </row>
    <row r="29" spans="1:22" ht="15" hidden="1" customHeight="1" x14ac:dyDescent="0.2">
      <c r="A29" s="879"/>
      <c r="B29" s="19" t="s">
        <v>139</v>
      </c>
      <c r="C29" s="17"/>
      <c r="D29" s="17"/>
      <c r="E29" s="17"/>
      <c r="F29" s="17"/>
      <c r="G29" s="17"/>
      <c r="H29" s="17"/>
      <c r="I29" s="17"/>
      <c r="J29" s="17"/>
      <c r="K29" s="17"/>
      <c r="L29" s="17"/>
      <c r="M29" s="17"/>
      <c r="N29" s="17"/>
      <c r="O29" s="18">
        <f t="shared" si="0"/>
        <v>0</v>
      </c>
      <c r="V29" s="16">
        <v>19.758064516129</v>
      </c>
    </row>
    <row r="30" spans="1:22" ht="15" hidden="1" customHeight="1" x14ac:dyDescent="0.2">
      <c r="A30" s="879"/>
      <c r="B30" s="19" t="s">
        <v>140</v>
      </c>
      <c r="C30" s="17"/>
      <c r="D30" s="17"/>
      <c r="E30" s="17"/>
      <c r="F30" s="17"/>
      <c r="G30" s="17"/>
      <c r="H30" s="17"/>
      <c r="I30" s="17"/>
      <c r="J30" s="17"/>
      <c r="K30" s="17"/>
      <c r="L30" s="17"/>
      <c r="M30" s="17"/>
      <c r="N30" s="17"/>
      <c r="O30" s="18">
        <f t="shared" si="0"/>
        <v>0</v>
      </c>
      <c r="V30" s="16">
        <v>20.7741935483871</v>
      </c>
    </row>
    <row r="31" spans="1:22" ht="15" hidden="1" customHeight="1" x14ac:dyDescent="0.2">
      <c r="A31" s="879"/>
      <c r="B31" s="19" t="s">
        <v>225</v>
      </c>
      <c r="C31" s="17"/>
      <c r="D31" s="17"/>
      <c r="E31" s="17"/>
      <c r="F31" s="17"/>
      <c r="G31" s="17"/>
      <c r="H31" s="17"/>
      <c r="I31" s="17"/>
      <c r="J31" s="17"/>
      <c r="K31" s="17"/>
      <c r="L31" s="17"/>
      <c r="M31" s="17"/>
      <c r="N31" s="17"/>
      <c r="O31" s="18">
        <f t="shared" si="0"/>
        <v>0</v>
      </c>
      <c r="V31" s="16">
        <v>21.790322580645199</v>
      </c>
    </row>
    <row r="32" spans="1:22" ht="15" customHeight="1" x14ac:dyDescent="0.2">
      <c r="A32" s="879"/>
      <c r="B32" s="344" t="s">
        <v>252</v>
      </c>
      <c r="C32" s="17"/>
      <c r="D32" s="17"/>
      <c r="E32" s="17"/>
      <c r="F32" s="17"/>
      <c r="G32" s="17"/>
      <c r="H32" s="17"/>
      <c r="I32" s="17"/>
      <c r="J32" s="17"/>
      <c r="K32" s="17"/>
      <c r="L32" s="17"/>
      <c r="M32" s="17">
        <v>24707</v>
      </c>
      <c r="N32" s="17"/>
      <c r="O32" s="18">
        <f t="shared" si="0"/>
        <v>24707</v>
      </c>
    </row>
    <row r="33" spans="1:16" ht="15" hidden="1" customHeight="1" x14ac:dyDescent="0.2">
      <c r="A33" s="880"/>
      <c r="B33" s="19" t="s">
        <v>226</v>
      </c>
      <c r="C33" s="17"/>
      <c r="D33" s="17"/>
      <c r="E33" s="17"/>
      <c r="F33" s="17"/>
      <c r="G33" s="17"/>
      <c r="H33" s="17"/>
      <c r="I33" s="17"/>
      <c r="J33" s="17"/>
      <c r="K33" s="17"/>
      <c r="L33" s="17"/>
      <c r="M33" s="17"/>
      <c r="N33" s="17"/>
      <c r="O33" s="18">
        <f t="shared" si="0"/>
        <v>0</v>
      </c>
    </row>
    <row r="34" spans="1:16" ht="15" customHeight="1" x14ac:dyDescent="0.2">
      <c r="A34" s="865" t="s">
        <v>142</v>
      </c>
      <c r="B34" s="866"/>
      <c r="C34" s="17"/>
      <c r="D34" s="17"/>
      <c r="E34" s="17"/>
      <c r="F34" s="17"/>
      <c r="G34" s="17"/>
      <c r="H34" s="17"/>
      <c r="I34" s="17"/>
      <c r="J34" s="17"/>
      <c r="K34" s="17"/>
      <c r="L34" s="17"/>
      <c r="M34" s="17"/>
      <c r="N34" s="17"/>
      <c r="O34" s="18">
        <f t="shared" si="0"/>
        <v>0</v>
      </c>
    </row>
    <row r="35" spans="1:16" ht="15" customHeight="1" x14ac:dyDescent="0.2">
      <c r="A35" s="865" t="s">
        <v>145</v>
      </c>
      <c r="B35" s="866"/>
      <c r="C35" s="17"/>
      <c r="D35" s="17"/>
      <c r="E35" s="17">
        <v>0</v>
      </c>
      <c r="F35" s="17"/>
      <c r="G35" s="17"/>
      <c r="H35" s="17"/>
      <c r="I35" s="17"/>
      <c r="J35" s="17">
        <v>216</v>
      </c>
      <c r="K35" s="17"/>
      <c r="L35" s="17"/>
      <c r="M35" s="17"/>
      <c r="N35" s="17"/>
      <c r="O35" s="18">
        <f t="shared" si="0"/>
        <v>216</v>
      </c>
    </row>
    <row r="36" spans="1:16" ht="15" customHeight="1" x14ac:dyDescent="0.2">
      <c r="A36" s="865" t="s">
        <v>146</v>
      </c>
      <c r="B36" s="866"/>
      <c r="C36" s="17"/>
      <c r="D36" s="17"/>
      <c r="E36" s="17">
        <v>3960</v>
      </c>
      <c r="F36" s="17"/>
      <c r="G36" s="17"/>
      <c r="H36" s="17"/>
      <c r="I36" s="17"/>
      <c r="J36" s="17">
        <v>4080</v>
      </c>
      <c r="K36" s="17"/>
      <c r="L36" s="17"/>
      <c r="M36" s="17"/>
      <c r="N36" s="17"/>
      <c r="O36" s="18">
        <f t="shared" si="0"/>
        <v>8040</v>
      </c>
    </row>
    <row r="37" spans="1:16" ht="15" customHeight="1" x14ac:dyDescent="0.2">
      <c r="A37" s="22"/>
      <c r="B37" s="23" t="s">
        <v>147</v>
      </c>
      <c r="C37" s="24">
        <f t="shared" ref="C37:N37" si="1">SUM(C9:C36)</f>
        <v>88920</v>
      </c>
      <c r="D37" s="24">
        <f t="shared" si="1"/>
        <v>90312</v>
      </c>
      <c r="E37" s="24">
        <f t="shared" si="1"/>
        <v>94272</v>
      </c>
      <c r="F37" s="24">
        <f t="shared" si="1"/>
        <v>90312</v>
      </c>
      <c r="G37" s="24">
        <f t="shared" si="1"/>
        <v>92932</v>
      </c>
      <c r="H37" s="24">
        <f t="shared" si="1"/>
        <v>92932</v>
      </c>
      <c r="I37" s="24">
        <f t="shared" si="1"/>
        <v>92932</v>
      </c>
      <c r="J37" s="24">
        <f t="shared" si="1"/>
        <v>105568</v>
      </c>
      <c r="K37" s="24">
        <f t="shared" si="1"/>
        <v>94364</v>
      </c>
      <c r="L37" s="24">
        <f t="shared" si="1"/>
        <v>94364</v>
      </c>
      <c r="M37" s="24">
        <f t="shared" si="1"/>
        <v>119071</v>
      </c>
      <c r="N37" s="24">
        <f t="shared" si="1"/>
        <v>94364</v>
      </c>
      <c r="O37" s="25">
        <f t="shared" si="0"/>
        <v>1150343</v>
      </c>
    </row>
    <row r="38" spans="1:16" ht="15" customHeight="1" x14ac:dyDescent="0.2">
      <c r="A38" s="853" t="s">
        <v>148</v>
      </c>
      <c r="B38" s="27" t="s">
        <v>149</v>
      </c>
      <c r="C38" s="28">
        <v>6700</v>
      </c>
      <c r="D38" s="28">
        <v>6700</v>
      </c>
      <c r="E38" s="28">
        <v>6700</v>
      </c>
      <c r="F38" s="28">
        <v>6700</v>
      </c>
      <c r="G38" s="28">
        <v>6700</v>
      </c>
      <c r="H38" s="28">
        <v>0</v>
      </c>
      <c r="I38" s="28">
        <v>6700</v>
      </c>
      <c r="J38" s="28">
        <v>6700</v>
      </c>
      <c r="K38" s="28">
        <v>0</v>
      </c>
      <c r="L38" s="28">
        <v>0</v>
      </c>
      <c r="M38" s="28">
        <v>0</v>
      </c>
      <c r="N38" s="28">
        <v>34160</v>
      </c>
      <c r="O38" s="18">
        <f t="shared" si="0"/>
        <v>81060</v>
      </c>
      <c r="P38" s="29"/>
    </row>
    <row r="39" spans="1:16" ht="15" x14ac:dyDescent="0.2">
      <c r="A39" s="854"/>
      <c r="B39" s="27" t="s">
        <v>150</v>
      </c>
      <c r="C39" s="28">
        <v>0</v>
      </c>
      <c r="D39" s="28">
        <v>0</v>
      </c>
      <c r="E39" s="28">
        <v>0</v>
      </c>
      <c r="F39" s="28">
        <v>0</v>
      </c>
      <c r="G39" s="28">
        <v>0</v>
      </c>
      <c r="H39" s="28">
        <v>0</v>
      </c>
      <c r="I39" s="28">
        <v>0</v>
      </c>
      <c r="J39" s="28">
        <v>0</v>
      </c>
      <c r="K39" s="28">
        <v>0</v>
      </c>
      <c r="L39" s="28">
        <v>0</v>
      </c>
      <c r="M39" s="28">
        <v>0</v>
      </c>
      <c r="N39" s="28">
        <v>0</v>
      </c>
      <c r="O39" s="18">
        <f t="shared" si="0"/>
        <v>0</v>
      </c>
    </row>
    <row r="40" spans="1:16" ht="15" x14ac:dyDescent="0.2">
      <c r="A40" s="854"/>
      <c r="B40" s="27" t="s">
        <v>151</v>
      </c>
      <c r="C40" s="28">
        <v>60</v>
      </c>
      <c r="D40" s="28">
        <v>60</v>
      </c>
      <c r="E40" s="28">
        <v>60</v>
      </c>
      <c r="F40" s="28">
        <v>60</v>
      </c>
      <c r="G40" s="28">
        <v>60</v>
      </c>
      <c r="H40" s="28">
        <v>60</v>
      </c>
      <c r="I40" s="28">
        <v>60</v>
      </c>
      <c r="J40" s="28">
        <v>60</v>
      </c>
      <c r="K40" s="28">
        <v>60</v>
      </c>
      <c r="L40" s="28">
        <v>60</v>
      </c>
      <c r="M40" s="28">
        <v>60</v>
      </c>
      <c r="N40" s="28">
        <v>60</v>
      </c>
      <c r="O40" s="18">
        <f t="shared" si="0"/>
        <v>720</v>
      </c>
    </row>
    <row r="41" spans="1:16" ht="15" x14ac:dyDescent="0.2">
      <c r="A41" s="854"/>
      <c r="B41" s="27" t="s">
        <v>152</v>
      </c>
      <c r="C41" s="28">
        <v>0</v>
      </c>
      <c r="D41" s="28">
        <v>0</v>
      </c>
      <c r="E41" s="28">
        <v>0</v>
      </c>
      <c r="F41" s="28">
        <v>0</v>
      </c>
      <c r="G41" s="28">
        <v>0</v>
      </c>
      <c r="H41" s="28">
        <v>0</v>
      </c>
      <c r="I41" s="28">
        <v>0</v>
      </c>
      <c r="J41" s="28">
        <v>0</v>
      </c>
      <c r="K41" s="28">
        <v>0</v>
      </c>
      <c r="L41" s="28">
        <v>0</v>
      </c>
      <c r="M41" s="28">
        <v>0</v>
      </c>
      <c r="N41" s="28">
        <v>0</v>
      </c>
      <c r="O41" s="18">
        <f t="shared" si="0"/>
        <v>0</v>
      </c>
    </row>
    <row r="42" spans="1:16" ht="15" x14ac:dyDescent="0.2">
      <c r="A42" s="854"/>
      <c r="B42" s="27" t="s">
        <v>153</v>
      </c>
      <c r="C42" s="28">
        <v>650</v>
      </c>
      <c r="D42" s="28">
        <v>650</v>
      </c>
      <c r="E42" s="28">
        <v>650</v>
      </c>
      <c r="F42" s="28">
        <v>650</v>
      </c>
      <c r="G42" s="28">
        <v>650</v>
      </c>
      <c r="H42" s="28">
        <v>650</v>
      </c>
      <c r="I42" s="28">
        <v>650</v>
      </c>
      <c r="J42" s="28">
        <v>650</v>
      </c>
      <c r="K42" s="28">
        <v>650</v>
      </c>
      <c r="L42" s="28">
        <v>650</v>
      </c>
      <c r="M42" s="28">
        <v>650</v>
      </c>
      <c r="N42" s="28">
        <v>650</v>
      </c>
      <c r="O42" s="18">
        <f t="shared" si="0"/>
        <v>7800</v>
      </c>
    </row>
    <row r="43" spans="1:16" ht="15" x14ac:dyDescent="0.2">
      <c r="A43" s="854"/>
      <c r="B43" s="27" t="s">
        <v>154</v>
      </c>
      <c r="C43" s="28">
        <v>10000</v>
      </c>
      <c r="D43" s="28">
        <v>10000</v>
      </c>
      <c r="E43" s="28">
        <v>10000</v>
      </c>
      <c r="F43" s="28">
        <v>10000</v>
      </c>
      <c r="G43" s="28">
        <v>10000</v>
      </c>
      <c r="H43" s="28">
        <v>10000</v>
      </c>
      <c r="I43" s="28">
        <v>10000</v>
      </c>
      <c r="J43" s="28">
        <v>10000</v>
      </c>
      <c r="K43" s="28">
        <v>10000</v>
      </c>
      <c r="L43" s="28">
        <v>10000</v>
      </c>
      <c r="M43" s="28">
        <v>10000</v>
      </c>
      <c r="N43" s="28">
        <v>10000</v>
      </c>
      <c r="O43" s="18">
        <f t="shared" si="0"/>
        <v>120000</v>
      </c>
    </row>
    <row r="44" spans="1:16" ht="15" x14ac:dyDescent="0.2">
      <c r="A44" s="854"/>
      <c r="B44" s="27" t="s">
        <v>155</v>
      </c>
      <c r="C44" s="28">
        <v>200</v>
      </c>
      <c r="D44" s="28">
        <v>200</v>
      </c>
      <c r="E44" s="28">
        <v>200</v>
      </c>
      <c r="F44" s="28">
        <v>200</v>
      </c>
      <c r="G44" s="28">
        <v>200</v>
      </c>
      <c r="H44" s="28">
        <v>200</v>
      </c>
      <c r="I44" s="28">
        <v>200</v>
      </c>
      <c r="J44" s="28">
        <v>200</v>
      </c>
      <c r="K44" s="28">
        <v>200</v>
      </c>
      <c r="L44" s="28">
        <v>200</v>
      </c>
      <c r="M44" s="28">
        <v>200</v>
      </c>
      <c r="N44" s="28">
        <v>300</v>
      </c>
      <c r="O44" s="18">
        <f t="shared" si="0"/>
        <v>2500</v>
      </c>
    </row>
    <row r="45" spans="1:16" ht="30" x14ac:dyDescent="0.2">
      <c r="A45" s="854"/>
      <c r="B45" s="27" t="s">
        <v>371</v>
      </c>
      <c r="C45" s="28">
        <v>0</v>
      </c>
      <c r="D45" s="28">
        <v>0</v>
      </c>
      <c r="E45" s="28">
        <v>0</v>
      </c>
      <c r="F45" s="28">
        <v>0</v>
      </c>
      <c r="G45" s="28">
        <v>0</v>
      </c>
      <c r="H45" s="28">
        <v>0</v>
      </c>
      <c r="I45" s="28">
        <v>0</v>
      </c>
      <c r="J45" s="28">
        <v>0</v>
      </c>
      <c r="K45" s="28">
        <v>0</v>
      </c>
      <c r="L45" s="28">
        <v>0</v>
      </c>
      <c r="M45" s="28">
        <v>0</v>
      </c>
      <c r="N45" s="28">
        <v>0</v>
      </c>
      <c r="O45" s="18">
        <f t="shared" si="0"/>
        <v>0</v>
      </c>
    </row>
    <row r="46" spans="1:16" ht="15" x14ac:dyDescent="0.2">
      <c r="A46" s="854"/>
      <c r="B46" s="27" t="s">
        <v>157</v>
      </c>
      <c r="C46" s="28">
        <v>0</v>
      </c>
      <c r="D46" s="28">
        <v>0</v>
      </c>
      <c r="E46" s="28">
        <v>0</v>
      </c>
      <c r="F46" s="28">
        <v>0</v>
      </c>
      <c r="G46" s="28">
        <v>0</v>
      </c>
      <c r="H46" s="28">
        <v>0</v>
      </c>
      <c r="I46" s="28">
        <v>0</v>
      </c>
      <c r="J46" s="28">
        <v>0</v>
      </c>
      <c r="K46" s="28">
        <v>0</v>
      </c>
      <c r="L46" s="28">
        <v>0</v>
      </c>
      <c r="M46" s="28">
        <v>0</v>
      </c>
      <c r="N46" s="28">
        <v>0</v>
      </c>
      <c r="O46" s="18">
        <f t="shared" si="0"/>
        <v>0</v>
      </c>
    </row>
    <row r="47" spans="1:16" ht="28.5" customHeight="1" x14ac:dyDescent="0.2">
      <c r="A47" s="855"/>
      <c r="B47" s="30" t="s">
        <v>158</v>
      </c>
      <c r="C47" s="28">
        <v>760</v>
      </c>
      <c r="D47" s="28">
        <v>760</v>
      </c>
      <c r="E47" s="28">
        <v>760</v>
      </c>
      <c r="F47" s="28">
        <v>760</v>
      </c>
      <c r="G47" s="28">
        <v>760</v>
      </c>
      <c r="H47" s="28">
        <v>760</v>
      </c>
      <c r="I47" s="28">
        <v>760</v>
      </c>
      <c r="J47" s="28">
        <v>760</v>
      </c>
      <c r="K47" s="28">
        <v>760</v>
      </c>
      <c r="L47" s="28">
        <v>760</v>
      </c>
      <c r="M47" s="28">
        <v>760</v>
      </c>
      <c r="N47" s="28">
        <v>760</v>
      </c>
      <c r="O47" s="31">
        <f t="shared" si="0"/>
        <v>9120</v>
      </c>
    </row>
    <row r="48" spans="1:16" ht="45" x14ac:dyDescent="0.2">
      <c r="A48" s="856"/>
      <c r="B48" s="127" t="s">
        <v>910</v>
      </c>
      <c r="C48" s="28">
        <v>0</v>
      </c>
      <c r="D48" s="28">
        <v>0</v>
      </c>
      <c r="E48" s="28">
        <v>0</v>
      </c>
      <c r="F48" s="28">
        <v>0</v>
      </c>
      <c r="G48" s="28">
        <v>0</v>
      </c>
      <c r="H48" s="28">
        <v>0</v>
      </c>
      <c r="I48" s="28">
        <v>0</v>
      </c>
      <c r="J48" s="28">
        <v>0</v>
      </c>
      <c r="K48" s="28">
        <v>0</v>
      </c>
      <c r="L48" s="28">
        <v>0</v>
      </c>
      <c r="M48" s="28">
        <v>0</v>
      </c>
      <c r="N48" s="28">
        <v>0</v>
      </c>
      <c r="O48" s="31">
        <f t="shared" si="0"/>
        <v>0</v>
      </c>
    </row>
    <row r="49" spans="1:18" ht="15" x14ac:dyDescent="0.2">
      <c r="A49" s="857" t="s">
        <v>160</v>
      </c>
      <c r="B49" s="858"/>
      <c r="C49" s="33">
        <f t="shared" ref="C49:N49" si="2">SUM(C38:C48)</f>
        <v>18370</v>
      </c>
      <c r="D49" s="33">
        <f t="shared" si="2"/>
        <v>18370</v>
      </c>
      <c r="E49" s="33">
        <f t="shared" si="2"/>
        <v>18370</v>
      </c>
      <c r="F49" s="33">
        <f t="shared" si="2"/>
        <v>18370</v>
      </c>
      <c r="G49" s="33">
        <f t="shared" si="2"/>
        <v>18370</v>
      </c>
      <c r="H49" s="33">
        <f t="shared" si="2"/>
        <v>11670</v>
      </c>
      <c r="I49" s="33">
        <f t="shared" si="2"/>
        <v>18370</v>
      </c>
      <c r="J49" s="33">
        <f t="shared" si="2"/>
        <v>18370</v>
      </c>
      <c r="K49" s="33">
        <f t="shared" si="2"/>
        <v>11670</v>
      </c>
      <c r="L49" s="33">
        <f t="shared" si="2"/>
        <v>11670</v>
      </c>
      <c r="M49" s="33">
        <f t="shared" si="2"/>
        <v>11670</v>
      </c>
      <c r="N49" s="33">
        <f t="shared" si="2"/>
        <v>45930</v>
      </c>
      <c r="O49" s="34">
        <f t="shared" si="0"/>
        <v>221200</v>
      </c>
    </row>
    <row r="50" spans="1:18" ht="15.75" thickBot="1" x14ac:dyDescent="0.25">
      <c r="A50" s="859" t="s">
        <v>161</v>
      </c>
      <c r="B50" s="860"/>
      <c r="C50" s="35">
        <f t="shared" ref="C50:N50" si="3">C37-C49</f>
        <v>70550</v>
      </c>
      <c r="D50" s="35">
        <f t="shared" si="3"/>
        <v>71942</v>
      </c>
      <c r="E50" s="35">
        <f t="shared" si="3"/>
        <v>75902</v>
      </c>
      <c r="F50" s="35">
        <f t="shared" si="3"/>
        <v>71942</v>
      </c>
      <c r="G50" s="35">
        <f t="shared" si="3"/>
        <v>74562</v>
      </c>
      <c r="H50" s="35">
        <f t="shared" si="3"/>
        <v>81262</v>
      </c>
      <c r="I50" s="35">
        <f t="shared" si="3"/>
        <v>74562</v>
      </c>
      <c r="J50" s="35">
        <f t="shared" si="3"/>
        <v>87198</v>
      </c>
      <c r="K50" s="35">
        <f t="shared" si="3"/>
        <v>82694</v>
      </c>
      <c r="L50" s="35">
        <f t="shared" si="3"/>
        <v>82694</v>
      </c>
      <c r="M50" s="35">
        <f t="shared" si="3"/>
        <v>107401</v>
      </c>
      <c r="N50" s="35">
        <f t="shared" si="3"/>
        <v>48434</v>
      </c>
      <c r="O50" s="36">
        <f t="shared" si="0"/>
        <v>929143</v>
      </c>
      <c r="Q50" s="16">
        <f>18255+17655+15000+4084+18566+18686+20375*2+20000+3930+3454+21310*2+7500+21310+2000+20410+20278</f>
        <v>274498</v>
      </c>
    </row>
    <row r="51" spans="1:18" x14ac:dyDescent="0.2">
      <c r="C51" s="38"/>
      <c r="J51" s="345">
        <f>+J37-SUM(J22:J36)</f>
        <v>94364</v>
      </c>
      <c r="Q51" s="38"/>
    </row>
    <row r="52" spans="1:18" ht="13.5" thickBot="1" x14ac:dyDescent="0.25">
      <c r="J52" s="38">
        <f>+J51-J49</f>
        <v>75994</v>
      </c>
    </row>
    <row r="53" spans="1:18" ht="13.5" thickBot="1" x14ac:dyDescent="0.25">
      <c r="B53" s="789" t="s">
        <v>162</v>
      </c>
      <c r="C53" s="861"/>
      <c r="D53" s="861"/>
      <c r="E53" s="861"/>
      <c r="F53" s="862"/>
      <c r="G53" s="863">
        <f>O37</f>
        <v>1150343</v>
      </c>
      <c r="H53" s="864"/>
    </row>
    <row r="54" spans="1:18" ht="13.5" thickBot="1" x14ac:dyDescent="0.25"/>
    <row r="55" spans="1:18" x14ac:dyDescent="0.2">
      <c r="B55" s="830" t="s">
        <v>163</v>
      </c>
      <c r="C55" s="833" t="s">
        <v>164</v>
      </c>
      <c r="D55" s="836" t="s">
        <v>811</v>
      </c>
      <c r="E55" s="837"/>
      <c r="F55" s="838"/>
      <c r="G55" s="839">
        <v>40000</v>
      </c>
      <c r="H55" s="840"/>
    </row>
    <row r="56" spans="1:18" x14ac:dyDescent="0.2">
      <c r="B56" s="831"/>
      <c r="C56" s="834"/>
      <c r="D56" s="841" t="s">
        <v>166</v>
      </c>
      <c r="E56" s="842"/>
      <c r="F56" s="843"/>
      <c r="G56" s="844">
        <f>+O44</f>
        <v>2500</v>
      </c>
      <c r="H56" s="845"/>
      <c r="I56" s="39"/>
      <c r="J56" s="846"/>
      <c r="K56" s="846"/>
      <c r="L56" s="846"/>
      <c r="M56" s="847"/>
      <c r="N56" s="847"/>
      <c r="O56" s="847"/>
    </row>
    <row r="57" spans="1:18" ht="13.5" thickBot="1" x14ac:dyDescent="0.25">
      <c r="B57" s="832"/>
      <c r="C57" s="835"/>
      <c r="D57" s="848" t="s">
        <v>243</v>
      </c>
      <c r="E57" s="849"/>
      <c r="F57" s="850"/>
      <c r="G57" s="851">
        <f>IF(O18&gt;15000,15000,+O18)</f>
        <v>0</v>
      </c>
      <c r="H57" s="852"/>
      <c r="J57" s="47"/>
      <c r="K57" s="47"/>
      <c r="L57" s="47"/>
      <c r="M57" s="47"/>
      <c r="N57" s="47"/>
      <c r="O57" s="47"/>
    </row>
    <row r="58" spans="1:18" ht="13.5" thickBot="1" x14ac:dyDescent="0.25">
      <c r="B58" s="48"/>
      <c r="J58" s="47"/>
      <c r="K58" s="47"/>
      <c r="L58" s="47"/>
      <c r="M58" s="47"/>
      <c r="N58" s="47"/>
      <c r="O58" s="47"/>
    </row>
    <row r="59" spans="1:18" ht="13.5" thickBot="1" x14ac:dyDescent="0.25">
      <c r="B59" s="789" t="s">
        <v>168</v>
      </c>
      <c r="C59" s="790"/>
      <c r="D59" s="790"/>
      <c r="E59" s="790"/>
      <c r="F59" s="791"/>
      <c r="G59" s="825">
        <f>+G53-SUM(G55:H57)</f>
        <v>1107843</v>
      </c>
      <c r="H59" s="826"/>
      <c r="J59" s="827" t="s">
        <v>169</v>
      </c>
      <c r="K59" s="828"/>
      <c r="L59" s="828"/>
      <c r="M59" s="828"/>
      <c r="N59" s="828"/>
      <c r="O59" s="829"/>
    </row>
    <row r="60" spans="1:18" ht="13.5" thickBot="1" x14ac:dyDescent="0.25">
      <c r="B60" s="49"/>
      <c r="C60" s="50"/>
      <c r="D60" s="50"/>
      <c r="E60" s="50"/>
      <c r="F60" s="50"/>
      <c r="G60" s="45"/>
      <c r="H60" s="50"/>
      <c r="J60" s="129"/>
      <c r="K60" s="130"/>
      <c r="L60" s="130"/>
      <c r="M60" s="130"/>
      <c r="N60" s="130"/>
      <c r="O60" s="131"/>
    </row>
    <row r="61" spans="1:18" ht="13.5" thickBot="1" x14ac:dyDescent="0.25">
      <c r="B61" s="789" t="s">
        <v>170</v>
      </c>
      <c r="C61" s="790"/>
      <c r="D61" s="790"/>
      <c r="E61" s="790"/>
      <c r="F61" s="791"/>
      <c r="G61" s="805"/>
      <c r="H61" s="791"/>
      <c r="J61" s="129"/>
      <c r="K61" s="130"/>
      <c r="L61" s="130"/>
      <c r="M61" s="130"/>
      <c r="N61" s="130"/>
      <c r="O61" s="131"/>
    </row>
    <row r="62" spans="1:18" ht="12.75" customHeight="1" x14ac:dyDescent="0.2">
      <c r="B62" s="57" t="s">
        <v>171</v>
      </c>
      <c r="C62" s="806" t="s">
        <v>172</v>
      </c>
      <c r="D62" s="807"/>
      <c r="E62" s="807"/>
      <c r="F62" s="808"/>
      <c r="G62" s="809">
        <v>105663</v>
      </c>
      <c r="H62" s="809"/>
      <c r="I62" s="58"/>
      <c r="J62" s="810" t="s">
        <v>173</v>
      </c>
      <c r="K62" s="811"/>
      <c r="L62" s="811"/>
      <c r="M62" s="811"/>
      <c r="N62" s="811"/>
      <c r="O62" s="812"/>
      <c r="Q62" s="59"/>
      <c r="R62" s="59"/>
    </row>
    <row r="63" spans="1:18" ht="13.5" thickBot="1" x14ac:dyDescent="0.25">
      <c r="D63" s="37"/>
      <c r="I63" s="58"/>
      <c r="J63" s="60" t="s">
        <v>911</v>
      </c>
      <c r="K63" s="132"/>
      <c r="L63" s="132"/>
      <c r="M63" s="133"/>
      <c r="N63" s="133"/>
      <c r="O63" s="134"/>
      <c r="Q63" s="59"/>
      <c r="R63" s="59"/>
    </row>
    <row r="64" spans="1:18" ht="13.5" thickBot="1" x14ac:dyDescent="0.25">
      <c r="B64" s="789" t="s">
        <v>175</v>
      </c>
      <c r="C64" s="790"/>
      <c r="D64" s="790"/>
      <c r="E64" s="790"/>
      <c r="F64" s="791"/>
      <c r="G64" s="805">
        <f>+G59-G62</f>
        <v>1002180</v>
      </c>
      <c r="H64" s="791"/>
      <c r="I64" s="63"/>
      <c r="J64" s="64"/>
      <c r="K64" s="39"/>
      <c r="L64" s="39"/>
      <c r="M64" s="39"/>
      <c r="N64" s="39"/>
      <c r="O64" s="65"/>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6.25" customHeight="1" thickBot="1" x14ac:dyDescent="0.25">
      <c r="B67" s="66"/>
      <c r="C67" s="48"/>
      <c r="G67" s="70" t="s">
        <v>177</v>
      </c>
      <c r="H67" s="70" t="s">
        <v>178</v>
      </c>
      <c r="I67" s="63"/>
      <c r="J67" s="810" t="s">
        <v>179</v>
      </c>
      <c r="K67" s="811"/>
      <c r="L67" s="71"/>
      <c r="M67" s="71"/>
      <c r="N67" s="71"/>
      <c r="O67" s="72"/>
      <c r="Q67" s="59"/>
      <c r="R67" s="59"/>
    </row>
    <row r="68" spans="2:18" ht="12.75" customHeight="1" x14ac:dyDescent="0.2">
      <c r="B68" s="802" t="s">
        <v>180</v>
      </c>
      <c r="C68" s="821" t="s">
        <v>181</v>
      </c>
      <c r="D68" s="823" t="s">
        <v>182</v>
      </c>
      <c r="E68" s="824"/>
      <c r="F68" s="824"/>
      <c r="G68" s="73">
        <f>+O43</f>
        <v>120000</v>
      </c>
      <c r="H68" s="74">
        <f t="shared" ref="H68:H76" si="4">+G68</f>
        <v>120000</v>
      </c>
      <c r="I68" s="63"/>
      <c r="J68" s="181"/>
      <c r="K68" s="58"/>
      <c r="L68" s="58"/>
      <c r="M68" s="135" t="s">
        <v>232</v>
      </c>
      <c r="N68" s="135" t="s">
        <v>233</v>
      </c>
      <c r="O68" s="76"/>
      <c r="Q68" s="59"/>
      <c r="R68" s="59"/>
    </row>
    <row r="69" spans="2:18" ht="12.75" customHeight="1" x14ac:dyDescent="0.2">
      <c r="B69" s="803"/>
      <c r="C69" s="822"/>
      <c r="D69" s="782" t="s">
        <v>184</v>
      </c>
      <c r="E69" s="783"/>
      <c r="F69" s="783"/>
      <c r="G69" s="77">
        <f>+O47</f>
        <v>9120</v>
      </c>
      <c r="H69" s="78">
        <f t="shared" si="4"/>
        <v>9120</v>
      </c>
      <c r="I69" s="63"/>
      <c r="J69" s="79"/>
      <c r="K69" s="68"/>
      <c r="L69" s="68"/>
      <c r="M69" s="68"/>
      <c r="N69" s="68"/>
      <c r="O69" s="69"/>
      <c r="Q69" s="59"/>
      <c r="R69" s="59"/>
    </row>
    <row r="70" spans="2:18" ht="12.75" customHeight="1" x14ac:dyDescent="0.2">
      <c r="B70" s="803"/>
      <c r="C70" s="822"/>
      <c r="D70" s="819" t="s">
        <v>185</v>
      </c>
      <c r="E70" s="820"/>
      <c r="F70" s="820"/>
      <c r="G70" s="80">
        <f>O40</f>
        <v>720</v>
      </c>
      <c r="H70" s="78">
        <f t="shared" si="4"/>
        <v>720</v>
      </c>
      <c r="I70" s="63"/>
      <c r="J70" s="67"/>
      <c r="K70" s="68"/>
      <c r="L70" s="68"/>
      <c r="M70" s="68"/>
      <c r="N70" s="68"/>
      <c r="O70" s="69"/>
    </row>
    <row r="71" spans="2:18" x14ac:dyDescent="0.2">
      <c r="B71" s="803"/>
      <c r="C71" s="822"/>
      <c r="D71" s="782" t="s">
        <v>913</v>
      </c>
      <c r="E71" s="783"/>
      <c r="F71" s="783"/>
      <c r="G71" s="81">
        <v>0</v>
      </c>
      <c r="H71" s="78">
        <f t="shared" si="4"/>
        <v>0</v>
      </c>
      <c r="I71" s="63"/>
      <c r="J71" s="82" t="s">
        <v>187</v>
      </c>
      <c r="K71" s="71"/>
      <c r="L71" s="71"/>
      <c r="M71" s="71"/>
      <c r="N71" s="71"/>
      <c r="O71" s="72"/>
    </row>
    <row r="72" spans="2:18" ht="12.75" customHeight="1" x14ac:dyDescent="0.2">
      <c r="B72" s="803"/>
      <c r="C72" s="822"/>
      <c r="D72" s="784" t="s">
        <v>188</v>
      </c>
      <c r="E72" s="783"/>
      <c r="F72" s="783"/>
      <c r="G72" s="80">
        <v>0</v>
      </c>
      <c r="H72" s="78">
        <f t="shared" si="4"/>
        <v>0</v>
      </c>
      <c r="I72" s="63"/>
      <c r="J72" s="75" t="s">
        <v>189</v>
      </c>
      <c r="K72" s="50"/>
      <c r="L72" s="50"/>
      <c r="M72" s="50"/>
      <c r="N72" s="50"/>
      <c r="O72" s="83">
        <v>0</v>
      </c>
    </row>
    <row r="73" spans="2:18" ht="14.25" customHeight="1" x14ac:dyDescent="0.2">
      <c r="B73" s="803"/>
      <c r="C73" s="822"/>
      <c r="D73" s="782" t="s">
        <v>190</v>
      </c>
      <c r="E73" s="783"/>
      <c r="F73" s="783"/>
      <c r="G73" s="84">
        <v>0</v>
      </c>
      <c r="H73" s="78">
        <f t="shared" si="4"/>
        <v>0</v>
      </c>
      <c r="I73" s="63"/>
      <c r="J73" s="64"/>
      <c r="K73" s="39"/>
      <c r="L73" s="39"/>
      <c r="M73" s="39"/>
      <c r="N73" s="39"/>
      <c r="O73" s="65"/>
    </row>
    <row r="74" spans="2:18" x14ac:dyDescent="0.2">
      <c r="B74" s="803"/>
      <c r="C74" s="822"/>
      <c r="D74" s="782" t="s">
        <v>191</v>
      </c>
      <c r="E74" s="783"/>
      <c r="F74" s="783"/>
      <c r="G74" s="81">
        <v>86576</v>
      </c>
      <c r="H74" s="78">
        <f t="shared" si="4"/>
        <v>86576</v>
      </c>
      <c r="I74" s="58"/>
      <c r="J74" s="150"/>
      <c r="K74" s="50"/>
      <c r="L74" s="50"/>
      <c r="M74" s="50"/>
      <c r="N74" s="50"/>
      <c r="O74" s="83"/>
    </row>
    <row r="75" spans="2:18" x14ac:dyDescent="0.2">
      <c r="B75" s="803"/>
      <c r="C75" s="88" t="s">
        <v>192</v>
      </c>
      <c r="D75" s="813" t="s">
        <v>193</v>
      </c>
      <c r="E75" s="814"/>
      <c r="F75" s="814"/>
      <c r="G75" s="80">
        <v>0</v>
      </c>
      <c r="H75" s="78">
        <f t="shared" si="4"/>
        <v>0</v>
      </c>
      <c r="I75" s="58"/>
      <c r="J75" s="79"/>
      <c r="K75" s="39"/>
      <c r="L75" s="39"/>
      <c r="M75" s="39"/>
      <c r="N75" s="39"/>
      <c r="O75" s="65"/>
    </row>
    <row r="76" spans="2:18" ht="13.5" customHeight="1" thickBot="1" x14ac:dyDescent="0.25">
      <c r="B76" s="803"/>
      <c r="C76" s="88" t="s">
        <v>194</v>
      </c>
      <c r="D76" s="815" t="s">
        <v>195</v>
      </c>
      <c r="E76" s="815"/>
      <c r="F76" s="815"/>
      <c r="G76" s="89">
        <v>0</v>
      </c>
      <c r="H76" s="90">
        <f t="shared" si="4"/>
        <v>0</v>
      </c>
      <c r="I76" s="63"/>
      <c r="J76" s="67"/>
      <c r="K76" s="68"/>
      <c r="L76" s="68"/>
      <c r="M76" s="91"/>
      <c r="N76" s="91"/>
      <c r="O76" s="92"/>
    </row>
    <row r="77" spans="2:18" ht="13.5" thickBot="1" x14ac:dyDescent="0.25">
      <c r="B77" s="803"/>
      <c r="C77" s="93"/>
      <c r="D77" s="94"/>
      <c r="E77" s="816" t="s">
        <v>117</v>
      </c>
      <c r="F77" s="817"/>
      <c r="G77" s="95">
        <f>SUM(G68:G76)</f>
        <v>216416</v>
      </c>
      <c r="H77" s="96">
        <f>IF(SUM(G68:G74)&lt;150000,SUM(G68:G74),150000)+IF(+G75&lt;20000,+G75,20000)</f>
        <v>150000</v>
      </c>
      <c r="I77" s="63"/>
      <c r="J77" s="140"/>
      <c r="K77" s="141"/>
      <c r="L77" s="141"/>
      <c r="M77" s="142"/>
      <c r="N77" s="142"/>
      <c r="O77" s="143"/>
    </row>
    <row r="78" spans="2:18" ht="12.75" customHeight="1" x14ac:dyDescent="0.2">
      <c r="B78" s="803"/>
      <c r="C78" s="100" t="s">
        <v>196</v>
      </c>
      <c r="D78" s="782" t="s">
        <v>187</v>
      </c>
      <c r="E78" s="783"/>
      <c r="F78" s="818"/>
      <c r="G78" s="73">
        <v>40315</v>
      </c>
      <c r="H78" s="101">
        <f>+IF(+G78&lt;25000,+G78,25000)</f>
        <v>25000</v>
      </c>
      <c r="I78" s="87"/>
    </row>
    <row r="79" spans="2:18" x14ac:dyDescent="0.2">
      <c r="B79" s="803"/>
      <c r="C79" s="100" t="s">
        <v>197</v>
      </c>
      <c r="D79" s="784" t="s">
        <v>198</v>
      </c>
      <c r="E79" s="785"/>
      <c r="F79" s="786"/>
      <c r="G79" s="102"/>
      <c r="H79" s="103">
        <f>+IF(+G79&lt;40000,+G79,40000)</f>
        <v>0</v>
      </c>
      <c r="I79" s="63"/>
    </row>
    <row r="80" spans="2:18" ht="15" x14ac:dyDescent="0.25">
      <c r="B80" s="803"/>
      <c r="C80" s="100" t="s">
        <v>199</v>
      </c>
      <c r="D80" s="784" t="s">
        <v>200</v>
      </c>
      <c r="E80" s="785"/>
      <c r="F80" s="786"/>
      <c r="G80" s="81"/>
      <c r="H80" s="104">
        <v>0</v>
      </c>
      <c r="I80" s="63"/>
      <c r="J80" s="264"/>
      <c r="K80" s="264"/>
      <c r="L80" s="264"/>
    </row>
    <row r="81" spans="2:12" x14ac:dyDescent="0.2">
      <c r="B81" s="803"/>
      <c r="C81" s="100" t="s">
        <v>201</v>
      </c>
      <c r="D81" s="784" t="s">
        <v>202</v>
      </c>
      <c r="E81" s="785"/>
      <c r="F81" s="786"/>
      <c r="G81" s="81"/>
      <c r="H81" s="104">
        <v>0</v>
      </c>
      <c r="I81" s="63"/>
    </row>
    <row r="82" spans="2:12" ht="13.5" thickBot="1" x14ac:dyDescent="0.25">
      <c r="B82" s="804"/>
      <c r="C82" s="100" t="s">
        <v>203</v>
      </c>
      <c r="D82" s="784" t="s">
        <v>204</v>
      </c>
      <c r="E82" s="785"/>
      <c r="F82" s="786"/>
      <c r="G82" s="102"/>
      <c r="H82" s="103">
        <f>+IF(+G82&lt;100000,+G82,10000)</f>
        <v>0</v>
      </c>
      <c r="I82" s="63"/>
      <c r="J82" s="106"/>
    </row>
    <row r="83" spans="2:12" ht="13.5" thickBot="1" x14ac:dyDescent="0.25">
      <c r="B83" s="787" t="s">
        <v>205</v>
      </c>
      <c r="C83" s="788"/>
      <c r="D83" s="788"/>
      <c r="E83" s="788"/>
      <c r="F83" s="788"/>
      <c r="G83" s="107">
        <f>SUM(G78:G82)</f>
        <v>40315</v>
      </c>
      <c r="H83" s="108">
        <f>SUM(H77:H82)</f>
        <v>175000</v>
      </c>
    </row>
    <row r="84" spans="2:12" ht="13.5" thickBot="1" x14ac:dyDescent="0.25"/>
    <row r="85" spans="2:12" ht="13.5" thickBot="1" x14ac:dyDescent="0.25">
      <c r="B85" s="789" t="s">
        <v>206</v>
      </c>
      <c r="C85" s="790"/>
      <c r="D85" s="790"/>
      <c r="E85" s="790"/>
      <c r="F85" s="791"/>
      <c r="G85" s="792">
        <f>+G64-H83</f>
        <v>827180</v>
      </c>
      <c r="H85" s="791"/>
      <c r="J85" s="109">
        <f>C37+D37+E37+F37</f>
        <v>363816</v>
      </c>
      <c r="K85" s="16" t="s">
        <v>235</v>
      </c>
      <c r="L85" s="87"/>
    </row>
    <row r="86" spans="2:12" x14ac:dyDescent="0.2">
      <c r="B86" s="110"/>
      <c r="F86" s="105"/>
      <c r="J86" s="109">
        <f>G37+H37+I37</f>
        <v>278796</v>
      </c>
      <c r="K86" s="16" t="s">
        <v>236</v>
      </c>
      <c r="L86" s="87"/>
    </row>
    <row r="87" spans="2:12" x14ac:dyDescent="0.2">
      <c r="C87" s="793" t="s">
        <v>207</v>
      </c>
      <c r="D87" s="794"/>
      <c r="E87" s="111" t="s">
        <v>208</v>
      </c>
      <c r="F87" s="111" t="s">
        <v>209</v>
      </c>
      <c r="G87" s="111" t="s">
        <v>210</v>
      </c>
      <c r="H87" s="111" t="s">
        <v>211</v>
      </c>
      <c r="J87" s="206">
        <f>J37+K37+L37</f>
        <v>294296</v>
      </c>
      <c r="K87" s="47" t="s">
        <v>237</v>
      </c>
      <c r="L87" s="87"/>
    </row>
    <row r="88" spans="2:12" x14ac:dyDescent="0.2">
      <c r="C88" s="795" t="str">
        <f>IF(I6="M","0          - 250000","0          -  250000")</f>
        <v>0          - 250000</v>
      </c>
      <c r="D88" s="796"/>
      <c r="E88" s="112">
        <v>0</v>
      </c>
      <c r="F88" s="113">
        <f>IF(I6="M",(IF(G85&lt;250000,G85,250000)),(IF(G85&lt;250000,G85,250000)))</f>
        <v>250000</v>
      </c>
      <c r="G88" s="113">
        <f>G85-F88</f>
        <v>577180</v>
      </c>
      <c r="H88" s="113">
        <f>E88*F88</f>
        <v>0</v>
      </c>
      <c r="J88" s="207">
        <f>M37+N37</f>
        <v>213435</v>
      </c>
      <c r="K88" s="1" t="s">
        <v>238</v>
      </c>
      <c r="L88" s="87"/>
    </row>
    <row r="89" spans="2:12" x14ac:dyDescent="0.2">
      <c r="C89" s="795" t="str">
        <f>IF(I6="M","250001 - 500000","250001-500000")</f>
        <v>250001 - 500000</v>
      </c>
      <c r="D89" s="796"/>
      <c r="E89" s="112">
        <v>0.05</v>
      </c>
      <c r="F89" s="113">
        <f>IF(I6="M",(IF(G88&lt;250000,G88,250000)),(IF(G88&lt;250000,G88,250000)))</f>
        <v>250000</v>
      </c>
      <c r="G89" s="113">
        <f>G88-F89</f>
        <v>327180</v>
      </c>
      <c r="H89" s="114">
        <f>ROUND(E89*F89,0.1)</f>
        <v>12500</v>
      </c>
      <c r="J89" s="115">
        <f>SUM(J85:J88)</f>
        <v>1150343</v>
      </c>
      <c r="L89" s="87"/>
    </row>
    <row r="90" spans="2:12" x14ac:dyDescent="0.2">
      <c r="C90" s="797" t="s">
        <v>212</v>
      </c>
      <c r="D90" s="798"/>
      <c r="E90" s="112">
        <v>0.2</v>
      </c>
      <c r="F90" s="113">
        <f>IF(G89&lt;500000,G89,500000)</f>
        <v>327180</v>
      </c>
      <c r="G90" s="113">
        <f>G89-F90</f>
        <v>0</v>
      </c>
      <c r="H90" s="114">
        <f>ROUND(E90*F90,0.1)</f>
        <v>65436</v>
      </c>
      <c r="J90" s="16">
        <f>+G85</f>
        <v>827180</v>
      </c>
      <c r="L90" s="87"/>
    </row>
    <row r="91" spans="2:12" x14ac:dyDescent="0.2">
      <c r="C91" s="795" t="s">
        <v>213</v>
      </c>
      <c r="D91" s="796"/>
      <c r="E91" s="112">
        <v>0.3</v>
      </c>
      <c r="F91" s="113">
        <f>G90</f>
        <v>0</v>
      </c>
      <c r="G91" s="113">
        <f>G90-F91</f>
        <v>0</v>
      </c>
      <c r="H91" s="114">
        <f>ROUND(E91*F91,0.1)</f>
        <v>0</v>
      </c>
      <c r="J91" s="16">
        <f>+J89-J90</f>
        <v>323163</v>
      </c>
      <c r="L91" s="87"/>
    </row>
    <row r="92" spans="2:12" ht="12.75" customHeight="1" thickBot="1" x14ac:dyDescent="0.25">
      <c r="B92" s="116"/>
      <c r="C92" s="117"/>
      <c r="D92" s="47"/>
      <c r="E92" s="47"/>
      <c r="F92" s="47"/>
    </row>
    <row r="93" spans="2:12" ht="13.5" thickBot="1" x14ac:dyDescent="0.25">
      <c r="B93" s="799" t="s">
        <v>239</v>
      </c>
      <c r="C93" s="800"/>
      <c r="D93" s="800"/>
      <c r="E93" s="800"/>
      <c r="F93" s="801"/>
      <c r="G93" s="771">
        <f>H88+H89+H90+H91</f>
        <v>77936</v>
      </c>
      <c r="H93" s="772"/>
    </row>
    <row r="94" spans="2:12" ht="13.5" thickBot="1" x14ac:dyDescent="0.25">
      <c r="B94" s="119" t="s">
        <v>215</v>
      </c>
      <c r="C94" s="120"/>
      <c r="D94" s="120"/>
      <c r="E94" s="120"/>
      <c r="F94" s="120"/>
      <c r="G94" s="895">
        <f>IF((G64&lt;500000),5000,0)</f>
        <v>0</v>
      </c>
      <c r="H94" s="896">
        <f>IF(H92&lt;200000,0,IF(H92&lt;220000,((H92-200000)*10%),IF(H92&lt;=500000,2000,IF(H92&gt;=500000,0))))</f>
        <v>0</v>
      </c>
      <c r="J94" s="1"/>
      <c r="K94" s="121"/>
      <c r="L94" s="121"/>
    </row>
    <row r="95" spans="2:12" ht="13.5" thickBot="1" x14ac:dyDescent="0.25">
      <c r="B95" s="122" t="s">
        <v>216</v>
      </c>
      <c r="C95" s="123"/>
      <c r="D95" s="123"/>
      <c r="E95" s="123"/>
      <c r="F95" s="123"/>
      <c r="G95" s="897">
        <f>IF((G93-G94)&lt;0,0,(G93-G94))</f>
        <v>77936</v>
      </c>
      <c r="H95" s="898"/>
      <c r="I95" s="37"/>
    </row>
    <row r="96" spans="2:12" ht="13.5" thickBot="1" x14ac:dyDescent="0.25">
      <c r="B96" s="773" t="s">
        <v>240</v>
      </c>
      <c r="C96" s="774"/>
      <c r="D96" s="774"/>
      <c r="E96" s="774"/>
      <c r="F96" s="775"/>
      <c r="G96" s="899">
        <f>ROUND((IF(G95&gt;0,(G95*4%),0)),0)</f>
        <v>3117</v>
      </c>
      <c r="H96" s="900"/>
      <c r="I96" s="37"/>
    </row>
    <row r="97" spans="2:9" ht="13.5" thickBot="1" x14ac:dyDescent="0.25">
      <c r="B97" s="778" t="s">
        <v>218</v>
      </c>
      <c r="C97" s="779"/>
      <c r="D97" s="779"/>
      <c r="E97" s="779"/>
      <c r="F97" s="779"/>
      <c r="G97" s="901">
        <f>G95+G96</f>
        <v>81053</v>
      </c>
      <c r="H97" s="902"/>
      <c r="I97" s="121"/>
    </row>
    <row r="98" spans="2:9" ht="13.5" thickBot="1" x14ac:dyDescent="0.25">
      <c r="B98" s="765" t="s">
        <v>219</v>
      </c>
      <c r="C98" s="766"/>
      <c r="D98" s="766"/>
      <c r="E98" s="766"/>
      <c r="F98" s="766"/>
      <c r="G98" s="893">
        <f>O38</f>
        <v>81060</v>
      </c>
      <c r="H98" s="894"/>
      <c r="I98" s="121"/>
    </row>
    <row r="99" spans="2:9" ht="13.5" thickBot="1" x14ac:dyDescent="0.25">
      <c r="B99" s="765" t="str">
        <f>IF(G99&gt;0,"TAX PAYABLE","TAX REFUND")</f>
        <v>TAX REFUND</v>
      </c>
      <c r="C99" s="766"/>
      <c r="D99" s="766"/>
      <c r="E99" s="766"/>
      <c r="F99" s="766"/>
      <c r="G99" s="893">
        <f>+G97-G98</f>
        <v>-7</v>
      </c>
      <c r="H99" s="894"/>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0:F90 B99:F99 B93:F97">
    <cfRule type="cellIs" dxfId="103" priority="1" stopIfTrue="1" operator="equal">
      <formula>"TAX PAYABLE"</formula>
    </cfRule>
    <cfRule type="cellIs" dxfId="102" priority="2" stopIfTrue="1" operator="equal">
      <formula>"TAX REFUND"</formula>
    </cfRule>
  </conditionalFormatting>
  <conditionalFormatting sqref="G90:H90">
    <cfRule type="cellIs" dxfId="101" priority="3" stopIfTrue="1" operator="lessThan">
      <formula>0</formula>
    </cfRule>
    <cfRule type="cellIs" dxfId="100" priority="4" stopIfTrue="1" operator="greaterThan">
      <formula>0</formula>
    </cfRule>
  </conditionalFormatting>
  <conditionalFormatting sqref="G99:H99">
    <cfRule type="cellIs" dxfId="99" priority="5" stopIfTrue="1" operator="greaterThan">
      <formula>0</formula>
    </cfRule>
    <cfRule type="cellIs" dxfId="98" priority="6" stopIfTrue="1" operator="lessThanOrEqual">
      <formula>0</formula>
    </cfRule>
  </conditionalFormatting>
  <dataValidations disablePrompts="1"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legacyDrawing r:id="rId2"/>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3"/>
  <sheetViews>
    <sheetView workbookViewId="0">
      <selection activeCell="J50" sqref="J50"/>
    </sheetView>
  </sheetViews>
  <sheetFormatPr defaultRowHeight="12.75" x14ac:dyDescent="0.2"/>
  <cols>
    <col min="1" max="1" width="5" style="16" customWidth="1"/>
    <col min="2" max="2" width="19" style="37" customWidth="1"/>
    <col min="3" max="3" width="9.140625" style="16"/>
    <col min="4" max="4" width="8.28515625" style="16" customWidth="1"/>
    <col min="5" max="5" width="8.5703125" style="16" bestFit="1" customWidth="1"/>
    <col min="6" max="6" width="8.7109375" style="16" customWidth="1"/>
    <col min="7" max="7" width="8.140625" style="16" customWidth="1"/>
    <col min="8" max="8" width="9" style="16" customWidth="1"/>
    <col min="9" max="14" width="7.7109375" style="16" customWidth="1"/>
    <col min="15" max="15" width="8.710937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9" style="16" customWidth="1"/>
    <col min="259" max="259" width="9.140625" style="16"/>
    <col min="260" max="260" width="8.28515625" style="16" customWidth="1"/>
    <col min="261" max="261" width="8.5703125" style="16" bestFit="1" customWidth="1"/>
    <col min="262" max="262" width="8.7109375" style="16" customWidth="1"/>
    <col min="263" max="263" width="8.140625" style="16" customWidth="1"/>
    <col min="264" max="264" width="9" style="16" customWidth="1"/>
    <col min="265" max="270" width="7.7109375" style="16" customWidth="1"/>
    <col min="271" max="271" width="8.710937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9" style="16" customWidth="1"/>
    <col min="515" max="515" width="9.140625" style="16"/>
    <col min="516" max="516" width="8.28515625" style="16" customWidth="1"/>
    <col min="517" max="517" width="8.5703125" style="16" bestFit="1" customWidth="1"/>
    <col min="518" max="518" width="8.7109375" style="16" customWidth="1"/>
    <col min="519" max="519" width="8.140625" style="16" customWidth="1"/>
    <col min="520" max="520" width="9" style="16" customWidth="1"/>
    <col min="521" max="526" width="7.7109375" style="16" customWidth="1"/>
    <col min="527" max="527" width="8.710937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9" style="16" customWidth="1"/>
    <col min="771" max="771" width="9.140625" style="16"/>
    <col min="772" max="772" width="8.28515625" style="16" customWidth="1"/>
    <col min="773" max="773" width="8.5703125" style="16" bestFit="1" customWidth="1"/>
    <col min="774" max="774" width="8.7109375" style="16" customWidth="1"/>
    <col min="775" max="775" width="8.140625" style="16" customWidth="1"/>
    <col min="776" max="776" width="9" style="16" customWidth="1"/>
    <col min="777" max="782" width="7.7109375" style="16" customWidth="1"/>
    <col min="783" max="783" width="8.710937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9" style="16" customWidth="1"/>
    <col min="1027" max="1027" width="9.140625" style="16"/>
    <col min="1028" max="1028" width="8.28515625" style="16" customWidth="1"/>
    <col min="1029" max="1029" width="8.5703125" style="16" bestFit="1" customWidth="1"/>
    <col min="1030" max="1030" width="8.7109375" style="16" customWidth="1"/>
    <col min="1031" max="1031" width="8.140625" style="16" customWidth="1"/>
    <col min="1032" max="1032" width="9" style="16" customWidth="1"/>
    <col min="1033" max="1038" width="7.7109375" style="16" customWidth="1"/>
    <col min="1039" max="1039" width="8.710937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9" style="16" customWidth="1"/>
    <col min="1283" max="1283" width="9.140625" style="16"/>
    <col min="1284" max="1284" width="8.28515625" style="16" customWidth="1"/>
    <col min="1285" max="1285" width="8.5703125" style="16" bestFit="1" customWidth="1"/>
    <col min="1286" max="1286" width="8.7109375" style="16" customWidth="1"/>
    <col min="1287" max="1287" width="8.140625" style="16" customWidth="1"/>
    <col min="1288" max="1288" width="9" style="16" customWidth="1"/>
    <col min="1289" max="1294" width="7.7109375" style="16" customWidth="1"/>
    <col min="1295" max="1295" width="8.710937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9" style="16" customWidth="1"/>
    <col min="1539" max="1539" width="9.140625" style="16"/>
    <col min="1540" max="1540" width="8.28515625" style="16" customWidth="1"/>
    <col min="1541" max="1541" width="8.5703125" style="16" bestFit="1" customWidth="1"/>
    <col min="1542" max="1542" width="8.7109375" style="16" customWidth="1"/>
    <col min="1543" max="1543" width="8.140625" style="16" customWidth="1"/>
    <col min="1544" max="1544" width="9" style="16" customWidth="1"/>
    <col min="1545" max="1550" width="7.7109375" style="16" customWidth="1"/>
    <col min="1551" max="1551" width="8.710937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9" style="16" customWidth="1"/>
    <col min="1795" max="1795" width="9.140625" style="16"/>
    <col min="1796" max="1796" width="8.28515625" style="16" customWidth="1"/>
    <col min="1797" max="1797" width="8.5703125" style="16" bestFit="1" customWidth="1"/>
    <col min="1798" max="1798" width="8.7109375" style="16" customWidth="1"/>
    <col min="1799" max="1799" width="8.140625" style="16" customWidth="1"/>
    <col min="1800" max="1800" width="9" style="16" customWidth="1"/>
    <col min="1801" max="1806" width="7.7109375" style="16" customWidth="1"/>
    <col min="1807" max="1807" width="8.710937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9" style="16" customWidth="1"/>
    <col min="2051" max="2051" width="9.140625" style="16"/>
    <col min="2052" max="2052" width="8.28515625" style="16" customWidth="1"/>
    <col min="2053" max="2053" width="8.5703125" style="16" bestFit="1" customWidth="1"/>
    <col min="2054" max="2054" width="8.7109375" style="16" customWidth="1"/>
    <col min="2055" max="2055" width="8.140625" style="16" customWidth="1"/>
    <col min="2056" max="2056" width="9" style="16" customWidth="1"/>
    <col min="2057" max="2062" width="7.7109375" style="16" customWidth="1"/>
    <col min="2063" max="2063" width="8.710937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9" style="16" customWidth="1"/>
    <col min="2307" max="2307" width="9.140625" style="16"/>
    <col min="2308" max="2308" width="8.28515625" style="16" customWidth="1"/>
    <col min="2309" max="2309" width="8.5703125" style="16" bestFit="1" customWidth="1"/>
    <col min="2310" max="2310" width="8.7109375" style="16" customWidth="1"/>
    <col min="2311" max="2311" width="8.140625" style="16" customWidth="1"/>
    <col min="2312" max="2312" width="9" style="16" customWidth="1"/>
    <col min="2313" max="2318" width="7.7109375" style="16" customWidth="1"/>
    <col min="2319" max="2319" width="8.710937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9" style="16" customWidth="1"/>
    <col min="2563" max="2563" width="9.140625" style="16"/>
    <col min="2564" max="2564" width="8.28515625" style="16" customWidth="1"/>
    <col min="2565" max="2565" width="8.5703125" style="16" bestFit="1" customWidth="1"/>
    <col min="2566" max="2566" width="8.7109375" style="16" customWidth="1"/>
    <col min="2567" max="2567" width="8.140625" style="16" customWidth="1"/>
    <col min="2568" max="2568" width="9" style="16" customWidth="1"/>
    <col min="2569" max="2574" width="7.7109375" style="16" customWidth="1"/>
    <col min="2575" max="2575" width="8.710937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9" style="16" customWidth="1"/>
    <col min="2819" max="2819" width="9.140625" style="16"/>
    <col min="2820" max="2820" width="8.28515625" style="16" customWidth="1"/>
    <col min="2821" max="2821" width="8.5703125" style="16" bestFit="1" customWidth="1"/>
    <col min="2822" max="2822" width="8.7109375" style="16" customWidth="1"/>
    <col min="2823" max="2823" width="8.140625" style="16" customWidth="1"/>
    <col min="2824" max="2824" width="9" style="16" customWidth="1"/>
    <col min="2825" max="2830" width="7.7109375" style="16" customWidth="1"/>
    <col min="2831" max="2831" width="8.710937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9" style="16" customWidth="1"/>
    <col min="3075" max="3075" width="9.140625" style="16"/>
    <col min="3076" max="3076" width="8.28515625" style="16" customWidth="1"/>
    <col min="3077" max="3077" width="8.5703125" style="16" bestFit="1" customWidth="1"/>
    <col min="3078" max="3078" width="8.7109375" style="16" customWidth="1"/>
    <col min="3079" max="3079" width="8.140625" style="16" customWidth="1"/>
    <col min="3080" max="3080" width="9" style="16" customWidth="1"/>
    <col min="3081" max="3086" width="7.7109375" style="16" customWidth="1"/>
    <col min="3087" max="3087" width="8.710937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9" style="16" customWidth="1"/>
    <col min="3331" max="3331" width="9.140625" style="16"/>
    <col min="3332" max="3332" width="8.28515625" style="16" customWidth="1"/>
    <col min="3333" max="3333" width="8.5703125" style="16" bestFit="1" customWidth="1"/>
    <col min="3334" max="3334" width="8.7109375" style="16" customWidth="1"/>
    <col min="3335" max="3335" width="8.140625" style="16" customWidth="1"/>
    <col min="3336" max="3336" width="9" style="16" customWidth="1"/>
    <col min="3337" max="3342" width="7.7109375" style="16" customWidth="1"/>
    <col min="3343" max="3343" width="8.710937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9" style="16" customWidth="1"/>
    <col min="3587" max="3587" width="9.140625" style="16"/>
    <col min="3588" max="3588" width="8.28515625" style="16" customWidth="1"/>
    <col min="3589" max="3589" width="8.5703125" style="16" bestFit="1" customWidth="1"/>
    <col min="3590" max="3590" width="8.7109375" style="16" customWidth="1"/>
    <col min="3591" max="3591" width="8.140625" style="16" customWidth="1"/>
    <col min="3592" max="3592" width="9" style="16" customWidth="1"/>
    <col min="3593" max="3598" width="7.7109375" style="16" customWidth="1"/>
    <col min="3599" max="3599" width="8.710937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9" style="16" customWidth="1"/>
    <col min="3843" max="3843" width="9.140625" style="16"/>
    <col min="3844" max="3844" width="8.28515625" style="16" customWidth="1"/>
    <col min="3845" max="3845" width="8.5703125" style="16" bestFit="1" customWidth="1"/>
    <col min="3846" max="3846" width="8.7109375" style="16" customWidth="1"/>
    <col min="3847" max="3847" width="8.140625" style="16" customWidth="1"/>
    <col min="3848" max="3848" width="9" style="16" customWidth="1"/>
    <col min="3849" max="3854" width="7.7109375" style="16" customWidth="1"/>
    <col min="3855" max="3855" width="8.710937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9" style="16" customWidth="1"/>
    <col min="4099" max="4099" width="9.140625" style="16"/>
    <col min="4100" max="4100" width="8.28515625" style="16" customWidth="1"/>
    <col min="4101" max="4101" width="8.5703125" style="16" bestFit="1" customWidth="1"/>
    <col min="4102" max="4102" width="8.7109375" style="16" customWidth="1"/>
    <col min="4103" max="4103" width="8.140625" style="16" customWidth="1"/>
    <col min="4104" max="4104" width="9" style="16" customWidth="1"/>
    <col min="4105" max="4110" width="7.7109375" style="16" customWidth="1"/>
    <col min="4111" max="4111" width="8.710937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9" style="16" customWidth="1"/>
    <col min="4355" max="4355" width="9.140625" style="16"/>
    <col min="4356" max="4356" width="8.28515625" style="16" customWidth="1"/>
    <col min="4357" max="4357" width="8.5703125" style="16" bestFit="1" customWidth="1"/>
    <col min="4358" max="4358" width="8.7109375" style="16" customWidth="1"/>
    <col min="4359" max="4359" width="8.140625" style="16" customWidth="1"/>
    <col min="4360" max="4360" width="9" style="16" customWidth="1"/>
    <col min="4361" max="4366" width="7.7109375" style="16" customWidth="1"/>
    <col min="4367" max="4367" width="8.710937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9" style="16" customWidth="1"/>
    <col min="4611" max="4611" width="9.140625" style="16"/>
    <col min="4612" max="4612" width="8.28515625" style="16" customWidth="1"/>
    <col min="4613" max="4613" width="8.5703125" style="16" bestFit="1" customWidth="1"/>
    <col min="4614" max="4614" width="8.7109375" style="16" customWidth="1"/>
    <col min="4615" max="4615" width="8.140625" style="16" customWidth="1"/>
    <col min="4616" max="4616" width="9" style="16" customWidth="1"/>
    <col min="4617" max="4622" width="7.7109375" style="16" customWidth="1"/>
    <col min="4623" max="4623" width="8.710937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9" style="16" customWidth="1"/>
    <col min="4867" max="4867" width="9.140625" style="16"/>
    <col min="4868" max="4868" width="8.28515625" style="16" customWidth="1"/>
    <col min="4869" max="4869" width="8.5703125" style="16" bestFit="1" customWidth="1"/>
    <col min="4870" max="4870" width="8.7109375" style="16" customWidth="1"/>
    <col min="4871" max="4871" width="8.140625" style="16" customWidth="1"/>
    <col min="4872" max="4872" width="9" style="16" customWidth="1"/>
    <col min="4873" max="4878" width="7.7109375" style="16" customWidth="1"/>
    <col min="4879" max="4879" width="8.710937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9" style="16" customWidth="1"/>
    <col min="5123" max="5123" width="9.140625" style="16"/>
    <col min="5124" max="5124" width="8.28515625" style="16" customWidth="1"/>
    <col min="5125" max="5125" width="8.5703125" style="16" bestFit="1" customWidth="1"/>
    <col min="5126" max="5126" width="8.7109375" style="16" customWidth="1"/>
    <col min="5127" max="5127" width="8.140625" style="16" customWidth="1"/>
    <col min="5128" max="5128" width="9" style="16" customWidth="1"/>
    <col min="5129" max="5134" width="7.7109375" style="16" customWidth="1"/>
    <col min="5135" max="5135" width="8.710937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9" style="16" customWidth="1"/>
    <col min="5379" max="5379" width="9.140625" style="16"/>
    <col min="5380" max="5380" width="8.28515625" style="16" customWidth="1"/>
    <col min="5381" max="5381" width="8.5703125" style="16" bestFit="1" customWidth="1"/>
    <col min="5382" max="5382" width="8.7109375" style="16" customWidth="1"/>
    <col min="5383" max="5383" width="8.140625" style="16" customWidth="1"/>
    <col min="5384" max="5384" width="9" style="16" customWidth="1"/>
    <col min="5385" max="5390" width="7.7109375" style="16" customWidth="1"/>
    <col min="5391" max="5391" width="8.710937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9" style="16" customWidth="1"/>
    <col min="5635" max="5635" width="9.140625" style="16"/>
    <col min="5636" max="5636" width="8.28515625" style="16" customWidth="1"/>
    <col min="5637" max="5637" width="8.5703125" style="16" bestFit="1" customWidth="1"/>
    <col min="5638" max="5638" width="8.7109375" style="16" customWidth="1"/>
    <col min="5639" max="5639" width="8.140625" style="16" customWidth="1"/>
    <col min="5640" max="5640" width="9" style="16" customWidth="1"/>
    <col min="5641" max="5646" width="7.7109375" style="16" customWidth="1"/>
    <col min="5647" max="5647" width="8.710937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9" style="16" customWidth="1"/>
    <col min="5891" max="5891" width="9.140625" style="16"/>
    <col min="5892" max="5892" width="8.28515625" style="16" customWidth="1"/>
    <col min="5893" max="5893" width="8.5703125" style="16" bestFit="1" customWidth="1"/>
    <col min="5894" max="5894" width="8.7109375" style="16" customWidth="1"/>
    <col min="5895" max="5895" width="8.140625" style="16" customWidth="1"/>
    <col min="5896" max="5896" width="9" style="16" customWidth="1"/>
    <col min="5897" max="5902" width="7.7109375" style="16" customWidth="1"/>
    <col min="5903" max="5903" width="8.710937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9" style="16" customWidth="1"/>
    <col min="6147" max="6147" width="9.140625" style="16"/>
    <col min="6148" max="6148" width="8.28515625" style="16" customWidth="1"/>
    <col min="6149" max="6149" width="8.5703125" style="16" bestFit="1" customWidth="1"/>
    <col min="6150" max="6150" width="8.7109375" style="16" customWidth="1"/>
    <col min="6151" max="6151" width="8.140625" style="16" customWidth="1"/>
    <col min="6152" max="6152" width="9" style="16" customWidth="1"/>
    <col min="6153" max="6158" width="7.7109375" style="16" customWidth="1"/>
    <col min="6159" max="6159" width="8.710937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9" style="16" customWidth="1"/>
    <col min="6403" max="6403" width="9.140625" style="16"/>
    <col min="6404" max="6404" width="8.28515625" style="16" customWidth="1"/>
    <col min="6405" max="6405" width="8.5703125" style="16" bestFit="1" customWidth="1"/>
    <col min="6406" max="6406" width="8.7109375" style="16" customWidth="1"/>
    <col min="6407" max="6407" width="8.140625" style="16" customWidth="1"/>
    <col min="6408" max="6408" width="9" style="16" customWidth="1"/>
    <col min="6409" max="6414" width="7.7109375" style="16" customWidth="1"/>
    <col min="6415" max="6415" width="8.710937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9" style="16" customWidth="1"/>
    <col min="6659" max="6659" width="9.140625" style="16"/>
    <col min="6660" max="6660" width="8.28515625" style="16" customWidth="1"/>
    <col min="6661" max="6661" width="8.5703125" style="16" bestFit="1" customWidth="1"/>
    <col min="6662" max="6662" width="8.7109375" style="16" customWidth="1"/>
    <col min="6663" max="6663" width="8.140625" style="16" customWidth="1"/>
    <col min="6664" max="6664" width="9" style="16" customWidth="1"/>
    <col min="6665" max="6670" width="7.7109375" style="16" customWidth="1"/>
    <col min="6671" max="6671" width="8.710937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9" style="16" customWidth="1"/>
    <col min="6915" max="6915" width="9.140625" style="16"/>
    <col min="6916" max="6916" width="8.28515625" style="16" customWidth="1"/>
    <col min="6917" max="6917" width="8.5703125" style="16" bestFit="1" customWidth="1"/>
    <col min="6918" max="6918" width="8.7109375" style="16" customWidth="1"/>
    <col min="6919" max="6919" width="8.140625" style="16" customWidth="1"/>
    <col min="6920" max="6920" width="9" style="16" customWidth="1"/>
    <col min="6921" max="6926" width="7.7109375" style="16" customWidth="1"/>
    <col min="6927" max="6927" width="8.710937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9" style="16" customWidth="1"/>
    <col min="7171" max="7171" width="9.140625" style="16"/>
    <col min="7172" max="7172" width="8.28515625" style="16" customWidth="1"/>
    <col min="7173" max="7173" width="8.5703125" style="16" bestFit="1" customWidth="1"/>
    <col min="7174" max="7174" width="8.7109375" style="16" customWidth="1"/>
    <col min="7175" max="7175" width="8.140625" style="16" customWidth="1"/>
    <col min="7176" max="7176" width="9" style="16" customWidth="1"/>
    <col min="7177" max="7182" width="7.7109375" style="16" customWidth="1"/>
    <col min="7183" max="7183" width="8.710937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9" style="16" customWidth="1"/>
    <col min="7427" max="7427" width="9.140625" style="16"/>
    <col min="7428" max="7428" width="8.28515625" style="16" customWidth="1"/>
    <col min="7429" max="7429" width="8.5703125" style="16" bestFit="1" customWidth="1"/>
    <col min="7430" max="7430" width="8.7109375" style="16" customWidth="1"/>
    <col min="7431" max="7431" width="8.140625" style="16" customWidth="1"/>
    <col min="7432" max="7432" width="9" style="16" customWidth="1"/>
    <col min="7433" max="7438" width="7.7109375" style="16" customWidth="1"/>
    <col min="7439" max="7439" width="8.710937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9" style="16" customWidth="1"/>
    <col min="7683" max="7683" width="9.140625" style="16"/>
    <col min="7684" max="7684" width="8.28515625" style="16" customWidth="1"/>
    <col min="7685" max="7685" width="8.5703125" style="16" bestFit="1" customWidth="1"/>
    <col min="7686" max="7686" width="8.7109375" style="16" customWidth="1"/>
    <col min="7687" max="7687" width="8.140625" style="16" customWidth="1"/>
    <col min="7688" max="7688" width="9" style="16" customWidth="1"/>
    <col min="7689" max="7694" width="7.7109375" style="16" customWidth="1"/>
    <col min="7695" max="7695" width="8.710937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9" style="16" customWidth="1"/>
    <col min="7939" max="7939" width="9.140625" style="16"/>
    <col min="7940" max="7940" width="8.28515625" style="16" customWidth="1"/>
    <col min="7941" max="7941" width="8.5703125" style="16" bestFit="1" customWidth="1"/>
    <col min="7942" max="7942" width="8.7109375" style="16" customWidth="1"/>
    <col min="7943" max="7943" width="8.140625" style="16" customWidth="1"/>
    <col min="7944" max="7944" width="9" style="16" customWidth="1"/>
    <col min="7945" max="7950" width="7.7109375" style="16" customWidth="1"/>
    <col min="7951" max="7951" width="8.710937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9" style="16" customWidth="1"/>
    <col min="8195" max="8195" width="9.140625" style="16"/>
    <col min="8196" max="8196" width="8.28515625" style="16" customWidth="1"/>
    <col min="8197" max="8197" width="8.5703125" style="16" bestFit="1" customWidth="1"/>
    <col min="8198" max="8198" width="8.7109375" style="16" customWidth="1"/>
    <col min="8199" max="8199" width="8.140625" style="16" customWidth="1"/>
    <col min="8200" max="8200" width="9" style="16" customWidth="1"/>
    <col min="8201" max="8206" width="7.7109375" style="16" customWidth="1"/>
    <col min="8207" max="8207" width="8.710937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9" style="16" customWidth="1"/>
    <col min="8451" max="8451" width="9.140625" style="16"/>
    <col min="8452" max="8452" width="8.28515625" style="16" customWidth="1"/>
    <col min="8453" max="8453" width="8.5703125" style="16" bestFit="1" customWidth="1"/>
    <col min="8454" max="8454" width="8.7109375" style="16" customWidth="1"/>
    <col min="8455" max="8455" width="8.140625" style="16" customWidth="1"/>
    <col min="8456" max="8456" width="9" style="16" customWidth="1"/>
    <col min="8457" max="8462" width="7.7109375" style="16" customWidth="1"/>
    <col min="8463" max="8463" width="8.710937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9" style="16" customWidth="1"/>
    <col min="8707" max="8707" width="9.140625" style="16"/>
    <col min="8708" max="8708" width="8.28515625" style="16" customWidth="1"/>
    <col min="8709" max="8709" width="8.5703125" style="16" bestFit="1" customWidth="1"/>
    <col min="8710" max="8710" width="8.7109375" style="16" customWidth="1"/>
    <col min="8711" max="8711" width="8.140625" style="16" customWidth="1"/>
    <col min="8712" max="8712" width="9" style="16" customWidth="1"/>
    <col min="8713" max="8718" width="7.7109375" style="16" customWidth="1"/>
    <col min="8719" max="8719" width="8.710937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9" style="16" customWidth="1"/>
    <col min="8963" max="8963" width="9.140625" style="16"/>
    <col min="8964" max="8964" width="8.28515625" style="16" customWidth="1"/>
    <col min="8965" max="8965" width="8.5703125" style="16" bestFit="1" customWidth="1"/>
    <col min="8966" max="8966" width="8.7109375" style="16" customWidth="1"/>
    <col min="8967" max="8967" width="8.140625" style="16" customWidth="1"/>
    <col min="8968" max="8968" width="9" style="16" customWidth="1"/>
    <col min="8969" max="8974" width="7.7109375" style="16" customWidth="1"/>
    <col min="8975" max="8975" width="8.710937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9" style="16" customWidth="1"/>
    <col min="9219" max="9219" width="9.140625" style="16"/>
    <col min="9220" max="9220" width="8.28515625" style="16" customWidth="1"/>
    <col min="9221" max="9221" width="8.5703125" style="16" bestFit="1" customWidth="1"/>
    <col min="9222" max="9222" width="8.7109375" style="16" customWidth="1"/>
    <col min="9223" max="9223" width="8.140625" style="16" customWidth="1"/>
    <col min="9224" max="9224" width="9" style="16" customWidth="1"/>
    <col min="9225" max="9230" width="7.7109375" style="16" customWidth="1"/>
    <col min="9231" max="9231" width="8.710937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9" style="16" customWidth="1"/>
    <col min="9475" max="9475" width="9.140625" style="16"/>
    <col min="9476" max="9476" width="8.28515625" style="16" customWidth="1"/>
    <col min="9477" max="9477" width="8.5703125" style="16" bestFit="1" customWidth="1"/>
    <col min="9478" max="9478" width="8.7109375" style="16" customWidth="1"/>
    <col min="9479" max="9479" width="8.140625" style="16" customWidth="1"/>
    <col min="9480" max="9480" width="9" style="16" customWidth="1"/>
    <col min="9481" max="9486" width="7.7109375" style="16" customWidth="1"/>
    <col min="9487" max="9487" width="8.710937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9" style="16" customWidth="1"/>
    <col min="9731" max="9731" width="9.140625" style="16"/>
    <col min="9732" max="9732" width="8.28515625" style="16" customWidth="1"/>
    <col min="9733" max="9733" width="8.5703125" style="16" bestFit="1" customWidth="1"/>
    <col min="9734" max="9734" width="8.7109375" style="16" customWidth="1"/>
    <col min="9735" max="9735" width="8.140625" style="16" customWidth="1"/>
    <col min="9736" max="9736" width="9" style="16" customWidth="1"/>
    <col min="9737" max="9742" width="7.7109375" style="16" customWidth="1"/>
    <col min="9743" max="9743" width="8.710937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9" style="16" customWidth="1"/>
    <col min="9987" max="9987" width="9.140625" style="16"/>
    <col min="9988" max="9988" width="8.28515625" style="16" customWidth="1"/>
    <col min="9989" max="9989" width="8.5703125" style="16" bestFit="1" customWidth="1"/>
    <col min="9990" max="9990" width="8.7109375" style="16" customWidth="1"/>
    <col min="9991" max="9991" width="8.140625" style="16" customWidth="1"/>
    <col min="9992" max="9992" width="9" style="16" customWidth="1"/>
    <col min="9993" max="9998" width="7.7109375" style="16" customWidth="1"/>
    <col min="9999" max="9999" width="8.710937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9" style="16" customWidth="1"/>
    <col min="10243" max="10243" width="9.140625" style="16"/>
    <col min="10244" max="10244" width="8.28515625" style="16" customWidth="1"/>
    <col min="10245" max="10245" width="8.5703125" style="16" bestFit="1" customWidth="1"/>
    <col min="10246" max="10246" width="8.7109375" style="16" customWidth="1"/>
    <col min="10247" max="10247" width="8.140625" style="16" customWidth="1"/>
    <col min="10248" max="10248" width="9" style="16" customWidth="1"/>
    <col min="10249" max="10254" width="7.7109375" style="16" customWidth="1"/>
    <col min="10255" max="10255" width="8.710937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9" style="16" customWidth="1"/>
    <col min="10499" max="10499" width="9.140625" style="16"/>
    <col min="10500" max="10500" width="8.28515625" style="16" customWidth="1"/>
    <col min="10501" max="10501" width="8.5703125" style="16" bestFit="1" customWidth="1"/>
    <col min="10502" max="10502" width="8.7109375" style="16" customWidth="1"/>
    <col min="10503" max="10503" width="8.140625" style="16" customWidth="1"/>
    <col min="10504" max="10504" width="9" style="16" customWidth="1"/>
    <col min="10505" max="10510" width="7.7109375" style="16" customWidth="1"/>
    <col min="10511" max="10511" width="8.710937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9" style="16" customWidth="1"/>
    <col min="10755" max="10755" width="9.140625" style="16"/>
    <col min="10756" max="10756" width="8.28515625" style="16" customWidth="1"/>
    <col min="10757" max="10757" width="8.5703125" style="16" bestFit="1" customWidth="1"/>
    <col min="10758" max="10758" width="8.7109375" style="16" customWidth="1"/>
    <col min="10759" max="10759" width="8.140625" style="16" customWidth="1"/>
    <col min="10760" max="10760" width="9" style="16" customWidth="1"/>
    <col min="10761" max="10766" width="7.7109375" style="16" customWidth="1"/>
    <col min="10767" max="10767" width="8.710937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9" style="16" customWidth="1"/>
    <col min="11011" max="11011" width="9.140625" style="16"/>
    <col min="11012" max="11012" width="8.28515625" style="16" customWidth="1"/>
    <col min="11013" max="11013" width="8.5703125" style="16" bestFit="1" customWidth="1"/>
    <col min="11014" max="11014" width="8.7109375" style="16" customWidth="1"/>
    <col min="11015" max="11015" width="8.140625" style="16" customWidth="1"/>
    <col min="11016" max="11016" width="9" style="16" customWidth="1"/>
    <col min="11017" max="11022" width="7.7109375" style="16" customWidth="1"/>
    <col min="11023" max="11023" width="8.710937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9" style="16" customWidth="1"/>
    <col min="11267" max="11267" width="9.140625" style="16"/>
    <col min="11268" max="11268" width="8.28515625" style="16" customWidth="1"/>
    <col min="11269" max="11269" width="8.5703125" style="16" bestFit="1" customWidth="1"/>
    <col min="11270" max="11270" width="8.7109375" style="16" customWidth="1"/>
    <col min="11271" max="11271" width="8.140625" style="16" customWidth="1"/>
    <col min="11272" max="11272" width="9" style="16" customWidth="1"/>
    <col min="11273" max="11278" width="7.7109375" style="16" customWidth="1"/>
    <col min="11279" max="11279" width="8.710937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9" style="16" customWidth="1"/>
    <col min="11523" max="11523" width="9.140625" style="16"/>
    <col min="11524" max="11524" width="8.28515625" style="16" customWidth="1"/>
    <col min="11525" max="11525" width="8.5703125" style="16" bestFit="1" customWidth="1"/>
    <col min="11526" max="11526" width="8.7109375" style="16" customWidth="1"/>
    <col min="11527" max="11527" width="8.140625" style="16" customWidth="1"/>
    <col min="11528" max="11528" width="9" style="16" customWidth="1"/>
    <col min="11529" max="11534" width="7.7109375" style="16" customWidth="1"/>
    <col min="11535" max="11535" width="8.710937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9" style="16" customWidth="1"/>
    <col min="11779" max="11779" width="9.140625" style="16"/>
    <col min="11780" max="11780" width="8.28515625" style="16" customWidth="1"/>
    <col min="11781" max="11781" width="8.5703125" style="16" bestFit="1" customWidth="1"/>
    <col min="11782" max="11782" width="8.7109375" style="16" customWidth="1"/>
    <col min="11783" max="11783" width="8.140625" style="16" customWidth="1"/>
    <col min="11784" max="11784" width="9" style="16" customWidth="1"/>
    <col min="11785" max="11790" width="7.7109375" style="16" customWidth="1"/>
    <col min="11791" max="11791" width="8.710937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9" style="16" customWidth="1"/>
    <col min="12035" max="12035" width="9.140625" style="16"/>
    <col min="12036" max="12036" width="8.28515625" style="16" customWidth="1"/>
    <col min="12037" max="12037" width="8.5703125" style="16" bestFit="1" customWidth="1"/>
    <col min="12038" max="12038" width="8.7109375" style="16" customWidth="1"/>
    <col min="12039" max="12039" width="8.140625" style="16" customWidth="1"/>
    <col min="12040" max="12040" width="9" style="16" customWidth="1"/>
    <col min="12041" max="12046" width="7.7109375" style="16" customWidth="1"/>
    <col min="12047" max="12047" width="8.710937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9" style="16" customWidth="1"/>
    <col min="12291" max="12291" width="9.140625" style="16"/>
    <col min="12292" max="12292" width="8.28515625" style="16" customWidth="1"/>
    <col min="12293" max="12293" width="8.5703125" style="16" bestFit="1" customWidth="1"/>
    <col min="12294" max="12294" width="8.7109375" style="16" customWidth="1"/>
    <col min="12295" max="12295" width="8.140625" style="16" customWidth="1"/>
    <col min="12296" max="12296" width="9" style="16" customWidth="1"/>
    <col min="12297" max="12302" width="7.7109375" style="16" customWidth="1"/>
    <col min="12303" max="12303" width="8.710937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9" style="16" customWidth="1"/>
    <col min="12547" max="12547" width="9.140625" style="16"/>
    <col min="12548" max="12548" width="8.28515625" style="16" customWidth="1"/>
    <col min="12549" max="12549" width="8.5703125" style="16" bestFit="1" customWidth="1"/>
    <col min="12550" max="12550" width="8.7109375" style="16" customWidth="1"/>
    <col min="12551" max="12551" width="8.140625" style="16" customWidth="1"/>
    <col min="12552" max="12552" width="9" style="16" customWidth="1"/>
    <col min="12553" max="12558" width="7.7109375" style="16" customWidth="1"/>
    <col min="12559" max="12559" width="8.710937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9" style="16" customWidth="1"/>
    <col min="12803" max="12803" width="9.140625" style="16"/>
    <col min="12804" max="12804" width="8.28515625" style="16" customWidth="1"/>
    <col min="12805" max="12805" width="8.5703125" style="16" bestFit="1" customWidth="1"/>
    <col min="12806" max="12806" width="8.7109375" style="16" customWidth="1"/>
    <col min="12807" max="12807" width="8.140625" style="16" customWidth="1"/>
    <col min="12808" max="12808" width="9" style="16" customWidth="1"/>
    <col min="12809" max="12814" width="7.7109375" style="16" customWidth="1"/>
    <col min="12815" max="12815" width="8.710937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9" style="16" customWidth="1"/>
    <col min="13059" max="13059" width="9.140625" style="16"/>
    <col min="13060" max="13060" width="8.28515625" style="16" customWidth="1"/>
    <col min="13061" max="13061" width="8.5703125" style="16" bestFit="1" customWidth="1"/>
    <col min="13062" max="13062" width="8.7109375" style="16" customWidth="1"/>
    <col min="13063" max="13063" width="8.140625" style="16" customWidth="1"/>
    <col min="13064" max="13064" width="9" style="16" customWidth="1"/>
    <col min="13065" max="13070" width="7.7109375" style="16" customWidth="1"/>
    <col min="13071" max="13071" width="8.710937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9" style="16" customWidth="1"/>
    <col min="13315" max="13315" width="9.140625" style="16"/>
    <col min="13316" max="13316" width="8.28515625" style="16" customWidth="1"/>
    <col min="13317" max="13317" width="8.5703125" style="16" bestFit="1" customWidth="1"/>
    <col min="13318" max="13318" width="8.7109375" style="16" customWidth="1"/>
    <col min="13319" max="13319" width="8.140625" style="16" customWidth="1"/>
    <col min="13320" max="13320" width="9" style="16" customWidth="1"/>
    <col min="13321" max="13326" width="7.7109375" style="16" customWidth="1"/>
    <col min="13327" max="13327" width="8.710937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9" style="16" customWidth="1"/>
    <col min="13571" max="13571" width="9.140625" style="16"/>
    <col min="13572" max="13572" width="8.28515625" style="16" customWidth="1"/>
    <col min="13573" max="13573" width="8.5703125" style="16" bestFit="1" customWidth="1"/>
    <col min="13574" max="13574" width="8.7109375" style="16" customWidth="1"/>
    <col min="13575" max="13575" width="8.140625" style="16" customWidth="1"/>
    <col min="13576" max="13576" width="9" style="16" customWidth="1"/>
    <col min="13577" max="13582" width="7.7109375" style="16" customWidth="1"/>
    <col min="13583" max="13583" width="8.710937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9" style="16" customWidth="1"/>
    <col min="13827" max="13827" width="9.140625" style="16"/>
    <col min="13828" max="13828" width="8.28515625" style="16" customWidth="1"/>
    <col min="13829" max="13829" width="8.5703125" style="16" bestFit="1" customWidth="1"/>
    <col min="13830" max="13830" width="8.7109375" style="16" customWidth="1"/>
    <col min="13831" max="13831" width="8.140625" style="16" customWidth="1"/>
    <col min="13832" max="13832" width="9" style="16" customWidth="1"/>
    <col min="13833" max="13838" width="7.7109375" style="16" customWidth="1"/>
    <col min="13839" max="13839" width="8.710937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9" style="16" customWidth="1"/>
    <col min="14083" max="14083" width="9.140625" style="16"/>
    <col min="14084" max="14084" width="8.28515625" style="16" customWidth="1"/>
    <col min="14085" max="14085" width="8.5703125" style="16" bestFit="1" customWidth="1"/>
    <col min="14086" max="14086" width="8.7109375" style="16" customWidth="1"/>
    <col min="14087" max="14087" width="8.140625" style="16" customWidth="1"/>
    <col min="14088" max="14088" width="9" style="16" customWidth="1"/>
    <col min="14089" max="14094" width="7.7109375" style="16" customWidth="1"/>
    <col min="14095" max="14095" width="8.710937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9" style="16" customWidth="1"/>
    <col min="14339" max="14339" width="9.140625" style="16"/>
    <col min="14340" max="14340" width="8.28515625" style="16" customWidth="1"/>
    <col min="14341" max="14341" width="8.5703125" style="16" bestFit="1" customWidth="1"/>
    <col min="14342" max="14342" width="8.7109375" style="16" customWidth="1"/>
    <col min="14343" max="14343" width="8.140625" style="16" customWidth="1"/>
    <col min="14344" max="14344" width="9" style="16" customWidth="1"/>
    <col min="14345" max="14350" width="7.7109375" style="16" customWidth="1"/>
    <col min="14351" max="14351" width="8.710937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9" style="16" customWidth="1"/>
    <col min="14595" max="14595" width="9.140625" style="16"/>
    <col min="14596" max="14596" width="8.28515625" style="16" customWidth="1"/>
    <col min="14597" max="14597" width="8.5703125" style="16" bestFit="1" customWidth="1"/>
    <col min="14598" max="14598" width="8.7109375" style="16" customWidth="1"/>
    <col min="14599" max="14599" width="8.140625" style="16" customWidth="1"/>
    <col min="14600" max="14600" width="9" style="16" customWidth="1"/>
    <col min="14601" max="14606" width="7.7109375" style="16" customWidth="1"/>
    <col min="14607" max="14607" width="8.710937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9" style="16" customWidth="1"/>
    <col min="14851" max="14851" width="9.140625" style="16"/>
    <col min="14852" max="14852" width="8.28515625" style="16" customWidth="1"/>
    <col min="14853" max="14853" width="8.5703125" style="16" bestFit="1" customWidth="1"/>
    <col min="14854" max="14854" width="8.7109375" style="16" customWidth="1"/>
    <col min="14855" max="14855" width="8.140625" style="16" customWidth="1"/>
    <col min="14856" max="14856" width="9" style="16" customWidth="1"/>
    <col min="14857" max="14862" width="7.7109375" style="16" customWidth="1"/>
    <col min="14863" max="14863" width="8.710937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9" style="16" customWidth="1"/>
    <col min="15107" max="15107" width="9.140625" style="16"/>
    <col min="15108" max="15108" width="8.28515625" style="16" customWidth="1"/>
    <col min="15109" max="15109" width="8.5703125" style="16" bestFit="1" customWidth="1"/>
    <col min="15110" max="15110" width="8.7109375" style="16" customWidth="1"/>
    <col min="15111" max="15111" width="8.140625" style="16" customWidth="1"/>
    <col min="15112" max="15112" width="9" style="16" customWidth="1"/>
    <col min="15113" max="15118" width="7.7109375" style="16" customWidth="1"/>
    <col min="15119" max="15119" width="8.710937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9" style="16" customWidth="1"/>
    <col min="15363" max="15363" width="9.140625" style="16"/>
    <col min="15364" max="15364" width="8.28515625" style="16" customWidth="1"/>
    <col min="15365" max="15365" width="8.5703125" style="16" bestFit="1" customWidth="1"/>
    <col min="15366" max="15366" width="8.7109375" style="16" customWidth="1"/>
    <col min="15367" max="15367" width="8.140625" style="16" customWidth="1"/>
    <col min="15368" max="15368" width="9" style="16" customWidth="1"/>
    <col min="15369" max="15374" width="7.7109375" style="16" customWidth="1"/>
    <col min="15375" max="15375" width="8.710937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9" style="16" customWidth="1"/>
    <col min="15619" max="15619" width="9.140625" style="16"/>
    <col min="15620" max="15620" width="8.28515625" style="16" customWidth="1"/>
    <col min="15621" max="15621" width="8.5703125" style="16" bestFit="1" customWidth="1"/>
    <col min="15622" max="15622" width="8.7109375" style="16" customWidth="1"/>
    <col min="15623" max="15623" width="8.140625" style="16" customWidth="1"/>
    <col min="15624" max="15624" width="9" style="16" customWidth="1"/>
    <col min="15625" max="15630" width="7.7109375" style="16" customWidth="1"/>
    <col min="15631" max="15631" width="8.710937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9" style="16" customWidth="1"/>
    <col min="15875" max="15875" width="9.140625" style="16"/>
    <col min="15876" max="15876" width="8.28515625" style="16" customWidth="1"/>
    <col min="15877" max="15877" width="8.5703125" style="16" bestFit="1" customWidth="1"/>
    <col min="15878" max="15878" width="8.7109375" style="16" customWidth="1"/>
    <col min="15879" max="15879" width="8.140625" style="16" customWidth="1"/>
    <col min="15880" max="15880" width="9" style="16" customWidth="1"/>
    <col min="15881" max="15886" width="7.7109375" style="16" customWidth="1"/>
    <col min="15887" max="15887" width="8.710937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9" style="16" customWidth="1"/>
    <col min="16131" max="16131" width="9.140625" style="16"/>
    <col min="16132" max="16132" width="8.28515625" style="16" customWidth="1"/>
    <col min="16133" max="16133" width="8.5703125" style="16" bestFit="1" customWidth="1"/>
    <col min="16134" max="16134" width="8.7109375" style="16" customWidth="1"/>
    <col min="16135" max="16135" width="8.140625" style="16" customWidth="1"/>
    <col min="16136" max="16136" width="9" style="16" customWidth="1"/>
    <col min="16137" max="16142" width="7.7109375" style="16" customWidth="1"/>
    <col min="16143" max="16143" width="8.710937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67" t="s">
        <v>100</v>
      </c>
      <c r="B1" s="868"/>
      <c r="C1" s="868"/>
      <c r="D1" s="869">
        <v>77</v>
      </c>
      <c r="E1" s="868"/>
      <c r="F1" s="868"/>
      <c r="G1" s="867" t="s">
        <v>102</v>
      </c>
      <c r="H1" s="869"/>
      <c r="I1" s="869" t="s">
        <v>729</v>
      </c>
      <c r="J1" s="868"/>
      <c r="K1" s="868"/>
      <c r="L1" s="870"/>
      <c r="M1" s="870"/>
      <c r="N1" s="870"/>
      <c r="O1" s="870"/>
    </row>
    <row r="2" spans="1:15" s="1" customFormat="1" x14ac:dyDescent="0.2">
      <c r="A2" s="867" t="s">
        <v>103</v>
      </c>
      <c r="B2" s="868"/>
      <c r="C2" s="868"/>
      <c r="D2" s="869"/>
      <c r="E2" s="868"/>
      <c r="F2" s="868"/>
      <c r="G2" s="867" t="s">
        <v>104</v>
      </c>
      <c r="H2" s="869"/>
      <c r="I2" s="869" t="s">
        <v>722</v>
      </c>
      <c r="J2" s="868"/>
      <c r="K2" s="868"/>
      <c r="L2" s="870"/>
      <c r="M2" s="870"/>
      <c r="N2" s="870"/>
      <c r="O2" s="870"/>
    </row>
    <row r="3" spans="1:15" s="1" customFormat="1" x14ac:dyDescent="0.2">
      <c r="A3" s="867" t="s">
        <v>106</v>
      </c>
      <c r="B3" s="868"/>
      <c r="C3" s="868"/>
      <c r="D3" s="890">
        <v>23714</v>
      </c>
      <c r="E3" s="891"/>
      <c r="F3" s="891"/>
      <c r="G3" s="867" t="s">
        <v>107</v>
      </c>
      <c r="H3" s="869"/>
      <c r="I3" s="869" t="s">
        <v>108</v>
      </c>
      <c r="J3" s="868"/>
      <c r="K3" s="868"/>
      <c r="L3" s="870"/>
      <c r="M3" s="870"/>
      <c r="N3" s="870"/>
      <c r="O3" s="870"/>
    </row>
    <row r="4" spans="1:15" s="1" customFormat="1" x14ac:dyDescent="0.2">
      <c r="A4" s="867" t="s">
        <v>109</v>
      </c>
      <c r="B4" s="868"/>
      <c r="C4" s="868"/>
      <c r="D4" s="869"/>
      <c r="E4" s="868"/>
      <c r="F4" s="868"/>
      <c r="G4" s="867" t="s">
        <v>110</v>
      </c>
      <c r="H4" s="869"/>
      <c r="I4" s="869" t="s">
        <v>730</v>
      </c>
      <c r="J4" s="868"/>
      <c r="K4" s="868"/>
      <c r="L4" s="870"/>
      <c r="M4" s="870"/>
      <c r="N4" s="870"/>
      <c r="O4" s="870"/>
    </row>
    <row r="5" spans="1:15" s="1" customFormat="1" x14ac:dyDescent="0.2">
      <c r="A5" s="867" t="s">
        <v>112</v>
      </c>
      <c r="B5" s="868"/>
      <c r="C5" s="868"/>
      <c r="D5" s="883"/>
      <c r="E5" s="868"/>
      <c r="F5" s="868"/>
      <c r="G5" s="867"/>
      <c r="H5" s="868"/>
      <c r="I5" s="869" t="s">
        <v>113</v>
      </c>
      <c r="J5" s="868"/>
      <c r="K5" s="868"/>
      <c r="L5" s="870"/>
      <c r="M5" s="870"/>
      <c r="N5" s="870"/>
      <c r="O5" s="870"/>
    </row>
    <row r="6" spans="1:15" s="1" customFormat="1" x14ac:dyDescent="0.2">
      <c r="A6" s="871" t="s">
        <v>114</v>
      </c>
      <c r="B6" s="872"/>
      <c r="C6" s="872"/>
      <c r="D6" s="868" t="s">
        <v>731</v>
      </c>
      <c r="E6" s="868"/>
      <c r="F6" s="868"/>
      <c r="G6" s="871" t="s">
        <v>115</v>
      </c>
      <c r="H6" s="871"/>
      <c r="I6" s="2" t="s">
        <v>222</v>
      </c>
      <c r="J6" s="873"/>
      <c r="K6" s="873"/>
      <c r="L6" s="873"/>
      <c r="M6" s="873"/>
      <c r="N6" s="873"/>
      <c r="O6" s="874"/>
    </row>
    <row r="7" spans="1:15" s="1" customFormat="1" ht="13.5" thickBot="1" x14ac:dyDescent="0.25">
      <c r="A7" s="3"/>
      <c r="B7" s="4"/>
      <c r="C7" s="1061" t="s">
        <v>724</v>
      </c>
      <c r="D7" s="1062"/>
      <c r="E7" s="1062"/>
      <c r="F7" s="1062"/>
      <c r="G7" s="1063"/>
      <c r="H7" s="6"/>
      <c r="I7" s="6"/>
      <c r="J7" s="7"/>
      <c r="K7" s="8"/>
      <c r="L7" s="875"/>
      <c r="M7" s="875"/>
      <c r="N7" s="875"/>
      <c r="O7" s="875"/>
    </row>
    <row r="8" spans="1:15" s="11" customFormat="1" x14ac:dyDescent="0.2">
      <c r="A8" s="876" t="str">
        <f>I1</f>
        <v>Mr.S.S.Katdare</v>
      </c>
      <c r="B8" s="877"/>
      <c r="C8" s="9">
        <v>43160</v>
      </c>
      <c r="D8" s="9">
        <v>43191</v>
      </c>
      <c r="E8" s="9">
        <v>43221</v>
      </c>
      <c r="F8" s="9">
        <v>43252</v>
      </c>
      <c r="G8" s="9">
        <v>43282</v>
      </c>
      <c r="H8" s="9">
        <v>43313</v>
      </c>
      <c r="I8" s="9">
        <v>43344</v>
      </c>
      <c r="J8" s="9">
        <v>43374</v>
      </c>
      <c r="K8" s="9">
        <v>43405</v>
      </c>
      <c r="L8" s="9">
        <v>43435</v>
      </c>
      <c r="M8" s="9">
        <v>43466</v>
      </c>
      <c r="N8" s="9">
        <v>43497</v>
      </c>
      <c r="O8" s="10" t="s">
        <v>117</v>
      </c>
    </row>
    <row r="9" spans="1:15" ht="15" customHeight="1" x14ac:dyDescent="0.2">
      <c r="A9" s="12"/>
      <c r="B9" s="13" t="s">
        <v>118</v>
      </c>
      <c r="C9" s="14">
        <v>98700</v>
      </c>
      <c r="D9" s="14">
        <v>98700</v>
      </c>
      <c r="E9" s="14">
        <v>98700</v>
      </c>
      <c r="F9" s="14">
        <v>98700</v>
      </c>
      <c r="G9" s="14">
        <v>101700</v>
      </c>
      <c r="H9" s="14">
        <v>101700</v>
      </c>
      <c r="I9" s="14">
        <v>101700</v>
      </c>
      <c r="J9" s="14">
        <v>101700</v>
      </c>
      <c r="K9" s="14">
        <v>101700</v>
      </c>
      <c r="L9" s="14"/>
      <c r="M9" s="14"/>
      <c r="N9" s="14"/>
      <c r="O9" s="15">
        <f t="shared" ref="O9:O50" si="0">SUM(C9:N9)</f>
        <v>903300</v>
      </c>
    </row>
    <row r="10" spans="1:15" ht="15" customHeight="1" x14ac:dyDescent="0.2">
      <c r="A10" s="12"/>
      <c r="B10" s="13" t="s">
        <v>119</v>
      </c>
      <c r="C10" s="17">
        <v>0</v>
      </c>
      <c r="D10" s="17">
        <v>0</v>
      </c>
      <c r="E10" s="17">
        <v>0</v>
      </c>
      <c r="F10" s="17">
        <v>0</v>
      </c>
      <c r="G10" s="17">
        <v>0</v>
      </c>
      <c r="H10" s="17">
        <v>0</v>
      </c>
      <c r="I10" s="17">
        <v>0</v>
      </c>
      <c r="J10" s="17">
        <v>0</v>
      </c>
      <c r="K10" s="17">
        <v>0</v>
      </c>
      <c r="L10" s="17">
        <v>0</v>
      </c>
      <c r="M10" s="17">
        <v>0</v>
      </c>
      <c r="N10" s="17">
        <v>0</v>
      </c>
      <c r="O10" s="18">
        <f t="shared" si="0"/>
        <v>0</v>
      </c>
    </row>
    <row r="11" spans="1:15" ht="15" customHeight="1" x14ac:dyDescent="0.2">
      <c r="A11" s="12"/>
      <c r="B11" s="13" t="s">
        <v>120</v>
      </c>
      <c r="C11" s="17">
        <v>4935</v>
      </c>
      <c r="D11" s="17">
        <v>6909</v>
      </c>
      <c r="E11" s="17">
        <v>6909</v>
      </c>
      <c r="F11" s="17">
        <v>6909</v>
      </c>
      <c r="G11" s="17">
        <v>7119</v>
      </c>
      <c r="H11" s="17">
        <v>7119</v>
      </c>
      <c r="I11" s="17">
        <v>7119</v>
      </c>
      <c r="J11" s="17">
        <v>9153</v>
      </c>
      <c r="K11" s="17">
        <v>9153</v>
      </c>
      <c r="L11" s="17"/>
      <c r="M11" s="17"/>
      <c r="N11" s="17"/>
      <c r="O11" s="18">
        <f t="shared" si="0"/>
        <v>65325</v>
      </c>
    </row>
    <row r="12" spans="1:15" ht="15" customHeight="1" x14ac:dyDescent="0.2">
      <c r="A12" s="12"/>
      <c r="B12" s="13" t="s">
        <v>710</v>
      </c>
      <c r="C12" s="17">
        <v>0</v>
      </c>
      <c r="D12" s="17">
        <v>0</v>
      </c>
      <c r="E12" s="17">
        <v>0</v>
      </c>
      <c r="F12" s="17">
        <v>0</v>
      </c>
      <c r="G12" s="17">
        <v>0</v>
      </c>
      <c r="H12" s="17">
        <v>0</v>
      </c>
      <c r="I12" s="17">
        <v>0</v>
      </c>
      <c r="J12" s="17">
        <v>0</v>
      </c>
      <c r="K12" s="17">
        <v>0</v>
      </c>
      <c r="L12" s="17">
        <v>0</v>
      </c>
      <c r="M12" s="17">
        <v>0</v>
      </c>
      <c r="N12" s="17">
        <v>0</v>
      </c>
      <c r="O12" s="18">
        <f t="shared" si="0"/>
        <v>0</v>
      </c>
    </row>
    <row r="13" spans="1:15" ht="15" hidden="1" customHeight="1" x14ac:dyDescent="0.2">
      <c r="A13" s="12"/>
      <c r="B13" s="13" t="s">
        <v>122</v>
      </c>
      <c r="C13" s="17">
        <v>0</v>
      </c>
      <c r="D13" s="17">
        <v>0</v>
      </c>
      <c r="E13" s="17">
        <v>0</v>
      </c>
      <c r="F13" s="17">
        <v>0</v>
      </c>
      <c r="G13" s="17">
        <v>0</v>
      </c>
      <c r="H13" s="17">
        <v>0</v>
      </c>
      <c r="I13" s="17">
        <v>0</v>
      </c>
      <c r="J13" s="17">
        <v>0</v>
      </c>
      <c r="K13" s="17">
        <v>0</v>
      </c>
      <c r="L13" s="17">
        <v>0</v>
      </c>
      <c r="M13" s="17">
        <v>0</v>
      </c>
      <c r="N13" s="17">
        <v>0</v>
      </c>
      <c r="O13" s="18">
        <f t="shared" si="0"/>
        <v>0</v>
      </c>
    </row>
    <row r="14" spans="1:15" ht="15" customHeight="1" x14ac:dyDescent="0.2">
      <c r="A14" s="12"/>
      <c r="B14" s="13" t="s">
        <v>123</v>
      </c>
      <c r="C14" s="17">
        <v>7560</v>
      </c>
      <c r="D14" s="17">
        <v>7704</v>
      </c>
      <c r="E14" s="17">
        <v>7704</v>
      </c>
      <c r="F14" s="17">
        <v>7704</v>
      </c>
      <c r="G14" s="17">
        <v>7704</v>
      </c>
      <c r="H14" s="17">
        <v>7704</v>
      </c>
      <c r="I14" s="17">
        <v>7704</v>
      </c>
      <c r="J14" s="17">
        <v>7848</v>
      </c>
      <c r="K14" s="17">
        <v>7848</v>
      </c>
      <c r="L14" s="17"/>
      <c r="M14" s="17"/>
      <c r="N14" s="17"/>
      <c r="O14" s="18">
        <f t="shared" si="0"/>
        <v>69480</v>
      </c>
    </row>
    <row r="15" spans="1:15" ht="15" customHeight="1" x14ac:dyDescent="0.2">
      <c r="A15" s="12"/>
      <c r="B15" s="13" t="s">
        <v>725</v>
      </c>
      <c r="C15" s="17">
        <v>0</v>
      </c>
      <c r="D15" s="17">
        <v>0</v>
      </c>
      <c r="E15" s="17">
        <v>0</v>
      </c>
      <c r="F15" s="17">
        <v>0</v>
      </c>
      <c r="G15" s="17">
        <v>0</v>
      </c>
      <c r="H15" s="17">
        <v>0</v>
      </c>
      <c r="I15" s="17">
        <v>0</v>
      </c>
      <c r="J15" s="17">
        <v>0</v>
      </c>
      <c r="K15" s="17">
        <v>0</v>
      </c>
      <c r="L15" s="17">
        <v>0</v>
      </c>
      <c r="M15" s="17">
        <v>0</v>
      </c>
      <c r="N15" s="17">
        <v>0</v>
      </c>
      <c r="O15" s="18">
        <f t="shared" si="0"/>
        <v>0</v>
      </c>
    </row>
    <row r="16" spans="1:15" ht="15" hidden="1" customHeight="1" x14ac:dyDescent="0.2">
      <c r="A16" s="12"/>
      <c r="B16" s="13" t="s">
        <v>405</v>
      </c>
      <c r="C16" s="17">
        <v>0</v>
      </c>
      <c r="D16" s="17">
        <v>0</v>
      </c>
      <c r="E16" s="17">
        <v>0</v>
      </c>
      <c r="F16" s="17">
        <v>0</v>
      </c>
      <c r="G16" s="17">
        <v>0</v>
      </c>
      <c r="H16" s="17">
        <v>0</v>
      </c>
      <c r="I16" s="17">
        <v>0</v>
      </c>
      <c r="J16" s="17">
        <v>0</v>
      </c>
      <c r="K16" s="17">
        <v>0</v>
      </c>
      <c r="L16" s="17">
        <v>0</v>
      </c>
      <c r="M16" s="17">
        <v>0</v>
      </c>
      <c r="N16" s="17">
        <v>0</v>
      </c>
      <c r="O16" s="18">
        <f t="shared" si="0"/>
        <v>0</v>
      </c>
    </row>
    <row r="17" spans="1:15" ht="15" hidden="1" customHeight="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customHeight="1"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15" ht="15" customHeight="1" x14ac:dyDescent="0.2">
      <c r="A19" s="12"/>
      <c r="B19" s="13" t="s">
        <v>128</v>
      </c>
      <c r="C19" s="17">
        <v>0</v>
      </c>
      <c r="D19" s="17">
        <v>0</v>
      </c>
      <c r="E19" s="17">
        <v>0</v>
      </c>
      <c r="F19" s="17">
        <v>0</v>
      </c>
      <c r="G19" s="17">
        <v>0</v>
      </c>
      <c r="H19" s="17">
        <v>24408</v>
      </c>
      <c r="I19" s="17">
        <v>0</v>
      </c>
      <c r="J19" s="17">
        <v>0</v>
      </c>
      <c r="K19" s="17">
        <v>0</v>
      </c>
      <c r="L19" s="17">
        <v>0</v>
      </c>
      <c r="M19" s="17">
        <v>0</v>
      </c>
      <c r="N19" s="17">
        <v>0</v>
      </c>
      <c r="O19" s="18">
        <f t="shared" si="0"/>
        <v>24408</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78"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79"/>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5" ht="15" hidden="1" customHeight="1" x14ac:dyDescent="0.2">
      <c r="A23" s="879"/>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79"/>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79"/>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79"/>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79"/>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79"/>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79"/>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79"/>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79"/>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79"/>
      <c r="B32" s="21" t="s">
        <v>142</v>
      </c>
      <c r="C32" s="17">
        <v>0</v>
      </c>
      <c r="D32" s="17">
        <v>0</v>
      </c>
      <c r="E32" s="17">
        <v>0</v>
      </c>
      <c r="F32" s="17">
        <v>0</v>
      </c>
      <c r="G32" s="17">
        <v>0</v>
      </c>
      <c r="H32" s="17">
        <v>0</v>
      </c>
      <c r="I32" s="17">
        <v>0</v>
      </c>
      <c r="J32" s="17">
        <v>0</v>
      </c>
      <c r="K32" s="17">
        <v>0</v>
      </c>
      <c r="L32" s="17">
        <v>0</v>
      </c>
      <c r="M32" s="17">
        <v>0</v>
      </c>
      <c r="N32" s="17">
        <v>0</v>
      </c>
      <c r="O32" s="18">
        <f t="shared" si="0"/>
        <v>0</v>
      </c>
    </row>
    <row r="33" spans="1:16" ht="15" hidden="1" customHeight="1" x14ac:dyDescent="0.2">
      <c r="A33" s="880"/>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219"/>
      <c r="B34" s="220" t="s">
        <v>144</v>
      </c>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865" t="s">
        <v>145</v>
      </c>
      <c r="B35" s="866"/>
      <c r="C35" s="17">
        <v>0</v>
      </c>
      <c r="D35" s="17">
        <v>432</v>
      </c>
      <c r="E35" s="17">
        <v>0</v>
      </c>
      <c r="F35" s="17">
        <v>0</v>
      </c>
      <c r="G35" s="17">
        <v>0</v>
      </c>
      <c r="H35" s="17">
        <v>0</v>
      </c>
      <c r="I35" s="17">
        <v>0</v>
      </c>
      <c r="J35" s="17">
        <v>432</v>
      </c>
      <c r="K35" s="17">
        <v>0</v>
      </c>
      <c r="L35" s="17">
        <v>0</v>
      </c>
      <c r="M35" s="17">
        <v>0</v>
      </c>
      <c r="N35" s="17">
        <v>0</v>
      </c>
      <c r="O35" s="18">
        <f t="shared" si="0"/>
        <v>864</v>
      </c>
    </row>
    <row r="36" spans="1:16" ht="15" customHeight="1" x14ac:dyDescent="0.2">
      <c r="A36" s="865" t="s">
        <v>146</v>
      </c>
      <c r="B36" s="866"/>
      <c r="C36" s="17">
        <v>0</v>
      </c>
      <c r="D36" s="17">
        <v>5922</v>
      </c>
      <c r="E36" s="17">
        <v>0</v>
      </c>
      <c r="F36" s="17">
        <v>0</v>
      </c>
      <c r="G36" s="17">
        <v>0</v>
      </c>
      <c r="H36" s="17">
        <v>0</v>
      </c>
      <c r="I36" s="17">
        <v>0</v>
      </c>
      <c r="J36" s="17">
        <v>6108</v>
      </c>
      <c r="K36" s="17">
        <v>0</v>
      </c>
      <c r="L36" s="17">
        <v>0</v>
      </c>
      <c r="M36" s="17">
        <v>0</v>
      </c>
      <c r="N36" s="17">
        <v>0</v>
      </c>
      <c r="O36" s="18">
        <f t="shared" si="0"/>
        <v>12030</v>
      </c>
    </row>
    <row r="37" spans="1:16" ht="15" customHeight="1" x14ac:dyDescent="0.2">
      <c r="A37" s="22"/>
      <c r="B37" s="23" t="s">
        <v>147</v>
      </c>
      <c r="C37" s="24">
        <f t="shared" ref="C37:N37" si="1">SUM(C9:C36)</f>
        <v>111195</v>
      </c>
      <c r="D37" s="24">
        <f t="shared" si="1"/>
        <v>119667</v>
      </c>
      <c r="E37" s="24">
        <f t="shared" si="1"/>
        <v>113313</v>
      </c>
      <c r="F37" s="24">
        <f t="shared" si="1"/>
        <v>113313</v>
      </c>
      <c r="G37" s="24">
        <f t="shared" si="1"/>
        <v>116523</v>
      </c>
      <c r="H37" s="24">
        <f t="shared" si="1"/>
        <v>140931</v>
      </c>
      <c r="I37" s="24">
        <f t="shared" si="1"/>
        <v>116523</v>
      </c>
      <c r="J37" s="24">
        <f t="shared" si="1"/>
        <v>132149</v>
      </c>
      <c r="K37" s="24">
        <f t="shared" si="1"/>
        <v>118701</v>
      </c>
      <c r="L37" s="24">
        <f t="shared" si="1"/>
        <v>0</v>
      </c>
      <c r="M37" s="24">
        <f t="shared" si="1"/>
        <v>0</v>
      </c>
      <c r="N37" s="24">
        <f t="shared" si="1"/>
        <v>0</v>
      </c>
      <c r="O37" s="25">
        <f t="shared" si="0"/>
        <v>1082315</v>
      </c>
    </row>
    <row r="38" spans="1:16" ht="15" customHeight="1" x14ac:dyDescent="0.2">
      <c r="A38" s="853" t="s">
        <v>148</v>
      </c>
      <c r="B38" s="27" t="s">
        <v>149</v>
      </c>
      <c r="C38" s="28">
        <v>0</v>
      </c>
      <c r="D38" s="28">
        <v>0</v>
      </c>
      <c r="E38" s="28">
        <v>0</v>
      </c>
      <c r="F38" s="28">
        <v>0</v>
      </c>
      <c r="G38" s="28">
        <v>0</v>
      </c>
      <c r="H38" s="28">
        <v>15000</v>
      </c>
      <c r="I38" s="28">
        <v>15000</v>
      </c>
      <c r="J38" s="28">
        <v>15000</v>
      </c>
      <c r="K38" s="28">
        <v>0</v>
      </c>
      <c r="L38" s="28">
        <v>0</v>
      </c>
      <c r="M38" s="28">
        <v>0</v>
      </c>
      <c r="N38" s="28">
        <v>0</v>
      </c>
      <c r="O38" s="18">
        <f t="shared" si="0"/>
        <v>45000</v>
      </c>
      <c r="P38" s="29"/>
    </row>
    <row r="39" spans="1:16" ht="15" customHeight="1" x14ac:dyDescent="0.2">
      <c r="A39" s="854"/>
      <c r="B39" s="27" t="s">
        <v>150</v>
      </c>
      <c r="C39" s="28">
        <v>0</v>
      </c>
      <c r="D39" s="28">
        <v>0</v>
      </c>
      <c r="E39" s="28">
        <v>0</v>
      </c>
      <c r="F39" s="28">
        <v>0</v>
      </c>
      <c r="G39" s="28">
        <v>0</v>
      </c>
      <c r="H39" s="28">
        <v>0</v>
      </c>
      <c r="I39" s="28">
        <v>0</v>
      </c>
      <c r="J39" s="28">
        <v>0</v>
      </c>
      <c r="K39" s="28">
        <v>0</v>
      </c>
      <c r="L39" s="28">
        <v>0</v>
      </c>
      <c r="M39" s="28">
        <v>0</v>
      </c>
      <c r="N39" s="28">
        <v>0</v>
      </c>
      <c r="O39" s="18">
        <f t="shared" si="0"/>
        <v>0</v>
      </c>
    </row>
    <row r="40" spans="1:16" ht="15" customHeight="1" x14ac:dyDescent="0.2">
      <c r="A40" s="854"/>
      <c r="B40" s="27" t="s">
        <v>151</v>
      </c>
      <c r="C40" s="28">
        <v>0</v>
      </c>
      <c r="D40" s="28">
        <v>0</v>
      </c>
      <c r="E40" s="28">
        <v>0</v>
      </c>
      <c r="F40" s="28">
        <v>0</v>
      </c>
      <c r="G40" s="28">
        <v>0</v>
      </c>
      <c r="H40" s="28">
        <v>60</v>
      </c>
      <c r="I40" s="28">
        <v>60</v>
      </c>
      <c r="J40" s="28">
        <v>60</v>
      </c>
      <c r="K40" s="28">
        <v>60</v>
      </c>
      <c r="L40" s="28"/>
      <c r="M40" s="28"/>
      <c r="N40" s="28"/>
      <c r="O40" s="18">
        <f t="shared" si="0"/>
        <v>240</v>
      </c>
    </row>
    <row r="41" spans="1:16" ht="15" customHeight="1" x14ac:dyDescent="0.2">
      <c r="A41" s="854"/>
      <c r="B41" s="27" t="s">
        <v>152</v>
      </c>
      <c r="C41" s="28">
        <v>0</v>
      </c>
      <c r="D41" s="28">
        <v>0</v>
      </c>
      <c r="E41" s="28">
        <v>0</v>
      </c>
      <c r="F41" s="28">
        <v>0</v>
      </c>
      <c r="G41" s="28">
        <v>0</v>
      </c>
      <c r="H41" s="28">
        <v>0</v>
      </c>
      <c r="I41" s="28">
        <v>0</v>
      </c>
      <c r="J41" s="28">
        <v>0</v>
      </c>
      <c r="K41" s="28">
        <v>0</v>
      </c>
      <c r="L41" s="28">
        <v>0</v>
      </c>
      <c r="M41" s="28">
        <v>0</v>
      </c>
      <c r="N41" s="28">
        <v>0</v>
      </c>
      <c r="O41" s="18">
        <f t="shared" si="0"/>
        <v>0</v>
      </c>
    </row>
    <row r="42" spans="1:16" ht="15" customHeight="1" x14ac:dyDescent="0.2">
      <c r="A42" s="854"/>
      <c r="B42" s="27" t="s">
        <v>153</v>
      </c>
      <c r="C42" s="28">
        <v>0</v>
      </c>
      <c r="D42" s="28">
        <v>0</v>
      </c>
      <c r="E42" s="28">
        <v>0</v>
      </c>
      <c r="F42" s="28">
        <v>0</v>
      </c>
      <c r="G42" s="28">
        <v>0</v>
      </c>
      <c r="H42" s="28">
        <v>0</v>
      </c>
      <c r="I42" s="28">
        <v>650</v>
      </c>
      <c r="J42" s="28">
        <v>650</v>
      </c>
      <c r="K42" s="28">
        <v>650</v>
      </c>
      <c r="L42" s="28"/>
      <c r="M42" s="28"/>
      <c r="N42" s="28"/>
      <c r="O42" s="18">
        <f t="shared" si="0"/>
        <v>1950</v>
      </c>
    </row>
    <row r="43" spans="1:16" ht="15" customHeight="1" x14ac:dyDescent="0.2">
      <c r="A43" s="854"/>
      <c r="B43" s="27" t="s">
        <v>154</v>
      </c>
      <c r="C43" s="28">
        <v>0</v>
      </c>
      <c r="D43" s="28">
        <v>0</v>
      </c>
      <c r="E43" s="28">
        <v>0</v>
      </c>
      <c r="F43" s="28">
        <v>0</v>
      </c>
      <c r="G43" s="28">
        <v>0</v>
      </c>
      <c r="H43" s="28">
        <v>25000</v>
      </c>
      <c r="I43" s="28">
        <v>25000</v>
      </c>
      <c r="J43" s="28">
        <v>25000</v>
      </c>
      <c r="K43" s="28">
        <v>25000</v>
      </c>
      <c r="L43" s="28"/>
      <c r="M43" s="28"/>
      <c r="N43" s="28"/>
      <c r="O43" s="18">
        <f t="shared" si="0"/>
        <v>100000</v>
      </c>
    </row>
    <row r="44" spans="1:16" ht="15" customHeight="1" x14ac:dyDescent="0.2">
      <c r="A44" s="854"/>
      <c r="B44" s="27" t="s">
        <v>155</v>
      </c>
      <c r="C44" s="28">
        <v>0</v>
      </c>
      <c r="D44" s="28">
        <v>0</v>
      </c>
      <c r="E44" s="28">
        <v>0</v>
      </c>
      <c r="F44" s="28">
        <v>0</v>
      </c>
      <c r="G44" s="28">
        <v>0</v>
      </c>
      <c r="H44" s="28">
        <v>200</v>
      </c>
      <c r="I44" s="28">
        <v>200</v>
      </c>
      <c r="J44" s="28">
        <v>200</v>
      </c>
      <c r="K44" s="28">
        <v>200</v>
      </c>
      <c r="L44" s="28"/>
      <c r="M44" s="28"/>
      <c r="N44" s="28"/>
      <c r="O44" s="18">
        <f t="shared" si="0"/>
        <v>800</v>
      </c>
    </row>
    <row r="45" spans="1:16" ht="15" customHeight="1" x14ac:dyDescent="0.2">
      <c r="A45" s="854"/>
      <c r="B45" s="27" t="s">
        <v>371</v>
      </c>
      <c r="C45" s="28">
        <v>0</v>
      </c>
      <c r="D45" s="28">
        <v>0</v>
      </c>
      <c r="E45" s="28">
        <v>0</v>
      </c>
      <c r="F45" s="28">
        <v>0</v>
      </c>
      <c r="G45" s="28">
        <v>0</v>
      </c>
      <c r="H45" s="28">
        <v>0</v>
      </c>
      <c r="I45" s="28">
        <v>728</v>
      </c>
      <c r="J45" s="28">
        <v>728</v>
      </c>
      <c r="K45" s="28">
        <v>728</v>
      </c>
      <c r="L45" s="28"/>
      <c r="M45" s="28"/>
      <c r="N45" s="28"/>
      <c r="O45" s="18">
        <f t="shared" si="0"/>
        <v>2184</v>
      </c>
    </row>
    <row r="46" spans="1:16" ht="15" customHeight="1" x14ac:dyDescent="0.2">
      <c r="A46" s="854"/>
      <c r="B46" s="27" t="s">
        <v>157</v>
      </c>
      <c r="C46" s="28">
        <v>0</v>
      </c>
      <c r="D46" s="28">
        <v>0</v>
      </c>
      <c r="E46" s="28">
        <v>0</v>
      </c>
      <c r="F46" s="28">
        <v>0</v>
      </c>
      <c r="G46" s="28">
        <v>0</v>
      </c>
      <c r="H46" s="28">
        <v>0</v>
      </c>
      <c r="I46" s="28">
        <v>0</v>
      </c>
      <c r="J46" s="28">
        <v>0</v>
      </c>
      <c r="K46" s="28">
        <v>0</v>
      </c>
      <c r="L46" s="28">
        <v>0</v>
      </c>
      <c r="M46" s="28">
        <v>0</v>
      </c>
      <c r="N46" s="28">
        <v>0</v>
      </c>
      <c r="O46" s="18">
        <f t="shared" si="0"/>
        <v>0</v>
      </c>
    </row>
    <row r="47" spans="1:16" ht="30" customHeight="1" x14ac:dyDescent="0.2">
      <c r="A47" s="855"/>
      <c r="B47" s="30" t="s">
        <v>158</v>
      </c>
      <c r="C47" s="28">
        <v>0</v>
      </c>
      <c r="D47" s="28">
        <v>0</v>
      </c>
      <c r="E47" s="28">
        <v>0</v>
      </c>
      <c r="F47" s="28">
        <v>0</v>
      </c>
      <c r="G47" s="28">
        <v>0</v>
      </c>
      <c r="H47" s="28">
        <v>0</v>
      </c>
      <c r="I47" s="28">
        <v>0</v>
      </c>
      <c r="J47" s="28">
        <v>0</v>
      </c>
      <c r="K47" s="28">
        <v>0</v>
      </c>
      <c r="L47" s="28">
        <v>0</v>
      </c>
      <c r="M47" s="28">
        <v>0</v>
      </c>
      <c r="N47" s="28">
        <v>0</v>
      </c>
      <c r="O47" s="31">
        <f t="shared" si="0"/>
        <v>0</v>
      </c>
    </row>
    <row r="48" spans="1:16" ht="15" x14ac:dyDescent="0.2">
      <c r="A48" s="856"/>
      <c r="B48" s="127" t="s">
        <v>726</v>
      </c>
      <c r="C48" s="28">
        <v>0</v>
      </c>
      <c r="D48" s="28">
        <v>0</v>
      </c>
      <c r="E48" s="28">
        <v>0</v>
      </c>
      <c r="F48" s="28">
        <v>0</v>
      </c>
      <c r="G48" s="28">
        <v>0</v>
      </c>
      <c r="H48" s="28">
        <v>0</v>
      </c>
      <c r="I48" s="28">
        <v>0</v>
      </c>
      <c r="J48" s="28">
        <v>0</v>
      </c>
      <c r="K48" s="28">
        <v>0</v>
      </c>
      <c r="L48" s="28">
        <v>0</v>
      </c>
      <c r="M48" s="28">
        <v>0</v>
      </c>
      <c r="N48" s="28">
        <v>0</v>
      </c>
      <c r="O48" s="31">
        <f t="shared" si="0"/>
        <v>0</v>
      </c>
    </row>
    <row r="49" spans="1:18" ht="15" customHeight="1" x14ac:dyDescent="0.2">
      <c r="A49" s="857" t="s">
        <v>160</v>
      </c>
      <c r="B49" s="858"/>
      <c r="C49" s="33">
        <f>SUM(C38:C48)</f>
        <v>0</v>
      </c>
      <c r="D49" s="33">
        <f t="shared" ref="D49:N49" si="2">SUM(D38:D48)</f>
        <v>0</v>
      </c>
      <c r="E49" s="33">
        <f t="shared" si="2"/>
        <v>0</v>
      </c>
      <c r="F49" s="33">
        <f t="shared" si="2"/>
        <v>0</v>
      </c>
      <c r="G49" s="33">
        <f t="shared" si="2"/>
        <v>0</v>
      </c>
      <c r="H49" s="33">
        <f t="shared" si="2"/>
        <v>40260</v>
      </c>
      <c r="I49" s="33">
        <f t="shared" si="2"/>
        <v>41638</v>
      </c>
      <c r="J49" s="33">
        <f t="shared" si="2"/>
        <v>41638</v>
      </c>
      <c r="K49" s="33">
        <f t="shared" si="2"/>
        <v>26638</v>
      </c>
      <c r="L49" s="33">
        <f t="shared" si="2"/>
        <v>0</v>
      </c>
      <c r="M49" s="33">
        <f t="shared" si="2"/>
        <v>0</v>
      </c>
      <c r="N49" s="33">
        <f t="shared" si="2"/>
        <v>0</v>
      </c>
      <c r="O49" s="34">
        <f t="shared" si="0"/>
        <v>150174</v>
      </c>
    </row>
    <row r="50" spans="1:18" ht="15" customHeight="1" thickBot="1" x14ac:dyDescent="0.25">
      <c r="A50" s="859" t="s">
        <v>161</v>
      </c>
      <c r="B50" s="860"/>
      <c r="C50" s="35">
        <f t="shared" ref="C50:N50" si="3">C37-C49</f>
        <v>111195</v>
      </c>
      <c r="D50" s="35">
        <f t="shared" si="3"/>
        <v>119667</v>
      </c>
      <c r="E50" s="35">
        <f t="shared" si="3"/>
        <v>113313</v>
      </c>
      <c r="F50" s="35">
        <f t="shared" si="3"/>
        <v>113313</v>
      </c>
      <c r="G50" s="35">
        <f t="shared" si="3"/>
        <v>116523</v>
      </c>
      <c r="H50" s="35">
        <f t="shared" si="3"/>
        <v>100671</v>
      </c>
      <c r="I50" s="35">
        <f t="shared" si="3"/>
        <v>74885</v>
      </c>
      <c r="J50" s="35">
        <f t="shared" si="3"/>
        <v>90511</v>
      </c>
      <c r="K50" s="35">
        <f t="shared" si="3"/>
        <v>92063</v>
      </c>
      <c r="L50" s="35">
        <f t="shared" si="3"/>
        <v>0</v>
      </c>
      <c r="M50" s="35">
        <f t="shared" si="3"/>
        <v>0</v>
      </c>
      <c r="N50" s="35">
        <f t="shared" si="3"/>
        <v>0</v>
      </c>
      <c r="O50" s="36">
        <f t="shared" si="0"/>
        <v>932141</v>
      </c>
      <c r="Q50" s="16">
        <f>14148+15790+770+631+15317+16560+16560+17946+6662+17846</f>
        <v>122230</v>
      </c>
    </row>
    <row r="51" spans="1:18" x14ac:dyDescent="0.2">
      <c r="J51" s="229">
        <f>+J37-SUM(J22:J36)</f>
        <v>118701</v>
      </c>
    </row>
    <row r="52" spans="1:18" ht="13.5" thickBot="1" x14ac:dyDescent="0.25">
      <c r="J52" s="38">
        <f>+J51-J49</f>
        <v>77063</v>
      </c>
    </row>
    <row r="53" spans="1:18" ht="13.5" thickBot="1" x14ac:dyDescent="0.25">
      <c r="B53" s="789" t="s">
        <v>162</v>
      </c>
      <c r="C53" s="861"/>
      <c r="D53" s="861"/>
      <c r="E53" s="861"/>
      <c r="F53" s="862"/>
      <c r="G53" s="863">
        <f>O37</f>
        <v>1082315</v>
      </c>
      <c r="H53" s="864"/>
      <c r="M53" s="16">
        <f>18146+6662</f>
        <v>24808</v>
      </c>
    </row>
    <row r="54" spans="1:18" ht="13.5" thickBot="1" x14ac:dyDescent="0.25">
      <c r="M54" s="16">
        <f>+M53-200</f>
        <v>24608</v>
      </c>
    </row>
    <row r="55" spans="1:18" x14ac:dyDescent="0.2">
      <c r="B55" s="830" t="s">
        <v>163</v>
      </c>
      <c r="C55" s="833" t="s">
        <v>164</v>
      </c>
      <c r="D55" s="836" t="s">
        <v>229</v>
      </c>
      <c r="E55" s="837"/>
      <c r="F55" s="838"/>
      <c r="G55" s="839">
        <v>40000</v>
      </c>
      <c r="H55" s="840"/>
    </row>
    <row r="56" spans="1:18" x14ac:dyDescent="0.2">
      <c r="B56" s="831"/>
      <c r="C56" s="834"/>
      <c r="D56" s="841" t="s">
        <v>166</v>
      </c>
      <c r="E56" s="842"/>
      <c r="F56" s="843"/>
      <c r="G56" s="844">
        <f>+O44</f>
        <v>800</v>
      </c>
      <c r="H56" s="845"/>
      <c r="I56" s="39"/>
      <c r="J56" s="846"/>
      <c r="K56" s="846"/>
      <c r="L56" s="846"/>
      <c r="M56" s="847"/>
      <c r="N56" s="847"/>
      <c r="O56" s="847"/>
    </row>
    <row r="57" spans="1:18" ht="13.5" thickBot="1" x14ac:dyDescent="0.25">
      <c r="B57" s="832"/>
      <c r="C57" s="835"/>
      <c r="D57" s="926" t="s">
        <v>243</v>
      </c>
      <c r="E57" s="927"/>
      <c r="F57" s="928"/>
      <c r="G57" s="851">
        <f>IF(O18&gt;15000,15000,+O18)</f>
        <v>0</v>
      </c>
      <c r="H57" s="852"/>
      <c r="J57" s="47"/>
      <c r="K57" s="47"/>
      <c r="L57" s="47"/>
      <c r="M57" s="47"/>
      <c r="N57" s="47"/>
      <c r="O57" s="47"/>
    </row>
    <row r="58" spans="1:18" ht="13.5" thickBot="1" x14ac:dyDescent="0.25">
      <c r="B58" s="48"/>
      <c r="J58" s="47"/>
      <c r="K58" s="47"/>
      <c r="L58" s="47"/>
      <c r="M58" s="47"/>
      <c r="N58" s="47"/>
      <c r="O58" s="47"/>
    </row>
    <row r="59" spans="1:18" ht="13.5" thickBot="1" x14ac:dyDescent="0.25">
      <c r="B59" s="789" t="s">
        <v>168</v>
      </c>
      <c r="C59" s="790"/>
      <c r="D59" s="790"/>
      <c r="E59" s="790"/>
      <c r="F59" s="791"/>
      <c r="G59" s="825">
        <f>+G53-SUM(G55:H57)</f>
        <v>1041515</v>
      </c>
      <c r="H59" s="826"/>
      <c r="J59" s="827" t="s">
        <v>169</v>
      </c>
      <c r="K59" s="828"/>
      <c r="L59" s="828"/>
      <c r="M59" s="828"/>
      <c r="N59" s="828"/>
      <c r="O59" s="829"/>
    </row>
    <row r="60" spans="1:18" ht="13.5" thickBot="1" x14ac:dyDescent="0.25">
      <c r="B60" s="49"/>
      <c r="C60" s="50"/>
      <c r="D60" s="50"/>
      <c r="E60" s="50"/>
      <c r="F60" s="50"/>
      <c r="G60" s="45"/>
      <c r="H60" s="50"/>
      <c r="J60" s="129"/>
      <c r="K60" s="130"/>
      <c r="L60" s="130"/>
      <c r="M60" s="130"/>
      <c r="N60" s="130"/>
      <c r="O60" s="131"/>
    </row>
    <row r="61" spans="1:18" ht="13.5" thickBot="1" x14ac:dyDescent="0.25">
      <c r="B61" s="789" t="s">
        <v>170</v>
      </c>
      <c r="C61" s="790"/>
      <c r="D61" s="790"/>
      <c r="E61" s="790"/>
      <c r="F61" s="791"/>
      <c r="G61" s="805"/>
      <c r="H61" s="791"/>
      <c r="J61" s="129"/>
      <c r="K61" s="130"/>
      <c r="L61" s="130"/>
      <c r="M61" s="130"/>
      <c r="N61" s="130"/>
      <c r="O61" s="131"/>
    </row>
    <row r="62" spans="1:18" ht="12.75" customHeight="1" x14ac:dyDescent="0.2">
      <c r="B62" s="57" t="s">
        <v>171</v>
      </c>
      <c r="C62" s="806" t="s">
        <v>172</v>
      </c>
      <c r="D62" s="807"/>
      <c r="E62" s="807"/>
      <c r="F62" s="808"/>
      <c r="G62" s="809">
        <v>56159</v>
      </c>
      <c r="H62" s="809"/>
      <c r="I62" s="58"/>
      <c r="J62" s="810" t="s">
        <v>173</v>
      </c>
      <c r="K62" s="811"/>
      <c r="L62" s="811"/>
      <c r="M62" s="811"/>
      <c r="N62" s="811"/>
      <c r="O62" s="812"/>
      <c r="Q62" s="59"/>
      <c r="R62" s="59"/>
    </row>
    <row r="63" spans="1:18" ht="13.5" thickBot="1" x14ac:dyDescent="0.25">
      <c r="D63" s="37"/>
      <c r="I63" s="58"/>
      <c r="J63" s="60" t="s">
        <v>727</v>
      </c>
      <c r="K63" s="132"/>
      <c r="L63" s="132"/>
      <c r="M63" s="133"/>
      <c r="N63" s="133"/>
      <c r="O63" s="134"/>
      <c r="Q63" s="59"/>
      <c r="R63" s="59"/>
    </row>
    <row r="64" spans="1:18" ht="13.5" thickBot="1" x14ac:dyDescent="0.25">
      <c r="B64" s="789" t="s">
        <v>175</v>
      </c>
      <c r="C64" s="790"/>
      <c r="D64" s="790"/>
      <c r="E64" s="790"/>
      <c r="F64" s="791"/>
      <c r="G64" s="805">
        <f>+G59-G62</f>
        <v>985356</v>
      </c>
      <c r="H64" s="791"/>
      <c r="I64" s="63"/>
      <c r="J64" s="64"/>
      <c r="K64" s="39"/>
      <c r="L64" s="39"/>
      <c r="M64" s="39"/>
      <c r="N64" s="39"/>
      <c r="O64" s="65"/>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7" customHeight="1" thickBot="1" x14ac:dyDescent="0.25">
      <c r="B67" s="66"/>
      <c r="C67" s="48"/>
      <c r="G67" s="70" t="s">
        <v>177</v>
      </c>
      <c r="H67" s="70" t="s">
        <v>178</v>
      </c>
      <c r="I67" s="63"/>
      <c r="J67" s="810" t="s">
        <v>179</v>
      </c>
      <c r="K67" s="811"/>
      <c r="L67" s="71"/>
      <c r="M67" s="71"/>
      <c r="N67" s="71"/>
      <c r="O67" s="72"/>
      <c r="Q67" s="59"/>
      <c r="R67" s="59"/>
    </row>
    <row r="68" spans="2:18" ht="12.75" customHeight="1" x14ac:dyDescent="0.2">
      <c r="B68" s="802" t="s">
        <v>180</v>
      </c>
      <c r="C68" s="821" t="s">
        <v>181</v>
      </c>
      <c r="D68" s="823" t="s">
        <v>182</v>
      </c>
      <c r="E68" s="824"/>
      <c r="F68" s="824"/>
      <c r="G68" s="73">
        <f>+O43</f>
        <v>100000</v>
      </c>
      <c r="H68" s="74">
        <f t="shared" ref="H68:H76" si="4">+G68</f>
        <v>100000</v>
      </c>
      <c r="I68" s="63"/>
      <c r="J68" s="915"/>
      <c r="K68" s="916"/>
      <c r="L68" s="58"/>
      <c r="M68" s="135"/>
      <c r="N68" s="58"/>
      <c r="O68" s="76"/>
      <c r="Q68" s="59"/>
      <c r="R68" s="59"/>
    </row>
    <row r="69" spans="2:18" ht="12.75" customHeight="1" x14ac:dyDescent="0.2">
      <c r="B69" s="803"/>
      <c r="C69" s="822"/>
      <c r="D69" s="782" t="s">
        <v>184</v>
      </c>
      <c r="E69" s="783"/>
      <c r="F69" s="783"/>
      <c r="G69" s="77">
        <v>0</v>
      </c>
      <c r="H69" s="78">
        <f t="shared" si="4"/>
        <v>0</v>
      </c>
      <c r="I69" s="63"/>
      <c r="J69" s="1057"/>
      <c r="K69" s="1058"/>
      <c r="L69" s="68"/>
      <c r="M69" s="68"/>
      <c r="N69" s="68"/>
      <c r="O69" s="136"/>
      <c r="Q69" s="59"/>
      <c r="R69" s="59"/>
    </row>
    <row r="70" spans="2:18" ht="12.75" customHeight="1" x14ac:dyDescent="0.2">
      <c r="B70" s="803"/>
      <c r="C70" s="822"/>
      <c r="D70" s="819" t="s">
        <v>185</v>
      </c>
      <c r="E70" s="820"/>
      <c r="F70" s="820"/>
      <c r="G70" s="80">
        <f>O40</f>
        <v>240</v>
      </c>
      <c r="H70" s="78">
        <f t="shared" si="4"/>
        <v>240</v>
      </c>
      <c r="I70" s="63"/>
      <c r="J70" s="1059"/>
      <c r="K70" s="1060"/>
      <c r="L70" s="68"/>
      <c r="M70" s="135"/>
      <c r="N70" s="68"/>
      <c r="O70" s="136"/>
    </row>
    <row r="71" spans="2:18" x14ac:dyDescent="0.2">
      <c r="B71" s="803"/>
      <c r="C71" s="822"/>
      <c r="D71" s="782" t="s">
        <v>186</v>
      </c>
      <c r="E71" s="783"/>
      <c r="F71" s="783"/>
      <c r="G71" s="81">
        <v>0</v>
      </c>
      <c r="H71" s="78">
        <f t="shared" si="4"/>
        <v>0</v>
      </c>
      <c r="I71" s="63"/>
      <c r="J71" s="82" t="s">
        <v>187</v>
      </c>
      <c r="K71" s="71"/>
      <c r="L71" s="71"/>
      <c r="M71" s="71"/>
      <c r="N71" s="71"/>
      <c r="O71" s="72"/>
    </row>
    <row r="72" spans="2:18" ht="12.75" customHeight="1" x14ac:dyDescent="0.2">
      <c r="B72" s="803"/>
      <c r="C72" s="822"/>
      <c r="D72" s="784" t="s">
        <v>188</v>
      </c>
      <c r="E72" s="783"/>
      <c r="F72" s="783"/>
      <c r="G72" s="80">
        <v>0</v>
      </c>
      <c r="H72" s="78">
        <f t="shared" si="4"/>
        <v>0</v>
      </c>
      <c r="I72" s="63"/>
      <c r="J72" s="75" t="s">
        <v>189</v>
      </c>
      <c r="K72" s="50"/>
      <c r="L72" s="50"/>
      <c r="M72" s="50"/>
      <c r="N72" s="50"/>
      <c r="O72" s="83">
        <f>O42</f>
        <v>1950</v>
      </c>
    </row>
    <row r="73" spans="2:18" ht="14.25" customHeight="1" x14ac:dyDescent="0.2">
      <c r="B73" s="803"/>
      <c r="C73" s="822"/>
      <c r="D73" s="784" t="s">
        <v>270</v>
      </c>
      <c r="E73" s="783"/>
      <c r="F73" s="783"/>
      <c r="G73" s="84">
        <v>0</v>
      </c>
      <c r="H73" s="78">
        <f t="shared" si="4"/>
        <v>0</v>
      </c>
      <c r="I73" s="63"/>
      <c r="J73" s="64" t="s">
        <v>732</v>
      </c>
      <c r="K73" s="39"/>
      <c r="L73" s="39"/>
      <c r="M73" s="39"/>
      <c r="N73" s="39"/>
      <c r="O73" s="65">
        <v>9464</v>
      </c>
    </row>
    <row r="74" spans="2:18" x14ac:dyDescent="0.2">
      <c r="B74" s="803"/>
      <c r="C74" s="822"/>
      <c r="D74" s="782" t="s">
        <v>191</v>
      </c>
      <c r="E74" s="783"/>
      <c r="F74" s="783"/>
      <c r="G74" s="81">
        <v>167320</v>
      </c>
      <c r="H74" s="78">
        <f t="shared" si="4"/>
        <v>167320</v>
      </c>
      <c r="I74" s="58"/>
      <c r="J74" s="150"/>
      <c r="K74" s="50"/>
      <c r="L74" s="50"/>
      <c r="M74" s="50"/>
      <c r="N74" s="50"/>
      <c r="O74" s="83"/>
    </row>
    <row r="75" spans="2:18" x14ac:dyDescent="0.2">
      <c r="B75" s="803"/>
      <c r="C75" s="88" t="s">
        <v>192</v>
      </c>
      <c r="D75" s="813" t="s">
        <v>193</v>
      </c>
      <c r="E75" s="814"/>
      <c r="F75" s="814"/>
      <c r="G75" s="80">
        <v>0</v>
      </c>
      <c r="H75" s="78">
        <f t="shared" si="4"/>
        <v>0</v>
      </c>
      <c r="I75" s="58"/>
      <c r="J75" s="79"/>
      <c r="K75" s="39"/>
      <c r="L75" s="39"/>
      <c r="M75" s="39"/>
      <c r="N75" s="39"/>
      <c r="O75" s="65"/>
    </row>
    <row r="76" spans="2:18" ht="13.5" customHeight="1" thickBot="1" x14ac:dyDescent="0.25">
      <c r="B76" s="803"/>
      <c r="C76" s="88" t="s">
        <v>194</v>
      </c>
      <c r="D76" s="815" t="s">
        <v>195</v>
      </c>
      <c r="E76" s="815"/>
      <c r="F76" s="815"/>
      <c r="G76" s="89">
        <v>0</v>
      </c>
      <c r="H76" s="90">
        <f t="shared" si="4"/>
        <v>0</v>
      </c>
      <c r="I76" s="63"/>
      <c r="J76" s="67"/>
      <c r="K76" s="68"/>
      <c r="L76" s="68"/>
      <c r="M76" s="91"/>
      <c r="N76" s="91"/>
      <c r="O76" s="92"/>
    </row>
    <row r="77" spans="2:18" ht="13.5" thickBot="1" x14ac:dyDescent="0.25">
      <c r="B77" s="803"/>
      <c r="C77" s="93"/>
      <c r="D77" s="94"/>
      <c r="E77" s="816" t="s">
        <v>117</v>
      </c>
      <c r="F77" s="817"/>
      <c r="G77" s="95">
        <f>SUM(G68:G76)</f>
        <v>267560</v>
      </c>
      <c r="H77" s="96">
        <f>IF(SUM(G68:G74)&lt;150000,SUM(G68:G74),150000)+IF(+G75&lt;20000,+G75,20000)</f>
        <v>150000</v>
      </c>
      <c r="I77" s="63"/>
      <c r="J77" s="140"/>
      <c r="K77" s="141"/>
      <c r="L77" s="141"/>
      <c r="M77" s="142"/>
      <c r="N77" s="142"/>
      <c r="O77" s="143"/>
    </row>
    <row r="78" spans="2:18" ht="12.75" customHeight="1" x14ac:dyDescent="0.2">
      <c r="B78" s="803"/>
      <c r="C78" s="100" t="s">
        <v>196</v>
      </c>
      <c r="D78" s="782" t="s">
        <v>187</v>
      </c>
      <c r="E78" s="783"/>
      <c r="F78" s="818"/>
      <c r="G78" s="73">
        <v>13364</v>
      </c>
      <c r="H78" s="221">
        <f>+IF(+G78&lt;25000,+G78,25000)</f>
        <v>13364</v>
      </c>
      <c r="I78" s="87"/>
    </row>
    <row r="79" spans="2:18" x14ac:dyDescent="0.2">
      <c r="B79" s="803"/>
      <c r="C79" s="100" t="s">
        <v>197</v>
      </c>
      <c r="D79" s="784" t="s">
        <v>198</v>
      </c>
      <c r="E79" s="785"/>
      <c r="F79" s="786"/>
      <c r="G79" s="102"/>
      <c r="H79" s="222">
        <f>+IF(+G79&lt;40000,+G79,40000)</f>
        <v>0</v>
      </c>
      <c r="I79" s="63"/>
    </row>
    <row r="80" spans="2:18" x14ac:dyDescent="0.2">
      <c r="B80" s="803"/>
      <c r="C80" s="100" t="s">
        <v>199</v>
      </c>
      <c r="D80" s="784" t="s">
        <v>200</v>
      </c>
      <c r="E80" s="785"/>
      <c r="F80" s="786"/>
      <c r="G80" s="81"/>
      <c r="H80" s="104">
        <v>0</v>
      </c>
      <c r="I80" s="63"/>
      <c r="J80" s="106"/>
    </row>
    <row r="81" spans="2:14" x14ac:dyDescent="0.2">
      <c r="B81" s="803"/>
      <c r="C81" s="100" t="s">
        <v>201</v>
      </c>
      <c r="D81" s="784" t="s">
        <v>202</v>
      </c>
      <c r="E81" s="785"/>
      <c r="F81" s="786"/>
      <c r="G81" s="81"/>
      <c r="H81" s="104">
        <v>0</v>
      </c>
      <c r="I81" s="63"/>
    </row>
    <row r="82" spans="2:14" ht="13.5" thickBot="1" x14ac:dyDescent="0.25">
      <c r="B82" s="804"/>
      <c r="C82" s="100" t="s">
        <v>203</v>
      </c>
      <c r="D82" s="784" t="s">
        <v>204</v>
      </c>
      <c r="E82" s="785"/>
      <c r="F82" s="786"/>
      <c r="G82" s="102"/>
      <c r="H82" s="222">
        <f>+IF(+G82&lt;100000,+G82,10000)</f>
        <v>0</v>
      </c>
      <c r="I82" s="63"/>
    </row>
    <row r="83" spans="2:14" ht="13.5" thickBot="1" x14ac:dyDescent="0.25">
      <c r="B83" s="787" t="s">
        <v>205</v>
      </c>
      <c r="C83" s="788"/>
      <c r="D83" s="788"/>
      <c r="E83" s="788"/>
      <c r="F83" s="788"/>
      <c r="G83" s="107">
        <f>SUM(G78:G82)</f>
        <v>13364</v>
      </c>
      <c r="H83" s="108">
        <f>SUM(H77:H82)</f>
        <v>163364</v>
      </c>
    </row>
    <row r="84" spans="2:14" ht="13.5" thickBot="1" x14ac:dyDescent="0.25">
      <c r="N84" s="16" t="s">
        <v>728</v>
      </c>
    </row>
    <row r="85" spans="2:14" ht="13.5" thickBot="1" x14ac:dyDescent="0.25">
      <c r="B85" s="789" t="s">
        <v>206</v>
      </c>
      <c r="C85" s="790"/>
      <c r="D85" s="790"/>
      <c r="E85" s="790"/>
      <c r="F85" s="791"/>
      <c r="G85" s="1055">
        <f>ROUND(+G64-H83,-1)</f>
        <v>821990</v>
      </c>
      <c r="H85" s="1056"/>
      <c r="J85" s="87"/>
      <c r="K85" s="87"/>
      <c r="L85" s="87"/>
      <c r="M85" s="87"/>
    </row>
    <row r="86" spans="2:14" x14ac:dyDescent="0.2">
      <c r="B86" s="110"/>
      <c r="F86" s="105"/>
      <c r="J86" s="87"/>
      <c r="K86" s="87"/>
      <c r="L86" s="87"/>
      <c r="M86" s="87"/>
    </row>
    <row r="87" spans="2:14" x14ac:dyDescent="0.2">
      <c r="C87" s="793" t="s">
        <v>207</v>
      </c>
      <c r="D87" s="794"/>
      <c r="E87" s="111" t="s">
        <v>208</v>
      </c>
      <c r="F87" s="111" t="s">
        <v>209</v>
      </c>
      <c r="G87" s="111" t="s">
        <v>210</v>
      </c>
      <c r="H87" s="111" t="s">
        <v>211</v>
      </c>
      <c r="J87" s="87"/>
      <c r="K87" s="47"/>
      <c r="L87" s="87"/>
      <c r="M87" s="87"/>
    </row>
    <row r="88" spans="2:14" x14ac:dyDescent="0.2">
      <c r="C88" s="795" t="str">
        <f>IF(I6="M","0          - 250000","0          -  250000")</f>
        <v>0          -  250000</v>
      </c>
      <c r="D88" s="796"/>
      <c r="E88" s="112">
        <v>0</v>
      </c>
      <c r="F88" s="113">
        <f>IF(I6="M",(IF(G85&lt;250000,G85,250000)),(IF(G85&lt;250000,G85,250000)))</f>
        <v>250000</v>
      </c>
      <c r="G88" s="113">
        <f>G85-F88</f>
        <v>571990</v>
      </c>
      <c r="H88" s="113">
        <f>E88*F88</f>
        <v>0</v>
      </c>
      <c r="J88" s="87"/>
      <c r="K88" s="157"/>
      <c r="L88" s="87"/>
      <c r="M88" s="87"/>
    </row>
    <row r="89" spans="2:14" x14ac:dyDescent="0.2">
      <c r="C89" s="795" t="str">
        <f>IF(I6="M","250001 - 500000","250001-500000")</f>
        <v>250001-500000</v>
      </c>
      <c r="D89" s="796"/>
      <c r="E89" s="112">
        <v>0.05</v>
      </c>
      <c r="F89" s="113">
        <f>IF(I6="M",(IF(G88&lt;250000,G88,250000)),(IF(G88&lt;250000,G88,250000)))</f>
        <v>250000</v>
      </c>
      <c r="G89" s="113">
        <f>G88-F89</f>
        <v>321990</v>
      </c>
      <c r="H89" s="114">
        <f>ROUND(E89*F89,0.1)</f>
        <v>12500</v>
      </c>
      <c r="J89" s="87"/>
      <c r="K89" s="87"/>
      <c r="L89" s="87"/>
      <c r="M89" s="87"/>
    </row>
    <row r="90" spans="2:14" x14ac:dyDescent="0.2">
      <c r="C90" s="797" t="s">
        <v>212</v>
      </c>
      <c r="D90" s="798"/>
      <c r="E90" s="112">
        <v>0.2</v>
      </c>
      <c r="F90" s="113">
        <f>IF(G89&lt;500000,G89,500000)</f>
        <v>321990</v>
      </c>
      <c r="G90" s="113">
        <f>G89-F90</f>
        <v>0</v>
      </c>
      <c r="H90" s="114">
        <f>ROUND(E90*F90,0.1)</f>
        <v>64398</v>
      </c>
      <c r="J90" s="87"/>
      <c r="K90" s="87"/>
      <c r="L90" s="87"/>
      <c r="M90" s="87"/>
    </row>
    <row r="91" spans="2:14" x14ac:dyDescent="0.2">
      <c r="C91" s="795" t="s">
        <v>213</v>
      </c>
      <c r="D91" s="796"/>
      <c r="E91" s="112">
        <v>0.3</v>
      </c>
      <c r="F91" s="113">
        <f>G90</f>
        <v>0</v>
      </c>
      <c r="G91" s="113">
        <f>G90-F91</f>
        <v>0</v>
      </c>
      <c r="H91" s="114">
        <f>ROUND(E91*F91,0.1)</f>
        <v>0</v>
      </c>
      <c r="J91" s="87"/>
      <c r="K91" s="157"/>
      <c r="L91" s="87"/>
      <c r="M91" s="87"/>
    </row>
    <row r="92" spans="2:14" ht="12.75" customHeight="1" thickBot="1" x14ac:dyDescent="0.25">
      <c r="B92" s="116"/>
      <c r="C92" s="117"/>
      <c r="D92" s="47"/>
      <c r="E92" s="47"/>
      <c r="F92" s="47"/>
      <c r="J92" s="87"/>
      <c r="K92" s="118"/>
      <c r="L92" s="87"/>
      <c r="M92" s="87"/>
    </row>
    <row r="93" spans="2:14" ht="14.25" customHeight="1" thickBot="1" x14ac:dyDescent="0.25">
      <c r="B93" s="799" t="s">
        <v>239</v>
      </c>
      <c r="C93" s="800"/>
      <c r="D93" s="800"/>
      <c r="E93" s="800"/>
      <c r="F93" s="801"/>
      <c r="G93" s="771">
        <f>H88+H89+H90+H91</f>
        <v>76898</v>
      </c>
      <c r="H93" s="772"/>
      <c r="J93" s="87"/>
      <c r="K93" s="87"/>
      <c r="L93" s="87"/>
      <c r="M93" s="87"/>
    </row>
    <row r="94" spans="2:14" ht="14.25" customHeight="1" thickBot="1" x14ac:dyDescent="0.25">
      <c r="B94" s="119" t="s">
        <v>215</v>
      </c>
      <c r="C94" s="120"/>
      <c r="D94" s="120"/>
      <c r="E94" s="120"/>
      <c r="F94" s="120"/>
      <c r="G94" s="884">
        <f>IF((G64&lt;500000),5000,0)</f>
        <v>0</v>
      </c>
      <c r="H94" s="885">
        <f>IF(H92&lt;200000,0,IF(H92&lt;220000,((H92-200000)*10%),IF(H92&lt;=500000,2000,IF(H92&gt;=500000,0))))</f>
        <v>0</v>
      </c>
    </row>
    <row r="95" spans="2:14" ht="14.25" customHeight="1" thickBot="1" x14ac:dyDescent="0.25">
      <c r="B95" s="122" t="s">
        <v>216</v>
      </c>
      <c r="C95" s="123"/>
      <c r="D95" s="123"/>
      <c r="E95" s="123"/>
      <c r="F95" s="123"/>
      <c r="G95" s="771">
        <f>IF((G93-G94)&lt;0,0,(G93-G94))</f>
        <v>76898</v>
      </c>
      <c r="H95" s="772"/>
    </row>
    <row r="96" spans="2:14" ht="14.25" customHeight="1" thickBot="1" x14ac:dyDescent="0.25">
      <c r="B96" s="773" t="s">
        <v>240</v>
      </c>
      <c r="C96" s="774"/>
      <c r="D96" s="774"/>
      <c r="E96" s="774"/>
      <c r="F96" s="775"/>
      <c r="G96" s="776">
        <f>ROUND((IF(G95&gt;0,(G95*4%),0)),0)</f>
        <v>3076</v>
      </c>
      <c r="H96" s="777"/>
    </row>
    <row r="97" spans="2:8" ht="14.25" customHeight="1" thickBot="1" x14ac:dyDescent="0.25">
      <c r="B97" s="778" t="s">
        <v>218</v>
      </c>
      <c r="C97" s="779"/>
      <c r="D97" s="779"/>
      <c r="E97" s="779"/>
      <c r="F97" s="779"/>
      <c r="G97" s="780">
        <f>+G95+G96</f>
        <v>79974</v>
      </c>
      <c r="H97" s="781"/>
    </row>
    <row r="98" spans="2:8" ht="13.5" thickBot="1" x14ac:dyDescent="0.25">
      <c r="B98" s="765" t="s">
        <v>219</v>
      </c>
      <c r="C98" s="766"/>
      <c r="D98" s="766"/>
      <c r="E98" s="766"/>
      <c r="F98" s="766"/>
      <c r="G98" s="767">
        <f>O38</f>
        <v>45000</v>
      </c>
      <c r="H98" s="768"/>
    </row>
    <row r="99" spans="2:8" ht="13.5" thickBot="1" x14ac:dyDescent="0.25">
      <c r="B99" s="765" t="str">
        <f>IF(G99&gt;0,"TAX PAYABLE","TAX REFUND")</f>
        <v>TAX PAYABLE</v>
      </c>
      <c r="C99" s="766"/>
      <c r="D99" s="766"/>
      <c r="E99" s="766"/>
      <c r="F99" s="766"/>
      <c r="G99" s="767">
        <f>+G97-G98</f>
        <v>34974</v>
      </c>
      <c r="H99" s="768"/>
    </row>
    <row r="100" spans="2:8" x14ac:dyDescent="0.2">
      <c r="C100" s="39"/>
      <c r="D100" s="126"/>
      <c r="E100" s="126"/>
      <c r="F100" s="39"/>
      <c r="G100" s="39"/>
      <c r="H100" s="39"/>
    </row>
    <row r="101" spans="2:8" x14ac:dyDescent="0.2">
      <c r="C101" s="39"/>
      <c r="D101" s="39"/>
      <c r="E101" s="39"/>
      <c r="F101" s="39"/>
      <c r="G101" s="39"/>
      <c r="H101" s="39"/>
    </row>
    <row r="102" spans="2:8" x14ac:dyDescent="0.2">
      <c r="C102" s="39"/>
      <c r="D102" s="39"/>
      <c r="E102" s="39"/>
      <c r="F102" s="39"/>
      <c r="G102" s="39"/>
      <c r="H102" s="39"/>
    </row>
    <row r="103" spans="2:8" x14ac:dyDescent="0.2">
      <c r="C103" s="39"/>
      <c r="D103" s="39"/>
      <c r="E103" s="39"/>
      <c r="F103" s="39"/>
      <c r="G103" s="39"/>
      <c r="H103" s="39"/>
    </row>
  </sheetData>
  <mergeCells count="96">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C7:G7"/>
    <mergeCell ref="L7:O7"/>
    <mergeCell ref="A8:B8"/>
    <mergeCell ref="A21:A33"/>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G61:H61"/>
    <mergeCell ref="C62:F62"/>
    <mergeCell ref="G62:H62"/>
    <mergeCell ref="J62:O62"/>
    <mergeCell ref="J67:K67"/>
    <mergeCell ref="B64:F64"/>
    <mergeCell ref="G64:H64"/>
    <mergeCell ref="B61:F61"/>
    <mergeCell ref="J68:K68"/>
    <mergeCell ref="D69:F69"/>
    <mergeCell ref="J69:K69"/>
    <mergeCell ref="D70:F70"/>
    <mergeCell ref="J70:K70"/>
    <mergeCell ref="B83:F83"/>
    <mergeCell ref="D72:F72"/>
    <mergeCell ref="D73:F73"/>
    <mergeCell ref="D74:F74"/>
    <mergeCell ref="D75:F75"/>
    <mergeCell ref="D76:F76"/>
    <mergeCell ref="E77:F77"/>
    <mergeCell ref="D78:F78"/>
    <mergeCell ref="D79:F79"/>
    <mergeCell ref="D80:F80"/>
    <mergeCell ref="D81:F81"/>
    <mergeCell ref="D82:F82"/>
    <mergeCell ref="B68:B82"/>
    <mergeCell ref="C68:C74"/>
    <mergeCell ref="D68:F68"/>
    <mergeCell ref="D71:F71"/>
    <mergeCell ref="B96:F96"/>
    <mergeCell ref="G96:H96"/>
    <mergeCell ref="B85:F85"/>
    <mergeCell ref="G85:H85"/>
    <mergeCell ref="C87:D87"/>
    <mergeCell ref="C88:D88"/>
    <mergeCell ref="C89:D89"/>
    <mergeCell ref="C90:D90"/>
    <mergeCell ref="C91:D91"/>
    <mergeCell ref="B93:F93"/>
    <mergeCell ref="G93:H93"/>
    <mergeCell ref="G94:H94"/>
    <mergeCell ref="G95:H95"/>
    <mergeCell ref="B97:F97"/>
    <mergeCell ref="G97:H97"/>
    <mergeCell ref="B98:F98"/>
    <mergeCell ref="G98:H98"/>
    <mergeCell ref="B99:F99"/>
    <mergeCell ref="G99:H99"/>
  </mergeCells>
  <conditionalFormatting sqref="B99:F99 B90:F90 B93:F97">
    <cfRule type="cellIs" dxfId="97" priority="1" stopIfTrue="1" operator="equal">
      <formula>"TAX PAYABLE"</formula>
    </cfRule>
    <cfRule type="cellIs" dxfId="96" priority="2" stopIfTrue="1" operator="equal">
      <formula>"TAX REFUND"</formula>
    </cfRule>
  </conditionalFormatting>
  <conditionalFormatting sqref="G99:H99">
    <cfRule type="cellIs" dxfId="95" priority="3" stopIfTrue="1" operator="greaterThan">
      <formula>0</formula>
    </cfRule>
    <cfRule type="cellIs" dxfId="94" priority="4" stopIfTrue="1" operator="lessThanOrEqual">
      <formula>0</formula>
    </cfRule>
  </conditionalFormatting>
  <conditionalFormatting sqref="G90:H90">
    <cfRule type="cellIs" dxfId="93" priority="5" stopIfTrue="1" operator="lessThan">
      <formula>0</formula>
    </cfRule>
    <cfRule type="cellIs" dxfId="92" priority="6" stopIfTrue="1" operator="greaterThan">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$Q$8:$Q$9</formula1>
    </dataValidation>
  </dataValidations>
  <pageMargins left="0.7" right="0.7" top="0.75" bottom="0.75" header="0.3" footer="0.3"/>
  <pageSetup paperSize="5" orientation="landscape" horizontalDpi="300" verticalDpi="300" r:id="rId1"/>
  <headerFooter alignWithMargins="0"/>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8"/>
  <sheetViews>
    <sheetView topLeftCell="A8" workbookViewId="0">
      <selection activeCell="I37" sqref="C37:I37"/>
    </sheetView>
  </sheetViews>
  <sheetFormatPr defaultRowHeight="12.75" x14ac:dyDescent="0.2"/>
  <cols>
    <col min="1" max="1" width="5" style="16" customWidth="1"/>
    <col min="2" max="2" width="18.28515625" style="37" customWidth="1"/>
    <col min="3" max="3" width="9.28515625" style="16" customWidth="1"/>
    <col min="4" max="4" width="8.7109375" style="16" customWidth="1"/>
    <col min="5" max="5" width="8.5703125" style="16" bestFit="1" customWidth="1"/>
    <col min="6" max="6" width="9.28515625" style="16" bestFit="1" customWidth="1"/>
    <col min="7" max="8" width="9" style="16" customWidth="1"/>
    <col min="9" max="9" width="7.140625" style="16" bestFit="1" customWidth="1"/>
    <col min="10" max="10" width="7.5703125" style="16" customWidth="1"/>
    <col min="11" max="12" width="7" style="16" bestFit="1" customWidth="1"/>
    <col min="13" max="13" width="6.85546875" style="16" bestFit="1" customWidth="1"/>
    <col min="14" max="14" width="7" style="16" bestFit="1" customWidth="1"/>
    <col min="15" max="15" width="7.710937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8.28515625" style="16" customWidth="1"/>
    <col min="259" max="259" width="9.28515625" style="16" customWidth="1"/>
    <col min="260" max="260" width="8.7109375" style="16" customWidth="1"/>
    <col min="261" max="261" width="8.5703125" style="16" bestFit="1" customWidth="1"/>
    <col min="262" max="262" width="9.28515625" style="16" bestFit="1" customWidth="1"/>
    <col min="263" max="264" width="9" style="16" customWidth="1"/>
    <col min="265" max="265" width="7.140625" style="16" bestFit="1" customWidth="1"/>
    <col min="266" max="266" width="7.5703125" style="16" customWidth="1"/>
    <col min="267" max="268" width="7" style="16" bestFit="1" customWidth="1"/>
    <col min="269" max="269" width="6.85546875" style="16" bestFit="1" customWidth="1"/>
    <col min="270" max="270" width="7" style="16" bestFit="1" customWidth="1"/>
    <col min="271" max="271" width="7.710937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8.28515625" style="16" customWidth="1"/>
    <col min="515" max="515" width="9.28515625" style="16" customWidth="1"/>
    <col min="516" max="516" width="8.7109375" style="16" customWidth="1"/>
    <col min="517" max="517" width="8.5703125" style="16" bestFit="1" customWidth="1"/>
    <col min="518" max="518" width="9.28515625" style="16" bestFit="1" customWidth="1"/>
    <col min="519" max="520" width="9" style="16" customWidth="1"/>
    <col min="521" max="521" width="7.140625" style="16" bestFit="1" customWidth="1"/>
    <col min="522" max="522" width="7.5703125" style="16" customWidth="1"/>
    <col min="523" max="524" width="7" style="16" bestFit="1" customWidth="1"/>
    <col min="525" max="525" width="6.85546875" style="16" bestFit="1" customWidth="1"/>
    <col min="526" max="526" width="7" style="16" bestFit="1" customWidth="1"/>
    <col min="527" max="527" width="7.710937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8.28515625" style="16" customWidth="1"/>
    <col min="771" max="771" width="9.28515625" style="16" customWidth="1"/>
    <col min="772" max="772" width="8.7109375" style="16" customWidth="1"/>
    <col min="773" max="773" width="8.5703125" style="16" bestFit="1" customWidth="1"/>
    <col min="774" max="774" width="9.28515625" style="16" bestFit="1" customWidth="1"/>
    <col min="775" max="776" width="9" style="16" customWidth="1"/>
    <col min="777" max="777" width="7.140625" style="16" bestFit="1" customWidth="1"/>
    <col min="778" max="778" width="7.5703125" style="16" customWidth="1"/>
    <col min="779" max="780" width="7" style="16" bestFit="1" customWidth="1"/>
    <col min="781" max="781" width="6.85546875" style="16" bestFit="1" customWidth="1"/>
    <col min="782" max="782" width="7" style="16" bestFit="1" customWidth="1"/>
    <col min="783" max="783" width="7.710937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8.28515625" style="16" customWidth="1"/>
    <col min="1027" max="1027" width="9.28515625" style="16" customWidth="1"/>
    <col min="1028" max="1028" width="8.7109375" style="16" customWidth="1"/>
    <col min="1029" max="1029" width="8.5703125" style="16" bestFit="1" customWidth="1"/>
    <col min="1030" max="1030" width="9.28515625" style="16" bestFit="1" customWidth="1"/>
    <col min="1031" max="1032" width="9" style="16" customWidth="1"/>
    <col min="1033" max="1033" width="7.140625" style="16" bestFit="1" customWidth="1"/>
    <col min="1034" max="1034" width="7.5703125" style="16" customWidth="1"/>
    <col min="1035" max="1036" width="7" style="16" bestFit="1" customWidth="1"/>
    <col min="1037" max="1037" width="6.85546875" style="16" bestFit="1" customWidth="1"/>
    <col min="1038" max="1038" width="7" style="16" bestFit="1" customWidth="1"/>
    <col min="1039" max="1039" width="7.710937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8.28515625" style="16" customWidth="1"/>
    <col min="1283" max="1283" width="9.28515625" style="16" customWidth="1"/>
    <col min="1284" max="1284" width="8.7109375" style="16" customWidth="1"/>
    <col min="1285" max="1285" width="8.5703125" style="16" bestFit="1" customWidth="1"/>
    <col min="1286" max="1286" width="9.28515625" style="16" bestFit="1" customWidth="1"/>
    <col min="1287" max="1288" width="9" style="16" customWidth="1"/>
    <col min="1289" max="1289" width="7.140625" style="16" bestFit="1" customWidth="1"/>
    <col min="1290" max="1290" width="7.5703125" style="16" customWidth="1"/>
    <col min="1291" max="1292" width="7" style="16" bestFit="1" customWidth="1"/>
    <col min="1293" max="1293" width="6.85546875" style="16" bestFit="1" customWidth="1"/>
    <col min="1294" max="1294" width="7" style="16" bestFit="1" customWidth="1"/>
    <col min="1295" max="1295" width="7.710937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8.28515625" style="16" customWidth="1"/>
    <col min="1539" max="1539" width="9.28515625" style="16" customWidth="1"/>
    <col min="1540" max="1540" width="8.7109375" style="16" customWidth="1"/>
    <col min="1541" max="1541" width="8.5703125" style="16" bestFit="1" customWidth="1"/>
    <col min="1542" max="1542" width="9.28515625" style="16" bestFit="1" customWidth="1"/>
    <col min="1543" max="1544" width="9" style="16" customWidth="1"/>
    <col min="1545" max="1545" width="7.140625" style="16" bestFit="1" customWidth="1"/>
    <col min="1546" max="1546" width="7.5703125" style="16" customWidth="1"/>
    <col min="1547" max="1548" width="7" style="16" bestFit="1" customWidth="1"/>
    <col min="1549" max="1549" width="6.85546875" style="16" bestFit="1" customWidth="1"/>
    <col min="1550" max="1550" width="7" style="16" bestFit="1" customWidth="1"/>
    <col min="1551" max="1551" width="7.710937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8.28515625" style="16" customWidth="1"/>
    <col min="1795" max="1795" width="9.28515625" style="16" customWidth="1"/>
    <col min="1796" max="1796" width="8.7109375" style="16" customWidth="1"/>
    <col min="1797" max="1797" width="8.5703125" style="16" bestFit="1" customWidth="1"/>
    <col min="1798" max="1798" width="9.28515625" style="16" bestFit="1" customWidth="1"/>
    <col min="1799" max="1800" width="9" style="16" customWidth="1"/>
    <col min="1801" max="1801" width="7.140625" style="16" bestFit="1" customWidth="1"/>
    <col min="1802" max="1802" width="7.5703125" style="16" customWidth="1"/>
    <col min="1803" max="1804" width="7" style="16" bestFit="1" customWidth="1"/>
    <col min="1805" max="1805" width="6.85546875" style="16" bestFit="1" customWidth="1"/>
    <col min="1806" max="1806" width="7" style="16" bestFit="1" customWidth="1"/>
    <col min="1807" max="1807" width="7.710937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8.28515625" style="16" customWidth="1"/>
    <col min="2051" max="2051" width="9.28515625" style="16" customWidth="1"/>
    <col min="2052" max="2052" width="8.7109375" style="16" customWidth="1"/>
    <col min="2053" max="2053" width="8.5703125" style="16" bestFit="1" customWidth="1"/>
    <col min="2054" max="2054" width="9.28515625" style="16" bestFit="1" customWidth="1"/>
    <col min="2055" max="2056" width="9" style="16" customWidth="1"/>
    <col min="2057" max="2057" width="7.140625" style="16" bestFit="1" customWidth="1"/>
    <col min="2058" max="2058" width="7.5703125" style="16" customWidth="1"/>
    <col min="2059" max="2060" width="7" style="16" bestFit="1" customWidth="1"/>
    <col min="2061" max="2061" width="6.85546875" style="16" bestFit="1" customWidth="1"/>
    <col min="2062" max="2062" width="7" style="16" bestFit="1" customWidth="1"/>
    <col min="2063" max="2063" width="7.710937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8.28515625" style="16" customWidth="1"/>
    <col min="2307" max="2307" width="9.28515625" style="16" customWidth="1"/>
    <col min="2308" max="2308" width="8.7109375" style="16" customWidth="1"/>
    <col min="2309" max="2309" width="8.5703125" style="16" bestFit="1" customWidth="1"/>
    <col min="2310" max="2310" width="9.28515625" style="16" bestFit="1" customWidth="1"/>
    <col min="2311" max="2312" width="9" style="16" customWidth="1"/>
    <col min="2313" max="2313" width="7.140625" style="16" bestFit="1" customWidth="1"/>
    <col min="2314" max="2314" width="7.5703125" style="16" customWidth="1"/>
    <col min="2315" max="2316" width="7" style="16" bestFit="1" customWidth="1"/>
    <col min="2317" max="2317" width="6.85546875" style="16" bestFit="1" customWidth="1"/>
    <col min="2318" max="2318" width="7" style="16" bestFit="1" customWidth="1"/>
    <col min="2319" max="2319" width="7.710937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8.28515625" style="16" customWidth="1"/>
    <col min="2563" max="2563" width="9.28515625" style="16" customWidth="1"/>
    <col min="2564" max="2564" width="8.7109375" style="16" customWidth="1"/>
    <col min="2565" max="2565" width="8.5703125" style="16" bestFit="1" customWidth="1"/>
    <col min="2566" max="2566" width="9.28515625" style="16" bestFit="1" customWidth="1"/>
    <col min="2567" max="2568" width="9" style="16" customWidth="1"/>
    <col min="2569" max="2569" width="7.140625" style="16" bestFit="1" customWidth="1"/>
    <col min="2570" max="2570" width="7.5703125" style="16" customWidth="1"/>
    <col min="2571" max="2572" width="7" style="16" bestFit="1" customWidth="1"/>
    <col min="2573" max="2573" width="6.85546875" style="16" bestFit="1" customWidth="1"/>
    <col min="2574" max="2574" width="7" style="16" bestFit="1" customWidth="1"/>
    <col min="2575" max="2575" width="7.710937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8.28515625" style="16" customWidth="1"/>
    <col min="2819" max="2819" width="9.28515625" style="16" customWidth="1"/>
    <col min="2820" max="2820" width="8.7109375" style="16" customWidth="1"/>
    <col min="2821" max="2821" width="8.5703125" style="16" bestFit="1" customWidth="1"/>
    <col min="2822" max="2822" width="9.28515625" style="16" bestFit="1" customWidth="1"/>
    <col min="2823" max="2824" width="9" style="16" customWidth="1"/>
    <col min="2825" max="2825" width="7.140625" style="16" bestFit="1" customWidth="1"/>
    <col min="2826" max="2826" width="7.5703125" style="16" customWidth="1"/>
    <col min="2827" max="2828" width="7" style="16" bestFit="1" customWidth="1"/>
    <col min="2829" max="2829" width="6.85546875" style="16" bestFit="1" customWidth="1"/>
    <col min="2830" max="2830" width="7" style="16" bestFit="1" customWidth="1"/>
    <col min="2831" max="2831" width="7.710937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8.28515625" style="16" customWidth="1"/>
    <col min="3075" max="3075" width="9.28515625" style="16" customWidth="1"/>
    <col min="3076" max="3076" width="8.7109375" style="16" customWidth="1"/>
    <col min="3077" max="3077" width="8.5703125" style="16" bestFit="1" customWidth="1"/>
    <col min="3078" max="3078" width="9.28515625" style="16" bestFit="1" customWidth="1"/>
    <col min="3079" max="3080" width="9" style="16" customWidth="1"/>
    <col min="3081" max="3081" width="7.140625" style="16" bestFit="1" customWidth="1"/>
    <col min="3082" max="3082" width="7.5703125" style="16" customWidth="1"/>
    <col min="3083" max="3084" width="7" style="16" bestFit="1" customWidth="1"/>
    <col min="3085" max="3085" width="6.85546875" style="16" bestFit="1" customWidth="1"/>
    <col min="3086" max="3086" width="7" style="16" bestFit="1" customWidth="1"/>
    <col min="3087" max="3087" width="7.710937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8.28515625" style="16" customWidth="1"/>
    <col min="3331" max="3331" width="9.28515625" style="16" customWidth="1"/>
    <col min="3332" max="3332" width="8.7109375" style="16" customWidth="1"/>
    <col min="3333" max="3333" width="8.5703125" style="16" bestFit="1" customWidth="1"/>
    <col min="3334" max="3334" width="9.28515625" style="16" bestFit="1" customWidth="1"/>
    <col min="3335" max="3336" width="9" style="16" customWidth="1"/>
    <col min="3337" max="3337" width="7.140625" style="16" bestFit="1" customWidth="1"/>
    <col min="3338" max="3338" width="7.5703125" style="16" customWidth="1"/>
    <col min="3339" max="3340" width="7" style="16" bestFit="1" customWidth="1"/>
    <col min="3341" max="3341" width="6.85546875" style="16" bestFit="1" customWidth="1"/>
    <col min="3342" max="3342" width="7" style="16" bestFit="1" customWidth="1"/>
    <col min="3343" max="3343" width="7.710937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8.28515625" style="16" customWidth="1"/>
    <col min="3587" max="3587" width="9.28515625" style="16" customWidth="1"/>
    <col min="3588" max="3588" width="8.7109375" style="16" customWidth="1"/>
    <col min="3589" max="3589" width="8.5703125" style="16" bestFit="1" customWidth="1"/>
    <col min="3590" max="3590" width="9.28515625" style="16" bestFit="1" customWidth="1"/>
    <col min="3591" max="3592" width="9" style="16" customWidth="1"/>
    <col min="3593" max="3593" width="7.140625" style="16" bestFit="1" customWidth="1"/>
    <col min="3594" max="3594" width="7.5703125" style="16" customWidth="1"/>
    <col min="3595" max="3596" width="7" style="16" bestFit="1" customWidth="1"/>
    <col min="3597" max="3597" width="6.85546875" style="16" bestFit="1" customWidth="1"/>
    <col min="3598" max="3598" width="7" style="16" bestFit="1" customWidth="1"/>
    <col min="3599" max="3599" width="7.710937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8.28515625" style="16" customWidth="1"/>
    <col min="3843" max="3843" width="9.28515625" style="16" customWidth="1"/>
    <col min="3844" max="3844" width="8.7109375" style="16" customWidth="1"/>
    <col min="3845" max="3845" width="8.5703125" style="16" bestFit="1" customWidth="1"/>
    <col min="3846" max="3846" width="9.28515625" style="16" bestFit="1" customWidth="1"/>
    <col min="3847" max="3848" width="9" style="16" customWidth="1"/>
    <col min="3849" max="3849" width="7.140625" style="16" bestFit="1" customWidth="1"/>
    <col min="3850" max="3850" width="7.5703125" style="16" customWidth="1"/>
    <col min="3851" max="3852" width="7" style="16" bestFit="1" customWidth="1"/>
    <col min="3853" max="3853" width="6.85546875" style="16" bestFit="1" customWidth="1"/>
    <col min="3854" max="3854" width="7" style="16" bestFit="1" customWidth="1"/>
    <col min="3855" max="3855" width="7.710937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8.28515625" style="16" customWidth="1"/>
    <col min="4099" max="4099" width="9.28515625" style="16" customWidth="1"/>
    <col min="4100" max="4100" width="8.7109375" style="16" customWidth="1"/>
    <col min="4101" max="4101" width="8.5703125" style="16" bestFit="1" customWidth="1"/>
    <col min="4102" max="4102" width="9.28515625" style="16" bestFit="1" customWidth="1"/>
    <col min="4103" max="4104" width="9" style="16" customWidth="1"/>
    <col min="4105" max="4105" width="7.140625" style="16" bestFit="1" customWidth="1"/>
    <col min="4106" max="4106" width="7.5703125" style="16" customWidth="1"/>
    <col min="4107" max="4108" width="7" style="16" bestFit="1" customWidth="1"/>
    <col min="4109" max="4109" width="6.85546875" style="16" bestFit="1" customWidth="1"/>
    <col min="4110" max="4110" width="7" style="16" bestFit="1" customWidth="1"/>
    <col min="4111" max="4111" width="7.710937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8.28515625" style="16" customWidth="1"/>
    <col min="4355" max="4355" width="9.28515625" style="16" customWidth="1"/>
    <col min="4356" max="4356" width="8.7109375" style="16" customWidth="1"/>
    <col min="4357" max="4357" width="8.5703125" style="16" bestFit="1" customWidth="1"/>
    <col min="4358" max="4358" width="9.28515625" style="16" bestFit="1" customWidth="1"/>
    <col min="4359" max="4360" width="9" style="16" customWidth="1"/>
    <col min="4361" max="4361" width="7.140625" style="16" bestFit="1" customWidth="1"/>
    <col min="4362" max="4362" width="7.5703125" style="16" customWidth="1"/>
    <col min="4363" max="4364" width="7" style="16" bestFit="1" customWidth="1"/>
    <col min="4365" max="4365" width="6.85546875" style="16" bestFit="1" customWidth="1"/>
    <col min="4366" max="4366" width="7" style="16" bestFit="1" customWidth="1"/>
    <col min="4367" max="4367" width="7.710937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8.28515625" style="16" customWidth="1"/>
    <col min="4611" max="4611" width="9.28515625" style="16" customWidth="1"/>
    <col min="4612" max="4612" width="8.7109375" style="16" customWidth="1"/>
    <col min="4613" max="4613" width="8.5703125" style="16" bestFit="1" customWidth="1"/>
    <col min="4614" max="4614" width="9.28515625" style="16" bestFit="1" customWidth="1"/>
    <col min="4615" max="4616" width="9" style="16" customWidth="1"/>
    <col min="4617" max="4617" width="7.140625" style="16" bestFit="1" customWidth="1"/>
    <col min="4618" max="4618" width="7.5703125" style="16" customWidth="1"/>
    <col min="4619" max="4620" width="7" style="16" bestFit="1" customWidth="1"/>
    <col min="4621" max="4621" width="6.85546875" style="16" bestFit="1" customWidth="1"/>
    <col min="4622" max="4622" width="7" style="16" bestFit="1" customWidth="1"/>
    <col min="4623" max="4623" width="7.710937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8.28515625" style="16" customWidth="1"/>
    <col min="4867" max="4867" width="9.28515625" style="16" customWidth="1"/>
    <col min="4868" max="4868" width="8.7109375" style="16" customWidth="1"/>
    <col min="4869" max="4869" width="8.5703125" style="16" bestFit="1" customWidth="1"/>
    <col min="4870" max="4870" width="9.28515625" style="16" bestFit="1" customWidth="1"/>
    <col min="4871" max="4872" width="9" style="16" customWidth="1"/>
    <col min="4873" max="4873" width="7.140625" style="16" bestFit="1" customWidth="1"/>
    <col min="4874" max="4874" width="7.5703125" style="16" customWidth="1"/>
    <col min="4875" max="4876" width="7" style="16" bestFit="1" customWidth="1"/>
    <col min="4877" max="4877" width="6.85546875" style="16" bestFit="1" customWidth="1"/>
    <col min="4878" max="4878" width="7" style="16" bestFit="1" customWidth="1"/>
    <col min="4879" max="4879" width="7.710937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8.28515625" style="16" customWidth="1"/>
    <col min="5123" max="5123" width="9.28515625" style="16" customWidth="1"/>
    <col min="5124" max="5124" width="8.7109375" style="16" customWidth="1"/>
    <col min="5125" max="5125" width="8.5703125" style="16" bestFit="1" customWidth="1"/>
    <col min="5126" max="5126" width="9.28515625" style="16" bestFit="1" customWidth="1"/>
    <col min="5127" max="5128" width="9" style="16" customWidth="1"/>
    <col min="5129" max="5129" width="7.140625" style="16" bestFit="1" customWidth="1"/>
    <col min="5130" max="5130" width="7.5703125" style="16" customWidth="1"/>
    <col min="5131" max="5132" width="7" style="16" bestFit="1" customWidth="1"/>
    <col min="5133" max="5133" width="6.85546875" style="16" bestFit="1" customWidth="1"/>
    <col min="5134" max="5134" width="7" style="16" bestFit="1" customWidth="1"/>
    <col min="5135" max="5135" width="7.710937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8.28515625" style="16" customWidth="1"/>
    <col min="5379" max="5379" width="9.28515625" style="16" customWidth="1"/>
    <col min="5380" max="5380" width="8.7109375" style="16" customWidth="1"/>
    <col min="5381" max="5381" width="8.5703125" style="16" bestFit="1" customWidth="1"/>
    <col min="5382" max="5382" width="9.28515625" style="16" bestFit="1" customWidth="1"/>
    <col min="5383" max="5384" width="9" style="16" customWidth="1"/>
    <col min="5385" max="5385" width="7.140625" style="16" bestFit="1" customWidth="1"/>
    <col min="5386" max="5386" width="7.5703125" style="16" customWidth="1"/>
    <col min="5387" max="5388" width="7" style="16" bestFit="1" customWidth="1"/>
    <col min="5389" max="5389" width="6.85546875" style="16" bestFit="1" customWidth="1"/>
    <col min="5390" max="5390" width="7" style="16" bestFit="1" customWidth="1"/>
    <col min="5391" max="5391" width="7.710937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8.28515625" style="16" customWidth="1"/>
    <col min="5635" max="5635" width="9.28515625" style="16" customWidth="1"/>
    <col min="5636" max="5636" width="8.7109375" style="16" customWidth="1"/>
    <col min="5637" max="5637" width="8.5703125" style="16" bestFit="1" customWidth="1"/>
    <col min="5638" max="5638" width="9.28515625" style="16" bestFit="1" customWidth="1"/>
    <col min="5639" max="5640" width="9" style="16" customWidth="1"/>
    <col min="5641" max="5641" width="7.140625" style="16" bestFit="1" customWidth="1"/>
    <col min="5642" max="5642" width="7.5703125" style="16" customWidth="1"/>
    <col min="5643" max="5644" width="7" style="16" bestFit="1" customWidth="1"/>
    <col min="5645" max="5645" width="6.85546875" style="16" bestFit="1" customWidth="1"/>
    <col min="5646" max="5646" width="7" style="16" bestFit="1" customWidth="1"/>
    <col min="5647" max="5647" width="7.710937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8.28515625" style="16" customWidth="1"/>
    <col min="5891" max="5891" width="9.28515625" style="16" customWidth="1"/>
    <col min="5892" max="5892" width="8.7109375" style="16" customWidth="1"/>
    <col min="5893" max="5893" width="8.5703125" style="16" bestFit="1" customWidth="1"/>
    <col min="5894" max="5894" width="9.28515625" style="16" bestFit="1" customWidth="1"/>
    <col min="5895" max="5896" width="9" style="16" customWidth="1"/>
    <col min="5897" max="5897" width="7.140625" style="16" bestFit="1" customWidth="1"/>
    <col min="5898" max="5898" width="7.5703125" style="16" customWidth="1"/>
    <col min="5899" max="5900" width="7" style="16" bestFit="1" customWidth="1"/>
    <col min="5901" max="5901" width="6.85546875" style="16" bestFit="1" customWidth="1"/>
    <col min="5902" max="5902" width="7" style="16" bestFit="1" customWidth="1"/>
    <col min="5903" max="5903" width="7.710937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8.28515625" style="16" customWidth="1"/>
    <col min="6147" max="6147" width="9.28515625" style="16" customWidth="1"/>
    <col min="6148" max="6148" width="8.7109375" style="16" customWidth="1"/>
    <col min="6149" max="6149" width="8.5703125" style="16" bestFit="1" customWidth="1"/>
    <col min="6150" max="6150" width="9.28515625" style="16" bestFit="1" customWidth="1"/>
    <col min="6151" max="6152" width="9" style="16" customWidth="1"/>
    <col min="6153" max="6153" width="7.140625" style="16" bestFit="1" customWidth="1"/>
    <col min="6154" max="6154" width="7.5703125" style="16" customWidth="1"/>
    <col min="6155" max="6156" width="7" style="16" bestFit="1" customWidth="1"/>
    <col min="6157" max="6157" width="6.85546875" style="16" bestFit="1" customWidth="1"/>
    <col min="6158" max="6158" width="7" style="16" bestFit="1" customWidth="1"/>
    <col min="6159" max="6159" width="7.710937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8.28515625" style="16" customWidth="1"/>
    <col min="6403" max="6403" width="9.28515625" style="16" customWidth="1"/>
    <col min="6404" max="6404" width="8.7109375" style="16" customWidth="1"/>
    <col min="6405" max="6405" width="8.5703125" style="16" bestFit="1" customWidth="1"/>
    <col min="6406" max="6406" width="9.28515625" style="16" bestFit="1" customWidth="1"/>
    <col min="6407" max="6408" width="9" style="16" customWidth="1"/>
    <col min="6409" max="6409" width="7.140625" style="16" bestFit="1" customWidth="1"/>
    <col min="6410" max="6410" width="7.5703125" style="16" customWidth="1"/>
    <col min="6411" max="6412" width="7" style="16" bestFit="1" customWidth="1"/>
    <col min="6413" max="6413" width="6.85546875" style="16" bestFit="1" customWidth="1"/>
    <col min="6414" max="6414" width="7" style="16" bestFit="1" customWidth="1"/>
    <col min="6415" max="6415" width="7.710937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8.28515625" style="16" customWidth="1"/>
    <col min="6659" max="6659" width="9.28515625" style="16" customWidth="1"/>
    <col min="6660" max="6660" width="8.7109375" style="16" customWidth="1"/>
    <col min="6661" max="6661" width="8.5703125" style="16" bestFit="1" customWidth="1"/>
    <col min="6662" max="6662" width="9.28515625" style="16" bestFit="1" customWidth="1"/>
    <col min="6663" max="6664" width="9" style="16" customWidth="1"/>
    <col min="6665" max="6665" width="7.140625" style="16" bestFit="1" customWidth="1"/>
    <col min="6666" max="6666" width="7.5703125" style="16" customWidth="1"/>
    <col min="6667" max="6668" width="7" style="16" bestFit="1" customWidth="1"/>
    <col min="6669" max="6669" width="6.85546875" style="16" bestFit="1" customWidth="1"/>
    <col min="6670" max="6670" width="7" style="16" bestFit="1" customWidth="1"/>
    <col min="6671" max="6671" width="7.710937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8.28515625" style="16" customWidth="1"/>
    <col min="6915" max="6915" width="9.28515625" style="16" customWidth="1"/>
    <col min="6916" max="6916" width="8.7109375" style="16" customWidth="1"/>
    <col min="6917" max="6917" width="8.5703125" style="16" bestFit="1" customWidth="1"/>
    <col min="6918" max="6918" width="9.28515625" style="16" bestFit="1" customWidth="1"/>
    <col min="6919" max="6920" width="9" style="16" customWidth="1"/>
    <col min="6921" max="6921" width="7.140625" style="16" bestFit="1" customWidth="1"/>
    <col min="6922" max="6922" width="7.5703125" style="16" customWidth="1"/>
    <col min="6923" max="6924" width="7" style="16" bestFit="1" customWidth="1"/>
    <col min="6925" max="6925" width="6.85546875" style="16" bestFit="1" customWidth="1"/>
    <col min="6926" max="6926" width="7" style="16" bestFit="1" customWidth="1"/>
    <col min="6927" max="6927" width="7.710937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8.28515625" style="16" customWidth="1"/>
    <col min="7171" max="7171" width="9.28515625" style="16" customWidth="1"/>
    <col min="7172" max="7172" width="8.7109375" style="16" customWidth="1"/>
    <col min="7173" max="7173" width="8.5703125" style="16" bestFit="1" customWidth="1"/>
    <col min="7174" max="7174" width="9.28515625" style="16" bestFit="1" customWidth="1"/>
    <col min="7175" max="7176" width="9" style="16" customWidth="1"/>
    <col min="7177" max="7177" width="7.140625" style="16" bestFit="1" customWidth="1"/>
    <col min="7178" max="7178" width="7.5703125" style="16" customWidth="1"/>
    <col min="7179" max="7180" width="7" style="16" bestFit="1" customWidth="1"/>
    <col min="7181" max="7181" width="6.85546875" style="16" bestFit="1" customWidth="1"/>
    <col min="7182" max="7182" width="7" style="16" bestFit="1" customWidth="1"/>
    <col min="7183" max="7183" width="7.710937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8.28515625" style="16" customWidth="1"/>
    <col min="7427" max="7427" width="9.28515625" style="16" customWidth="1"/>
    <col min="7428" max="7428" width="8.7109375" style="16" customWidth="1"/>
    <col min="7429" max="7429" width="8.5703125" style="16" bestFit="1" customWidth="1"/>
    <col min="7430" max="7430" width="9.28515625" style="16" bestFit="1" customWidth="1"/>
    <col min="7431" max="7432" width="9" style="16" customWidth="1"/>
    <col min="7433" max="7433" width="7.140625" style="16" bestFit="1" customWidth="1"/>
    <col min="7434" max="7434" width="7.5703125" style="16" customWidth="1"/>
    <col min="7435" max="7436" width="7" style="16" bestFit="1" customWidth="1"/>
    <col min="7437" max="7437" width="6.85546875" style="16" bestFit="1" customWidth="1"/>
    <col min="7438" max="7438" width="7" style="16" bestFit="1" customWidth="1"/>
    <col min="7439" max="7439" width="7.710937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8.28515625" style="16" customWidth="1"/>
    <col min="7683" max="7683" width="9.28515625" style="16" customWidth="1"/>
    <col min="7684" max="7684" width="8.7109375" style="16" customWidth="1"/>
    <col min="7685" max="7685" width="8.5703125" style="16" bestFit="1" customWidth="1"/>
    <col min="7686" max="7686" width="9.28515625" style="16" bestFit="1" customWidth="1"/>
    <col min="7687" max="7688" width="9" style="16" customWidth="1"/>
    <col min="7689" max="7689" width="7.140625" style="16" bestFit="1" customWidth="1"/>
    <col min="7690" max="7690" width="7.5703125" style="16" customWidth="1"/>
    <col min="7691" max="7692" width="7" style="16" bestFit="1" customWidth="1"/>
    <col min="7693" max="7693" width="6.85546875" style="16" bestFit="1" customWidth="1"/>
    <col min="7694" max="7694" width="7" style="16" bestFit="1" customWidth="1"/>
    <col min="7695" max="7695" width="7.710937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8.28515625" style="16" customWidth="1"/>
    <col min="7939" max="7939" width="9.28515625" style="16" customWidth="1"/>
    <col min="7940" max="7940" width="8.7109375" style="16" customWidth="1"/>
    <col min="7941" max="7941" width="8.5703125" style="16" bestFit="1" customWidth="1"/>
    <col min="7942" max="7942" width="9.28515625" style="16" bestFit="1" customWidth="1"/>
    <col min="7943" max="7944" width="9" style="16" customWidth="1"/>
    <col min="7945" max="7945" width="7.140625" style="16" bestFit="1" customWidth="1"/>
    <col min="7946" max="7946" width="7.5703125" style="16" customWidth="1"/>
    <col min="7947" max="7948" width="7" style="16" bestFit="1" customWidth="1"/>
    <col min="7949" max="7949" width="6.85546875" style="16" bestFit="1" customWidth="1"/>
    <col min="7950" max="7950" width="7" style="16" bestFit="1" customWidth="1"/>
    <col min="7951" max="7951" width="7.710937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8.28515625" style="16" customWidth="1"/>
    <col min="8195" max="8195" width="9.28515625" style="16" customWidth="1"/>
    <col min="8196" max="8196" width="8.7109375" style="16" customWidth="1"/>
    <col min="8197" max="8197" width="8.5703125" style="16" bestFit="1" customWidth="1"/>
    <col min="8198" max="8198" width="9.28515625" style="16" bestFit="1" customWidth="1"/>
    <col min="8199" max="8200" width="9" style="16" customWidth="1"/>
    <col min="8201" max="8201" width="7.140625" style="16" bestFit="1" customWidth="1"/>
    <col min="8202" max="8202" width="7.5703125" style="16" customWidth="1"/>
    <col min="8203" max="8204" width="7" style="16" bestFit="1" customWidth="1"/>
    <col min="8205" max="8205" width="6.85546875" style="16" bestFit="1" customWidth="1"/>
    <col min="8206" max="8206" width="7" style="16" bestFit="1" customWidth="1"/>
    <col min="8207" max="8207" width="7.710937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8.28515625" style="16" customWidth="1"/>
    <col min="8451" max="8451" width="9.28515625" style="16" customWidth="1"/>
    <col min="8452" max="8452" width="8.7109375" style="16" customWidth="1"/>
    <col min="8453" max="8453" width="8.5703125" style="16" bestFit="1" customWidth="1"/>
    <col min="8454" max="8454" width="9.28515625" style="16" bestFit="1" customWidth="1"/>
    <col min="8455" max="8456" width="9" style="16" customWidth="1"/>
    <col min="8457" max="8457" width="7.140625" style="16" bestFit="1" customWidth="1"/>
    <col min="8458" max="8458" width="7.5703125" style="16" customWidth="1"/>
    <col min="8459" max="8460" width="7" style="16" bestFit="1" customWidth="1"/>
    <col min="8461" max="8461" width="6.85546875" style="16" bestFit="1" customWidth="1"/>
    <col min="8462" max="8462" width="7" style="16" bestFit="1" customWidth="1"/>
    <col min="8463" max="8463" width="7.710937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8.28515625" style="16" customWidth="1"/>
    <col min="8707" max="8707" width="9.28515625" style="16" customWidth="1"/>
    <col min="8708" max="8708" width="8.7109375" style="16" customWidth="1"/>
    <col min="8709" max="8709" width="8.5703125" style="16" bestFit="1" customWidth="1"/>
    <col min="8710" max="8710" width="9.28515625" style="16" bestFit="1" customWidth="1"/>
    <col min="8711" max="8712" width="9" style="16" customWidth="1"/>
    <col min="8713" max="8713" width="7.140625" style="16" bestFit="1" customWidth="1"/>
    <col min="8714" max="8714" width="7.5703125" style="16" customWidth="1"/>
    <col min="8715" max="8716" width="7" style="16" bestFit="1" customWidth="1"/>
    <col min="8717" max="8717" width="6.85546875" style="16" bestFit="1" customWidth="1"/>
    <col min="8718" max="8718" width="7" style="16" bestFit="1" customWidth="1"/>
    <col min="8719" max="8719" width="7.710937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8.28515625" style="16" customWidth="1"/>
    <col min="8963" max="8963" width="9.28515625" style="16" customWidth="1"/>
    <col min="8964" max="8964" width="8.7109375" style="16" customWidth="1"/>
    <col min="8965" max="8965" width="8.5703125" style="16" bestFit="1" customWidth="1"/>
    <col min="8966" max="8966" width="9.28515625" style="16" bestFit="1" customWidth="1"/>
    <col min="8967" max="8968" width="9" style="16" customWidth="1"/>
    <col min="8969" max="8969" width="7.140625" style="16" bestFit="1" customWidth="1"/>
    <col min="8970" max="8970" width="7.5703125" style="16" customWidth="1"/>
    <col min="8971" max="8972" width="7" style="16" bestFit="1" customWidth="1"/>
    <col min="8973" max="8973" width="6.85546875" style="16" bestFit="1" customWidth="1"/>
    <col min="8974" max="8974" width="7" style="16" bestFit="1" customWidth="1"/>
    <col min="8975" max="8975" width="7.710937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8.28515625" style="16" customWidth="1"/>
    <col min="9219" max="9219" width="9.28515625" style="16" customWidth="1"/>
    <col min="9220" max="9220" width="8.7109375" style="16" customWidth="1"/>
    <col min="9221" max="9221" width="8.5703125" style="16" bestFit="1" customWidth="1"/>
    <col min="9222" max="9222" width="9.28515625" style="16" bestFit="1" customWidth="1"/>
    <col min="9223" max="9224" width="9" style="16" customWidth="1"/>
    <col min="9225" max="9225" width="7.140625" style="16" bestFit="1" customWidth="1"/>
    <col min="9226" max="9226" width="7.5703125" style="16" customWidth="1"/>
    <col min="9227" max="9228" width="7" style="16" bestFit="1" customWidth="1"/>
    <col min="9229" max="9229" width="6.85546875" style="16" bestFit="1" customWidth="1"/>
    <col min="9230" max="9230" width="7" style="16" bestFit="1" customWidth="1"/>
    <col min="9231" max="9231" width="7.710937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8.28515625" style="16" customWidth="1"/>
    <col min="9475" max="9475" width="9.28515625" style="16" customWidth="1"/>
    <col min="9476" max="9476" width="8.7109375" style="16" customWidth="1"/>
    <col min="9477" max="9477" width="8.5703125" style="16" bestFit="1" customWidth="1"/>
    <col min="9478" max="9478" width="9.28515625" style="16" bestFit="1" customWidth="1"/>
    <col min="9479" max="9480" width="9" style="16" customWidth="1"/>
    <col min="9481" max="9481" width="7.140625" style="16" bestFit="1" customWidth="1"/>
    <col min="9482" max="9482" width="7.5703125" style="16" customWidth="1"/>
    <col min="9483" max="9484" width="7" style="16" bestFit="1" customWidth="1"/>
    <col min="9485" max="9485" width="6.85546875" style="16" bestFit="1" customWidth="1"/>
    <col min="9486" max="9486" width="7" style="16" bestFit="1" customWidth="1"/>
    <col min="9487" max="9487" width="7.710937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8.28515625" style="16" customWidth="1"/>
    <col min="9731" max="9731" width="9.28515625" style="16" customWidth="1"/>
    <col min="9732" max="9732" width="8.7109375" style="16" customWidth="1"/>
    <col min="9733" max="9733" width="8.5703125" style="16" bestFit="1" customWidth="1"/>
    <col min="9734" max="9734" width="9.28515625" style="16" bestFit="1" customWidth="1"/>
    <col min="9735" max="9736" width="9" style="16" customWidth="1"/>
    <col min="9737" max="9737" width="7.140625" style="16" bestFit="1" customWidth="1"/>
    <col min="9738" max="9738" width="7.5703125" style="16" customWidth="1"/>
    <col min="9739" max="9740" width="7" style="16" bestFit="1" customWidth="1"/>
    <col min="9741" max="9741" width="6.85546875" style="16" bestFit="1" customWidth="1"/>
    <col min="9742" max="9742" width="7" style="16" bestFit="1" customWidth="1"/>
    <col min="9743" max="9743" width="7.710937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8.28515625" style="16" customWidth="1"/>
    <col min="9987" max="9987" width="9.28515625" style="16" customWidth="1"/>
    <col min="9988" max="9988" width="8.7109375" style="16" customWidth="1"/>
    <col min="9989" max="9989" width="8.5703125" style="16" bestFit="1" customWidth="1"/>
    <col min="9990" max="9990" width="9.28515625" style="16" bestFit="1" customWidth="1"/>
    <col min="9991" max="9992" width="9" style="16" customWidth="1"/>
    <col min="9993" max="9993" width="7.140625" style="16" bestFit="1" customWidth="1"/>
    <col min="9994" max="9994" width="7.5703125" style="16" customWidth="1"/>
    <col min="9995" max="9996" width="7" style="16" bestFit="1" customWidth="1"/>
    <col min="9997" max="9997" width="6.85546875" style="16" bestFit="1" customWidth="1"/>
    <col min="9998" max="9998" width="7" style="16" bestFit="1" customWidth="1"/>
    <col min="9999" max="9999" width="7.710937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8.28515625" style="16" customWidth="1"/>
    <col min="10243" max="10243" width="9.28515625" style="16" customWidth="1"/>
    <col min="10244" max="10244" width="8.7109375" style="16" customWidth="1"/>
    <col min="10245" max="10245" width="8.5703125" style="16" bestFit="1" customWidth="1"/>
    <col min="10246" max="10246" width="9.28515625" style="16" bestFit="1" customWidth="1"/>
    <col min="10247" max="10248" width="9" style="16" customWidth="1"/>
    <col min="10249" max="10249" width="7.140625" style="16" bestFit="1" customWidth="1"/>
    <col min="10250" max="10250" width="7.5703125" style="16" customWidth="1"/>
    <col min="10251" max="10252" width="7" style="16" bestFit="1" customWidth="1"/>
    <col min="10253" max="10253" width="6.85546875" style="16" bestFit="1" customWidth="1"/>
    <col min="10254" max="10254" width="7" style="16" bestFit="1" customWidth="1"/>
    <col min="10255" max="10255" width="7.710937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8.28515625" style="16" customWidth="1"/>
    <col min="10499" max="10499" width="9.28515625" style="16" customWidth="1"/>
    <col min="10500" max="10500" width="8.7109375" style="16" customWidth="1"/>
    <col min="10501" max="10501" width="8.5703125" style="16" bestFit="1" customWidth="1"/>
    <col min="10502" max="10502" width="9.28515625" style="16" bestFit="1" customWidth="1"/>
    <col min="10503" max="10504" width="9" style="16" customWidth="1"/>
    <col min="10505" max="10505" width="7.140625" style="16" bestFit="1" customWidth="1"/>
    <col min="10506" max="10506" width="7.5703125" style="16" customWidth="1"/>
    <col min="10507" max="10508" width="7" style="16" bestFit="1" customWidth="1"/>
    <col min="10509" max="10509" width="6.85546875" style="16" bestFit="1" customWidth="1"/>
    <col min="10510" max="10510" width="7" style="16" bestFit="1" customWidth="1"/>
    <col min="10511" max="10511" width="7.710937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8.28515625" style="16" customWidth="1"/>
    <col min="10755" max="10755" width="9.28515625" style="16" customWidth="1"/>
    <col min="10756" max="10756" width="8.7109375" style="16" customWidth="1"/>
    <col min="10757" max="10757" width="8.5703125" style="16" bestFit="1" customWidth="1"/>
    <col min="10758" max="10758" width="9.28515625" style="16" bestFit="1" customWidth="1"/>
    <col min="10759" max="10760" width="9" style="16" customWidth="1"/>
    <col min="10761" max="10761" width="7.140625" style="16" bestFit="1" customWidth="1"/>
    <col min="10762" max="10762" width="7.5703125" style="16" customWidth="1"/>
    <col min="10763" max="10764" width="7" style="16" bestFit="1" customWidth="1"/>
    <col min="10765" max="10765" width="6.85546875" style="16" bestFit="1" customWidth="1"/>
    <col min="10766" max="10766" width="7" style="16" bestFit="1" customWidth="1"/>
    <col min="10767" max="10767" width="7.710937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8.28515625" style="16" customWidth="1"/>
    <col min="11011" max="11011" width="9.28515625" style="16" customWidth="1"/>
    <col min="11012" max="11012" width="8.7109375" style="16" customWidth="1"/>
    <col min="11013" max="11013" width="8.5703125" style="16" bestFit="1" customWidth="1"/>
    <col min="11014" max="11014" width="9.28515625" style="16" bestFit="1" customWidth="1"/>
    <col min="11015" max="11016" width="9" style="16" customWidth="1"/>
    <col min="11017" max="11017" width="7.140625" style="16" bestFit="1" customWidth="1"/>
    <col min="11018" max="11018" width="7.5703125" style="16" customWidth="1"/>
    <col min="11019" max="11020" width="7" style="16" bestFit="1" customWidth="1"/>
    <col min="11021" max="11021" width="6.85546875" style="16" bestFit="1" customWidth="1"/>
    <col min="11022" max="11022" width="7" style="16" bestFit="1" customWidth="1"/>
    <col min="11023" max="11023" width="7.710937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8.28515625" style="16" customWidth="1"/>
    <col min="11267" max="11267" width="9.28515625" style="16" customWidth="1"/>
    <col min="11268" max="11268" width="8.7109375" style="16" customWidth="1"/>
    <col min="11269" max="11269" width="8.5703125" style="16" bestFit="1" customWidth="1"/>
    <col min="11270" max="11270" width="9.28515625" style="16" bestFit="1" customWidth="1"/>
    <col min="11271" max="11272" width="9" style="16" customWidth="1"/>
    <col min="11273" max="11273" width="7.140625" style="16" bestFit="1" customWidth="1"/>
    <col min="11274" max="11274" width="7.5703125" style="16" customWidth="1"/>
    <col min="11275" max="11276" width="7" style="16" bestFit="1" customWidth="1"/>
    <col min="11277" max="11277" width="6.85546875" style="16" bestFit="1" customWidth="1"/>
    <col min="11278" max="11278" width="7" style="16" bestFit="1" customWidth="1"/>
    <col min="11279" max="11279" width="7.710937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8.28515625" style="16" customWidth="1"/>
    <col min="11523" max="11523" width="9.28515625" style="16" customWidth="1"/>
    <col min="11524" max="11524" width="8.7109375" style="16" customWidth="1"/>
    <col min="11525" max="11525" width="8.5703125" style="16" bestFit="1" customWidth="1"/>
    <col min="11526" max="11526" width="9.28515625" style="16" bestFit="1" customWidth="1"/>
    <col min="11527" max="11528" width="9" style="16" customWidth="1"/>
    <col min="11529" max="11529" width="7.140625" style="16" bestFit="1" customWidth="1"/>
    <col min="11530" max="11530" width="7.5703125" style="16" customWidth="1"/>
    <col min="11531" max="11532" width="7" style="16" bestFit="1" customWidth="1"/>
    <col min="11533" max="11533" width="6.85546875" style="16" bestFit="1" customWidth="1"/>
    <col min="11534" max="11534" width="7" style="16" bestFit="1" customWidth="1"/>
    <col min="11535" max="11535" width="7.710937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8.28515625" style="16" customWidth="1"/>
    <col min="11779" max="11779" width="9.28515625" style="16" customWidth="1"/>
    <col min="11780" max="11780" width="8.7109375" style="16" customWidth="1"/>
    <col min="11781" max="11781" width="8.5703125" style="16" bestFit="1" customWidth="1"/>
    <col min="11782" max="11782" width="9.28515625" style="16" bestFit="1" customWidth="1"/>
    <col min="11783" max="11784" width="9" style="16" customWidth="1"/>
    <col min="11785" max="11785" width="7.140625" style="16" bestFit="1" customWidth="1"/>
    <col min="11786" max="11786" width="7.5703125" style="16" customWidth="1"/>
    <col min="11787" max="11788" width="7" style="16" bestFit="1" customWidth="1"/>
    <col min="11789" max="11789" width="6.85546875" style="16" bestFit="1" customWidth="1"/>
    <col min="11790" max="11790" width="7" style="16" bestFit="1" customWidth="1"/>
    <col min="11791" max="11791" width="7.710937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8.28515625" style="16" customWidth="1"/>
    <col min="12035" max="12035" width="9.28515625" style="16" customWidth="1"/>
    <col min="12036" max="12036" width="8.7109375" style="16" customWidth="1"/>
    <col min="12037" max="12037" width="8.5703125" style="16" bestFit="1" customWidth="1"/>
    <col min="12038" max="12038" width="9.28515625" style="16" bestFit="1" customWidth="1"/>
    <col min="12039" max="12040" width="9" style="16" customWidth="1"/>
    <col min="12041" max="12041" width="7.140625" style="16" bestFit="1" customWidth="1"/>
    <col min="12042" max="12042" width="7.5703125" style="16" customWidth="1"/>
    <col min="12043" max="12044" width="7" style="16" bestFit="1" customWidth="1"/>
    <col min="12045" max="12045" width="6.85546875" style="16" bestFit="1" customWidth="1"/>
    <col min="12046" max="12046" width="7" style="16" bestFit="1" customWidth="1"/>
    <col min="12047" max="12047" width="7.710937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8.28515625" style="16" customWidth="1"/>
    <col min="12291" max="12291" width="9.28515625" style="16" customWidth="1"/>
    <col min="12292" max="12292" width="8.7109375" style="16" customWidth="1"/>
    <col min="12293" max="12293" width="8.5703125" style="16" bestFit="1" customWidth="1"/>
    <col min="12294" max="12294" width="9.28515625" style="16" bestFit="1" customWidth="1"/>
    <col min="12295" max="12296" width="9" style="16" customWidth="1"/>
    <col min="12297" max="12297" width="7.140625" style="16" bestFit="1" customWidth="1"/>
    <col min="12298" max="12298" width="7.5703125" style="16" customWidth="1"/>
    <col min="12299" max="12300" width="7" style="16" bestFit="1" customWidth="1"/>
    <col min="12301" max="12301" width="6.85546875" style="16" bestFit="1" customWidth="1"/>
    <col min="12302" max="12302" width="7" style="16" bestFit="1" customWidth="1"/>
    <col min="12303" max="12303" width="7.710937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8.28515625" style="16" customWidth="1"/>
    <col min="12547" max="12547" width="9.28515625" style="16" customWidth="1"/>
    <col min="12548" max="12548" width="8.7109375" style="16" customWidth="1"/>
    <col min="12549" max="12549" width="8.5703125" style="16" bestFit="1" customWidth="1"/>
    <col min="12550" max="12550" width="9.28515625" style="16" bestFit="1" customWidth="1"/>
    <col min="12551" max="12552" width="9" style="16" customWidth="1"/>
    <col min="12553" max="12553" width="7.140625" style="16" bestFit="1" customWidth="1"/>
    <col min="12554" max="12554" width="7.5703125" style="16" customWidth="1"/>
    <col min="12555" max="12556" width="7" style="16" bestFit="1" customWidth="1"/>
    <col min="12557" max="12557" width="6.85546875" style="16" bestFit="1" customWidth="1"/>
    <col min="12558" max="12558" width="7" style="16" bestFit="1" customWidth="1"/>
    <col min="12559" max="12559" width="7.710937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8.28515625" style="16" customWidth="1"/>
    <col min="12803" max="12803" width="9.28515625" style="16" customWidth="1"/>
    <col min="12804" max="12804" width="8.7109375" style="16" customWidth="1"/>
    <col min="12805" max="12805" width="8.5703125" style="16" bestFit="1" customWidth="1"/>
    <col min="12806" max="12806" width="9.28515625" style="16" bestFit="1" customWidth="1"/>
    <col min="12807" max="12808" width="9" style="16" customWidth="1"/>
    <col min="12809" max="12809" width="7.140625" style="16" bestFit="1" customWidth="1"/>
    <col min="12810" max="12810" width="7.5703125" style="16" customWidth="1"/>
    <col min="12811" max="12812" width="7" style="16" bestFit="1" customWidth="1"/>
    <col min="12813" max="12813" width="6.85546875" style="16" bestFit="1" customWidth="1"/>
    <col min="12814" max="12814" width="7" style="16" bestFit="1" customWidth="1"/>
    <col min="12815" max="12815" width="7.710937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8.28515625" style="16" customWidth="1"/>
    <col min="13059" max="13059" width="9.28515625" style="16" customWidth="1"/>
    <col min="13060" max="13060" width="8.7109375" style="16" customWidth="1"/>
    <col min="13061" max="13061" width="8.5703125" style="16" bestFit="1" customWidth="1"/>
    <col min="13062" max="13062" width="9.28515625" style="16" bestFit="1" customWidth="1"/>
    <col min="13063" max="13064" width="9" style="16" customWidth="1"/>
    <col min="13065" max="13065" width="7.140625" style="16" bestFit="1" customWidth="1"/>
    <col min="13066" max="13066" width="7.5703125" style="16" customWidth="1"/>
    <col min="13067" max="13068" width="7" style="16" bestFit="1" customWidth="1"/>
    <col min="13069" max="13069" width="6.85546875" style="16" bestFit="1" customWidth="1"/>
    <col min="13070" max="13070" width="7" style="16" bestFit="1" customWidth="1"/>
    <col min="13071" max="13071" width="7.710937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8.28515625" style="16" customWidth="1"/>
    <col min="13315" max="13315" width="9.28515625" style="16" customWidth="1"/>
    <col min="13316" max="13316" width="8.7109375" style="16" customWidth="1"/>
    <col min="13317" max="13317" width="8.5703125" style="16" bestFit="1" customWidth="1"/>
    <col min="13318" max="13318" width="9.28515625" style="16" bestFit="1" customWidth="1"/>
    <col min="13319" max="13320" width="9" style="16" customWidth="1"/>
    <col min="13321" max="13321" width="7.140625" style="16" bestFit="1" customWidth="1"/>
    <col min="13322" max="13322" width="7.5703125" style="16" customWidth="1"/>
    <col min="13323" max="13324" width="7" style="16" bestFit="1" customWidth="1"/>
    <col min="13325" max="13325" width="6.85546875" style="16" bestFit="1" customWidth="1"/>
    <col min="13326" max="13326" width="7" style="16" bestFit="1" customWidth="1"/>
    <col min="13327" max="13327" width="7.710937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8.28515625" style="16" customWidth="1"/>
    <col min="13571" max="13571" width="9.28515625" style="16" customWidth="1"/>
    <col min="13572" max="13572" width="8.7109375" style="16" customWidth="1"/>
    <col min="13573" max="13573" width="8.5703125" style="16" bestFit="1" customWidth="1"/>
    <col min="13574" max="13574" width="9.28515625" style="16" bestFit="1" customWidth="1"/>
    <col min="13575" max="13576" width="9" style="16" customWidth="1"/>
    <col min="13577" max="13577" width="7.140625" style="16" bestFit="1" customWidth="1"/>
    <col min="13578" max="13578" width="7.5703125" style="16" customWidth="1"/>
    <col min="13579" max="13580" width="7" style="16" bestFit="1" customWidth="1"/>
    <col min="13581" max="13581" width="6.85546875" style="16" bestFit="1" customWidth="1"/>
    <col min="13582" max="13582" width="7" style="16" bestFit="1" customWidth="1"/>
    <col min="13583" max="13583" width="7.710937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8.28515625" style="16" customWidth="1"/>
    <col min="13827" max="13827" width="9.28515625" style="16" customWidth="1"/>
    <col min="13828" max="13828" width="8.7109375" style="16" customWidth="1"/>
    <col min="13829" max="13829" width="8.5703125" style="16" bestFit="1" customWidth="1"/>
    <col min="13830" max="13830" width="9.28515625" style="16" bestFit="1" customWidth="1"/>
    <col min="13831" max="13832" width="9" style="16" customWidth="1"/>
    <col min="13833" max="13833" width="7.140625" style="16" bestFit="1" customWidth="1"/>
    <col min="13834" max="13834" width="7.5703125" style="16" customWidth="1"/>
    <col min="13835" max="13836" width="7" style="16" bestFit="1" customWidth="1"/>
    <col min="13837" max="13837" width="6.85546875" style="16" bestFit="1" customWidth="1"/>
    <col min="13838" max="13838" width="7" style="16" bestFit="1" customWidth="1"/>
    <col min="13839" max="13839" width="7.710937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8.28515625" style="16" customWidth="1"/>
    <col min="14083" max="14083" width="9.28515625" style="16" customWidth="1"/>
    <col min="14084" max="14084" width="8.7109375" style="16" customWidth="1"/>
    <col min="14085" max="14085" width="8.5703125" style="16" bestFit="1" customWidth="1"/>
    <col min="14086" max="14086" width="9.28515625" style="16" bestFit="1" customWidth="1"/>
    <col min="14087" max="14088" width="9" style="16" customWidth="1"/>
    <col min="14089" max="14089" width="7.140625" style="16" bestFit="1" customWidth="1"/>
    <col min="14090" max="14090" width="7.5703125" style="16" customWidth="1"/>
    <col min="14091" max="14092" width="7" style="16" bestFit="1" customWidth="1"/>
    <col min="14093" max="14093" width="6.85546875" style="16" bestFit="1" customWidth="1"/>
    <col min="14094" max="14094" width="7" style="16" bestFit="1" customWidth="1"/>
    <col min="14095" max="14095" width="7.710937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8.28515625" style="16" customWidth="1"/>
    <col min="14339" max="14339" width="9.28515625" style="16" customWidth="1"/>
    <col min="14340" max="14340" width="8.7109375" style="16" customWidth="1"/>
    <col min="14341" max="14341" width="8.5703125" style="16" bestFit="1" customWidth="1"/>
    <col min="14342" max="14342" width="9.28515625" style="16" bestFit="1" customWidth="1"/>
    <col min="14343" max="14344" width="9" style="16" customWidth="1"/>
    <col min="14345" max="14345" width="7.140625" style="16" bestFit="1" customWidth="1"/>
    <col min="14346" max="14346" width="7.5703125" style="16" customWidth="1"/>
    <col min="14347" max="14348" width="7" style="16" bestFit="1" customWidth="1"/>
    <col min="14349" max="14349" width="6.85546875" style="16" bestFit="1" customWidth="1"/>
    <col min="14350" max="14350" width="7" style="16" bestFit="1" customWidth="1"/>
    <col min="14351" max="14351" width="7.710937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8.28515625" style="16" customWidth="1"/>
    <col min="14595" max="14595" width="9.28515625" style="16" customWidth="1"/>
    <col min="14596" max="14596" width="8.7109375" style="16" customWidth="1"/>
    <col min="14597" max="14597" width="8.5703125" style="16" bestFit="1" customWidth="1"/>
    <col min="14598" max="14598" width="9.28515625" style="16" bestFit="1" customWidth="1"/>
    <col min="14599" max="14600" width="9" style="16" customWidth="1"/>
    <col min="14601" max="14601" width="7.140625" style="16" bestFit="1" customWidth="1"/>
    <col min="14602" max="14602" width="7.5703125" style="16" customWidth="1"/>
    <col min="14603" max="14604" width="7" style="16" bestFit="1" customWidth="1"/>
    <col min="14605" max="14605" width="6.85546875" style="16" bestFit="1" customWidth="1"/>
    <col min="14606" max="14606" width="7" style="16" bestFit="1" customWidth="1"/>
    <col min="14607" max="14607" width="7.710937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8.28515625" style="16" customWidth="1"/>
    <col min="14851" max="14851" width="9.28515625" style="16" customWidth="1"/>
    <col min="14852" max="14852" width="8.7109375" style="16" customWidth="1"/>
    <col min="14853" max="14853" width="8.5703125" style="16" bestFit="1" customWidth="1"/>
    <col min="14854" max="14854" width="9.28515625" style="16" bestFit="1" customWidth="1"/>
    <col min="14855" max="14856" width="9" style="16" customWidth="1"/>
    <col min="14857" max="14857" width="7.140625" style="16" bestFit="1" customWidth="1"/>
    <col min="14858" max="14858" width="7.5703125" style="16" customWidth="1"/>
    <col min="14859" max="14860" width="7" style="16" bestFit="1" customWidth="1"/>
    <col min="14861" max="14861" width="6.85546875" style="16" bestFit="1" customWidth="1"/>
    <col min="14862" max="14862" width="7" style="16" bestFit="1" customWidth="1"/>
    <col min="14863" max="14863" width="7.710937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8.28515625" style="16" customWidth="1"/>
    <col min="15107" max="15107" width="9.28515625" style="16" customWidth="1"/>
    <col min="15108" max="15108" width="8.7109375" style="16" customWidth="1"/>
    <col min="15109" max="15109" width="8.5703125" style="16" bestFit="1" customWidth="1"/>
    <col min="15110" max="15110" width="9.28515625" style="16" bestFit="1" customWidth="1"/>
    <col min="15111" max="15112" width="9" style="16" customWidth="1"/>
    <col min="15113" max="15113" width="7.140625" style="16" bestFit="1" customWidth="1"/>
    <col min="15114" max="15114" width="7.5703125" style="16" customWidth="1"/>
    <col min="15115" max="15116" width="7" style="16" bestFit="1" customWidth="1"/>
    <col min="15117" max="15117" width="6.85546875" style="16" bestFit="1" customWidth="1"/>
    <col min="15118" max="15118" width="7" style="16" bestFit="1" customWidth="1"/>
    <col min="15119" max="15119" width="7.710937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8.28515625" style="16" customWidth="1"/>
    <col min="15363" max="15363" width="9.28515625" style="16" customWidth="1"/>
    <col min="15364" max="15364" width="8.7109375" style="16" customWidth="1"/>
    <col min="15365" max="15365" width="8.5703125" style="16" bestFit="1" customWidth="1"/>
    <col min="15366" max="15366" width="9.28515625" style="16" bestFit="1" customWidth="1"/>
    <col min="15367" max="15368" width="9" style="16" customWidth="1"/>
    <col min="15369" max="15369" width="7.140625" style="16" bestFit="1" customWidth="1"/>
    <col min="15370" max="15370" width="7.5703125" style="16" customWidth="1"/>
    <col min="15371" max="15372" width="7" style="16" bestFit="1" customWidth="1"/>
    <col min="15373" max="15373" width="6.85546875" style="16" bestFit="1" customWidth="1"/>
    <col min="15374" max="15374" width="7" style="16" bestFit="1" customWidth="1"/>
    <col min="15375" max="15375" width="7.710937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8.28515625" style="16" customWidth="1"/>
    <col min="15619" max="15619" width="9.28515625" style="16" customWidth="1"/>
    <col min="15620" max="15620" width="8.7109375" style="16" customWidth="1"/>
    <col min="15621" max="15621" width="8.5703125" style="16" bestFit="1" customWidth="1"/>
    <col min="15622" max="15622" width="9.28515625" style="16" bestFit="1" customWidth="1"/>
    <col min="15623" max="15624" width="9" style="16" customWidth="1"/>
    <col min="15625" max="15625" width="7.140625" style="16" bestFit="1" customWidth="1"/>
    <col min="15626" max="15626" width="7.5703125" style="16" customWidth="1"/>
    <col min="15627" max="15628" width="7" style="16" bestFit="1" customWidth="1"/>
    <col min="15629" max="15629" width="6.85546875" style="16" bestFit="1" customWidth="1"/>
    <col min="15630" max="15630" width="7" style="16" bestFit="1" customWidth="1"/>
    <col min="15631" max="15631" width="7.710937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8.28515625" style="16" customWidth="1"/>
    <col min="15875" max="15875" width="9.28515625" style="16" customWidth="1"/>
    <col min="15876" max="15876" width="8.7109375" style="16" customWidth="1"/>
    <col min="15877" max="15877" width="8.5703125" style="16" bestFit="1" customWidth="1"/>
    <col min="15878" max="15878" width="9.28515625" style="16" bestFit="1" customWidth="1"/>
    <col min="15879" max="15880" width="9" style="16" customWidth="1"/>
    <col min="15881" max="15881" width="7.140625" style="16" bestFit="1" customWidth="1"/>
    <col min="15882" max="15882" width="7.5703125" style="16" customWidth="1"/>
    <col min="15883" max="15884" width="7" style="16" bestFit="1" customWidth="1"/>
    <col min="15885" max="15885" width="6.85546875" style="16" bestFit="1" customWidth="1"/>
    <col min="15886" max="15886" width="7" style="16" bestFit="1" customWidth="1"/>
    <col min="15887" max="15887" width="7.710937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8.28515625" style="16" customWidth="1"/>
    <col min="16131" max="16131" width="9.28515625" style="16" customWidth="1"/>
    <col min="16132" max="16132" width="8.7109375" style="16" customWidth="1"/>
    <col min="16133" max="16133" width="8.5703125" style="16" bestFit="1" customWidth="1"/>
    <col min="16134" max="16134" width="9.28515625" style="16" bestFit="1" customWidth="1"/>
    <col min="16135" max="16136" width="9" style="16" customWidth="1"/>
    <col min="16137" max="16137" width="7.140625" style="16" bestFit="1" customWidth="1"/>
    <col min="16138" max="16138" width="7.5703125" style="16" customWidth="1"/>
    <col min="16139" max="16140" width="7" style="16" bestFit="1" customWidth="1"/>
    <col min="16141" max="16141" width="6.85546875" style="16" bestFit="1" customWidth="1"/>
    <col min="16142" max="16142" width="7" style="16" bestFit="1" customWidth="1"/>
    <col min="16143" max="16143" width="7.710937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67" t="s">
        <v>100</v>
      </c>
      <c r="B1" s="868"/>
      <c r="C1" s="868"/>
      <c r="D1" s="911" t="s">
        <v>317</v>
      </c>
      <c r="E1" s="868"/>
      <c r="F1" s="868"/>
      <c r="G1" s="867" t="s">
        <v>102</v>
      </c>
      <c r="H1" s="869"/>
      <c r="I1" s="869" t="s">
        <v>71</v>
      </c>
      <c r="J1" s="868"/>
      <c r="K1" s="868"/>
      <c r="L1" s="870"/>
      <c r="M1" s="870"/>
      <c r="N1" s="870"/>
      <c r="O1" s="870"/>
    </row>
    <row r="2" spans="1:15" s="1" customFormat="1" x14ac:dyDescent="0.2">
      <c r="A2" s="867" t="s">
        <v>103</v>
      </c>
      <c r="B2" s="868"/>
      <c r="C2" s="868"/>
      <c r="D2" s="869"/>
      <c r="E2" s="868"/>
      <c r="F2" s="868"/>
      <c r="G2" s="867" t="s">
        <v>104</v>
      </c>
      <c r="H2" s="869"/>
      <c r="I2" s="869" t="s">
        <v>105</v>
      </c>
      <c r="J2" s="868"/>
      <c r="K2" s="868"/>
      <c r="L2" s="870"/>
      <c r="M2" s="870"/>
      <c r="N2" s="870"/>
      <c r="O2" s="870"/>
    </row>
    <row r="3" spans="1:15" s="1" customFormat="1" x14ac:dyDescent="0.2">
      <c r="A3" s="867" t="s">
        <v>106</v>
      </c>
      <c r="B3" s="868"/>
      <c r="C3" s="868"/>
      <c r="D3" s="883">
        <v>22496</v>
      </c>
      <c r="E3" s="868"/>
      <c r="F3" s="868"/>
      <c r="G3" s="867" t="s">
        <v>107</v>
      </c>
      <c r="H3" s="869"/>
      <c r="I3" s="869" t="s">
        <v>108</v>
      </c>
      <c r="J3" s="868"/>
      <c r="K3" s="868"/>
      <c r="L3" s="870"/>
      <c r="M3" s="870"/>
      <c r="N3" s="870"/>
      <c r="O3" s="870"/>
    </row>
    <row r="4" spans="1:15" s="1" customFormat="1" x14ac:dyDescent="0.2">
      <c r="A4" s="867" t="s">
        <v>109</v>
      </c>
      <c r="B4" s="868"/>
      <c r="C4" s="868"/>
      <c r="D4" s="869"/>
      <c r="E4" s="868"/>
      <c r="F4" s="868"/>
      <c r="G4" s="867" t="s">
        <v>110</v>
      </c>
      <c r="H4" s="869"/>
      <c r="I4" s="869" t="s">
        <v>318</v>
      </c>
      <c r="J4" s="868"/>
      <c r="K4" s="868"/>
      <c r="L4" s="870"/>
      <c r="M4" s="870"/>
      <c r="N4" s="870"/>
      <c r="O4" s="870"/>
    </row>
    <row r="5" spans="1:15" s="1" customFormat="1" x14ac:dyDescent="0.2">
      <c r="A5" s="867" t="s">
        <v>278</v>
      </c>
      <c r="B5" s="868"/>
      <c r="C5" s="868"/>
      <c r="D5" s="869" t="s">
        <v>319</v>
      </c>
      <c r="E5" s="868"/>
      <c r="F5" s="868"/>
      <c r="G5" s="867"/>
      <c r="H5" s="868"/>
      <c r="I5" s="869" t="s">
        <v>113</v>
      </c>
      <c r="J5" s="868"/>
      <c r="K5" s="868"/>
      <c r="L5" s="870"/>
      <c r="M5" s="870"/>
      <c r="N5" s="870"/>
      <c r="O5" s="870"/>
    </row>
    <row r="6" spans="1:15" s="1" customFormat="1" x14ac:dyDescent="0.2">
      <c r="A6" s="871" t="s">
        <v>114</v>
      </c>
      <c r="B6" s="872"/>
      <c r="C6" s="872"/>
      <c r="D6" s="868" t="s">
        <v>72</v>
      </c>
      <c r="E6" s="868"/>
      <c r="F6" s="868"/>
      <c r="G6" s="871" t="s">
        <v>115</v>
      </c>
      <c r="H6" s="871"/>
      <c r="I6" s="2" t="s">
        <v>116</v>
      </c>
      <c r="J6" s="888"/>
      <c r="K6" s="888"/>
      <c r="L6" s="888"/>
      <c r="M6" s="888"/>
      <c r="N6" s="888"/>
      <c r="O6" s="889"/>
    </row>
    <row r="7" spans="1:15" s="1" customFormat="1" ht="13.5" thickBot="1" x14ac:dyDescent="0.25">
      <c r="A7" s="3"/>
      <c r="B7" s="4"/>
      <c r="C7" s="5"/>
      <c r="D7" s="6"/>
      <c r="E7" s="6"/>
      <c r="F7" s="6"/>
      <c r="G7" s="6"/>
      <c r="H7" s="6"/>
      <c r="I7" s="6"/>
      <c r="J7" s="7"/>
      <c r="K7" s="8"/>
      <c r="L7" s="875" t="s">
        <v>223</v>
      </c>
      <c r="M7" s="875"/>
      <c r="N7" s="875"/>
      <c r="O7" s="875"/>
    </row>
    <row r="8" spans="1:15" s="11" customFormat="1" x14ac:dyDescent="0.2">
      <c r="A8" s="876" t="str">
        <f>I1</f>
        <v>Mr. P. C. Shukla</v>
      </c>
      <c r="B8" s="877"/>
      <c r="C8" s="144">
        <v>43160</v>
      </c>
      <c r="D8" s="144">
        <v>43191</v>
      </c>
      <c r="E8" s="144">
        <v>43221</v>
      </c>
      <c r="F8" s="144">
        <v>43252</v>
      </c>
      <c r="G8" s="144">
        <v>43282</v>
      </c>
      <c r="H8" s="144">
        <v>43313</v>
      </c>
      <c r="I8" s="144">
        <v>43344</v>
      </c>
      <c r="J8" s="144">
        <v>43374</v>
      </c>
      <c r="K8" s="144">
        <v>43405</v>
      </c>
      <c r="L8" s="144">
        <v>43435</v>
      </c>
      <c r="M8" s="144">
        <v>43466</v>
      </c>
      <c r="N8" s="144">
        <v>43497</v>
      </c>
      <c r="O8" s="10" t="s">
        <v>117</v>
      </c>
    </row>
    <row r="9" spans="1:15" ht="15" x14ac:dyDescent="0.2">
      <c r="A9" s="12"/>
      <c r="B9" s="13" t="s">
        <v>118</v>
      </c>
      <c r="C9" s="14">
        <v>92700</v>
      </c>
      <c r="D9" s="14">
        <v>92700</v>
      </c>
      <c r="E9" s="14">
        <v>92700</v>
      </c>
      <c r="F9" s="14">
        <v>92700</v>
      </c>
      <c r="G9" s="14">
        <v>95500</v>
      </c>
      <c r="H9" s="14">
        <v>95500</v>
      </c>
      <c r="I9" s="14">
        <v>95500</v>
      </c>
      <c r="J9" s="14">
        <v>95500</v>
      </c>
      <c r="K9" s="14">
        <v>95500</v>
      </c>
      <c r="L9" s="14">
        <v>95500</v>
      </c>
      <c r="M9" s="14">
        <v>95500</v>
      </c>
      <c r="N9" s="14">
        <v>95500</v>
      </c>
      <c r="O9" s="15">
        <f>SUM(C9:N9)</f>
        <v>1134800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4635</v>
      </c>
      <c r="D11" s="17">
        <v>6489</v>
      </c>
      <c r="E11" s="17">
        <v>6489</v>
      </c>
      <c r="F11" s="17">
        <v>6489</v>
      </c>
      <c r="G11" s="17">
        <v>6685</v>
      </c>
      <c r="H11" s="17">
        <v>6685</v>
      </c>
      <c r="I11" s="17">
        <v>6685</v>
      </c>
      <c r="J11" s="17">
        <v>8595</v>
      </c>
      <c r="K11" s="17">
        <v>8595</v>
      </c>
      <c r="L11" s="17">
        <v>8595</v>
      </c>
      <c r="M11" s="17">
        <v>8595</v>
      </c>
      <c r="N11" s="17">
        <v>8595</v>
      </c>
      <c r="O11" s="18">
        <f>SUM(C11:N11)</f>
        <v>87132</v>
      </c>
    </row>
    <row r="12" spans="1:15"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x14ac:dyDescent="0.2">
      <c r="A14" s="12"/>
      <c r="B14" s="13" t="s">
        <v>123</v>
      </c>
      <c r="C14" s="17">
        <v>7560</v>
      </c>
      <c r="D14" s="17">
        <v>7704</v>
      </c>
      <c r="E14" s="17">
        <v>7704</v>
      </c>
      <c r="F14" s="17">
        <v>7704</v>
      </c>
      <c r="G14" s="17">
        <v>7704</v>
      </c>
      <c r="H14" s="17">
        <v>7704</v>
      </c>
      <c r="I14" s="17">
        <v>7704</v>
      </c>
      <c r="J14" s="17">
        <v>7848</v>
      </c>
      <c r="K14" s="17">
        <v>7848</v>
      </c>
      <c r="L14" s="17">
        <v>7848</v>
      </c>
      <c r="M14" s="17">
        <v>7848</v>
      </c>
      <c r="N14" s="17">
        <v>7848</v>
      </c>
      <c r="O14" s="18">
        <f t="shared" si="0"/>
        <v>93024</v>
      </c>
    </row>
    <row r="15" spans="1:15" ht="15"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0</v>
      </c>
      <c r="D19" s="17">
        <v>0</v>
      </c>
      <c r="E19" s="17">
        <v>0</v>
      </c>
      <c r="F19" s="17">
        <v>0</v>
      </c>
      <c r="G19" s="17">
        <v>0</v>
      </c>
      <c r="H19" s="17">
        <v>0</v>
      </c>
      <c r="I19" s="17">
        <v>0</v>
      </c>
      <c r="J19" s="17">
        <v>0</v>
      </c>
      <c r="K19" s="17">
        <v>0</v>
      </c>
      <c r="L19" s="17">
        <v>0</v>
      </c>
      <c r="M19" s="17">
        <v>0</v>
      </c>
      <c r="N19" s="17">
        <v>0</v>
      </c>
      <c r="O19" s="18">
        <f t="shared" si="0"/>
        <v>0</v>
      </c>
    </row>
    <row r="20" spans="1:15" ht="15" customHeight="1" x14ac:dyDescent="0.2">
      <c r="A20" s="12"/>
      <c r="B20" s="180" t="s">
        <v>320</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78"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79"/>
      <c r="B22" s="19" t="s">
        <v>132</v>
      </c>
      <c r="C22" s="17">
        <v>0</v>
      </c>
      <c r="D22" s="17">
        <v>0</v>
      </c>
      <c r="E22" s="17">
        <v>0</v>
      </c>
      <c r="F22" s="17">
        <v>0</v>
      </c>
      <c r="G22" s="17">
        <v>0</v>
      </c>
      <c r="H22" s="17">
        <v>0</v>
      </c>
      <c r="I22" s="17">
        <v>0</v>
      </c>
      <c r="J22" s="17">
        <v>0</v>
      </c>
      <c r="K22" s="17">
        <v>0</v>
      </c>
      <c r="L22" s="17">
        <v>0</v>
      </c>
      <c r="M22" s="17">
        <v>0</v>
      </c>
      <c r="N22" s="17">
        <v>0</v>
      </c>
      <c r="O22" s="18">
        <f t="shared" si="0"/>
        <v>0</v>
      </c>
    </row>
    <row r="23" spans="1:15" ht="15" hidden="1" customHeight="1" x14ac:dyDescent="0.2">
      <c r="A23" s="879"/>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79"/>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79"/>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79"/>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79"/>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79"/>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79"/>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79"/>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79"/>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79"/>
      <c r="B32" s="21" t="s">
        <v>142</v>
      </c>
      <c r="C32" s="17">
        <v>0</v>
      </c>
      <c r="D32" s="17">
        <v>0</v>
      </c>
      <c r="E32" s="17">
        <v>0</v>
      </c>
      <c r="F32" s="17">
        <v>0</v>
      </c>
      <c r="G32" s="17">
        <v>0</v>
      </c>
      <c r="H32" s="17">
        <v>0</v>
      </c>
      <c r="I32" s="17">
        <v>0</v>
      </c>
      <c r="J32" s="17">
        <v>0</v>
      </c>
      <c r="K32" s="17">
        <v>0</v>
      </c>
      <c r="L32" s="17">
        <v>0</v>
      </c>
      <c r="M32" s="17">
        <v>0</v>
      </c>
      <c r="N32" s="17">
        <v>0</v>
      </c>
      <c r="O32" s="18">
        <f t="shared" si="0"/>
        <v>0</v>
      </c>
    </row>
    <row r="33" spans="1:16" ht="15" hidden="1" customHeight="1" x14ac:dyDescent="0.2">
      <c r="A33" s="880"/>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865" t="s">
        <v>321</v>
      </c>
      <c r="B34" s="866"/>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865" t="s">
        <v>145</v>
      </c>
      <c r="B35" s="866"/>
      <c r="C35" s="17">
        <v>0</v>
      </c>
      <c r="D35" s="17">
        <v>432</v>
      </c>
      <c r="E35" s="17">
        <v>0</v>
      </c>
      <c r="F35" s="17">
        <v>0</v>
      </c>
      <c r="G35" s="17">
        <v>0</v>
      </c>
      <c r="H35" s="17">
        <v>0</v>
      </c>
      <c r="I35" s="17">
        <v>0</v>
      </c>
      <c r="J35" s="17">
        <v>432</v>
      </c>
      <c r="K35" s="17">
        <v>0</v>
      </c>
      <c r="L35" s="17">
        <v>0</v>
      </c>
      <c r="M35" s="17">
        <v>0</v>
      </c>
      <c r="N35" s="17">
        <v>0</v>
      </c>
      <c r="O35" s="18">
        <f t="shared" si="0"/>
        <v>864</v>
      </c>
    </row>
    <row r="36" spans="1:16" ht="15" customHeight="1" x14ac:dyDescent="0.2">
      <c r="A36" s="865" t="s">
        <v>146</v>
      </c>
      <c r="B36" s="866"/>
      <c r="C36" s="17">
        <v>0</v>
      </c>
      <c r="D36" s="17">
        <v>5562</v>
      </c>
      <c r="E36" s="17">
        <v>0</v>
      </c>
      <c r="F36" s="17">
        <v>0</v>
      </c>
      <c r="G36" s="17">
        <v>0</v>
      </c>
      <c r="H36" s="17">
        <v>0</v>
      </c>
      <c r="I36" s="17">
        <v>0</v>
      </c>
      <c r="J36" s="17">
        <v>5730</v>
      </c>
      <c r="K36" s="17">
        <v>0</v>
      </c>
      <c r="L36" s="17">
        <v>0</v>
      </c>
      <c r="M36" s="17">
        <v>0</v>
      </c>
      <c r="N36" s="17">
        <v>0</v>
      </c>
      <c r="O36" s="18">
        <f t="shared" si="0"/>
        <v>11292</v>
      </c>
    </row>
    <row r="37" spans="1:16" ht="15" customHeight="1" x14ac:dyDescent="0.2">
      <c r="A37" s="22"/>
      <c r="B37" s="23" t="s">
        <v>147</v>
      </c>
      <c r="C37" s="24">
        <f t="shared" ref="C37:N37" si="1">SUM(C9:C36)</f>
        <v>104895</v>
      </c>
      <c r="D37" s="24">
        <f t="shared" si="1"/>
        <v>112887</v>
      </c>
      <c r="E37" s="24">
        <f t="shared" si="1"/>
        <v>106893</v>
      </c>
      <c r="F37" s="24">
        <f t="shared" si="1"/>
        <v>106893</v>
      </c>
      <c r="G37" s="24">
        <f t="shared" si="1"/>
        <v>109889</v>
      </c>
      <c r="H37" s="24">
        <f t="shared" si="1"/>
        <v>109889</v>
      </c>
      <c r="I37" s="24">
        <f t="shared" si="1"/>
        <v>109889</v>
      </c>
      <c r="J37" s="24">
        <f t="shared" si="1"/>
        <v>118105</v>
      </c>
      <c r="K37" s="24">
        <f t="shared" si="1"/>
        <v>111943</v>
      </c>
      <c r="L37" s="24">
        <f t="shared" si="1"/>
        <v>111943</v>
      </c>
      <c r="M37" s="24">
        <f t="shared" si="1"/>
        <v>111943</v>
      </c>
      <c r="N37" s="24">
        <f t="shared" si="1"/>
        <v>111943</v>
      </c>
      <c r="O37" s="25">
        <f>SUM(C37:N37)</f>
        <v>1327112</v>
      </c>
    </row>
    <row r="38" spans="1:16" ht="15" customHeight="1" x14ac:dyDescent="0.2">
      <c r="A38" s="853" t="s">
        <v>148</v>
      </c>
      <c r="B38" s="27" t="s">
        <v>149</v>
      </c>
      <c r="C38" s="147">
        <v>15200</v>
      </c>
      <c r="D38" s="147">
        <v>12000</v>
      </c>
      <c r="E38" s="147">
        <v>12000</v>
      </c>
      <c r="F38" s="147">
        <v>12000</v>
      </c>
      <c r="G38" s="147">
        <v>12000</v>
      </c>
      <c r="H38" s="147">
        <v>12000</v>
      </c>
      <c r="I38" s="147">
        <v>12000</v>
      </c>
      <c r="J38" s="147">
        <v>12000</v>
      </c>
      <c r="K38" s="147">
        <v>0</v>
      </c>
      <c r="L38" s="147">
        <v>0</v>
      </c>
      <c r="M38" s="147">
        <v>0</v>
      </c>
      <c r="N38" s="147">
        <v>0</v>
      </c>
      <c r="O38" s="18">
        <f>SUM(C38:N38)</f>
        <v>99200</v>
      </c>
      <c r="P38" s="29"/>
    </row>
    <row r="39" spans="1:16" ht="15" x14ac:dyDescent="0.2">
      <c r="A39" s="854"/>
      <c r="B39" s="27" t="s">
        <v>150</v>
      </c>
      <c r="C39" s="147">
        <v>0</v>
      </c>
      <c r="D39" s="147">
        <v>0</v>
      </c>
      <c r="E39" s="147">
        <v>0</v>
      </c>
      <c r="F39" s="147">
        <v>0</v>
      </c>
      <c r="G39" s="147">
        <v>0</v>
      </c>
      <c r="H39" s="147">
        <v>0</v>
      </c>
      <c r="I39" s="147">
        <v>0</v>
      </c>
      <c r="J39" s="147">
        <v>0</v>
      </c>
      <c r="K39" s="147">
        <v>0</v>
      </c>
      <c r="L39" s="147">
        <v>0</v>
      </c>
      <c r="M39" s="147">
        <v>0</v>
      </c>
      <c r="N39" s="147">
        <v>0</v>
      </c>
      <c r="O39" s="18">
        <f>SUM(C39:N39)</f>
        <v>0</v>
      </c>
    </row>
    <row r="40" spans="1:16" ht="15" x14ac:dyDescent="0.2">
      <c r="A40" s="854"/>
      <c r="B40" s="27" t="s">
        <v>151</v>
      </c>
      <c r="C40" s="147">
        <v>120</v>
      </c>
      <c r="D40" s="147">
        <v>120</v>
      </c>
      <c r="E40" s="147">
        <v>120</v>
      </c>
      <c r="F40" s="147">
        <v>120</v>
      </c>
      <c r="G40" s="147">
        <v>120</v>
      </c>
      <c r="H40" s="147">
        <v>120</v>
      </c>
      <c r="I40" s="147">
        <v>120</v>
      </c>
      <c r="J40" s="147">
        <v>120</v>
      </c>
      <c r="K40" s="147">
        <v>120</v>
      </c>
      <c r="L40" s="147">
        <v>120</v>
      </c>
      <c r="M40" s="147">
        <v>120</v>
      </c>
      <c r="N40" s="147">
        <v>120</v>
      </c>
      <c r="O40" s="18">
        <f t="shared" ref="O40:O50" si="2">SUM(C40:N40)</f>
        <v>1440</v>
      </c>
    </row>
    <row r="41" spans="1:16" ht="15" x14ac:dyDescent="0.2">
      <c r="A41" s="854"/>
      <c r="B41" s="27" t="s">
        <v>152</v>
      </c>
      <c r="C41" s="147">
        <v>0</v>
      </c>
      <c r="D41" s="147">
        <v>0</v>
      </c>
      <c r="E41" s="147">
        <v>0</v>
      </c>
      <c r="F41" s="147">
        <v>0</v>
      </c>
      <c r="G41" s="147">
        <v>0</v>
      </c>
      <c r="H41" s="147">
        <v>0</v>
      </c>
      <c r="I41" s="147">
        <v>0</v>
      </c>
      <c r="J41" s="147">
        <v>0</v>
      </c>
      <c r="K41" s="147">
        <v>0</v>
      </c>
      <c r="L41" s="147">
        <v>0</v>
      </c>
      <c r="M41" s="147">
        <v>0</v>
      </c>
      <c r="N41" s="147">
        <v>0</v>
      </c>
      <c r="O41" s="18">
        <f t="shared" si="2"/>
        <v>0</v>
      </c>
    </row>
    <row r="42" spans="1:16" ht="15" x14ac:dyDescent="0.2">
      <c r="A42" s="854"/>
      <c r="B42" s="27" t="s">
        <v>153</v>
      </c>
      <c r="C42" s="147">
        <v>650</v>
      </c>
      <c r="D42" s="147">
        <v>650</v>
      </c>
      <c r="E42" s="147">
        <v>650</v>
      </c>
      <c r="F42" s="147">
        <v>650</v>
      </c>
      <c r="G42" s="147">
        <v>650</v>
      </c>
      <c r="H42" s="147">
        <v>650</v>
      </c>
      <c r="I42" s="147">
        <v>650</v>
      </c>
      <c r="J42" s="147">
        <v>650</v>
      </c>
      <c r="K42" s="147">
        <v>650</v>
      </c>
      <c r="L42" s="147">
        <v>650</v>
      </c>
      <c r="M42" s="147">
        <v>650</v>
      </c>
      <c r="N42" s="147">
        <v>650</v>
      </c>
      <c r="O42" s="18">
        <f t="shared" si="2"/>
        <v>7800</v>
      </c>
    </row>
    <row r="43" spans="1:16" ht="15" x14ac:dyDescent="0.2">
      <c r="A43" s="854"/>
      <c r="B43" s="27" t="s">
        <v>154</v>
      </c>
      <c r="C43" s="147">
        <v>40000</v>
      </c>
      <c r="D43" s="147">
        <v>40000</v>
      </c>
      <c r="E43" s="147">
        <v>40000</v>
      </c>
      <c r="F43" s="147">
        <v>40000</v>
      </c>
      <c r="G43" s="147">
        <v>40000</v>
      </c>
      <c r="H43" s="147">
        <v>40000</v>
      </c>
      <c r="I43" s="147">
        <v>40000</v>
      </c>
      <c r="J43" s="147">
        <v>40000</v>
      </c>
      <c r="K43" s="147">
        <v>40000</v>
      </c>
      <c r="L43" s="147">
        <v>40000</v>
      </c>
      <c r="M43" s="147">
        <v>40000</v>
      </c>
      <c r="N43" s="147">
        <v>40000</v>
      </c>
      <c r="O43" s="18">
        <f t="shared" si="2"/>
        <v>480000</v>
      </c>
    </row>
    <row r="44" spans="1:16" ht="15" x14ac:dyDescent="0.2">
      <c r="A44" s="854"/>
      <c r="B44" s="27" t="s">
        <v>155</v>
      </c>
      <c r="C44" s="147">
        <v>200</v>
      </c>
      <c r="D44" s="147">
        <v>200</v>
      </c>
      <c r="E44" s="147">
        <v>200</v>
      </c>
      <c r="F44" s="147">
        <v>200</v>
      </c>
      <c r="G44" s="147">
        <v>200</v>
      </c>
      <c r="H44" s="147">
        <v>200</v>
      </c>
      <c r="I44" s="147">
        <v>200</v>
      </c>
      <c r="J44" s="147">
        <v>200</v>
      </c>
      <c r="K44" s="147">
        <v>200</v>
      </c>
      <c r="L44" s="147">
        <v>200</v>
      </c>
      <c r="M44" s="147">
        <v>200</v>
      </c>
      <c r="N44" s="147">
        <v>300</v>
      </c>
      <c r="O44" s="18">
        <f t="shared" si="2"/>
        <v>2500</v>
      </c>
    </row>
    <row r="45" spans="1:16" ht="15" x14ac:dyDescent="0.2">
      <c r="A45" s="854"/>
      <c r="B45" s="27" t="s">
        <v>156</v>
      </c>
      <c r="C45" s="147">
        <v>713</v>
      </c>
      <c r="D45" s="147">
        <v>713</v>
      </c>
      <c r="E45" s="147">
        <v>728</v>
      </c>
      <c r="F45" s="147">
        <v>728</v>
      </c>
      <c r="G45" s="147">
        <v>728</v>
      </c>
      <c r="H45" s="147">
        <v>728</v>
      </c>
      <c r="I45" s="147">
        <v>728</v>
      </c>
      <c r="J45" s="147">
        <v>728</v>
      </c>
      <c r="K45" s="147">
        <v>728</v>
      </c>
      <c r="L45" s="147">
        <v>728</v>
      </c>
      <c r="M45" s="147">
        <v>728</v>
      </c>
      <c r="N45" s="147">
        <v>728</v>
      </c>
      <c r="O45" s="18">
        <f t="shared" si="2"/>
        <v>8706</v>
      </c>
    </row>
    <row r="46" spans="1:16" ht="15" x14ac:dyDescent="0.2">
      <c r="A46" s="854"/>
      <c r="B46" s="27" t="s">
        <v>157</v>
      </c>
      <c r="C46" s="147">
        <v>0</v>
      </c>
      <c r="D46" s="147">
        <v>0</v>
      </c>
      <c r="E46" s="147">
        <v>0</v>
      </c>
      <c r="F46" s="147">
        <v>0</v>
      </c>
      <c r="G46" s="147">
        <v>0</v>
      </c>
      <c r="H46" s="147">
        <v>0</v>
      </c>
      <c r="I46" s="147">
        <v>0</v>
      </c>
      <c r="J46" s="147">
        <v>0</v>
      </c>
      <c r="K46" s="147">
        <v>0</v>
      </c>
      <c r="L46" s="147">
        <v>0</v>
      </c>
      <c r="M46" s="147">
        <v>0</v>
      </c>
      <c r="N46" s="147">
        <v>0</v>
      </c>
      <c r="O46" s="18">
        <f t="shared" si="2"/>
        <v>0</v>
      </c>
    </row>
    <row r="47" spans="1:16" ht="28.5" customHeight="1" x14ac:dyDescent="0.2">
      <c r="A47" s="855"/>
      <c r="B47" s="30" t="s">
        <v>322</v>
      </c>
      <c r="C47" s="147">
        <v>0</v>
      </c>
      <c r="D47" s="147">
        <v>0</v>
      </c>
      <c r="E47" s="147">
        <v>0</v>
      </c>
      <c r="F47" s="147">
        <v>0</v>
      </c>
      <c r="G47" s="147">
        <v>0</v>
      </c>
      <c r="H47" s="147">
        <v>0</v>
      </c>
      <c r="I47" s="147">
        <v>0</v>
      </c>
      <c r="J47" s="147">
        <v>0</v>
      </c>
      <c r="K47" s="147">
        <v>0</v>
      </c>
      <c r="L47" s="147">
        <v>0</v>
      </c>
      <c r="M47" s="147">
        <v>0</v>
      </c>
      <c r="N47" s="147">
        <v>0</v>
      </c>
      <c r="O47" s="31">
        <f t="shared" si="2"/>
        <v>0</v>
      </c>
    </row>
    <row r="48" spans="1:16" ht="30" x14ac:dyDescent="0.2">
      <c r="A48" s="856"/>
      <c r="B48" s="127" t="s">
        <v>323</v>
      </c>
      <c r="C48" s="147">
        <v>0</v>
      </c>
      <c r="D48" s="147">
        <v>0</v>
      </c>
      <c r="E48" s="147">
        <v>0</v>
      </c>
      <c r="F48" s="147">
        <v>0</v>
      </c>
      <c r="G48" s="147">
        <v>0</v>
      </c>
      <c r="H48" s="147">
        <v>0</v>
      </c>
      <c r="I48" s="147">
        <v>0</v>
      </c>
      <c r="J48" s="147">
        <v>0</v>
      </c>
      <c r="K48" s="147">
        <v>0</v>
      </c>
      <c r="L48" s="147">
        <v>0</v>
      </c>
      <c r="M48" s="147">
        <v>0</v>
      </c>
      <c r="N48" s="147">
        <v>0</v>
      </c>
      <c r="O48" s="31">
        <f t="shared" si="2"/>
        <v>0</v>
      </c>
    </row>
    <row r="49" spans="1:18" ht="15" x14ac:dyDescent="0.2">
      <c r="A49" s="857" t="s">
        <v>160</v>
      </c>
      <c r="B49" s="858"/>
      <c r="C49" s="33">
        <f>SUM(C38:C48)</f>
        <v>56883</v>
      </c>
      <c r="D49" s="33">
        <f t="shared" ref="D49:N49" si="3">SUM(D38:D48)</f>
        <v>53683</v>
      </c>
      <c r="E49" s="33">
        <f t="shared" si="3"/>
        <v>53698</v>
      </c>
      <c r="F49" s="33">
        <f t="shared" si="3"/>
        <v>53698</v>
      </c>
      <c r="G49" s="33">
        <f t="shared" si="3"/>
        <v>53698</v>
      </c>
      <c r="H49" s="33">
        <f t="shared" si="3"/>
        <v>53698</v>
      </c>
      <c r="I49" s="33">
        <f t="shared" si="3"/>
        <v>53698</v>
      </c>
      <c r="J49" s="33">
        <f t="shared" si="3"/>
        <v>53698</v>
      </c>
      <c r="K49" s="33">
        <f t="shared" si="3"/>
        <v>41698</v>
      </c>
      <c r="L49" s="33">
        <f t="shared" si="3"/>
        <v>41698</v>
      </c>
      <c r="M49" s="33">
        <f t="shared" si="3"/>
        <v>41698</v>
      </c>
      <c r="N49" s="33">
        <f t="shared" si="3"/>
        <v>41798</v>
      </c>
      <c r="O49" s="34">
        <f t="shared" si="2"/>
        <v>599646</v>
      </c>
    </row>
    <row r="50" spans="1:18" ht="15.75" thickBot="1" x14ac:dyDescent="0.25">
      <c r="A50" s="859" t="s">
        <v>161</v>
      </c>
      <c r="B50" s="860"/>
      <c r="C50" s="35">
        <f t="shared" ref="C50:N50" si="4">C37-C49</f>
        <v>48012</v>
      </c>
      <c r="D50" s="35">
        <f t="shared" si="4"/>
        <v>59204</v>
      </c>
      <c r="E50" s="35">
        <f t="shared" si="4"/>
        <v>53195</v>
      </c>
      <c r="F50" s="35">
        <f t="shared" si="4"/>
        <v>53195</v>
      </c>
      <c r="G50" s="35">
        <f t="shared" si="4"/>
        <v>56191</v>
      </c>
      <c r="H50" s="35">
        <f t="shared" si="4"/>
        <v>56191</v>
      </c>
      <c r="I50" s="35">
        <f t="shared" si="4"/>
        <v>56191</v>
      </c>
      <c r="J50" s="35">
        <f t="shared" si="4"/>
        <v>64407</v>
      </c>
      <c r="K50" s="35">
        <f t="shared" si="4"/>
        <v>70245</v>
      </c>
      <c r="L50" s="35">
        <f t="shared" si="4"/>
        <v>70245</v>
      </c>
      <c r="M50" s="35">
        <f t="shared" si="4"/>
        <v>70245</v>
      </c>
      <c r="N50" s="35">
        <f t="shared" si="4"/>
        <v>70145</v>
      </c>
      <c r="O50" s="36">
        <f t="shared" si="2"/>
        <v>727466</v>
      </c>
    </row>
    <row r="51" spans="1:18" x14ac:dyDescent="0.2">
      <c r="J51" s="128">
        <f>+J37-SUM(J22:J36)</f>
        <v>111943</v>
      </c>
    </row>
    <row r="52" spans="1:18" ht="13.5" thickBot="1" x14ac:dyDescent="0.25">
      <c r="J52" s="38">
        <f>+J51-J49</f>
        <v>58245</v>
      </c>
    </row>
    <row r="53" spans="1:18" ht="13.5" thickBot="1" x14ac:dyDescent="0.25">
      <c r="B53" s="789" t="s">
        <v>162</v>
      </c>
      <c r="C53" s="861"/>
      <c r="D53" s="861"/>
      <c r="E53" s="861"/>
      <c r="F53" s="862"/>
      <c r="G53" s="863">
        <f>O37</f>
        <v>1327112</v>
      </c>
      <c r="H53" s="864"/>
    </row>
    <row r="54" spans="1:18" ht="13.5" thickBot="1" x14ac:dyDescent="0.25"/>
    <row r="55" spans="1:18" x14ac:dyDescent="0.2">
      <c r="B55" s="830" t="s">
        <v>163</v>
      </c>
      <c r="C55" s="833" t="s">
        <v>164</v>
      </c>
      <c r="D55" s="836" t="s">
        <v>229</v>
      </c>
      <c r="E55" s="837"/>
      <c r="F55" s="838"/>
      <c r="G55" s="839">
        <v>40000</v>
      </c>
      <c r="H55" s="840"/>
    </row>
    <row r="56" spans="1:18" x14ac:dyDescent="0.2">
      <c r="B56" s="831"/>
      <c r="C56" s="834"/>
      <c r="D56" s="841" t="s">
        <v>166</v>
      </c>
      <c r="E56" s="842"/>
      <c r="F56" s="843"/>
      <c r="G56" s="844">
        <f>+O44</f>
        <v>2500</v>
      </c>
      <c r="H56" s="845"/>
      <c r="I56" s="39"/>
      <c r="J56" s="846"/>
      <c r="K56" s="846"/>
      <c r="L56" s="846"/>
      <c r="M56" s="847"/>
      <c r="N56" s="847"/>
      <c r="O56" s="847"/>
    </row>
    <row r="57" spans="1:18" ht="13.5" thickBot="1" x14ac:dyDescent="0.25">
      <c r="B57" s="832"/>
      <c r="C57" s="835"/>
      <c r="D57" s="921" t="s">
        <v>167</v>
      </c>
      <c r="E57" s="849"/>
      <c r="F57" s="850"/>
      <c r="G57" s="851">
        <f>IF(O18&gt;15000,15000,+O18)</f>
        <v>0</v>
      </c>
      <c r="H57" s="852"/>
      <c r="J57" s="47"/>
      <c r="K57" s="47"/>
      <c r="L57" s="47"/>
      <c r="M57" s="47"/>
      <c r="N57" s="47"/>
      <c r="O57" s="47"/>
    </row>
    <row r="58" spans="1:18" ht="13.5" thickBot="1" x14ac:dyDescent="0.25">
      <c r="B58" s="48"/>
      <c r="J58" s="47"/>
      <c r="K58" s="47"/>
      <c r="L58" s="47"/>
      <c r="M58" s="47"/>
      <c r="N58" s="47"/>
      <c r="O58" s="47"/>
    </row>
    <row r="59" spans="1:18" ht="13.5" thickBot="1" x14ac:dyDescent="0.25">
      <c r="B59" s="789" t="s">
        <v>168</v>
      </c>
      <c r="C59" s="790"/>
      <c r="D59" s="790"/>
      <c r="E59" s="790"/>
      <c r="F59" s="791"/>
      <c r="G59" s="825">
        <f>+G53-SUM(G55:H57)</f>
        <v>1284612</v>
      </c>
      <c r="H59" s="826"/>
      <c r="J59" s="827" t="s">
        <v>169</v>
      </c>
      <c r="K59" s="828"/>
      <c r="L59" s="828"/>
      <c r="M59" s="828"/>
      <c r="N59" s="828"/>
      <c r="O59" s="829"/>
    </row>
    <row r="60" spans="1:18" ht="13.5" thickBot="1" x14ac:dyDescent="0.25">
      <c r="B60" s="49"/>
      <c r="C60" s="50"/>
      <c r="D60" s="50"/>
      <c r="E60" s="50"/>
      <c r="F60" s="50"/>
      <c r="G60" s="45"/>
      <c r="H60" s="50"/>
      <c r="J60" s="129"/>
      <c r="K60" s="130"/>
      <c r="L60" s="130"/>
      <c r="M60" s="130"/>
      <c r="N60" s="130"/>
      <c r="O60" s="131"/>
    </row>
    <row r="61" spans="1:18" ht="13.5" thickBot="1" x14ac:dyDescent="0.25">
      <c r="B61" s="789" t="s">
        <v>170</v>
      </c>
      <c r="C61" s="790"/>
      <c r="D61" s="790"/>
      <c r="E61" s="790"/>
      <c r="F61" s="791"/>
      <c r="G61" s="805"/>
      <c r="H61" s="791"/>
      <c r="J61" s="129"/>
      <c r="K61" s="130"/>
      <c r="L61" s="130"/>
      <c r="M61" s="130"/>
      <c r="N61" s="130"/>
      <c r="O61" s="131"/>
    </row>
    <row r="62" spans="1:18" ht="12.75" customHeight="1" x14ac:dyDescent="0.2">
      <c r="B62" s="57" t="s">
        <v>171</v>
      </c>
      <c r="C62" s="806" t="s">
        <v>172</v>
      </c>
      <c r="D62" s="807"/>
      <c r="E62" s="807"/>
      <c r="F62" s="808"/>
      <c r="G62" s="809">
        <v>0</v>
      </c>
      <c r="H62" s="809"/>
      <c r="I62" s="58"/>
      <c r="J62" s="810" t="s">
        <v>173</v>
      </c>
      <c r="K62" s="811"/>
      <c r="L62" s="811"/>
      <c r="M62" s="811"/>
      <c r="N62" s="811"/>
      <c r="O62" s="812"/>
      <c r="Q62" s="59"/>
      <c r="R62" s="59"/>
    </row>
    <row r="63" spans="1:18" ht="13.5" thickBot="1" x14ac:dyDescent="0.25">
      <c r="D63" s="37"/>
      <c r="I63" s="58"/>
      <c r="J63" s="60" t="s">
        <v>254</v>
      </c>
      <c r="K63" s="132"/>
      <c r="L63" s="132"/>
      <c r="M63" s="133"/>
      <c r="N63" s="133"/>
      <c r="O63" s="134"/>
      <c r="Q63" s="59"/>
      <c r="R63" s="59"/>
    </row>
    <row r="64" spans="1:18" ht="13.5" thickBot="1" x14ac:dyDescent="0.25">
      <c r="B64" s="789" t="s">
        <v>175</v>
      </c>
      <c r="C64" s="790"/>
      <c r="D64" s="790"/>
      <c r="E64" s="790"/>
      <c r="F64" s="791"/>
      <c r="G64" s="805">
        <f>+G59-G62</f>
        <v>1284612</v>
      </c>
      <c r="H64" s="791"/>
      <c r="I64" s="63"/>
      <c r="J64" s="75"/>
      <c r="K64" s="39"/>
      <c r="L64" s="39"/>
      <c r="M64" s="39"/>
      <c r="N64" s="39"/>
      <c r="O64" s="65"/>
      <c r="Q64" s="59"/>
      <c r="R64" s="59"/>
    </row>
    <row r="65" spans="2:19" ht="12.75" customHeight="1" x14ac:dyDescent="0.2">
      <c r="B65" s="48"/>
      <c r="C65" s="48"/>
      <c r="I65" s="63"/>
      <c r="J65" s="64"/>
      <c r="K65" s="39"/>
      <c r="L65" s="39"/>
      <c r="M65" s="39"/>
      <c r="N65" s="39"/>
      <c r="O65" s="65"/>
      <c r="Q65" s="59"/>
      <c r="R65" s="59"/>
    </row>
    <row r="66" spans="2:19" x14ac:dyDescent="0.2">
      <c r="B66" s="66" t="s">
        <v>176</v>
      </c>
      <c r="C66" s="48"/>
      <c r="I66" s="63"/>
      <c r="J66" s="67"/>
      <c r="K66" s="68"/>
      <c r="L66" s="68"/>
      <c r="M66" s="68"/>
      <c r="N66" s="68"/>
      <c r="O66" s="69"/>
      <c r="Q66" s="59"/>
      <c r="R66" s="59"/>
    </row>
    <row r="67" spans="2:19" ht="26.25" customHeight="1" thickBot="1" x14ac:dyDescent="0.25">
      <c r="B67" s="66"/>
      <c r="C67" s="48"/>
      <c r="G67" s="70" t="s">
        <v>177</v>
      </c>
      <c r="H67" s="70" t="s">
        <v>178</v>
      </c>
      <c r="I67" s="63"/>
      <c r="J67" s="810" t="s">
        <v>179</v>
      </c>
      <c r="K67" s="811"/>
      <c r="L67" s="71"/>
      <c r="M67" s="71"/>
      <c r="N67" s="71"/>
      <c r="O67" s="72"/>
      <c r="Q67" s="59"/>
      <c r="R67" s="59"/>
    </row>
    <row r="68" spans="2:19" ht="12.75" customHeight="1" x14ac:dyDescent="0.2">
      <c r="B68" s="802" t="s">
        <v>180</v>
      </c>
      <c r="C68" s="821" t="s">
        <v>181</v>
      </c>
      <c r="D68" s="823" t="s">
        <v>182</v>
      </c>
      <c r="E68" s="824"/>
      <c r="F68" s="824"/>
      <c r="G68" s="73">
        <f>+O43</f>
        <v>480000</v>
      </c>
      <c r="H68" s="74">
        <f t="shared" ref="H68:H77" si="5">+G68</f>
        <v>480000</v>
      </c>
      <c r="I68" s="63"/>
      <c r="J68" s="75" t="s">
        <v>231</v>
      </c>
      <c r="K68" s="58"/>
      <c r="L68" s="58"/>
      <c r="M68" s="58" t="s">
        <v>232</v>
      </c>
      <c r="N68" s="58" t="s">
        <v>233</v>
      </c>
      <c r="O68" s="76">
        <v>7080</v>
      </c>
      <c r="Q68" s="59"/>
      <c r="R68" s="59"/>
      <c r="S68" s="16">
        <v>13160</v>
      </c>
    </row>
    <row r="69" spans="2:19" ht="12.75" customHeight="1" x14ac:dyDescent="0.2">
      <c r="B69" s="803"/>
      <c r="C69" s="822"/>
      <c r="D69" s="782" t="s">
        <v>184</v>
      </c>
      <c r="E69" s="783"/>
      <c r="F69" s="783"/>
      <c r="G69" s="77">
        <f>+O47+O69</f>
        <v>0</v>
      </c>
      <c r="H69" s="78">
        <f t="shared" si="5"/>
        <v>0</v>
      </c>
      <c r="I69" s="63"/>
      <c r="J69" s="79" t="s">
        <v>324</v>
      </c>
      <c r="K69" s="68"/>
      <c r="L69" s="68"/>
      <c r="M69" s="68"/>
      <c r="N69" s="68"/>
      <c r="O69" s="136">
        <v>0</v>
      </c>
      <c r="P69" s="16" t="s">
        <v>325</v>
      </c>
      <c r="Q69" s="59"/>
      <c r="R69" s="59"/>
      <c r="S69" s="16">
        <v>13150</v>
      </c>
    </row>
    <row r="70" spans="2:19" ht="12.75" customHeight="1" x14ac:dyDescent="0.2">
      <c r="B70" s="803"/>
      <c r="C70" s="822"/>
      <c r="D70" s="819" t="s">
        <v>185</v>
      </c>
      <c r="E70" s="820"/>
      <c r="F70" s="820"/>
      <c r="G70" s="80">
        <f>O40</f>
        <v>1440</v>
      </c>
      <c r="H70" s="78">
        <f t="shared" si="5"/>
        <v>1440</v>
      </c>
      <c r="I70" s="63"/>
      <c r="J70" s="67"/>
      <c r="K70" s="68"/>
      <c r="L70" s="68"/>
      <c r="M70" s="68"/>
      <c r="N70" s="68"/>
      <c r="O70" s="69"/>
    </row>
    <row r="71" spans="2:19" x14ac:dyDescent="0.2">
      <c r="B71" s="803"/>
      <c r="C71" s="822"/>
      <c r="D71" s="782" t="s">
        <v>186</v>
      </c>
      <c r="E71" s="783"/>
      <c r="F71" s="783"/>
      <c r="G71" s="81">
        <v>0</v>
      </c>
      <c r="H71" s="78">
        <f t="shared" si="5"/>
        <v>0</v>
      </c>
      <c r="I71" s="63"/>
      <c r="J71" s="82" t="s">
        <v>187</v>
      </c>
      <c r="K71" s="71"/>
      <c r="L71" s="71"/>
      <c r="M71" s="71"/>
      <c r="N71" s="71"/>
      <c r="O71" s="72"/>
    </row>
    <row r="72" spans="2:19" ht="12.75" customHeight="1" x14ac:dyDescent="0.2">
      <c r="B72" s="803"/>
      <c r="C72" s="822"/>
      <c r="D72" s="784" t="s">
        <v>188</v>
      </c>
      <c r="E72" s="783"/>
      <c r="F72" s="783"/>
      <c r="G72" s="80">
        <v>0</v>
      </c>
      <c r="H72" s="78">
        <f t="shared" si="5"/>
        <v>0</v>
      </c>
      <c r="I72" s="63"/>
      <c r="J72" s="75" t="s">
        <v>189</v>
      </c>
      <c r="K72" s="50"/>
      <c r="L72" s="50"/>
      <c r="M72" s="50"/>
      <c r="N72" s="50"/>
      <c r="O72" s="83">
        <f>O42</f>
        <v>7800</v>
      </c>
    </row>
    <row r="73" spans="2:19" ht="14.25" customHeight="1" x14ac:dyDescent="0.2">
      <c r="B73" s="803"/>
      <c r="C73" s="822"/>
      <c r="D73" s="782" t="s">
        <v>190</v>
      </c>
      <c r="E73" s="783"/>
      <c r="F73" s="783"/>
      <c r="G73" s="84">
        <v>0</v>
      </c>
      <c r="H73" s="78">
        <f t="shared" si="5"/>
        <v>0</v>
      </c>
      <c r="I73" s="63"/>
      <c r="J73" s="75"/>
      <c r="K73" s="39"/>
      <c r="L73" s="39"/>
      <c r="M73" s="39"/>
      <c r="N73" s="39"/>
      <c r="O73" s="65"/>
    </row>
    <row r="74" spans="2:19" ht="14.25" customHeight="1" x14ac:dyDescent="0.2">
      <c r="B74" s="803"/>
      <c r="C74" s="822"/>
      <c r="D74" s="178" t="s">
        <v>316</v>
      </c>
      <c r="E74" s="179"/>
      <c r="F74" s="179"/>
      <c r="G74" s="84">
        <v>0</v>
      </c>
      <c r="H74" s="78">
        <f t="shared" si="5"/>
        <v>0</v>
      </c>
      <c r="I74" s="63"/>
      <c r="J74" s="75"/>
      <c r="K74" s="39"/>
      <c r="L74" s="39"/>
      <c r="M74" s="39"/>
      <c r="N74" s="39"/>
      <c r="O74" s="65"/>
    </row>
    <row r="75" spans="2:19" x14ac:dyDescent="0.2">
      <c r="B75" s="803"/>
      <c r="C75" s="822"/>
      <c r="D75" s="782" t="s">
        <v>191</v>
      </c>
      <c r="E75" s="783"/>
      <c r="F75" s="783"/>
      <c r="G75" s="81">
        <v>0</v>
      </c>
      <c r="H75" s="78">
        <f t="shared" si="5"/>
        <v>0</v>
      </c>
      <c r="I75" s="58"/>
      <c r="J75" s="137"/>
      <c r="K75" s="50"/>
      <c r="L75" s="50"/>
      <c r="M75" s="50"/>
      <c r="N75" s="50"/>
      <c r="O75" s="83"/>
    </row>
    <row r="76" spans="2:19" x14ac:dyDescent="0.2">
      <c r="B76" s="803"/>
      <c r="C76" s="88" t="s">
        <v>192</v>
      </c>
      <c r="D76" s="813" t="s">
        <v>193</v>
      </c>
      <c r="E76" s="814"/>
      <c r="F76" s="814"/>
      <c r="G76" s="80">
        <v>0</v>
      </c>
      <c r="H76" s="78">
        <f t="shared" si="5"/>
        <v>0</v>
      </c>
      <c r="I76" s="58"/>
      <c r="J76" s="85"/>
      <c r="K76" s="138"/>
      <c r="L76" s="138"/>
      <c r="M76" s="138"/>
      <c r="N76" s="138"/>
      <c r="O76" s="139"/>
    </row>
    <row r="77" spans="2:19" ht="13.5" customHeight="1" thickBot="1" x14ac:dyDescent="0.25">
      <c r="B77" s="803"/>
      <c r="C77" s="88" t="s">
        <v>194</v>
      </c>
      <c r="D77" s="815" t="s">
        <v>195</v>
      </c>
      <c r="E77" s="815"/>
      <c r="F77" s="815"/>
      <c r="G77" s="89">
        <v>0</v>
      </c>
      <c r="H77" s="90">
        <f t="shared" si="5"/>
        <v>0</v>
      </c>
      <c r="I77" s="63"/>
      <c r="J77" s="75"/>
      <c r="K77" s="68"/>
      <c r="L77" s="68"/>
      <c r="M77" s="91"/>
      <c r="N77" s="91"/>
      <c r="O77" s="92"/>
    </row>
    <row r="78" spans="2:19" ht="13.5" thickBot="1" x14ac:dyDescent="0.25">
      <c r="B78" s="803"/>
      <c r="C78" s="93"/>
      <c r="D78" s="94"/>
      <c r="E78" s="816" t="s">
        <v>117</v>
      </c>
      <c r="F78" s="817"/>
      <c r="G78" s="95">
        <f>SUM(G68:G77)</f>
        <v>481440</v>
      </c>
      <c r="H78" s="96">
        <f>IF(SUM(G68:G75)&lt;150000,SUM(G68:G75),150000)+IF(+G76&lt;20000,+G76,20000)</f>
        <v>150000</v>
      </c>
      <c r="I78" s="63"/>
      <c r="J78" s="140"/>
      <c r="K78" s="141"/>
      <c r="L78" s="141"/>
      <c r="M78" s="142"/>
      <c r="N78" s="142"/>
      <c r="O78" s="143"/>
    </row>
    <row r="79" spans="2:19" ht="12.75" customHeight="1" x14ac:dyDescent="0.2">
      <c r="B79" s="803"/>
      <c r="C79" s="100" t="s">
        <v>196</v>
      </c>
      <c r="D79" s="782" t="s">
        <v>187</v>
      </c>
      <c r="E79" s="783"/>
      <c r="F79" s="818"/>
      <c r="G79" s="73">
        <f>+O42</f>
        <v>7800</v>
      </c>
      <c r="H79" s="101">
        <f>+IF(+G79&lt;25000,+G79,25000)</f>
        <v>7800</v>
      </c>
      <c r="I79" s="87"/>
    </row>
    <row r="80" spans="2:19" x14ac:dyDescent="0.2">
      <c r="B80" s="803"/>
      <c r="C80" s="100" t="s">
        <v>197</v>
      </c>
      <c r="D80" s="784" t="s">
        <v>198</v>
      </c>
      <c r="E80" s="785"/>
      <c r="F80" s="786"/>
      <c r="G80" s="102"/>
      <c r="H80" s="103">
        <f>+IF(+G80&lt;40000,+G80,40000)</f>
        <v>0</v>
      </c>
      <c r="I80" s="63"/>
    </row>
    <row r="81" spans="2:12" x14ac:dyDescent="0.2">
      <c r="B81" s="803"/>
      <c r="C81" s="100" t="s">
        <v>199</v>
      </c>
      <c r="D81" s="784" t="s">
        <v>200</v>
      </c>
      <c r="E81" s="785"/>
      <c r="F81" s="786"/>
      <c r="G81" s="81"/>
      <c r="H81" s="104">
        <v>0</v>
      </c>
      <c r="I81" s="63"/>
    </row>
    <row r="82" spans="2:12" x14ac:dyDescent="0.2">
      <c r="B82" s="803"/>
      <c r="C82" s="100" t="s">
        <v>201</v>
      </c>
      <c r="D82" s="784" t="s">
        <v>202</v>
      </c>
      <c r="E82" s="785"/>
      <c r="F82" s="786"/>
      <c r="G82" s="81"/>
      <c r="H82" s="104">
        <v>0</v>
      </c>
      <c r="I82" s="63"/>
      <c r="J82" s="106"/>
    </row>
    <row r="83" spans="2:12" ht="13.5" thickBot="1" x14ac:dyDescent="0.25">
      <c r="B83" s="804"/>
      <c r="C83" s="100" t="s">
        <v>203</v>
      </c>
      <c r="D83" s="784" t="s">
        <v>204</v>
      </c>
      <c r="E83" s="785"/>
      <c r="F83" s="786"/>
      <c r="G83" s="102"/>
      <c r="H83" s="103">
        <f>+IF(+G83&lt;100000,+G83,10000)</f>
        <v>0</v>
      </c>
      <c r="I83" s="63"/>
    </row>
    <row r="84" spans="2:12" ht="13.5" thickBot="1" x14ac:dyDescent="0.25">
      <c r="B84" s="787" t="s">
        <v>205</v>
      </c>
      <c r="C84" s="788"/>
      <c r="D84" s="788"/>
      <c r="E84" s="788"/>
      <c r="F84" s="788"/>
      <c r="G84" s="107">
        <f>SUM(G79:G83)</f>
        <v>7800</v>
      </c>
      <c r="H84" s="108">
        <f>SUM(H78:H83)</f>
        <v>157800</v>
      </c>
    </row>
    <row r="85" spans="2:12" ht="13.5" thickBot="1" x14ac:dyDescent="0.25"/>
    <row r="86" spans="2:12" ht="13.5" thickBot="1" x14ac:dyDescent="0.25">
      <c r="B86" s="789" t="s">
        <v>206</v>
      </c>
      <c r="C86" s="790"/>
      <c r="D86" s="790"/>
      <c r="E86" s="790"/>
      <c r="F86" s="791"/>
      <c r="G86" s="792">
        <f>+G64-H84</f>
        <v>1126812</v>
      </c>
      <c r="H86" s="791"/>
      <c r="J86" s="109">
        <f>C37+D37+E37+F37</f>
        <v>431568</v>
      </c>
      <c r="K86" s="16" t="s">
        <v>235</v>
      </c>
    </row>
    <row r="87" spans="2:12" x14ac:dyDescent="0.2">
      <c r="B87" s="110"/>
      <c r="F87" s="105"/>
      <c r="J87" s="109">
        <f>G37+H37+I37</f>
        <v>329667</v>
      </c>
      <c r="K87" s="16" t="s">
        <v>236</v>
      </c>
    </row>
    <row r="88" spans="2:12" x14ac:dyDescent="0.2">
      <c r="C88" s="793" t="s">
        <v>207</v>
      </c>
      <c r="D88" s="794"/>
      <c r="E88" s="111" t="s">
        <v>208</v>
      </c>
      <c r="F88" s="111" t="s">
        <v>209</v>
      </c>
      <c r="G88" s="111" t="s">
        <v>210</v>
      </c>
      <c r="H88" s="111" t="s">
        <v>211</v>
      </c>
      <c r="J88" s="109">
        <f>J37+K37+L37</f>
        <v>341991</v>
      </c>
      <c r="K88" s="47" t="s">
        <v>237</v>
      </c>
    </row>
    <row r="89" spans="2:12" x14ac:dyDescent="0.2">
      <c r="C89" s="795" t="str">
        <f>IF(I6="M","0          - 250000","0          -  250000")</f>
        <v>0          - 250000</v>
      </c>
      <c r="D89" s="796"/>
      <c r="E89" s="112">
        <v>0</v>
      </c>
      <c r="F89" s="113">
        <f>IF(I6="M",(IF(G86&lt;250000,G86,250000)),(IF(G86&lt;250000,G86,250000)))</f>
        <v>250000</v>
      </c>
      <c r="G89" s="113">
        <f>G86-F89</f>
        <v>876812</v>
      </c>
      <c r="H89" s="113">
        <f>E89*F89</f>
        <v>0</v>
      </c>
      <c r="J89" s="16">
        <f>M37+N37</f>
        <v>223886</v>
      </c>
      <c r="K89" s="1" t="s">
        <v>238</v>
      </c>
    </row>
    <row r="90" spans="2:12" x14ac:dyDescent="0.2">
      <c r="C90" s="795" t="str">
        <f>IF(I6="M","250001 - 500000","250001-500000")</f>
        <v>250001 - 500000</v>
      </c>
      <c r="D90" s="796"/>
      <c r="E90" s="112">
        <v>0.05</v>
      </c>
      <c r="F90" s="113">
        <f>IF(I6="M",(IF(G89&lt;250000,G89,250000)),(IF(G89&lt;250000,G89,250000)))</f>
        <v>250000</v>
      </c>
      <c r="G90" s="113">
        <f>G89-F90</f>
        <v>626812</v>
      </c>
      <c r="H90" s="114">
        <f>ROUND(E90*F90,0.1)</f>
        <v>12500</v>
      </c>
      <c r="J90" s="115">
        <f>SUM(J86:J89)</f>
        <v>1327112</v>
      </c>
    </row>
    <row r="91" spans="2:12" x14ac:dyDescent="0.2">
      <c r="C91" s="797" t="s">
        <v>212</v>
      </c>
      <c r="D91" s="798"/>
      <c r="E91" s="112">
        <v>0.2</v>
      </c>
      <c r="F91" s="113">
        <f>IF(G90&lt;500000,G90,500000)</f>
        <v>500000</v>
      </c>
      <c r="G91" s="113">
        <f>G90-F91</f>
        <v>126812</v>
      </c>
      <c r="H91" s="114">
        <f>ROUND(E91*F91,0.1)</f>
        <v>100000</v>
      </c>
      <c r="J91" s="16">
        <f>+G86</f>
        <v>1126812</v>
      </c>
    </row>
    <row r="92" spans="2:12" x14ac:dyDescent="0.2">
      <c r="C92" s="795" t="s">
        <v>289</v>
      </c>
      <c r="D92" s="796"/>
      <c r="E92" s="112">
        <v>0.3</v>
      </c>
      <c r="F92" s="113">
        <f>G91</f>
        <v>126812</v>
      </c>
      <c r="G92" s="113">
        <f>G91-F92</f>
        <v>0</v>
      </c>
      <c r="H92" s="114">
        <f>ROUND(E92*F92,0.1)</f>
        <v>38044</v>
      </c>
      <c r="J92" s="16">
        <f>+J90-J91</f>
        <v>200300</v>
      </c>
    </row>
    <row r="93" spans="2:12" ht="12.75" customHeight="1" thickBot="1" x14ac:dyDescent="0.25">
      <c r="B93" s="116"/>
      <c r="C93" s="117"/>
      <c r="D93" s="47"/>
      <c r="E93" s="47"/>
      <c r="F93" s="47"/>
      <c r="J93" s="87"/>
      <c r="K93" s="118"/>
    </row>
    <row r="94" spans="2:12" ht="13.5" thickBot="1" x14ac:dyDescent="0.25">
      <c r="B94" s="799" t="s">
        <v>239</v>
      </c>
      <c r="C94" s="800"/>
      <c r="D94" s="800"/>
      <c r="E94" s="800"/>
      <c r="F94" s="801"/>
      <c r="G94" s="771">
        <f>H89+H90+H91+H92</f>
        <v>150544</v>
      </c>
      <c r="H94" s="772"/>
    </row>
    <row r="95" spans="2:12" ht="13.5" thickBot="1" x14ac:dyDescent="0.25">
      <c r="B95" s="119" t="s">
        <v>215</v>
      </c>
      <c r="C95" s="120"/>
      <c r="D95" s="120"/>
      <c r="E95" s="120"/>
      <c r="F95" s="120"/>
      <c r="G95" s="895">
        <f>IF((G64&lt;500000),5000,0)</f>
        <v>0</v>
      </c>
      <c r="H95" s="896">
        <f>IF(H93&lt;200000,0,IF(H93&lt;220000,((H93-200000)*10%),IF(H93&lt;=500000,2000,IF(H93&gt;=500000,0))))</f>
        <v>0</v>
      </c>
      <c r="J95" s="1"/>
      <c r="K95" s="121"/>
      <c r="L95" s="121"/>
    </row>
    <row r="96" spans="2:12" ht="13.5" thickBot="1" x14ac:dyDescent="0.25">
      <c r="B96" s="122" t="s">
        <v>216</v>
      </c>
      <c r="C96" s="123"/>
      <c r="D96" s="123"/>
      <c r="E96" s="123"/>
      <c r="F96" s="123"/>
      <c r="G96" s="771">
        <f>+G94-G95</f>
        <v>150544</v>
      </c>
      <c r="H96" s="772"/>
      <c r="I96" s="37"/>
    </row>
    <row r="97" spans="2:9" ht="13.5" thickBot="1" x14ac:dyDescent="0.25">
      <c r="B97" s="773" t="s">
        <v>240</v>
      </c>
      <c r="C97" s="774"/>
      <c r="D97" s="774"/>
      <c r="E97" s="774"/>
      <c r="F97" s="775"/>
      <c r="G97" s="776">
        <f>ROUND((IF(G96&gt;0,(G96*4%),0)),0)</f>
        <v>6022</v>
      </c>
      <c r="H97" s="777"/>
      <c r="I97" s="37"/>
    </row>
    <row r="98" spans="2:9" ht="13.5" thickBot="1" x14ac:dyDescent="0.25">
      <c r="B98" s="778" t="s">
        <v>218</v>
      </c>
      <c r="C98" s="779"/>
      <c r="D98" s="779"/>
      <c r="E98" s="779"/>
      <c r="F98" s="779"/>
      <c r="G98" s="780">
        <f>G96+G97</f>
        <v>156566</v>
      </c>
      <c r="H98" s="781"/>
      <c r="I98" s="121"/>
    </row>
    <row r="99" spans="2:9" ht="13.5" thickBot="1" x14ac:dyDescent="0.25">
      <c r="B99" s="765" t="s">
        <v>219</v>
      </c>
      <c r="C99" s="766"/>
      <c r="D99" s="766"/>
      <c r="E99" s="766"/>
      <c r="F99" s="766"/>
      <c r="G99" s="767">
        <f>O38</f>
        <v>99200</v>
      </c>
      <c r="H99" s="768"/>
      <c r="I99" s="121"/>
    </row>
    <row r="100" spans="2:9" ht="13.5" thickBot="1" x14ac:dyDescent="0.25">
      <c r="B100" s="765" t="str">
        <f>IF(G100&gt;0,"TAX PAYABLE","TAX REFUND")</f>
        <v>TAX PAYABLE</v>
      </c>
      <c r="C100" s="766"/>
      <c r="D100" s="766"/>
      <c r="E100" s="766"/>
      <c r="F100" s="766"/>
      <c r="G100" s="767">
        <f>+G98-G99</f>
        <v>57366</v>
      </c>
      <c r="H100" s="768"/>
      <c r="I100" s="37"/>
    </row>
    <row r="101" spans="2:9" x14ac:dyDescent="0.2">
      <c r="C101" s="124"/>
      <c r="D101" s="45"/>
      <c r="E101" s="118"/>
      <c r="F101" s="118"/>
      <c r="G101" s="118"/>
      <c r="H101" s="118"/>
      <c r="I101" s="125"/>
    </row>
    <row r="102" spans="2:9" x14ac:dyDescent="0.2">
      <c r="C102" s="47"/>
      <c r="D102" s="50"/>
      <c r="E102" s="117"/>
      <c r="F102" s="47"/>
      <c r="G102" s="47"/>
      <c r="H102" s="47"/>
      <c r="I102" s="125"/>
    </row>
    <row r="103" spans="2:9" x14ac:dyDescent="0.2">
      <c r="C103" s="39"/>
      <c r="D103" s="126"/>
      <c r="E103" s="126"/>
      <c r="F103" s="126"/>
      <c r="G103" s="39"/>
      <c r="H103" s="39"/>
      <c r="I103" s="37"/>
    </row>
    <row r="104" spans="2:9" x14ac:dyDescent="0.2">
      <c r="C104" s="39"/>
      <c r="D104" s="126"/>
      <c r="E104" s="126"/>
      <c r="F104" s="39"/>
      <c r="G104" s="39"/>
      <c r="H104" s="39"/>
      <c r="I104" s="37"/>
    </row>
    <row r="105" spans="2:9" x14ac:dyDescent="0.2">
      <c r="C105" s="39"/>
      <c r="D105" s="126"/>
      <c r="E105" s="126"/>
      <c r="F105" s="39"/>
      <c r="G105" s="39"/>
      <c r="H105" s="39"/>
      <c r="I105" s="37"/>
    </row>
    <row r="106" spans="2:9" x14ac:dyDescent="0.2">
      <c r="C106" s="39"/>
      <c r="D106" s="39"/>
      <c r="E106" s="39"/>
      <c r="F106" s="39"/>
      <c r="G106" s="39"/>
      <c r="H106" s="39"/>
      <c r="I106" s="37"/>
    </row>
    <row r="107" spans="2:9" x14ac:dyDescent="0.2">
      <c r="C107" s="39"/>
      <c r="D107" s="39"/>
      <c r="E107" s="39"/>
      <c r="F107" s="39"/>
      <c r="G107" s="39"/>
      <c r="H107" s="39"/>
    </row>
    <row r="108" spans="2:9" x14ac:dyDescent="0.2">
      <c r="C108" s="39"/>
      <c r="D108" s="39"/>
      <c r="E108" s="39"/>
      <c r="F108" s="39"/>
      <c r="G108" s="39"/>
      <c r="H108"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1:F81"/>
    <mergeCell ref="J67:K67"/>
    <mergeCell ref="B64:F64"/>
    <mergeCell ref="G64:H64"/>
    <mergeCell ref="D76:F76"/>
    <mergeCell ref="D77:F77"/>
    <mergeCell ref="E78:F78"/>
    <mergeCell ref="D79:F79"/>
    <mergeCell ref="D80:F80"/>
    <mergeCell ref="D70:F70"/>
    <mergeCell ref="D71:F71"/>
    <mergeCell ref="C68:C75"/>
    <mergeCell ref="D68:F68"/>
    <mergeCell ref="D69:F69"/>
    <mergeCell ref="D73:F73"/>
    <mergeCell ref="G61:H61"/>
    <mergeCell ref="C62:F62"/>
    <mergeCell ref="G62:H62"/>
    <mergeCell ref="B61:F61"/>
    <mergeCell ref="D72:F72"/>
    <mergeCell ref="D75:F75"/>
    <mergeCell ref="G94:H94"/>
    <mergeCell ref="D82:F82"/>
    <mergeCell ref="D83:F83"/>
    <mergeCell ref="B84:F84"/>
    <mergeCell ref="B86:F86"/>
    <mergeCell ref="G86:H86"/>
    <mergeCell ref="C88:D88"/>
    <mergeCell ref="C89:D89"/>
    <mergeCell ref="C90:D90"/>
    <mergeCell ref="C91:D91"/>
    <mergeCell ref="C92:D92"/>
    <mergeCell ref="B94:F94"/>
    <mergeCell ref="B68:B83"/>
    <mergeCell ref="B100:F100"/>
    <mergeCell ref="G100:H100"/>
    <mergeCell ref="G95:H95"/>
    <mergeCell ref="G96:H96"/>
    <mergeCell ref="B97:F97"/>
    <mergeCell ref="G97:H97"/>
    <mergeCell ref="B98:F98"/>
    <mergeCell ref="G98:H98"/>
    <mergeCell ref="B99:F99"/>
    <mergeCell ref="G99:H99"/>
  </mergeCells>
  <conditionalFormatting sqref="B91:F91 B100:F100 B94:F98">
    <cfRule type="cellIs" dxfId="91" priority="1" stopIfTrue="1" operator="equal">
      <formula>"TAX PAYABLE"</formula>
    </cfRule>
    <cfRule type="cellIs" dxfId="90" priority="2" stopIfTrue="1" operator="equal">
      <formula>"TAX REFUND"</formula>
    </cfRule>
  </conditionalFormatting>
  <conditionalFormatting sqref="G91:H91">
    <cfRule type="cellIs" dxfId="89" priority="3" stopIfTrue="1" operator="lessThan">
      <formula>0</formula>
    </cfRule>
    <cfRule type="cellIs" dxfId="88" priority="4" stopIfTrue="1" operator="greaterThan">
      <formula>0</formula>
    </cfRule>
  </conditionalFormatting>
  <conditionalFormatting sqref="G100:H100">
    <cfRule type="cellIs" dxfId="87" priority="5" stopIfTrue="1" operator="greaterThan">
      <formula>0</formula>
    </cfRule>
    <cfRule type="cellIs" dxfId="86" priority="6"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5" right="0.75" top="1" bottom="1" header="0.5" footer="0.5"/>
  <headerFooter alignWithMargins="0"/>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7"/>
  <sheetViews>
    <sheetView workbookViewId="0">
      <selection activeCell="D6" sqref="D6:F6"/>
    </sheetView>
  </sheetViews>
  <sheetFormatPr defaultRowHeight="12.75" x14ac:dyDescent="0.2"/>
  <cols>
    <col min="1" max="1" width="5" style="16" customWidth="1"/>
    <col min="2" max="2" width="19.28515625" style="37" customWidth="1"/>
    <col min="3" max="3" width="10.7109375" style="16" bestFit="1" customWidth="1"/>
    <col min="4" max="4" width="6.7109375" style="16" bestFit="1" customWidth="1"/>
    <col min="5" max="5" width="8.5703125" style="16" bestFit="1" customWidth="1"/>
    <col min="6" max="6" width="9.28515625" style="16" bestFit="1" customWidth="1"/>
    <col min="7" max="7" width="10.42578125" style="16" bestFit="1" customWidth="1"/>
    <col min="8" max="8" width="10.28515625" style="16" bestFit="1" customWidth="1"/>
    <col min="9" max="9" width="7.140625" style="16" bestFit="1" customWidth="1"/>
    <col min="10" max="10" width="7.28515625" style="16" customWidth="1"/>
    <col min="11" max="12" width="7" style="16" bestFit="1" customWidth="1"/>
    <col min="13" max="13" width="6.85546875" style="16" bestFit="1" customWidth="1"/>
    <col min="14" max="14" width="7" style="16" bestFit="1" customWidth="1"/>
    <col min="15" max="15" width="7.140625" style="16" bestFit="1"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9.28515625" style="16" customWidth="1"/>
    <col min="259" max="259" width="10.7109375" style="16" bestFit="1" customWidth="1"/>
    <col min="260" max="260" width="6.7109375" style="16" bestFit="1" customWidth="1"/>
    <col min="261" max="261" width="8.5703125" style="16" bestFit="1" customWidth="1"/>
    <col min="262" max="262" width="9.28515625" style="16" bestFit="1" customWidth="1"/>
    <col min="263" max="263" width="10.42578125" style="16" bestFit="1" customWidth="1"/>
    <col min="264" max="264" width="10.28515625" style="16" bestFit="1" customWidth="1"/>
    <col min="265" max="265" width="7.140625" style="16" bestFit="1" customWidth="1"/>
    <col min="266" max="266" width="7.28515625" style="16" customWidth="1"/>
    <col min="267" max="268" width="7" style="16" bestFit="1" customWidth="1"/>
    <col min="269" max="269" width="6.85546875" style="16" bestFit="1" customWidth="1"/>
    <col min="270" max="270" width="7" style="16" bestFit="1" customWidth="1"/>
    <col min="271" max="271" width="7.140625" style="16" bestFit="1"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9.28515625" style="16" customWidth="1"/>
    <col min="515" max="515" width="10.7109375" style="16" bestFit="1" customWidth="1"/>
    <col min="516" max="516" width="6.7109375" style="16" bestFit="1" customWidth="1"/>
    <col min="517" max="517" width="8.5703125" style="16" bestFit="1" customWidth="1"/>
    <col min="518" max="518" width="9.28515625" style="16" bestFit="1" customWidth="1"/>
    <col min="519" max="519" width="10.42578125" style="16" bestFit="1" customWidth="1"/>
    <col min="520" max="520" width="10.28515625" style="16" bestFit="1" customWidth="1"/>
    <col min="521" max="521" width="7.140625" style="16" bestFit="1" customWidth="1"/>
    <col min="522" max="522" width="7.28515625" style="16" customWidth="1"/>
    <col min="523" max="524" width="7" style="16" bestFit="1" customWidth="1"/>
    <col min="525" max="525" width="6.85546875" style="16" bestFit="1" customWidth="1"/>
    <col min="526" max="526" width="7" style="16" bestFit="1" customWidth="1"/>
    <col min="527" max="527" width="7.140625" style="16" bestFit="1"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9.28515625" style="16" customWidth="1"/>
    <col min="771" max="771" width="10.7109375" style="16" bestFit="1" customWidth="1"/>
    <col min="772" max="772" width="6.7109375" style="16" bestFit="1" customWidth="1"/>
    <col min="773" max="773" width="8.5703125" style="16" bestFit="1" customWidth="1"/>
    <col min="774" max="774" width="9.28515625" style="16" bestFit="1" customWidth="1"/>
    <col min="775" max="775" width="10.42578125" style="16" bestFit="1" customWidth="1"/>
    <col min="776" max="776" width="10.28515625" style="16" bestFit="1" customWidth="1"/>
    <col min="777" max="777" width="7.140625" style="16" bestFit="1" customWidth="1"/>
    <col min="778" max="778" width="7.28515625" style="16" customWidth="1"/>
    <col min="779" max="780" width="7" style="16" bestFit="1" customWidth="1"/>
    <col min="781" max="781" width="6.85546875" style="16" bestFit="1" customWidth="1"/>
    <col min="782" max="782" width="7" style="16" bestFit="1" customWidth="1"/>
    <col min="783" max="783" width="7.140625" style="16" bestFit="1"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9.28515625" style="16" customWidth="1"/>
    <col min="1027" max="1027" width="10.7109375" style="16" bestFit="1" customWidth="1"/>
    <col min="1028" max="1028" width="6.7109375" style="16" bestFit="1" customWidth="1"/>
    <col min="1029" max="1029" width="8.5703125" style="16" bestFit="1" customWidth="1"/>
    <col min="1030" max="1030" width="9.28515625" style="16" bestFit="1" customWidth="1"/>
    <col min="1031" max="1031" width="10.42578125" style="16" bestFit="1" customWidth="1"/>
    <col min="1032" max="1032" width="10.28515625" style="16" bestFit="1" customWidth="1"/>
    <col min="1033" max="1033" width="7.140625" style="16" bestFit="1" customWidth="1"/>
    <col min="1034" max="1034" width="7.28515625" style="16" customWidth="1"/>
    <col min="1035" max="1036" width="7" style="16" bestFit="1" customWidth="1"/>
    <col min="1037" max="1037" width="6.85546875" style="16" bestFit="1" customWidth="1"/>
    <col min="1038" max="1038" width="7" style="16" bestFit="1" customWidth="1"/>
    <col min="1039" max="1039" width="7.140625" style="16" bestFit="1"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9.28515625" style="16" customWidth="1"/>
    <col min="1283" max="1283" width="10.7109375" style="16" bestFit="1" customWidth="1"/>
    <col min="1284" max="1284" width="6.7109375" style="16" bestFit="1" customWidth="1"/>
    <col min="1285" max="1285" width="8.5703125" style="16" bestFit="1" customWidth="1"/>
    <col min="1286" max="1286" width="9.28515625" style="16" bestFit="1" customWidth="1"/>
    <col min="1287" max="1287" width="10.42578125" style="16" bestFit="1" customWidth="1"/>
    <col min="1288" max="1288" width="10.28515625" style="16" bestFit="1" customWidth="1"/>
    <col min="1289" max="1289" width="7.140625" style="16" bestFit="1" customWidth="1"/>
    <col min="1290" max="1290" width="7.28515625" style="16" customWidth="1"/>
    <col min="1291" max="1292" width="7" style="16" bestFit="1" customWidth="1"/>
    <col min="1293" max="1293" width="6.85546875" style="16" bestFit="1" customWidth="1"/>
    <col min="1294" max="1294" width="7" style="16" bestFit="1" customWidth="1"/>
    <col min="1295" max="1295" width="7.140625" style="16" bestFit="1"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9.28515625" style="16" customWidth="1"/>
    <col min="1539" max="1539" width="10.7109375" style="16" bestFit="1" customWidth="1"/>
    <col min="1540" max="1540" width="6.7109375" style="16" bestFit="1" customWidth="1"/>
    <col min="1541" max="1541" width="8.5703125" style="16" bestFit="1" customWidth="1"/>
    <col min="1542" max="1542" width="9.28515625" style="16" bestFit="1" customWidth="1"/>
    <col min="1543" max="1543" width="10.42578125" style="16" bestFit="1" customWidth="1"/>
    <col min="1544" max="1544" width="10.28515625" style="16" bestFit="1" customWidth="1"/>
    <col min="1545" max="1545" width="7.140625" style="16" bestFit="1" customWidth="1"/>
    <col min="1546" max="1546" width="7.28515625" style="16" customWidth="1"/>
    <col min="1547" max="1548" width="7" style="16" bestFit="1" customWidth="1"/>
    <col min="1549" max="1549" width="6.85546875" style="16" bestFit="1" customWidth="1"/>
    <col min="1550" max="1550" width="7" style="16" bestFit="1" customWidth="1"/>
    <col min="1551" max="1551" width="7.140625" style="16" bestFit="1"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9.28515625" style="16" customWidth="1"/>
    <col min="1795" max="1795" width="10.7109375" style="16" bestFit="1" customWidth="1"/>
    <col min="1796" max="1796" width="6.7109375" style="16" bestFit="1" customWidth="1"/>
    <col min="1797" max="1797" width="8.5703125" style="16" bestFit="1" customWidth="1"/>
    <col min="1798" max="1798" width="9.28515625" style="16" bestFit="1" customWidth="1"/>
    <col min="1799" max="1799" width="10.42578125" style="16" bestFit="1" customWidth="1"/>
    <col min="1800" max="1800" width="10.28515625" style="16" bestFit="1" customWidth="1"/>
    <col min="1801" max="1801" width="7.140625" style="16" bestFit="1" customWidth="1"/>
    <col min="1802" max="1802" width="7.28515625" style="16" customWidth="1"/>
    <col min="1803" max="1804" width="7" style="16" bestFit="1" customWidth="1"/>
    <col min="1805" max="1805" width="6.85546875" style="16" bestFit="1" customWidth="1"/>
    <col min="1806" max="1806" width="7" style="16" bestFit="1" customWidth="1"/>
    <col min="1807" max="1807" width="7.140625" style="16" bestFit="1"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9.28515625" style="16" customWidth="1"/>
    <col min="2051" max="2051" width="10.7109375" style="16" bestFit="1" customWidth="1"/>
    <col min="2052" max="2052" width="6.7109375" style="16" bestFit="1" customWidth="1"/>
    <col min="2053" max="2053" width="8.5703125" style="16" bestFit="1" customWidth="1"/>
    <col min="2054" max="2054" width="9.28515625" style="16" bestFit="1" customWidth="1"/>
    <col min="2055" max="2055" width="10.42578125" style="16" bestFit="1" customWidth="1"/>
    <col min="2056" max="2056" width="10.28515625" style="16" bestFit="1" customWidth="1"/>
    <col min="2057" max="2057" width="7.140625" style="16" bestFit="1" customWidth="1"/>
    <col min="2058" max="2058" width="7.28515625" style="16" customWidth="1"/>
    <col min="2059" max="2060" width="7" style="16" bestFit="1" customWidth="1"/>
    <col min="2061" max="2061" width="6.85546875" style="16" bestFit="1" customWidth="1"/>
    <col min="2062" max="2062" width="7" style="16" bestFit="1" customWidth="1"/>
    <col min="2063" max="2063" width="7.140625" style="16" bestFit="1"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9.28515625" style="16" customWidth="1"/>
    <col min="2307" max="2307" width="10.7109375" style="16" bestFit="1" customWidth="1"/>
    <col min="2308" max="2308" width="6.7109375" style="16" bestFit="1" customWidth="1"/>
    <col min="2309" max="2309" width="8.5703125" style="16" bestFit="1" customWidth="1"/>
    <col min="2310" max="2310" width="9.28515625" style="16" bestFit="1" customWidth="1"/>
    <col min="2311" max="2311" width="10.42578125" style="16" bestFit="1" customWidth="1"/>
    <col min="2312" max="2312" width="10.28515625" style="16" bestFit="1" customWidth="1"/>
    <col min="2313" max="2313" width="7.140625" style="16" bestFit="1" customWidth="1"/>
    <col min="2314" max="2314" width="7.28515625" style="16" customWidth="1"/>
    <col min="2315" max="2316" width="7" style="16" bestFit="1" customWidth="1"/>
    <col min="2317" max="2317" width="6.85546875" style="16" bestFit="1" customWidth="1"/>
    <col min="2318" max="2318" width="7" style="16" bestFit="1" customWidth="1"/>
    <col min="2319" max="2319" width="7.140625" style="16" bestFit="1"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9.28515625" style="16" customWidth="1"/>
    <col min="2563" max="2563" width="10.7109375" style="16" bestFit="1" customWidth="1"/>
    <col min="2564" max="2564" width="6.7109375" style="16" bestFit="1" customWidth="1"/>
    <col min="2565" max="2565" width="8.5703125" style="16" bestFit="1" customWidth="1"/>
    <col min="2566" max="2566" width="9.28515625" style="16" bestFit="1" customWidth="1"/>
    <col min="2567" max="2567" width="10.42578125" style="16" bestFit="1" customWidth="1"/>
    <col min="2568" max="2568" width="10.28515625" style="16" bestFit="1" customWidth="1"/>
    <col min="2569" max="2569" width="7.140625" style="16" bestFit="1" customWidth="1"/>
    <col min="2570" max="2570" width="7.28515625" style="16" customWidth="1"/>
    <col min="2571" max="2572" width="7" style="16" bestFit="1" customWidth="1"/>
    <col min="2573" max="2573" width="6.85546875" style="16" bestFit="1" customWidth="1"/>
    <col min="2574" max="2574" width="7" style="16" bestFit="1" customWidth="1"/>
    <col min="2575" max="2575" width="7.140625" style="16" bestFit="1"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9.28515625" style="16" customWidth="1"/>
    <col min="2819" max="2819" width="10.7109375" style="16" bestFit="1" customWidth="1"/>
    <col min="2820" max="2820" width="6.7109375" style="16" bestFit="1" customWidth="1"/>
    <col min="2821" max="2821" width="8.5703125" style="16" bestFit="1" customWidth="1"/>
    <col min="2822" max="2822" width="9.28515625" style="16" bestFit="1" customWidth="1"/>
    <col min="2823" max="2823" width="10.42578125" style="16" bestFit="1" customWidth="1"/>
    <col min="2824" max="2824" width="10.28515625" style="16" bestFit="1" customWidth="1"/>
    <col min="2825" max="2825" width="7.140625" style="16" bestFit="1" customWidth="1"/>
    <col min="2826" max="2826" width="7.28515625" style="16" customWidth="1"/>
    <col min="2827" max="2828" width="7" style="16" bestFit="1" customWidth="1"/>
    <col min="2829" max="2829" width="6.85546875" style="16" bestFit="1" customWidth="1"/>
    <col min="2830" max="2830" width="7" style="16" bestFit="1" customWidth="1"/>
    <col min="2831" max="2831" width="7.140625" style="16" bestFit="1"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9.28515625" style="16" customWidth="1"/>
    <col min="3075" max="3075" width="10.7109375" style="16" bestFit="1" customWidth="1"/>
    <col min="3076" max="3076" width="6.7109375" style="16" bestFit="1" customWidth="1"/>
    <col min="3077" max="3077" width="8.5703125" style="16" bestFit="1" customWidth="1"/>
    <col min="3078" max="3078" width="9.28515625" style="16" bestFit="1" customWidth="1"/>
    <col min="3079" max="3079" width="10.42578125" style="16" bestFit="1" customWidth="1"/>
    <col min="3080" max="3080" width="10.28515625" style="16" bestFit="1" customWidth="1"/>
    <col min="3081" max="3081" width="7.140625" style="16" bestFit="1" customWidth="1"/>
    <col min="3082" max="3082" width="7.28515625" style="16" customWidth="1"/>
    <col min="3083" max="3084" width="7" style="16" bestFit="1" customWidth="1"/>
    <col min="3085" max="3085" width="6.85546875" style="16" bestFit="1" customWidth="1"/>
    <col min="3086" max="3086" width="7" style="16" bestFit="1" customWidth="1"/>
    <col min="3087" max="3087" width="7.140625" style="16" bestFit="1"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9.28515625" style="16" customWidth="1"/>
    <col min="3331" max="3331" width="10.7109375" style="16" bestFit="1" customWidth="1"/>
    <col min="3332" max="3332" width="6.7109375" style="16" bestFit="1" customWidth="1"/>
    <col min="3333" max="3333" width="8.5703125" style="16" bestFit="1" customWidth="1"/>
    <col min="3334" max="3334" width="9.28515625" style="16" bestFit="1" customWidth="1"/>
    <col min="3335" max="3335" width="10.42578125" style="16" bestFit="1" customWidth="1"/>
    <col min="3336" max="3336" width="10.28515625" style="16" bestFit="1" customWidth="1"/>
    <col min="3337" max="3337" width="7.140625" style="16" bestFit="1" customWidth="1"/>
    <col min="3338" max="3338" width="7.28515625" style="16" customWidth="1"/>
    <col min="3339" max="3340" width="7" style="16" bestFit="1" customWidth="1"/>
    <col min="3341" max="3341" width="6.85546875" style="16" bestFit="1" customWidth="1"/>
    <col min="3342" max="3342" width="7" style="16" bestFit="1" customWidth="1"/>
    <col min="3343" max="3343" width="7.140625" style="16" bestFit="1"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9.28515625" style="16" customWidth="1"/>
    <col min="3587" max="3587" width="10.7109375" style="16" bestFit="1" customWidth="1"/>
    <col min="3588" max="3588" width="6.7109375" style="16" bestFit="1" customWidth="1"/>
    <col min="3589" max="3589" width="8.5703125" style="16" bestFit="1" customWidth="1"/>
    <col min="3590" max="3590" width="9.28515625" style="16" bestFit="1" customWidth="1"/>
    <col min="3591" max="3591" width="10.42578125" style="16" bestFit="1" customWidth="1"/>
    <col min="3592" max="3592" width="10.28515625" style="16" bestFit="1" customWidth="1"/>
    <col min="3593" max="3593" width="7.140625" style="16" bestFit="1" customWidth="1"/>
    <col min="3594" max="3594" width="7.28515625" style="16" customWidth="1"/>
    <col min="3595" max="3596" width="7" style="16" bestFit="1" customWidth="1"/>
    <col min="3597" max="3597" width="6.85546875" style="16" bestFit="1" customWidth="1"/>
    <col min="3598" max="3598" width="7" style="16" bestFit="1" customWidth="1"/>
    <col min="3599" max="3599" width="7.140625" style="16" bestFit="1"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9.28515625" style="16" customWidth="1"/>
    <col min="3843" max="3843" width="10.7109375" style="16" bestFit="1" customWidth="1"/>
    <col min="3844" max="3844" width="6.7109375" style="16" bestFit="1" customWidth="1"/>
    <col min="3845" max="3845" width="8.5703125" style="16" bestFit="1" customWidth="1"/>
    <col min="3846" max="3846" width="9.28515625" style="16" bestFit="1" customWidth="1"/>
    <col min="3847" max="3847" width="10.42578125" style="16" bestFit="1" customWidth="1"/>
    <col min="3848" max="3848" width="10.28515625" style="16" bestFit="1" customWidth="1"/>
    <col min="3849" max="3849" width="7.140625" style="16" bestFit="1" customWidth="1"/>
    <col min="3850" max="3850" width="7.28515625" style="16" customWidth="1"/>
    <col min="3851" max="3852" width="7" style="16" bestFit="1" customWidth="1"/>
    <col min="3853" max="3853" width="6.85546875" style="16" bestFit="1" customWidth="1"/>
    <col min="3854" max="3854" width="7" style="16" bestFit="1" customWidth="1"/>
    <col min="3855" max="3855" width="7.140625" style="16" bestFit="1"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9.28515625" style="16" customWidth="1"/>
    <col min="4099" max="4099" width="10.7109375" style="16" bestFit="1" customWidth="1"/>
    <col min="4100" max="4100" width="6.7109375" style="16" bestFit="1" customWidth="1"/>
    <col min="4101" max="4101" width="8.5703125" style="16" bestFit="1" customWidth="1"/>
    <col min="4102" max="4102" width="9.28515625" style="16" bestFit="1" customWidth="1"/>
    <col min="4103" max="4103" width="10.42578125" style="16" bestFit="1" customWidth="1"/>
    <col min="4104" max="4104" width="10.28515625" style="16" bestFit="1" customWidth="1"/>
    <col min="4105" max="4105" width="7.140625" style="16" bestFit="1" customWidth="1"/>
    <col min="4106" max="4106" width="7.28515625" style="16" customWidth="1"/>
    <col min="4107" max="4108" width="7" style="16" bestFit="1" customWidth="1"/>
    <col min="4109" max="4109" width="6.85546875" style="16" bestFit="1" customWidth="1"/>
    <col min="4110" max="4110" width="7" style="16" bestFit="1" customWidth="1"/>
    <col min="4111" max="4111" width="7.140625" style="16" bestFit="1"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9.28515625" style="16" customWidth="1"/>
    <col min="4355" max="4355" width="10.7109375" style="16" bestFit="1" customWidth="1"/>
    <col min="4356" max="4356" width="6.7109375" style="16" bestFit="1" customWidth="1"/>
    <col min="4357" max="4357" width="8.5703125" style="16" bestFit="1" customWidth="1"/>
    <col min="4358" max="4358" width="9.28515625" style="16" bestFit="1" customWidth="1"/>
    <col min="4359" max="4359" width="10.42578125" style="16" bestFit="1" customWidth="1"/>
    <col min="4360" max="4360" width="10.28515625" style="16" bestFit="1" customWidth="1"/>
    <col min="4361" max="4361" width="7.140625" style="16" bestFit="1" customWidth="1"/>
    <col min="4362" max="4362" width="7.28515625" style="16" customWidth="1"/>
    <col min="4363" max="4364" width="7" style="16" bestFit="1" customWidth="1"/>
    <col min="4365" max="4365" width="6.85546875" style="16" bestFit="1" customWidth="1"/>
    <col min="4366" max="4366" width="7" style="16" bestFit="1" customWidth="1"/>
    <col min="4367" max="4367" width="7.140625" style="16" bestFit="1"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9.28515625" style="16" customWidth="1"/>
    <col min="4611" max="4611" width="10.7109375" style="16" bestFit="1" customWidth="1"/>
    <col min="4612" max="4612" width="6.7109375" style="16" bestFit="1" customWidth="1"/>
    <col min="4613" max="4613" width="8.5703125" style="16" bestFit="1" customWidth="1"/>
    <col min="4614" max="4614" width="9.28515625" style="16" bestFit="1" customWidth="1"/>
    <col min="4615" max="4615" width="10.42578125" style="16" bestFit="1" customWidth="1"/>
    <col min="4616" max="4616" width="10.28515625" style="16" bestFit="1" customWidth="1"/>
    <col min="4617" max="4617" width="7.140625" style="16" bestFit="1" customWidth="1"/>
    <col min="4618" max="4618" width="7.28515625" style="16" customWidth="1"/>
    <col min="4619" max="4620" width="7" style="16" bestFit="1" customWidth="1"/>
    <col min="4621" max="4621" width="6.85546875" style="16" bestFit="1" customWidth="1"/>
    <col min="4622" max="4622" width="7" style="16" bestFit="1" customWidth="1"/>
    <col min="4623" max="4623" width="7.140625" style="16" bestFit="1"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9.28515625" style="16" customWidth="1"/>
    <col min="4867" max="4867" width="10.7109375" style="16" bestFit="1" customWidth="1"/>
    <col min="4868" max="4868" width="6.7109375" style="16" bestFit="1" customWidth="1"/>
    <col min="4869" max="4869" width="8.5703125" style="16" bestFit="1" customWidth="1"/>
    <col min="4870" max="4870" width="9.28515625" style="16" bestFit="1" customWidth="1"/>
    <col min="4871" max="4871" width="10.42578125" style="16" bestFit="1" customWidth="1"/>
    <col min="4872" max="4872" width="10.28515625" style="16" bestFit="1" customWidth="1"/>
    <col min="4873" max="4873" width="7.140625" style="16" bestFit="1" customWidth="1"/>
    <col min="4874" max="4874" width="7.28515625" style="16" customWidth="1"/>
    <col min="4875" max="4876" width="7" style="16" bestFit="1" customWidth="1"/>
    <col min="4877" max="4877" width="6.85546875" style="16" bestFit="1" customWidth="1"/>
    <col min="4878" max="4878" width="7" style="16" bestFit="1" customWidth="1"/>
    <col min="4879" max="4879" width="7.140625" style="16" bestFit="1"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9.28515625" style="16" customWidth="1"/>
    <col min="5123" max="5123" width="10.7109375" style="16" bestFit="1" customWidth="1"/>
    <col min="5124" max="5124" width="6.7109375" style="16" bestFit="1" customWidth="1"/>
    <col min="5125" max="5125" width="8.5703125" style="16" bestFit="1" customWidth="1"/>
    <col min="5126" max="5126" width="9.28515625" style="16" bestFit="1" customWidth="1"/>
    <col min="5127" max="5127" width="10.42578125" style="16" bestFit="1" customWidth="1"/>
    <col min="5128" max="5128" width="10.28515625" style="16" bestFit="1" customWidth="1"/>
    <col min="5129" max="5129" width="7.140625" style="16" bestFit="1" customWidth="1"/>
    <col min="5130" max="5130" width="7.28515625" style="16" customWidth="1"/>
    <col min="5131" max="5132" width="7" style="16" bestFit="1" customWidth="1"/>
    <col min="5133" max="5133" width="6.85546875" style="16" bestFit="1" customWidth="1"/>
    <col min="5134" max="5134" width="7" style="16" bestFit="1" customWidth="1"/>
    <col min="5135" max="5135" width="7.140625" style="16" bestFit="1"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9.28515625" style="16" customWidth="1"/>
    <col min="5379" max="5379" width="10.7109375" style="16" bestFit="1" customWidth="1"/>
    <col min="5380" max="5380" width="6.7109375" style="16" bestFit="1" customWidth="1"/>
    <col min="5381" max="5381" width="8.5703125" style="16" bestFit="1" customWidth="1"/>
    <col min="5382" max="5382" width="9.28515625" style="16" bestFit="1" customWidth="1"/>
    <col min="5383" max="5383" width="10.42578125" style="16" bestFit="1" customWidth="1"/>
    <col min="5384" max="5384" width="10.28515625" style="16" bestFit="1" customWidth="1"/>
    <col min="5385" max="5385" width="7.140625" style="16" bestFit="1" customWidth="1"/>
    <col min="5386" max="5386" width="7.28515625" style="16" customWidth="1"/>
    <col min="5387" max="5388" width="7" style="16" bestFit="1" customWidth="1"/>
    <col min="5389" max="5389" width="6.85546875" style="16" bestFit="1" customWidth="1"/>
    <col min="5390" max="5390" width="7" style="16" bestFit="1" customWidth="1"/>
    <col min="5391" max="5391" width="7.140625" style="16" bestFit="1"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9.28515625" style="16" customWidth="1"/>
    <col min="5635" max="5635" width="10.7109375" style="16" bestFit="1" customWidth="1"/>
    <col min="5636" max="5636" width="6.7109375" style="16" bestFit="1" customWidth="1"/>
    <col min="5637" max="5637" width="8.5703125" style="16" bestFit="1" customWidth="1"/>
    <col min="5638" max="5638" width="9.28515625" style="16" bestFit="1" customWidth="1"/>
    <col min="5639" max="5639" width="10.42578125" style="16" bestFit="1" customWidth="1"/>
    <col min="5640" max="5640" width="10.28515625" style="16" bestFit="1" customWidth="1"/>
    <col min="5641" max="5641" width="7.140625" style="16" bestFit="1" customWidth="1"/>
    <col min="5642" max="5642" width="7.28515625" style="16" customWidth="1"/>
    <col min="5643" max="5644" width="7" style="16" bestFit="1" customWidth="1"/>
    <col min="5645" max="5645" width="6.85546875" style="16" bestFit="1" customWidth="1"/>
    <col min="5646" max="5646" width="7" style="16" bestFit="1" customWidth="1"/>
    <col min="5647" max="5647" width="7.140625" style="16" bestFit="1"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9.28515625" style="16" customWidth="1"/>
    <col min="5891" max="5891" width="10.7109375" style="16" bestFit="1" customWidth="1"/>
    <col min="5892" max="5892" width="6.7109375" style="16" bestFit="1" customWidth="1"/>
    <col min="5893" max="5893" width="8.5703125" style="16" bestFit="1" customWidth="1"/>
    <col min="5894" max="5894" width="9.28515625" style="16" bestFit="1" customWidth="1"/>
    <col min="5895" max="5895" width="10.42578125" style="16" bestFit="1" customWidth="1"/>
    <col min="5896" max="5896" width="10.28515625" style="16" bestFit="1" customWidth="1"/>
    <col min="5897" max="5897" width="7.140625" style="16" bestFit="1" customWidth="1"/>
    <col min="5898" max="5898" width="7.28515625" style="16" customWidth="1"/>
    <col min="5899" max="5900" width="7" style="16" bestFit="1" customWidth="1"/>
    <col min="5901" max="5901" width="6.85546875" style="16" bestFit="1" customWidth="1"/>
    <col min="5902" max="5902" width="7" style="16" bestFit="1" customWidth="1"/>
    <col min="5903" max="5903" width="7.140625" style="16" bestFit="1"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9.28515625" style="16" customWidth="1"/>
    <col min="6147" max="6147" width="10.7109375" style="16" bestFit="1" customWidth="1"/>
    <col min="6148" max="6148" width="6.7109375" style="16" bestFit="1" customWidth="1"/>
    <col min="6149" max="6149" width="8.5703125" style="16" bestFit="1" customWidth="1"/>
    <col min="6150" max="6150" width="9.28515625" style="16" bestFit="1" customWidth="1"/>
    <col min="6151" max="6151" width="10.42578125" style="16" bestFit="1" customWidth="1"/>
    <col min="6152" max="6152" width="10.28515625" style="16" bestFit="1" customWidth="1"/>
    <col min="6153" max="6153" width="7.140625" style="16" bestFit="1" customWidth="1"/>
    <col min="6154" max="6154" width="7.28515625" style="16" customWidth="1"/>
    <col min="6155" max="6156" width="7" style="16" bestFit="1" customWidth="1"/>
    <col min="6157" max="6157" width="6.85546875" style="16" bestFit="1" customWidth="1"/>
    <col min="6158" max="6158" width="7" style="16" bestFit="1" customWidth="1"/>
    <col min="6159" max="6159" width="7.140625" style="16" bestFit="1"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9.28515625" style="16" customWidth="1"/>
    <col min="6403" max="6403" width="10.7109375" style="16" bestFit="1" customWidth="1"/>
    <col min="6404" max="6404" width="6.7109375" style="16" bestFit="1" customWidth="1"/>
    <col min="6405" max="6405" width="8.5703125" style="16" bestFit="1" customWidth="1"/>
    <col min="6406" max="6406" width="9.28515625" style="16" bestFit="1" customWidth="1"/>
    <col min="6407" max="6407" width="10.42578125" style="16" bestFit="1" customWidth="1"/>
    <col min="6408" max="6408" width="10.28515625" style="16" bestFit="1" customWidth="1"/>
    <col min="6409" max="6409" width="7.140625" style="16" bestFit="1" customWidth="1"/>
    <col min="6410" max="6410" width="7.28515625" style="16" customWidth="1"/>
    <col min="6411" max="6412" width="7" style="16" bestFit="1" customWidth="1"/>
    <col min="6413" max="6413" width="6.85546875" style="16" bestFit="1" customWidth="1"/>
    <col min="6414" max="6414" width="7" style="16" bestFit="1" customWidth="1"/>
    <col min="6415" max="6415" width="7.140625" style="16" bestFit="1"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9.28515625" style="16" customWidth="1"/>
    <col min="6659" max="6659" width="10.7109375" style="16" bestFit="1" customWidth="1"/>
    <col min="6660" max="6660" width="6.7109375" style="16" bestFit="1" customWidth="1"/>
    <col min="6661" max="6661" width="8.5703125" style="16" bestFit="1" customWidth="1"/>
    <col min="6662" max="6662" width="9.28515625" style="16" bestFit="1" customWidth="1"/>
    <col min="6663" max="6663" width="10.42578125" style="16" bestFit="1" customWidth="1"/>
    <col min="6664" max="6664" width="10.28515625" style="16" bestFit="1" customWidth="1"/>
    <col min="6665" max="6665" width="7.140625" style="16" bestFit="1" customWidth="1"/>
    <col min="6666" max="6666" width="7.28515625" style="16" customWidth="1"/>
    <col min="6667" max="6668" width="7" style="16" bestFit="1" customWidth="1"/>
    <col min="6669" max="6669" width="6.85546875" style="16" bestFit="1" customWidth="1"/>
    <col min="6670" max="6670" width="7" style="16" bestFit="1" customWidth="1"/>
    <col min="6671" max="6671" width="7.140625" style="16" bestFit="1"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9.28515625" style="16" customWidth="1"/>
    <col min="6915" max="6915" width="10.7109375" style="16" bestFit="1" customWidth="1"/>
    <col min="6916" max="6916" width="6.7109375" style="16" bestFit="1" customWidth="1"/>
    <col min="6917" max="6917" width="8.5703125" style="16" bestFit="1" customWidth="1"/>
    <col min="6918" max="6918" width="9.28515625" style="16" bestFit="1" customWidth="1"/>
    <col min="6919" max="6919" width="10.42578125" style="16" bestFit="1" customWidth="1"/>
    <col min="6920" max="6920" width="10.28515625" style="16" bestFit="1" customWidth="1"/>
    <col min="6921" max="6921" width="7.140625" style="16" bestFit="1" customWidth="1"/>
    <col min="6922" max="6922" width="7.28515625" style="16" customWidth="1"/>
    <col min="6923" max="6924" width="7" style="16" bestFit="1" customWidth="1"/>
    <col min="6925" max="6925" width="6.85546875" style="16" bestFit="1" customWidth="1"/>
    <col min="6926" max="6926" width="7" style="16" bestFit="1" customWidth="1"/>
    <col min="6927" max="6927" width="7.140625" style="16" bestFit="1"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9.28515625" style="16" customWidth="1"/>
    <col min="7171" max="7171" width="10.7109375" style="16" bestFit="1" customWidth="1"/>
    <col min="7172" max="7172" width="6.7109375" style="16" bestFit="1" customWidth="1"/>
    <col min="7173" max="7173" width="8.5703125" style="16" bestFit="1" customWidth="1"/>
    <col min="7174" max="7174" width="9.28515625" style="16" bestFit="1" customWidth="1"/>
    <col min="7175" max="7175" width="10.42578125" style="16" bestFit="1" customWidth="1"/>
    <col min="7176" max="7176" width="10.28515625" style="16" bestFit="1" customWidth="1"/>
    <col min="7177" max="7177" width="7.140625" style="16" bestFit="1" customWidth="1"/>
    <col min="7178" max="7178" width="7.28515625" style="16" customWidth="1"/>
    <col min="7179" max="7180" width="7" style="16" bestFit="1" customWidth="1"/>
    <col min="7181" max="7181" width="6.85546875" style="16" bestFit="1" customWidth="1"/>
    <col min="7182" max="7182" width="7" style="16" bestFit="1" customWidth="1"/>
    <col min="7183" max="7183" width="7.140625" style="16" bestFit="1"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9.28515625" style="16" customWidth="1"/>
    <col min="7427" max="7427" width="10.7109375" style="16" bestFit="1" customWidth="1"/>
    <col min="7428" max="7428" width="6.7109375" style="16" bestFit="1" customWidth="1"/>
    <col min="7429" max="7429" width="8.5703125" style="16" bestFit="1" customWidth="1"/>
    <col min="7430" max="7430" width="9.28515625" style="16" bestFit="1" customWidth="1"/>
    <col min="7431" max="7431" width="10.42578125" style="16" bestFit="1" customWidth="1"/>
    <col min="7432" max="7432" width="10.28515625" style="16" bestFit="1" customWidth="1"/>
    <col min="7433" max="7433" width="7.140625" style="16" bestFit="1" customWidth="1"/>
    <col min="7434" max="7434" width="7.28515625" style="16" customWidth="1"/>
    <col min="7435" max="7436" width="7" style="16" bestFit="1" customWidth="1"/>
    <col min="7437" max="7437" width="6.85546875" style="16" bestFit="1" customWidth="1"/>
    <col min="7438" max="7438" width="7" style="16" bestFit="1" customWidth="1"/>
    <col min="7439" max="7439" width="7.140625" style="16" bestFit="1"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9.28515625" style="16" customWidth="1"/>
    <col min="7683" max="7683" width="10.7109375" style="16" bestFit="1" customWidth="1"/>
    <col min="7684" max="7684" width="6.7109375" style="16" bestFit="1" customWidth="1"/>
    <col min="7685" max="7685" width="8.5703125" style="16" bestFit="1" customWidth="1"/>
    <col min="7686" max="7686" width="9.28515625" style="16" bestFit="1" customWidth="1"/>
    <col min="7687" max="7687" width="10.42578125" style="16" bestFit="1" customWidth="1"/>
    <col min="7688" max="7688" width="10.28515625" style="16" bestFit="1" customWidth="1"/>
    <col min="7689" max="7689" width="7.140625" style="16" bestFit="1" customWidth="1"/>
    <col min="7690" max="7690" width="7.28515625" style="16" customWidth="1"/>
    <col min="7691" max="7692" width="7" style="16" bestFit="1" customWidth="1"/>
    <col min="7693" max="7693" width="6.85546875" style="16" bestFit="1" customWidth="1"/>
    <col min="7694" max="7694" width="7" style="16" bestFit="1" customWidth="1"/>
    <col min="7695" max="7695" width="7.140625" style="16" bestFit="1"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9.28515625" style="16" customWidth="1"/>
    <col min="7939" max="7939" width="10.7109375" style="16" bestFit="1" customWidth="1"/>
    <col min="7940" max="7940" width="6.7109375" style="16" bestFit="1" customWidth="1"/>
    <col min="7941" max="7941" width="8.5703125" style="16" bestFit="1" customWidth="1"/>
    <col min="7942" max="7942" width="9.28515625" style="16" bestFit="1" customWidth="1"/>
    <col min="7943" max="7943" width="10.42578125" style="16" bestFit="1" customWidth="1"/>
    <col min="7944" max="7944" width="10.28515625" style="16" bestFit="1" customWidth="1"/>
    <col min="7945" max="7945" width="7.140625" style="16" bestFit="1" customWidth="1"/>
    <col min="7946" max="7946" width="7.28515625" style="16" customWidth="1"/>
    <col min="7947" max="7948" width="7" style="16" bestFit="1" customWidth="1"/>
    <col min="7949" max="7949" width="6.85546875" style="16" bestFit="1" customWidth="1"/>
    <col min="7950" max="7950" width="7" style="16" bestFit="1" customWidth="1"/>
    <col min="7951" max="7951" width="7.140625" style="16" bestFit="1"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9.28515625" style="16" customWidth="1"/>
    <col min="8195" max="8195" width="10.7109375" style="16" bestFit="1" customWidth="1"/>
    <col min="8196" max="8196" width="6.7109375" style="16" bestFit="1" customWidth="1"/>
    <col min="8197" max="8197" width="8.5703125" style="16" bestFit="1" customWidth="1"/>
    <col min="8198" max="8198" width="9.28515625" style="16" bestFit="1" customWidth="1"/>
    <col min="8199" max="8199" width="10.42578125" style="16" bestFit="1" customWidth="1"/>
    <col min="8200" max="8200" width="10.28515625" style="16" bestFit="1" customWidth="1"/>
    <col min="8201" max="8201" width="7.140625" style="16" bestFit="1" customWidth="1"/>
    <col min="8202" max="8202" width="7.28515625" style="16" customWidth="1"/>
    <col min="8203" max="8204" width="7" style="16" bestFit="1" customWidth="1"/>
    <col min="8205" max="8205" width="6.85546875" style="16" bestFit="1" customWidth="1"/>
    <col min="8206" max="8206" width="7" style="16" bestFit="1" customWidth="1"/>
    <col min="8207" max="8207" width="7.140625" style="16" bestFit="1"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9.28515625" style="16" customWidth="1"/>
    <col min="8451" max="8451" width="10.7109375" style="16" bestFit="1" customWidth="1"/>
    <col min="8452" max="8452" width="6.7109375" style="16" bestFit="1" customWidth="1"/>
    <col min="8453" max="8453" width="8.5703125" style="16" bestFit="1" customWidth="1"/>
    <col min="8454" max="8454" width="9.28515625" style="16" bestFit="1" customWidth="1"/>
    <col min="8455" max="8455" width="10.42578125" style="16" bestFit="1" customWidth="1"/>
    <col min="8456" max="8456" width="10.28515625" style="16" bestFit="1" customWidth="1"/>
    <col min="8457" max="8457" width="7.140625" style="16" bestFit="1" customWidth="1"/>
    <col min="8458" max="8458" width="7.28515625" style="16" customWidth="1"/>
    <col min="8459" max="8460" width="7" style="16" bestFit="1" customWidth="1"/>
    <col min="8461" max="8461" width="6.85546875" style="16" bestFit="1" customWidth="1"/>
    <col min="8462" max="8462" width="7" style="16" bestFit="1" customWidth="1"/>
    <col min="8463" max="8463" width="7.140625" style="16" bestFit="1"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9.28515625" style="16" customWidth="1"/>
    <col min="8707" max="8707" width="10.7109375" style="16" bestFit="1" customWidth="1"/>
    <col min="8708" max="8708" width="6.7109375" style="16" bestFit="1" customWidth="1"/>
    <col min="8709" max="8709" width="8.5703125" style="16" bestFit="1" customWidth="1"/>
    <col min="8710" max="8710" width="9.28515625" style="16" bestFit="1" customWidth="1"/>
    <col min="8711" max="8711" width="10.42578125" style="16" bestFit="1" customWidth="1"/>
    <col min="8712" max="8712" width="10.28515625" style="16" bestFit="1" customWidth="1"/>
    <col min="8713" max="8713" width="7.140625" style="16" bestFit="1" customWidth="1"/>
    <col min="8714" max="8714" width="7.28515625" style="16" customWidth="1"/>
    <col min="8715" max="8716" width="7" style="16" bestFit="1" customWidth="1"/>
    <col min="8717" max="8717" width="6.85546875" style="16" bestFit="1" customWidth="1"/>
    <col min="8718" max="8718" width="7" style="16" bestFit="1" customWidth="1"/>
    <col min="8719" max="8719" width="7.140625" style="16" bestFit="1"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9.28515625" style="16" customWidth="1"/>
    <col min="8963" max="8963" width="10.7109375" style="16" bestFit="1" customWidth="1"/>
    <col min="8964" max="8964" width="6.7109375" style="16" bestFit="1" customWidth="1"/>
    <col min="8965" max="8965" width="8.5703125" style="16" bestFit="1" customWidth="1"/>
    <col min="8966" max="8966" width="9.28515625" style="16" bestFit="1" customWidth="1"/>
    <col min="8967" max="8967" width="10.42578125" style="16" bestFit="1" customWidth="1"/>
    <col min="8968" max="8968" width="10.28515625" style="16" bestFit="1" customWidth="1"/>
    <col min="8969" max="8969" width="7.140625" style="16" bestFit="1" customWidth="1"/>
    <col min="8970" max="8970" width="7.28515625" style="16" customWidth="1"/>
    <col min="8971" max="8972" width="7" style="16" bestFit="1" customWidth="1"/>
    <col min="8973" max="8973" width="6.85546875" style="16" bestFit="1" customWidth="1"/>
    <col min="8974" max="8974" width="7" style="16" bestFit="1" customWidth="1"/>
    <col min="8975" max="8975" width="7.140625" style="16" bestFit="1"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9.28515625" style="16" customWidth="1"/>
    <col min="9219" max="9219" width="10.7109375" style="16" bestFit="1" customWidth="1"/>
    <col min="9220" max="9220" width="6.7109375" style="16" bestFit="1" customWidth="1"/>
    <col min="9221" max="9221" width="8.5703125" style="16" bestFit="1" customWidth="1"/>
    <col min="9222" max="9222" width="9.28515625" style="16" bestFit="1" customWidth="1"/>
    <col min="9223" max="9223" width="10.42578125" style="16" bestFit="1" customWidth="1"/>
    <col min="9224" max="9224" width="10.28515625" style="16" bestFit="1" customWidth="1"/>
    <col min="9225" max="9225" width="7.140625" style="16" bestFit="1" customWidth="1"/>
    <col min="9226" max="9226" width="7.28515625" style="16" customWidth="1"/>
    <col min="9227" max="9228" width="7" style="16" bestFit="1" customWidth="1"/>
    <col min="9229" max="9229" width="6.85546875" style="16" bestFit="1" customWidth="1"/>
    <col min="9230" max="9230" width="7" style="16" bestFit="1" customWidth="1"/>
    <col min="9231" max="9231" width="7.140625" style="16" bestFit="1"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9.28515625" style="16" customWidth="1"/>
    <col min="9475" max="9475" width="10.7109375" style="16" bestFit="1" customWidth="1"/>
    <col min="9476" max="9476" width="6.7109375" style="16" bestFit="1" customWidth="1"/>
    <col min="9477" max="9477" width="8.5703125" style="16" bestFit="1" customWidth="1"/>
    <col min="9478" max="9478" width="9.28515625" style="16" bestFit="1" customWidth="1"/>
    <col min="9479" max="9479" width="10.42578125" style="16" bestFit="1" customWidth="1"/>
    <col min="9480" max="9480" width="10.28515625" style="16" bestFit="1" customWidth="1"/>
    <col min="9481" max="9481" width="7.140625" style="16" bestFit="1" customWidth="1"/>
    <col min="9482" max="9482" width="7.28515625" style="16" customWidth="1"/>
    <col min="9483" max="9484" width="7" style="16" bestFit="1" customWidth="1"/>
    <col min="9485" max="9485" width="6.85546875" style="16" bestFit="1" customWidth="1"/>
    <col min="9486" max="9486" width="7" style="16" bestFit="1" customWidth="1"/>
    <col min="9487" max="9487" width="7.140625" style="16" bestFit="1"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9.28515625" style="16" customWidth="1"/>
    <col min="9731" max="9731" width="10.7109375" style="16" bestFit="1" customWidth="1"/>
    <col min="9732" max="9732" width="6.7109375" style="16" bestFit="1" customWidth="1"/>
    <col min="9733" max="9733" width="8.5703125" style="16" bestFit="1" customWidth="1"/>
    <col min="9734" max="9734" width="9.28515625" style="16" bestFit="1" customWidth="1"/>
    <col min="9735" max="9735" width="10.42578125" style="16" bestFit="1" customWidth="1"/>
    <col min="9736" max="9736" width="10.28515625" style="16" bestFit="1" customWidth="1"/>
    <col min="9737" max="9737" width="7.140625" style="16" bestFit="1" customWidth="1"/>
    <col min="9738" max="9738" width="7.28515625" style="16" customWidth="1"/>
    <col min="9739" max="9740" width="7" style="16" bestFit="1" customWidth="1"/>
    <col min="9741" max="9741" width="6.85546875" style="16" bestFit="1" customWidth="1"/>
    <col min="9742" max="9742" width="7" style="16" bestFit="1" customWidth="1"/>
    <col min="9743" max="9743" width="7.140625" style="16" bestFit="1"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9.28515625" style="16" customWidth="1"/>
    <col min="9987" max="9987" width="10.7109375" style="16" bestFit="1" customWidth="1"/>
    <col min="9988" max="9988" width="6.7109375" style="16" bestFit="1" customWidth="1"/>
    <col min="9989" max="9989" width="8.5703125" style="16" bestFit="1" customWidth="1"/>
    <col min="9990" max="9990" width="9.28515625" style="16" bestFit="1" customWidth="1"/>
    <col min="9991" max="9991" width="10.42578125" style="16" bestFit="1" customWidth="1"/>
    <col min="9992" max="9992" width="10.28515625" style="16" bestFit="1" customWidth="1"/>
    <col min="9993" max="9993" width="7.140625" style="16" bestFit="1" customWidth="1"/>
    <col min="9994" max="9994" width="7.28515625" style="16" customWidth="1"/>
    <col min="9995" max="9996" width="7" style="16" bestFit="1" customWidth="1"/>
    <col min="9997" max="9997" width="6.85546875" style="16" bestFit="1" customWidth="1"/>
    <col min="9998" max="9998" width="7" style="16" bestFit="1" customWidth="1"/>
    <col min="9999" max="9999" width="7.140625" style="16" bestFit="1"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9.28515625" style="16" customWidth="1"/>
    <col min="10243" max="10243" width="10.7109375" style="16" bestFit="1" customWidth="1"/>
    <col min="10244" max="10244" width="6.7109375" style="16" bestFit="1" customWidth="1"/>
    <col min="10245" max="10245" width="8.5703125" style="16" bestFit="1" customWidth="1"/>
    <col min="10246" max="10246" width="9.28515625" style="16" bestFit="1" customWidth="1"/>
    <col min="10247" max="10247" width="10.42578125" style="16" bestFit="1" customWidth="1"/>
    <col min="10248" max="10248" width="10.28515625" style="16" bestFit="1" customWidth="1"/>
    <col min="10249" max="10249" width="7.140625" style="16" bestFit="1" customWidth="1"/>
    <col min="10250" max="10250" width="7.28515625" style="16" customWidth="1"/>
    <col min="10251" max="10252" width="7" style="16" bestFit="1" customWidth="1"/>
    <col min="10253" max="10253" width="6.85546875" style="16" bestFit="1" customWidth="1"/>
    <col min="10254" max="10254" width="7" style="16" bestFit="1" customWidth="1"/>
    <col min="10255" max="10255" width="7.140625" style="16" bestFit="1"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9.28515625" style="16" customWidth="1"/>
    <col min="10499" max="10499" width="10.7109375" style="16" bestFit="1" customWidth="1"/>
    <col min="10500" max="10500" width="6.7109375" style="16" bestFit="1" customWidth="1"/>
    <col min="10501" max="10501" width="8.5703125" style="16" bestFit="1" customWidth="1"/>
    <col min="10502" max="10502" width="9.28515625" style="16" bestFit="1" customWidth="1"/>
    <col min="10503" max="10503" width="10.42578125" style="16" bestFit="1" customWidth="1"/>
    <col min="10504" max="10504" width="10.28515625" style="16" bestFit="1" customWidth="1"/>
    <col min="10505" max="10505" width="7.140625" style="16" bestFit="1" customWidth="1"/>
    <col min="10506" max="10506" width="7.28515625" style="16" customWidth="1"/>
    <col min="10507" max="10508" width="7" style="16" bestFit="1" customWidth="1"/>
    <col min="10509" max="10509" width="6.85546875" style="16" bestFit="1" customWidth="1"/>
    <col min="10510" max="10510" width="7" style="16" bestFit="1" customWidth="1"/>
    <col min="10511" max="10511" width="7.140625" style="16" bestFit="1"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9.28515625" style="16" customWidth="1"/>
    <col min="10755" max="10755" width="10.7109375" style="16" bestFit="1" customWidth="1"/>
    <col min="10756" max="10756" width="6.7109375" style="16" bestFit="1" customWidth="1"/>
    <col min="10757" max="10757" width="8.5703125" style="16" bestFit="1" customWidth="1"/>
    <col min="10758" max="10758" width="9.28515625" style="16" bestFit="1" customWidth="1"/>
    <col min="10759" max="10759" width="10.42578125" style="16" bestFit="1" customWidth="1"/>
    <col min="10760" max="10760" width="10.28515625" style="16" bestFit="1" customWidth="1"/>
    <col min="10761" max="10761" width="7.140625" style="16" bestFit="1" customWidth="1"/>
    <col min="10762" max="10762" width="7.28515625" style="16" customWidth="1"/>
    <col min="10763" max="10764" width="7" style="16" bestFit="1" customWidth="1"/>
    <col min="10765" max="10765" width="6.85546875" style="16" bestFit="1" customWidth="1"/>
    <col min="10766" max="10766" width="7" style="16" bestFit="1" customWidth="1"/>
    <col min="10767" max="10767" width="7.140625" style="16" bestFit="1"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9.28515625" style="16" customWidth="1"/>
    <col min="11011" max="11011" width="10.7109375" style="16" bestFit="1" customWidth="1"/>
    <col min="11012" max="11012" width="6.7109375" style="16" bestFit="1" customWidth="1"/>
    <col min="11013" max="11013" width="8.5703125" style="16" bestFit="1" customWidth="1"/>
    <col min="11014" max="11014" width="9.28515625" style="16" bestFit="1" customWidth="1"/>
    <col min="11015" max="11015" width="10.42578125" style="16" bestFit="1" customWidth="1"/>
    <col min="11016" max="11016" width="10.28515625" style="16" bestFit="1" customWidth="1"/>
    <col min="11017" max="11017" width="7.140625" style="16" bestFit="1" customWidth="1"/>
    <col min="11018" max="11018" width="7.28515625" style="16" customWidth="1"/>
    <col min="11019" max="11020" width="7" style="16" bestFit="1" customWidth="1"/>
    <col min="11021" max="11021" width="6.85546875" style="16" bestFit="1" customWidth="1"/>
    <col min="11022" max="11022" width="7" style="16" bestFit="1" customWidth="1"/>
    <col min="11023" max="11023" width="7.140625" style="16" bestFit="1"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9.28515625" style="16" customWidth="1"/>
    <col min="11267" max="11267" width="10.7109375" style="16" bestFit="1" customWidth="1"/>
    <col min="11268" max="11268" width="6.7109375" style="16" bestFit="1" customWidth="1"/>
    <col min="11269" max="11269" width="8.5703125" style="16" bestFit="1" customWidth="1"/>
    <col min="11270" max="11270" width="9.28515625" style="16" bestFit="1" customWidth="1"/>
    <col min="11271" max="11271" width="10.42578125" style="16" bestFit="1" customWidth="1"/>
    <col min="11272" max="11272" width="10.28515625" style="16" bestFit="1" customWidth="1"/>
    <col min="11273" max="11273" width="7.140625" style="16" bestFit="1" customWidth="1"/>
    <col min="11274" max="11274" width="7.28515625" style="16" customWidth="1"/>
    <col min="11275" max="11276" width="7" style="16" bestFit="1" customWidth="1"/>
    <col min="11277" max="11277" width="6.85546875" style="16" bestFit="1" customWidth="1"/>
    <col min="11278" max="11278" width="7" style="16" bestFit="1" customWidth="1"/>
    <col min="11279" max="11279" width="7.140625" style="16" bestFit="1"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9.28515625" style="16" customWidth="1"/>
    <col min="11523" max="11523" width="10.7109375" style="16" bestFit="1" customWidth="1"/>
    <col min="11524" max="11524" width="6.7109375" style="16" bestFit="1" customWidth="1"/>
    <col min="11525" max="11525" width="8.5703125" style="16" bestFit="1" customWidth="1"/>
    <col min="11526" max="11526" width="9.28515625" style="16" bestFit="1" customWidth="1"/>
    <col min="11527" max="11527" width="10.42578125" style="16" bestFit="1" customWidth="1"/>
    <col min="11528" max="11528" width="10.28515625" style="16" bestFit="1" customWidth="1"/>
    <col min="11529" max="11529" width="7.140625" style="16" bestFit="1" customWidth="1"/>
    <col min="11530" max="11530" width="7.28515625" style="16" customWidth="1"/>
    <col min="11531" max="11532" width="7" style="16" bestFit="1" customWidth="1"/>
    <col min="11533" max="11533" width="6.85546875" style="16" bestFit="1" customWidth="1"/>
    <col min="11534" max="11534" width="7" style="16" bestFit="1" customWidth="1"/>
    <col min="11535" max="11535" width="7.140625" style="16" bestFit="1"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9.28515625" style="16" customWidth="1"/>
    <col min="11779" max="11779" width="10.7109375" style="16" bestFit="1" customWidth="1"/>
    <col min="11780" max="11780" width="6.7109375" style="16" bestFit="1" customWidth="1"/>
    <col min="11781" max="11781" width="8.5703125" style="16" bestFit="1" customWidth="1"/>
    <col min="11782" max="11782" width="9.28515625" style="16" bestFit="1" customWidth="1"/>
    <col min="11783" max="11783" width="10.42578125" style="16" bestFit="1" customWidth="1"/>
    <col min="11784" max="11784" width="10.28515625" style="16" bestFit="1" customWidth="1"/>
    <col min="11785" max="11785" width="7.140625" style="16" bestFit="1" customWidth="1"/>
    <col min="11786" max="11786" width="7.28515625" style="16" customWidth="1"/>
    <col min="11787" max="11788" width="7" style="16" bestFit="1" customWidth="1"/>
    <col min="11789" max="11789" width="6.85546875" style="16" bestFit="1" customWidth="1"/>
    <col min="11790" max="11790" width="7" style="16" bestFit="1" customWidth="1"/>
    <col min="11791" max="11791" width="7.140625" style="16" bestFit="1"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9.28515625" style="16" customWidth="1"/>
    <col min="12035" max="12035" width="10.7109375" style="16" bestFit="1" customWidth="1"/>
    <col min="12036" max="12036" width="6.7109375" style="16" bestFit="1" customWidth="1"/>
    <col min="12037" max="12037" width="8.5703125" style="16" bestFit="1" customWidth="1"/>
    <col min="12038" max="12038" width="9.28515625" style="16" bestFit="1" customWidth="1"/>
    <col min="12039" max="12039" width="10.42578125" style="16" bestFit="1" customWidth="1"/>
    <col min="12040" max="12040" width="10.28515625" style="16" bestFit="1" customWidth="1"/>
    <col min="12041" max="12041" width="7.140625" style="16" bestFit="1" customWidth="1"/>
    <col min="12042" max="12042" width="7.28515625" style="16" customWidth="1"/>
    <col min="12043" max="12044" width="7" style="16" bestFit="1" customWidth="1"/>
    <col min="12045" max="12045" width="6.85546875" style="16" bestFit="1" customWidth="1"/>
    <col min="12046" max="12046" width="7" style="16" bestFit="1" customWidth="1"/>
    <col min="12047" max="12047" width="7.140625" style="16" bestFit="1"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9.28515625" style="16" customWidth="1"/>
    <col min="12291" max="12291" width="10.7109375" style="16" bestFit="1" customWidth="1"/>
    <col min="12292" max="12292" width="6.7109375" style="16" bestFit="1" customWidth="1"/>
    <col min="12293" max="12293" width="8.5703125" style="16" bestFit="1" customWidth="1"/>
    <col min="12294" max="12294" width="9.28515625" style="16" bestFit="1" customWidth="1"/>
    <col min="12295" max="12295" width="10.42578125" style="16" bestFit="1" customWidth="1"/>
    <col min="12296" max="12296" width="10.28515625" style="16" bestFit="1" customWidth="1"/>
    <col min="12297" max="12297" width="7.140625" style="16" bestFit="1" customWidth="1"/>
    <col min="12298" max="12298" width="7.28515625" style="16" customWidth="1"/>
    <col min="12299" max="12300" width="7" style="16" bestFit="1" customWidth="1"/>
    <col min="12301" max="12301" width="6.85546875" style="16" bestFit="1" customWidth="1"/>
    <col min="12302" max="12302" width="7" style="16" bestFit="1" customWidth="1"/>
    <col min="12303" max="12303" width="7.140625" style="16" bestFit="1"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9.28515625" style="16" customWidth="1"/>
    <col min="12547" max="12547" width="10.7109375" style="16" bestFit="1" customWidth="1"/>
    <col min="12548" max="12548" width="6.7109375" style="16" bestFit="1" customWidth="1"/>
    <col min="12549" max="12549" width="8.5703125" style="16" bestFit="1" customWidth="1"/>
    <col min="12550" max="12550" width="9.28515625" style="16" bestFit="1" customWidth="1"/>
    <col min="12551" max="12551" width="10.42578125" style="16" bestFit="1" customWidth="1"/>
    <col min="12552" max="12552" width="10.28515625" style="16" bestFit="1" customWidth="1"/>
    <col min="12553" max="12553" width="7.140625" style="16" bestFit="1" customWidth="1"/>
    <col min="12554" max="12554" width="7.28515625" style="16" customWidth="1"/>
    <col min="12555" max="12556" width="7" style="16" bestFit="1" customWidth="1"/>
    <col min="12557" max="12557" width="6.85546875" style="16" bestFit="1" customWidth="1"/>
    <col min="12558" max="12558" width="7" style="16" bestFit="1" customWidth="1"/>
    <col min="12559" max="12559" width="7.140625" style="16" bestFit="1"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9.28515625" style="16" customWidth="1"/>
    <col min="12803" max="12803" width="10.7109375" style="16" bestFit="1" customWidth="1"/>
    <col min="12804" max="12804" width="6.7109375" style="16" bestFit="1" customWidth="1"/>
    <col min="12805" max="12805" width="8.5703125" style="16" bestFit="1" customWidth="1"/>
    <col min="12806" max="12806" width="9.28515625" style="16" bestFit="1" customWidth="1"/>
    <col min="12807" max="12807" width="10.42578125" style="16" bestFit="1" customWidth="1"/>
    <col min="12808" max="12808" width="10.28515625" style="16" bestFit="1" customWidth="1"/>
    <col min="12809" max="12809" width="7.140625" style="16" bestFit="1" customWidth="1"/>
    <col min="12810" max="12810" width="7.28515625" style="16" customWidth="1"/>
    <col min="12811" max="12812" width="7" style="16" bestFit="1" customWidth="1"/>
    <col min="12813" max="12813" width="6.85546875" style="16" bestFit="1" customWidth="1"/>
    <col min="12814" max="12814" width="7" style="16" bestFit="1" customWidth="1"/>
    <col min="12815" max="12815" width="7.140625" style="16" bestFit="1"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9.28515625" style="16" customWidth="1"/>
    <col min="13059" max="13059" width="10.7109375" style="16" bestFit="1" customWidth="1"/>
    <col min="13060" max="13060" width="6.7109375" style="16" bestFit="1" customWidth="1"/>
    <col min="13061" max="13061" width="8.5703125" style="16" bestFit="1" customWidth="1"/>
    <col min="13062" max="13062" width="9.28515625" style="16" bestFit="1" customWidth="1"/>
    <col min="13063" max="13063" width="10.42578125" style="16" bestFit="1" customWidth="1"/>
    <col min="13064" max="13064" width="10.28515625" style="16" bestFit="1" customWidth="1"/>
    <col min="13065" max="13065" width="7.140625" style="16" bestFit="1" customWidth="1"/>
    <col min="13066" max="13066" width="7.28515625" style="16" customWidth="1"/>
    <col min="13067" max="13068" width="7" style="16" bestFit="1" customWidth="1"/>
    <col min="13069" max="13069" width="6.85546875" style="16" bestFit="1" customWidth="1"/>
    <col min="13070" max="13070" width="7" style="16" bestFit="1" customWidth="1"/>
    <col min="13071" max="13071" width="7.140625" style="16" bestFit="1"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9.28515625" style="16" customWidth="1"/>
    <col min="13315" max="13315" width="10.7109375" style="16" bestFit="1" customWidth="1"/>
    <col min="13316" max="13316" width="6.7109375" style="16" bestFit="1" customWidth="1"/>
    <col min="13317" max="13317" width="8.5703125" style="16" bestFit="1" customWidth="1"/>
    <col min="13318" max="13318" width="9.28515625" style="16" bestFit="1" customWidth="1"/>
    <col min="13319" max="13319" width="10.42578125" style="16" bestFit="1" customWidth="1"/>
    <col min="13320" max="13320" width="10.28515625" style="16" bestFit="1" customWidth="1"/>
    <col min="13321" max="13321" width="7.140625" style="16" bestFit="1" customWidth="1"/>
    <col min="13322" max="13322" width="7.28515625" style="16" customWidth="1"/>
    <col min="13323" max="13324" width="7" style="16" bestFit="1" customWidth="1"/>
    <col min="13325" max="13325" width="6.85546875" style="16" bestFit="1" customWidth="1"/>
    <col min="13326" max="13326" width="7" style="16" bestFit="1" customWidth="1"/>
    <col min="13327" max="13327" width="7.140625" style="16" bestFit="1"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9.28515625" style="16" customWidth="1"/>
    <col min="13571" max="13571" width="10.7109375" style="16" bestFit="1" customWidth="1"/>
    <col min="13572" max="13572" width="6.7109375" style="16" bestFit="1" customWidth="1"/>
    <col min="13573" max="13573" width="8.5703125" style="16" bestFit="1" customWidth="1"/>
    <col min="13574" max="13574" width="9.28515625" style="16" bestFit="1" customWidth="1"/>
    <col min="13575" max="13575" width="10.42578125" style="16" bestFit="1" customWidth="1"/>
    <col min="13576" max="13576" width="10.28515625" style="16" bestFit="1" customWidth="1"/>
    <col min="13577" max="13577" width="7.140625" style="16" bestFit="1" customWidth="1"/>
    <col min="13578" max="13578" width="7.28515625" style="16" customWidth="1"/>
    <col min="13579" max="13580" width="7" style="16" bestFit="1" customWidth="1"/>
    <col min="13581" max="13581" width="6.85546875" style="16" bestFit="1" customWidth="1"/>
    <col min="13582" max="13582" width="7" style="16" bestFit="1" customWidth="1"/>
    <col min="13583" max="13583" width="7.140625" style="16" bestFit="1"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9.28515625" style="16" customWidth="1"/>
    <col min="13827" max="13827" width="10.7109375" style="16" bestFit="1" customWidth="1"/>
    <col min="13828" max="13828" width="6.7109375" style="16" bestFit="1" customWidth="1"/>
    <col min="13829" max="13829" width="8.5703125" style="16" bestFit="1" customWidth="1"/>
    <col min="13830" max="13830" width="9.28515625" style="16" bestFit="1" customWidth="1"/>
    <col min="13831" max="13831" width="10.42578125" style="16" bestFit="1" customWidth="1"/>
    <col min="13832" max="13832" width="10.28515625" style="16" bestFit="1" customWidth="1"/>
    <col min="13833" max="13833" width="7.140625" style="16" bestFit="1" customWidth="1"/>
    <col min="13834" max="13834" width="7.28515625" style="16" customWidth="1"/>
    <col min="13835" max="13836" width="7" style="16" bestFit="1" customWidth="1"/>
    <col min="13837" max="13837" width="6.85546875" style="16" bestFit="1" customWidth="1"/>
    <col min="13838" max="13838" width="7" style="16" bestFit="1" customWidth="1"/>
    <col min="13839" max="13839" width="7.140625" style="16" bestFit="1"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9.28515625" style="16" customWidth="1"/>
    <col min="14083" max="14083" width="10.7109375" style="16" bestFit="1" customWidth="1"/>
    <col min="14084" max="14084" width="6.7109375" style="16" bestFit="1" customWidth="1"/>
    <col min="14085" max="14085" width="8.5703125" style="16" bestFit="1" customWidth="1"/>
    <col min="14086" max="14086" width="9.28515625" style="16" bestFit="1" customWidth="1"/>
    <col min="14087" max="14087" width="10.42578125" style="16" bestFit="1" customWidth="1"/>
    <col min="14088" max="14088" width="10.28515625" style="16" bestFit="1" customWidth="1"/>
    <col min="14089" max="14089" width="7.140625" style="16" bestFit="1" customWidth="1"/>
    <col min="14090" max="14090" width="7.28515625" style="16" customWidth="1"/>
    <col min="14091" max="14092" width="7" style="16" bestFit="1" customWidth="1"/>
    <col min="14093" max="14093" width="6.85546875" style="16" bestFit="1" customWidth="1"/>
    <col min="14094" max="14094" width="7" style="16" bestFit="1" customWidth="1"/>
    <col min="14095" max="14095" width="7.140625" style="16" bestFit="1"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9.28515625" style="16" customWidth="1"/>
    <col min="14339" max="14339" width="10.7109375" style="16" bestFit="1" customWidth="1"/>
    <col min="14340" max="14340" width="6.7109375" style="16" bestFit="1" customWidth="1"/>
    <col min="14341" max="14341" width="8.5703125" style="16" bestFit="1" customWidth="1"/>
    <col min="14342" max="14342" width="9.28515625" style="16" bestFit="1" customWidth="1"/>
    <col min="14343" max="14343" width="10.42578125" style="16" bestFit="1" customWidth="1"/>
    <col min="14344" max="14344" width="10.28515625" style="16" bestFit="1" customWidth="1"/>
    <col min="14345" max="14345" width="7.140625" style="16" bestFit="1" customWidth="1"/>
    <col min="14346" max="14346" width="7.28515625" style="16" customWidth="1"/>
    <col min="14347" max="14348" width="7" style="16" bestFit="1" customWidth="1"/>
    <col min="14349" max="14349" width="6.85546875" style="16" bestFit="1" customWidth="1"/>
    <col min="14350" max="14350" width="7" style="16" bestFit="1" customWidth="1"/>
    <col min="14351" max="14351" width="7.140625" style="16" bestFit="1"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9.28515625" style="16" customWidth="1"/>
    <col min="14595" max="14595" width="10.7109375" style="16" bestFit="1" customWidth="1"/>
    <col min="14596" max="14596" width="6.7109375" style="16" bestFit="1" customWidth="1"/>
    <col min="14597" max="14597" width="8.5703125" style="16" bestFit="1" customWidth="1"/>
    <col min="14598" max="14598" width="9.28515625" style="16" bestFit="1" customWidth="1"/>
    <col min="14599" max="14599" width="10.42578125" style="16" bestFit="1" customWidth="1"/>
    <col min="14600" max="14600" width="10.28515625" style="16" bestFit="1" customWidth="1"/>
    <col min="14601" max="14601" width="7.140625" style="16" bestFit="1" customWidth="1"/>
    <col min="14602" max="14602" width="7.28515625" style="16" customWidth="1"/>
    <col min="14603" max="14604" width="7" style="16" bestFit="1" customWidth="1"/>
    <col min="14605" max="14605" width="6.85546875" style="16" bestFit="1" customWidth="1"/>
    <col min="14606" max="14606" width="7" style="16" bestFit="1" customWidth="1"/>
    <col min="14607" max="14607" width="7.140625" style="16" bestFit="1"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9.28515625" style="16" customWidth="1"/>
    <col min="14851" max="14851" width="10.7109375" style="16" bestFit="1" customWidth="1"/>
    <col min="14852" max="14852" width="6.7109375" style="16" bestFit="1" customWidth="1"/>
    <col min="14853" max="14853" width="8.5703125" style="16" bestFit="1" customWidth="1"/>
    <col min="14854" max="14854" width="9.28515625" style="16" bestFit="1" customWidth="1"/>
    <col min="14855" max="14855" width="10.42578125" style="16" bestFit="1" customWidth="1"/>
    <col min="14856" max="14856" width="10.28515625" style="16" bestFit="1" customWidth="1"/>
    <col min="14857" max="14857" width="7.140625" style="16" bestFit="1" customWidth="1"/>
    <col min="14858" max="14858" width="7.28515625" style="16" customWidth="1"/>
    <col min="14859" max="14860" width="7" style="16" bestFit="1" customWidth="1"/>
    <col min="14861" max="14861" width="6.85546875" style="16" bestFit="1" customWidth="1"/>
    <col min="14862" max="14862" width="7" style="16" bestFit="1" customWidth="1"/>
    <col min="14863" max="14863" width="7.140625" style="16" bestFit="1"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9.28515625" style="16" customWidth="1"/>
    <col min="15107" max="15107" width="10.7109375" style="16" bestFit="1" customWidth="1"/>
    <col min="15108" max="15108" width="6.7109375" style="16" bestFit="1" customWidth="1"/>
    <col min="15109" max="15109" width="8.5703125" style="16" bestFit="1" customWidth="1"/>
    <col min="15110" max="15110" width="9.28515625" style="16" bestFit="1" customWidth="1"/>
    <col min="15111" max="15111" width="10.42578125" style="16" bestFit="1" customWidth="1"/>
    <col min="15112" max="15112" width="10.28515625" style="16" bestFit="1" customWidth="1"/>
    <col min="15113" max="15113" width="7.140625" style="16" bestFit="1" customWidth="1"/>
    <col min="15114" max="15114" width="7.28515625" style="16" customWidth="1"/>
    <col min="15115" max="15116" width="7" style="16" bestFit="1" customWidth="1"/>
    <col min="15117" max="15117" width="6.85546875" style="16" bestFit="1" customWidth="1"/>
    <col min="15118" max="15118" width="7" style="16" bestFit="1" customWidth="1"/>
    <col min="15119" max="15119" width="7.140625" style="16" bestFit="1"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9.28515625" style="16" customWidth="1"/>
    <col min="15363" max="15363" width="10.7109375" style="16" bestFit="1" customWidth="1"/>
    <col min="15364" max="15364" width="6.7109375" style="16" bestFit="1" customWidth="1"/>
    <col min="15365" max="15365" width="8.5703125" style="16" bestFit="1" customWidth="1"/>
    <col min="15366" max="15366" width="9.28515625" style="16" bestFit="1" customWidth="1"/>
    <col min="15367" max="15367" width="10.42578125" style="16" bestFit="1" customWidth="1"/>
    <col min="15368" max="15368" width="10.28515625" style="16" bestFit="1" customWidth="1"/>
    <col min="15369" max="15369" width="7.140625" style="16" bestFit="1" customWidth="1"/>
    <col min="15370" max="15370" width="7.28515625" style="16" customWidth="1"/>
    <col min="15371" max="15372" width="7" style="16" bestFit="1" customWidth="1"/>
    <col min="15373" max="15373" width="6.85546875" style="16" bestFit="1" customWidth="1"/>
    <col min="15374" max="15374" width="7" style="16" bestFit="1" customWidth="1"/>
    <col min="15375" max="15375" width="7.140625" style="16" bestFit="1"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9.28515625" style="16" customWidth="1"/>
    <col min="15619" max="15619" width="10.7109375" style="16" bestFit="1" customWidth="1"/>
    <col min="15620" max="15620" width="6.7109375" style="16" bestFit="1" customWidth="1"/>
    <col min="15621" max="15621" width="8.5703125" style="16" bestFit="1" customWidth="1"/>
    <col min="15622" max="15622" width="9.28515625" style="16" bestFit="1" customWidth="1"/>
    <col min="15623" max="15623" width="10.42578125" style="16" bestFit="1" customWidth="1"/>
    <col min="15624" max="15624" width="10.28515625" style="16" bestFit="1" customWidth="1"/>
    <col min="15625" max="15625" width="7.140625" style="16" bestFit="1" customWidth="1"/>
    <col min="15626" max="15626" width="7.28515625" style="16" customWidth="1"/>
    <col min="15627" max="15628" width="7" style="16" bestFit="1" customWidth="1"/>
    <col min="15629" max="15629" width="6.85546875" style="16" bestFit="1" customWidth="1"/>
    <col min="15630" max="15630" width="7" style="16" bestFit="1" customWidth="1"/>
    <col min="15631" max="15631" width="7.140625" style="16" bestFit="1"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9.28515625" style="16" customWidth="1"/>
    <col min="15875" max="15875" width="10.7109375" style="16" bestFit="1" customWidth="1"/>
    <col min="15876" max="15876" width="6.7109375" style="16" bestFit="1" customWidth="1"/>
    <col min="15877" max="15877" width="8.5703125" style="16" bestFit="1" customWidth="1"/>
    <col min="15878" max="15878" width="9.28515625" style="16" bestFit="1" customWidth="1"/>
    <col min="15879" max="15879" width="10.42578125" style="16" bestFit="1" customWidth="1"/>
    <col min="15880" max="15880" width="10.28515625" style="16" bestFit="1" customWidth="1"/>
    <col min="15881" max="15881" width="7.140625" style="16" bestFit="1" customWidth="1"/>
    <col min="15882" max="15882" width="7.28515625" style="16" customWidth="1"/>
    <col min="15883" max="15884" width="7" style="16" bestFit="1" customWidth="1"/>
    <col min="15885" max="15885" width="6.85546875" style="16" bestFit="1" customWidth="1"/>
    <col min="15886" max="15886" width="7" style="16" bestFit="1" customWidth="1"/>
    <col min="15887" max="15887" width="7.140625" style="16" bestFit="1"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9.28515625" style="16" customWidth="1"/>
    <col min="16131" max="16131" width="10.7109375" style="16" bestFit="1" customWidth="1"/>
    <col min="16132" max="16132" width="6.7109375" style="16" bestFit="1" customWidth="1"/>
    <col min="16133" max="16133" width="8.5703125" style="16" bestFit="1" customWidth="1"/>
    <col min="16134" max="16134" width="9.28515625" style="16" bestFit="1" customWidth="1"/>
    <col min="16135" max="16135" width="10.42578125" style="16" bestFit="1" customWidth="1"/>
    <col min="16136" max="16136" width="10.28515625" style="16" bestFit="1" customWidth="1"/>
    <col min="16137" max="16137" width="7.140625" style="16" bestFit="1" customWidth="1"/>
    <col min="16138" max="16138" width="7.28515625" style="16" customWidth="1"/>
    <col min="16139" max="16140" width="7" style="16" bestFit="1" customWidth="1"/>
    <col min="16141" max="16141" width="6.85546875" style="16" bestFit="1" customWidth="1"/>
    <col min="16142" max="16142" width="7" style="16" bestFit="1" customWidth="1"/>
    <col min="16143" max="16143" width="7.140625" style="16" bestFit="1"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8" s="1" customFormat="1" x14ac:dyDescent="0.2">
      <c r="A1" s="867" t="s">
        <v>100</v>
      </c>
      <c r="B1" s="868"/>
      <c r="C1" s="868"/>
      <c r="D1" s="869"/>
      <c r="E1" s="868"/>
      <c r="F1" s="868"/>
      <c r="G1" s="867" t="s">
        <v>102</v>
      </c>
      <c r="H1" s="869"/>
      <c r="I1" s="869" t="s">
        <v>333</v>
      </c>
      <c r="J1" s="868"/>
      <c r="K1" s="868"/>
      <c r="L1" s="870"/>
      <c r="M1" s="870"/>
      <c r="N1" s="870"/>
      <c r="O1" s="870"/>
    </row>
    <row r="2" spans="1:18" s="1" customFormat="1" x14ac:dyDescent="0.2">
      <c r="A2" s="867" t="s">
        <v>103</v>
      </c>
      <c r="B2" s="868"/>
      <c r="C2" s="868"/>
      <c r="D2" s="869"/>
      <c r="E2" s="868"/>
      <c r="F2" s="868"/>
      <c r="G2" s="867" t="s">
        <v>104</v>
      </c>
      <c r="H2" s="869"/>
      <c r="I2" s="869" t="s">
        <v>105</v>
      </c>
      <c r="J2" s="868"/>
      <c r="K2" s="868"/>
      <c r="L2" s="870"/>
      <c r="M2" s="870"/>
      <c r="N2" s="870"/>
      <c r="O2" s="870"/>
    </row>
    <row r="3" spans="1:18" s="1" customFormat="1" x14ac:dyDescent="0.2">
      <c r="A3" s="867" t="s">
        <v>106</v>
      </c>
      <c r="B3" s="868"/>
      <c r="C3" s="868"/>
      <c r="D3" s="883" t="s">
        <v>334</v>
      </c>
      <c r="E3" s="868"/>
      <c r="F3" s="868"/>
      <c r="G3" s="867" t="s">
        <v>107</v>
      </c>
      <c r="H3" s="869"/>
      <c r="I3" s="869" t="s">
        <v>108</v>
      </c>
      <c r="J3" s="868"/>
      <c r="K3" s="868"/>
      <c r="L3" s="870"/>
      <c r="M3" s="870"/>
      <c r="N3" s="870"/>
      <c r="O3" s="870"/>
    </row>
    <row r="4" spans="1:18" s="1" customFormat="1" x14ac:dyDescent="0.2">
      <c r="A4" s="867" t="s">
        <v>109</v>
      </c>
      <c r="B4" s="868"/>
      <c r="C4" s="868"/>
      <c r="D4" s="869"/>
      <c r="E4" s="868"/>
      <c r="F4" s="868"/>
      <c r="G4" s="867" t="s">
        <v>110</v>
      </c>
      <c r="H4" s="869"/>
      <c r="I4" s="869" t="s">
        <v>335</v>
      </c>
      <c r="J4" s="868"/>
      <c r="K4" s="868"/>
      <c r="L4" s="870"/>
      <c r="M4" s="870"/>
      <c r="N4" s="870"/>
      <c r="O4" s="870"/>
    </row>
    <row r="5" spans="1:18" s="1" customFormat="1" x14ac:dyDescent="0.2">
      <c r="A5" s="867" t="s">
        <v>278</v>
      </c>
      <c r="B5" s="868"/>
      <c r="C5" s="868"/>
      <c r="D5" s="869" t="s">
        <v>336</v>
      </c>
      <c r="E5" s="868"/>
      <c r="F5" s="868"/>
      <c r="G5" s="867"/>
      <c r="H5" s="868"/>
      <c r="I5" s="869" t="s">
        <v>113</v>
      </c>
      <c r="J5" s="868"/>
      <c r="K5" s="868"/>
      <c r="L5" s="870"/>
      <c r="M5" s="870"/>
      <c r="N5" s="870"/>
      <c r="O5" s="870"/>
    </row>
    <row r="6" spans="1:18" s="1" customFormat="1" x14ac:dyDescent="0.2">
      <c r="A6" s="871" t="s">
        <v>114</v>
      </c>
      <c r="B6" s="872"/>
      <c r="C6" s="872"/>
      <c r="D6" s="868" t="s">
        <v>40</v>
      </c>
      <c r="E6" s="868"/>
      <c r="F6" s="868"/>
      <c r="G6" s="871" t="s">
        <v>115</v>
      </c>
      <c r="H6" s="871"/>
      <c r="I6" s="2" t="s">
        <v>116</v>
      </c>
      <c r="J6" s="888"/>
      <c r="K6" s="888"/>
      <c r="L6" s="888"/>
      <c r="M6" s="888"/>
      <c r="N6" s="888"/>
      <c r="O6" s="889"/>
    </row>
    <row r="7" spans="1:18" s="1" customFormat="1" ht="13.5" thickBot="1" x14ac:dyDescent="0.25">
      <c r="A7" s="3"/>
      <c r="B7" s="4"/>
      <c r="C7" s="5"/>
      <c r="D7" s="6"/>
      <c r="E7" s="923"/>
      <c r="F7" s="924"/>
      <c r="G7" s="924"/>
      <c r="H7" s="924"/>
      <c r="I7" s="924"/>
      <c r="J7" s="924"/>
      <c r="K7" s="924"/>
      <c r="L7" s="924"/>
      <c r="M7" s="924"/>
      <c r="N7" s="924"/>
      <c r="O7" s="925"/>
      <c r="Q7" s="186"/>
      <c r="R7" s="186"/>
    </row>
    <row r="8" spans="1:18" s="11" customFormat="1" x14ac:dyDescent="0.2">
      <c r="A8" s="876" t="str">
        <f>I1</f>
        <v>Mr. Sudhakar S. Matkar</v>
      </c>
      <c r="B8" s="877"/>
      <c r="C8" s="9">
        <v>43160</v>
      </c>
      <c r="D8" s="9">
        <v>43191</v>
      </c>
      <c r="E8" s="9">
        <v>43221</v>
      </c>
      <c r="F8" s="9">
        <v>43252</v>
      </c>
      <c r="G8" s="9">
        <v>43282</v>
      </c>
      <c r="H8" s="9">
        <v>43313</v>
      </c>
      <c r="I8" s="9">
        <v>43344</v>
      </c>
      <c r="J8" s="9">
        <v>43374</v>
      </c>
      <c r="K8" s="9">
        <v>43405</v>
      </c>
      <c r="L8" s="9">
        <v>43435</v>
      </c>
      <c r="M8" s="9">
        <v>43466</v>
      </c>
      <c r="N8" s="9">
        <v>43497</v>
      </c>
      <c r="O8" s="10" t="s">
        <v>117</v>
      </c>
    </row>
    <row r="9" spans="1:18" ht="15" x14ac:dyDescent="0.2">
      <c r="A9" s="12"/>
      <c r="B9" s="13" t="s">
        <v>118</v>
      </c>
      <c r="C9" s="14">
        <v>0</v>
      </c>
      <c r="D9" s="14">
        <v>0</v>
      </c>
      <c r="E9" s="14">
        <v>0</v>
      </c>
      <c r="F9" s="14">
        <v>0</v>
      </c>
      <c r="G9" s="14">
        <v>0</v>
      </c>
      <c r="H9" s="14">
        <v>0</v>
      </c>
      <c r="I9" s="14">
        <v>0</v>
      </c>
      <c r="J9" s="14">
        <v>0</v>
      </c>
      <c r="K9" s="14">
        <v>0</v>
      </c>
      <c r="L9" s="14">
        <v>0</v>
      </c>
      <c r="M9" s="14">
        <v>0</v>
      </c>
      <c r="N9" s="14">
        <v>0</v>
      </c>
      <c r="O9" s="15">
        <f>SUM(C9:N9)</f>
        <v>0</v>
      </c>
    </row>
    <row r="10" spans="1:18" ht="15" x14ac:dyDescent="0.2">
      <c r="A10" s="12"/>
      <c r="B10" s="13" t="s">
        <v>119</v>
      </c>
      <c r="C10" s="17">
        <v>0</v>
      </c>
      <c r="D10" s="17">
        <f>+C10</f>
        <v>0</v>
      </c>
      <c r="E10" s="17">
        <f t="shared" ref="E10:N25" si="0">+D10</f>
        <v>0</v>
      </c>
      <c r="F10" s="17">
        <f t="shared" si="0"/>
        <v>0</v>
      </c>
      <c r="G10" s="17">
        <f t="shared" si="0"/>
        <v>0</v>
      </c>
      <c r="H10" s="17">
        <v>0</v>
      </c>
      <c r="I10" s="17">
        <f t="shared" si="0"/>
        <v>0</v>
      </c>
      <c r="J10" s="17">
        <f t="shared" si="0"/>
        <v>0</v>
      </c>
      <c r="K10" s="17">
        <f t="shared" si="0"/>
        <v>0</v>
      </c>
      <c r="L10" s="17">
        <f t="shared" si="0"/>
        <v>0</v>
      </c>
      <c r="M10" s="17">
        <f t="shared" si="0"/>
        <v>0</v>
      </c>
      <c r="N10" s="17">
        <f t="shared" si="0"/>
        <v>0</v>
      </c>
      <c r="O10" s="18">
        <f>SUM(C10:N10)</f>
        <v>0</v>
      </c>
    </row>
    <row r="11" spans="1:18" ht="15" x14ac:dyDescent="0.2">
      <c r="A11" s="12"/>
      <c r="B11" s="13" t="s">
        <v>120</v>
      </c>
      <c r="C11" s="17">
        <v>0</v>
      </c>
      <c r="D11" s="17">
        <f t="shared" ref="D11:G26" si="1">+C11</f>
        <v>0</v>
      </c>
      <c r="E11" s="17">
        <f t="shared" si="1"/>
        <v>0</v>
      </c>
      <c r="F11" s="17">
        <f t="shared" si="1"/>
        <v>0</v>
      </c>
      <c r="G11" s="17">
        <f t="shared" si="1"/>
        <v>0</v>
      </c>
      <c r="H11" s="17">
        <v>0</v>
      </c>
      <c r="I11" s="17">
        <f t="shared" si="0"/>
        <v>0</v>
      </c>
      <c r="J11" s="17">
        <f t="shared" si="0"/>
        <v>0</v>
      </c>
      <c r="K11" s="17">
        <f t="shared" si="0"/>
        <v>0</v>
      </c>
      <c r="L11" s="17">
        <f t="shared" si="0"/>
        <v>0</v>
      </c>
      <c r="M11" s="17">
        <f t="shared" si="0"/>
        <v>0</v>
      </c>
      <c r="N11" s="17">
        <f t="shared" si="0"/>
        <v>0</v>
      </c>
      <c r="O11" s="18">
        <f>SUM(C11:N11)</f>
        <v>0</v>
      </c>
    </row>
    <row r="12" spans="1:18" ht="15" hidden="1" x14ac:dyDescent="0.2">
      <c r="A12" s="12"/>
      <c r="B12" s="13" t="s">
        <v>121</v>
      </c>
      <c r="C12" s="17">
        <v>0</v>
      </c>
      <c r="D12" s="17">
        <f t="shared" si="1"/>
        <v>0</v>
      </c>
      <c r="E12" s="17">
        <f t="shared" si="1"/>
        <v>0</v>
      </c>
      <c r="F12" s="17">
        <f t="shared" si="1"/>
        <v>0</v>
      </c>
      <c r="G12" s="17">
        <f t="shared" si="1"/>
        <v>0</v>
      </c>
      <c r="H12" s="17">
        <v>0</v>
      </c>
      <c r="I12" s="17">
        <f t="shared" si="0"/>
        <v>0</v>
      </c>
      <c r="J12" s="17">
        <f t="shared" si="0"/>
        <v>0</v>
      </c>
      <c r="K12" s="17">
        <f t="shared" si="0"/>
        <v>0</v>
      </c>
      <c r="L12" s="17">
        <f t="shared" si="0"/>
        <v>0</v>
      </c>
      <c r="M12" s="17">
        <f t="shared" si="0"/>
        <v>0</v>
      </c>
      <c r="N12" s="17">
        <f t="shared" si="0"/>
        <v>0</v>
      </c>
      <c r="O12" s="18">
        <f>SUM(C12:N12)</f>
        <v>0</v>
      </c>
    </row>
    <row r="13" spans="1:18" ht="15" hidden="1" x14ac:dyDescent="0.2">
      <c r="A13" s="12"/>
      <c r="B13" s="13" t="s">
        <v>122</v>
      </c>
      <c r="C13" s="17">
        <v>0</v>
      </c>
      <c r="D13" s="17">
        <f t="shared" si="1"/>
        <v>0</v>
      </c>
      <c r="E13" s="17">
        <f t="shared" si="1"/>
        <v>0</v>
      </c>
      <c r="F13" s="17">
        <f t="shared" si="1"/>
        <v>0</v>
      </c>
      <c r="G13" s="17">
        <f t="shared" si="1"/>
        <v>0</v>
      </c>
      <c r="H13" s="17">
        <v>0</v>
      </c>
      <c r="I13" s="17">
        <f t="shared" si="0"/>
        <v>0</v>
      </c>
      <c r="J13" s="17">
        <f t="shared" si="0"/>
        <v>0</v>
      </c>
      <c r="K13" s="17">
        <f t="shared" si="0"/>
        <v>0</v>
      </c>
      <c r="L13" s="17">
        <f t="shared" si="0"/>
        <v>0</v>
      </c>
      <c r="M13" s="17">
        <f t="shared" si="0"/>
        <v>0</v>
      </c>
      <c r="N13" s="17">
        <f t="shared" si="0"/>
        <v>0</v>
      </c>
      <c r="O13" s="18">
        <f t="shared" ref="O13:O36" si="2">SUM(C13:N13)</f>
        <v>0</v>
      </c>
    </row>
    <row r="14" spans="1:18" ht="15" x14ac:dyDescent="0.2">
      <c r="A14" s="12"/>
      <c r="B14" s="13" t="s">
        <v>123</v>
      </c>
      <c r="C14" s="17">
        <v>0</v>
      </c>
      <c r="D14" s="17">
        <f t="shared" si="1"/>
        <v>0</v>
      </c>
      <c r="E14" s="17">
        <f t="shared" si="1"/>
        <v>0</v>
      </c>
      <c r="F14" s="17">
        <f t="shared" si="1"/>
        <v>0</v>
      </c>
      <c r="G14" s="17">
        <f t="shared" si="1"/>
        <v>0</v>
      </c>
      <c r="H14" s="17">
        <v>0</v>
      </c>
      <c r="I14" s="17">
        <f t="shared" si="0"/>
        <v>0</v>
      </c>
      <c r="J14" s="17">
        <f t="shared" si="0"/>
        <v>0</v>
      </c>
      <c r="K14" s="17">
        <f t="shared" si="0"/>
        <v>0</v>
      </c>
      <c r="L14" s="17">
        <f t="shared" si="0"/>
        <v>0</v>
      </c>
      <c r="M14" s="17">
        <f t="shared" si="0"/>
        <v>0</v>
      </c>
      <c r="N14" s="17">
        <f t="shared" si="0"/>
        <v>0</v>
      </c>
      <c r="O14" s="18">
        <f t="shared" si="2"/>
        <v>0</v>
      </c>
    </row>
    <row r="15" spans="1:18" ht="15" x14ac:dyDescent="0.2">
      <c r="A15" s="12"/>
      <c r="B15" s="13" t="s">
        <v>124</v>
      </c>
      <c r="C15" s="17">
        <v>0</v>
      </c>
      <c r="D15" s="17">
        <f t="shared" si="1"/>
        <v>0</v>
      </c>
      <c r="E15" s="17">
        <f t="shared" si="1"/>
        <v>0</v>
      </c>
      <c r="F15" s="17">
        <f t="shared" si="1"/>
        <v>0</v>
      </c>
      <c r="G15" s="17">
        <f t="shared" si="1"/>
        <v>0</v>
      </c>
      <c r="H15" s="17">
        <v>0</v>
      </c>
      <c r="I15" s="17">
        <f t="shared" si="0"/>
        <v>0</v>
      </c>
      <c r="J15" s="17">
        <f t="shared" si="0"/>
        <v>0</v>
      </c>
      <c r="K15" s="17">
        <f t="shared" si="0"/>
        <v>0</v>
      </c>
      <c r="L15" s="17">
        <f t="shared" si="0"/>
        <v>0</v>
      </c>
      <c r="M15" s="17">
        <f t="shared" si="0"/>
        <v>0</v>
      </c>
      <c r="N15" s="17">
        <f t="shared" si="0"/>
        <v>0</v>
      </c>
      <c r="O15" s="18">
        <f t="shared" si="2"/>
        <v>0</v>
      </c>
    </row>
    <row r="16" spans="1:18" ht="15" x14ac:dyDescent="0.2">
      <c r="A16" s="12"/>
      <c r="B16" s="13" t="s">
        <v>125</v>
      </c>
      <c r="C16" s="17">
        <v>0</v>
      </c>
      <c r="D16" s="17">
        <f t="shared" si="1"/>
        <v>0</v>
      </c>
      <c r="E16" s="17">
        <f t="shared" si="1"/>
        <v>0</v>
      </c>
      <c r="F16" s="17">
        <f t="shared" si="1"/>
        <v>0</v>
      </c>
      <c r="G16" s="17">
        <f t="shared" si="1"/>
        <v>0</v>
      </c>
      <c r="H16" s="17">
        <v>0</v>
      </c>
      <c r="I16" s="17">
        <f t="shared" si="0"/>
        <v>0</v>
      </c>
      <c r="J16" s="17">
        <f t="shared" si="0"/>
        <v>0</v>
      </c>
      <c r="K16" s="17">
        <f t="shared" si="0"/>
        <v>0</v>
      </c>
      <c r="L16" s="17">
        <f t="shared" si="0"/>
        <v>0</v>
      </c>
      <c r="M16" s="17">
        <f t="shared" si="0"/>
        <v>0</v>
      </c>
      <c r="N16" s="17">
        <f t="shared" si="0"/>
        <v>0</v>
      </c>
      <c r="O16" s="18">
        <f t="shared" si="2"/>
        <v>0</v>
      </c>
    </row>
    <row r="17" spans="1:15" ht="15" customHeight="1" x14ac:dyDescent="0.2">
      <c r="A17" s="12"/>
      <c r="B17" s="166" t="s">
        <v>280</v>
      </c>
      <c r="C17" s="17">
        <v>0</v>
      </c>
      <c r="D17" s="17">
        <f t="shared" si="1"/>
        <v>0</v>
      </c>
      <c r="E17" s="17">
        <f t="shared" si="1"/>
        <v>0</v>
      </c>
      <c r="F17" s="17">
        <f t="shared" si="1"/>
        <v>0</v>
      </c>
      <c r="G17" s="17">
        <f t="shared" si="1"/>
        <v>0</v>
      </c>
      <c r="H17" s="17">
        <v>0</v>
      </c>
      <c r="I17" s="17">
        <f t="shared" si="0"/>
        <v>0</v>
      </c>
      <c r="J17" s="17">
        <f t="shared" si="0"/>
        <v>0</v>
      </c>
      <c r="K17" s="17">
        <f t="shared" si="0"/>
        <v>0</v>
      </c>
      <c r="L17" s="17">
        <f t="shared" si="0"/>
        <v>0</v>
      </c>
      <c r="M17" s="17">
        <f t="shared" si="0"/>
        <v>0</v>
      </c>
      <c r="N17" s="17">
        <f t="shared" si="0"/>
        <v>0</v>
      </c>
      <c r="O17" s="18">
        <f t="shared" si="2"/>
        <v>0</v>
      </c>
    </row>
    <row r="18" spans="1:15" ht="15" x14ac:dyDescent="0.2">
      <c r="A18" s="12"/>
      <c r="B18" s="13" t="s">
        <v>224</v>
      </c>
      <c r="C18" s="17">
        <v>0</v>
      </c>
      <c r="D18" s="17">
        <f t="shared" si="1"/>
        <v>0</v>
      </c>
      <c r="E18" s="17">
        <f t="shared" si="1"/>
        <v>0</v>
      </c>
      <c r="F18" s="17">
        <f t="shared" si="1"/>
        <v>0</v>
      </c>
      <c r="G18" s="17">
        <f t="shared" si="1"/>
        <v>0</v>
      </c>
      <c r="H18" s="17">
        <v>0</v>
      </c>
      <c r="I18" s="17">
        <f t="shared" si="0"/>
        <v>0</v>
      </c>
      <c r="J18" s="17">
        <f t="shared" si="0"/>
        <v>0</v>
      </c>
      <c r="K18" s="17">
        <f t="shared" si="0"/>
        <v>0</v>
      </c>
      <c r="L18" s="17">
        <f t="shared" si="0"/>
        <v>0</v>
      </c>
      <c r="M18" s="17">
        <f t="shared" si="0"/>
        <v>0</v>
      </c>
      <c r="N18" s="17">
        <f t="shared" si="0"/>
        <v>0</v>
      </c>
      <c r="O18" s="18">
        <f t="shared" si="2"/>
        <v>0</v>
      </c>
    </row>
    <row r="19" spans="1:15" ht="15" x14ac:dyDescent="0.2">
      <c r="A19" s="12"/>
      <c r="B19" s="13" t="s">
        <v>128</v>
      </c>
      <c r="C19" s="17">
        <v>0</v>
      </c>
      <c r="D19" s="17">
        <f t="shared" si="1"/>
        <v>0</v>
      </c>
      <c r="E19" s="17">
        <f t="shared" si="1"/>
        <v>0</v>
      </c>
      <c r="F19" s="17">
        <f t="shared" si="1"/>
        <v>0</v>
      </c>
      <c r="G19" s="17">
        <f t="shared" si="1"/>
        <v>0</v>
      </c>
      <c r="H19" s="17">
        <v>0</v>
      </c>
      <c r="I19" s="17">
        <f t="shared" si="0"/>
        <v>0</v>
      </c>
      <c r="J19" s="17">
        <f t="shared" si="0"/>
        <v>0</v>
      </c>
      <c r="K19" s="17">
        <f t="shared" si="0"/>
        <v>0</v>
      </c>
      <c r="L19" s="17">
        <f t="shared" si="0"/>
        <v>0</v>
      </c>
      <c r="M19" s="17">
        <f t="shared" si="0"/>
        <v>0</v>
      </c>
      <c r="N19" s="17">
        <f t="shared" si="0"/>
        <v>0</v>
      </c>
      <c r="O19" s="18">
        <f t="shared" si="2"/>
        <v>0</v>
      </c>
    </row>
    <row r="20" spans="1:15" ht="15" customHeight="1" x14ac:dyDescent="0.2">
      <c r="A20" s="12"/>
      <c r="B20" s="13" t="s">
        <v>129</v>
      </c>
      <c r="C20" s="17">
        <v>0</v>
      </c>
      <c r="D20" s="17">
        <f t="shared" si="1"/>
        <v>0</v>
      </c>
      <c r="E20" s="17">
        <f t="shared" si="1"/>
        <v>0</v>
      </c>
      <c r="F20" s="17">
        <f t="shared" si="1"/>
        <v>0</v>
      </c>
      <c r="G20" s="17">
        <f t="shared" si="1"/>
        <v>0</v>
      </c>
      <c r="H20" s="17">
        <v>0</v>
      </c>
      <c r="I20" s="17">
        <f t="shared" si="0"/>
        <v>0</v>
      </c>
      <c r="J20" s="17">
        <f t="shared" si="0"/>
        <v>0</v>
      </c>
      <c r="K20" s="17">
        <f t="shared" si="0"/>
        <v>0</v>
      </c>
      <c r="L20" s="17">
        <f t="shared" si="0"/>
        <v>0</v>
      </c>
      <c r="M20" s="17">
        <f t="shared" si="0"/>
        <v>0</v>
      </c>
      <c r="N20" s="17">
        <f t="shared" si="0"/>
        <v>0</v>
      </c>
      <c r="O20" s="18">
        <f t="shared" si="2"/>
        <v>0</v>
      </c>
    </row>
    <row r="21" spans="1:15" ht="15" hidden="1" customHeight="1" x14ac:dyDescent="0.2">
      <c r="A21" s="878" t="s">
        <v>130</v>
      </c>
      <c r="B21" s="19" t="s">
        <v>131</v>
      </c>
      <c r="C21" s="17">
        <v>0</v>
      </c>
      <c r="D21" s="17">
        <f t="shared" si="1"/>
        <v>0</v>
      </c>
      <c r="E21" s="17">
        <f t="shared" si="1"/>
        <v>0</v>
      </c>
      <c r="F21" s="17">
        <f t="shared" si="1"/>
        <v>0</v>
      </c>
      <c r="G21" s="17">
        <f t="shared" si="1"/>
        <v>0</v>
      </c>
      <c r="H21" s="17">
        <v>0</v>
      </c>
      <c r="I21" s="17">
        <f t="shared" si="0"/>
        <v>0</v>
      </c>
      <c r="J21" s="17">
        <f t="shared" si="0"/>
        <v>0</v>
      </c>
      <c r="K21" s="17">
        <f t="shared" si="0"/>
        <v>0</v>
      </c>
      <c r="L21" s="17">
        <f t="shared" si="0"/>
        <v>0</v>
      </c>
      <c r="M21" s="17">
        <f t="shared" si="0"/>
        <v>0</v>
      </c>
      <c r="N21" s="17">
        <f t="shared" si="0"/>
        <v>0</v>
      </c>
      <c r="O21" s="18">
        <f t="shared" si="2"/>
        <v>0</v>
      </c>
    </row>
    <row r="22" spans="1:15" ht="15" customHeight="1" x14ac:dyDescent="0.2">
      <c r="A22" s="879"/>
      <c r="B22" s="19" t="s">
        <v>132</v>
      </c>
      <c r="C22" s="17">
        <v>0</v>
      </c>
      <c r="D22" s="17">
        <f t="shared" si="1"/>
        <v>0</v>
      </c>
      <c r="E22" s="17">
        <f t="shared" si="1"/>
        <v>0</v>
      </c>
      <c r="F22" s="17">
        <f t="shared" si="1"/>
        <v>0</v>
      </c>
      <c r="G22" s="17">
        <f t="shared" si="1"/>
        <v>0</v>
      </c>
      <c r="H22" s="17">
        <v>0</v>
      </c>
      <c r="I22" s="17">
        <f t="shared" si="0"/>
        <v>0</v>
      </c>
      <c r="J22" s="17">
        <f t="shared" si="0"/>
        <v>0</v>
      </c>
      <c r="K22" s="17">
        <f t="shared" si="0"/>
        <v>0</v>
      </c>
      <c r="L22" s="17">
        <f t="shared" si="0"/>
        <v>0</v>
      </c>
      <c r="M22" s="17">
        <f t="shared" si="0"/>
        <v>0</v>
      </c>
      <c r="N22" s="17">
        <f t="shared" si="0"/>
        <v>0</v>
      </c>
      <c r="O22" s="18">
        <f t="shared" si="2"/>
        <v>0</v>
      </c>
    </row>
    <row r="23" spans="1:15" ht="15" hidden="1" customHeight="1" x14ac:dyDescent="0.2">
      <c r="A23" s="879"/>
      <c r="B23" s="19" t="s">
        <v>133</v>
      </c>
      <c r="C23" s="17">
        <v>0</v>
      </c>
      <c r="D23" s="17">
        <f t="shared" si="1"/>
        <v>0</v>
      </c>
      <c r="E23" s="17">
        <f t="shared" si="1"/>
        <v>0</v>
      </c>
      <c r="F23" s="17">
        <f t="shared" si="1"/>
        <v>0</v>
      </c>
      <c r="G23" s="17">
        <f t="shared" si="1"/>
        <v>0</v>
      </c>
      <c r="H23" s="17">
        <v>0</v>
      </c>
      <c r="I23" s="17">
        <f t="shared" si="0"/>
        <v>0</v>
      </c>
      <c r="J23" s="17">
        <f t="shared" si="0"/>
        <v>0</v>
      </c>
      <c r="K23" s="17">
        <f t="shared" si="0"/>
        <v>0</v>
      </c>
      <c r="L23" s="17">
        <f t="shared" si="0"/>
        <v>0</v>
      </c>
      <c r="M23" s="17">
        <f t="shared" si="0"/>
        <v>0</v>
      </c>
      <c r="N23" s="17">
        <f t="shared" si="0"/>
        <v>0</v>
      </c>
      <c r="O23" s="18">
        <f t="shared" si="2"/>
        <v>0</v>
      </c>
    </row>
    <row r="24" spans="1:15" ht="15" hidden="1" customHeight="1" x14ac:dyDescent="0.2">
      <c r="A24" s="879"/>
      <c r="B24" s="19" t="s">
        <v>134</v>
      </c>
      <c r="C24" s="17">
        <v>0</v>
      </c>
      <c r="D24" s="17">
        <f t="shared" si="1"/>
        <v>0</v>
      </c>
      <c r="E24" s="17">
        <f t="shared" si="1"/>
        <v>0</v>
      </c>
      <c r="F24" s="17">
        <f t="shared" si="1"/>
        <v>0</v>
      </c>
      <c r="G24" s="17">
        <f t="shared" si="1"/>
        <v>0</v>
      </c>
      <c r="H24" s="17">
        <v>0</v>
      </c>
      <c r="I24" s="17">
        <f t="shared" si="0"/>
        <v>0</v>
      </c>
      <c r="J24" s="17">
        <f t="shared" si="0"/>
        <v>0</v>
      </c>
      <c r="K24" s="17">
        <f t="shared" si="0"/>
        <v>0</v>
      </c>
      <c r="L24" s="17">
        <f t="shared" si="0"/>
        <v>0</v>
      </c>
      <c r="M24" s="17">
        <f t="shared" si="0"/>
        <v>0</v>
      </c>
      <c r="N24" s="17">
        <f t="shared" si="0"/>
        <v>0</v>
      </c>
      <c r="O24" s="18">
        <f t="shared" si="2"/>
        <v>0</v>
      </c>
    </row>
    <row r="25" spans="1:15" ht="15" hidden="1" customHeight="1" x14ac:dyDescent="0.2">
      <c r="A25" s="879"/>
      <c r="B25" s="19" t="s">
        <v>135</v>
      </c>
      <c r="C25" s="17">
        <v>0</v>
      </c>
      <c r="D25" s="17">
        <f t="shared" si="1"/>
        <v>0</v>
      </c>
      <c r="E25" s="17">
        <f t="shared" si="1"/>
        <v>0</v>
      </c>
      <c r="F25" s="17">
        <f t="shared" si="1"/>
        <v>0</v>
      </c>
      <c r="G25" s="17">
        <f t="shared" si="1"/>
        <v>0</v>
      </c>
      <c r="H25" s="17">
        <v>0</v>
      </c>
      <c r="I25" s="17">
        <f t="shared" si="0"/>
        <v>0</v>
      </c>
      <c r="J25" s="17">
        <f t="shared" si="0"/>
        <v>0</v>
      </c>
      <c r="K25" s="17">
        <f t="shared" si="0"/>
        <v>0</v>
      </c>
      <c r="L25" s="17">
        <f t="shared" si="0"/>
        <v>0</v>
      </c>
      <c r="M25" s="17">
        <f t="shared" si="0"/>
        <v>0</v>
      </c>
      <c r="N25" s="17">
        <f t="shared" si="0"/>
        <v>0</v>
      </c>
      <c r="O25" s="18">
        <f t="shared" si="2"/>
        <v>0</v>
      </c>
    </row>
    <row r="26" spans="1:15" ht="15" hidden="1" customHeight="1" x14ac:dyDescent="0.2">
      <c r="A26" s="879"/>
      <c r="B26" s="19" t="s">
        <v>136</v>
      </c>
      <c r="C26" s="17">
        <v>0</v>
      </c>
      <c r="D26" s="17">
        <f t="shared" si="1"/>
        <v>0</v>
      </c>
      <c r="E26" s="17">
        <f t="shared" si="1"/>
        <v>0</v>
      </c>
      <c r="F26" s="17">
        <f t="shared" si="1"/>
        <v>0</v>
      </c>
      <c r="G26" s="17">
        <f t="shared" si="1"/>
        <v>0</v>
      </c>
      <c r="H26" s="17">
        <v>0</v>
      </c>
      <c r="I26" s="17">
        <f t="shared" ref="I26:N36" si="3">+H26</f>
        <v>0</v>
      </c>
      <c r="J26" s="17">
        <f t="shared" si="3"/>
        <v>0</v>
      </c>
      <c r="K26" s="17">
        <f t="shared" si="3"/>
        <v>0</v>
      </c>
      <c r="L26" s="17">
        <f t="shared" si="3"/>
        <v>0</v>
      </c>
      <c r="M26" s="17">
        <f t="shared" si="3"/>
        <v>0</v>
      </c>
      <c r="N26" s="17">
        <f t="shared" si="3"/>
        <v>0</v>
      </c>
      <c r="O26" s="18">
        <f t="shared" si="2"/>
        <v>0</v>
      </c>
    </row>
    <row r="27" spans="1:15" ht="15" hidden="1" customHeight="1" x14ac:dyDescent="0.2">
      <c r="A27" s="879"/>
      <c r="B27" s="19" t="s">
        <v>137</v>
      </c>
      <c r="C27" s="17">
        <v>0</v>
      </c>
      <c r="D27" s="17">
        <f t="shared" ref="D27:G36" si="4">+C27</f>
        <v>0</v>
      </c>
      <c r="E27" s="17">
        <f t="shared" si="4"/>
        <v>0</v>
      </c>
      <c r="F27" s="17">
        <f t="shared" si="4"/>
        <v>0</v>
      </c>
      <c r="G27" s="17">
        <f t="shared" si="4"/>
        <v>0</v>
      </c>
      <c r="H27" s="17">
        <v>0</v>
      </c>
      <c r="I27" s="17">
        <f t="shared" si="3"/>
        <v>0</v>
      </c>
      <c r="J27" s="17">
        <f t="shared" si="3"/>
        <v>0</v>
      </c>
      <c r="K27" s="17">
        <f t="shared" si="3"/>
        <v>0</v>
      </c>
      <c r="L27" s="17">
        <f t="shared" si="3"/>
        <v>0</v>
      </c>
      <c r="M27" s="17">
        <f t="shared" si="3"/>
        <v>0</v>
      </c>
      <c r="N27" s="17">
        <f t="shared" si="3"/>
        <v>0</v>
      </c>
      <c r="O27" s="18">
        <f t="shared" si="2"/>
        <v>0</v>
      </c>
    </row>
    <row r="28" spans="1:15" ht="15" hidden="1" customHeight="1" x14ac:dyDescent="0.2">
      <c r="A28" s="879"/>
      <c r="B28" s="19" t="s">
        <v>138</v>
      </c>
      <c r="C28" s="17">
        <v>0</v>
      </c>
      <c r="D28" s="17">
        <f t="shared" si="4"/>
        <v>0</v>
      </c>
      <c r="E28" s="17">
        <f t="shared" si="4"/>
        <v>0</v>
      </c>
      <c r="F28" s="17">
        <f t="shared" si="4"/>
        <v>0</v>
      </c>
      <c r="G28" s="17">
        <f t="shared" si="4"/>
        <v>0</v>
      </c>
      <c r="H28" s="17">
        <v>0</v>
      </c>
      <c r="I28" s="17">
        <f t="shared" si="3"/>
        <v>0</v>
      </c>
      <c r="J28" s="17">
        <f t="shared" si="3"/>
        <v>0</v>
      </c>
      <c r="K28" s="17">
        <f t="shared" si="3"/>
        <v>0</v>
      </c>
      <c r="L28" s="17">
        <f t="shared" si="3"/>
        <v>0</v>
      </c>
      <c r="M28" s="17">
        <f t="shared" si="3"/>
        <v>0</v>
      </c>
      <c r="N28" s="17">
        <f t="shared" si="3"/>
        <v>0</v>
      </c>
      <c r="O28" s="18">
        <f t="shared" si="2"/>
        <v>0</v>
      </c>
    </row>
    <row r="29" spans="1:15" ht="15" hidden="1" customHeight="1" x14ac:dyDescent="0.2">
      <c r="A29" s="879"/>
      <c r="B29" s="19" t="s">
        <v>139</v>
      </c>
      <c r="C29" s="17">
        <v>0</v>
      </c>
      <c r="D29" s="17">
        <f t="shared" si="4"/>
        <v>0</v>
      </c>
      <c r="E29" s="17">
        <f t="shared" si="4"/>
        <v>0</v>
      </c>
      <c r="F29" s="17">
        <f t="shared" si="4"/>
        <v>0</v>
      </c>
      <c r="G29" s="17">
        <f t="shared" si="4"/>
        <v>0</v>
      </c>
      <c r="H29" s="17">
        <v>0</v>
      </c>
      <c r="I29" s="17">
        <f t="shared" si="3"/>
        <v>0</v>
      </c>
      <c r="J29" s="17">
        <f t="shared" si="3"/>
        <v>0</v>
      </c>
      <c r="K29" s="17">
        <f t="shared" si="3"/>
        <v>0</v>
      </c>
      <c r="L29" s="17">
        <f t="shared" si="3"/>
        <v>0</v>
      </c>
      <c r="M29" s="17">
        <f t="shared" si="3"/>
        <v>0</v>
      </c>
      <c r="N29" s="17">
        <f t="shared" si="3"/>
        <v>0</v>
      </c>
      <c r="O29" s="18">
        <f t="shared" si="2"/>
        <v>0</v>
      </c>
    </row>
    <row r="30" spans="1:15" ht="15" hidden="1" customHeight="1" x14ac:dyDescent="0.2">
      <c r="A30" s="879"/>
      <c r="B30" s="19" t="s">
        <v>140</v>
      </c>
      <c r="C30" s="17">
        <v>0</v>
      </c>
      <c r="D30" s="17">
        <f t="shared" si="4"/>
        <v>0</v>
      </c>
      <c r="E30" s="17">
        <f t="shared" si="4"/>
        <v>0</v>
      </c>
      <c r="F30" s="17">
        <f t="shared" si="4"/>
        <v>0</v>
      </c>
      <c r="G30" s="17">
        <f t="shared" si="4"/>
        <v>0</v>
      </c>
      <c r="H30" s="17">
        <v>0</v>
      </c>
      <c r="I30" s="17">
        <f t="shared" si="3"/>
        <v>0</v>
      </c>
      <c r="J30" s="17">
        <f t="shared" si="3"/>
        <v>0</v>
      </c>
      <c r="K30" s="17">
        <f t="shared" si="3"/>
        <v>0</v>
      </c>
      <c r="L30" s="17">
        <f t="shared" si="3"/>
        <v>0</v>
      </c>
      <c r="M30" s="17">
        <f t="shared" si="3"/>
        <v>0</v>
      </c>
      <c r="N30" s="17">
        <f t="shared" si="3"/>
        <v>0</v>
      </c>
      <c r="O30" s="18">
        <f t="shared" si="2"/>
        <v>0</v>
      </c>
    </row>
    <row r="31" spans="1:15" ht="15" customHeight="1" x14ac:dyDescent="0.2">
      <c r="A31" s="879"/>
      <c r="B31" s="167" t="s">
        <v>246</v>
      </c>
      <c r="C31" s="17">
        <v>0</v>
      </c>
      <c r="D31" s="17">
        <f t="shared" si="4"/>
        <v>0</v>
      </c>
      <c r="E31" s="17">
        <f t="shared" si="4"/>
        <v>0</v>
      </c>
      <c r="F31" s="17">
        <f t="shared" si="4"/>
        <v>0</v>
      </c>
      <c r="G31" s="17">
        <f t="shared" si="4"/>
        <v>0</v>
      </c>
      <c r="H31" s="17">
        <v>0</v>
      </c>
      <c r="I31" s="17">
        <f t="shared" si="3"/>
        <v>0</v>
      </c>
      <c r="J31" s="17">
        <f t="shared" si="3"/>
        <v>0</v>
      </c>
      <c r="K31" s="17">
        <f t="shared" si="3"/>
        <v>0</v>
      </c>
      <c r="L31" s="17">
        <f t="shared" si="3"/>
        <v>0</v>
      </c>
      <c r="M31" s="17">
        <f t="shared" si="3"/>
        <v>0</v>
      </c>
      <c r="N31" s="17">
        <f t="shared" si="3"/>
        <v>0</v>
      </c>
      <c r="O31" s="18">
        <f t="shared" si="2"/>
        <v>0</v>
      </c>
    </row>
    <row r="32" spans="1:15" ht="15" customHeight="1" x14ac:dyDescent="0.2">
      <c r="A32" s="879"/>
      <c r="B32" s="21" t="s">
        <v>142</v>
      </c>
      <c r="C32" s="17">
        <v>0</v>
      </c>
      <c r="D32" s="17">
        <f t="shared" si="4"/>
        <v>0</v>
      </c>
      <c r="E32" s="17">
        <f t="shared" si="4"/>
        <v>0</v>
      </c>
      <c r="F32" s="17">
        <f t="shared" si="4"/>
        <v>0</v>
      </c>
      <c r="G32" s="17">
        <f t="shared" si="4"/>
        <v>0</v>
      </c>
      <c r="H32" s="17">
        <v>0</v>
      </c>
      <c r="I32" s="17">
        <f t="shared" si="3"/>
        <v>0</v>
      </c>
      <c r="J32" s="17">
        <f t="shared" si="3"/>
        <v>0</v>
      </c>
      <c r="K32" s="17">
        <f t="shared" si="3"/>
        <v>0</v>
      </c>
      <c r="L32" s="17">
        <f t="shared" si="3"/>
        <v>0</v>
      </c>
      <c r="M32" s="17">
        <f t="shared" si="3"/>
        <v>0</v>
      </c>
      <c r="N32" s="17">
        <f t="shared" si="3"/>
        <v>0</v>
      </c>
      <c r="O32" s="18">
        <f t="shared" si="2"/>
        <v>0</v>
      </c>
    </row>
    <row r="33" spans="1:16" ht="15" hidden="1" customHeight="1" x14ac:dyDescent="0.2">
      <c r="A33" s="880"/>
      <c r="B33" s="19" t="s">
        <v>226</v>
      </c>
      <c r="C33" s="17">
        <v>0</v>
      </c>
      <c r="D33" s="17">
        <f t="shared" si="4"/>
        <v>0</v>
      </c>
      <c r="E33" s="17">
        <f t="shared" si="4"/>
        <v>0</v>
      </c>
      <c r="F33" s="17">
        <f t="shared" si="4"/>
        <v>0</v>
      </c>
      <c r="G33" s="17">
        <f t="shared" si="4"/>
        <v>0</v>
      </c>
      <c r="H33" s="17">
        <v>0</v>
      </c>
      <c r="I33" s="17">
        <f t="shared" si="3"/>
        <v>0</v>
      </c>
      <c r="J33" s="17">
        <f t="shared" si="3"/>
        <v>0</v>
      </c>
      <c r="K33" s="17">
        <f t="shared" si="3"/>
        <v>0</v>
      </c>
      <c r="L33" s="17">
        <f t="shared" si="3"/>
        <v>0</v>
      </c>
      <c r="M33" s="17">
        <f t="shared" si="3"/>
        <v>0</v>
      </c>
      <c r="N33" s="17">
        <f t="shared" si="3"/>
        <v>0</v>
      </c>
      <c r="O33" s="18">
        <f t="shared" si="2"/>
        <v>0</v>
      </c>
    </row>
    <row r="34" spans="1:16" ht="15" customHeight="1" x14ac:dyDescent="0.2">
      <c r="A34" s="865" t="s">
        <v>144</v>
      </c>
      <c r="B34" s="866"/>
      <c r="C34" s="17">
        <v>0</v>
      </c>
      <c r="D34" s="17">
        <f t="shared" si="4"/>
        <v>0</v>
      </c>
      <c r="E34" s="17">
        <f t="shared" si="4"/>
        <v>0</v>
      </c>
      <c r="F34" s="17">
        <f t="shared" si="4"/>
        <v>0</v>
      </c>
      <c r="G34" s="17">
        <f t="shared" si="4"/>
        <v>0</v>
      </c>
      <c r="H34" s="17">
        <v>0</v>
      </c>
      <c r="I34" s="17">
        <f t="shared" si="3"/>
        <v>0</v>
      </c>
      <c r="J34" s="17">
        <f t="shared" si="3"/>
        <v>0</v>
      </c>
      <c r="K34" s="17">
        <f t="shared" si="3"/>
        <v>0</v>
      </c>
      <c r="L34" s="17">
        <f t="shared" si="3"/>
        <v>0</v>
      </c>
      <c r="M34" s="17">
        <f t="shared" si="3"/>
        <v>0</v>
      </c>
      <c r="N34" s="17">
        <f t="shared" si="3"/>
        <v>0</v>
      </c>
      <c r="O34" s="18">
        <f t="shared" si="2"/>
        <v>0</v>
      </c>
    </row>
    <row r="35" spans="1:16" ht="15" customHeight="1" x14ac:dyDescent="0.2">
      <c r="A35" s="865" t="s">
        <v>145</v>
      </c>
      <c r="B35" s="866"/>
      <c r="C35" s="17">
        <v>0</v>
      </c>
      <c r="D35" s="17">
        <f t="shared" si="4"/>
        <v>0</v>
      </c>
      <c r="E35" s="17">
        <f t="shared" si="4"/>
        <v>0</v>
      </c>
      <c r="F35" s="17">
        <f t="shared" si="4"/>
        <v>0</v>
      </c>
      <c r="G35" s="17">
        <f t="shared" si="4"/>
        <v>0</v>
      </c>
      <c r="H35" s="17">
        <v>0</v>
      </c>
      <c r="I35" s="17">
        <f t="shared" si="3"/>
        <v>0</v>
      </c>
      <c r="J35" s="17">
        <f t="shared" si="3"/>
        <v>0</v>
      </c>
      <c r="K35" s="17">
        <f t="shared" si="3"/>
        <v>0</v>
      </c>
      <c r="L35" s="17">
        <f t="shared" si="3"/>
        <v>0</v>
      </c>
      <c r="M35" s="17">
        <f t="shared" si="3"/>
        <v>0</v>
      </c>
      <c r="N35" s="17">
        <f t="shared" si="3"/>
        <v>0</v>
      </c>
      <c r="O35" s="18">
        <f t="shared" si="2"/>
        <v>0</v>
      </c>
    </row>
    <row r="36" spans="1:16" ht="15" customHeight="1" x14ac:dyDescent="0.2">
      <c r="A36" s="865" t="s">
        <v>146</v>
      </c>
      <c r="B36" s="866"/>
      <c r="C36" s="17">
        <v>0</v>
      </c>
      <c r="D36" s="17">
        <f t="shared" si="4"/>
        <v>0</v>
      </c>
      <c r="E36" s="17">
        <f t="shared" si="4"/>
        <v>0</v>
      </c>
      <c r="F36" s="17">
        <f t="shared" si="4"/>
        <v>0</v>
      </c>
      <c r="G36" s="17">
        <f t="shared" si="4"/>
        <v>0</v>
      </c>
      <c r="H36" s="17">
        <v>0</v>
      </c>
      <c r="I36" s="17">
        <f t="shared" si="3"/>
        <v>0</v>
      </c>
      <c r="J36" s="17">
        <f t="shared" si="3"/>
        <v>0</v>
      </c>
      <c r="K36" s="17">
        <f t="shared" si="3"/>
        <v>0</v>
      </c>
      <c r="L36" s="17">
        <f t="shared" si="3"/>
        <v>0</v>
      </c>
      <c r="M36" s="17">
        <f t="shared" si="3"/>
        <v>0</v>
      </c>
      <c r="N36" s="17">
        <f t="shared" si="3"/>
        <v>0</v>
      </c>
      <c r="O36" s="18">
        <f t="shared" si="2"/>
        <v>0</v>
      </c>
    </row>
    <row r="37" spans="1:16" ht="15" customHeight="1" x14ac:dyDescent="0.2">
      <c r="A37" s="22"/>
      <c r="B37" s="23" t="s">
        <v>147</v>
      </c>
      <c r="C37" s="24">
        <f t="shared" ref="C37:N37" si="5">SUM(C9:C36)</f>
        <v>0</v>
      </c>
      <c r="D37" s="24">
        <f t="shared" si="5"/>
        <v>0</v>
      </c>
      <c r="E37" s="24">
        <f t="shared" si="5"/>
        <v>0</v>
      </c>
      <c r="F37" s="24">
        <f t="shared" si="5"/>
        <v>0</v>
      </c>
      <c r="G37" s="24">
        <f t="shared" si="5"/>
        <v>0</v>
      </c>
      <c r="H37" s="24">
        <f t="shared" si="5"/>
        <v>0</v>
      </c>
      <c r="I37" s="24">
        <f t="shared" si="5"/>
        <v>0</v>
      </c>
      <c r="J37" s="24">
        <f t="shared" si="5"/>
        <v>0</v>
      </c>
      <c r="K37" s="24">
        <f>SUM(K9:K36)</f>
        <v>0</v>
      </c>
      <c r="L37" s="24">
        <f t="shared" si="5"/>
        <v>0</v>
      </c>
      <c r="M37" s="24">
        <f t="shared" si="5"/>
        <v>0</v>
      </c>
      <c r="N37" s="24">
        <f t="shared" si="5"/>
        <v>0</v>
      </c>
      <c r="O37" s="25">
        <f>SUM(C37:N37)</f>
        <v>0</v>
      </c>
    </row>
    <row r="38" spans="1:16" ht="15" customHeight="1" x14ac:dyDescent="0.2">
      <c r="A38" s="853" t="s">
        <v>148</v>
      </c>
      <c r="B38" s="27" t="s">
        <v>149</v>
      </c>
      <c r="C38" s="147">
        <v>0</v>
      </c>
      <c r="D38" s="147">
        <v>0</v>
      </c>
      <c r="E38" s="147">
        <v>0</v>
      </c>
      <c r="F38" s="147">
        <v>0</v>
      </c>
      <c r="G38" s="147">
        <v>0</v>
      </c>
      <c r="H38" s="147">
        <v>0</v>
      </c>
      <c r="I38" s="147">
        <v>0</v>
      </c>
      <c r="J38" s="147">
        <v>0</v>
      </c>
      <c r="K38" s="147">
        <v>0</v>
      </c>
      <c r="L38" s="147">
        <v>0</v>
      </c>
      <c r="M38" s="147">
        <v>0</v>
      </c>
      <c r="N38" s="147">
        <v>0</v>
      </c>
      <c r="O38" s="18">
        <f>SUM(C38:N38)</f>
        <v>0</v>
      </c>
      <c r="P38" s="29"/>
    </row>
    <row r="39" spans="1:16" ht="15" x14ac:dyDescent="0.2">
      <c r="A39" s="854"/>
      <c r="B39" s="27" t="s">
        <v>150</v>
      </c>
      <c r="C39" s="147">
        <v>0</v>
      </c>
      <c r="D39" s="147">
        <v>0</v>
      </c>
      <c r="E39" s="147">
        <v>0</v>
      </c>
      <c r="F39" s="147">
        <v>0</v>
      </c>
      <c r="G39" s="147">
        <v>0</v>
      </c>
      <c r="H39" s="147">
        <v>0</v>
      </c>
      <c r="I39" s="147">
        <v>0</v>
      </c>
      <c r="J39" s="147">
        <v>0</v>
      </c>
      <c r="K39" s="147">
        <v>0</v>
      </c>
      <c r="L39" s="147">
        <v>0</v>
      </c>
      <c r="M39" s="147">
        <v>0</v>
      </c>
      <c r="N39" s="147">
        <v>0</v>
      </c>
      <c r="O39" s="18">
        <f>SUM(C39:N39)</f>
        <v>0</v>
      </c>
    </row>
    <row r="40" spans="1:16" ht="15" x14ac:dyDescent="0.2">
      <c r="A40" s="854"/>
      <c r="B40" s="27" t="s">
        <v>151</v>
      </c>
      <c r="C40" s="147">
        <v>0</v>
      </c>
      <c r="D40" s="147">
        <v>0</v>
      </c>
      <c r="E40" s="147">
        <v>0</v>
      </c>
      <c r="F40" s="147">
        <v>0</v>
      </c>
      <c r="G40" s="147">
        <v>0</v>
      </c>
      <c r="H40" s="147">
        <v>0</v>
      </c>
      <c r="I40" s="147">
        <v>0</v>
      </c>
      <c r="J40" s="147">
        <v>0</v>
      </c>
      <c r="K40" s="147">
        <v>0</v>
      </c>
      <c r="L40" s="147">
        <v>0</v>
      </c>
      <c r="M40" s="147">
        <v>0</v>
      </c>
      <c r="N40" s="147">
        <v>0</v>
      </c>
      <c r="O40" s="18">
        <f t="shared" ref="O40:O50" si="6">SUM(C40:N40)</f>
        <v>0</v>
      </c>
    </row>
    <row r="41" spans="1:16" ht="15" x14ac:dyDescent="0.2">
      <c r="A41" s="854"/>
      <c r="B41" s="27" t="s">
        <v>152</v>
      </c>
      <c r="C41" s="147">
        <v>0</v>
      </c>
      <c r="D41" s="147">
        <v>0</v>
      </c>
      <c r="E41" s="147">
        <v>0</v>
      </c>
      <c r="F41" s="147">
        <v>0</v>
      </c>
      <c r="G41" s="147">
        <v>0</v>
      </c>
      <c r="H41" s="147">
        <v>0</v>
      </c>
      <c r="I41" s="147">
        <v>0</v>
      </c>
      <c r="J41" s="147">
        <v>0</v>
      </c>
      <c r="K41" s="147">
        <v>0</v>
      </c>
      <c r="L41" s="147">
        <v>0</v>
      </c>
      <c r="M41" s="147">
        <v>0</v>
      </c>
      <c r="N41" s="147">
        <v>0</v>
      </c>
      <c r="O41" s="18">
        <f t="shared" si="6"/>
        <v>0</v>
      </c>
    </row>
    <row r="42" spans="1:16" ht="15" x14ac:dyDescent="0.2">
      <c r="A42" s="854"/>
      <c r="B42" s="27" t="s">
        <v>153</v>
      </c>
      <c r="C42" s="147">
        <v>0</v>
      </c>
      <c r="D42" s="147">
        <v>0</v>
      </c>
      <c r="E42" s="147">
        <v>0</v>
      </c>
      <c r="F42" s="147">
        <v>0</v>
      </c>
      <c r="G42" s="147">
        <v>0</v>
      </c>
      <c r="H42" s="147">
        <v>0</v>
      </c>
      <c r="I42" s="147">
        <v>0</v>
      </c>
      <c r="J42" s="147">
        <v>0</v>
      </c>
      <c r="K42" s="147">
        <v>0</v>
      </c>
      <c r="L42" s="147">
        <v>0</v>
      </c>
      <c r="M42" s="147">
        <v>0</v>
      </c>
      <c r="N42" s="147">
        <v>0</v>
      </c>
      <c r="O42" s="18">
        <f t="shared" si="6"/>
        <v>0</v>
      </c>
    </row>
    <row r="43" spans="1:16" ht="15" x14ac:dyDescent="0.2">
      <c r="A43" s="854"/>
      <c r="B43" s="27" t="s">
        <v>154</v>
      </c>
      <c r="C43" s="147">
        <v>0</v>
      </c>
      <c r="D43" s="147">
        <v>0</v>
      </c>
      <c r="E43" s="147">
        <v>0</v>
      </c>
      <c r="F43" s="147">
        <v>0</v>
      </c>
      <c r="G43" s="147">
        <v>0</v>
      </c>
      <c r="H43" s="147">
        <v>0</v>
      </c>
      <c r="I43" s="147">
        <v>0</v>
      </c>
      <c r="J43" s="147">
        <v>0</v>
      </c>
      <c r="K43" s="147">
        <v>0</v>
      </c>
      <c r="L43" s="147">
        <v>0</v>
      </c>
      <c r="M43" s="147">
        <v>0</v>
      </c>
      <c r="N43" s="147">
        <v>0</v>
      </c>
      <c r="O43" s="18">
        <f t="shared" si="6"/>
        <v>0</v>
      </c>
    </row>
    <row r="44" spans="1:16" ht="15" x14ac:dyDescent="0.2">
      <c r="A44" s="854"/>
      <c r="B44" s="27" t="s">
        <v>155</v>
      </c>
      <c r="C44" s="147">
        <v>0</v>
      </c>
      <c r="D44" s="147">
        <v>0</v>
      </c>
      <c r="E44" s="147">
        <v>0</v>
      </c>
      <c r="F44" s="147">
        <v>0</v>
      </c>
      <c r="G44" s="147">
        <v>0</v>
      </c>
      <c r="H44" s="147">
        <v>0</v>
      </c>
      <c r="I44" s="147">
        <v>0</v>
      </c>
      <c r="J44" s="147">
        <v>0</v>
      </c>
      <c r="K44" s="147">
        <v>0</v>
      </c>
      <c r="L44" s="147">
        <v>0</v>
      </c>
      <c r="M44" s="147">
        <v>0</v>
      </c>
      <c r="N44" s="147">
        <v>0</v>
      </c>
      <c r="O44" s="18">
        <f t="shared" si="6"/>
        <v>0</v>
      </c>
    </row>
    <row r="45" spans="1:16" ht="15" x14ac:dyDescent="0.2">
      <c r="A45" s="854"/>
      <c r="B45" s="27" t="s">
        <v>156</v>
      </c>
      <c r="C45" s="147">
        <v>0</v>
      </c>
      <c r="D45" s="147">
        <v>0</v>
      </c>
      <c r="E45" s="147">
        <v>0</v>
      </c>
      <c r="F45" s="147">
        <v>0</v>
      </c>
      <c r="G45" s="147">
        <v>0</v>
      </c>
      <c r="H45" s="147">
        <v>0</v>
      </c>
      <c r="I45" s="147">
        <v>0</v>
      </c>
      <c r="J45" s="147">
        <v>0</v>
      </c>
      <c r="K45" s="147">
        <v>0</v>
      </c>
      <c r="L45" s="147">
        <v>0</v>
      </c>
      <c r="M45" s="147">
        <v>0</v>
      </c>
      <c r="N45" s="147">
        <v>0</v>
      </c>
      <c r="O45" s="18">
        <f t="shared" si="6"/>
        <v>0</v>
      </c>
    </row>
    <row r="46" spans="1:16" ht="15" x14ac:dyDescent="0.2">
      <c r="A46" s="854"/>
      <c r="B46" s="27" t="s">
        <v>157</v>
      </c>
      <c r="C46" s="147">
        <v>0</v>
      </c>
      <c r="D46" s="147">
        <v>0</v>
      </c>
      <c r="E46" s="147">
        <v>0</v>
      </c>
      <c r="F46" s="147">
        <v>0</v>
      </c>
      <c r="G46" s="147">
        <v>0</v>
      </c>
      <c r="H46" s="147">
        <v>0</v>
      </c>
      <c r="I46" s="147">
        <v>0</v>
      </c>
      <c r="J46" s="147">
        <v>0</v>
      </c>
      <c r="K46" s="147">
        <v>0</v>
      </c>
      <c r="L46" s="147">
        <v>0</v>
      </c>
      <c r="M46" s="147">
        <v>0</v>
      </c>
      <c r="N46" s="147">
        <v>0</v>
      </c>
      <c r="O46" s="18">
        <f t="shared" si="6"/>
        <v>0</v>
      </c>
    </row>
    <row r="47" spans="1:16" ht="28.5" customHeight="1" x14ac:dyDescent="0.2">
      <c r="A47" s="855"/>
      <c r="B47" s="30" t="s">
        <v>158</v>
      </c>
      <c r="C47" s="147">
        <v>0</v>
      </c>
      <c r="D47" s="147">
        <v>0</v>
      </c>
      <c r="E47" s="147">
        <v>0</v>
      </c>
      <c r="F47" s="147">
        <v>0</v>
      </c>
      <c r="G47" s="147">
        <v>0</v>
      </c>
      <c r="H47" s="147">
        <v>0</v>
      </c>
      <c r="I47" s="147">
        <v>0</v>
      </c>
      <c r="J47" s="147">
        <v>0</v>
      </c>
      <c r="K47" s="147">
        <v>0</v>
      </c>
      <c r="L47" s="147">
        <v>0</v>
      </c>
      <c r="M47" s="147">
        <v>0</v>
      </c>
      <c r="N47" s="147">
        <v>0</v>
      </c>
      <c r="O47" s="31">
        <f t="shared" si="6"/>
        <v>0</v>
      </c>
    </row>
    <row r="48" spans="1:16" ht="15.75" customHeight="1" x14ac:dyDescent="0.2">
      <c r="A48" s="856"/>
      <c r="B48" s="169" t="s">
        <v>337</v>
      </c>
      <c r="C48" s="147">
        <v>0</v>
      </c>
      <c r="D48" s="147">
        <v>0</v>
      </c>
      <c r="E48" s="147">
        <v>0</v>
      </c>
      <c r="F48" s="147">
        <v>0</v>
      </c>
      <c r="G48" s="147">
        <v>0</v>
      </c>
      <c r="H48" s="147">
        <v>0</v>
      </c>
      <c r="I48" s="147">
        <v>0</v>
      </c>
      <c r="J48" s="147">
        <v>0</v>
      </c>
      <c r="K48" s="147">
        <v>0</v>
      </c>
      <c r="L48" s="147">
        <v>0</v>
      </c>
      <c r="M48" s="147">
        <v>0</v>
      </c>
      <c r="N48" s="147">
        <v>0</v>
      </c>
      <c r="O48" s="31">
        <f t="shared" si="6"/>
        <v>0</v>
      </c>
    </row>
    <row r="49" spans="1:18" ht="15" x14ac:dyDescent="0.2">
      <c r="A49" s="857" t="s">
        <v>160</v>
      </c>
      <c r="B49" s="858"/>
      <c r="C49" s="33">
        <f t="shared" ref="C49:N49" si="7">SUM(C38:C48)</f>
        <v>0</v>
      </c>
      <c r="D49" s="33">
        <f t="shared" si="7"/>
        <v>0</v>
      </c>
      <c r="E49" s="33">
        <f t="shared" si="7"/>
        <v>0</v>
      </c>
      <c r="F49" s="33">
        <f t="shared" si="7"/>
        <v>0</v>
      </c>
      <c r="G49" s="33">
        <f t="shared" si="7"/>
        <v>0</v>
      </c>
      <c r="H49" s="33">
        <f t="shared" si="7"/>
        <v>0</v>
      </c>
      <c r="I49" s="33">
        <f t="shared" si="7"/>
        <v>0</v>
      </c>
      <c r="J49" s="33">
        <f t="shared" si="7"/>
        <v>0</v>
      </c>
      <c r="K49" s="33">
        <f t="shared" si="7"/>
        <v>0</v>
      </c>
      <c r="L49" s="33">
        <f t="shared" si="7"/>
        <v>0</v>
      </c>
      <c r="M49" s="33">
        <f t="shared" si="7"/>
        <v>0</v>
      </c>
      <c r="N49" s="33">
        <f t="shared" si="7"/>
        <v>0</v>
      </c>
      <c r="O49" s="34">
        <f t="shared" si="6"/>
        <v>0</v>
      </c>
    </row>
    <row r="50" spans="1:18" ht="15.75" thickBot="1" x14ac:dyDescent="0.25">
      <c r="A50" s="859" t="s">
        <v>161</v>
      </c>
      <c r="B50" s="860"/>
      <c r="C50" s="35">
        <f t="shared" ref="C50:N50" si="8">C37-C49</f>
        <v>0</v>
      </c>
      <c r="D50" s="35">
        <f t="shared" si="8"/>
        <v>0</v>
      </c>
      <c r="E50" s="35">
        <f t="shared" si="8"/>
        <v>0</v>
      </c>
      <c r="F50" s="35">
        <f t="shared" si="8"/>
        <v>0</v>
      </c>
      <c r="G50" s="35">
        <f t="shared" si="8"/>
        <v>0</v>
      </c>
      <c r="H50" s="35">
        <f t="shared" si="8"/>
        <v>0</v>
      </c>
      <c r="I50" s="35">
        <f t="shared" si="8"/>
        <v>0</v>
      </c>
      <c r="J50" s="35">
        <f t="shared" si="8"/>
        <v>0</v>
      </c>
      <c r="K50" s="35">
        <f t="shared" si="8"/>
        <v>0</v>
      </c>
      <c r="L50" s="35">
        <f t="shared" si="8"/>
        <v>0</v>
      </c>
      <c r="M50" s="35">
        <f t="shared" si="8"/>
        <v>0</v>
      </c>
      <c r="N50" s="35">
        <f t="shared" si="8"/>
        <v>0</v>
      </c>
      <c r="O50" s="36">
        <f t="shared" si="6"/>
        <v>0</v>
      </c>
    </row>
    <row r="52" spans="1:18" ht="13.5" thickBot="1" x14ac:dyDescent="0.25"/>
    <row r="53" spans="1:18" ht="13.5" thickBot="1" x14ac:dyDescent="0.25">
      <c r="B53" s="789" t="s">
        <v>162</v>
      </c>
      <c r="C53" s="861"/>
      <c r="D53" s="861"/>
      <c r="E53" s="861"/>
      <c r="F53" s="862"/>
      <c r="G53" s="863">
        <f>O37</f>
        <v>0</v>
      </c>
      <c r="H53" s="864"/>
    </row>
    <row r="54" spans="1:18" ht="13.5" thickBot="1" x14ac:dyDescent="0.25"/>
    <row r="55" spans="1:18" x14ac:dyDescent="0.2">
      <c r="B55" s="830" t="s">
        <v>163</v>
      </c>
      <c r="C55" s="833" t="s">
        <v>164</v>
      </c>
      <c r="D55" s="836" t="s">
        <v>165</v>
      </c>
      <c r="E55" s="837"/>
      <c r="F55" s="838"/>
      <c r="G55" s="839">
        <f>1600*12</f>
        <v>19200</v>
      </c>
      <c r="H55" s="840"/>
    </row>
    <row r="56" spans="1:18" x14ac:dyDescent="0.2">
      <c r="B56" s="831"/>
      <c r="C56" s="834"/>
      <c r="D56" s="841" t="s">
        <v>166</v>
      </c>
      <c r="E56" s="842"/>
      <c r="F56" s="843"/>
      <c r="G56" s="844">
        <f>+O44</f>
        <v>0</v>
      </c>
      <c r="H56" s="841"/>
      <c r="I56" s="147"/>
      <c r="J56" s="871"/>
      <c r="K56" s="871"/>
      <c r="L56" s="871"/>
      <c r="M56" s="922"/>
      <c r="N56" s="922"/>
      <c r="O56" s="922"/>
    </row>
    <row r="57" spans="1:18" ht="13.5" thickBot="1" x14ac:dyDescent="0.25">
      <c r="B57" s="832"/>
      <c r="C57" s="835"/>
      <c r="D57" s="921" t="s">
        <v>167</v>
      </c>
      <c r="E57" s="849"/>
      <c r="F57" s="850"/>
      <c r="G57" s="851">
        <f>IF(O18&gt;15000,15000,+O18)</f>
        <v>0</v>
      </c>
      <c r="H57" s="852"/>
      <c r="I57" s="187"/>
      <c r="J57" s="188"/>
      <c r="K57" s="188"/>
      <c r="L57" s="188"/>
      <c r="M57" s="188"/>
      <c r="N57" s="188"/>
      <c r="O57" s="188"/>
    </row>
    <row r="58" spans="1:18" ht="13.5" thickBot="1" x14ac:dyDescent="0.25">
      <c r="B58" s="48"/>
      <c r="J58" s="47"/>
      <c r="K58" s="47"/>
      <c r="L58" s="47"/>
      <c r="M58" s="47"/>
      <c r="N58" s="47"/>
      <c r="O58" s="47"/>
    </row>
    <row r="59" spans="1:18" ht="13.5" thickBot="1" x14ac:dyDescent="0.25">
      <c r="B59" s="789" t="s">
        <v>168</v>
      </c>
      <c r="C59" s="790"/>
      <c r="D59" s="790"/>
      <c r="E59" s="790"/>
      <c r="F59" s="791"/>
      <c r="G59" s="825">
        <f>+G53-SUM(G55:H57)</f>
        <v>-19200</v>
      </c>
      <c r="H59" s="826"/>
      <c r="J59" s="827" t="s">
        <v>169</v>
      </c>
      <c r="K59" s="828"/>
      <c r="L59" s="828"/>
      <c r="M59" s="828"/>
      <c r="N59" s="828"/>
      <c r="O59" s="829"/>
    </row>
    <row r="60" spans="1:18" ht="13.5" thickBot="1" x14ac:dyDescent="0.25">
      <c r="B60" s="49"/>
      <c r="C60" s="50"/>
      <c r="D60" s="50"/>
      <c r="E60" s="50"/>
      <c r="F60" s="50"/>
      <c r="G60" s="45"/>
      <c r="H60" s="50"/>
      <c r="J60" s="129"/>
      <c r="K60" s="130"/>
      <c r="L60" s="130"/>
      <c r="M60" s="130"/>
      <c r="N60" s="130"/>
      <c r="O60" s="131"/>
    </row>
    <row r="61" spans="1:18" ht="13.5" thickBot="1" x14ac:dyDescent="0.25">
      <c r="B61" s="789" t="s">
        <v>170</v>
      </c>
      <c r="C61" s="790"/>
      <c r="D61" s="790"/>
      <c r="E61" s="790"/>
      <c r="F61" s="791"/>
      <c r="G61" s="805"/>
      <c r="H61" s="791"/>
      <c r="J61" s="129"/>
      <c r="K61" s="130"/>
      <c r="L61" s="130"/>
      <c r="M61" s="130"/>
      <c r="N61" s="130"/>
      <c r="O61" s="131"/>
    </row>
    <row r="62" spans="1:18" ht="12.75" customHeight="1" x14ac:dyDescent="0.2">
      <c r="B62" s="57" t="s">
        <v>171</v>
      </c>
      <c r="C62" s="806" t="s">
        <v>172</v>
      </c>
      <c r="D62" s="807"/>
      <c r="E62" s="807"/>
      <c r="F62" s="808"/>
      <c r="G62" s="809">
        <v>0</v>
      </c>
      <c r="H62" s="809"/>
      <c r="I62" s="58"/>
      <c r="J62" s="810" t="s">
        <v>173</v>
      </c>
      <c r="K62" s="811"/>
      <c r="L62" s="811"/>
      <c r="M62" s="811"/>
      <c r="N62" s="811"/>
      <c r="O62" s="812"/>
      <c r="Q62" s="59"/>
      <c r="R62" s="59"/>
    </row>
    <row r="63" spans="1:18" ht="13.5" thickBot="1" x14ac:dyDescent="0.25">
      <c r="D63" s="37"/>
      <c r="I63" s="58"/>
      <c r="J63" s="60" t="s">
        <v>254</v>
      </c>
      <c r="K63" s="132"/>
      <c r="L63" s="132"/>
      <c r="M63" s="133"/>
      <c r="N63" s="133"/>
      <c r="O63" s="134"/>
      <c r="Q63" s="59"/>
      <c r="R63" s="59"/>
    </row>
    <row r="64" spans="1:18" ht="13.5" thickBot="1" x14ac:dyDescent="0.25">
      <c r="B64" s="789" t="s">
        <v>175</v>
      </c>
      <c r="C64" s="790"/>
      <c r="D64" s="790"/>
      <c r="E64" s="790"/>
      <c r="F64" s="791"/>
      <c r="G64" s="805">
        <f>+G59-G62</f>
        <v>-19200</v>
      </c>
      <c r="H64" s="791"/>
      <c r="I64" s="63"/>
      <c r="J64" s="75"/>
      <c r="K64" s="39"/>
      <c r="L64" s="39"/>
      <c r="M64" s="39"/>
      <c r="N64" s="39"/>
      <c r="O64" s="65"/>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6.25" customHeight="1" thickBot="1" x14ac:dyDescent="0.25">
      <c r="B67" s="66"/>
      <c r="C67" s="48"/>
      <c r="G67" s="70" t="s">
        <v>177</v>
      </c>
      <c r="H67" s="70" t="s">
        <v>178</v>
      </c>
      <c r="I67" s="63"/>
      <c r="J67" s="810" t="s">
        <v>179</v>
      </c>
      <c r="K67" s="811"/>
      <c r="L67" s="71"/>
      <c r="M67" s="71"/>
      <c r="N67" s="71"/>
      <c r="O67" s="72"/>
      <c r="Q67" s="59"/>
      <c r="R67" s="59"/>
    </row>
    <row r="68" spans="2:18" ht="12.75" customHeight="1" x14ac:dyDescent="0.2">
      <c r="B68" s="802" t="s">
        <v>180</v>
      </c>
      <c r="C68" s="821" t="s">
        <v>181</v>
      </c>
      <c r="D68" s="823" t="s">
        <v>182</v>
      </c>
      <c r="E68" s="824"/>
      <c r="F68" s="824"/>
      <c r="G68" s="73">
        <f>+O43</f>
        <v>0</v>
      </c>
      <c r="H68" s="74">
        <f t="shared" ref="H68:H76" si="9">+G68</f>
        <v>0</v>
      </c>
      <c r="I68" s="63"/>
      <c r="J68" s="75" t="s">
        <v>183</v>
      </c>
      <c r="K68" s="58"/>
      <c r="L68" s="58"/>
      <c r="M68" s="58"/>
      <c r="N68" s="58"/>
      <c r="O68" s="76"/>
      <c r="Q68" s="59"/>
      <c r="R68" s="59"/>
    </row>
    <row r="69" spans="2:18" ht="12.75" customHeight="1" x14ac:dyDescent="0.2">
      <c r="B69" s="803"/>
      <c r="C69" s="822"/>
      <c r="D69" s="782" t="s">
        <v>184</v>
      </c>
      <c r="E69" s="783"/>
      <c r="F69" s="783"/>
      <c r="G69" s="77">
        <f>+O47</f>
        <v>0</v>
      </c>
      <c r="H69" s="78">
        <f t="shared" si="9"/>
        <v>0</v>
      </c>
      <c r="I69" s="63"/>
      <c r="J69" s="79"/>
      <c r="K69" s="68"/>
      <c r="L69" s="68"/>
      <c r="M69" s="68"/>
      <c r="N69" s="68"/>
      <c r="O69" s="69"/>
      <c r="Q69" s="59"/>
      <c r="R69" s="59"/>
    </row>
    <row r="70" spans="2:18" ht="12.75" customHeight="1" x14ac:dyDescent="0.2">
      <c r="B70" s="803"/>
      <c r="C70" s="822"/>
      <c r="D70" s="819" t="s">
        <v>185</v>
      </c>
      <c r="E70" s="820"/>
      <c r="F70" s="820"/>
      <c r="G70" s="80">
        <f>O40</f>
        <v>0</v>
      </c>
      <c r="H70" s="78">
        <f t="shared" si="9"/>
        <v>0</v>
      </c>
      <c r="I70" s="63"/>
      <c r="J70" s="67"/>
      <c r="K70" s="68"/>
      <c r="L70" s="68"/>
      <c r="M70" s="68"/>
      <c r="N70" s="68"/>
      <c r="O70" s="69"/>
    </row>
    <row r="71" spans="2:18" x14ac:dyDescent="0.2">
      <c r="B71" s="803"/>
      <c r="C71" s="822"/>
      <c r="D71" s="782" t="s">
        <v>186</v>
      </c>
      <c r="E71" s="783"/>
      <c r="F71" s="783"/>
      <c r="G71" s="81">
        <v>0</v>
      </c>
      <c r="H71" s="78">
        <f t="shared" si="9"/>
        <v>0</v>
      </c>
      <c r="I71" s="63"/>
      <c r="J71" s="82" t="s">
        <v>187</v>
      </c>
      <c r="K71" s="71"/>
      <c r="L71" s="71"/>
      <c r="M71" s="71"/>
      <c r="N71" s="71"/>
      <c r="O71" s="72"/>
    </row>
    <row r="72" spans="2:18" ht="12.75" customHeight="1" x14ac:dyDescent="0.2">
      <c r="B72" s="803"/>
      <c r="C72" s="822"/>
      <c r="D72" s="784" t="s">
        <v>188</v>
      </c>
      <c r="E72" s="783"/>
      <c r="F72" s="783"/>
      <c r="G72" s="80">
        <v>0</v>
      </c>
      <c r="H72" s="78">
        <f t="shared" si="9"/>
        <v>0</v>
      </c>
      <c r="I72" s="63"/>
      <c r="J72" s="75" t="s">
        <v>189</v>
      </c>
      <c r="K72" s="50"/>
      <c r="L72" s="50"/>
      <c r="M72" s="50"/>
      <c r="N72" s="50"/>
      <c r="O72" s="83">
        <f>O42</f>
        <v>0</v>
      </c>
    </row>
    <row r="73" spans="2:18" ht="14.25" customHeight="1" x14ac:dyDescent="0.2">
      <c r="B73" s="803"/>
      <c r="C73" s="822"/>
      <c r="D73" s="782" t="s">
        <v>190</v>
      </c>
      <c r="E73" s="783"/>
      <c r="F73" s="783"/>
      <c r="G73" s="84">
        <v>0</v>
      </c>
      <c r="H73" s="78">
        <f t="shared" si="9"/>
        <v>0</v>
      </c>
      <c r="I73" s="63"/>
      <c r="J73" s="75"/>
      <c r="K73" s="39"/>
      <c r="L73" s="39"/>
      <c r="M73" s="39"/>
      <c r="N73" s="39"/>
      <c r="O73" s="65"/>
    </row>
    <row r="74" spans="2:18" x14ac:dyDescent="0.2">
      <c r="B74" s="803"/>
      <c r="C74" s="822"/>
      <c r="D74" s="782" t="s">
        <v>191</v>
      </c>
      <c r="E74" s="783"/>
      <c r="F74" s="783"/>
      <c r="G74" s="81">
        <v>0</v>
      </c>
      <c r="H74" s="78">
        <f t="shared" si="9"/>
        <v>0</v>
      </c>
      <c r="I74" s="58"/>
      <c r="J74" s="137"/>
      <c r="K74" s="50"/>
      <c r="L74" s="50"/>
      <c r="M74" s="50"/>
      <c r="N74" s="50"/>
      <c r="O74" s="83"/>
    </row>
    <row r="75" spans="2:18" x14ac:dyDescent="0.2">
      <c r="B75" s="803"/>
      <c r="C75" s="88" t="s">
        <v>192</v>
      </c>
      <c r="D75" s="813" t="s">
        <v>193</v>
      </c>
      <c r="E75" s="814"/>
      <c r="F75" s="814"/>
      <c r="G75" s="80">
        <v>0</v>
      </c>
      <c r="H75" s="78">
        <f t="shared" si="9"/>
        <v>0</v>
      </c>
      <c r="I75" s="58"/>
      <c r="J75" s="85"/>
      <c r="K75" s="138"/>
      <c r="L75" s="138"/>
      <c r="M75" s="138"/>
      <c r="N75" s="138"/>
      <c r="O75" s="139"/>
    </row>
    <row r="76" spans="2:18" ht="13.5" customHeight="1" thickBot="1" x14ac:dyDescent="0.25">
      <c r="B76" s="803"/>
      <c r="C76" s="88" t="s">
        <v>194</v>
      </c>
      <c r="D76" s="815" t="s">
        <v>195</v>
      </c>
      <c r="E76" s="815"/>
      <c r="F76" s="815"/>
      <c r="G76" s="89">
        <v>0</v>
      </c>
      <c r="H76" s="90">
        <f t="shared" si="9"/>
        <v>0</v>
      </c>
      <c r="I76" s="63"/>
      <c r="J76" s="75"/>
      <c r="K76" s="68"/>
      <c r="L76" s="68"/>
      <c r="M76" s="91"/>
      <c r="N76" s="91"/>
      <c r="O76" s="92"/>
    </row>
    <row r="77" spans="2:18" ht="13.5" thickBot="1" x14ac:dyDescent="0.25">
      <c r="B77" s="803"/>
      <c r="C77" s="93"/>
      <c r="D77" s="94"/>
      <c r="E77" s="816" t="s">
        <v>117</v>
      </c>
      <c r="F77" s="817"/>
      <c r="G77" s="95">
        <f>SUM(G68:G76)</f>
        <v>0</v>
      </c>
      <c r="H77" s="96">
        <f>IF(SUM(G68:G74)&lt;150000,SUM(G68:G74),150000)+IF(+G75&lt;20000,+G75,20000)</f>
        <v>0</v>
      </c>
      <c r="I77" s="63"/>
      <c r="J77" s="140"/>
      <c r="K77" s="141"/>
      <c r="L77" s="141"/>
      <c r="M77" s="142"/>
      <c r="N77" s="142"/>
      <c r="O77" s="143"/>
    </row>
    <row r="78" spans="2:18" ht="12.75" customHeight="1" x14ac:dyDescent="0.2">
      <c r="B78" s="803"/>
      <c r="C78" s="100" t="s">
        <v>196</v>
      </c>
      <c r="D78" s="782" t="s">
        <v>187</v>
      </c>
      <c r="E78" s="783"/>
      <c r="F78" s="818"/>
      <c r="G78" s="73">
        <f>+O42</f>
        <v>0</v>
      </c>
      <c r="H78" s="101">
        <f>+IF(+G78&lt;25000,+G78,25000)</f>
        <v>0</v>
      </c>
      <c r="I78" s="87"/>
    </row>
    <row r="79" spans="2:18" x14ac:dyDescent="0.2">
      <c r="B79" s="803"/>
      <c r="C79" s="100" t="s">
        <v>197</v>
      </c>
      <c r="D79" s="784" t="s">
        <v>198</v>
      </c>
      <c r="E79" s="785"/>
      <c r="F79" s="786"/>
      <c r="G79" s="102"/>
      <c r="H79" s="103">
        <f>+IF(+G79&lt;40000,+G79,40000)</f>
        <v>0</v>
      </c>
      <c r="I79" s="63"/>
    </row>
    <row r="80" spans="2:18" x14ac:dyDescent="0.2">
      <c r="B80" s="803"/>
      <c r="C80" s="100" t="s">
        <v>199</v>
      </c>
      <c r="D80" s="784" t="s">
        <v>200</v>
      </c>
      <c r="E80" s="785"/>
      <c r="F80" s="786"/>
      <c r="G80" s="81"/>
      <c r="H80" s="104">
        <v>0</v>
      </c>
      <c r="I80" s="63"/>
      <c r="J80" s="106"/>
    </row>
    <row r="81" spans="2:12" x14ac:dyDescent="0.2">
      <c r="B81" s="803"/>
      <c r="C81" s="100" t="s">
        <v>201</v>
      </c>
      <c r="D81" s="784" t="s">
        <v>202</v>
      </c>
      <c r="E81" s="785"/>
      <c r="F81" s="786"/>
      <c r="G81" s="81"/>
      <c r="H81" s="104">
        <v>0</v>
      </c>
      <c r="I81" s="63"/>
    </row>
    <row r="82" spans="2:12" ht="13.5" thickBot="1" x14ac:dyDescent="0.25">
      <c r="B82" s="804"/>
      <c r="C82" s="100" t="s">
        <v>203</v>
      </c>
      <c r="D82" s="784" t="s">
        <v>204</v>
      </c>
      <c r="E82" s="785"/>
      <c r="F82" s="786"/>
      <c r="G82" s="102"/>
      <c r="H82" s="103">
        <f>+IF(+G82&lt;100000,+G82,10000)</f>
        <v>0</v>
      </c>
      <c r="I82" s="63"/>
    </row>
    <row r="83" spans="2:12" ht="13.5" thickBot="1" x14ac:dyDescent="0.25">
      <c r="B83" s="787" t="s">
        <v>205</v>
      </c>
      <c r="C83" s="788"/>
      <c r="D83" s="788"/>
      <c r="E83" s="788"/>
      <c r="F83" s="788"/>
      <c r="G83" s="107">
        <f>SUM(G78:G82)</f>
        <v>0</v>
      </c>
      <c r="H83" s="108">
        <f>SUM(H77:H82)</f>
        <v>0</v>
      </c>
    </row>
    <row r="84" spans="2:12" ht="13.5" thickBot="1" x14ac:dyDescent="0.25"/>
    <row r="85" spans="2:12" ht="13.5" thickBot="1" x14ac:dyDescent="0.25">
      <c r="B85" s="789" t="s">
        <v>206</v>
      </c>
      <c r="C85" s="790"/>
      <c r="D85" s="790"/>
      <c r="E85" s="790"/>
      <c r="F85" s="791"/>
      <c r="G85" s="792">
        <f>+G64-H83</f>
        <v>-19200</v>
      </c>
      <c r="H85" s="791"/>
      <c r="J85" s="87"/>
      <c r="K85" s="87"/>
    </row>
    <row r="86" spans="2:12" x14ac:dyDescent="0.2">
      <c r="B86" s="110"/>
      <c r="F86" s="105"/>
      <c r="J86" s="109">
        <f>C37+D37+E37+F37</f>
        <v>0</v>
      </c>
      <c r="K86" s="16" t="s">
        <v>235</v>
      </c>
    </row>
    <row r="87" spans="2:12" x14ac:dyDescent="0.2">
      <c r="C87" s="793" t="s">
        <v>207</v>
      </c>
      <c r="D87" s="794"/>
      <c r="E87" s="111" t="s">
        <v>208</v>
      </c>
      <c r="F87" s="111" t="s">
        <v>209</v>
      </c>
      <c r="G87" s="111" t="s">
        <v>210</v>
      </c>
      <c r="H87" s="111" t="s">
        <v>211</v>
      </c>
      <c r="J87" s="109">
        <f>G37+H37+I37</f>
        <v>0</v>
      </c>
      <c r="K87" s="16" t="s">
        <v>236</v>
      </c>
    </row>
    <row r="88" spans="2:12" x14ac:dyDescent="0.2">
      <c r="C88" s="795" t="str">
        <f>IF(I6="M","0          - 250000","0          -  250000")</f>
        <v>0          - 250000</v>
      </c>
      <c r="D88" s="796"/>
      <c r="E88" s="112">
        <v>0</v>
      </c>
      <c r="F88" s="113">
        <f>IF(I6="M",(IF(G85&lt;250000,G85,250000)),(IF(G85&lt;250000,G85,250000)))</f>
        <v>-19200</v>
      </c>
      <c r="G88" s="113">
        <f>G85-F88</f>
        <v>0</v>
      </c>
      <c r="H88" s="113">
        <f>E88*F88</f>
        <v>0</v>
      </c>
      <c r="J88" s="109">
        <f>J37+K37+L37</f>
        <v>0</v>
      </c>
      <c r="K88" s="47" t="s">
        <v>237</v>
      </c>
    </row>
    <row r="89" spans="2:12" x14ac:dyDescent="0.2">
      <c r="C89" s="795" t="str">
        <f>IF(I6="M","250001 - 500000","250001-500000")</f>
        <v>250001 - 500000</v>
      </c>
      <c r="D89" s="796"/>
      <c r="E89" s="112">
        <v>0.05</v>
      </c>
      <c r="F89" s="113">
        <f>IF(I6="M",(IF(G88&lt;250000,G88,250000)),(IF(G88&lt;250000,G88,250000)))</f>
        <v>0</v>
      </c>
      <c r="G89" s="113">
        <f>G88-F89</f>
        <v>0</v>
      </c>
      <c r="H89" s="114">
        <f>ROUND(E89*F89,0.1)</f>
        <v>0</v>
      </c>
      <c r="J89" s="16">
        <f>M37+N37</f>
        <v>0</v>
      </c>
      <c r="K89" s="1" t="s">
        <v>238</v>
      </c>
    </row>
    <row r="90" spans="2:12" x14ac:dyDescent="0.2">
      <c r="C90" s="797" t="s">
        <v>212</v>
      </c>
      <c r="D90" s="798"/>
      <c r="E90" s="112">
        <v>0.2</v>
      </c>
      <c r="F90" s="113">
        <f>IF(G89&lt;500000,G89,500000)</f>
        <v>0</v>
      </c>
      <c r="G90" s="113">
        <f>G89-F90</f>
        <v>0</v>
      </c>
      <c r="H90" s="114">
        <f>ROUND(E90*F90,0.1)</f>
        <v>0</v>
      </c>
      <c r="J90" s="115">
        <f>SUM(J86:J89)</f>
        <v>0</v>
      </c>
    </row>
    <row r="91" spans="2:12" x14ac:dyDescent="0.2">
      <c r="C91" s="795" t="s">
        <v>213</v>
      </c>
      <c r="D91" s="796"/>
      <c r="E91" s="112">
        <v>0.3</v>
      </c>
      <c r="F91" s="113">
        <f>G90</f>
        <v>0</v>
      </c>
      <c r="G91" s="113">
        <f>G90-F91</f>
        <v>0</v>
      </c>
      <c r="H91" s="114">
        <f>ROUND(E91*F91,0.1)</f>
        <v>0</v>
      </c>
      <c r="J91" s="16">
        <f>+G64-H83</f>
        <v>-19200</v>
      </c>
    </row>
    <row r="92" spans="2:12" ht="12.75" customHeight="1" thickBot="1" x14ac:dyDescent="0.25">
      <c r="B92" s="116"/>
      <c r="C92" s="117"/>
      <c r="D92" s="47"/>
      <c r="E92" s="47"/>
      <c r="F92" s="47"/>
      <c r="J92" s="16">
        <f>+J90-J91</f>
        <v>19200</v>
      </c>
    </row>
    <row r="93" spans="2:12" ht="13.5" thickBot="1" x14ac:dyDescent="0.25">
      <c r="B93" s="799" t="s">
        <v>239</v>
      </c>
      <c r="C93" s="800"/>
      <c r="D93" s="800"/>
      <c r="E93" s="800"/>
      <c r="F93" s="801"/>
      <c r="G93" s="771">
        <f>H88+H89+H90+H91</f>
        <v>0</v>
      </c>
      <c r="H93" s="772"/>
      <c r="J93" s="87"/>
      <c r="K93" s="87"/>
    </row>
    <row r="94" spans="2:12" ht="13.5" thickBot="1" x14ac:dyDescent="0.25">
      <c r="B94" s="119" t="s">
        <v>215</v>
      </c>
      <c r="C94" s="120"/>
      <c r="D94" s="120"/>
      <c r="E94" s="120"/>
      <c r="F94" s="120"/>
      <c r="G94" s="895">
        <f>IF((G64&lt;500000),5000,0)</f>
        <v>5000</v>
      </c>
      <c r="H94" s="896">
        <f>IF(H92&lt;200000,0,IF(H92&lt;220000,((H92-200000)*10%),IF(H92&lt;=500000,2000,IF(H92&gt;=500000,0))))</f>
        <v>0</v>
      </c>
      <c r="J94" s="157"/>
      <c r="K94" s="159"/>
      <c r="L94" s="121"/>
    </row>
    <row r="95" spans="2:12" ht="13.5" thickBot="1" x14ac:dyDescent="0.25">
      <c r="B95" s="122" t="s">
        <v>216</v>
      </c>
      <c r="C95" s="123"/>
      <c r="D95" s="123"/>
      <c r="E95" s="123"/>
      <c r="F95" s="123"/>
      <c r="G95" s="771">
        <f>IF((G93-G94)&lt;0,0,(G93-G94))</f>
        <v>0</v>
      </c>
      <c r="H95" s="772"/>
      <c r="I95" s="37"/>
    </row>
    <row r="96" spans="2:12" ht="13.5" thickBot="1" x14ac:dyDescent="0.25">
      <c r="B96" s="773" t="s">
        <v>217</v>
      </c>
      <c r="C96" s="774"/>
      <c r="D96" s="774"/>
      <c r="E96" s="774"/>
      <c r="F96" s="775"/>
      <c r="G96" s="776">
        <f>ROUND((IF(G95&gt;0,(G95*3%),0)),0)</f>
        <v>0</v>
      </c>
      <c r="H96" s="777"/>
      <c r="I96" s="37"/>
    </row>
    <row r="97" spans="2:9" ht="13.5" thickBot="1" x14ac:dyDescent="0.25">
      <c r="B97" s="778" t="s">
        <v>218</v>
      </c>
      <c r="C97" s="779"/>
      <c r="D97" s="779"/>
      <c r="E97" s="779"/>
      <c r="F97" s="779"/>
      <c r="G97" s="780">
        <f>G95+G96</f>
        <v>0</v>
      </c>
      <c r="H97" s="781"/>
      <c r="I97" s="121"/>
    </row>
    <row r="98" spans="2:9" ht="13.5" thickBot="1" x14ac:dyDescent="0.25">
      <c r="B98" s="765" t="s">
        <v>219</v>
      </c>
      <c r="C98" s="766"/>
      <c r="D98" s="766"/>
      <c r="E98" s="766"/>
      <c r="F98" s="766"/>
      <c r="G98" s="767">
        <f>O38</f>
        <v>0</v>
      </c>
      <c r="H98" s="768"/>
      <c r="I98" s="121"/>
    </row>
    <row r="99" spans="2:9" ht="13.5" thickBot="1" x14ac:dyDescent="0.25">
      <c r="B99" s="765" t="str">
        <f>IF(G99&gt;0,"TAX PAYABLE","TAX REFUND")</f>
        <v>TAX REFUND</v>
      </c>
      <c r="C99" s="766"/>
      <c r="D99" s="766"/>
      <c r="E99" s="766"/>
      <c r="F99" s="766"/>
      <c r="G99" s="767">
        <f>+G97-G98</f>
        <v>0</v>
      </c>
      <c r="H99" s="768"/>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E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0:F90 B99:F99 B93:F97">
    <cfRule type="cellIs" dxfId="85" priority="3" stopIfTrue="1" operator="equal">
      <formula>"TAX PAYABLE"</formula>
    </cfRule>
    <cfRule type="cellIs" dxfId="84" priority="4" stopIfTrue="1" operator="equal">
      <formula>"TAX REFUND"</formula>
    </cfRule>
  </conditionalFormatting>
  <conditionalFormatting sqref="G90:H90">
    <cfRule type="cellIs" dxfId="83" priority="5" stopIfTrue="1" operator="lessThan">
      <formula>0</formula>
    </cfRule>
    <cfRule type="cellIs" dxfId="82" priority="6" stopIfTrue="1" operator="greaterThan">
      <formula>0</formula>
    </cfRule>
  </conditionalFormatting>
  <conditionalFormatting sqref="G99:H99">
    <cfRule type="cellIs" dxfId="81" priority="1" stopIfTrue="1" operator="greaterThan">
      <formula>0</formula>
    </cfRule>
    <cfRule type="cellIs" dxfId="80"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worksheet>
</file>

<file path=xl/worksheets/sheet1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107"/>
  <sheetViews>
    <sheetView topLeftCell="B1" workbookViewId="0">
      <selection activeCell="D6" sqref="D6:F6"/>
    </sheetView>
  </sheetViews>
  <sheetFormatPr defaultRowHeight="12.75" x14ac:dyDescent="0.2"/>
  <cols>
    <col min="1" max="1" width="5" style="16" customWidth="1"/>
    <col min="2" max="2" width="17.85546875" style="37" customWidth="1"/>
    <col min="3" max="3" width="8.85546875" style="16" customWidth="1"/>
    <col min="4" max="4" width="7.5703125" style="16" customWidth="1"/>
    <col min="5" max="5" width="8.5703125" style="16" bestFit="1" customWidth="1"/>
    <col min="6" max="6" width="8.42578125" style="16" customWidth="1"/>
    <col min="7" max="15" width="8.2851562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7.85546875" style="16" customWidth="1"/>
    <col min="259" max="259" width="8.85546875" style="16" customWidth="1"/>
    <col min="260" max="260" width="7.5703125" style="16" customWidth="1"/>
    <col min="261" max="261" width="8.5703125" style="16" bestFit="1" customWidth="1"/>
    <col min="262" max="262" width="8.42578125" style="16" customWidth="1"/>
    <col min="263" max="271" width="8.2851562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7.85546875" style="16" customWidth="1"/>
    <col min="515" max="515" width="8.85546875" style="16" customWidth="1"/>
    <col min="516" max="516" width="7.5703125" style="16" customWidth="1"/>
    <col min="517" max="517" width="8.5703125" style="16" bestFit="1" customWidth="1"/>
    <col min="518" max="518" width="8.42578125" style="16" customWidth="1"/>
    <col min="519" max="527" width="8.2851562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7.85546875" style="16" customWidth="1"/>
    <col min="771" max="771" width="8.85546875" style="16" customWidth="1"/>
    <col min="772" max="772" width="7.5703125" style="16" customWidth="1"/>
    <col min="773" max="773" width="8.5703125" style="16" bestFit="1" customWidth="1"/>
    <col min="774" max="774" width="8.42578125" style="16" customWidth="1"/>
    <col min="775" max="783" width="8.2851562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7.85546875" style="16" customWidth="1"/>
    <col min="1027" max="1027" width="8.85546875" style="16" customWidth="1"/>
    <col min="1028" max="1028" width="7.5703125" style="16" customWidth="1"/>
    <col min="1029" max="1029" width="8.5703125" style="16" bestFit="1" customWidth="1"/>
    <col min="1030" max="1030" width="8.42578125" style="16" customWidth="1"/>
    <col min="1031" max="1039" width="8.2851562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7.85546875" style="16" customWidth="1"/>
    <col min="1283" max="1283" width="8.85546875" style="16" customWidth="1"/>
    <col min="1284" max="1284" width="7.5703125" style="16" customWidth="1"/>
    <col min="1285" max="1285" width="8.5703125" style="16" bestFit="1" customWidth="1"/>
    <col min="1286" max="1286" width="8.42578125" style="16" customWidth="1"/>
    <col min="1287" max="1295" width="8.2851562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7.85546875" style="16" customWidth="1"/>
    <col min="1539" max="1539" width="8.85546875" style="16" customWidth="1"/>
    <col min="1540" max="1540" width="7.5703125" style="16" customWidth="1"/>
    <col min="1541" max="1541" width="8.5703125" style="16" bestFit="1" customWidth="1"/>
    <col min="1542" max="1542" width="8.42578125" style="16" customWidth="1"/>
    <col min="1543" max="1551" width="8.2851562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7.85546875" style="16" customWidth="1"/>
    <col min="1795" max="1795" width="8.85546875" style="16" customWidth="1"/>
    <col min="1796" max="1796" width="7.5703125" style="16" customWidth="1"/>
    <col min="1797" max="1797" width="8.5703125" style="16" bestFit="1" customWidth="1"/>
    <col min="1798" max="1798" width="8.42578125" style="16" customWidth="1"/>
    <col min="1799" max="1807" width="8.2851562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7.85546875" style="16" customWidth="1"/>
    <col min="2051" max="2051" width="8.85546875" style="16" customWidth="1"/>
    <col min="2052" max="2052" width="7.5703125" style="16" customWidth="1"/>
    <col min="2053" max="2053" width="8.5703125" style="16" bestFit="1" customWidth="1"/>
    <col min="2054" max="2054" width="8.42578125" style="16" customWidth="1"/>
    <col min="2055" max="2063" width="8.2851562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7.85546875" style="16" customWidth="1"/>
    <col min="2307" max="2307" width="8.85546875" style="16" customWidth="1"/>
    <col min="2308" max="2308" width="7.5703125" style="16" customWidth="1"/>
    <col min="2309" max="2309" width="8.5703125" style="16" bestFit="1" customWidth="1"/>
    <col min="2310" max="2310" width="8.42578125" style="16" customWidth="1"/>
    <col min="2311" max="2319" width="8.2851562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7.85546875" style="16" customWidth="1"/>
    <col min="2563" max="2563" width="8.85546875" style="16" customWidth="1"/>
    <col min="2564" max="2564" width="7.5703125" style="16" customWidth="1"/>
    <col min="2565" max="2565" width="8.5703125" style="16" bestFit="1" customWidth="1"/>
    <col min="2566" max="2566" width="8.42578125" style="16" customWidth="1"/>
    <col min="2567" max="2575" width="8.2851562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7.85546875" style="16" customWidth="1"/>
    <col min="2819" max="2819" width="8.85546875" style="16" customWidth="1"/>
    <col min="2820" max="2820" width="7.5703125" style="16" customWidth="1"/>
    <col min="2821" max="2821" width="8.5703125" style="16" bestFit="1" customWidth="1"/>
    <col min="2822" max="2822" width="8.42578125" style="16" customWidth="1"/>
    <col min="2823" max="2831" width="8.2851562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7.85546875" style="16" customWidth="1"/>
    <col min="3075" max="3075" width="8.85546875" style="16" customWidth="1"/>
    <col min="3076" max="3076" width="7.5703125" style="16" customWidth="1"/>
    <col min="3077" max="3077" width="8.5703125" style="16" bestFit="1" customWidth="1"/>
    <col min="3078" max="3078" width="8.42578125" style="16" customWidth="1"/>
    <col min="3079" max="3087" width="8.2851562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7.85546875" style="16" customWidth="1"/>
    <col min="3331" max="3331" width="8.85546875" style="16" customWidth="1"/>
    <col min="3332" max="3332" width="7.5703125" style="16" customWidth="1"/>
    <col min="3333" max="3333" width="8.5703125" style="16" bestFit="1" customWidth="1"/>
    <col min="3334" max="3334" width="8.42578125" style="16" customWidth="1"/>
    <col min="3335" max="3343" width="8.2851562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7.85546875" style="16" customWidth="1"/>
    <col min="3587" max="3587" width="8.85546875" style="16" customWidth="1"/>
    <col min="3588" max="3588" width="7.5703125" style="16" customWidth="1"/>
    <col min="3589" max="3589" width="8.5703125" style="16" bestFit="1" customWidth="1"/>
    <col min="3590" max="3590" width="8.42578125" style="16" customWidth="1"/>
    <col min="3591" max="3599" width="8.2851562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7.85546875" style="16" customWidth="1"/>
    <col min="3843" max="3843" width="8.85546875" style="16" customWidth="1"/>
    <col min="3844" max="3844" width="7.5703125" style="16" customWidth="1"/>
    <col min="3845" max="3845" width="8.5703125" style="16" bestFit="1" customWidth="1"/>
    <col min="3846" max="3846" width="8.42578125" style="16" customWidth="1"/>
    <col min="3847" max="3855" width="8.2851562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7.85546875" style="16" customWidth="1"/>
    <col min="4099" max="4099" width="8.85546875" style="16" customWidth="1"/>
    <col min="4100" max="4100" width="7.5703125" style="16" customWidth="1"/>
    <col min="4101" max="4101" width="8.5703125" style="16" bestFit="1" customWidth="1"/>
    <col min="4102" max="4102" width="8.42578125" style="16" customWidth="1"/>
    <col min="4103" max="4111" width="8.2851562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7.85546875" style="16" customWidth="1"/>
    <col min="4355" max="4355" width="8.85546875" style="16" customWidth="1"/>
    <col min="4356" max="4356" width="7.5703125" style="16" customWidth="1"/>
    <col min="4357" max="4357" width="8.5703125" style="16" bestFit="1" customWidth="1"/>
    <col min="4358" max="4358" width="8.42578125" style="16" customWidth="1"/>
    <col min="4359" max="4367" width="8.2851562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7.85546875" style="16" customWidth="1"/>
    <col min="4611" max="4611" width="8.85546875" style="16" customWidth="1"/>
    <col min="4612" max="4612" width="7.5703125" style="16" customWidth="1"/>
    <col min="4613" max="4613" width="8.5703125" style="16" bestFit="1" customWidth="1"/>
    <col min="4614" max="4614" width="8.42578125" style="16" customWidth="1"/>
    <col min="4615" max="4623" width="8.2851562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7.85546875" style="16" customWidth="1"/>
    <col min="4867" max="4867" width="8.85546875" style="16" customWidth="1"/>
    <col min="4868" max="4868" width="7.5703125" style="16" customWidth="1"/>
    <col min="4869" max="4869" width="8.5703125" style="16" bestFit="1" customWidth="1"/>
    <col min="4870" max="4870" width="8.42578125" style="16" customWidth="1"/>
    <col min="4871" max="4879" width="8.2851562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7.85546875" style="16" customWidth="1"/>
    <col min="5123" max="5123" width="8.85546875" style="16" customWidth="1"/>
    <col min="5124" max="5124" width="7.5703125" style="16" customWidth="1"/>
    <col min="5125" max="5125" width="8.5703125" style="16" bestFit="1" customWidth="1"/>
    <col min="5126" max="5126" width="8.42578125" style="16" customWidth="1"/>
    <col min="5127" max="5135" width="8.2851562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7.85546875" style="16" customWidth="1"/>
    <col min="5379" max="5379" width="8.85546875" style="16" customWidth="1"/>
    <col min="5380" max="5380" width="7.5703125" style="16" customWidth="1"/>
    <col min="5381" max="5381" width="8.5703125" style="16" bestFit="1" customWidth="1"/>
    <col min="5382" max="5382" width="8.42578125" style="16" customWidth="1"/>
    <col min="5383" max="5391" width="8.2851562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7.85546875" style="16" customWidth="1"/>
    <col min="5635" max="5635" width="8.85546875" style="16" customWidth="1"/>
    <col min="5636" max="5636" width="7.5703125" style="16" customWidth="1"/>
    <col min="5637" max="5637" width="8.5703125" style="16" bestFit="1" customWidth="1"/>
    <col min="5638" max="5638" width="8.42578125" style="16" customWidth="1"/>
    <col min="5639" max="5647" width="8.2851562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7.85546875" style="16" customWidth="1"/>
    <col min="5891" max="5891" width="8.85546875" style="16" customWidth="1"/>
    <col min="5892" max="5892" width="7.5703125" style="16" customWidth="1"/>
    <col min="5893" max="5893" width="8.5703125" style="16" bestFit="1" customWidth="1"/>
    <col min="5894" max="5894" width="8.42578125" style="16" customWidth="1"/>
    <col min="5895" max="5903" width="8.2851562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7.85546875" style="16" customWidth="1"/>
    <col min="6147" max="6147" width="8.85546875" style="16" customWidth="1"/>
    <col min="6148" max="6148" width="7.5703125" style="16" customWidth="1"/>
    <col min="6149" max="6149" width="8.5703125" style="16" bestFit="1" customWidth="1"/>
    <col min="6150" max="6150" width="8.42578125" style="16" customWidth="1"/>
    <col min="6151" max="6159" width="8.2851562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7.85546875" style="16" customWidth="1"/>
    <col min="6403" max="6403" width="8.85546875" style="16" customWidth="1"/>
    <col min="6404" max="6404" width="7.5703125" style="16" customWidth="1"/>
    <col min="6405" max="6405" width="8.5703125" style="16" bestFit="1" customWidth="1"/>
    <col min="6406" max="6406" width="8.42578125" style="16" customWidth="1"/>
    <col min="6407" max="6415" width="8.2851562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7.85546875" style="16" customWidth="1"/>
    <col min="6659" max="6659" width="8.85546875" style="16" customWidth="1"/>
    <col min="6660" max="6660" width="7.5703125" style="16" customWidth="1"/>
    <col min="6661" max="6661" width="8.5703125" style="16" bestFit="1" customWidth="1"/>
    <col min="6662" max="6662" width="8.42578125" style="16" customWidth="1"/>
    <col min="6663" max="6671" width="8.2851562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7.85546875" style="16" customWidth="1"/>
    <col min="6915" max="6915" width="8.85546875" style="16" customWidth="1"/>
    <col min="6916" max="6916" width="7.5703125" style="16" customWidth="1"/>
    <col min="6917" max="6917" width="8.5703125" style="16" bestFit="1" customWidth="1"/>
    <col min="6918" max="6918" width="8.42578125" style="16" customWidth="1"/>
    <col min="6919" max="6927" width="8.2851562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7.85546875" style="16" customWidth="1"/>
    <col min="7171" max="7171" width="8.85546875" style="16" customWidth="1"/>
    <col min="7172" max="7172" width="7.5703125" style="16" customWidth="1"/>
    <col min="7173" max="7173" width="8.5703125" style="16" bestFit="1" customWidth="1"/>
    <col min="7174" max="7174" width="8.42578125" style="16" customWidth="1"/>
    <col min="7175" max="7183" width="8.2851562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7.85546875" style="16" customWidth="1"/>
    <col min="7427" max="7427" width="8.85546875" style="16" customWidth="1"/>
    <col min="7428" max="7428" width="7.5703125" style="16" customWidth="1"/>
    <col min="7429" max="7429" width="8.5703125" style="16" bestFit="1" customWidth="1"/>
    <col min="7430" max="7430" width="8.42578125" style="16" customWidth="1"/>
    <col min="7431" max="7439" width="8.2851562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7.85546875" style="16" customWidth="1"/>
    <col min="7683" max="7683" width="8.85546875" style="16" customWidth="1"/>
    <col min="7684" max="7684" width="7.5703125" style="16" customWidth="1"/>
    <col min="7685" max="7685" width="8.5703125" style="16" bestFit="1" customWidth="1"/>
    <col min="7686" max="7686" width="8.42578125" style="16" customWidth="1"/>
    <col min="7687" max="7695" width="8.2851562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7.85546875" style="16" customWidth="1"/>
    <col min="7939" max="7939" width="8.85546875" style="16" customWidth="1"/>
    <col min="7940" max="7940" width="7.5703125" style="16" customWidth="1"/>
    <col min="7941" max="7941" width="8.5703125" style="16" bestFit="1" customWidth="1"/>
    <col min="7942" max="7942" width="8.42578125" style="16" customWidth="1"/>
    <col min="7943" max="7951" width="8.2851562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7.85546875" style="16" customWidth="1"/>
    <col min="8195" max="8195" width="8.85546875" style="16" customWidth="1"/>
    <col min="8196" max="8196" width="7.5703125" style="16" customWidth="1"/>
    <col min="8197" max="8197" width="8.5703125" style="16" bestFit="1" customWidth="1"/>
    <col min="8198" max="8198" width="8.42578125" style="16" customWidth="1"/>
    <col min="8199" max="8207" width="8.2851562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7.85546875" style="16" customWidth="1"/>
    <col min="8451" max="8451" width="8.85546875" style="16" customWidth="1"/>
    <col min="8452" max="8452" width="7.5703125" style="16" customWidth="1"/>
    <col min="8453" max="8453" width="8.5703125" style="16" bestFit="1" customWidth="1"/>
    <col min="8454" max="8454" width="8.42578125" style="16" customWidth="1"/>
    <col min="8455" max="8463" width="8.2851562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7.85546875" style="16" customWidth="1"/>
    <col min="8707" max="8707" width="8.85546875" style="16" customWidth="1"/>
    <col min="8708" max="8708" width="7.5703125" style="16" customWidth="1"/>
    <col min="8709" max="8709" width="8.5703125" style="16" bestFit="1" customWidth="1"/>
    <col min="8710" max="8710" width="8.42578125" style="16" customWidth="1"/>
    <col min="8711" max="8719" width="8.2851562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7.85546875" style="16" customWidth="1"/>
    <col min="8963" max="8963" width="8.85546875" style="16" customWidth="1"/>
    <col min="8964" max="8964" width="7.5703125" style="16" customWidth="1"/>
    <col min="8965" max="8965" width="8.5703125" style="16" bestFit="1" customWidth="1"/>
    <col min="8966" max="8966" width="8.42578125" style="16" customWidth="1"/>
    <col min="8967" max="8975" width="8.2851562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7.85546875" style="16" customWidth="1"/>
    <col min="9219" max="9219" width="8.85546875" style="16" customWidth="1"/>
    <col min="9220" max="9220" width="7.5703125" style="16" customWidth="1"/>
    <col min="9221" max="9221" width="8.5703125" style="16" bestFit="1" customWidth="1"/>
    <col min="9222" max="9222" width="8.42578125" style="16" customWidth="1"/>
    <col min="9223" max="9231" width="8.2851562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7.85546875" style="16" customWidth="1"/>
    <col min="9475" max="9475" width="8.85546875" style="16" customWidth="1"/>
    <col min="9476" max="9476" width="7.5703125" style="16" customWidth="1"/>
    <col min="9477" max="9477" width="8.5703125" style="16" bestFit="1" customWidth="1"/>
    <col min="9478" max="9478" width="8.42578125" style="16" customWidth="1"/>
    <col min="9479" max="9487" width="8.2851562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7.85546875" style="16" customWidth="1"/>
    <col min="9731" max="9731" width="8.85546875" style="16" customWidth="1"/>
    <col min="9732" max="9732" width="7.5703125" style="16" customWidth="1"/>
    <col min="9733" max="9733" width="8.5703125" style="16" bestFit="1" customWidth="1"/>
    <col min="9734" max="9734" width="8.42578125" style="16" customWidth="1"/>
    <col min="9735" max="9743" width="8.2851562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7.85546875" style="16" customWidth="1"/>
    <col min="9987" max="9987" width="8.85546875" style="16" customWidth="1"/>
    <col min="9988" max="9988" width="7.5703125" style="16" customWidth="1"/>
    <col min="9989" max="9989" width="8.5703125" style="16" bestFit="1" customWidth="1"/>
    <col min="9990" max="9990" width="8.42578125" style="16" customWidth="1"/>
    <col min="9991" max="9999" width="8.2851562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7.85546875" style="16" customWidth="1"/>
    <col min="10243" max="10243" width="8.85546875" style="16" customWidth="1"/>
    <col min="10244" max="10244" width="7.5703125" style="16" customWidth="1"/>
    <col min="10245" max="10245" width="8.5703125" style="16" bestFit="1" customWidth="1"/>
    <col min="10246" max="10246" width="8.42578125" style="16" customWidth="1"/>
    <col min="10247" max="10255" width="8.2851562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7.85546875" style="16" customWidth="1"/>
    <col min="10499" max="10499" width="8.85546875" style="16" customWidth="1"/>
    <col min="10500" max="10500" width="7.5703125" style="16" customWidth="1"/>
    <col min="10501" max="10501" width="8.5703125" style="16" bestFit="1" customWidth="1"/>
    <col min="10502" max="10502" width="8.42578125" style="16" customWidth="1"/>
    <col min="10503" max="10511" width="8.2851562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7.85546875" style="16" customWidth="1"/>
    <col min="10755" max="10755" width="8.85546875" style="16" customWidth="1"/>
    <col min="10756" max="10756" width="7.5703125" style="16" customWidth="1"/>
    <col min="10757" max="10757" width="8.5703125" style="16" bestFit="1" customWidth="1"/>
    <col min="10758" max="10758" width="8.42578125" style="16" customWidth="1"/>
    <col min="10759" max="10767" width="8.2851562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7.85546875" style="16" customWidth="1"/>
    <col min="11011" max="11011" width="8.85546875" style="16" customWidth="1"/>
    <col min="11012" max="11012" width="7.5703125" style="16" customWidth="1"/>
    <col min="11013" max="11013" width="8.5703125" style="16" bestFit="1" customWidth="1"/>
    <col min="11014" max="11014" width="8.42578125" style="16" customWidth="1"/>
    <col min="11015" max="11023" width="8.2851562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7.85546875" style="16" customWidth="1"/>
    <col min="11267" max="11267" width="8.85546875" style="16" customWidth="1"/>
    <col min="11268" max="11268" width="7.5703125" style="16" customWidth="1"/>
    <col min="11269" max="11269" width="8.5703125" style="16" bestFit="1" customWidth="1"/>
    <col min="11270" max="11270" width="8.42578125" style="16" customWidth="1"/>
    <col min="11271" max="11279" width="8.2851562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7.85546875" style="16" customWidth="1"/>
    <col min="11523" max="11523" width="8.85546875" style="16" customWidth="1"/>
    <col min="11524" max="11524" width="7.5703125" style="16" customWidth="1"/>
    <col min="11525" max="11525" width="8.5703125" style="16" bestFit="1" customWidth="1"/>
    <col min="11526" max="11526" width="8.42578125" style="16" customWidth="1"/>
    <col min="11527" max="11535" width="8.2851562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7.85546875" style="16" customWidth="1"/>
    <col min="11779" max="11779" width="8.85546875" style="16" customWidth="1"/>
    <col min="11780" max="11780" width="7.5703125" style="16" customWidth="1"/>
    <col min="11781" max="11781" width="8.5703125" style="16" bestFit="1" customWidth="1"/>
    <col min="11782" max="11782" width="8.42578125" style="16" customWidth="1"/>
    <col min="11783" max="11791" width="8.2851562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7.85546875" style="16" customWidth="1"/>
    <col min="12035" max="12035" width="8.85546875" style="16" customWidth="1"/>
    <col min="12036" max="12036" width="7.5703125" style="16" customWidth="1"/>
    <col min="12037" max="12037" width="8.5703125" style="16" bestFit="1" customWidth="1"/>
    <col min="12038" max="12038" width="8.42578125" style="16" customWidth="1"/>
    <col min="12039" max="12047" width="8.2851562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7.85546875" style="16" customWidth="1"/>
    <col min="12291" max="12291" width="8.85546875" style="16" customWidth="1"/>
    <col min="12292" max="12292" width="7.5703125" style="16" customWidth="1"/>
    <col min="12293" max="12293" width="8.5703125" style="16" bestFit="1" customWidth="1"/>
    <col min="12294" max="12294" width="8.42578125" style="16" customWidth="1"/>
    <col min="12295" max="12303" width="8.2851562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7.85546875" style="16" customWidth="1"/>
    <col min="12547" max="12547" width="8.85546875" style="16" customWidth="1"/>
    <col min="12548" max="12548" width="7.5703125" style="16" customWidth="1"/>
    <col min="12549" max="12549" width="8.5703125" style="16" bestFit="1" customWidth="1"/>
    <col min="12550" max="12550" width="8.42578125" style="16" customWidth="1"/>
    <col min="12551" max="12559" width="8.2851562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7.85546875" style="16" customWidth="1"/>
    <col min="12803" max="12803" width="8.85546875" style="16" customWidth="1"/>
    <col min="12804" max="12804" width="7.5703125" style="16" customWidth="1"/>
    <col min="12805" max="12805" width="8.5703125" style="16" bestFit="1" customWidth="1"/>
    <col min="12806" max="12806" width="8.42578125" style="16" customWidth="1"/>
    <col min="12807" max="12815" width="8.2851562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7.85546875" style="16" customWidth="1"/>
    <col min="13059" max="13059" width="8.85546875" style="16" customWidth="1"/>
    <col min="13060" max="13060" width="7.5703125" style="16" customWidth="1"/>
    <col min="13061" max="13061" width="8.5703125" style="16" bestFit="1" customWidth="1"/>
    <col min="13062" max="13062" width="8.42578125" style="16" customWidth="1"/>
    <col min="13063" max="13071" width="8.2851562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7.85546875" style="16" customWidth="1"/>
    <col min="13315" max="13315" width="8.85546875" style="16" customWidth="1"/>
    <col min="13316" max="13316" width="7.5703125" style="16" customWidth="1"/>
    <col min="13317" max="13317" width="8.5703125" style="16" bestFit="1" customWidth="1"/>
    <col min="13318" max="13318" width="8.42578125" style="16" customWidth="1"/>
    <col min="13319" max="13327" width="8.2851562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7.85546875" style="16" customWidth="1"/>
    <col min="13571" max="13571" width="8.85546875" style="16" customWidth="1"/>
    <col min="13572" max="13572" width="7.5703125" style="16" customWidth="1"/>
    <col min="13573" max="13573" width="8.5703125" style="16" bestFit="1" customWidth="1"/>
    <col min="13574" max="13574" width="8.42578125" style="16" customWidth="1"/>
    <col min="13575" max="13583" width="8.2851562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7.85546875" style="16" customWidth="1"/>
    <col min="13827" max="13827" width="8.85546875" style="16" customWidth="1"/>
    <col min="13828" max="13828" width="7.5703125" style="16" customWidth="1"/>
    <col min="13829" max="13829" width="8.5703125" style="16" bestFit="1" customWidth="1"/>
    <col min="13830" max="13830" width="8.42578125" style="16" customWidth="1"/>
    <col min="13831" max="13839" width="8.2851562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7.85546875" style="16" customWidth="1"/>
    <col min="14083" max="14083" width="8.85546875" style="16" customWidth="1"/>
    <col min="14084" max="14084" width="7.5703125" style="16" customWidth="1"/>
    <col min="14085" max="14085" width="8.5703125" style="16" bestFit="1" customWidth="1"/>
    <col min="14086" max="14086" width="8.42578125" style="16" customWidth="1"/>
    <col min="14087" max="14095" width="8.2851562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7.85546875" style="16" customWidth="1"/>
    <col min="14339" max="14339" width="8.85546875" style="16" customWidth="1"/>
    <col min="14340" max="14340" width="7.5703125" style="16" customWidth="1"/>
    <col min="14341" max="14341" width="8.5703125" style="16" bestFit="1" customWidth="1"/>
    <col min="14342" max="14342" width="8.42578125" style="16" customWidth="1"/>
    <col min="14343" max="14351" width="8.2851562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7.85546875" style="16" customWidth="1"/>
    <col min="14595" max="14595" width="8.85546875" style="16" customWidth="1"/>
    <col min="14596" max="14596" width="7.5703125" style="16" customWidth="1"/>
    <col min="14597" max="14597" width="8.5703125" style="16" bestFit="1" customWidth="1"/>
    <col min="14598" max="14598" width="8.42578125" style="16" customWidth="1"/>
    <col min="14599" max="14607" width="8.2851562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7.85546875" style="16" customWidth="1"/>
    <col min="14851" max="14851" width="8.85546875" style="16" customWidth="1"/>
    <col min="14852" max="14852" width="7.5703125" style="16" customWidth="1"/>
    <col min="14853" max="14853" width="8.5703125" style="16" bestFit="1" customWidth="1"/>
    <col min="14854" max="14854" width="8.42578125" style="16" customWidth="1"/>
    <col min="14855" max="14863" width="8.2851562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7.85546875" style="16" customWidth="1"/>
    <col min="15107" max="15107" width="8.85546875" style="16" customWidth="1"/>
    <col min="15108" max="15108" width="7.5703125" style="16" customWidth="1"/>
    <col min="15109" max="15109" width="8.5703125" style="16" bestFit="1" customWidth="1"/>
    <col min="15110" max="15110" width="8.42578125" style="16" customWidth="1"/>
    <col min="15111" max="15119" width="8.2851562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7.85546875" style="16" customWidth="1"/>
    <col min="15363" max="15363" width="8.85546875" style="16" customWidth="1"/>
    <col min="15364" max="15364" width="7.5703125" style="16" customWidth="1"/>
    <col min="15365" max="15365" width="8.5703125" style="16" bestFit="1" customWidth="1"/>
    <col min="15366" max="15366" width="8.42578125" style="16" customWidth="1"/>
    <col min="15367" max="15375" width="8.2851562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7.85546875" style="16" customWidth="1"/>
    <col min="15619" max="15619" width="8.85546875" style="16" customWidth="1"/>
    <col min="15620" max="15620" width="7.5703125" style="16" customWidth="1"/>
    <col min="15621" max="15621" width="8.5703125" style="16" bestFit="1" customWidth="1"/>
    <col min="15622" max="15622" width="8.42578125" style="16" customWidth="1"/>
    <col min="15623" max="15631" width="8.2851562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7.85546875" style="16" customWidth="1"/>
    <col min="15875" max="15875" width="8.85546875" style="16" customWidth="1"/>
    <col min="15876" max="15876" width="7.5703125" style="16" customWidth="1"/>
    <col min="15877" max="15877" width="8.5703125" style="16" bestFit="1" customWidth="1"/>
    <col min="15878" max="15878" width="8.42578125" style="16" customWidth="1"/>
    <col min="15879" max="15887" width="8.2851562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7.85546875" style="16" customWidth="1"/>
    <col min="16131" max="16131" width="8.85546875" style="16" customWidth="1"/>
    <col min="16132" max="16132" width="7.5703125" style="16" customWidth="1"/>
    <col min="16133" max="16133" width="8.5703125" style="16" bestFit="1" customWidth="1"/>
    <col min="16134" max="16134" width="8.42578125" style="16" customWidth="1"/>
    <col min="16135" max="16143" width="8.2851562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67" t="s">
        <v>100</v>
      </c>
      <c r="B1" s="868"/>
      <c r="C1" s="868"/>
      <c r="D1" s="869"/>
      <c r="E1" s="868"/>
      <c r="F1" s="868"/>
      <c r="G1" s="867" t="s">
        <v>102</v>
      </c>
      <c r="H1" s="869"/>
      <c r="I1" s="869" t="s">
        <v>65</v>
      </c>
      <c r="J1" s="868"/>
      <c r="K1" s="868"/>
      <c r="L1" s="870"/>
      <c r="M1" s="870"/>
      <c r="N1" s="870"/>
      <c r="O1" s="870"/>
    </row>
    <row r="2" spans="1:15" s="1" customFormat="1" x14ac:dyDescent="0.2">
      <c r="A2" s="867" t="s">
        <v>103</v>
      </c>
      <c r="B2" s="868"/>
      <c r="C2" s="868"/>
      <c r="D2" s="869"/>
      <c r="E2" s="868"/>
      <c r="F2" s="868"/>
      <c r="G2" s="867" t="s">
        <v>104</v>
      </c>
      <c r="H2" s="869"/>
      <c r="I2" s="869" t="s">
        <v>105</v>
      </c>
      <c r="J2" s="868"/>
      <c r="K2" s="868"/>
      <c r="L2" s="870"/>
      <c r="M2" s="870"/>
      <c r="N2" s="870"/>
      <c r="O2" s="870"/>
    </row>
    <row r="3" spans="1:15" s="1" customFormat="1" x14ac:dyDescent="0.2">
      <c r="A3" s="867" t="s">
        <v>106</v>
      </c>
      <c r="B3" s="868"/>
      <c r="C3" s="868"/>
      <c r="D3" s="883" t="s">
        <v>338</v>
      </c>
      <c r="E3" s="868"/>
      <c r="F3" s="868"/>
      <c r="G3" s="867" t="s">
        <v>107</v>
      </c>
      <c r="H3" s="869"/>
      <c r="I3" s="869" t="s">
        <v>108</v>
      </c>
      <c r="J3" s="868"/>
      <c r="K3" s="868"/>
      <c r="L3" s="870"/>
      <c r="M3" s="870"/>
      <c r="N3" s="870"/>
      <c r="O3" s="870"/>
    </row>
    <row r="4" spans="1:15" s="1" customFormat="1" x14ac:dyDescent="0.2">
      <c r="A4" s="867" t="s">
        <v>109</v>
      </c>
      <c r="B4" s="868"/>
      <c r="C4" s="868"/>
      <c r="D4" s="869"/>
      <c r="E4" s="868"/>
      <c r="F4" s="868"/>
      <c r="G4" s="867" t="s">
        <v>110</v>
      </c>
      <c r="H4" s="869"/>
      <c r="I4" s="869" t="s">
        <v>339</v>
      </c>
      <c r="J4" s="868"/>
      <c r="K4" s="868"/>
      <c r="L4" s="870"/>
      <c r="M4" s="870"/>
      <c r="N4" s="870"/>
      <c r="O4" s="870"/>
    </row>
    <row r="5" spans="1:15" s="1" customFormat="1" x14ac:dyDescent="0.2">
      <c r="A5" s="867" t="s">
        <v>278</v>
      </c>
      <c r="B5" s="868"/>
      <c r="C5" s="868"/>
      <c r="D5" s="869" t="s">
        <v>340</v>
      </c>
      <c r="E5" s="868"/>
      <c r="F5" s="868"/>
      <c r="G5" s="867"/>
      <c r="H5" s="868"/>
      <c r="I5" s="869" t="s">
        <v>113</v>
      </c>
      <c r="J5" s="868"/>
      <c r="K5" s="868"/>
      <c r="L5" s="870"/>
      <c r="M5" s="870"/>
      <c r="N5" s="870"/>
      <c r="O5" s="870"/>
    </row>
    <row r="6" spans="1:15" s="1" customFormat="1" x14ac:dyDescent="0.2">
      <c r="A6" s="871" t="s">
        <v>114</v>
      </c>
      <c r="B6" s="872"/>
      <c r="C6" s="872"/>
      <c r="D6" s="868" t="s">
        <v>66</v>
      </c>
      <c r="E6" s="868"/>
      <c r="F6" s="868"/>
      <c r="G6" s="871" t="s">
        <v>115</v>
      </c>
      <c r="H6" s="871"/>
      <c r="I6" s="2" t="s">
        <v>116</v>
      </c>
      <c r="J6" s="873" t="s">
        <v>341</v>
      </c>
      <c r="K6" s="873"/>
      <c r="L6" s="873"/>
      <c r="M6" s="873"/>
      <c r="N6" s="873"/>
      <c r="O6" s="874"/>
    </row>
    <row r="7" spans="1:15" s="1" customFormat="1" ht="13.5" thickBot="1" x14ac:dyDescent="0.25">
      <c r="A7" s="3"/>
      <c r="B7" s="4"/>
      <c r="C7" s="5"/>
      <c r="D7" s="6"/>
      <c r="E7" s="6"/>
      <c r="F7" s="6"/>
      <c r="G7" s="6"/>
      <c r="H7" s="6"/>
      <c r="I7" s="6"/>
      <c r="J7" s="7"/>
      <c r="K7" s="8"/>
      <c r="L7" s="875" t="s">
        <v>223</v>
      </c>
      <c r="M7" s="875"/>
      <c r="N7" s="875"/>
      <c r="O7" s="875"/>
    </row>
    <row r="8" spans="1:15" s="11" customFormat="1" x14ac:dyDescent="0.2">
      <c r="A8" s="876" t="str">
        <f>I1</f>
        <v>Mr. J. M. Salvi</v>
      </c>
      <c r="B8" s="877"/>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0</v>
      </c>
      <c r="D9" s="14">
        <v>0</v>
      </c>
      <c r="E9" s="14">
        <v>0</v>
      </c>
      <c r="F9" s="14">
        <v>0</v>
      </c>
      <c r="G9" s="14">
        <v>0</v>
      </c>
      <c r="H9" s="14">
        <v>0</v>
      </c>
      <c r="I9" s="14">
        <v>0</v>
      </c>
      <c r="J9" s="14">
        <v>0</v>
      </c>
      <c r="K9" s="14">
        <v>0</v>
      </c>
      <c r="L9" s="14">
        <v>0</v>
      </c>
      <c r="M9" s="14">
        <v>0</v>
      </c>
      <c r="N9" s="14">
        <v>0</v>
      </c>
      <c r="O9" s="15">
        <f>SUM(C9:N9)</f>
        <v>0</v>
      </c>
    </row>
    <row r="10" spans="1:15" ht="15" x14ac:dyDescent="0.2">
      <c r="A10" s="12"/>
      <c r="B10" s="13" t="s">
        <v>119</v>
      </c>
      <c r="C10" s="17">
        <v>0</v>
      </c>
      <c r="D10" s="17">
        <f>+C10</f>
        <v>0</v>
      </c>
      <c r="E10" s="17">
        <f t="shared" ref="E10:N25" si="0">+D10</f>
        <v>0</v>
      </c>
      <c r="F10" s="17">
        <f t="shared" si="0"/>
        <v>0</v>
      </c>
      <c r="G10" s="17">
        <f t="shared" si="0"/>
        <v>0</v>
      </c>
      <c r="H10" s="17">
        <v>0</v>
      </c>
      <c r="I10" s="17">
        <f t="shared" si="0"/>
        <v>0</v>
      </c>
      <c r="J10" s="17">
        <f t="shared" si="0"/>
        <v>0</v>
      </c>
      <c r="K10" s="17">
        <f t="shared" si="0"/>
        <v>0</v>
      </c>
      <c r="L10" s="17">
        <f t="shared" si="0"/>
        <v>0</v>
      </c>
      <c r="M10" s="17">
        <f t="shared" si="0"/>
        <v>0</v>
      </c>
      <c r="N10" s="17">
        <f t="shared" si="0"/>
        <v>0</v>
      </c>
      <c r="O10" s="18">
        <f>SUM(C10:N10)</f>
        <v>0</v>
      </c>
    </row>
    <row r="11" spans="1:15" ht="15" x14ac:dyDescent="0.2">
      <c r="A11" s="12"/>
      <c r="B11" s="13" t="s">
        <v>120</v>
      </c>
      <c r="C11" s="17">
        <v>0</v>
      </c>
      <c r="D11" s="17">
        <f t="shared" ref="D11:G26" si="1">+C11</f>
        <v>0</v>
      </c>
      <c r="E11" s="17">
        <f t="shared" si="1"/>
        <v>0</v>
      </c>
      <c r="F11" s="17">
        <f t="shared" si="1"/>
        <v>0</v>
      </c>
      <c r="G11" s="17">
        <f t="shared" si="1"/>
        <v>0</v>
      </c>
      <c r="H11" s="17">
        <v>0</v>
      </c>
      <c r="I11" s="17">
        <f t="shared" si="0"/>
        <v>0</v>
      </c>
      <c r="J11" s="17">
        <f t="shared" si="0"/>
        <v>0</v>
      </c>
      <c r="K11" s="17">
        <f t="shared" si="0"/>
        <v>0</v>
      </c>
      <c r="L11" s="17">
        <f t="shared" si="0"/>
        <v>0</v>
      </c>
      <c r="M11" s="17">
        <f t="shared" si="0"/>
        <v>0</v>
      </c>
      <c r="N11" s="17">
        <f t="shared" si="0"/>
        <v>0</v>
      </c>
      <c r="O11" s="18">
        <f>SUM(C11:N11)</f>
        <v>0</v>
      </c>
    </row>
    <row r="12" spans="1:15" ht="15" x14ac:dyDescent="0.2">
      <c r="A12" s="12"/>
      <c r="B12" s="13" t="s">
        <v>121</v>
      </c>
      <c r="C12" s="17">
        <v>0</v>
      </c>
      <c r="D12" s="17">
        <f t="shared" si="1"/>
        <v>0</v>
      </c>
      <c r="E12" s="17">
        <f t="shared" si="1"/>
        <v>0</v>
      </c>
      <c r="F12" s="17">
        <f t="shared" si="1"/>
        <v>0</v>
      </c>
      <c r="G12" s="17">
        <f t="shared" si="1"/>
        <v>0</v>
      </c>
      <c r="H12" s="17">
        <v>0</v>
      </c>
      <c r="I12" s="17">
        <f t="shared" si="0"/>
        <v>0</v>
      </c>
      <c r="J12" s="17">
        <f t="shared" si="0"/>
        <v>0</v>
      </c>
      <c r="K12" s="17">
        <f t="shared" si="0"/>
        <v>0</v>
      </c>
      <c r="L12" s="17">
        <f t="shared" si="0"/>
        <v>0</v>
      </c>
      <c r="M12" s="17">
        <f t="shared" si="0"/>
        <v>0</v>
      </c>
      <c r="N12" s="17">
        <f t="shared" si="0"/>
        <v>0</v>
      </c>
      <c r="O12" s="18">
        <f>SUM(C12:N12)</f>
        <v>0</v>
      </c>
    </row>
    <row r="13" spans="1:15" ht="15" hidden="1" x14ac:dyDescent="0.2">
      <c r="A13" s="12"/>
      <c r="B13" s="13" t="s">
        <v>122</v>
      </c>
      <c r="C13" s="17">
        <v>0</v>
      </c>
      <c r="D13" s="17">
        <f t="shared" si="1"/>
        <v>0</v>
      </c>
      <c r="E13" s="17">
        <f t="shared" si="1"/>
        <v>0</v>
      </c>
      <c r="F13" s="17">
        <f t="shared" si="1"/>
        <v>0</v>
      </c>
      <c r="G13" s="17">
        <f t="shared" si="1"/>
        <v>0</v>
      </c>
      <c r="H13" s="17">
        <v>0</v>
      </c>
      <c r="I13" s="17">
        <f t="shared" si="0"/>
        <v>0</v>
      </c>
      <c r="J13" s="17">
        <f t="shared" si="0"/>
        <v>0</v>
      </c>
      <c r="K13" s="17">
        <f t="shared" si="0"/>
        <v>0</v>
      </c>
      <c r="L13" s="17">
        <f t="shared" si="0"/>
        <v>0</v>
      </c>
      <c r="M13" s="17">
        <f t="shared" si="0"/>
        <v>0</v>
      </c>
      <c r="N13" s="17">
        <f t="shared" si="0"/>
        <v>0</v>
      </c>
      <c r="O13" s="18">
        <f t="shared" ref="O13:O36" si="2">SUM(C13:N13)</f>
        <v>0</v>
      </c>
    </row>
    <row r="14" spans="1:15" ht="15" x14ac:dyDescent="0.2">
      <c r="A14" s="12"/>
      <c r="B14" s="13" t="s">
        <v>123</v>
      </c>
      <c r="C14" s="17">
        <v>0</v>
      </c>
      <c r="D14" s="17">
        <f t="shared" si="1"/>
        <v>0</v>
      </c>
      <c r="E14" s="17">
        <f t="shared" si="1"/>
        <v>0</v>
      </c>
      <c r="F14" s="17">
        <f t="shared" si="1"/>
        <v>0</v>
      </c>
      <c r="G14" s="17">
        <f t="shared" si="1"/>
        <v>0</v>
      </c>
      <c r="H14" s="17">
        <v>0</v>
      </c>
      <c r="I14" s="17">
        <f t="shared" si="0"/>
        <v>0</v>
      </c>
      <c r="J14" s="17">
        <f t="shared" si="0"/>
        <v>0</v>
      </c>
      <c r="K14" s="17">
        <f t="shared" si="0"/>
        <v>0</v>
      </c>
      <c r="L14" s="17">
        <f t="shared" si="0"/>
        <v>0</v>
      </c>
      <c r="M14" s="17">
        <f t="shared" si="0"/>
        <v>0</v>
      </c>
      <c r="N14" s="17">
        <f t="shared" si="0"/>
        <v>0</v>
      </c>
      <c r="O14" s="18">
        <f t="shared" si="2"/>
        <v>0</v>
      </c>
    </row>
    <row r="15" spans="1:15" ht="15" hidden="1" x14ac:dyDescent="0.2">
      <c r="A15" s="12"/>
      <c r="B15" s="13" t="s">
        <v>124</v>
      </c>
      <c r="C15" s="17">
        <v>0</v>
      </c>
      <c r="D15" s="17">
        <f t="shared" si="1"/>
        <v>0</v>
      </c>
      <c r="E15" s="17">
        <f t="shared" si="1"/>
        <v>0</v>
      </c>
      <c r="F15" s="17">
        <f t="shared" si="1"/>
        <v>0</v>
      </c>
      <c r="G15" s="17">
        <f t="shared" si="1"/>
        <v>0</v>
      </c>
      <c r="H15" s="17">
        <v>0</v>
      </c>
      <c r="I15" s="17">
        <f t="shared" si="0"/>
        <v>0</v>
      </c>
      <c r="J15" s="17">
        <f t="shared" si="0"/>
        <v>0</v>
      </c>
      <c r="K15" s="17">
        <f t="shared" si="0"/>
        <v>0</v>
      </c>
      <c r="L15" s="17">
        <f t="shared" si="0"/>
        <v>0</v>
      </c>
      <c r="M15" s="17">
        <f t="shared" si="0"/>
        <v>0</v>
      </c>
      <c r="N15" s="17">
        <f t="shared" si="0"/>
        <v>0</v>
      </c>
      <c r="O15" s="18">
        <f t="shared" si="2"/>
        <v>0</v>
      </c>
    </row>
    <row r="16" spans="1:15" ht="15" hidden="1" x14ac:dyDescent="0.2">
      <c r="A16" s="12"/>
      <c r="B16" s="13" t="s">
        <v>125</v>
      </c>
      <c r="C16" s="17">
        <v>0</v>
      </c>
      <c r="D16" s="17">
        <f t="shared" si="1"/>
        <v>0</v>
      </c>
      <c r="E16" s="17">
        <f t="shared" si="1"/>
        <v>0</v>
      </c>
      <c r="F16" s="17">
        <f t="shared" si="1"/>
        <v>0</v>
      </c>
      <c r="G16" s="17">
        <f t="shared" si="1"/>
        <v>0</v>
      </c>
      <c r="H16" s="17">
        <v>0</v>
      </c>
      <c r="I16" s="17">
        <f t="shared" si="0"/>
        <v>0</v>
      </c>
      <c r="J16" s="17">
        <f t="shared" si="0"/>
        <v>0</v>
      </c>
      <c r="K16" s="17">
        <f t="shared" si="0"/>
        <v>0</v>
      </c>
      <c r="L16" s="17">
        <f t="shared" si="0"/>
        <v>0</v>
      </c>
      <c r="M16" s="17">
        <f t="shared" si="0"/>
        <v>0</v>
      </c>
      <c r="N16" s="17">
        <f t="shared" si="0"/>
        <v>0</v>
      </c>
      <c r="O16" s="18">
        <f t="shared" si="2"/>
        <v>0</v>
      </c>
    </row>
    <row r="17" spans="1:15" ht="15" hidden="1" x14ac:dyDescent="0.2">
      <c r="A17" s="12"/>
      <c r="B17" s="13" t="s">
        <v>126</v>
      </c>
      <c r="C17" s="17">
        <v>0</v>
      </c>
      <c r="D17" s="17">
        <f t="shared" si="1"/>
        <v>0</v>
      </c>
      <c r="E17" s="17">
        <f t="shared" si="1"/>
        <v>0</v>
      </c>
      <c r="F17" s="17">
        <f t="shared" si="1"/>
        <v>0</v>
      </c>
      <c r="G17" s="17">
        <f t="shared" si="1"/>
        <v>0</v>
      </c>
      <c r="H17" s="17">
        <v>0</v>
      </c>
      <c r="I17" s="17">
        <f t="shared" si="0"/>
        <v>0</v>
      </c>
      <c r="J17" s="17">
        <f t="shared" si="0"/>
        <v>0</v>
      </c>
      <c r="K17" s="17">
        <f t="shared" si="0"/>
        <v>0</v>
      </c>
      <c r="L17" s="17">
        <f t="shared" si="0"/>
        <v>0</v>
      </c>
      <c r="M17" s="17">
        <f t="shared" si="0"/>
        <v>0</v>
      </c>
      <c r="N17" s="17">
        <f t="shared" si="0"/>
        <v>0</v>
      </c>
      <c r="O17" s="18">
        <f t="shared" si="2"/>
        <v>0</v>
      </c>
    </row>
    <row r="18" spans="1:15" ht="15" x14ac:dyDescent="0.2">
      <c r="A18" s="12"/>
      <c r="B18" s="13" t="s">
        <v>224</v>
      </c>
      <c r="C18" s="17">
        <v>0</v>
      </c>
      <c r="D18" s="17">
        <f t="shared" si="1"/>
        <v>0</v>
      </c>
      <c r="E18" s="17">
        <f t="shared" si="1"/>
        <v>0</v>
      </c>
      <c r="F18" s="17">
        <f t="shared" si="1"/>
        <v>0</v>
      </c>
      <c r="G18" s="17">
        <f t="shared" si="1"/>
        <v>0</v>
      </c>
      <c r="H18" s="17">
        <v>0</v>
      </c>
      <c r="I18" s="17">
        <f t="shared" si="0"/>
        <v>0</v>
      </c>
      <c r="J18" s="17">
        <f t="shared" si="0"/>
        <v>0</v>
      </c>
      <c r="K18" s="17">
        <f t="shared" si="0"/>
        <v>0</v>
      </c>
      <c r="L18" s="17">
        <f t="shared" si="0"/>
        <v>0</v>
      </c>
      <c r="M18" s="17">
        <f t="shared" si="0"/>
        <v>0</v>
      </c>
      <c r="N18" s="17">
        <f t="shared" si="0"/>
        <v>0</v>
      </c>
      <c r="O18" s="18">
        <f t="shared" si="2"/>
        <v>0</v>
      </c>
    </row>
    <row r="19" spans="1:15" ht="15" x14ac:dyDescent="0.2">
      <c r="A19" s="12"/>
      <c r="B19" s="13" t="s">
        <v>128</v>
      </c>
      <c r="C19" s="17">
        <v>0</v>
      </c>
      <c r="D19" s="17">
        <f t="shared" si="1"/>
        <v>0</v>
      </c>
      <c r="E19" s="17">
        <f t="shared" si="1"/>
        <v>0</v>
      </c>
      <c r="F19" s="17">
        <f t="shared" si="1"/>
        <v>0</v>
      </c>
      <c r="G19" s="17">
        <f t="shared" si="1"/>
        <v>0</v>
      </c>
      <c r="H19" s="17">
        <v>0</v>
      </c>
      <c r="I19" s="17">
        <f t="shared" si="0"/>
        <v>0</v>
      </c>
      <c r="J19" s="17">
        <f t="shared" si="0"/>
        <v>0</v>
      </c>
      <c r="K19" s="17">
        <f t="shared" si="0"/>
        <v>0</v>
      </c>
      <c r="L19" s="17">
        <f t="shared" si="0"/>
        <v>0</v>
      </c>
      <c r="M19" s="17">
        <f t="shared" si="0"/>
        <v>0</v>
      </c>
      <c r="N19" s="17">
        <f t="shared" si="0"/>
        <v>0</v>
      </c>
      <c r="O19" s="18">
        <f t="shared" si="2"/>
        <v>0</v>
      </c>
    </row>
    <row r="20" spans="1:15" ht="15" customHeight="1" x14ac:dyDescent="0.2">
      <c r="A20" s="12"/>
      <c r="B20" s="13" t="s">
        <v>129</v>
      </c>
      <c r="C20" s="17">
        <v>0</v>
      </c>
      <c r="D20" s="17">
        <f t="shared" si="1"/>
        <v>0</v>
      </c>
      <c r="E20" s="17">
        <f t="shared" si="1"/>
        <v>0</v>
      </c>
      <c r="F20" s="17">
        <f t="shared" si="1"/>
        <v>0</v>
      </c>
      <c r="G20" s="17">
        <f t="shared" si="1"/>
        <v>0</v>
      </c>
      <c r="H20" s="17">
        <v>0</v>
      </c>
      <c r="I20" s="17">
        <f t="shared" si="0"/>
        <v>0</v>
      </c>
      <c r="J20" s="17">
        <f t="shared" si="0"/>
        <v>0</v>
      </c>
      <c r="K20" s="17">
        <f t="shared" si="0"/>
        <v>0</v>
      </c>
      <c r="L20" s="17">
        <f t="shared" si="0"/>
        <v>0</v>
      </c>
      <c r="M20" s="17">
        <f t="shared" si="0"/>
        <v>0</v>
      </c>
      <c r="N20" s="17">
        <f t="shared" si="0"/>
        <v>0</v>
      </c>
      <c r="O20" s="18">
        <f t="shared" si="2"/>
        <v>0</v>
      </c>
    </row>
    <row r="21" spans="1:15" ht="15" hidden="1" customHeight="1" x14ac:dyDescent="0.2">
      <c r="A21" s="878" t="s">
        <v>130</v>
      </c>
      <c r="B21" s="19" t="s">
        <v>131</v>
      </c>
      <c r="C21" s="17">
        <v>0</v>
      </c>
      <c r="D21" s="17">
        <f t="shared" si="1"/>
        <v>0</v>
      </c>
      <c r="E21" s="17">
        <f t="shared" si="1"/>
        <v>0</v>
      </c>
      <c r="F21" s="17">
        <f t="shared" si="1"/>
        <v>0</v>
      </c>
      <c r="G21" s="17">
        <f t="shared" si="1"/>
        <v>0</v>
      </c>
      <c r="H21" s="17">
        <v>0</v>
      </c>
      <c r="I21" s="17">
        <f t="shared" si="0"/>
        <v>0</v>
      </c>
      <c r="J21" s="17">
        <f t="shared" si="0"/>
        <v>0</v>
      </c>
      <c r="K21" s="17">
        <f t="shared" si="0"/>
        <v>0</v>
      </c>
      <c r="L21" s="17">
        <f t="shared" si="0"/>
        <v>0</v>
      </c>
      <c r="M21" s="17">
        <f t="shared" si="0"/>
        <v>0</v>
      </c>
      <c r="N21" s="17">
        <f t="shared" si="0"/>
        <v>0</v>
      </c>
      <c r="O21" s="18">
        <f t="shared" si="2"/>
        <v>0</v>
      </c>
    </row>
    <row r="22" spans="1:15" ht="13.5" customHeight="1" x14ac:dyDescent="0.2">
      <c r="A22" s="879"/>
      <c r="B22" s="19" t="s">
        <v>132</v>
      </c>
      <c r="C22" s="17">
        <v>0</v>
      </c>
      <c r="D22" s="17">
        <f t="shared" si="1"/>
        <v>0</v>
      </c>
      <c r="E22" s="17">
        <f t="shared" si="1"/>
        <v>0</v>
      </c>
      <c r="F22" s="17">
        <f t="shared" si="1"/>
        <v>0</v>
      </c>
      <c r="G22" s="17">
        <f t="shared" si="1"/>
        <v>0</v>
      </c>
      <c r="H22" s="17">
        <v>0</v>
      </c>
      <c r="I22" s="17">
        <f t="shared" si="0"/>
        <v>0</v>
      </c>
      <c r="J22" s="17">
        <f t="shared" si="0"/>
        <v>0</v>
      </c>
      <c r="K22" s="17">
        <f t="shared" si="0"/>
        <v>0</v>
      </c>
      <c r="L22" s="17">
        <f t="shared" si="0"/>
        <v>0</v>
      </c>
      <c r="M22" s="17">
        <f t="shared" si="0"/>
        <v>0</v>
      </c>
      <c r="N22" s="17">
        <f t="shared" si="0"/>
        <v>0</v>
      </c>
      <c r="O22" s="18">
        <f t="shared" si="2"/>
        <v>0</v>
      </c>
    </row>
    <row r="23" spans="1:15" ht="15" hidden="1" customHeight="1" x14ac:dyDescent="0.2">
      <c r="A23" s="879"/>
      <c r="B23" s="19" t="s">
        <v>133</v>
      </c>
      <c r="C23" s="17">
        <v>0</v>
      </c>
      <c r="D23" s="17">
        <f t="shared" si="1"/>
        <v>0</v>
      </c>
      <c r="E23" s="17">
        <f t="shared" si="1"/>
        <v>0</v>
      </c>
      <c r="F23" s="17">
        <f t="shared" si="1"/>
        <v>0</v>
      </c>
      <c r="G23" s="17">
        <f t="shared" si="1"/>
        <v>0</v>
      </c>
      <c r="H23" s="17">
        <v>0</v>
      </c>
      <c r="I23" s="17">
        <f t="shared" si="0"/>
        <v>0</v>
      </c>
      <c r="J23" s="17">
        <f t="shared" si="0"/>
        <v>0</v>
      </c>
      <c r="K23" s="17">
        <f t="shared" si="0"/>
        <v>0</v>
      </c>
      <c r="L23" s="17">
        <f t="shared" si="0"/>
        <v>0</v>
      </c>
      <c r="M23" s="17">
        <f t="shared" si="0"/>
        <v>0</v>
      </c>
      <c r="N23" s="17">
        <f t="shared" si="0"/>
        <v>0</v>
      </c>
      <c r="O23" s="18">
        <f t="shared" si="2"/>
        <v>0</v>
      </c>
    </row>
    <row r="24" spans="1:15" ht="4.5" hidden="1" customHeight="1" x14ac:dyDescent="0.2">
      <c r="A24" s="879"/>
      <c r="B24" s="19" t="s">
        <v>134</v>
      </c>
      <c r="C24" s="17">
        <v>0</v>
      </c>
      <c r="D24" s="17">
        <f t="shared" si="1"/>
        <v>0</v>
      </c>
      <c r="E24" s="17">
        <f t="shared" si="1"/>
        <v>0</v>
      </c>
      <c r="F24" s="17">
        <f t="shared" si="1"/>
        <v>0</v>
      </c>
      <c r="G24" s="17">
        <f t="shared" si="1"/>
        <v>0</v>
      </c>
      <c r="H24" s="17">
        <v>0</v>
      </c>
      <c r="I24" s="17">
        <f t="shared" si="0"/>
        <v>0</v>
      </c>
      <c r="J24" s="17">
        <f t="shared" si="0"/>
        <v>0</v>
      </c>
      <c r="K24" s="17">
        <f t="shared" si="0"/>
        <v>0</v>
      </c>
      <c r="L24" s="17">
        <f t="shared" si="0"/>
        <v>0</v>
      </c>
      <c r="M24" s="17">
        <f t="shared" si="0"/>
        <v>0</v>
      </c>
      <c r="N24" s="17">
        <f t="shared" si="0"/>
        <v>0</v>
      </c>
      <c r="O24" s="18">
        <f t="shared" si="2"/>
        <v>0</v>
      </c>
    </row>
    <row r="25" spans="1:15" ht="14.25" hidden="1" customHeight="1" x14ac:dyDescent="0.2">
      <c r="A25" s="879"/>
      <c r="B25" s="19" t="s">
        <v>135</v>
      </c>
      <c r="C25" s="17">
        <v>0</v>
      </c>
      <c r="D25" s="17">
        <f t="shared" si="1"/>
        <v>0</v>
      </c>
      <c r="E25" s="17">
        <f t="shared" si="1"/>
        <v>0</v>
      </c>
      <c r="F25" s="17">
        <f t="shared" si="1"/>
        <v>0</v>
      </c>
      <c r="G25" s="17">
        <f t="shared" si="1"/>
        <v>0</v>
      </c>
      <c r="H25" s="17">
        <v>0</v>
      </c>
      <c r="I25" s="17">
        <f t="shared" si="0"/>
        <v>0</v>
      </c>
      <c r="J25" s="17">
        <f t="shared" si="0"/>
        <v>0</v>
      </c>
      <c r="K25" s="17">
        <f t="shared" si="0"/>
        <v>0</v>
      </c>
      <c r="L25" s="17">
        <f t="shared" si="0"/>
        <v>0</v>
      </c>
      <c r="M25" s="17">
        <f t="shared" si="0"/>
        <v>0</v>
      </c>
      <c r="N25" s="17">
        <f t="shared" si="0"/>
        <v>0</v>
      </c>
      <c r="O25" s="18">
        <f t="shared" si="2"/>
        <v>0</v>
      </c>
    </row>
    <row r="26" spans="1:15" ht="1.5" hidden="1" customHeight="1" x14ac:dyDescent="0.2">
      <c r="A26" s="879"/>
      <c r="B26" s="19" t="s">
        <v>136</v>
      </c>
      <c r="C26" s="17">
        <v>0</v>
      </c>
      <c r="D26" s="17">
        <f t="shared" si="1"/>
        <v>0</v>
      </c>
      <c r="E26" s="17">
        <f t="shared" si="1"/>
        <v>0</v>
      </c>
      <c r="F26" s="17">
        <f t="shared" si="1"/>
        <v>0</v>
      </c>
      <c r="G26" s="17">
        <f t="shared" si="1"/>
        <v>0</v>
      </c>
      <c r="H26" s="17">
        <v>0</v>
      </c>
      <c r="I26" s="17">
        <f t="shared" ref="I26:N36" si="3">+H26</f>
        <v>0</v>
      </c>
      <c r="J26" s="17">
        <f t="shared" si="3"/>
        <v>0</v>
      </c>
      <c r="K26" s="17">
        <f t="shared" si="3"/>
        <v>0</v>
      </c>
      <c r="L26" s="17">
        <f t="shared" si="3"/>
        <v>0</v>
      </c>
      <c r="M26" s="17">
        <f t="shared" si="3"/>
        <v>0</v>
      </c>
      <c r="N26" s="17">
        <f t="shared" si="3"/>
        <v>0</v>
      </c>
      <c r="O26" s="18">
        <f t="shared" si="2"/>
        <v>0</v>
      </c>
    </row>
    <row r="27" spans="1:15" ht="11.25" hidden="1" customHeight="1" x14ac:dyDescent="0.2">
      <c r="A27" s="879"/>
      <c r="B27" s="19" t="s">
        <v>137</v>
      </c>
      <c r="C27" s="17">
        <v>0</v>
      </c>
      <c r="D27" s="17">
        <f t="shared" ref="D27:G36" si="4">+C27</f>
        <v>0</v>
      </c>
      <c r="E27" s="17">
        <f t="shared" si="4"/>
        <v>0</v>
      </c>
      <c r="F27" s="17">
        <f t="shared" si="4"/>
        <v>0</v>
      </c>
      <c r="G27" s="17">
        <f t="shared" si="4"/>
        <v>0</v>
      </c>
      <c r="H27" s="17">
        <v>0</v>
      </c>
      <c r="I27" s="17">
        <f t="shared" si="3"/>
        <v>0</v>
      </c>
      <c r="J27" s="17">
        <f t="shared" si="3"/>
        <v>0</v>
      </c>
      <c r="K27" s="17">
        <f t="shared" si="3"/>
        <v>0</v>
      </c>
      <c r="L27" s="17">
        <f t="shared" si="3"/>
        <v>0</v>
      </c>
      <c r="M27" s="17">
        <f t="shared" si="3"/>
        <v>0</v>
      </c>
      <c r="N27" s="17">
        <f t="shared" si="3"/>
        <v>0</v>
      </c>
      <c r="O27" s="18">
        <f t="shared" si="2"/>
        <v>0</v>
      </c>
    </row>
    <row r="28" spans="1:15" ht="11.25" hidden="1" customHeight="1" x14ac:dyDescent="0.2">
      <c r="A28" s="879"/>
      <c r="B28" s="19" t="s">
        <v>138</v>
      </c>
      <c r="C28" s="17">
        <v>0</v>
      </c>
      <c r="D28" s="17">
        <f t="shared" si="4"/>
        <v>0</v>
      </c>
      <c r="E28" s="17">
        <f t="shared" si="4"/>
        <v>0</v>
      </c>
      <c r="F28" s="17">
        <f t="shared" si="4"/>
        <v>0</v>
      </c>
      <c r="G28" s="17">
        <f t="shared" si="4"/>
        <v>0</v>
      </c>
      <c r="H28" s="17">
        <v>0</v>
      </c>
      <c r="I28" s="17">
        <f t="shared" si="3"/>
        <v>0</v>
      </c>
      <c r="J28" s="17">
        <f t="shared" si="3"/>
        <v>0</v>
      </c>
      <c r="K28" s="17">
        <f t="shared" si="3"/>
        <v>0</v>
      </c>
      <c r="L28" s="17">
        <f t="shared" si="3"/>
        <v>0</v>
      </c>
      <c r="M28" s="17">
        <f t="shared" si="3"/>
        <v>0</v>
      </c>
      <c r="N28" s="17">
        <f t="shared" si="3"/>
        <v>0</v>
      </c>
      <c r="O28" s="18">
        <f t="shared" si="2"/>
        <v>0</v>
      </c>
    </row>
    <row r="29" spans="1:15" ht="17.25" hidden="1" customHeight="1" x14ac:dyDescent="0.2">
      <c r="A29" s="879"/>
      <c r="B29" s="19" t="s">
        <v>139</v>
      </c>
      <c r="C29" s="17">
        <v>0</v>
      </c>
      <c r="D29" s="17">
        <f t="shared" si="4"/>
        <v>0</v>
      </c>
      <c r="E29" s="17">
        <f t="shared" si="4"/>
        <v>0</v>
      </c>
      <c r="F29" s="17">
        <f t="shared" si="4"/>
        <v>0</v>
      </c>
      <c r="G29" s="17">
        <f t="shared" si="4"/>
        <v>0</v>
      </c>
      <c r="H29" s="17">
        <v>0</v>
      </c>
      <c r="I29" s="17">
        <f t="shared" si="3"/>
        <v>0</v>
      </c>
      <c r="J29" s="17">
        <f t="shared" si="3"/>
        <v>0</v>
      </c>
      <c r="K29" s="17">
        <f t="shared" si="3"/>
        <v>0</v>
      </c>
      <c r="L29" s="17">
        <f t="shared" si="3"/>
        <v>0</v>
      </c>
      <c r="M29" s="17">
        <f t="shared" si="3"/>
        <v>0</v>
      </c>
      <c r="N29" s="17">
        <f t="shared" si="3"/>
        <v>0</v>
      </c>
      <c r="O29" s="18">
        <f t="shared" si="2"/>
        <v>0</v>
      </c>
    </row>
    <row r="30" spans="1:15" ht="16.5" hidden="1" customHeight="1" x14ac:dyDescent="0.2">
      <c r="A30" s="879"/>
      <c r="B30" s="19" t="s">
        <v>140</v>
      </c>
      <c r="C30" s="17">
        <v>0</v>
      </c>
      <c r="D30" s="17">
        <f t="shared" si="4"/>
        <v>0</v>
      </c>
      <c r="E30" s="17">
        <f t="shared" si="4"/>
        <v>0</v>
      </c>
      <c r="F30" s="17">
        <f t="shared" si="4"/>
        <v>0</v>
      </c>
      <c r="G30" s="17">
        <f t="shared" si="4"/>
        <v>0</v>
      </c>
      <c r="H30" s="17">
        <v>0</v>
      </c>
      <c r="I30" s="17">
        <f t="shared" si="3"/>
        <v>0</v>
      </c>
      <c r="J30" s="17">
        <f t="shared" si="3"/>
        <v>0</v>
      </c>
      <c r="K30" s="17">
        <f t="shared" si="3"/>
        <v>0</v>
      </c>
      <c r="L30" s="17">
        <f t="shared" si="3"/>
        <v>0</v>
      </c>
      <c r="M30" s="17">
        <f t="shared" si="3"/>
        <v>0</v>
      </c>
      <c r="N30" s="17">
        <f t="shared" si="3"/>
        <v>0</v>
      </c>
      <c r="O30" s="18">
        <f t="shared" si="2"/>
        <v>0</v>
      </c>
    </row>
    <row r="31" spans="1:15" ht="13.5" hidden="1" customHeight="1" x14ac:dyDescent="0.2">
      <c r="A31" s="879"/>
      <c r="B31" s="19" t="s">
        <v>225</v>
      </c>
      <c r="C31" s="17">
        <v>0</v>
      </c>
      <c r="D31" s="17">
        <f t="shared" si="4"/>
        <v>0</v>
      </c>
      <c r="E31" s="17">
        <f t="shared" si="4"/>
        <v>0</v>
      </c>
      <c r="F31" s="17">
        <f t="shared" si="4"/>
        <v>0</v>
      </c>
      <c r="G31" s="17">
        <f t="shared" si="4"/>
        <v>0</v>
      </c>
      <c r="H31" s="17">
        <v>0</v>
      </c>
      <c r="I31" s="17">
        <f t="shared" si="3"/>
        <v>0</v>
      </c>
      <c r="J31" s="17">
        <f t="shared" si="3"/>
        <v>0</v>
      </c>
      <c r="K31" s="17">
        <f t="shared" si="3"/>
        <v>0</v>
      </c>
      <c r="L31" s="17">
        <f t="shared" si="3"/>
        <v>0</v>
      </c>
      <c r="M31" s="17">
        <f t="shared" si="3"/>
        <v>0</v>
      </c>
      <c r="N31" s="17">
        <f t="shared" si="3"/>
        <v>0</v>
      </c>
      <c r="O31" s="18">
        <f t="shared" si="2"/>
        <v>0</v>
      </c>
    </row>
    <row r="32" spans="1:15" ht="15" customHeight="1" x14ac:dyDescent="0.2">
      <c r="A32" s="879"/>
      <c r="B32" s="21" t="s">
        <v>142</v>
      </c>
      <c r="C32" s="17">
        <v>0</v>
      </c>
      <c r="D32" s="17">
        <f t="shared" si="4"/>
        <v>0</v>
      </c>
      <c r="E32" s="17">
        <f t="shared" si="4"/>
        <v>0</v>
      </c>
      <c r="F32" s="17">
        <f t="shared" si="4"/>
        <v>0</v>
      </c>
      <c r="G32" s="17">
        <f t="shared" si="4"/>
        <v>0</v>
      </c>
      <c r="H32" s="17">
        <v>0</v>
      </c>
      <c r="I32" s="17">
        <f t="shared" si="3"/>
        <v>0</v>
      </c>
      <c r="J32" s="17">
        <f t="shared" si="3"/>
        <v>0</v>
      </c>
      <c r="K32" s="17">
        <f t="shared" si="3"/>
        <v>0</v>
      </c>
      <c r="L32" s="17">
        <f t="shared" si="3"/>
        <v>0</v>
      </c>
      <c r="M32" s="17">
        <f t="shared" si="3"/>
        <v>0</v>
      </c>
      <c r="N32" s="17">
        <f t="shared" si="3"/>
        <v>0</v>
      </c>
      <c r="O32" s="18">
        <f t="shared" si="2"/>
        <v>0</v>
      </c>
    </row>
    <row r="33" spans="1:15" ht="15" hidden="1" customHeight="1" x14ac:dyDescent="0.2">
      <c r="A33" s="880"/>
      <c r="B33" s="19" t="s">
        <v>226</v>
      </c>
      <c r="C33" s="17">
        <v>0</v>
      </c>
      <c r="D33" s="17">
        <f t="shared" si="4"/>
        <v>0</v>
      </c>
      <c r="E33" s="17">
        <f t="shared" si="4"/>
        <v>0</v>
      </c>
      <c r="F33" s="17">
        <f t="shared" si="4"/>
        <v>0</v>
      </c>
      <c r="G33" s="17">
        <f t="shared" si="4"/>
        <v>0</v>
      </c>
      <c r="H33" s="17">
        <v>0</v>
      </c>
      <c r="I33" s="17">
        <f t="shared" si="3"/>
        <v>0</v>
      </c>
      <c r="J33" s="17">
        <f t="shared" si="3"/>
        <v>0</v>
      </c>
      <c r="K33" s="17">
        <f t="shared" si="3"/>
        <v>0</v>
      </c>
      <c r="L33" s="17">
        <f t="shared" si="3"/>
        <v>0</v>
      </c>
      <c r="M33" s="17">
        <f t="shared" si="3"/>
        <v>0</v>
      </c>
      <c r="N33" s="17">
        <f t="shared" si="3"/>
        <v>0</v>
      </c>
      <c r="O33" s="18">
        <f t="shared" si="2"/>
        <v>0</v>
      </c>
    </row>
    <row r="34" spans="1:15" ht="15" customHeight="1" x14ac:dyDescent="0.2">
      <c r="A34" s="865" t="s">
        <v>144</v>
      </c>
      <c r="B34" s="866"/>
      <c r="C34" s="17">
        <v>0</v>
      </c>
      <c r="D34" s="17">
        <f t="shared" si="4"/>
        <v>0</v>
      </c>
      <c r="E34" s="17">
        <f t="shared" si="4"/>
        <v>0</v>
      </c>
      <c r="F34" s="17">
        <f t="shared" si="4"/>
        <v>0</v>
      </c>
      <c r="G34" s="17">
        <f t="shared" si="4"/>
        <v>0</v>
      </c>
      <c r="H34" s="17">
        <v>0</v>
      </c>
      <c r="I34" s="17">
        <f t="shared" si="3"/>
        <v>0</v>
      </c>
      <c r="J34" s="17">
        <f t="shared" si="3"/>
        <v>0</v>
      </c>
      <c r="K34" s="17">
        <f t="shared" si="3"/>
        <v>0</v>
      </c>
      <c r="L34" s="17">
        <f t="shared" si="3"/>
        <v>0</v>
      </c>
      <c r="M34" s="17">
        <f t="shared" si="3"/>
        <v>0</v>
      </c>
      <c r="N34" s="17">
        <f t="shared" si="3"/>
        <v>0</v>
      </c>
      <c r="O34" s="18">
        <f t="shared" si="2"/>
        <v>0</v>
      </c>
    </row>
    <row r="35" spans="1:15" ht="15" customHeight="1" x14ac:dyDescent="0.2">
      <c r="A35" s="865" t="s">
        <v>145</v>
      </c>
      <c r="B35" s="866"/>
      <c r="C35" s="17">
        <v>0</v>
      </c>
      <c r="D35" s="17">
        <f t="shared" si="4"/>
        <v>0</v>
      </c>
      <c r="E35" s="17">
        <f t="shared" si="4"/>
        <v>0</v>
      </c>
      <c r="F35" s="17">
        <f t="shared" si="4"/>
        <v>0</v>
      </c>
      <c r="G35" s="17">
        <f t="shared" si="4"/>
        <v>0</v>
      </c>
      <c r="H35" s="17">
        <v>0</v>
      </c>
      <c r="I35" s="17">
        <f t="shared" si="3"/>
        <v>0</v>
      </c>
      <c r="J35" s="17">
        <f t="shared" si="3"/>
        <v>0</v>
      </c>
      <c r="K35" s="17">
        <f t="shared" si="3"/>
        <v>0</v>
      </c>
      <c r="L35" s="17">
        <f t="shared" si="3"/>
        <v>0</v>
      </c>
      <c r="M35" s="17">
        <f t="shared" si="3"/>
        <v>0</v>
      </c>
      <c r="N35" s="17">
        <f t="shared" si="3"/>
        <v>0</v>
      </c>
      <c r="O35" s="18">
        <f t="shared" si="2"/>
        <v>0</v>
      </c>
    </row>
    <row r="36" spans="1:15" ht="15" customHeight="1" x14ac:dyDescent="0.2">
      <c r="A36" s="865" t="s">
        <v>146</v>
      </c>
      <c r="B36" s="866"/>
      <c r="C36" s="17">
        <v>0</v>
      </c>
      <c r="D36" s="17">
        <f t="shared" si="4"/>
        <v>0</v>
      </c>
      <c r="E36" s="17">
        <f t="shared" si="4"/>
        <v>0</v>
      </c>
      <c r="F36" s="17">
        <f t="shared" si="4"/>
        <v>0</v>
      </c>
      <c r="G36" s="17">
        <f t="shared" si="4"/>
        <v>0</v>
      </c>
      <c r="H36" s="17">
        <v>0</v>
      </c>
      <c r="I36" s="17">
        <f t="shared" si="3"/>
        <v>0</v>
      </c>
      <c r="J36" s="17">
        <f t="shared" si="3"/>
        <v>0</v>
      </c>
      <c r="K36" s="17">
        <f t="shared" si="3"/>
        <v>0</v>
      </c>
      <c r="L36" s="17">
        <f t="shared" si="3"/>
        <v>0</v>
      </c>
      <c r="M36" s="17">
        <f t="shared" si="3"/>
        <v>0</v>
      </c>
      <c r="N36" s="17">
        <f t="shared" si="3"/>
        <v>0</v>
      </c>
      <c r="O36" s="18">
        <f t="shared" si="2"/>
        <v>0</v>
      </c>
    </row>
    <row r="37" spans="1:15" ht="15" customHeight="1" x14ac:dyDescent="0.2">
      <c r="A37" s="22"/>
      <c r="B37" s="23" t="s">
        <v>147</v>
      </c>
      <c r="C37" s="24">
        <f t="shared" ref="C37:N37" si="5">SUM(C9:C36)</f>
        <v>0</v>
      </c>
      <c r="D37" s="24">
        <f t="shared" si="5"/>
        <v>0</v>
      </c>
      <c r="E37" s="24">
        <f t="shared" si="5"/>
        <v>0</v>
      </c>
      <c r="F37" s="24">
        <f t="shared" si="5"/>
        <v>0</v>
      </c>
      <c r="G37" s="24">
        <f t="shared" si="5"/>
        <v>0</v>
      </c>
      <c r="H37" s="24">
        <f t="shared" si="5"/>
        <v>0</v>
      </c>
      <c r="I37" s="24">
        <f t="shared" si="5"/>
        <v>0</v>
      </c>
      <c r="J37" s="24">
        <f t="shared" si="5"/>
        <v>0</v>
      </c>
      <c r="K37" s="24">
        <f>SUM(K9:K36)</f>
        <v>0</v>
      </c>
      <c r="L37" s="24">
        <f t="shared" si="5"/>
        <v>0</v>
      </c>
      <c r="M37" s="24">
        <f t="shared" si="5"/>
        <v>0</v>
      </c>
      <c r="N37" s="24">
        <f t="shared" si="5"/>
        <v>0</v>
      </c>
      <c r="O37" s="25">
        <f>SUM(C37:N37)</f>
        <v>0</v>
      </c>
    </row>
    <row r="38" spans="1:15" ht="15" customHeight="1" x14ac:dyDescent="0.2">
      <c r="A38" s="853" t="s">
        <v>148</v>
      </c>
      <c r="B38" s="27" t="s">
        <v>149</v>
      </c>
      <c r="C38" s="147">
        <v>0</v>
      </c>
      <c r="D38" s="147">
        <v>0</v>
      </c>
      <c r="E38" s="147">
        <v>0</v>
      </c>
      <c r="F38" s="147">
        <v>0</v>
      </c>
      <c r="G38" s="147">
        <v>0</v>
      </c>
      <c r="H38" s="147">
        <v>0</v>
      </c>
      <c r="I38" s="147">
        <v>0</v>
      </c>
      <c r="J38" s="147">
        <v>0</v>
      </c>
      <c r="K38" s="147">
        <v>0</v>
      </c>
      <c r="L38" s="147">
        <v>0</v>
      </c>
      <c r="M38" s="147">
        <v>0</v>
      </c>
      <c r="N38" s="147">
        <v>0</v>
      </c>
      <c r="O38" s="18">
        <f>SUM(C38:N38)</f>
        <v>0</v>
      </c>
    </row>
    <row r="39" spans="1:15" ht="15" x14ac:dyDescent="0.2">
      <c r="A39" s="854"/>
      <c r="B39" s="27" t="s">
        <v>150</v>
      </c>
      <c r="C39" s="147">
        <v>0</v>
      </c>
      <c r="D39" s="147">
        <v>0</v>
      </c>
      <c r="E39" s="147">
        <v>0</v>
      </c>
      <c r="F39" s="147">
        <v>0</v>
      </c>
      <c r="G39" s="147">
        <v>0</v>
      </c>
      <c r="H39" s="147">
        <v>0</v>
      </c>
      <c r="I39" s="147">
        <v>0</v>
      </c>
      <c r="J39" s="147">
        <v>0</v>
      </c>
      <c r="K39" s="147">
        <v>0</v>
      </c>
      <c r="L39" s="147">
        <v>0</v>
      </c>
      <c r="M39" s="147">
        <v>0</v>
      </c>
      <c r="N39" s="147">
        <v>0</v>
      </c>
      <c r="O39" s="18">
        <f>SUM(C39:N39)</f>
        <v>0</v>
      </c>
    </row>
    <row r="40" spans="1:15" ht="15" x14ac:dyDescent="0.2">
      <c r="A40" s="854"/>
      <c r="B40" s="27" t="s">
        <v>151</v>
      </c>
      <c r="C40" s="147">
        <v>0</v>
      </c>
      <c r="D40" s="147">
        <v>0</v>
      </c>
      <c r="E40" s="147">
        <v>0</v>
      </c>
      <c r="F40" s="147">
        <v>0</v>
      </c>
      <c r="G40" s="147">
        <v>0</v>
      </c>
      <c r="H40" s="147">
        <v>0</v>
      </c>
      <c r="I40" s="147">
        <v>0</v>
      </c>
      <c r="J40" s="147">
        <v>0</v>
      </c>
      <c r="K40" s="147">
        <v>0</v>
      </c>
      <c r="L40" s="147">
        <v>0</v>
      </c>
      <c r="M40" s="147">
        <v>0</v>
      </c>
      <c r="N40" s="147">
        <v>0</v>
      </c>
      <c r="O40" s="18">
        <f t="shared" ref="O40:O50" si="6">SUM(C40:N40)</f>
        <v>0</v>
      </c>
    </row>
    <row r="41" spans="1:15" ht="15" x14ac:dyDescent="0.2">
      <c r="A41" s="854"/>
      <c r="B41" s="27" t="s">
        <v>152</v>
      </c>
      <c r="C41" s="147">
        <v>0</v>
      </c>
      <c r="D41" s="147">
        <v>0</v>
      </c>
      <c r="E41" s="147">
        <v>0</v>
      </c>
      <c r="F41" s="147">
        <v>0</v>
      </c>
      <c r="G41" s="147">
        <v>0</v>
      </c>
      <c r="H41" s="147">
        <v>0</v>
      </c>
      <c r="I41" s="147">
        <v>0</v>
      </c>
      <c r="J41" s="147">
        <v>0</v>
      </c>
      <c r="K41" s="147">
        <v>0</v>
      </c>
      <c r="L41" s="147">
        <v>0</v>
      </c>
      <c r="M41" s="147">
        <v>0</v>
      </c>
      <c r="N41" s="147">
        <v>0</v>
      </c>
      <c r="O41" s="18">
        <f t="shared" si="6"/>
        <v>0</v>
      </c>
    </row>
    <row r="42" spans="1:15" ht="15" x14ac:dyDescent="0.2">
      <c r="A42" s="854"/>
      <c r="B42" s="27" t="s">
        <v>153</v>
      </c>
      <c r="C42" s="147">
        <v>0</v>
      </c>
      <c r="D42" s="147">
        <v>0</v>
      </c>
      <c r="E42" s="147">
        <v>0</v>
      </c>
      <c r="F42" s="147">
        <v>0</v>
      </c>
      <c r="G42" s="147">
        <v>0</v>
      </c>
      <c r="H42" s="147">
        <v>0</v>
      </c>
      <c r="I42" s="147">
        <v>0</v>
      </c>
      <c r="J42" s="147">
        <v>0</v>
      </c>
      <c r="K42" s="147">
        <v>0</v>
      </c>
      <c r="L42" s="147">
        <v>0</v>
      </c>
      <c r="M42" s="147">
        <v>0</v>
      </c>
      <c r="N42" s="147">
        <v>0</v>
      </c>
      <c r="O42" s="18">
        <f t="shared" si="6"/>
        <v>0</v>
      </c>
    </row>
    <row r="43" spans="1:15" ht="15" x14ac:dyDescent="0.2">
      <c r="A43" s="854"/>
      <c r="B43" s="27" t="s">
        <v>154</v>
      </c>
      <c r="C43" s="147">
        <v>0</v>
      </c>
      <c r="D43" s="147">
        <v>0</v>
      </c>
      <c r="E43" s="147">
        <v>0</v>
      </c>
      <c r="F43" s="147">
        <v>0</v>
      </c>
      <c r="G43" s="147">
        <v>0</v>
      </c>
      <c r="H43" s="147">
        <v>0</v>
      </c>
      <c r="I43" s="147">
        <v>0</v>
      </c>
      <c r="J43" s="147">
        <v>0</v>
      </c>
      <c r="K43" s="147">
        <v>0</v>
      </c>
      <c r="L43" s="147">
        <v>0</v>
      </c>
      <c r="M43" s="147">
        <v>0</v>
      </c>
      <c r="N43" s="147">
        <v>0</v>
      </c>
      <c r="O43" s="18">
        <f>SUM(C43:N43)</f>
        <v>0</v>
      </c>
    </row>
    <row r="44" spans="1:15" ht="15" x14ac:dyDescent="0.2">
      <c r="A44" s="854"/>
      <c r="B44" s="27" t="s">
        <v>155</v>
      </c>
      <c r="C44" s="147">
        <v>0</v>
      </c>
      <c r="D44" s="147">
        <v>0</v>
      </c>
      <c r="E44" s="147">
        <v>0</v>
      </c>
      <c r="F44" s="147">
        <v>0</v>
      </c>
      <c r="G44" s="147">
        <v>0</v>
      </c>
      <c r="H44" s="147">
        <v>0</v>
      </c>
      <c r="I44" s="147">
        <v>0</v>
      </c>
      <c r="J44" s="147">
        <v>0</v>
      </c>
      <c r="K44" s="147">
        <v>0</v>
      </c>
      <c r="L44" s="147">
        <v>0</v>
      </c>
      <c r="M44" s="147">
        <v>0</v>
      </c>
      <c r="N44" s="147">
        <v>0</v>
      </c>
      <c r="O44" s="18">
        <f t="shared" si="6"/>
        <v>0</v>
      </c>
    </row>
    <row r="45" spans="1:15" ht="15" x14ac:dyDescent="0.2">
      <c r="A45" s="854"/>
      <c r="B45" s="27" t="s">
        <v>156</v>
      </c>
      <c r="C45" s="147">
        <v>0</v>
      </c>
      <c r="D45" s="147">
        <v>0</v>
      </c>
      <c r="E45" s="147">
        <v>0</v>
      </c>
      <c r="F45" s="147">
        <v>0</v>
      </c>
      <c r="G45" s="147">
        <v>0</v>
      </c>
      <c r="H45" s="147">
        <v>0</v>
      </c>
      <c r="I45" s="147">
        <v>0</v>
      </c>
      <c r="J45" s="147">
        <v>0</v>
      </c>
      <c r="K45" s="147">
        <v>0</v>
      </c>
      <c r="L45" s="147">
        <v>0</v>
      </c>
      <c r="M45" s="147">
        <v>0</v>
      </c>
      <c r="N45" s="147">
        <v>0</v>
      </c>
      <c r="O45" s="18">
        <f t="shared" si="6"/>
        <v>0</v>
      </c>
    </row>
    <row r="46" spans="1:15" ht="15" x14ac:dyDescent="0.2">
      <c r="A46" s="854"/>
      <c r="B46" s="27" t="s">
        <v>157</v>
      </c>
      <c r="C46" s="147">
        <v>0</v>
      </c>
      <c r="D46" s="147">
        <v>0</v>
      </c>
      <c r="E46" s="147">
        <v>0</v>
      </c>
      <c r="F46" s="147">
        <v>0</v>
      </c>
      <c r="G46" s="147">
        <v>0</v>
      </c>
      <c r="H46" s="147">
        <v>0</v>
      </c>
      <c r="I46" s="147">
        <v>0</v>
      </c>
      <c r="J46" s="147">
        <v>0</v>
      </c>
      <c r="K46" s="147">
        <v>0</v>
      </c>
      <c r="L46" s="147">
        <v>0</v>
      </c>
      <c r="M46" s="147">
        <v>0</v>
      </c>
      <c r="N46" s="147">
        <v>0</v>
      </c>
      <c r="O46" s="18">
        <f t="shared" si="6"/>
        <v>0</v>
      </c>
    </row>
    <row r="47" spans="1:15" ht="28.5" customHeight="1" x14ac:dyDescent="0.2">
      <c r="A47" s="855"/>
      <c r="B47" s="30" t="s">
        <v>158</v>
      </c>
      <c r="C47" s="147">
        <v>0</v>
      </c>
      <c r="D47" s="147">
        <v>0</v>
      </c>
      <c r="E47" s="147">
        <v>0</v>
      </c>
      <c r="F47" s="147">
        <v>0</v>
      </c>
      <c r="G47" s="147">
        <v>0</v>
      </c>
      <c r="H47" s="147">
        <v>0</v>
      </c>
      <c r="I47" s="147">
        <v>0</v>
      </c>
      <c r="J47" s="147">
        <v>0</v>
      </c>
      <c r="K47" s="147">
        <v>0</v>
      </c>
      <c r="L47" s="147">
        <v>0</v>
      </c>
      <c r="M47" s="147">
        <v>0</v>
      </c>
      <c r="N47" s="147">
        <v>0</v>
      </c>
      <c r="O47" s="31">
        <f t="shared" si="6"/>
        <v>0</v>
      </c>
    </row>
    <row r="48" spans="1:15" ht="15.75" customHeight="1" x14ac:dyDescent="0.2">
      <c r="A48" s="856"/>
      <c r="B48" s="127" t="s">
        <v>228</v>
      </c>
      <c r="C48" s="147">
        <v>0</v>
      </c>
      <c r="D48" s="147">
        <v>0</v>
      </c>
      <c r="E48" s="147">
        <v>0</v>
      </c>
      <c r="F48" s="147">
        <v>0</v>
      </c>
      <c r="G48" s="147">
        <v>0</v>
      </c>
      <c r="H48" s="147">
        <v>0</v>
      </c>
      <c r="I48" s="147">
        <v>0</v>
      </c>
      <c r="J48" s="147">
        <v>0</v>
      </c>
      <c r="K48" s="147">
        <v>0</v>
      </c>
      <c r="L48" s="147">
        <v>0</v>
      </c>
      <c r="M48" s="147">
        <v>0</v>
      </c>
      <c r="N48" s="147">
        <v>0</v>
      </c>
      <c r="O48" s="31">
        <f t="shared" si="6"/>
        <v>0</v>
      </c>
    </row>
    <row r="49" spans="1:18" ht="15" x14ac:dyDescent="0.2">
      <c r="A49" s="857" t="s">
        <v>160</v>
      </c>
      <c r="B49" s="858"/>
      <c r="C49" s="33">
        <f t="shared" ref="C49:N49" si="7">SUM(C38:C48)</f>
        <v>0</v>
      </c>
      <c r="D49" s="33">
        <f t="shared" si="7"/>
        <v>0</v>
      </c>
      <c r="E49" s="33">
        <f t="shared" si="7"/>
        <v>0</v>
      </c>
      <c r="F49" s="33">
        <f t="shared" si="7"/>
        <v>0</v>
      </c>
      <c r="G49" s="33">
        <f t="shared" si="7"/>
        <v>0</v>
      </c>
      <c r="H49" s="33">
        <f t="shared" si="7"/>
        <v>0</v>
      </c>
      <c r="I49" s="33">
        <f t="shared" si="7"/>
        <v>0</v>
      </c>
      <c r="J49" s="33">
        <f t="shared" si="7"/>
        <v>0</v>
      </c>
      <c r="K49" s="33">
        <f t="shared" si="7"/>
        <v>0</v>
      </c>
      <c r="L49" s="33">
        <f t="shared" si="7"/>
        <v>0</v>
      </c>
      <c r="M49" s="33">
        <f t="shared" si="7"/>
        <v>0</v>
      </c>
      <c r="N49" s="33">
        <f t="shared" si="7"/>
        <v>0</v>
      </c>
      <c r="O49" s="34">
        <f t="shared" si="6"/>
        <v>0</v>
      </c>
    </row>
    <row r="50" spans="1:18" ht="15.75" thickBot="1" x14ac:dyDescent="0.25">
      <c r="A50" s="859" t="s">
        <v>161</v>
      </c>
      <c r="B50" s="860"/>
      <c r="C50" s="35">
        <f t="shared" ref="C50:N50" si="8">C37-C49</f>
        <v>0</v>
      </c>
      <c r="D50" s="35">
        <f t="shared" si="8"/>
        <v>0</v>
      </c>
      <c r="E50" s="35">
        <f t="shared" si="8"/>
        <v>0</v>
      </c>
      <c r="F50" s="35">
        <f t="shared" si="8"/>
        <v>0</v>
      </c>
      <c r="G50" s="35">
        <f t="shared" si="8"/>
        <v>0</v>
      </c>
      <c r="H50" s="35">
        <f t="shared" si="8"/>
        <v>0</v>
      </c>
      <c r="I50" s="35">
        <f t="shared" si="8"/>
        <v>0</v>
      </c>
      <c r="J50" s="35">
        <f t="shared" si="8"/>
        <v>0</v>
      </c>
      <c r="K50" s="35">
        <f t="shared" si="8"/>
        <v>0</v>
      </c>
      <c r="L50" s="35">
        <f t="shared" si="8"/>
        <v>0</v>
      </c>
      <c r="M50" s="35">
        <f t="shared" si="8"/>
        <v>0</v>
      </c>
      <c r="N50" s="35">
        <f t="shared" si="8"/>
        <v>0</v>
      </c>
      <c r="O50" s="36">
        <f t="shared" si="6"/>
        <v>0</v>
      </c>
    </row>
    <row r="51" spans="1:18" x14ac:dyDescent="0.2">
      <c r="E51" s="38"/>
      <c r="G51" s="38"/>
      <c r="J51" s="128">
        <f>+J37-SUM(J22:J36)</f>
        <v>0</v>
      </c>
    </row>
    <row r="52" spans="1:18" ht="13.5" thickBot="1" x14ac:dyDescent="0.25">
      <c r="J52" s="38">
        <f>+J51-J49</f>
        <v>0</v>
      </c>
    </row>
    <row r="53" spans="1:18" ht="13.5" thickBot="1" x14ac:dyDescent="0.25">
      <c r="B53" s="789" t="s">
        <v>162</v>
      </c>
      <c r="C53" s="861"/>
      <c r="D53" s="861"/>
      <c r="E53" s="861"/>
      <c r="F53" s="862"/>
      <c r="G53" s="1143">
        <f>O37</f>
        <v>0</v>
      </c>
      <c r="H53" s="1144"/>
    </row>
    <row r="54" spans="1:18" ht="13.5" thickBot="1" x14ac:dyDescent="0.25"/>
    <row r="55" spans="1:18" x14ac:dyDescent="0.2">
      <c r="B55" s="830" t="s">
        <v>163</v>
      </c>
      <c r="C55" s="833" t="s">
        <v>164</v>
      </c>
      <c r="D55" s="836" t="s">
        <v>165</v>
      </c>
      <c r="E55" s="837"/>
      <c r="F55" s="838"/>
      <c r="G55" s="839">
        <f>1600*12</f>
        <v>19200</v>
      </c>
      <c r="H55" s="840"/>
    </row>
    <row r="56" spans="1:18" x14ac:dyDescent="0.2">
      <c r="B56" s="831"/>
      <c r="C56" s="834"/>
      <c r="D56" s="841" t="s">
        <v>166</v>
      </c>
      <c r="E56" s="842"/>
      <c r="F56" s="843"/>
      <c r="G56" s="844">
        <f>+O44</f>
        <v>0</v>
      </c>
      <c r="H56" s="845"/>
      <c r="I56" s="39"/>
      <c r="J56" s="846"/>
      <c r="K56" s="846"/>
      <c r="L56" s="846"/>
      <c r="M56" s="847"/>
      <c r="N56" s="847"/>
      <c r="O56" s="847"/>
    </row>
    <row r="57" spans="1:18" ht="13.5" thickBot="1" x14ac:dyDescent="0.25">
      <c r="B57" s="832"/>
      <c r="C57" s="835"/>
      <c r="D57" s="921" t="s">
        <v>342</v>
      </c>
      <c r="E57" s="849"/>
      <c r="F57" s="850"/>
      <c r="G57" s="851">
        <f>+R83</f>
        <v>0</v>
      </c>
      <c r="H57" s="852"/>
      <c r="J57" s="47"/>
      <c r="K57" s="47"/>
      <c r="L57" s="47"/>
      <c r="M57" s="47"/>
      <c r="N57" s="47"/>
      <c r="O57" s="47"/>
    </row>
    <row r="58" spans="1:18" ht="13.5" thickBot="1" x14ac:dyDescent="0.25">
      <c r="B58" s="48"/>
      <c r="J58" s="47"/>
      <c r="K58" s="47"/>
      <c r="L58" s="47"/>
      <c r="M58" s="47"/>
      <c r="N58" s="47"/>
      <c r="O58" s="47"/>
    </row>
    <row r="59" spans="1:18" ht="13.5" thickBot="1" x14ac:dyDescent="0.25">
      <c r="B59" s="789" t="s">
        <v>168</v>
      </c>
      <c r="C59" s="790"/>
      <c r="D59" s="790"/>
      <c r="E59" s="790"/>
      <c r="F59" s="791"/>
      <c r="G59" s="1141">
        <f>+G53-SUM(G55:H57)</f>
        <v>-19200</v>
      </c>
      <c r="H59" s="1142"/>
      <c r="J59" s="827" t="s">
        <v>169</v>
      </c>
      <c r="K59" s="828"/>
      <c r="L59" s="828"/>
      <c r="M59" s="828"/>
      <c r="N59" s="828"/>
      <c r="O59" s="829"/>
    </row>
    <row r="60" spans="1:18" ht="13.5" thickBot="1" x14ac:dyDescent="0.25">
      <c r="B60" s="49"/>
      <c r="C60" s="50"/>
      <c r="D60" s="50"/>
      <c r="E60" s="50"/>
      <c r="F60" s="50"/>
      <c r="G60" s="45"/>
      <c r="H60" s="50"/>
      <c r="J60" s="129"/>
      <c r="K60" s="130"/>
      <c r="L60" s="130"/>
      <c r="M60" s="130"/>
      <c r="N60" s="130"/>
      <c r="O60" s="131"/>
    </row>
    <row r="61" spans="1:18" ht="13.5" thickBot="1" x14ac:dyDescent="0.25">
      <c r="B61" s="789" t="s">
        <v>170</v>
      </c>
      <c r="C61" s="790"/>
      <c r="D61" s="790"/>
      <c r="E61" s="790"/>
      <c r="F61" s="791"/>
      <c r="G61" s="805"/>
      <c r="H61" s="791"/>
      <c r="J61" s="129"/>
      <c r="K61" s="130"/>
      <c r="L61" s="130"/>
      <c r="M61" s="130"/>
      <c r="N61" s="130"/>
      <c r="O61" s="131"/>
    </row>
    <row r="62" spans="1:18" ht="12.75" customHeight="1" x14ac:dyDescent="0.2">
      <c r="B62" s="57" t="s">
        <v>171</v>
      </c>
      <c r="C62" s="806" t="s">
        <v>172</v>
      </c>
      <c r="D62" s="807"/>
      <c r="E62" s="807"/>
      <c r="F62" s="808"/>
      <c r="G62" s="809">
        <v>0</v>
      </c>
      <c r="H62" s="809"/>
      <c r="I62" s="58"/>
      <c r="J62" s="810" t="s">
        <v>173</v>
      </c>
      <c r="K62" s="811"/>
      <c r="L62" s="811"/>
      <c r="M62" s="811"/>
      <c r="N62" s="811"/>
      <c r="O62" s="812"/>
      <c r="Q62" s="59"/>
      <c r="R62" s="59"/>
    </row>
    <row r="63" spans="1:18" ht="13.5" thickBot="1" x14ac:dyDescent="0.25">
      <c r="D63" s="37"/>
      <c r="I63" s="58"/>
      <c r="J63" s="60" t="s">
        <v>254</v>
      </c>
      <c r="K63" s="132"/>
      <c r="L63" s="132"/>
      <c r="M63" s="133"/>
      <c r="N63" s="133"/>
      <c r="O63" s="134"/>
      <c r="Q63" s="59"/>
      <c r="R63" s="59"/>
    </row>
    <row r="64" spans="1:18" ht="13.5" thickBot="1" x14ac:dyDescent="0.25">
      <c r="B64" s="789" t="s">
        <v>175</v>
      </c>
      <c r="C64" s="790"/>
      <c r="D64" s="790"/>
      <c r="E64" s="790"/>
      <c r="F64" s="791"/>
      <c r="G64" s="1140">
        <f>+G59-G62</f>
        <v>-19200</v>
      </c>
      <c r="H64" s="1139"/>
      <c r="I64" s="63"/>
      <c r="J64" s="64"/>
      <c r="K64" s="39"/>
      <c r="L64" s="39"/>
      <c r="M64" s="39"/>
      <c r="N64" s="39"/>
      <c r="O64" s="65"/>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6.25" customHeight="1" thickBot="1" x14ac:dyDescent="0.25">
      <c r="B67" s="66"/>
      <c r="C67" s="48"/>
      <c r="G67" s="70" t="s">
        <v>177</v>
      </c>
      <c r="H67" s="70" t="s">
        <v>178</v>
      </c>
      <c r="I67" s="63"/>
      <c r="J67" s="810" t="s">
        <v>179</v>
      </c>
      <c r="K67" s="811"/>
      <c r="L67" s="71"/>
      <c r="M67" s="71"/>
      <c r="N67" s="71"/>
      <c r="O67" s="158" t="s">
        <v>267</v>
      </c>
      <c r="Q67" s="59"/>
      <c r="R67" s="59"/>
    </row>
    <row r="68" spans="2:18" ht="12.75" customHeight="1" x14ac:dyDescent="0.2">
      <c r="B68" s="802" t="s">
        <v>180</v>
      </c>
      <c r="C68" s="821" t="s">
        <v>181</v>
      </c>
      <c r="D68" s="823" t="s">
        <v>182</v>
      </c>
      <c r="E68" s="824"/>
      <c r="F68" s="824"/>
      <c r="G68" s="73">
        <f>+O43</f>
        <v>0</v>
      </c>
      <c r="H68" s="74">
        <f t="shared" ref="H68:H76" si="9">+G68</f>
        <v>0</v>
      </c>
      <c r="I68" s="63"/>
      <c r="J68" s="189" t="s">
        <v>343</v>
      </c>
      <c r="K68" s="190"/>
      <c r="L68" s="191" t="s">
        <v>344</v>
      </c>
      <c r="M68" s="191"/>
      <c r="N68" s="190"/>
      <c r="O68" s="192">
        <v>0</v>
      </c>
      <c r="Q68" s="59"/>
      <c r="R68" s="59"/>
    </row>
    <row r="69" spans="2:18" ht="12.75" customHeight="1" x14ac:dyDescent="0.2">
      <c r="B69" s="803"/>
      <c r="C69" s="822"/>
      <c r="D69" s="782" t="s">
        <v>184</v>
      </c>
      <c r="E69" s="783"/>
      <c r="F69" s="783"/>
      <c r="G69" s="77">
        <v>0</v>
      </c>
      <c r="H69" s="78">
        <f t="shared" si="9"/>
        <v>0</v>
      </c>
      <c r="I69" s="63"/>
      <c r="J69" s="193" t="s">
        <v>345</v>
      </c>
      <c r="K69" s="191"/>
      <c r="L69" s="191" t="s">
        <v>344</v>
      </c>
      <c r="M69" s="191"/>
      <c r="N69" s="191"/>
      <c r="O69" s="194">
        <v>0</v>
      </c>
      <c r="Q69" s="59"/>
      <c r="R69" s="59"/>
    </row>
    <row r="70" spans="2:18" ht="12.75" customHeight="1" x14ac:dyDescent="0.2">
      <c r="B70" s="803"/>
      <c r="C70" s="822"/>
      <c r="D70" s="819" t="s">
        <v>185</v>
      </c>
      <c r="E70" s="820"/>
      <c r="F70" s="820"/>
      <c r="G70" s="80">
        <f>O40</f>
        <v>0</v>
      </c>
      <c r="H70" s="78">
        <f t="shared" si="9"/>
        <v>0</v>
      </c>
      <c r="I70" s="63"/>
    </row>
    <row r="71" spans="2:18" x14ac:dyDescent="0.2">
      <c r="B71" s="803"/>
      <c r="C71" s="822"/>
      <c r="D71" s="782" t="s">
        <v>186</v>
      </c>
      <c r="E71" s="783"/>
      <c r="F71" s="783"/>
      <c r="G71" s="81">
        <v>0</v>
      </c>
      <c r="H71" s="78">
        <f t="shared" si="9"/>
        <v>0</v>
      </c>
      <c r="I71" s="63"/>
      <c r="J71" s="82" t="s">
        <v>187</v>
      </c>
      <c r="K71" s="195"/>
      <c r="L71" s="195"/>
      <c r="M71" s="195"/>
      <c r="N71" s="195"/>
      <c r="O71" s="196"/>
    </row>
    <row r="72" spans="2:18" ht="12.75" customHeight="1" x14ac:dyDescent="0.2">
      <c r="B72" s="803"/>
      <c r="C72" s="822"/>
      <c r="D72" s="784" t="s">
        <v>188</v>
      </c>
      <c r="E72" s="783"/>
      <c r="F72" s="783"/>
      <c r="G72" s="80">
        <v>0</v>
      </c>
      <c r="H72" s="78">
        <f t="shared" si="9"/>
        <v>0</v>
      </c>
      <c r="I72" s="63"/>
      <c r="J72" s="60" t="s">
        <v>189</v>
      </c>
      <c r="K72" s="58"/>
      <c r="L72" s="58"/>
      <c r="M72" s="58"/>
      <c r="N72" s="58"/>
      <c r="O72" s="76">
        <v>1500</v>
      </c>
    </row>
    <row r="73" spans="2:18" ht="14.25" customHeight="1" thickBot="1" x14ac:dyDescent="0.25">
      <c r="B73" s="803"/>
      <c r="C73" s="822"/>
      <c r="D73" s="782" t="s">
        <v>190</v>
      </c>
      <c r="E73" s="783"/>
      <c r="F73" s="783"/>
      <c r="G73" s="84">
        <v>0</v>
      </c>
      <c r="H73" s="78">
        <f t="shared" si="9"/>
        <v>0</v>
      </c>
      <c r="I73" s="63"/>
      <c r="J73" s="185" t="s">
        <v>346</v>
      </c>
      <c r="K73" s="197"/>
      <c r="L73" s="197"/>
      <c r="M73" s="197"/>
      <c r="N73" s="197"/>
      <c r="O73" s="198">
        <v>0</v>
      </c>
    </row>
    <row r="74" spans="2:18" x14ac:dyDescent="0.2">
      <c r="B74" s="803"/>
      <c r="C74" s="822"/>
      <c r="D74" s="782" t="s">
        <v>191</v>
      </c>
      <c r="E74" s="783"/>
      <c r="F74" s="783"/>
      <c r="G74" s="81">
        <v>0</v>
      </c>
      <c r="H74" s="78">
        <f t="shared" si="9"/>
        <v>0</v>
      </c>
      <c r="I74" s="58"/>
    </row>
    <row r="75" spans="2:18" x14ac:dyDescent="0.2">
      <c r="B75" s="803"/>
      <c r="C75" s="88" t="s">
        <v>192</v>
      </c>
      <c r="D75" s="813" t="s">
        <v>193</v>
      </c>
      <c r="E75" s="814"/>
      <c r="F75" s="814"/>
      <c r="G75" s="80">
        <v>0</v>
      </c>
      <c r="H75" s="78">
        <f t="shared" si="9"/>
        <v>0</v>
      </c>
      <c r="I75" s="58"/>
    </row>
    <row r="76" spans="2:18" ht="13.5" customHeight="1" thickBot="1" x14ac:dyDescent="0.25">
      <c r="B76" s="803"/>
      <c r="C76" s="88" t="s">
        <v>194</v>
      </c>
      <c r="D76" s="815" t="s">
        <v>195</v>
      </c>
      <c r="E76" s="815"/>
      <c r="F76" s="815"/>
      <c r="G76" s="89">
        <v>0</v>
      </c>
      <c r="H76" s="90">
        <f t="shared" si="9"/>
        <v>0</v>
      </c>
      <c r="I76" s="63"/>
    </row>
    <row r="77" spans="2:18" ht="13.5" thickBot="1" x14ac:dyDescent="0.25">
      <c r="B77" s="803"/>
      <c r="C77" s="93"/>
      <c r="D77" s="94"/>
      <c r="E77" s="816" t="s">
        <v>117</v>
      </c>
      <c r="F77" s="817"/>
      <c r="G77" s="95">
        <f>SUM(G68:G76)</f>
        <v>0</v>
      </c>
      <c r="H77" s="96">
        <f>IF(SUM(G68:G74)&lt;150000,SUM(G68:G74),150000)+IF(+G75&lt;20000,+G75,20000)</f>
        <v>0</v>
      </c>
      <c r="I77" s="63"/>
    </row>
    <row r="78" spans="2:18" ht="12.75" customHeight="1" x14ac:dyDescent="0.2">
      <c r="B78" s="803"/>
      <c r="C78" s="100" t="s">
        <v>196</v>
      </c>
      <c r="D78" s="782" t="s">
        <v>187</v>
      </c>
      <c r="E78" s="783"/>
      <c r="F78" s="818"/>
      <c r="G78" s="73">
        <f>+O42</f>
        <v>0</v>
      </c>
      <c r="H78" s="101">
        <f>+IF(+G78&lt;25000,+G78,25000)</f>
        <v>0</v>
      </c>
      <c r="I78" s="87"/>
      <c r="M78" s="156" t="s">
        <v>257</v>
      </c>
    </row>
    <row r="79" spans="2:18" x14ac:dyDescent="0.2">
      <c r="B79" s="803"/>
      <c r="C79" s="100" t="s">
        <v>197</v>
      </c>
      <c r="D79" s="784" t="s">
        <v>198</v>
      </c>
      <c r="E79" s="785"/>
      <c r="F79" s="786"/>
      <c r="G79" s="102"/>
      <c r="H79" s="103">
        <f>+IF(+G79&lt;40000,+G79,40000)</f>
        <v>0</v>
      </c>
      <c r="I79" s="63"/>
      <c r="M79" s="1" t="s">
        <v>347</v>
      </c>
      <c r="R79" s="16">
        <v>219605</v>
      </c>
    </row>
    <row r="80" spans="2:18" x14ac:dyDescent="0.2">
      <c r="B80" s="803"/>
      <c r="C80" s="100" t="s">
        <v>199</v>
      </c>
      <c r="D80" s="784" t="s">
        <v>200</v>
      </c>
      <c r="E80" s="785"/>
      <c r="F80" s="786"/>
      <c r="G80" s="81"/>
      <c r="H80" s="104">
        <v>0</v>
      </c>
      <c r="I80" s="63"/>
      <c r="M80" s="1" t="s">
        <v>348</v>
      </c>
      <c r="R80" s="16">
        <f>+O19</f>
        <v>0</v>
      </c>
    </row>
    <row r="81" spans="2:19" x14ac:dyDescent="0.2">
      <c r="B81" s="803"/>
      <c r="C81" s="100" t="s">
        <v>201</v>
      </c>
      <c r="D81" s="784" t="s">
        <v>202</v>
      </c>
      <c r="E81" s="785"/>
      <c r="F81" s="786"/>
      <c r="G81" s="81"/>
      <c r="H81" s="104">
        <v>0</v>
      </c>
      <c r="I81" s="63"/>
      <c r="M81" s="16" t="s">
        <v>261</v>
      </c>
      <c r="R81" s="16">
        <v>198000</v>
      </c>
      <c r="S81" s="1" t="s">
        <v>349</v>
      </c>
    </row>
    <row r="82" spans="2:19" ht="13.5" thickBot="1" x14ac:dyDescent="0.25">
      <c r="B82" s="804"/>
      <c r="C82" s="100" t="s">
        <v>203</v>
      </c>
      <c r="D82" s="784" t="s">
        <v>204</v>
      </c>
      <c r="E82" s="785"/>
      <c r="F82" s="786"/>
      <c r="G82" s="102"/>
      <c r="H82" s="103">
        <f>+IF(+G82&lt;100000,+G82,10000)</f>
        <v>0</v>
      </c>
      <c r="I82" s="63"/>
    </row>
    <row r="83" spans="2:19" ht="13.5" thickBot="1" x14ac:dyDescent="0.25">
      <c r="B83" s="787" t="s">
        <v>205</v>
      </c>
      <c r="C83" s="788"/>
      <c r="D83" s="788"/>
      <c r="E83" s="788"/>
      <c r="F83" s="788"/>
      <c r="G83" s="107">
        <f>SUM(G78:G82)</f>
        <v>0</v>
      </c>
      <c r="H83" s="108">
        <f>SUM(H77:H82)</f>
        <v>0</v>
      </c>
      <c r="M83" s="157" t="s">
        <v>262</v>
      </c>
      <c r="N83" s="87"/>
      <c r="O83" s="87"/>
      <c r="R83" s="16">
        <f>+R80</f>
        <v>0</v>
      </c>
    </row>
    <row r="84" spans="2:19" ht="13.5" thickBot="1" x14ac:dyDescent="0.25"/>
    <row r="85" spans="2:19" ht="13.5" thickBot="1" x14ac:dyDescent="0.25">
      <c r="B85" s="789" t="s">
        <v>206</v>
      </c>
      <c r="C85" s="790"/>
      <c r="D85" s="790"/>
      <c r="E85" s="790"/>
      <c r="F85" s="791"/>
      <c r="G85" s="1138">
        <f>+G64-H83</f>
        <v>-19200</v>
      </c>
      <c r="H85" s="1139"/>
      <c r="J85" s="109">
        <f>C37+D37+E37+F37</f>
        <v>0</v>
      </c>
      <c r="K85" s="16" t="s">
        <v>235</v>
      </c>
      <c r="M85" s="199" t="s">
        <v>350</v>
      </c>
    </row>
    <row r="86" spans="2:19" x14ac:dyDescent="0.2">
      <c r="B86" s="110"/>
      <c r="F86" s="105"/>
      <c r="J86" s="109"/>
      <c r="K86" s="16" t="s">
        <v>236</v>
      </c>
      <c r="M86" s="1" t="s">
        <v>351</v>
      </c>
    </row>
    <row r="87" spans="2:19" x14ac:dyDescent="0.2">
      <c r="C87" s="793" t="s">
        <v>207</v>
      </c>
      <c r="D87" s="794"/>
      <c r="E87" s="111" t="s">
        <v>208</v>
      </c>
      <c r="F87" s="111" t="s">
        <v>209</v>
      </c>
      <c r="G87" s="111" t="s">
        <v>210</v>
      </c>
      <c r="H87" s="111" t="s">
        <v>211</v>
      </c>
      <c r="J87" s="109"/>
      <c r="K87" s="47" t="s">
        <v>237</v>
      </c>
      <c r="L87" s="16">
        <f>+J87/2</f>
        <v>0</v>
      </c>
      <c r="M87" s="1" t="s">
        <v>352</v>
      </c>
    </row>
    <row r="88" spans="2:19" x14ac:dyDescent="0.2">
      <c r="C88" s="795" t="str">
        <f>IF(I6="M","0          - 250000","0          -  250000")</f>
        <v>0          - 250000</v>
      </c>
      <c r="D88" s="796"/>
      <c r="E88" s="112">
        <v>0</v>
      </c>
      <c r="F88" s="113">
        <f>IF(I6="M",(IF(G85&lt;250000,G85,250000)),(IF(G85&lt;250000,G85,250000)))</f>
        <v>-19200</v>
      </c>
      <c r="G88" s="113">
        <f>G85-F88</f>
        <v>0</v>
      </c>
      <c r="H88" s="113">
        <f>E88*F88</f>
        <v>0</v>
      </c>
      <c r="K88" s="1" t="s">
        <v>238</v>
      </c>
      <c r="L88" s="16">
        <f>+J88/2</f>
        <v>0</v>
      </c>
      <c r="M88" s="1" t="s">
        <v>353</v>
      </c>
    </row>
    <row r="89" spans="2:19" x14ac:dyDescent="0.2">
      <c r="C89" s="795" t="str">
        <f>IF(I6="M","250001 - 500000","250001-500000")</f>
        <v>250001 - 500000</v>
      </c>
      <c r="D89" s="796"/>
      <c r="E89" s="112">
        <v>0.1</v>
      </c>
      <c r="F89" s="113">
        <f>IF(I6="M",(IF(G88&lt;250000,G88,250000)),(IF(G88&lt;250000,G88,250000)))</f>
        <v>0</v>
      </c>
      <c r="G89" s="113">
        <f>G88-F89</f>
        <v>0</v>
      </c>
      <c r="H89" s="114">
        <f>ROUND(E89*F89,0.1)</f>
        <v>0</v>
      </c>
      <c r="J89" s="115"/>
    </row>
    <row r="90" spans="2:19" x14ac:dyDescent="0.2">
      <c r="C90" s="797" t="s">
        <v>212</v>
      </c>
      <c r="D90" s="798"/>
      <c r="E90" s="112">
        <v>0.2</v>
      </c>
      <c r="F90" s="113">
        <f>IF(G89&lt;500000,G89,500000)</f>
        <v>0</v>
      </c>
      <c r="G90" s="113">
        <f>G89-F90</f>
        <v>0</v>
      </c>
      <c r="H90" s="114">
        <f>ROUND(E90*F90,0.1)</f>
        <v>0</v>
      </c>
      <c r="J90" s="38"/>
    </row>
    <row r="91" spans="2:19" x14ac:dyDescent="0.2">
      <c r="C91" s="795" t="s">
        <v>289</v>
      </c>
      <c r="D91" s="796"/>
      <c r="E91" s="112">
        <v>0.3</v>
      </c>
      <c r="F91" s="113">
        <f>G90</f>
        <v>0</v>
      </c>
      <c r="G91" s="113">
        <f>G90-F91</f>
        <v>0</v>
      </c>
      <c r="H91" s="114">
        <f>ROUND(E91*F91,0.1)</f>
        <v>0</v>
      </c>
      <c r="J91" s="38"/>
    </row>
    <row r="92" spans="2:19" ht="12.75" customHeight="1" thickBot="1" x14ac:dyDescent="0.25">
      <c r="B92" s="116"/>
      <c r="C92" s="117"/>
      <c r="D92" s="47"/>
      <c r="E92" s="47"/>
      <c r="F92" s="47"/>
      <c r="J92" s="87"/>
      <c r="K92" s="118"/>
    </row>
    <row r="93" spans="2:19" ht="13.5" thickBot="1" x14ac:dyDescent="0.25">
      <c r="B93" s="799" t="s">
        <v>239</v>
      </c>
      <c r="C93" s="800"/>
      <c r="D93" s="800"/>
      <c r="E93" s="800"/>
      <c r="F93" s="801"/>
      <c r="G93" s="771">
        <f>H88+H89+H90+H91</f>
        <v>0</v>
      </c>
      <c r="H93" s="772"/>
    </row>
    <row r="94" spans="2:19" ht="13.5" thickBot="1" x14ac:dyDescent="0.25">
      <c r="B94" s="171" t="s">
        <v>215</v>
      </c>
      <c r="C94" s="155"/>
      <c r="D94" s="155"/>
      <c r="E94" s="155"/>
      <c r="F94" s="155"/>
      <c r="G94" s="1223">
        <f>IF(G85&lt;200000,0,IF(G85&lt;220000,((G85-200000)*10%),IF(G85&lt;=500000,2000,IF(G85&gt;=500000,0))))</f>
        <v>0</v>
      </c>
      <c r="H94" s="1224">
        <f>IF(H92&lt;200000,0,IF(H92&lt;220000,((H92-200000)*10%),IF(H92&lt;=500000,2000,IF(H92&gt;=500000,0))))</f>
        <v>0</v>
      </c>
      <c r="J94" s="1"/>
      <c r="K94" s="121"/>
      <c r="L94" s="121"/>
    </row>
    <row r="95" spans="2:19" ht="13.5" thickBot="1" x14ac:dyDescent="0.25">
      <c r="B95" s="122" t="s">
        <v>216</v>
      </c>
      <c r="C95" s="123"/>
      <c r="D95" s="123"/>
      <c r="E95" s="123"/>
      <c r="F95" s="123"/>
      <c r="G95" s="897">
        <f>+G93-G94</f>
        <v>0</v>
      </c>
      <c r="H95" s="898"/>
      <c r="I95" s="37"/>
    </row>
    <row r="96" spans="2:19" ht="13.5" thickBot="1" x14ac:dyDescent="0.25">
      <c r="B96" s="773" t="s">
        <v>217</v>
      </c>
      <c r="C96" s="774"/>
      <c r="D96" s="774"/>
      <c r="E96" s="774"/>
      <c r="F96" s="775"/>
      <c r="G96" s="899">
        <f>ROUND((IF(G95&gt;0,(G95*3%),0)),0)</f>
        <v>0</v>
      </c>
      <c r="H96" s="900"/>
      <c r="I96" s="37"/>
    </row>
    <row r="97" spans="2:9" ht="13.5" thickBot="1" x14ac:dyDescent="0.25">
      <c r="B97" s="778" t="s">
        <v>218</v>
      </c>
      <c r="C97" s="779"/>
      <c r="D97" s="779"/>
      <c r="E97" s="779"/>
      <c r="F97" s="779"/>
      <c r="G97" s="901">
        <f>G95+G96</f>
        <v>0</v>
      </c>
      <c r="H97" s="902"/>
      <c r="I97" s="121"/>
    </row>
    <row r="98" spans="2:9" ht="13.5" thickBot="1" x14ac:dyDescent="0.25">
      <c r="B98" s="765" t="s">
        <v>219</v>
      </c>
      <c r="C98" s="766"/>
      <c r="D98" s="766"/>
      <c r="E98" s="766"/>
      <c r="F98" s="766"/>
      <c r="G98" s="767">
        <f>O38</f>
        <v>0</v>
      </c>
      <c r="H98" s="768"/>
      <c r="I98" s="121"/>
    </row>
    <row r="99" spans="2:9" ht="13.5" thickBot="1" x14ac:dyDescent="0.25">
      <c r="B99" s="765" t="str">
        <f>IF(G99&gt;0,"TAX PAYABLE","TAX REFUND")</f>
        <v>TAX REFUND</v>
      </c>
      <c r="C99" s="766"/>
      <c r="D99" s="766"/>
      <c r="E99" s="766"/>
      <c r="F99" s="766"/>
      <c r="G99" s="893">
        <f>+G97-G98</f>
        <v>0</v>
      </c>
      <c r="H99" s="894"/>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0:F90 B99:F99 B93:F97">
    <cfRule type="cellIs" dxfId="79" priority="3" stopIfTrue="1" operator="equal">
      <formula>"TAX PAYABLE"</formula>
    </cfRule>
    <cfRule type="cellIs" dxfId="78" priority="4" stopIfTrue="1" operator="equal">
      <formula>"TAX REFUND"</formula>
    </cfRule>
  </conditionalFormatting>
  <conditionalFormatting sqref="G90:H90">
    <cfRule type="cellIs" dxfId="77" priority="5" stopIfTrue="1" operator="lessThan">
      <formula>0</formula>
    </cfRule>
    <cfRule type="cellIs" dxfId="76" priority="6" stopIfTrue="1" operator="greaterThan">
      <formula>0</formula>
    </cfRule>
  </conditionalFormatting>
  <conditionalFormatting sqref="G99:H99">
    <cfRule type="cellIs" dxfId="75" priority="1" stopIfTrue="1" operator="greaterThan">
      <formula>0</formula>
    </cfRule>
    <cfRule type="cellIs" dxfId="74"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legacyDrawing r:id="rId2"/>
</worksheet>
</file>

<file path=xl/worksheets/sheet1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07"/>
  <sheetViews>
    <sheetView workbookViewId="0">
      <selection activeCell="D6" sqref="D6:F6"/>
    </sheetView>
  </sheetViews>
  <sheetFormatPr defaultRowHeight="12.75" x14ac:dyDescent="0.2"/>
  <cols>
    <col min="1" max="1" width="5" style="16" customWidth="1"/>
    <col min="2" max="2" width="18.42578125" style="37" customWidth="1"/>
    <col min="3" max="3" width="10.7109375" style="16" bestFit="1" customWidth="1"/>
    <col min="4" max="4" width="6.7109375" style="16" bestFit="1" customWidth="1"/>
    <col min="5" max="5" width="8.5703125" style="16" bestFit="1" customWidth="1"/>
    <col min="6" max="6" width="9.28515625" style="16" bestFit="1" customWidth="1"/>
    <col min="7" max="7" width="10.42578125" style="16" bestFit="1" customWidth="1"/>
    <col min="8" max="8" width="10.28515625" style="16" bestFit="1" customWidth="1"/>
    <col min="9" max="9" width="7.140625" style="16" bestFit="1" customWidth="1"/>
    <col min="10" max="10" width="7.5703125" style="16" bestFit="1" customWidth="1"/>
    <col min="11" max="12" width="7" style="16" bestFit="1" customWidth="1"/>
    <col min="13" max="13" width="6.85546875" style="16" bestFit="1" customWidth="1"/>
    <col min="14" max="14" width="7" style="16" bestFit="1" customWidth="1"/>
    <col min="15" max="15" width="8.570312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8.42578125" style="16" customWidth="1"/>
    <col min="259" max="259" width="10.7109375" style="16" bestFit="1" customWidth="1"/>
    <col min="260" max="260" width="6.7109375" style="16" bestFit="1" customWidth="1"/>
    <col min="261" max="261" width="8.5703125" style="16" bestFit="1" customWidth="1"/>
    <col min="262" max="262" width="9.28515625" style="16" bestFit="1" customWidth="1"/>
    <col min="263" max="263" width="10.42578125" style="16" bestFit="1" customWidth="1"/>
    <col min="264" max="264" width="10.28515625" style="16" bestFit="1" customWidth="1"/>
    <col min="265" max="265" width="7.140625" style="16" bestFit="1" customWidth="1"/>
    <col min="266" max="266" width="7.5703125" style="16" bestFit="1" customWidth="1"/>
    <col min="267" max="268" width="7" style="16" bestFit="1" customWidth="1"/>
    <col min="269" max="269" width="6.85546875" style="16" bestFit="1" customWidth="1"/>
    <col min="270" max="270" width="7" style="16" bestFit="1" customWidth="1"/>
    <col min="271" max="271" width="8.570312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8.42578125" style="16" customWidth="1"/>
    <col min="515" max="515" width="10.7109375" style="16" bestFit="1" customWidth="1"/>
    <col min="516" max="516" width="6.7109375" style="16" bestFit="1" customWidth="1"/>
    <col min="517" max="517" width="8.5703125" style="16" bestFit="1" customWidth="1"/>
    <col min="518" max="518" width="9.28515625" style="16" bestFit="1" customWidth="1"/>
    <col min="519" max="519" width="10.42578125" style="16" bestFit="1" customWidth="1"/>
    <col min="520" max="520" width="10.28515625" style="16" bestFit="1" customWidth="1"/>
    <col min="521" max="521" width="7.140625" style="16" bestFit="1" customWidth="1"/>
    <col min="522" max="522" width="7.5703125" style="16" bestFit="1" customWidth="1"/>
    <col min="523" max="524" width="7" style="16" bestFit="1" customWidth="1"/>
    <col min="525" max="525" width="6.85546875" style="16" bestFit="1" customWidth="1"/>
    <col min="526" max="526" width="7" style="16" bestFit="1" customWidth="1"/>
    <col min="527" max="527" width="8.570312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8.42578125" style="16" customWidth="1"/>
    <col min="771" max="771" width="10.7109375" style="16" bestFit="1" customWidth="1"/>
    <col min="772" max="772" width="6.7109375" style="16" bestFit="1" customWidth="1"/>
    <col min="773" max="773" width="8.5703125" style="16" bestFit="1" customWidth="1"/>
    <col min="774" max="774" width="9.28515625" style="16" bestFit="1" customWidth="1"/>
    <col min="775" max="775" width="10.42578125" style="16" bestFit="1" customWidth="1"/>
    <col min="776" max="776" width="10.28515625" style="16" bestFit="1" customWidth="1"/>
    <col min="777" max="777" width="7.140625" style="16" bestFit="1" customWidth="1"/>
    <col min="778" max="778" width="7.5703125" style="16" bestFit="1" customWidth="1"/>
    <col min="779" max="780" width="7" style="16" bestFit="1" customWidth="1"/>
    <col min="781" max="781" width="6.85546875" style="16" bestFit="1" customWidth="1"/>
    <col min="782" max="782" width="7" style="16" bestFit="1" customWidth="1"/>
    <col min="783" max="783" width="8.570312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8.42578125" style="16" customWidth="1"/>
    <col min="1027" max="1027" width="10.7109375" style="16" bestFit="1" customWidth="1"/>
    <col min="1028" max="1028" width="6.7109375" style="16" bestFit="1" customWidth="1"/>
    <col min="1029" max="1029" width="8.5703125" style="16" bestFit="1" customWidth="1"/>
    <col min="1030" max="1030" width="9.28515625" style="16" bestFit="1" customWidth="1"/>
    <col min="1031" max="1031" width="10.42578125" style="16" bestFit="1" customWidth="1"/>
    <col min="1032" max="1032" width="10.28515625" style="16" bestFit="1" customWidth="1"/>
    <col min="1033" max="1033" width="7.140625" style="16" bestFit="1" customWidth="1"/>
    <col min="1034" max="1034" width="7.5703125" style="16" bestFit="1" customWidth="1"/>
    <col min="1035" max="1036" width="7" style="16" bestFit="1" customWidth="1"/>
    <col min="1037" max="1037" width="6.85546875" style="16" bestFit="1" customWidth="1"/>
    <col min="1038" max="1038" width="7" style="16" bestFit="1" customWidth="1"/>
    <col min="1039" max="1039" width="8.570312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8.42578125" style="16" customWidth="1"/>
    <col min="1283" max="1283" width="10.7109375" style="16" bestFit="1" customWidth="1"/>
    <col min="1284" max="1284" width="6.7109375" style="16" bestFit="1" customWidth="1"/>
    <col min="1285" max="1285" width="8.5703125" style="16" bestFit="1" customWidth="1"/>
    <col min="1286" max="1286" width="9.28515625" style="16" bestFit="1" customWidth="1"/>
    <col min="1287" max="1287" width="10.42578125" style="16" bestFit="1" customWidth="1"/>
    <col min="1288" max="1288" width="10.28515625" style="16" bestFit="1" customWidth="1"/>
    <col min="1289" max="1289" width="7.140625" style="16" bestFit="1" customWidth="1"/>
    <col min="1290" max="1290" width="7.5703125" style="16" bestFit="1" customWidth="1"/>
    <col min="1291" max="1292" width="7" style="16" bestFit="1" customWidth="1"/>
    <col min="1293" max="1293" width="6.85546875" style="16" bestFit="1" customWidth="1"/>
    <col min="1294" max="1294" width="7" style="16" bestFit="1" customWidth="1"/>
    <col min="1295" max="1295" width="8.570312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8.42578125" style="16" customWidth="1"/>
    <col min="1539" max="1539" width="10.7109375" style="16" bestFit="1" customWidth="1"/>
    <col min="1540" max="1540" width="6.7109375" style="16" bestFit="1" customWidth="1"/>
    <col min="1541" max="1541" width="8.5703125" style="16" bestFit="1" customWidth="1"/>
    <col min="1542" max="1542" width="9.28515625" style="16" bestFit="1" customWidth="1"/>
    <col min="1543" max="1543" width="10.42578125" style="16" bestFit="1" customWidth="1"/>
    <col min="1544" max="1544" width="10.28515625" style="16" bestFit="1" customWidth="1"/>
    <col min="1545" max="1545" width="7.140625" style="16" bestFit="1" customWidth="1"/>
    <col min="1546" max="1546" width="7.5703125" style="16" bestFit="1" customWidth="1"/>
    <col min="1547" max="1548" width="7" style="16" bestFit="1" customWidth="1"/>
    <col min="1549" max="1549" width="6.85546875" style="16" bestFit="1" customWidth="1"/>
    <col min="1550" max="1550" width="7" style="16" bestFit="1" customWidth="1"/>
    <col min="1551" max="1551" width="8.570312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8.42578125" style="16" customWidth="1"/>
    <col min="1795" max="1795" width="10.7109375" style="16" bestFit="1" customWidth="1"/>
    <col min="1796" max="1796" width="6.7109375" style="16" bestFit="1" customWidth="1"/>
    <col min="1797" max="1797" width="8.5703125" style="16" bestFit="1" customWidth="1"/>
    <col min="1798" max="1798" width="9.28515625" style="16" bestFit="1" customWidth="1"/>
    <col min="1799" max="1799" width="10.42578125" style="16" bestFit="1" customWidth="1"/>
    <col min="1800" max="1800" width="10.28515625" style="16" bestFit="1" customWidth="1"/>
    <col min="1801" max="1801" width="7.140625" style="16" bestFit="1" customWidth="1"/>
    <col min="1802" max="1802" width="7.5703125" style="16" bestFit="1" customWidth="1"/>
    <col min="1803" max="1804" width="7" style="16" bestFit="1" customWidth="1"/>
    <col min="1805" max="1805" width="6.85546875" style="16" bestFit="1" customWidth="1"/>
    <col min="1806" max="1806" width="7" style="16" bestFit="1" customWidth="1"/>
    <col min="1807" max="1807" width="8.570312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8.42578125" style="16" customWidth="1"/>
    <col min="2051" max="2051" width="10.7109375" style="16" bestFit="1" customWidth="1"/>
    <col min="2052" max="2052" width="6.7109375" style="16" bestFit="1" customWidth="1"/>
    <col min="2053" max="2053" width="8.5703125" style="16" bestFit="1" customWidth="1"/>
    <col min="2054" max="2054" width="9.28515625" style="16" bestFit="1" customWidth="1"/>
    <col min="2055" max="2055" width="10.42578125" style="16" bestFit="1" customWidth="1"/>
    <col min="2056" max="2056" width="10.28515625" style="16" bestFit="1" customWidth="1"/>
    <col min="2057" max="2057" width="7.140625" style="16" bestFit="1" customWidth="1"/>
    <col min="2058" max="2058" width="7.5703125" style="16" bestFit="1" customWidth="1"/>
    <col min="2059" max="2060" width="7" style="16" bestFit="1" customWidth="1"/>
    <col min="2061" max="2061" width="6.85546875" style="16" bestFit="1" customWidth="1"/>
    <col min="2062" max="2062" width="7" style="16" bestFit="1" customWidth="1"/>
    <col min="2063" max="2063" width="8.570312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8.42578125" style="16" customWidth="1"/>
    <col min="2307" max="2307" width="10.7109375" style="16" bestFit="1" customWidth="1"/>
    <col min="2308" max="2308" width="6.7109375" style="16" bestFit="1" customWidth="1"/>
    <col min="2309" max="2309" width="8.5703125" style="16" bestFit="1" customWidth="1"/>
    <col min="2310" max="2310" width="9.28515625" style="16" bestFit="1" customWidth="1"/>
    <col min="2311" max="2311" width="10.42578125" style="16" bestFit="1" customWidth="1"/>
    <col min="2312" max="2312" width="10.28515625" style="16" bestFit="1" customWidth="1"/>
    <col min="2313" max="2313" width="7.140625" style="16" bestFit="1" customWidth="1"/>
    <col min="2314" max="2314" width="7.5703125" style="16" bestFit="1" customWidth="1"/>
    <col min="2315" max="2316" width="7" style="16" bestFit="1" customWidth="1"/>
    <col min="2317" max="2317" width="6.85546875" style="16" bestFit="1" customWidth="1"/>
    <col min="2318" max="2318" width="7" style="16" bestFit="1" customWidth="1"/>
    <col min="2319" max="2319" width="8.570312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8.42578125" style="16" customWidth="1"/>
    <col min="2563" max="2563" width="10.7109375" style="16" bestFit="1" customWidth="1"/>
    <col min="2564" max="2564" width="6.7109375" style="16" bestFit="1" customWidth="1"/>
    <col min="2565" max="2565" width="8.5703125" style="16" bestFit="1" customWidth="1"/>
    <col min="2566" max="2566" width="9.28515625" style="16" bestFit="1" customWidth="1"/>
    <col min="2567" max="2567" width="10.42578125" style="16" bestFit="1" customWidth="1"/>
    <col min="2568" max="2568" width="10.28515625" style="16" bestFit="1" customWidth="1"/>
    <col min="2569" max="2569" width="7.140625" style="16" bestFit="1" customWidth="1"/>
    <col min="2570" max="2570" width="7.5703125" style="16" bestFit="1" customWidth="1"/>
    <col min="2571" max="2572" width="7" style="16" bestFit="1" customWidth="1"/>
    <col min="2573" max="2573" width="6.85546875" style="16" bestFit="1" customWidth="1"/>
    <col min="2574" max="2574" width="7" style="16" bestFit="1" customWidth="1"/>
    <col min="2575" max="2575" width="8.570312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8.42578125" style="16" customWidth="1"/>
    <col min="2819" max="2819" width="10.7109375" style="16" bestFit="1" customWidth="1"/>
    <col min="2820" max="2820" width="6.7109375" style="16" bestFit="1" customWidth="1"/>
    <col min="2821" max="2821" width="8.5703125" style="16" bestFit="1" customWidth="1"/>
    <col min="2822" max="2822" width="9.28515625" style="16" bestFit="1" customWidth="1"/>
    <col min="2823" max="2823" width="10.42578125" style="16" bestFit="1" customWidth="1"/>
    <col min="2824" max="2824" width="10.28515625" style="16" bestFit="1" customWidth="1"/>
    <col min="2825" max="2825" width="7.140625" style="16" bestFit="1" customWidth="1"/>
    <col min="2826" max="2826" width="7.5703125" style="16" bestFit="1" customWidth="1"/>
    <col min="2827" max="2828" width="7" style="16" bestFit="1" customWidth="1"/>
    <col min="2829" max="2829" width="6.85546875" style="16" bestFit="1" customWidth="1"/>
    <col min="2830" max="2830" width="7" style="16" bestFit="1" customWidth="1"/>
    <col min="2831" max="2831" width="8.570312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8.42578125" style="16" customWidth="1"/>
    <col min="3075" max="3075" width="10.7109375" style="16" bestFit="1" customWidth="1"/>
    <col min="3076" max="3076" width="6.7109375" style="16" bestFit="1" customWidth="1"/>
    <col min="3077" max="3077" width="8.5703125" style="16" bestFit="1" customWidth="1"/>
    <col min="3078" max="3078" width="9.28515625" style="16" bestFit="1" customWidth="1"/>
    <col min="3079" max="3079" width="10.42578125" style="16" bestFit="1" customWidth="1"/>
    <col min="3080" max="3080" width="10.28515625" style="16" bestFit="1" customWidth="1"/>
    <col min="3081" max="3081" width="7.140625" style="16" bestFit="1" customWidth="1"/>
    <col min="3082" max="3082" width="7.5703125" style="16" bestFit="1" customWidth="1"/>
    <col min="3083" max="3084" width="7" style="16" bestFit="1" customWidth="1"/>
    <col min="3085" max="3085" width="6.85546875" style="16" bestFit="1" customWidth="1"/>
    <col min="3086" max="3086" width="7" style="16" bestFit="1" customWidth="1"/>
    <col min="3087" max="3087" width="8.570312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8.42578125" style="16" customWidth="1"/>
    <col min="3331" max="3331" width="10.7109375" style="16" bestFit="1" customWidth="1"/>
    <col min="3332" max="3332" width="6.7109375" style="16" bestFit="1" customWidth="1"/>
    <col min="3333" max="3333" width="8.5703125" style="16" bestFit="1" customWidth="1"/>
    <col min="3334" max="3334" width="9.28515625" style="16" bestFit="1" customWidth="1"/>
    <col min="3335" max="3335" width="10.42578125" style="16" bestFit="1" customWidth="1"/>
    <col min="3336" max="3336" width="10.28515625" style="16" bestFit="1" customWidth="1"/>
    <col min="3337" max="3337" width="7.140625" style="16" bestFit="1" customWidth="1"/>
    <col min="3338" max="3338" width="7.5703125" style="16" bestFit="1" customWidth="1"/>
    <col min="3339" max="3340" width="7" style="16" bestFit="1" customWidth="1"/>
    <col min="3341" max="3341" width="6.85546875" style="16" bestFit="1" customWidth="1"/>
    <col min="3342" max="3342" width="7" style="16" bestFit="1" customWidth="1"/>
    <col min="3343" max="3343" width="8.570312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8.42578125" style="16" customWidth="1"/>
    <col min="3587" max="3587" width="10.7109375" style="16" bestFit="1" customWidth="1"/>
    <col min="3588" max="3588" width="6.7109375" style="16" bestFit="1" customWidth="1"/>
    <col min="3589" max="3589" width="8.5703125" style="16" bestFit="1" customWidth="1"/>
    <col min="3590" max="3590" width="9.28515625" style="16" bestFit="1" customWidth="1"/>
    <col min="3591" max="3591" width="10.42578125" style="16" bestFit="1" customWidth="1"/>
    <col min="3592" max="3592" width="10.28515625" style="16" bestFit="1" customWidth="1"/>
    <col min="3593" max="3593" width="7.140625" style="16" bestFit="1" customWidth="1"/>
    <col min="3594" max="3594" width="7.5703125" style="16" bestFit="1" customWidth="1"/>
    <col min="3595" max="3596" width="7" style="16" bestFit="1" customWidth="1"/>
    <col min="3597" max="3597" width="6.85546875" style="16" bestFit="1" customWidth="1"/>
    <col min="3598" max="3598" width="7" style="16" bestFit="1" customWidth="1"/>
    <col min="3599" max="3599" width="8.570312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8.42578125" style="16" customWidth="1"/>
    <col min="3843" max="3843" width="10.7109375" style="16" bestFit="1" customWidth="1"/>
    <col min="3844" max="3844" width="6.7109375" style="16" bestFit="1" customWidth="1"/>
    <col min="3845" max="3845" width="8.5703125" style="16" bestFit="1" customWidth="1"/>
    <col min="3846" max="3846" width="9.28515625" style="16" bestFit="1" customWidth="1"/>
    <col min="3847" max="3847" width="10.42578125" style="16" bestFit="1" customWidth="1"/>
    <col min="3848" max="3848" width="10.28515625" style="16" bestFit="1" customWidth="1"/>
    <col min="3849" max="3849" width="7.140625" style="16" bestFit="1" customWidth="1"/>
    <col min="3850" max="3850" width="7.5703125" style="16" bestFit="1" customWidth="1"/>
    <col min="3851" max="3852" width="7" style="16" bestFit="1" customWidth="1"/>
    <col min="3853" max="3853" width="6.85546875" style="16" bestFit="1" customWidth="1"/>
    <col min="3854" max="3854" width="7" style="16" bestFit="1" customWidth="1"/>
    <col min="3855" max="3855" width="8.570312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8.42578125" style="16" customWidth="1"/>
    <col min="4099" max="4099" width="10.7109375" style="16" bestFit="1" customWidth="1"/>
    <col min="4100" max="4100" width="6.7109375" style="16" bestFit="1" customWidth="1"/>
    <col min="4101" max="4101" width="8.5703125" style="16" bestFit="1" customWidth="1"/>
    <col min="4102" max="4102" width="9.28515625" style="16" bestFit="1" customWidth="1"/>
    <col min="4103" max="4103" width="10.42578125" style="16" bestFit="1" customWidth="1"/>
    <col min="4104" max="4104" width="10.28515625" style="16" bestFit="1" customWidth="1"/>
    <col min="4105" max="4105" width="7.140625" style="16" bestFit="1" customWidth="1"/>
    <col min="4106" max="4106" width="7.5703125" style="16" bestFit="1" customWidth="1"/>
    <col min="4107" max="4108" width="7" style="16" bestFit="1" customWidth="1"/>
    <col min="4109" max="4109" width="6.85546875" style="16" bestFit="1" customWidth="1"/>
    <col min="4110" max="4110" width="7" style="16" bestFit="1" customWidth="1"/>
    <col min="4111" max="4111" width="8.570312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8.42578125" style="16" customWidth="1"/>
    <col min="4355" max="4355" width="10.7109375" style="16" bestFit="1" customWidth="1"/>
    <col min="4356" max="4356" width="6.7109375" style="16" bestFit="1" customWidth="1"/>
    <col min="4357" max="4357" width="8.5703125" style="16" bestFit="1" customWidth="1"/>
    <col min="4358" max="4358" width="9.28515625" style="16" bestFit="1" customWidth="1"/>
    <col min="4359" max="4359" width="10.42578125" style="16" bestFit="1" customWidth="1"/>
    <col min="4360" max="4360" width="10.28515625" style="16" bestFit="1" customWidth="1"/>
    <col min="4361" max="4361" width="7.140625" style="16" bestFit="1" customWidth="1"/>
    <col min="4362" max="4362" width="7.5703125" style="16" bestFit="1" customWidth="1"/>
    <col min="4363" max="4364" width="7" style="16" bestFit="1" customWidth="1"/>
    <col min="4365" max="4365" width="6.85546875" style="16" bestFit="1" customWidth="1"/>
    <col min="4366" max="4366" width="7" style="16" bestFit="1" customWidth="1"/>
    <col min="4367" max="4367" width="8.570312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8.42578125" style="16" customWidth="1"/>
    <col min="4611" max="4611" width="10.7109375" style="16" bestFit="1" customWidth="1"/>
    <col min="4612" max="4612" width="6.7109375" style="16" bestFit="1" customWidth="1"/>
    <col min="4613" max="4613" width="8.5703125" style="16" bestFit="1" customWidth="1"/>
    <col min="4614" max="4614" width="9.28515625" style="16" bestFit="1" customWidth="1"/>
    <col min="4615" max="4615" width="10.42578125" style="16" bestFit="1" customWidth="1"/>
    <col min="4616" max="4616" width="10.28515625" style="16" bestFit="1" customWidth="1"/>
    <col min="4617" max="4617" width="7.140625" style="16" bestFit="1" customWidth="1"/>
    <col min="4618" max="4618" width="7.5703125" style="16" bestFit="1" customWidth="1"/>
    <col min="4619" max="4620" width="7" style="16" bestFit="1" customWidth="1"/>
    <col min="4621" max="4621" width="6.85546875" style="16" bestFit="1" customWidth="1"/>
    <col min="4622" max="4622" width="7" style="16" bestFit="1" customWidth="1"/>
    <col min="4623" max="4623" width="8.570312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8.42578125" style="16" customWidth="1"/>
    <col min="4867" max="4867" width="10.7109375" style="16" bestFit="1" customWidth="1"/>
    <col min="4868" max="4868" width="6.7109375" style="16" bestFit="1" customWidth="1"/>
    <col min="4869" max="4869" width="8.5703125" style="16" bestFit="1" customWidth="1"/>
    <col min="4870" max="4870" width="9.28515625" style="16" bestFit="1" customWidth="1"/>
    <col min="4871" max="4871" width="10.42578125" style="16" bestFit="1" customWidth="1"/>
    <col min="4872" max="4872" width="10.28515625" style="16" bestFit="1" customWidth="1"/>
    <col min="4873" max="4873" width="7.140625" style="16" bestFit="1" customWidth="1"/>
    <col min="4874" max="4874" width="7.5703125" style="16" bestFit="1" customWidth="1"/>
    <col min="4875" max="4876" width="7" style="16" bestFit="1" customWidth="1"/>
    <col min="4877" max="4877" width="6.85546875" style="16" bestFit="1" customWidth="1"/>
    <col min="4878" max="4878" width="7" style="16" bestFit="1" customWidth="1"/>
    <col min="4879" max="4879" width="8.570312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8.42578125" style="16" customWidth="1"/>
    <col min="5123" max="5123" width="10.7109375" style="16" bestFit="1" customWidth="1"/>
    <col min="5124" max="5124" width="6.7109375" style="16" bestFit="1" customWidth="1"/>
    <col min="5125" max="5125" width="8.5703125" style="16" bestFit="1" customWidth="1"/>
    <col min="5126" max="5126" width="9.28515625" style="16" bestFit="1" customWidth="1"/>
    <col min="5127" max="5127" width="10.42578125" style="16" bestFit="1" customWidth="1"/>
    <col min="5128" max="5128" width="10.28515625" style="16" bestFit="1" customWidth="1"/>
    <col min="5129" max="5129" width="7.140625" style="16" bestFit="1" customWidth="1"/>
    <col min="5130" max="5130" width="7.5703125" style="16" bestFit="1" customWidth="1"/>
    <col min="5131" max="5132" width="7" style="16" bestFit="1" customWidth="1"/>
    <col min="5133" max="5133" width="6.85546875" style="16" bestFit="1" customWidth="1"/>
    <col min="5134" max="5134" width="7" style="16" bestFit="1" customWidth="1"/>
    <col min="5135" max="5135" width="8.570312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8.42578125" style="16" customWidth="1"/>
    <col min="5379" max="5379" width="10.7109375" style="16" bestFit="1" customWidth="1"/>
    <col min="5380" max="5380" width="6.7109375" style="16" bestFit="1" customWidth="1"/>
    <col min="5381" max="5381" width="8.5703125" style="16" bestFit="1" customWidth="1"/>
    <col min="5382" max="5382" width="9.28515625" style="16" bestFit="1" customWidth="1"/>
    <col min="5383" max="5383" width="10.42578125" style="16" bestFit="1" customWidth="1"/>
    <col min="5384" max="5384" width="10.28515625" style="16" bestFit="1" customWidth="1"/>
    <col min="5385" max="5385" width="7.140625" style="16" bestFit="1" customWidth="1"/>
    <col min="5386" max="5386" width="7.5703125" style="16" bestFit="1" customWidth="1"/>
    <col min="5387" max="5388" width="7" style="16" bestFit="1" customWidth="1"/>
    <col min="5389" max="5389" width="6.85546875" style="16" bestFit="1" customWidth="1"/>
    <col min="5390" max="5390" width="7" style="16" bestFit="1" customWidth="1"/>
    <col min="5391" max="5391" width="8.570312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8.42578125" style="16" customWidth="1"/>
    <col min="5635" max="5635" width="10.7109375" style="16" bestFit="1" customWidth="1"/>
    <col min="5636" max="5636" width="6.7109375" style="16" bestFit="1" customWidth="1"/>
    <col min="5637" max="5637" width="8.5703125" style="16" bestFit="1" customWidth="1"/>
    <col min="5638" max="5638" width="9.28515625" style="16" bestFit="1" customWidth="1"/>
    <col min="5639" max="5639" width="10.42578125" style="16" bestFit="1" customWidth="1"/>
    <col min="5640" max="5640" width="10.28515625" style="16" bestFit="1" customWidth="1"/>
    <col min="5641" max="5641" width="7.140625" style="16" bestFit="1" customWidth="1"/>
    <col min="5642" max="5642" width="7.5703125" style="16" bestFit="1" customWidth="1"/>
    <col min="5643" max="5644" width="7" style="16" bestFit="1" customWidth="1"/>
    <col min="5645" max="5645" width="6.85546875" style="16" bestFit="1" customWidth="1"/>
    <col min="5646" max="5646" width="7" style="16" bestFit="1" customWidth="1"/>
    <col min="5647" max="5647" width="8.570312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8.42578125" style="16" customWidth="1"/>
    <col min="5891" max="5891" width="10.7109375" style="16" bestFit="1" customWidth="1"/>
    <col min="5892" max="5892" width="6.7109375" style="16" bestFit="1" customWidth="1"/>
    <col min="5893" max="5893" width="8.5703125" style="16" bestFit="1" customWidth="1"/>
    <col min="5894" max="5894" width="9.28515625" style="16" bestFit="1" customWidth="1"/>
    <col min="5895" max="5895" width="10.42578125" style="16" bestFit="1" customWidth="1"/>
    <col min="5896" max="5896" width="10.28515625" style="16" bestFit="1" customWidth="1"/>
    <col min="5897" max="5897" width="7.140625" style="16" bestFit="1" customWidth="1"/>
    <col min="5898" max="5898" width="7.5703125" style="16" bestFit="1" customWidth="1"/>
    <col min="5899" max="5900" width="7" style="16" bestFit="1" customWidth="1"/>
    <col min="5901" max="5901" width="6.85546875" style="16" bestFit="1" customWidth="1"/>
    <col min="5902" max="5902" width="7" style="16" bestFit="1" customWidth="1"/>
    <col min="5903" max="5903" width="8.570312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8.42578125" style="16" customWidth="1"/>
    <col min="6147" max="6147" width="10.7109375" style="16" bestFit="1" customWidth="1"/>
    <col min="6148" max="6148" width="6.7109375" style="16" bestFit="1" customWidth="1"/>
    <col min="6149" max="6149" width="8.5703125" style="16" bestFit="1" customWidth="1"/>
    <col min="6150" max="6150" width="9.28515625" style="16" bestFit="1" customWidth="1"/>
    <col min="6151" max="6151" width="10.42578125" style="16" bestFit="1" customWidth="1"/>
    <col min="6152" max="6152" width="10.28515625" style="16" bestFit="1" customWidth="1"/>
    <col min="6153" max="6153" width="7.140625" style="16" bestFit="1" customWidth="1"/>
    <col min="6154" max="6154" width="7.5703125" style="16" bestFit="1" customWidth="1"/>
    <col min="6155" max="6156" width="7" style="16" bestFit="1" customWidth="1"/>
    <col min="6157" max="6157" width="6.85546875" style="16" bestFit="1" customWidth="1"/>
    <col min="6158" max="6158" width="7" style="16" bestFit="1" customWidth="1"/>
    <col min="6159" max="6159" width="8.570312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8.42578125" style="16" customWidth="1"/>
    <col min="6403" max="6403" width="10.7109375" style="16" bestFit="1" customWidth="1"/>
    <col min="6404" max="6404" width="6.7109375" style="16" bestFit="1" customWidth="1"/>
    <col min="6405" max="6405" width="8.5703125" style="16" bestFit="1" customWidth="1"/>
    <col min="6406" max="6406" width="9.28515625" style="16" bestFit="1" customWidth="1"/>
    <col min="6407" max="6407" width="10.42578125" style="16" bestFit="1" customWidth="1"/>
    <col min="6408" max="6408" width="10.28515625" style="16" bestFit="1" customWidth="1"/>
    <col min="6409" max="6409" width="7.140625" style="16" bestFit="1" customWidth="1"/>
    <col min="6410" max="6410" width="7.5703125" style="16" bestFit="1" customWidth="1"/>
    <col min="6411" max="6412" width="7" style="16" bestFit="1" customWidth="1"/>
    <col min="6413" max="6413" width="6.85546875" style="16" bestFit="1" customWidth="1"/>
    <col min="6414" max="6414" width="7" style="16" bestFit="1" customWidth="1"/>
    <col min="6415" max="6415" width="8.570312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8.42578125" style="16" customWidth="1"/>
    <col min="6659" max="6659" width="10.7109375" style="16" bestFit="1" customWidth="1"/>
    <col min="6660" max="6660" width="6.7109375" style="16" bestFit="1" customWidth="1"/>
    <col min="6661" max="6661" width="8.5703125" style="16" bestFit="1" customWidth="1"/>
    <col min="6662" max="6662" width="9.28515625" style="16" bestFit="1" customWidth="1"/>
    <col min="6663" max="6663" width="10.42578125" style="16" bestFit="1" customWidth="1"/>
    <col min="6664" max="6664" width="10.28515625" style="16" bestFit="1" customWidth="1"/>
    <col min="6665" max="6665" width="7.140625" style="16" bestFit="1" customWidth="1"/>
    <col min="6666" max="6666" width="7.5703125" style="16" bestFit="1" customWidth="1"/>
    <col min="6667" max="6668" width="7" style="16" bestFit="1" customWidth="1"/>
    <col min="6669" max="6669" width="6.85546875" style="16" bestFit="1" customWidth="1"/>
    <col min="6670" max="6670" width="7" style="16" bestFit="1" customWidth="1"/>
    <col min="6671" max="6671" width="8.570312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8.42578125" style="16" customWidth="1"/>
    <col min="6915" max="6915" width="10.7109375" style="16" bestFit="1" customWidth="1"/>
    <col min="6916" max="6916" width="6.7109375" style="16" bestFit="1" customWidth="1"/>
    <col min="6917" max="6917" width="8.5703125" style="16" bestFit="1" customWidth="1"/>
    <col min="6918" max="6918" width="9.28515625" style="16" bestFit="1" customWidth="1"/>
    <col min="6919" max="6919" width="10.42578125" style="16" bestFit="1" customWidth="1"/>
    <col min="6920" max="6920" width="10.28515625" style="16" bestFit="1" customWidth="1"/>
    <col min="6921" max="6921" width="7.140625" style="16" bestFit="1" customWidth="1"/>
    <col min="6922" max="6922" width="7.5703125" style="16" bestFit="1" customWidth="1"/>
    <col min="6923" max="6924" width="7" style="16" bestFit="1" customWidth="1"/>
    <col min="6925" max="6925" width="6.85546875" style="16" bestFit="1" customWidth="1"/>
    <col min="6926" max="6926" width="7" style="16" bestFit="1" customWidth="1"/>
    <col min="6927" max="6927" width="8.570312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8.42578125" style="16" customWidth="1"/>
    <col min="7171" max="7171" width="10.7109375" style="16" bestFit="1" customWidth="1"/>
    <col min="7172" max="7172" width="6.7109375" style="16" bestFit="1" customWidth="1"/>
    <col min="7173" max="7173" width="8.5703125" style="16" bestFit="1" customWidth="1"/>
    <col min="7174" max="7174" width="9.28515625" style="16" bestFit="1" customWidth="1"/>
    <col min="7175" max="7175" width="10.42578125" style="16" bestFit="1" customWidth="1"/>
    <col min="7176" max="7176" width="10.28515625" style="16" bestFit="1" customWidth="1"/>
    <col min="7177" max="7177" width="7.140625" style="16" bestFit="1" customWidth="1"/>
    <col min="7178" max="7178" width="7.5703125" style="16" bestFit="1" customWidth="1"/>
    <col min="7179" max="7180" width="7" style="16" bestFit="1" customWidth="1"/>
    <col min="7181" max="7181" width="6.85546875" style="16" bestFit="1" customWidth="1"/>
    <col min="7182" max="7182" width="7" style="16" bestFit="1" customWidth="1"/>
    <col min="7183" max="7183" width="8.570312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8.42578125" style="16" customWidth="1"/>
    <col min="7427" max="7427" width="10.7109375" style="16" bestFit="1" customWidth="1"/>
    <col min="7428" max="7428" width="6.7109375" style="16" bestFit="1" customWidth="1"/>
    <col min="7429" max="7429" width="8.5703125" style="16" bestFit="1" customWidth="1"/>
    <col min="7430" max="7430" width="9.28515625" style="16" bestFit="1" customWidth="1"/>
    <col min="7431" max="7431" width="10.42578125" style="16" bestFit="1" customWidth="1"/>
    <col min="7432" max="7432" width="10.28515625" style="16" bestFit="1" customWidth="1"/>
    <col min="7433" max="7433" width="7.140625" style="16" bestFit="1" customWidth="1"/>
    <col min="7434" max="7434" width="7.5703125" style="16" bestFit="1" customWidth="1"/>
    <col min="7435" max="7436" width="7" style="16" bestFit="1" customWidth="1"/>
    <col min="7437" max="7437" width="6.85546875" style="16" bestFit="1" customWidth="1"/>
    <col min="7438" max="7438" width="7" style="16" bestFit="1" customWidth="1"/>
    <col min="7439" max="7439" width="8.570312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8.42578125" style="16" customWidth="1"/>
    <col min="7683" max="7683" width="10.7109375" style="16" bestFit="1" customWidth="1"/>
    <col min="7684" max="7684" width="6.7109375" style="16" bestFit="1" customWidth="1"/>
    <col min="7685" max="7685" width="8.5703125" style="16" bestFit="1" customWidth="1"/>
    <col min="7686" max="7686" width="9.28515625" style="16" bestFit="1" customWidth="1"/>
    <col min="7687" max="7687" width="10.42578125" style="16" bestFit="1" customWidth="1"/>
    <col min="7688" max="7688" width="10.28515625" style="16" bestFit="1" customWidth="1"/>
    <col min="7689" max="7689" width="7.140625" style="16" bestFit="1" customWidth="1"/>
    <col min="7690" max="7690" width="7.5703125" style="16" bestFit="1" customWidth="1"/>
    <col min="7691" max="7692" width="7" style="16" bestFit="1" customWidth="1"/>
    <col min="7693" max="7693" width="6.85546875" style="16" bestFit="1" customWidth="1"/>
    <col min="7694" max="7694" width="7" style="16" bestFit="1" customWidth="1"/>
    <col min="7695" max="7695" width="8.570312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8.42578125" style="16" customWidth="1"/>
    <col min="7939" max="7939" width="10.7109375" style="16" bestFit="1" customWidth="1"/>
    <col min="7940" max="7940" width="6.7109375" style="16" bestFit="1" customWidth="1"/>
    <col min="7941" max="7941" width="8.5703125" style="16" bestFit="1" customWidth="1"/>
    <col min="7942" max="7942" width="9.28515625" style="16" bestFit="1" customWidth="1"/>
    <col min="7943" max="7943" width="10.42578125" style="16" bestFit="1" customWidth="1"/>
    <col min="7944" max="7944" width="10.28515625" style="16" bestFit="1" customWidth="1"/>
    <col min="7945" max="7945" width="7.140625" style="16" bestFit="1" customWidth="1"/>
    <col min="7946" max="7946" width="7.5703125" style="16" bestFit="1" customWidth="1"/>
    <col min="7947" max="7948" width="7" style="16" bestFit="1" customWidth="1"/>
    <col min="7949" max="7949" width="6.85546875" style="16" bestFit="1" customWidth="1"/>
    <col min="7950" max="7950" width="7" style="16" bestFit="1" customWidth="1"/>
    <col min="7951" max="7951" width="8.570312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8.42578125" style="16" customWidth="1"/>
    <col min="8195" max="8195" width="10.7109375" style="16" bestFit="1" customWidth="1"/>
    <col min="8196" max="8196" width="6.7109375" style="16" bestFit="1" customWidth="1"/>
    <col min="8197" max="8197" width="8.5703125" style="16" bestFit="1" customWidth="1"/>
    <col min="8198" max="8198" width="9.28515625" style="16" bestFit="1" customWidth="1"/>
    <col min="8199" max="8199" width="10.42578125" style="16" bestFit="1" customWidth="1"/>
    <col min="8200" max="8200" width="10.28515625" style="16" bestFit="1" customWidth="1"/>
    <col min="8201" max="8201" width="7.140625" style="16" bestFit="1" customWidth="1"/>
    <col min="8202" max="8202" width="7.5703125" style="16" bestFit="1" customWidth="1"/>
    <col min="8203" max="8204" width="7" style="16" bestFit="1" customWidth="1"/>
    <col min="8205" max="8205" width="6.85546875" style="16" bestFit="1" customWidth="1"/>
    <col min="8206" max="8206" width="7" style="16" bestFit="1" customWidth="1"/>
    <col min="8207" max="8207" width="8.570312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8.42578125" style="16" customWidth="1"/>
    <col min="8451" max="8451" width="10.7109375" style="16" bestFit="1" customWidth="1"/>
    <col min="8452" max="8452" width="6.7109375" style="16" bestFit="1" customWidth="1"/>
    <col min="8453" max="8453" width="8.5703125" style="16" bestFit="1" customWidth="1"/>
    <col min="8454" max="8454" width="9.28515625" style="16" bestFit="1" customWidth="1"/>
    <col min="8455" max="8455" width="10.42578125" style="16" bestFit="1" customWidth="1"/>
    <col min="8456" max="8456" width="10.28515625" style="16" bestFit="1" customWidth="1"/>
    <col min="8457" max="8457" width="7.140625" style="16" bestFit="1" customWidth="1"/>
    <col min="8458" max="8458" width="7.5703125" style="16" bestFit="1" customWidth="1"/>
    <col min="8459" max="8460" width="7" style="16" bestFit="1" customWidth="1"/>
    <col min="8461" max="8461" width="6.85546875" style="16" bestFit="1" customWidth="1"/>
    <col min="8462" max="8462" width="7" style="16" bestFit="1" customWidth="1"/>
    <col min="8463" max="8463" width="8.570312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8.42578125" style="16" customWidth="1"/>
    <col min="8707" max="8707" width="10.7109375" style="16" bestFit="1" customWidth="1"/>
    <col min="8708" max="8708" width="6.7109375" style="16" bestFit="1" customWidth="1"/>
    <col min="8709" max="8709" width="8.5703125" style="16" bestFit="1" customWidth="1"/>
    <col min="8710" max="8710" width="9.28515625" style="16" bestFit="1" customWidth="1"/>
    <col min="8711" max="8711" width="10.42578125" style="16" bestFit="1" customWidth="1"/>
    <col min="8712" max="8712" width="10.28515625" style="16" bestFit="1" customWidth="1"/>
    <col min="8713" max="8713" width="7.140625" style="16" bestFit="1" customWidth="1"/>
    <col min="8714" max="8714" width="7.5703125" style="16" bestFit="1" customWidth="1"/>
    <col min="8715" max="8716" width="7" style="16" bestFit="1" customWidth="1"/>
    <col min="8717" max="8717" width="6.85546875" style="16" bestFit="1" customWidth="1"/>
    <col min="8718" max="8718" width="7" style="16" bestFit="1" customWidth="1"/>
    <col min="8719" max="8719" width="8.570312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8.42578125" style="16" customWidth="1"/>
    <col min="8963" max="8963" width="10.7109375" style="16" bestFit="1" customWidth="1"/>
    <col min="8964" max="8964" width="6.7109375" style="16" bestFit="1" customWidth="1"/>
    <col min="8965" max="8965" width="8.5703125" style="16" bestFit="1" customWidth="1"/>
    <col min="8966" max="8966" width="9.28515625" style="16" bestFit="1" customWidth="1"/>
    <col min="8967" max="8967" width="10.42578125" style="16" bestFit="1" customWidth="1"/>
    <col min="8968" max="8968" width="10.28515625" style="16" bestFit="1" customWidth="1"/>
    <col min="8969" max="8969" width="7.140625" style="16" bestFit="1" customWidth="1"/>
    <col min="8970" max="8970" width="7.5703125" style="16" bestFit="1" customWidth="1"/>
    <col min="8971" max="8972" width="7" style="16" bestFit="1" customWidth="1"/>
    <col min="8973" max="8973" width="6.85546875" style="16" bestFit="1" customWidth="1"/>
    <col min="8974" max="8974" width="7" style="16" bestFit="1" customWidth="1"/>
    <col min="8975" max="8975" width="8.570312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8.42578125" style="16" customWidth="1"/>
    <col min="9219" max="9219" width="10.7109375" style="16" bestFit="1" customWidth="1"/>
    <col min="9220" max="9220" width="6.7109375" style="16" bestFit="1" customWidth="1"/>
    <col min="9221" max="9221" width="8.5703125" style="16" bestFit="1" customWidth="1"/>
    <col min="9222" max="9222" width="9.28515625" style="16" bestFit="1" customWidth="1"/>
    <col min="9223" max="9223" width="10.42578125" style="16" bestFit="1" customWidth="1"/>
    <col min="9224" max="9224" width="10.28515625" style="16" bestFit="1" customWidth="1"/>
    <col min="9225" max="9225" width="7.140625" style="16" bestFit="1" customWidth="1"/>
    <col min="9226" max="9226" width="7.5703125" style="16" bestFit="1" customWidth="1"/>
    <col min="9227" max="9228" width="7" style="16" bestFit="1" customWidth="1"/>
    <col min="9229" max="9229" width="6.85546875" style="16" bestFit="1" customWidth="1"/>
    <col min="9230" max="9230" width="7" style="16" bestFit="1" customWidth="1"/>
    <col min="9231" max="9231" width="8.570312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8.42578125" style="16" customWidth="1"/>
    <col min="9475" max="9475" width="10.7109375" style="16" bestFit="1" customWidth="1"/>
    <col min="9476" max="9476" width="6.7109375" style="16" bestFit="1" customWidth="1"/>
    <col min="9477" max="9477" width="8.5703125" style="16" bestFit="1" customWidth="1"/>
    <col min="9478" max="9478" width="9.28515625" style="16" bestFit="1" customWidth="1"/>
    <col min="9479" max="9479" width="10.42578125" style="16" bestFit="1" customWidth="1"/>
    <col min="9480" max="9480" width="10.28515625" style="16" bestFit="1" customWidth="1"/>
    <col min="9481" max="9481" width="7.140625" style="16" bestFit="1" customWidth="1"/>
    <col min="9482" max="9482" width="7.5703125" style="16" bestFit="1" customWidth="1"/>
    <col min="9483" max="9484" width="7" style="16" bestFit="1" customWidth="1"/>
    <col min="9485" max="9485" width="6.85546875" style="16" bestFit="1" customWidth="1"/>
    <col min="9486" max="9486" width="7" style="16" bestFit="1" customWidth="1"/>
    <col min="9487" max="9487" width="8.570312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8.42578125" style="16" customWidth="1"/>
    <col min="9731" max="9731" width="10.7109375" style="16" bestFit="1" customWidth="1"/>
    <col min="9732" max="9732" width="6.7109375" style="16" bestFit="1" customWidth="1"/>
    <col min="9733" max="9733" width="8.5703125" style="16" bestFit="1" customWidth="1"/>
    <col min="9734" max="9734" width="9.28515625" style="16" bestFit="1" customWidth="1"/>
    <col min="9735" max="9735" width="10.42578125" style="16" bestFit="1" customWidth="1"/>
    <col min="9736" max="9736" width="10.28515625" style="16" bestFit="1" customWidth="1"/>
    <col min="9737" max="9737" width="7.140625" style="16" bestFit="1" customWidth="1"/>
    <col min="9738" max="9738" width="7.5703125" style="16" bestFit="1" customWidth="1"/>
    <col min="9739" max="9740" width="7" style="16" bestFit="1" customWidth="1"/>
    <col min="9741" max="9741" width="6.85546875" style="16" bestFit="1" customWidth="1"/>
    <col min="9742" max="9742" width="7" style="16" bestFit="1" customWidth="1"/>
    <col min="9743" max="9743" width="8.570312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8.42578125" style="16" customWidth="1"/>
    <col min="9987" max="9987" width="10.7109375" style="16" bestFit="1" customWidth="1"/>
    <col min="9988" max="9988" width="6.7109375" style="16" bestFit="1" customWidth="1"/>
    <col min="9989" max="9989" width="8.5703125" style="16" bestFit="1" customWidth="1"/>
    <col min="9990" max="9990" width="9.28515625" style="16" bestFit="1" customWidth="1"/>
    <col min="9991" max="9991" width="10.42578125" style="16" bestFit="1" customWidth="1"/>
    <col min="9992" max="9992" width="10.28515625" style="16" bestFit="1" customWidth="1"/>
    <col min="9993" max="9993" width="7.140625" style="16" bestFit="1" customWidth="1"/>
    <col min="9994" max="9994" width="7.5703125" style="16" bestFit="1" customWidth="1"/>
    <col min="9995" max="9996" width="7" style="16" bestFit="1" customWidth="1"/>
    <col min="9997" max="9997" width="6.85546875" style="16" bestFit="1" customWidth="1"/>
    <col min="9998" max="9998" width="7" style="16" bestFit="1" customWidth="1"/>
    <col min="9999" max="9999" width="8.570312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8.42578125" style="16" customWidth="1"/>
    <col min="10243" max="10243" width="10.7109375" style="16" bestFit="1" customWidth="1"/>
    <col min="10244" max="10244" width="6.7109375" style="16" bestFit="1" customWidth="1"/>
    <col min="10245" max="10245" width="8.5703125" style="16" bestFit="1" customWidth="1"/>
    <col min="10246" max="10246" width="9.28515625" style="16" bestFit="1" customWidth="1"/>
    <col min="10247" max="10247" width="10.42578125" style="16" bestFit="1" customWidth="1"/>
    <col min="10248" max="10248" width="10.28515625" style="16" bestFit="1" customWidth="1"/>
    <col min="10249" max="10249" width="7.140625" style="16" bestFit="1" customWidth="1"/>
    <col min="10250" max="10250" width="7.5703125" style="16" bestFit="1" customWidth="1"/>
    <col min="10251" max="10252" width="7" style="16" bestFit="1" customWidth="1"/>
    <col min="10253" max="10253" width="6.85546875" style="16" bestFit="1" customWidth="1"/>
    <col min="10254" max="10254" width="7" style="16" bestFit="1" customWidth="1"/>
    <col min="10255" max="10255" width="8.570312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8.42578125" style="16" customWidth="1"/>
    <col min="10499" max="10499" width="10.7109375" style="16" bestFit="1" customWidth="1"/>
    <col min="10500" max="10500" width="6.7109375" style="16" bestFit="1" customWidth="1"/>
    <col min="10501" max="10501" width="8.5703125" style="16" bestFit="1" customWidth="1"/>
    <col min="10502" max="10502" width="9.28515625" style="16" bestFit="1" customWidth="1"/>
    <col min="10503" max="10503" width="10.42578125" style="16" bestFit="1" customWidth="1"/>
    <col min="10504" max="10504" width="10.28515625" style="16" bestFit="1" customWidth="1"/>
    <col min="10505" max="10505" width="7.140625" style="16" bestFit="1" customWidth="1"/>
    <col min="10506" max="10506" width="7.5703125" style="16" bestFit="1" customWidth="1"/>
    <col min="10507" max="10508" width="7" style="16" bestFit="1" customWidth="1"/>
    <col min="10509" max="10509" width="6.85546875" style="16" bestFit="1" customWidth="1"/>
    <col min="10510" max="10510" width="7" style="16" bestFit="1" customWidth="1"/>
    <col min="10511" max="10511" width="8.570312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8.42578125" style="16" customWidth="1"/>
    <col min="10755" max="10755" width="10.7109375" style="16" bestFit="1" customWidth="1"/>
    <col min="10756" max="10756" width="6.7109375" style="16" bestFit="1" customWidth="1"/>
    <col min="10757" max="10757" width="8.5703125" style="16" bestFit="1" customWidth="1"/>
    <col min="10758" max="10758" width="9.28515625" style="16" bestFit="1" customWidth="1"/>
    <col min="10759" max="10759" width="10.42578125" style="16" bestFit="1" customWidth="1"/>
    <col min="10760" max="10760" width="10.28515625" style="16" bestFit="1" customWidth="1"/>
    <col min="10761" max="10761" width="7.140625" style="16" bestFit="1" customWidth="1"/>
    <col min="10762" max="10762" width="7.5703125" style="16" bestFit="1" customWidth="1"/>
    <col min="10763" max="10764" width="7" style="16" bestFit="1" customWidth="1"/>
    <col min="10765" max="10765" width="6.85546875" style="16" bestFit="1" customWidth="1"/>
    <col min="10766" max="10766" width="7" style="16" bestFit="1" customWidth="1"/>
    <col min="10767" max="10767" width="8.570312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8.42578125" style="16" customWidth="1"/>
    <col min="11011" max="11011" width="10.7109375" style="16" bestFit="1" customWidth="1"/>
    <col min="11012" max="11012" width="6.7109375" style="16" bestFit="1" customWidth="1"/>
    <col min="11013" max="11013" width="8.5703125" style="16" bestFit="1" customWidth="1"/>
    <col min="11014" max="11014" width="9.28515625" style="16" bestFit="1" customWidth="1"/>
    <col min="11015" max="11015" width="10.42578125" style="16" bestFit="1" customWidth="1"/>
    <col min="11016" max="11016" width="10.28515625" style="16" bestFit="1" customWidth="1"/>
    <col min="11017" max="11017" width="7.140625" style="16" bestFit="1" customWidth="1"/>
    <col min="11018" max="11018" width="7.5703125" style="16" bestFit="1" customWidth="1"/>
    <col min="11019" max="11020" width="7" style="16" bestFit="1" customWidth="1"/>
    <col min="11021" max="11021" width="6.85546875" style="16" bestFit="1" customWidth="1"/>
    <col min="11022" max="11022" width="7" style="16" bestFit="1" customWidth="1"/>
    <col min="11023" max="11023" width="8.570312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8.42578125" style="16" customWidth="1"/>
    <col min="11267" max="11267" width="10.7109375" style="16" bestFit="1" customWidth="1"/>
    <col min="11268" max="11268" width="6.7109375" style="16" bestFit="1" customWidth="1"/>
    <col min="11269" max="11269" width="8.5703125" style="16" bestFit="1" customWidth="1"/>
    <col min="11270" max="11270" width="9.28515625" style="16" bestFit="1" customWidth="1"/>
    <col min="11271" max="11271" width="10.42578125" style="16" bestFit="1" customWidth="1"/>
    <col min="11272" max="11272" width="10.28515625" style="16" bestFit="1" customWidth="1"/>
    <col min="11273" max="11273" width="7.140625" style="16" bestFit="1" customWidth="1"/>
    <col min="11274" max="11274" width="7.5703125" style="16" bestFit="1" customWidth="1"/>
    <col min="11275" max="11276" width="7" style="16" bestFit="1" customWidth="1"/>
    <col min="11277" max="11277" width="6.85546875" style="16" bestFit="1" customWidth="1"/>
    <col min="11278" max="11278" width="7" style="16" bestFit="1" customWidth="1"/>
    <col min="11279" max="11279" width="8.570312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8.42578125" style="16" customWidth="1"/>
    <col min="11523" max="11523" width="10.7109375" style="16" bestFit="1" customWidth="1"/>
    <col min="11524" max="11524" width="6.7109375" style="16" bestFit="1" customWidth="1"/>
    <col min="11525" max="11525" width="8.5703125" style="16" bestFit="1" customWidth="1"/>
    <col min="11526" max="11526" width="9.28515625" style="16" bestFit="1" customWidth="1"/>
    <col min="11527" max="11527" width="10.42578125" style="16" bestFit="1" customWidth="1"/>
    <col min="11528" max="11528" width="10.28515625" style="16" bestFit="1" customWidth="1"/>
    <col min="11529" max="11529" width="7.140625" style="16" bestFit="1" customWidth="1"/>
    <col min="11530" max="11530" width="7.5703125" style="16" bestFit="1" customWidth="1"/>
    <col min="11531" max="11532" width="7" style="16" bestFit="1" customWidth="1"/>
    <col min="11533" max="11533" width="6.85546875" style="16" bestFit="1" customWidth="1"/>
    <col min="11534" max="11534" width="7" style="16" bestFit="1" customWidth="1"/>
    <col min="11535" max="11535" width="8.570312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8.42578125" style="16" customWidth="1"/>
    <col min="11779" max="11779" width="10.7109375" style="16" bestFit="1" customWidth="1"/>
    <col min="11780" max="11780" width="6.7109375" style="16" bestFit="1" customWidth="1"/>
    <col min="11781" max="11781" width="8.5703125" style="16" bestFit="1" customWidth="1"/>
    <col min="11782" max="11782" width="9.28515625" style="16" bestFit="1" customWidth="1"/>
    <col min="11783" max="11783" width="10.42578125" style="16" bestFit="1" customWidth="1"/>
    <col min="11784" max="11784" width="10.28515625" style="16" bestFit="1" customWidth="1"/>
    <col min="11785" max="11785" width="7.140625" style="16" bestFit="1" customWidth="1"/>
    <col min="11786" max="11786" width="7.5703125" style="16" bestFit="1" customWidth="1"/>
    <col min="11787" max="11788" width="7" style="16" bestFit="1" customWidth="1"/>
    <col min="11789" max="11789" width="6.85546875" style="16" bestFit="1" customWidth="1"/>
    <col min="11790" max="11790" width="7" style="16" bestFit="1" customWidth="1"/>
    <col min="11791" max="11791" width="8.570312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8.42578125" style="16" customWidth="1"/>
    <col min="12035" max="12035" width="10.7109375" style="16" bestFit="1" customWidth="1"/>
    <col min="12036" max="12036" width="6.7109375" style="16" bestFit="1" customWidth="1"/>
    <col min="12037" max="12037" width="8.5703125" style="16" bestFit="1" customWidth="1"/>
    <col min="12038" max="12038" width="9.28515625" style="16" bestFit="1" customWidth="1"/>
    <col min="12039" max="12039" width="10.42578125" style="16" bestFit="1" customWidth="1"/>
    <col min="12040" max="12040" width="10.28515625" style="16" bestFit="1" customWidth="1"/>
    <col min="12041" max="12041" width="7.140625" style="16" bestFit="1" customWidth="1"/>
    <col min="12042" max="12042" width="7.5703125" style="16" bestFit="1" customWidth="1"/>
    <col min="12043" max="12044" width="7" style="16" bestFit="1" customWidth="1"/>
    <col min="12045" max="12045" width="6.85546875" style="16" bestFit="1" customWidth="1"/>
    <col min="12046" max="12046" width="7" style="16" bestFit="1" customWidth="1"/>
    <col min="12047" max="12047" width="8.570312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8.42578125" style="16" customWidth="1"/>
    <col min="12291" max="12291" width="10.7109375" style="16" bestFit="1" customWidth="1"/>
    <col min="12292" max="12292" width="6.7109375" style="16" bestFit="1" customWidth="1"/>
    <col min="12293" max="12293" width="8.5703125" style="16" bestFit="1" customWidth="1"/>
    <col min="12294" max="12294" width="9.28515625" style="16" bestFit="1" customWidth="1"/>
    <col min="12295" max="12295" width="10.42578125" style="16" bestFit="1" customWidth="1"/>
    <col min="12296" max="12296" width="10.28515625" style="16" bestFit="1" customWidth="1"/>
    <col min="12297" max="12297" width="7.140625" style="16" bestFit="1" customWidth="1"/>
    <col min="12298" max="12298" width="7.5703125" style="16" bestFit="1" customWidth="1"/>
    <col min="12299" max="12300" width="7" style="16" bestFit="1" customWidth="1"/>
    <col min="12301" max="12301" width="6.85546875" style="16" bestFit="1" customWidth="1"/>
    <col min="12302" max="12302" width="7" style="16" bestFit="1" customWidth="1"/>
    <col min="12303" max="12303" width="8.570312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8.42578125" style="16" customWidth="1"/>
    <col min="12547" max="12547" width="10.7109375" style="16" bestFit="1" customWidth="1"/>
    <col min="12548" max="12548" width="6.7109375" style="16" bestFit="1" customWidth="1"/>
    <col min="12549" max="12549" width="8.5703125" style="16" bestFit="1" customWidth="1"/>
    <col min="12550" max="12550" width="9.28515625" style="16" bestFit="1" customWidth="1"/>
    <col min="12551" max="12551" width="10.42578125" style="16" bestFit="1" customWidth="1"/>
    <col min="12552" max="12552" width="10.28515625" style="16" bestFit="1" customWidth="1"/>
    <col min="12553" max="12553" width="7.140625" style="16" bestFit="1" customWidth="1"/>
    <col min="12554" max="12554" width="7.5703125" style="16" bestFit="1" customWidth="1"/>
    <col min="12555" max="12556" width="7" style="16" bestFit="1" customWidth="1"/>
    <col min="12557" max="12557" width="6.85546875" style="16" bestFit="1" customWidth="1"/>
    <col min="12558" max="12558" width="7" style="16" bestFit="1" customWidth="1"/>
    <col min="12559" max="12559" width="8.570312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8.42578125" style="16" customWidth="1"/>
    <col min="12803" max="12803" width="10.7109375" style="16" bestFit="1" customWidth="1"/>
    <col min="12804" max="12804" width="6.7109375" style="16" bestFit="1" customWidth="1"/>
    <col min="12805" max="12805" width="8.5703125" style="16" bestFit="1" customWidth="1"/>
    <col min="12806" max="12806" width="9.28515625" style="16" bestFit="1" customWidth="1"/>
    <col min="12807" max="12807" width="10.42578125" style="16" bestFit="1" customWidth="1"/>
    <col min="12808" max="12808" width="10.28515625" style="16" bestFit="1" customWidth="1"/>
    <col min="12809" max="12809" width="7.140625" style="16" bestFit="1" customWidth="1"/>
    <col min="12810" max="12810" width="7.5703125" style="16" bestFit="1" customWidth="1"/>
    <col min="12811" max="12812" width="7" style="16" bestFit="1" customWidth="1"/>
    <col min="12813" max="12813" width="6.85546875" style="16" bestFit="1" customWidth="1"/>
    <col min="12814" max="12814" width="7" style="16" bestFit="1" customWidth="1"/>
    <col min="12815" max="12815" width="8.570312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8.42578125" style="16" customWidth="1"/>
    <col min="13059" max="13059" width="10.7109375" style="16" bestFit="1" customWidth="1"/>
    <col min="13060" max="13060" width="6.7109375" style="16" bestFit="1" customWidth="1"/>
    <col min="13061" max="13061" width="8.5703125" style="16" bestFit="1" customWidth="1"/>
    <col min="13062" max="13062" width="9.28515625" style="16" bestFit="1" customWidth="1"/>
    <col min="13063" max="13063" width="10.42578125" style="16" bestFit="1" customWidth="1"/>
    <col min="13064" max="13064" width="10.28515625" style="16" bestFit="1" customWidth="1"/>
    <col min="13065" max="13065" width="7.140625" style="16" bestFit="1" customWidth="1"/>
    <col min="13066" max="13066" width="7.5703125" style="16" bestFit="1" customWidth="1"/>
    <col min="13067" max="13068" width="7" style="16" bestFit="1" customWidth="1"/>
    <col min="13069" max="13069" width="6.85546875" style="16" bestFit="1" customWidth="1"/>
    <col min="13070" max="13070" width="7" style="16" bestFit="1" customWidth="1"/>
    <col min="13071" max="13071" width="8.570312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8.42578125" style="16" customWidth="1"/>
    <col min="13315" max="13315" width="10.7109375" style="16" bestFit="1" customWidth="1"/>
    <col min="13316" max="13316" width="6.7109375" style="16" bestFit="1" customWidth="1"/>
    <col min="13317" max="13317" width="8.5703125" style="16" bestFit="1" customWidth="1"/>
    <col min="13318" max="13318" width="9.28515625" style="16" bestFit="1" customWidth="1"/>
    <col min="13319" max="13319" width="10.42578125" style="16" bestFit="1" customWidth="1"/>
    <col min="13320" max="13320" width="10.28515625" style="16" bestFit="1" customWidth="1"/>
    <col min="13321" max="13321" width="7.140625" style="16" bestFit="1" customWidth="1"/>
    <col min="13322" max="13322" width="7.5703125" style="16" bestFit="1" customWidth="1"/>
    <col min="13323" max="13324" width="7" style="16" bestFit="1" customWidth="1"/>
    <col min="13325" max="13325" width="6.85546875" style="16" bestFit="1" customWidth="1"/>
    <col min="13326" max="13326" width="7" style="16" bestFit="1" customWidth="1"/>
    <col min="13327" max="13327" width="8.570312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8.42578125" style="16" customWidth="1"/>
    <col min="13571" max="13571" width="10.7109375" style="16" bestFit="1" customWidth="1"/>
    <col min="13572" max="13572" width="6.7109375" style="16" bestFit="1" customWidth="1"/>
    <col min="13573" max="13573" width="8.5703125" style="16" bestFit="1" customWidth="1"/>
    <col min="13574" max="13574" width="9.28515625" style="16" bestFit="1" customWidth="1"/>
    <col min="13575" max="13575" width="10.42578125" style="16" bestFit="1" customWidth="1"/>
    <col min="13576" max="13576" width="10.28515625" style="16" bestFit="1" customWidth="1"/>
    <col min="13577" max="13577" width="7.140625" style="16" bestFit="1" customWidth="1"/>
    <col min="13578" max="13578" width="7.5703125" style="16" bestFit="1" customWidth="1"/>
    <col min="13579" max="13580" width="7" style="16" bestFit="1" customWidth="1"/>
    <col min="13581" max="13581" width="6.85546875" style="16" bestFit="1" customWidth="1"/>
    <col min="13582" max="13582" width="7" style="16" bestFit="1" customWidth="1"/>
    <col min="13583" max="13583" width="8.570312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8.42578125" style="16" customWidth="1"/>
    <col min="13827" max="13827" width="10.7109375" style="16" bestFit="1" customWidth="1"/>
    <col min="13828" max="13828" width="6.7109375" style="16" bestFit="1" customWidth="1"/>
    <col min="13829" max="13829" width="8.5703125" style="16" bestFit="1" customWidth="1"/>
    <col min="13830" max="13830" width="9.28515625" style="16" bestFit="1" customWidth="1"/>
    <col min="13831" max="13831" width="10.42578125" style="16" bestFit="1" customWidth="1"/>
    <col min="13832" max="13832" width="10.28515625" style="16" bestFit="1" customWidth="1"/>
    <col min="13833" max="13833" width="7.140625" style="16" bestFit="1" customWidth="1"/>
    <col min="13834" max="13834" width="7.5703125" style="16" bestFit="1" customWidth="1"/>
    <col min="13835" max="13836" width="7" style="16" bestFit="1" customWidth="1"/>
    <col min="13837" max="13837" width="6.85546875" style="16" bestFit="1" customWidth="1"/>
    <col min="13838" max="13838" width="7" style="16" bestFit="1" customWidth="1"/>
    <col min="13839" max="13839" width="8.570312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8.42578125" style="16" customWidth="1"/>
    <col min="14083" max="14083" width="10.7109375" style="16" bestFit="1" customWidth="1"/>
    <col min="14084" max="14084" width="6.7109375" style="16" bestFit="1" customWidth="1"/>
    <col min="14085" max="14085" width="8.5703125" style="16" bestFit="1" customWidth="1"/>
    <col min="14086" max="14086" width="9.28515625" style="16" bestFit="1" customWidth="1"/>
    <col min="14087" max="14087" width="10.42578125" style="16" bestFit="1" customWidth="1"/>
    <col min="14088" max="14088" width="10.28515625" style="16" bestFit="1" customWidth="1"/>
    <col min="14089" max="14089" width="7.140625" style="16" bestFit="1" customWidth="1"/>
    <col min="14090" max="14090" width="7.5703125" style="16" bestFit="1" customWidth="1"/>
    <col min="14091" max="14092" width="7" style="16" bestFit="1" customWidth="1"/>
    <col min="14093" max="14093" width="6.85546875" style="16" bestFit="1" customWidth="1"/>
    <col min="14094" max="14094" width="7" style="16" bestFit="1" customWidth="1"/>
    <col min="14095" max="14095" width="8.570312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8.42578125" style="16" customWidth="1"/>
    <col min="14339" max="14339" width="10.7109375" style="16" bestFit="1" customWidth="1"/>
    <col min="14340" max="14340" width="6.7109375" style="16" bestFit="1" customWidth="1"/>
    <col min="14341" max="14341" width="8.5703125" style="16" bestFit="1" customWidth="1"/>
    <col min="14342" max="14342" width="9.28515625" style="16" bestFit="1" customWidth="1"/>
    <col min="14343" max="14343" width="10.42578125" style="16" bestFit="1" customWidth="1"/>
    <col min="14344" max="14344" width="10.28515625" style="16" bestFit="1" customWidth="1"/>
    <col min="14345" max="14345" width="7.140625" style="16" bestFit="1" customWidth="1"/>
    <col min="14346" max="14346" width="7.5703125" style="16" bestFit="1" customWidth="1"/>
    <col min="14347" max="14348" width="7" style="16" bestFit="1" customWidth="1"/>
    <col min="14349" max="14349" width="6.85546875" style="16" bestFit="1" customWidth="1"/>
    <col min="14350" max="14350" width="7" style="16" bestFit="1" customWidth="1"/>
    <col min="14351" max="14351" width="8.570312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8.42578125" style="16" customWidth="1"/>
    <col min="14595" max="14595" width="10.7109375" style="16" bestFit="1" customWidth="1"/>
    <col min="14596" max="14596" width="6.7109375" style="16" bestFit="1" customWidth="1"/>
    <col min="14597" max="14597" width="8.5703125" style="16" bestFit="1" customWidth="1"/>
    <col min="14598" max="14598" width="9.28515625" style="16" bestFit="1" customWidth="1"/>
    <col min="14599" max="14599" width="10.42578125" style="16" bestFit="1" customWidth="1"/>
    <col min="14600" max="14600" width="10.28515625" style="16" bestFit="1" customWidth="1"/>
    <col min="14601" max="14601" width="7.140625" style="16" bestFit="1" customWidth="1"/>
    <col min="14602" max="14602" width="7.5703125" style="16" bestFit="1" customWidth="1"/>
    <col min="14603" max="14604" width="7" style="16" bestFit="1" customWidth="1"/>
    <col min="14605" max="14605" width="6.85546875" style="16" bestFit="1" customWidth="1"/>
    <col min="14606" max="14606" width="7" style="16" bestFit="1" customWidth="1"/>
    <col min="14607" max="14607" width="8.570312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8.42578125" style="16" customWidth="1"/>
    <col min="14851" max="14851" width="10.7109375" style="16" bestFit="1" customWidth="1"/>
    <col min="14852" max="14852" width="6.7109375" style="16" bestFit="1" customWidth="1"/>
    <col min="14853" max="14853" width="8.5703125" style="16" bestFit="1" customWidth="1"/>
    <col min="14854" max="14854" width="9.28515625" style="16" bestFit="1" customWidth="1"/>
    <col min="14855" max="14855" width="10.42578125" style="16" bestFit="1" customWidth="1"/>
    <col min="14856" max="14856" width="10.28515625" style="16" bestFit="1" customWidth="1"/>
    <col min="14857" max="14857" width="7.140625" style="16" bestFit="1" customWidth="1"/>
    <col min="14858" max="14858" width="7.5703125" style="16" bestFit="1" customWidth="1"/>
    <col min="14859" max="14860" width="7" style="16" bestFit="1" customWidth="1"/>
    <col min="14861" max="14861" width="6.85546875" style="16" bestFit="1" customWidth="1"/>
    <col min="14862" max="14862" width="7" style="16" bestFit="1" customWidth="1"/>
    <col min="14863" max="14863" width="8.570312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8.42578125" style="16" customWidth="1"/>
    <col min="15107" max="15107" width="10.7109375" style="16" bestFit="1" customWidth="1"/>
    <col min="15108" max="15108" width="6.7109375" style="16" bestFit="1" customWidth="1"/>
    <col min="15109" max="15109" width="8.5703125" style="16" bestFit="1" customWidth="1"/>
    <col min="15110" max="15110" width="9.28515625" style="16" bestFit="1" customWidth="1"/>
    <col min="15111" max="15111" width="10.42578125" style="16" bestFit="1" customWidth="1"/>
    <col min="15112" max="15112" width="10.28515625" style="16" bestFit="1" customWidth="1"/>
    <col min="15113" max="15113" width="7.140625" style="16" bestFit="1" customWidth="1"/>
    <col min="15114" max="15114" width="7.5703125" style="16" bestFit="1" customWidth="1"/>
    <col min="15115" max="15116" width="7" style="16" bestFit="1" customWidth="1"/>
    <col min="15117" max="15117" width="6.85546875" style="16" bestFit="1" customWidth="1"/>
    <col min="15118" max="15118" width="7" style="16" bestFit="1" customWidth="1"/>
    <col min="15119" max="15119" width="8.570312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8.42578125" style="16" customWidth="1"/>
    <col min="15363" max="15363" width="10.7109375" style="16" bestFit="1" customWidth="1"/>
    <col min="15364" max="15364" width="6.7109375" style="16" bestFit="1" customWidth="1"/>
    <col min="15365" max="15365" width="8.5703125" style="16" bestFit="1" customWidth="1"/>
    <col min="15366" max="15366" width="9.28515625" style="16" bestFit="1" customWidth="1"/>
    <col min="15367" max="15367" width="10.42578125" style="16" bestFit="1" customWidth="1"/>
    <col min="15368" max="15368" width="10.28515625" style="16" bestFit="1" customWidth="1"/>
    <col min="15369" max="15369" width="7.140625" style="16" bestFit="1" customWidth="1"/>
    <col min="15370" max="15370" width="7.5703125" style="16" bestFit="1" customWidth="1"/>
    <col min="15371" max="15372" width="7" style="16" bestFit="1" customWidth="1"/>
    <col min="15373" max="15373" width="6.85546875" style="16" bestFit="1" customWidth="1"/>
    <col min="15374" max="15374" width="7" style="16" bestFit="1" customWidth="1"/>
    <col min="15375" max="15375" width="8.570312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8.42578125" style="16" customWidth="1"/>
    <col min="15619" max="15619" width="10.7109375" style="16" bestFit="1" customWidth="1"/>
    <col min="15620" max="15620" width="6.7109375" style="16" bestFit="1" customWidth="1"/>
    <col min="15621" max="15621" width="8.5703125" style="16" bestFit="1" customWidth="1"/>
    <col min="15622" max="15622" width="9.28515625" style="16" bestFit="1" customWidth="1"/>
    <col min="15623" max="15623" width="10.42578125" style="16" bestFit="1" customWidth="1"/>
    <col min="15624" max="15624" width="10.28515625" style="16" bestFit="1" customWidth="1"/>
    <col min="15625" max="15625" width="7.140625" style="16" bestFit="1" customWidth="1"/>
    <col min="15626" max="15626" width="7.5703125" style="16" bestFit="1" customWidth="1"/>
    <col min="15627" max="15628" width="7" style="16" bestFit="1" customWidth="1"/>
    <col min="15629" max="15629" width="6.85546875" style="16" bestFit="1" customWidth="1"/>
    <col min="15630" max="15630" width="7" style="16" bestFit="1" customWidth="1"/>
    <col min="15631" max="15631" width="8.570312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8.42578125" style="16" customWidth="1"/>
    <col min="15875" max="15875" width="10.7109375" style="16" bestFit="1" customWidth="1"/>
    <col min="15876" max="15876" width="6.7109375" style="16" bestFit="1" customWidth="1"/>
    <col min="15877" max="15877" width="8.5703125" style="16" bestFit="1" customWidth="1"/>
    <col min="15878" max="15878" width="9.28515625" style="16" bestFit="1" customWidth="1"/>
    <col min="15879" max="15879" width="10.42578125" style="16" bestFit="1" customWidth="1"/>
    <col min="15880" max="15880" width="10.28515625" style="16" bestFit="1" customWidth="1"/>
    <col min="15881" max="15881" width="7.140625" style="16" bestFit="1" customWidth="1"/>
    <col min="15882" max="15882" width="7.5703125" style="16" bestFit="1" customWidth="1"/>
    <col min="15883" max="15884" width="7" style="16" bestFit="1" customWidth="1"/>
    <col min="15885" max="15885" width="6.85546875" style="16" bestFit="1" customWidth="1"/>
    <col min="15886" max="15886" width="7" style="16" bestFit="1" customWidth="1"/>
    <col min="15887" max="15887" width="8.570312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8.42578125" style="16" customWidth="1"/>
    <col min="16131" max="16131" width="10.7109375" style="16" bestFit="1" customWidth="1"/>
    <col min="16132" max="16132" width="6.7109375" style="16" bestFit="1" customWidth="1"/>
    <col min="16133" max="16133" width="8.5703125" style="16" bestFit="1" customWidth="1"/>
    <col min="16134" max="16134" width="9.28515625" style="16" bestFit="1" customWidth="1"/>
    <col min="16135" max="16135" width="10.42578125" style="16" bestFit="1" customWidth="1"/>
    <col min="16136" max="16136" width="10.28515625" style="16" bestFit="1" customWidth="1"/>
    <col min="16137" max="16137" width="7.140625" style="16" bestFit="1" customWidth="1"/>
    <col min="16138" max="16138" width="7.5703125" style="16" bestFit="1" customWidth="1"/>
    <col min="16139" max="16140" width="7" style="16" bestFit="1" customWidth="1"/>
    <col min="16141" max="16141" width="6.85546875" style="16" bestFit="1" customWidth="1"/>
    <col min="16142" max="16142" width="7" style="16" bestFit="1" customWidth="1"/>
    <col min="16143" max="16143" width="8.570312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67" t="s">
        <v>100</v>
      </c>
      <c r="B1" s="868"/>
      <c r="C1" s="868"/>
      <c r="D1" s="911" t="s">
        <v>430</v>
      </c>
      <c r="E1" s="868"/>
      <c r="F1" s="868"/>
      <c r="G1" s="867" t="s">
        <v>102</v>
      </c>
      <c r="H1" s="869"/>
      <c r="I1" s="869" t="s">
        <v>37</v>
      </c>
      <c r="J1" s="868"/>
      <c r="K1" s="868"/>
      <c r="L1" s="870"/>
      <c r="M1" s="870"/>
      <c r="N1" s="870"/>
      <c r="O1" s="870"/>
    </row>
    <row r="2" spans="1:15" s="1" customFormat="1" x14ac:dyDescent="0.2">
      <c r="A2" s="867" t="s">
        <v>103</v>
      </c>
      <c r="B2" s="868"/>
      <c r="C2" s="868"/>
      <c r="D2" s="869"/>
      <c r="E2" s="868"/>
      <c r="F2" s="868"/>
      <c r="G2" s="867" t="s">
        <v>104</v>
      </c>
      <c r="H2" s="869"/>
      <c r="I2" s="869" t="s">
        <v>105</v>
      </c>
      <c r="J2" s="868"/>
      <c r="K2" s="868"/>
      <c r="L2" s="870"/>
      <c r="M2" s="870"/>
      <c r="N2" s="870"/>
      <c r="O2" s="870"/>
    </row>
    <row r="3" spans="1:15" s="1" customFormat="1" x14ac:dyDescent="0.2">
      <c r="A3" s="867" t="s">
        <v>106</v>
      </c>
      <c r="B3" s="868"/>
      <c r="C3" s="868"/>
      <c r="D3" s="883" t="s">
        <v>431</v>
      </c>
      <c r="E3" s="868"/>
      <c r="F3" s="868"/>
      <c r="G3" s="867" t="s">
        <v>107</v>
      </c>
      <c r="H3" s="869"/>
      <c r="I3" s="869" t="s">
        <v>108</v>
      </c>
      <c r="J3" s="868"/>
      <c r="K3" s="868"/>
      <c r="L3" s="870"/>
      <c r="M3" s="870"/>
      <c r="N3" s="870"/>
      <c r="O3" s="870"/>
    </row>
    <row r="4" spans="1:15" s="1" customFormat="1" x14ac:dyDescent="0.2">
      <c r="A4" s="867" t="s">
        <v>109</v>
      </c>
      <c r="B4" s="868"/>
      <c r="C4" s="868"/>
      <c r="D4" s="869"/>
      <c r="E4" s="868"/>
      <c r="F4" s="868"/>
      <c r="G4" s="867" t="s">
        <v>110</v>
      </c>
      <c r="H4" s="869"/>
      <c r="I4" s="869" t="s">
        <v>419</v>
      </c>
      <c r="J4" s="868"/>
      <c r="K4" s="868"/>
      <c r="L4" s="870"/>
      <c r="M4" s="870"/>
      <c r="N4" s="870"/>
      <c r="O4" s="870"/>
    </row>
    <row r="5" spans="1:15" s="1" customFormat="1" x14ac:dyDescent="0.2">
      <c r="A5" s="867" t="s">
        <v>278</v>
      </c>
      <c r="B5" s="868"/>
      <c r="C5" s="868"/>
      <c r="D5" s="869" t="s">
        <v>432</v>
      </c>
      <c r="E5" s="868"/>
      <c r="F5" s="868"/>
      <c r="G5" s="867"/>
      <c r="H5" s="868"/>
      <c r="I5" s="869" t="s">
        <v>113</v>
      </c>
      <c r="J5" s="868"/>
      <c r="K5" s="868"/>
      <c r="L5" s="870"/>
      <c r="M5" s="870"/>
      <c r="N5" s="870"/>
      <c r="O5" s="870"/>
    </row>
    <row r="6" spans="1:15" s="1" customFormat="1" x14ac:dyDescent="0.2">
      <c r="A6" s="871" t="s">
        <v>114</v>
      </c>
      <c r="B6" s="872"/>
      <c r="C6" s="872"/>
      <c r="D6" s="868" t="s">
        <v>38</v>
      </c>
      <c r="E6" s="868"/>
      <c r="F6" s="868"/>
      <c r="G6" s="871" t="s">
        <v>115</v>
      </c>
      <c r="H6" s="871"/>
      <c r="I6" s="2" t="s">
        <v>222</v>
      </c>
      <c r="J6" s="888"/>
      <c r="K6" s="888"/>
      <c r="L6" s="888"/>
      <c r="M6" s="888"/>
      <c r="N6" s="888"/>
      <c r="O6" s="889"/>
    </row>
    <row r="7" spans="1:15" s="1" customFormat="1" ht="13.5" thickBot="1" x14ac:dyDescent="0.25">
      <c r="A7" s="3"/>
      <c r="B7" s="4"/>
      <c r="C7" s="5"/>
      <c r="D7" s="6"/>
      <c r="E7" s="6"/>
      <c r="F7" s="6"/>
      <c r="G7" s="6"/>
      <c r="H7" s="6"/>
      <c r="I7" s="6"/>
      <c r="J7" s="7"/>
      <c r="K7" s="8"/>
      <c r="L7" s="875" t="s">
        <v>223</v>
      </c>
      <c r="M7" s="875"/>
      <c r="N7" s="875"/>
      <c r="O7" s="875"/>
    </row>
    <row r="8" spans="1:15" s="11" customFormat="1" x14ac:dyDescent="0.2">
      <c r="A8" s="876" t="str">
        <f>I1</f>
        <v>Ms. Varsha V. Tawde</v>
      </c>
      <c r="B8" s="877"/>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0</v>
      </c>
      <c r="D9" s="14">
        <v>0</v>
      </c>
      <c r="E9" s="14">
        <v>0</v>
      </c>
      <c r="F9" s="14">
        <v>0</v>
      </c>
      <c r="G9" s="14">
        <v>0</v>
      </c>
      <c r="H9" s="14">
        <v>0</v>
      </c>
      <c r="I9" s="14">
        <v>0</v>
      </c>
      <c r="J9" s="14">
        <v>0</v>
      </c>
      <c r="K9" s="14">
        <v>0</v>
      </c>
      <c r="L9" s="14">
        <v>0</v>
      </c>
      <c r="M9" s="14">
        <v>0</v>
      </c>
      <c r="N9" s="14">
        <v>0</v>
      </c>
      <c r="O9" s="15">
        <f>SUM(C9:N9)</f>
        <v>0</v>
      </c>
    </row>
    <row r="10" spans="1:15" ht="15" x14ac:dyDescent="0.2">
      <c r="A10" s="12"/>
      <c r="B10" s="13" t="s">
        <v>119</v>
      </c>
      <c r="C10" s="17">
        <v>0</v>
      </c>
      <c r="D10" s="17">
        <f t="shared" ref="D10:N34" si="0">+C10</f>
        <v>0</v>
      </c>
      <c r="E10" s="17">
        <f t="shared" si="0"/>
        <v>0</v>
      </c>
      <c r="F10" s="17">
        <f t="shared" si="0"/>
        <v>0</v>
      </c>
      <c r="G10" s="17">
        <f t="shared" si="0"/>
        <v>0</v>
      </c>
      <c r="H10" s="17">
        <v>0</v>
      </c>
      <c r="I10" s="17">
        <f t="shared" si="0"/>
        <v>0</v>
      </c>
      <c r="J10" s="17">
        <f t="shared" si="0"/>
        <v>0</v>
      </c>
      <c r="K10" s="17">
        <f t="shared" si="0"/>
        <v>0</v>
      </c>
      <c r="L10" s="17">
        <f t="shared" si="0"/>
        <v>0</v>
      </c>
      <c r="M10" s="17">
        <f t="shared" si="0"/>
        <v>0</v>
      </c>
      <c r="N10" s="17">
        <f t="shared" si="0"/>
        <v>0</v>
      </c>
      <c r="O10" s="18">
        <f>SUM(C10:N10)</f>
        <v>0</v>
      </c>
    </row>
    <row r="11" spans="1:15" ht="15" x14ac:dyDescent="0.2">
      <c r="A11" s="12"/>
      <c r="B11" s="13" t="s">
        <v>120</v>
      </c>
      <c r="C11" s="17">
        <v>0</v>
      </c>
      <c r="D11" s="17">
        <f t="shared" si="0"/>
        <v>0</v>
      </c>
      <c r="E11" s="17">
        <f t="shared" si="0"/>
        <v>0</v>
      </c>
      <c r="F11" s="17">
        <f t="shared" si="0"/>
        <v>0</v>
      </c>
      <c r="G11" s="17">
        <f t="shared" si="0"/>
        <v>0</v>
      </c>
      <c r="H11" s="17">
        <v>0</v>
      </c>
      <c r="I11" s="17">
        <f t="shared" si="0"/>
        <v>0</v>
      </c>
      <c r="J11" s="17">
        <f t="shared" si="0"/>
        <v>0</v>
      </c>
      <c r="K11" s="17">
        <f t="shared" si="0"/>
        <v>0</v>
      </c>
      <c r="L11" s="17">
        <f t="shared" si="0"/>
        <v>0</v>
      </c>
      <c r="M11" s="17">
        <f t="shared" si="0"/>
        <v>0</v>
      </c>
      <c r="N11" s="17">
        <f t="shared" si="0"/>
        <v>0</v>
      </c>
      <c r="O11" s="18">
        <f>SUM(C11:N11)</f>
        <v>0</v>
      </c>
    </row>
    <row r="12" spans="1:15" ht="15" hidden="1" x14ac:dyDescent="0.2">
      <c r="A12" s="12"/>
      <c r="B12" s="13" t="s">
        <v>121</v>
      </c>
      <c r="C12" s="17">
        <v>0</v>
      </c>
      <c r="D12" s="17">
        <f t="shared" si="0"/>
        <v>0</v>
      </c>
      <c r="E12" s="17">
        <f t="shared" si="0"/>
        <v>0</v>
      </c>
      <c r="F12" s="17">
        <f t="shared" si="0"/>
        <v>0</v>
      </c>
      <c r="G12" s="17">
        <f t="shared" si="0"/>
        <v>0</v>
      </c>
      <c r="H12" s="17">
        <v>0</v>
      </c>
      <c r="I12" s="17">
        <f t="shared" si="0"/>
        <v>0</v>
      </c>
      <c r="J12" s="17">
        <f t="shared" si="0"/>
        <v>0</v>
      </c>
      <c r="K12" s="17">
        <f t="shared" si="0"/>
        <v>0</v>
      </c>
      <c r="L12" s="17">
        <f t="shared" si="0"/>
        <v>0</v>
      </c>
      <c r="M12" s="17">
        <f t="shared" si="0"/>
        <v>0</v>
      </c>
      <c r="N12" s="17">
        <f t="shared" si="0"/>
        <v>0</v>
      </c>
      <c r="O12" s="18">
        <f>SUM(C12:N12)</f>
        <v>0</v>
      </c>
    </row>
    <row r="13" spans="1:15" ht="13.5" hidden="1" customHeight="1" x14ac:dyDescent="0.2">
      <c r="A13" s="12"/>
      <c r="B13" s="13" t="s">
        <v>122</v>
      </c>
      <c r="C13" s="17">
        <v>0</v>
      </c>
      <c r="D13" s="17">
        <f t="shared" si="0"/>
        <v>0</v>
      </c>
      <c r="E13" s="17">
        <f t="shared" si="0"/>
        <v>0</v>
      </c>
      <c r="F13" s="17">
        <f t="shared" si="0"/>
        <v>0</v>
      </c>
      <c r="G13" s="17">
        <f t="shared" si="0"/>
        <v>0</v>
      </c>
      <c r="H13" s="17">
        <v>0</v>
      </c>
      <c r="I13" s="17">
        <f t="shared" si="0"/>
        <v>0</v>
      </c>
      <c r="J13" s="17">
        <f t="shared" si="0"/>
        <v>0</v>
      </c>
      <c r="K13" s="17">
        <f t="shared" si="0"/>
        <v>0</v>
      </c>
      <c r="L13" s="17">
        <f t="shared" si="0"/>
        <v>0</v>
      </c>
      <c r="M13" s="17">
        <f t="shared" si="0"/>
        <v>0</v>
      </c>
      <c r="N13" s="17">
        <f t="shared" si="0"/>
        <v>0</v>
      </c>
      <c r="O13" s="18">
        <f t="shared" ref="O13:O36" si="1">SUM(C13:N13)</f>
        <v>0</v>
      </c>
    </row>
    <row r="14" spans="1:15" ht="15" x14ac:dyDescent="0.2">
      <c r="A14" s="12"/>
      <c r="B14" s="13" t="s">
        <v>123</v>
      </c>
      <c r="C14" s="17">
        <v>0</v>
      </c>
      <c r="D14" s="17">
        <f t="shared" si="0"/>
        <v>0</v>
      </c>
      <c r="E14" s="17">
        <f t="shared" si="0"/>
        <v>0</v>
      </c>
      <c r="F14" s="17">
        <f t="shared" si="0"/>
        <v>0</v>
      </c>
      <c r="G14" s="17">
        <f t="shared" si="0"/>
        <v>0</v>
      </c>
      <c r="H14" s="17">
        <v>0</v>
      </c>
      <c r="I14" s="17">
        <f t="shared" si="0"/>
        <v>0</v>
      </c>
      <c r="J14" s="17">
        <f t="shared" si="0"/>
        <v>0</v>
      </c>
      <c r="K14" s="17">
        <f t="shared" si="0"/>
        <v>0</v>
      </c>
      <c r="L14" s="17">
        <f t="shared" si="0"/>
        <v>0</v>
      </c>
      <c r="M14" s="17">
        <f t="shared" si="0"/>
        <v>0</v>
      </c>
      <c r="N14" s="17">
        <f t="shared" si="0"/>
        <v>0</v>
      </c>
      <c r="O14" s="18">
        <f t="shared" si="1"/>
        <v>0</v>
      </c>
    </row>
    <row r="15" spans="1:15" ht="14.25" customHeight="1" x14ac:dyDescent="0.2">
      <c r="A15" s="12"/>
      <c r="B15" s="13" t="s">
        <v>124</v>
      </c>
      <c r="C15" s="17">
        <v>0</v>
      </c>
      <c r="D15" s="17">
        <f t="shared" si="0"/>
        <v>0</v>
      </c>
      <c r="E15" s="17">
        <f t="shared" si="0"/>
        <v>0</v>
      </c>
      <c r="F15" s="17">
        <f t="shared" si="0"/>
        <v>0</v>
      </c>
      <c r="G15" s="17">
        <f t="shared" si="0"/>
        <v>0</v>
      </c>
      <c r="H15" s="17">
        <v>0</v>
      </c>
      <c r="I15" s="17">
        <f t="shared" si="0"/>
        <v>0</v>
      </c>
      <c r="J15" s="17">
        <f t="shared" si="0"/>
        <v>0</v>
      </c>
      <c r="K15" s="17">
        <f t="shared" si="0"/>
        <v>0</v>
      </c>
      <c r="L15" s="17">
        <f t="shared" si="0"/>
        <v>0</v>
      </c>
      <c r="M15" s="17">
        <f t="shared" si="0"/>
        <v>0</v>
      </c>
      <c r="N15" s="17">
        <f t="shared" si="0"/>
        <v>0</v>
      </c>
      <c r="O15" s="18">
        <f t="shared" si="1"/>
        <v>0</v>
      </c>
    </row>
    <row r="16" spans="1:15" ht="14.25" hidden="1" customHeight="1" x14ac:dyDescent="0.2">
      <c r="A16" s="12"/>
      <c r="B16" s="13" t="s">
        <v>125</v>
      </c>
      <c r="C16" s="17">
        <v>0</v>
      </c>
      <c r="D16" s="17">
        <f t="shared" si="0"/>
        <v>0</v>
      </c>
      <c r="E16" s="17">
        <f t="shared" si="0"/>
        <v>0</v>
      </c>
      <c r="F16" s="17">
        <f t="shared" si="0"/>
        <v>0</v>
      </c>
      <c r="G16" s="17">
        <f t="shared" si="0"/>
        <v>0</v>
      </c>
      <c r="H16" s="17">
        <v>0</v>
      </c>
      <c r="I16" s="17">
        <f t="shared" si="0"/>
        <v>0</v>
      </c>
      <c r="J16" s="17">
        <f t="shared" si="0"/>
        <v>0</v>
      </c>
      <c r="K16" s="17">
        <f t="shared" si="0"/>
        <v>0</v>
      </c>
      <c r="L16" s="17">
        <f t="shared" si="0"/>
        <v>0</v>
      </c>
      <c r="M16" s="17">
        <f t="shared" si="0"/>
        <v>0</v>
      </c>
      <c r="N16" s="17">
        <f t="shared" si="0"/>
        <v>0</v>
      </c>
      <c r="O16" s="18">
        <f t="shared" si="1"/>
        <v>0</v>
      </c>
    </row>
    <row r="17" spans="1:15" ht="14.25" hidden="1" customHeight="1" x14ac:dyDescent="0.2">
      <c r="A17" s="12"/>
      <c r="B17" s="13" t="s">
        <v>126</v>
      </c>
      <c r="C17" s="17">
        <v>0</v>
      </c>
      <c r="D17" s="17">
        <f t="shared" si="0"/>
        <v>0</v>
      </c>
      <c r="E17" s="17">
        <f t="shared" si="0"/>
        <v>0</v>
      </c>
      <c r="F17" s="17">
        <f t="shared" si="0"/>
        <v>0</v>
      </c>
      <c r="G17" s="17">
        <f t="shared" si="0"/>
        <v>0</v>
      </c>
      <c r="H17" s="17">
        <v>0</v>
      </c>
      <c r="I17" s="17">
        <f t="shared" si="0"/>
        <v>0</v>
      </c>
      <c r="J17" s="17">
        <f t="shared" si="0"/>
        <v>0</v>
      </c>
      <c r="K17" s="17">
        <f t="shared" si="0"/>
        <v>0</v>
      </c>
      <c r="L17" s="17">
        <f t="shared" si="0"/>
        <v>0</v>
      </c>
      <c r="M17" s="17">
        <f t="shared" si="0"/>
        <v>0</v>
      </c>
      <c r="N17" s="17">
        <f t="shared" si="0"/>
        <v>0</v>
      </c>
      <c r="O17" s="18">
        <f t="shared" si="1"/>
        <v>0</v>
      </c>
    </row>
    <row r="18" spans="1:15" ht="15" x14ac:dyDescent="0.2">
      <c r="A18" s="12"/>
      <c r="B18" s="13" t="s">
        <v>127</v>
      </c>
      <c r="C18" s="17">
        <v>0</v>
      </c>
      <c r="D18" s="17">
        <f t="shared" si="0"/>
        <v>0</v>
      </c>
      <c r="E18" s="17">
        <f t="shared" si="0"/>
        <v>0</v>
      </c>
      <c r="F18" s="17">
        <f t="shared" si="0"/>
        <v>0</v>
      </c>
      <c r="G18" s="17">
        <f t="shared" si="0"/>
        <v>0</v>
      </c>
      <c r="H18" s="17">
        <v>0</v>
      </c>
      <c r="I18" s="17">
        <f t="shared" si="0"/>
        <v>0</v>
      </c>
      <c r="J18" s="17">
        <f t="shared" si="0"/>
        <v>0</v>
      </c>
      <c r="K18" s="17">
        <f t="shared" si="0"/>
        <v>0</v>
      </c>
      <c r="L18" s="17">
        <f t="shared" si="0"/>
        <v>0</v>
      </c>
      <c r="M18" s="17">
        <f t="shared" si="0"/>
        <v>0</v>
      </c>
      <c r="N18" s="17">
        <f t="shared" si="0"/>
        <v>0</v>
      </c>
      <c r="O18" s="18">
        <f t="shared" si="1"/>
        <v>0</v>
      </c>
    </row>
    <row r="19" spans="1:15" ht="15" x14ac:dyDescent="0.2">
      <c r="A19" s="12"/>
      <c r="B19" s="13" t="s">
        <v>128</v>
      </c>
      <c r="C19" s="17">
        <v>0</v>
      </c>
      <c r="D19" s="17">
        <f t="shared" si="0"/>
        <v>0</v>
      </c>
      <c r="E19" s="17">
        <f t="shared" si="0"/>
        <v>0</v>
      </c>
      <c r="F19" s="17">
        <f t="shared" si="0"/>
        <v>0</v>
      </c>
      <c r="G19" s="17">
        <f t="shared" si="0"/>
        <v>0</v>
      </c>
      <c r="H19" s="17">
        <v>0</v>
      </c>
      <c r="I19" s="17">
        <f t="shared" si="0"/>
        <v>0</v>
      </c>
      <c r="J19" s="17">
        <f t="shared" si="0"/>
        <v>0</v>
      </c>
      <c r="K19" s="17">
        <f t="shared" si="0"/>
        <v>0</v>
      </c>
      <c r="L19" s="17">
        <f t="shared" si="0"/>
        <v>0</v>
      </c>
      <c r="M19" s="17">
        <f t="shared" si="0"/>
        <v>0</v>
      </c>
      <c r="N19" s="17">
        <f t="shared" si="0"/>
        <v>0</v>
      </c>
      <c r="O19" s="18">
        <f t="shared" si="1"/>
        <v>0</v>
      </c>
    </row>
    <row r="20" spans="1:15" ht="15" customHeight="1" x14ac:dyDescent="0.2">
      <c r="A20" s="12"/>
      <c r="B20" s="13" t="s">
        <v>129</v>
      </c>
      <c r="C20" s="17">
        <v>0</v>
      </c>
      <c r="D20" s="17">
        <f t="shared" si="0"/>
        <v>0</v>
      </c>
      <c r="E20" s="17">
        <f t="shared" si="0"/>
        <v>0</v>
      </c>
      <c r="F20" s="17">
        <f t="shared" si="0"/>
        <v>0</v>
      </c>
      <c r="G20" s="17">
        <f t="shared" si="0"/>
        <v>0</v>
      </c>
      <c r="H20" s="17">
        <v>0</v>
      </c>
      <c r="I20" s="17">
        <f t="shared" si="0"/>
        <v>0</v>
      </c>
      <c r="J20" s="17">
        <f t="shared" si="0"/>
        <v>0</v>
      </c>
      <c r="K20" s="17">
        <f t="shared" si="0"/>
        <v>0</v>
      </c>
      <c r="L20" s="17">
        <f t="shared" si="0"/>
        <v>0</v>
      </c>
      <c r="M20" s="17">
        <f t="shared" si="0"/>
        <v>0</v>
      </c>
      <c r="N20" s="17">
        <f t="shared" si="0"/>
        <v>0</v>
      </c>
      <c r="O20" s="18">
        <f t="shared" si="1"/>
        <v>0</v>
      </c>
    </row>
    <row r="21" spans="1:15" ht="15" hidden="1" customHeight="1" x14ac:dyDescent="0.2">
      <c r="A21" s="878" t="s">
        <v>130</v>
      </c>
      <c r="B21" s="19" t="s">
        <v>131</v>
      </c>
      <c r="C21" s="17">
        <v>0</v>
      </c>
      <c r="D21" s="17">
        <f t="shared" si="0"/>
        <v>0</v>
      </c>
      <c r="E21" s="17">
        <f t="shared" si="0"/>
        <v>0</v>
      </c>
      <c r="F21" s="17">
        <f t="shared" si="0"/>
        <v>0</v>
      </c>
      <c r="G21" s="17">
        <f t="shared" si="0"/>
        <v>0</v>
      </c>
      <c r="H21" s="17">
        <v>0</v>
      </c>
      <c r="I21" s="17">
        <f t="shared" si="0"/>
        <v>0</v>
      </c>
      <c r="J21" s="17">
        <f t="shared" si="0"/>
        <v>0</v>
      </c>
      <c r="K21" s="17">
        <f t="shared" si="0"/>
        <v>0</v>
      </c>
      <c r="L21" s="17">
        <f t="shared" si="0"/>
        <v>0</v>
      </c>
      <c r="M21" s="17">
        <f t="shared" si="0"/>
        <v>0</v>
      </c>
      <c r="N21" s="17">
        <f t="shared" si="0"/>
        <v>0</v>
      </c>
      <c r="O21" s="18">
        <f t="shared" si="1"/>
        <v>0</v>
      </c>
    </row>
    <row r="22" spans="1:15" ht="15" customHeight="1" x14ac:dyDescent="0.2">
      <c r="A22" s="879"/>
      <c r="B22" s="19" t="s">
        <v>132</v>
      </c>
      <c r="C22" s="17">
        <v>0</v>
      </c>
      <c r="D22" s="17">
        <f t="shared" si="0"/>
        <v>0</v>
      </c>
      <c r="E22" s="17">
        <f t="shared" si="0"/>
        <v>0</v>
      </c>
      <c r="F22" s="17">
        <f t="shared" si="0"/>
        <v>0</v>
      </c>
      <c r="G22" s="17">
        <f t="shared" si="0"/>
        <v>0</v>
      </c>
      <c r="H22" s="17">
        <v>0</v>
      </c>
      <c r="I22" s="17">
        <f t="shared" si="0"/>
        <v>0</v>
      </c>
      <c r="J22" s="17">
        <f t="shared" si="0"/>
        <v>0</v>
      </c>
      <c r="K22" s="17">
        <f t="shared" si="0"/>
        <v>0</v>
      </c>
      <c r="L22" s="17">
        <f t="shared" si="0"/>
        <v>0</v>
      </c>
      <c r="M22" s="17">
        <f t="shared" si="0"/>
        <v>0</v>
      </c>
      <c r="N22" s="17">
        <f t="shared" si="0"/>
        <v>0</v>
      </c>
      <c r="O22" s="18">
        <f t="shared" si="1"/>
        <v>0</v>
      </c>
    </row>
    <row r="23" spans="1:15" ht="15" hidden="1" customHeight="1" x14ac:dyDescent="0.2">
      <c r="A23" s="879"/>
      <c r="B23" s="19" t="s">
        <v>133</v>
      </c>
      <c r="C23" s="17">
        <v>0</v>
      </c>
      <c r="D23" s="17">
        <f t="shared" si="0"/>
        <v>0</v>
      </c>
      <c r="E23" s="17">
        <f t="shared" si="0"/>
        <v>0</v>
      </c>
      <c r="F23" s="17">
        <f t="shared" si="0"/>
        <v>0</v>
      </c>
      <c r="G23" s="17">
        <f t="shared" si="0"/>
        <v>0</v>
      </c>
      <c r="H23" s="17">
        <v>0</v>
      </c>
      <c r="I23" s="17">
        <f t="shared" si="0"/>
        <v>0</v>
      </c>
      <c r="J23" s="17">
        <f t="shared" si="0"/>
        <v>0</v>
      </c>
      <c r="K23" s="17">
        <f t="shared" si="0"/>
        <v>0</v>
      </c>
      <c r="L23" s="17">
        <f t="shared" si="0"/>
        <v>0</v>
      </c>
      <c r="M23" s="17">
        <f t="shared" si="0"/>
        <v>0</v>
      </c>
      <c r="N23" s="17">
        <f t="shared" si="0"/>
        <v>0</v>
      </c>
      <c r="O23" s="18">
        <f t="shared" si="1"/>
        <v>0</v>
      </c>
    </row>
    <row r="24" spans="1:15" ht="15" hidden="1" customHeight="1" x14ac:dyDescent="0.2">
      <c r="A24" s="879"/>
      <c r="B24" s="19" t="s">
        <v>134</v>
      </c>
      <c r="C24" s="17">
        <v>0</v>
      </c>
      <c r="D24" s="17">
        <f t="shared" si="0"/>
        <v>0</v>
      </c>
      <c r="E24" s="17">
        <f t="shared" si="0"/>
        <v>0</v>
      </c>
      <c r="F24" s="17">
        <f t="shared" si="0"/>
        <v>0</v>
      </c>
      <c r="G24" s="17">
        <f t="shared" si="0"/>
        <v>0</v>
      </c>
      <c r="H24" s="17">
        <v>0</v>
      </c>
      <c r="I24" s="17">
        <f t="shared" si="0"/>
        <v>0</v>
      </c>
      <c r="J24" s="17">
        <f t="shared" si="0"/>
        <v>0</v>
      </c>
      <c r="K24" s="17">
        <f t="shared" si="0"/>
        <v>0</v>
      </c>
      <c r="L24" s="17">
        <f t="shared" si="0"/>
        <v>0</v>
      </c>
      <c r="M24" s="17">
        <f t="shared" si="0"/>
        <v>0</v>
      </c>
      <c r="N24" s="17">
        <f t="shared" si="0"/>
        <v>0</v>
      </c>
      <c r="O24" s="18">
        <f t="shared" si="1"/>
        <v>0</v>
      </c>
    </row>
    <row r="25" spans="1:15" ht="15" hidden="1" customHeight="1" x14ac:dyDescent="0.2">
      <c r="A25" s="879"/>
      <c r="B25" s="19" t="s">
        <v>135</v>
      </c>
      <c r="C25" s="17">
        <v>0</v>
      </c>
      <c r="D25" s="17">
        <f t="shared" si="0"/>
        <v>0</v>
      </c>
      <c r="E25" s="17">
        <f t="shared" si="0"/>
        <v>0</v>
      </c>
      <c r="F25" s="17">
        <f t="shared" si="0"/>
        <v>0</v>
      </c>
      <c r="G25" s="17">
        <f t="shared" si="0"/>
        <v>0</v>
      </c>
      <c r="H25" s="17">
        <v>0</v>
      </c>
      <c r="I25" s="17">
        <f t="shared" si="0"/>
        <v>0</v>
      </c>
      <c r="J25" s="17">
        <f t="shared" si="0"/>
        <v>0</v>
      </c>
      <c r="K25" s="17">
        <f t="shared" si="0"/>
        <v>0</v>
      </c>
      <c r="L25" s="17">
        <f t="shared" si="0"/>
        <v>0</v>
      </c>
      <c r="M25" s="17">
        <f t="shared" si="0"/>
        <v>0</v>
      </c>
      <c r="N25" s="17">
        <f t="shared" si="0"/>
        <v>0</v>
      </c>
      <c r="O25" s="18">
        <f t="shared" si="1"/>
        <v>0</v>
      </c>
    </row>
    <row r="26" spans="1:15" ht="15" hidden="1" customHeight="1" x14ac:dyDescent="0.2">
      <c r="A26" s="879"/>
      <c r="B26" s="19" t="s">
        <v>136</v>
      </c>
      <c r="C26" s="17">
        <v>0</v>
      </c>
      <c r="D26" s="17">
        <f t="shared" si="0"/>
        <v>0</v>
      </c>
      <c r="E26" s="17">
        <f t="shared" si="0"/>
        <v>0</v>
      </c>
      <c r="F26" s="17">
        <f t="shared" si="0"/>
        <v>0</v>
      </c>
      <c r="G26" s="17">
        <f t="shared" si="0"/>
        <v>0</v>
      </c>
      <c r="H26" s="17">
        <v>0</v>
      </c>
      <c r="I26" s="17">
        <f t="shared" si="0"/>
        <v>0</v>
      </c>
      <c r="J26" s="17">
        <f t="shared" si="0"/>
        <v>0</v>
      </c>
      <c r="K26" s="17">
        <f t="shared" si="0"/>
        <v>0</v>
      </c>
      <c r="L26" s="17">
        <f t="shared" si="0"/>
        <v>0</v>
      </c>
      <c r="M26" s="17">
        <f t="shared" si="0"/>
        <v>0</v>
      </c>
      <c r="N26" s="17">
        <f t="shared" si="0"/>
        <v>0</v>
      </c>
      <c r="O26" s="18">
        <f t="shared" si="1"/>
        <v>0</v>
      </c>
    </row>
    <row r="27" spans="1:15" ht="15" hidden="1" customHeight="1" x14ac:dyDescent="0.2">
      <c r="A27" s="879"/>
      <c r="B27" s="19" t="s">
        <v>137</v>
      </c>
      <c r="C27" s="17">
        <v>0</v>
      </c>
      <c r="D27" s="17">
        <f t="shared" si="0"/>
        <v>0</v>
      </c>
      <c r="E27" s="17">
        <f t="shared" si="0"/>
        <v>0</v>
      </c>
      <c r="F27" s="17">
        <f t="shared" si="0"/>
        <v>0</v>
      </c>
      <c r="G27" s="17">
        <f t="shared" si="0"/>
        <v>0</v>
      </c>
      <c r="H27" s="17">
        <v>0</v>
      </c>
      <c r="I27" s="17">
        <f t="shared" si="0"/>
        <v>0</v>
      </c>
      <c r="J27" s="17">
        <f t="shared" si="0"/>
        <v>0</v>
      </c>
      <c r="K27" s="17">
        <f t="shared" si="0"/>
        <v>0</v>
      </c>
      <c r="L27" s="17">
        <f t="shared" si="0"/>
        <v>0</v>
      </c>
      <c r="M27" s="17">
        <f t="shared" si="0"/>
        <v>0</v>
      </c>
      <c r="N27" s="17">
        <f t="shared" si="0"/>
        <v>0</v>
      </c>
      <c r="O27" s="18">
        <f t="shared" si="1"/>
        <v>0</v>
      </c>
    </row>
    <row r="28" spans="1:15" ht="15" hidden="1" customHeight="1" x14ac:dyDescent="0.2">
      <c r="A28" s="879"/>
      <c r="B28" s="19" t="s">
        <v>138</v>
      </c>
      <c r="C28" s="17">
        <v>0</v>
      </c>
      <c r="D28" s="17">
        <f t="shared" si="0"/>
        <v>0</v>
      </c>
      <c r="E28" s="17">
        <f t="shared" si="0"/>
        <v>0</v>
      </c>
      <c r="F28" s="17">
        <f t="shared" si="0"/>
        <v>0</v>
      </c>
      <c r="G28" s="17">
        <f t="shared" si="0"/>
        <v>0</v>
      </c>
      <c r="H28" s="17">
        <v>0</v>
      </c>
      <c r="I28" s="17">
        <f t="shared" si="0"/>
        <v>0</v>
      </c>
      <c r="J28" s="17">
        <f t="shared" si="0"/>
        <v>0</v>
      </c>
      <c r="K28" s="17">
        <f t="shared" si="0"/>
        <v>0</v>
      </c>
      <c r="L28" s="17">
        <f t="shared" si="0"/>
        <v>0</v>
      </c>
      <c r="M28" s="17">
        <f t="shared" si="0"/>
        <v>0</v>
      </c>
      <c r="N28" s="17">
        <f t="shared" si="0"/>
        <v>0</v>
      </c>
      <c r="O28" s="18">
        <f t="shared" si="1"/>
        <v>0</v>
      </c>
    </row>
    <row r="29" spans="1:15" ht="15" hidden="1" customHeight="1" x14ac:dyDescent="0.2">
      <c r="A29" s="879"/>
      <c r="B29" s="19" t="s">
        <v>139</v>
      </c>
      <c r="C29" s="17">
        <v>0</v>
      </c>
      <c r="D29" s="17">
        <f t="shared" si="0"/>
        <v>0</v>
      </c>
      <c r="E29" s="17">
        <f t="shared" si="0"/>
        <v>0</v>
      </c>
      <c r="F29" s="17">
        <f t="shared" si="0"/>
        <v>0</v>
      </c>
      <c r="G29" s="17">
        <f t="shared" si="0"/>
        <v>0</v>
      </c>
      <c r="H29" s="17">
        <v>0</v>
      </c>
      <c r="I29" s="17">
        <f t="shared" si="0"/>
        <v>0</v>
      </c>
      <c r="J29" s="17">
        <f t="shared" si="0"/>
        <v>0</v>
      </c>
      <c r="K29" s="17">
        <f t="shared" si="0"/>
        <v>0</v>
      </c>
      <c r="L29" s="17">
        <f t="shared" si="0"/>
        <v>0</v>
      </c>
      <c r="M29" s="17">
        <f t="shared" si="0"/>
        <v>0</v>
      </c>
      <c r="N29" s="17">
        <f t="shared" si="0"/>
        <v>0</v>
      </c>
      <c r="O29" s="18">
        <f t="shared" si="1"/>
        <v>0</v>
      </c>
    </row>
    <row r="30" spans="1:15" ht="15" hidden="1" customHeight="1" x14ac:dyDescent="0.2">
      <c r="A30" s="879"/>
      <c r="B30" s="19" t="s">
        <v>140</v>
      </c>
      <c r="C30" s="17">
        <v>0</v>
      </c>
      <c r="D30" s="17">
        <f t="shared" si="0"/>
        <v>0</v>
      </c>
      <c r="E30" s="17">
        <f t="shared" si="0"/>
        <v>0</v>
      </c>
      <c r="F30" s="17">
        <f t="shared" si="0"/>
        <v>0</v>
      </c>
      <c r="G30" s="17">
        <f t="shared" si="0"/>
        <v>0</v>
      </c>
      <c r="H30" s="17">
        <v>0</v>
      </c>
      <c r="I30" s="17">
        <f t="shared" si="0"/>
        <v>0</v>
      </c>
      <c r="J30" s="17">
        <f t="shared" si="0"/>
        <v>0</v>
      </c>
      <c r="K30" s="17">
        <f t="shared" si="0"/>
        <v>0</v>
      </c>
      <c r="L30" s="17">
        <f t="shared" si="0"/>
        <v>0</v>
      </c>
      <c r="M30" s="17">
        <f t="shared" si="0"/>
        <v>0</v>
      </c>
      <c r="N30" s="17">
        <f t="shared" si="0"/>
        <v>0</v>
      </c>
      <c r="O30" s="18">
        <f t="shared" si="1"/>
        <v>0</v>
      </c>
    </row>
    <row r="31" spans="1:15" ht="15" hidden="1" customHeight="1" x14ac:dyDescent="0.2">
      <c r="A31" s="879"/>
      <c r="B31" s="19" t="s">
        <v>225</v>
      </c>
      <c r="C31" s="17">
        <v>0</v>
      </c>
      <c r="D31" s="17">
        <f t="shared" si="0"/>
        <v>0</v>
      </c>
      <c r="E31" s="17">
        <f t="shared" si="0"/>
        <v>0</v>
      </c>
      <c r="F31" s="17">
        <f t="shared" si="0"/>
        <v>0</v>
      </c>
      <c r="G31" s="17">
        <f t="shared" si="0"/>
        <v>0</v>
      </c>
      <c r="H31" s="17">
        <v>0</v>
      </c>
      <c r="I31" s="17">
        <f t="shared" si="0"/>
        <v>0</v>
      </c>
      <c r="J31" s="17">
        <f t="shared" si="0"/>
        <v>0</v>
      </c>
      <c r="K31" s="17">
        <f t="shared" si="0"/>
        <v>0</v>
      </c>
      <c r="L31" s="17">
        <f t="shared" si="0"/>
        <v>0</v>
      </c>
      <c r="M31" s="17">
        <f t="shared" si="0"/>
        <v>0</v>
      </c>
      <c r="N31" s="17">
        <f t="shared" si="0"/>
        <v>0</v>
      </c>
      <c r="O31" s="18">
        <f t="shared" si="1"/>
        <v>0</v>
      </c>
    </row>
    <row r="32" spans="1:15" ht="15" customHeight="1" x14ac:dyDescent="0.2">
      <c r="A32" s="879"/>
      <c r="B32" s="21" t="s">
        <v>142</v>
      </c>
      <c r="C32" s="17">
        <v>0</v>
      </c>
      <c r="D32" s="17">
        <f t="shared" si="0"/>
        <v>0</v>
      </c>
      <c r="E32" s="17">
        <f t="shared" si="0"/>
        <v>0</v>
      </c>
      <c r="F32" s="17">
        <f t="shared" si="0"/>
        <v>0</v>
      </c>
      <c r="G32" s="17">
        <f t="shared" si="0"/>
        <v>0</v>
      </c>
      <c r="H32" s="17">
        <v>0</v>
      </c>
      <c r="I32" s="17">
        <f t="shared" si="0"/>
        <v>0</v>
      </c>
      <c r="J32" s="17">
        <f t="shared" si="0"/>
        <v>0</v>
      </c>
      <c r="K32" s="17">
        <f t="shared" si="0"/>
        <v>0</v>
      </c>
      <c r="L32" s="17">
        <f t="shared" si="0"/>
        <v>0</v>
      </c>
      <c r="M32" s="17">
        <f t="shared" si="0"/>
        <v>0</v>
      </c>
      <c r="N32" s="17">
        <f t="shared" si="0"/>
        <v>0</v>
      </c>
      <c r="O32" s="18">
        <f t="shared" si="1"/>
        <v>0</v>
      </c>
    </row>
    <row r="33" spans="1:16" ht="15" hidden="1" customHeight="1" x14ac:dyDescent="0.2">
      <c r="A33" s="880"/>
      <c r="B33" s="19" t="s">
        <v>226</v>
      </c>
      <c r="C33" s="17">
        <v>0</v>
      </c>
      <c r="D33" s="17">
        <f t="shared" si="0"/>
        <v>0</v>
      </c>
      <c r="E33" s="17">
        <f t="shared" si="0"/>
        <v>0</v>
      </c>
      <c r="F33" s="17">
        <f t="shared" si="0"/>
        <v>0</v>
      </c>
      <c r="G33" s="17">
        <f t="shared" si="0"/>
        <v>0</v>
      </c>
      <c r="H33" s="17">
        <v>0</v>
      </c>
      <c r="I33" s="17">
        <f t="shared" si="0"/>
        <v>0</v>
      </c>
      <c r="J33" s="17">
        <f t="shared" si="0"/>
        <v>0</v>
      </c>
      <c r="K33" s="17">
        <f t="shared" si="0"/>
        <v>0</v>
      </c>
      <c r="L33" s="17">
        <f t="shared" si="0"/>
        <v>0</v>
      </c>
      <c r="M33" s="17">
        <f t="shared" si="0"/>
        <v>0</v>
      </c>
      <c r="N33" s="17">
        <f t="shared" si="0"/>
        <v>0</v>
      </c>
      <c r="O33" s="18">
        <f t="shared" si="1"/>
        <v>0</v>
      </c>
    </row>
    <row r="34" spans="1:16" ht="15" customHeight="1" x14ac:dyDescent="0.2">
      <c r="A34" s="865" t="s">
        <v>144</v>
      </c>
      <c r="B34" s="866"/>
      <c r="C34" s="17">
        <v>0</v>
      </c>
      <c r="D34" s="17">
        <f t="shared" si="0"/>
        <v>0</v>
      </c>
      <c r="E34" s="17">
        <f t="shared" si="0"/>
        <v>0</v>
      </c>
      <c r="F34" s="17">
        <f t="shared" si="0"/>
        <v>0</v>
      </c>
      <c r="G34" s="17">
        <f t="shared" si="0"/>
        <v>0</v>
      </c>
      <c r="H34" s="17">
        <v>0</v>
      </c>
      <c r="I34" s="17">
        <f t="shared" si="0"/>
        <v>0</v>
      </c>
      <c r="J34" s="17">
        <f t="shared" si="0"/>
        <v>0</v>
      </c>
      <c r="K34" s="17">
        <f t="shared" si="0"/>
        <v>0</v>
      </c>
      <c r="L34" s="17">
        <f t="shared" si="0"/>
        <v>0</v>
      </c>
      <c r="M34" s="17">
        <f t="shared" si="0"/>
        <v>0</v>
      </c>
      <c r="N34" s="17">
        <f t="shared" si="0"/>
        <v>0</v>
      </c>
      <c r="O34" s="18">
        <f t="shared" si="1"/>
        <v>0</v>
      </c>
    </row>
    <row r="35" spans="1:16" ht="15" customHeight="1" x14ac:dyDescent="0.2">
      <c r="A35" s="865" t="s">
        <v>145</v>
      </c>
      <c r="B35" s="866"/>
      <c r="C35" s="17">
        <v>0</v>
      </c>
      <c r="D35" s="17">
        <f t="shared" ref="D35:G36" si="2">+C35</f>
        <v>0</v>
      </c>
      <c r="E35" s="17">
        <f t="shared" si="2"/>
        <v>0</v>
      </c>
      <c r="F35" s="17">
        <f t="shared" si="2"/>
        <v>0</v>
      </c>
      <c r="G35" s="17">
        <f t="shared" si="2"/>
        <v>0</v>
      </c>
      <c r="H35" s="17">
        <v>0</v>
      </c>
      <c r="I35" s="17">
        <f t="shared" ref="I35:N36" si="3">+H35</f>
        <v>0</v>
      </c>
      <c r="J35" s="17">
        <f t="shared" si="3"/>
        <v>0</v>
      </c>
      <c r="K35" s="17">
        <f t="shared" si="3"/>
        <v>0</v>
      </c>
      <c r="L35" s="17">
        <f t="shared" si="3"/>
        <v>0</v>
      </c>
      <c r="M35" s="17">
        <f t="shared" si="3"/>
        <v>0</v>
      </c>
      <c r="N35" s="17">
        <f t="shared" si="3"/>
        <v>0</v>
      </c>
      <c r="O35" s="18">
        <f t="shared" si="1"/>
        <v>0</v>
      </c>
    </row>
    <row r="36" spans="1:16" ht="15" customHeight="1" x14ac:dyDescent="0.2">
      <c r="A36" s="865" t="s">
        <v>146</v>
      </c>
      <c r="B36" s="866"/>
      <c r="C36" s="17">
        <v>0</v>
      </c>
      <c r="D36" s="17">
        <f t="shared" si="2"/>
        <v>0</v>
      </c>
      <c r="E36" s="17">
        <f t="shared" si="2"/>
        <v>0</v>
      </c>
      <c r="F36" s="17">
        <f t="shared" si="2"/>
        <v>0</v>
      </c>
      <c r="G36" s="17">
        <f t="shared" si="2"/>
        <v>0</v>
      </c>
      <c r="H36" s="17">
        <v>0</v>
      </c>
      <c r="I36" s="17">
        <f t="shared" si="3"/>
        <v>0</v>
      </c>
      <c r="J36" s="17">
        <f t="shared" si="3"/>
        <v>0</v>
      </c>
      <c r="K36" s="17">
        <f t="shared" si="3"/>
        <v>0</v>
      </c>
      <c r="L36" s="17">
        <f t="shared" si="3"/>
        <v>0</v>
      </c>
      <c r="M36" s="17">
        <f t="shared" si="3"/>
        <v>0</v>
      </c>
      <c r="N36" s="17">
        <f t="shared" si="3"/>
        <v>0</v>
      </c>
      <c r="O36" s="18">
        <f t="shared" si="1"/>
        <v>0</v>
      </c>
    </row>
    <row r="37" spans="1:16" ht="15" customHeight="1" x14ac:dyDescent="0.2">
      <c r="A37" s="22"/>
      <c r="B37" s="23" t="s">
        <v>147</v>
      </c>
      <c r="C37" s="24">
        <f t="shared" ref="C37:N37" si="4">SUM(C9:C36)</f>
        <v>0</v>
      </c>
      <c r="D37" s="24">
        <f t="shared" si="4"/>
        <v>0</v>
      </c>
      <c r="E37" s="24">
        <f t="shared" si="4"/>
        <v>0</v>
      </c>
      <c r="F37" s="24">
        <f t="shared" si="4"/>
        <v>0</v>
      </c>
      <c r="G37" s="24">
        <f t="shared" si="4"/>
        <v>0</v>
      </c>
      <c r="H37" s="24">
        <f t="shared" si="4"/>
        <v>0</v>
      </c>
      <c r="I37" s="24">
        <f t="shared" si="4"/>
        <v>0</v>
      </c>
      <c r="J37" s="24">
        <f t="shared" si="4"/>
        <v>0</v>
      </c>
      <c r="K37" s="24">
        <f t="shared" si="4"/>
        <v>0</v>
      </c>
      <c r="L37" s="24">
        <f t="shared" si="4"/>
        <v>0</v>
      </c>
      <c r="M37" s="24">
        <f t="shared" si="4"/>
        <v>0</v>
      </c>
      <c r="N37" s="24">
        <f t="shared" si="4"/>
        <v>0</v>
      </c>
      <c r="O37" s="25">
        <f>SUM(C37:N37)</f>
        <v>0</v>
      </c>
    </row>
    <row r="38" spans="1:16" ht="15" customHeight="1" x14ac:dyDescent="0.2">
      <c r="A38" s="853" t="s">
        <v>148</v>
      </c>
      <c r="B38" s="27" t="s">
        <v>149</v>
      </c>
      <c r="C38" s="28">
        <v>0</v>
      </c>
      <c r="D38" s="28">
        <v>0</v>
      </c>
      <c r="E38" s="28">
        <v>0</v>
      </c>
      <c r="F38" s="28">
        <v>0</v>
      </c>
      <c r="G38" s="28">
        <v>0</v>
      </c>
      <c r="H38" s="28">
        <v>0</v>
      </c>
      <c r="I38" s="28">
        <v>0</v>
      </c>
      <c r="J38" s="28">
        <v>0</v>
      </c>
      <c r="K38" s="28">
        <v>0</v>
      </c>
      <c r="L38" s="28">
        <v>0</v>
      </c>
      <c r="M38" s="28">
        <v>0</v>
      </c>
      <c r="N38" s="28">
        <v>0</v>
      </c>
      <c r="O38" s="18">
        <f>SUM(C38:N38)</f>
        <v>0</v>
      </c>
      <c r="P38" s="29"/>
    </row>
    <row r="39" spans="1:16" ht="15" x14ac:dyDescent="0.2">
      <c r="A39" s="854"/>
      <c r="B39" s="27" t="s">
        <v>150</v>
      </c>
      <c r="C39" s="28">
        <v>0</v>
      </c>
      <c r="D39" s="28">
        <v>0</v>
      </c>
      <c r="E39" s="28">
        <v>0</v>
      </c>
      <c r="F39" s="28">
        <v>0</v>
      </c>
      <c r="G39" s="28">
        <v>0</v>
      </c>
      <c r="H39" s="28">
        <v>0</v>
      </c>
      <c r="I39" s="28">
        <v>0</v>
      </c>
      <c r="J39" s="28">
        <v>0</v>
      </c>
      <c r="K39" s="28">
        <v>0</v>
      </c>
      <c r="L39" s="28">
        <v>0</v>
      </c>
      <c r="M39" s="28">
        <v>0</v>
      </c>
      <c r="N39" s="28">
        <v>0</v>
      </c>
      <c r="O39" s="18">
        <f>SUM(C39:N39)</f>
        <v>0</v>
      </c>
    </row>
    <row r="40" spans="1:16" ht="15" x14ac:dyDescent="0.2">
      <c r="A40" s="854"/>
      <c r="B40" s="27" t="s">
        <v>151</v>
      </c>
      <c r="C40" s="28">
        <v>0</v>
      </c>
      <c r="D40" s="28">
        <v>0</v>
      </c>
      <c r="E40" s="28">
        <v>0</v>
      </c>
      <c r="F40" s="28">
        <v>0</v>
      </c>
      <c r="G40" s="28">
        <v>0</v>
      </c>
      <c r="H40" s="28">
        <v>0</v>
      </c>
      <c r="I40" s="28">
        <v>0</v>
      </c>
      <c r="J40" s="28">
        <v>0</v>
      </c>
      <c r="K40" s="28">
        <v>0</v>
      </c>
      <c r="L40" s="28">
        <v>0</v>
      </c>
      <c r="M40" s="28">
        <v>0</v>
      </c>
      <c r="N40" s="28">
        <v>0</v>
      </c>
      <c r="O40" s="18">
        <f t="shared" ref="O40:O50" si="5">SUM(C40:N40)</f>
        <v>0</v>
      </c>
    </row>
    <row r="41" spans="1:16" ht="15" x14ac:dyDescent="0.2">
      <c r="A41" s="854"/>
      <c r="B41" s="27" t="s">
        <v>152</v>
      </c>
      <c r="C41" s="28">
        <v>0</v>
      </c>
      <c r="D41" s="28">
        <v>0</v>
      </c>
      <c r="E41" s="28">
        <v>0</v>
      </c>
      <c r="F41" s="28">
        <v>0</v>
      </c>
      <c r="G41" s="28">
        <v>0</v>
      </c>
      <c r="H41" s="28">
        <v>0</v>
      </c>
      <c r="I41" s="28">
        <v>0</v>
      </c>
      <c r="J41" s="28">
        <v>0</v>
      </c>
      <c r="K41" s="28">
        <v>0</v>
      </c>
      <c r="L41" s="28">
        <v>0</v>
      </c>
      <c r="M41" s="28">
        <v>0</v>
      </c>
      <c r="N41" s="28">
        <v>0</v>
      </c>
      <c r="O41" s="18">
        <f t="shared" si="5"/>
        <v>0</v>
      </c>
    </row>
    <row r="42" spans="1:16" ht="15" x14ac:dyDescent="0.2">
      <c r="A42" s="854"/>
      <c r="B42" s="27" t="s">
        <v>153</v>
      </c>
      <c r="C42" s="28">
        <v>0</v>
      </c>
      <c r="D42" s="28">
        <v>0</v>
      </c>
      <c r="E42" s="28">
        <v>0</v>
      </c>
      <c r="F42" s="28">
        <v>0</v>
      </c>
      <c r="G42" s="28">
        <v>0</v>
      </c>
      <c r="H42" s="28">
        <v>0</v>
      </c>
      <c r="I42" s="28">
        <v>0</v>
      </c>
      <c r="J42" s="28">
        <v>0</v>
      </c>
      <c r="K42" s="28">
        <v>0</v>
      </c>
      <c r="L42" s="28">
        <v>0</v>
      </c>
      <c r="M42" s="28">
        <v>0</v>
      </c>
      <c r="N42" s="28">
        <v>0</v>
      </c>
      <c r="O42" s="18">
        <f t="shared" si="5"/>
        <v>0</v>
      </c>
    </row>
    <row r="43" spans="1:16" ht="15" x14ac:dyDescent="0.2">
      <c r="A43" s="854"/>
      <c r="B43" s="27" t="s">
        <v>433</v>
      </c>
      <c r="C43" s="28">
        <v>0</v>
      </c>
      <c r="D43" s="28">
        <v>0</v>
      </c>
      <c r="E43" s="28">
        <v>0</v>
      </c>
      <c r="F43" s="28">
        <v>0</v>
      </c>
      <c r="G43" s="28">
        <v>0</v>
      </c>
      <c r="H43" s="28">
        <v>0</v>
      </c>
      <c r="I43" s="28">
        <v>0</v>
      </c>
      <c r="J43" s="28">
        <v>0</v>
      </c>
      <c r="K43" s="28">
        <v>0</v>
      </c>
      <c r="L43" s="28">
        <v>0</v>
      </c>
      <c r="M43" s="28">
        <v>0</v>
      </c>
      <c r="N43" s="28">
        <v>0</v>
      </c>
      <c r="O43" s="18">
        <f t="shared" si="5"/>
        <v>0</v>
      </c>
    </row>
    <row r="44" spans="1:16" ht="15" x14ac:dyDescent="0.2">
      <c r="A44" s="854"/>
      <c r="B44" s="27" t="s">
        <v>155</v>
      </c>
      <c r="C44" s="28">
        <v>0</v>
      </c>
      <c r="D44" s="28">
        <v>0</v>
      </c>
      <c r="E44" s="28">
        <v>0</v>
      </c>
      <c r="F44" s="28">
        <v>0</v>
      </c>
      <c r="G44" s="28">
        <v>0</v>
      </c>
      <c r="H44" s="28">
        <v>0</v>
      </c>
      <c r="I44" s="28">
        <v>0</v>
      </c>
      <c r="J44" s="28">
        <v>0</v>
      </c>
      <c r="K44" s="28">
        <v>0</v>
      </c>
      <c r="L44" s="28">
        <v>0</v>
      </c>
      <c r="M44" s="28">
        <v>0</v>
      </c>
      <c r="N44" s="28">
        <v>0</v>
      </c>
      <c r="O44" s="18">
        <f t="shared" si="5"/>
        <v>0</v>
      </c>
    </row>
    <row r="45" spans="1:16" ht="15" x14ac:dyDescent="0.2">
      <c r="A45" s="854"/>
      <c r="B45" s="27" t="s">
        <v>156</v>
      </c>
      <c r="C45" s="28">
        <v>0</v>
      </c>
      <c r="D45" s="28">
        <v>0</v>
      </c>
      <c r="E45" s="28">
        <v>0</v>
      </c>
      <c r="F45" s="28">
        <v>0</v>
      </c>
      <c r="G45" s="28">
        <v>0</v>
      </c>
      <c r="H45" s="28">
        <v>0</v>
      </c>
      <c r="I45" s="28">
        <v>0</v>
      </c>
      <c r="J45" s="28">
        <v>0</v>
      </c>
      <c r="K45" s="28">
        <v>0</v>
      </c>
      <c r="L45" s="28">
        <v>0</v>
      </c>
      <c r="M45" s="28">
        <v>0</v>
      </c>
      <c r="N45" s="28">
        <v>0</v>
      </c>
      <c r="O45" s="18">
        <f t="shared" si="5"/>
        <v>0</v>
      </c>
    </row>
    <row r="46" spans="1:16" ht="15" x14ac:dyDescent="0.2">
      <c r="A46" s="854"/>
      <c r="B46" s="27" t="s">
        <v>157</v>
      </c>
      <c r="C46" s="28">
        <v>0</v>
      </c>
      <c r="D46" s="28">
        <v>0</v>
      </c>
      <c r="E46" s="28">
        <v>0</v>
      </c>
      <c r="F46" s="28">
        <v>0</v>
      </c>
      <c r="G46" s="28">
        <v>0</v>
      </c>
      <c r="H46" s="28">
        <v>0</v>
      </c>
      <c r="I46" s="28">
        <v>0</v>
      </c>
      <c r="J46" s="28">
        <v>0</v>
      </c>
      <c r="K46" s="28">
        <v>0</v>
      </c>
      <c r="L46" s="28">
        <v>0</v>
      </c>
      <c r="M46" s="28">
        <v>0</v>
      </c>
      <c r="N46" s="28">
        <v>0</v>
      </c>
      <c r="O46" s="18">
        <f t="shared" si="5"/>
        <v>0</v>
      </c>
    </row>
    <row r="47" spans="1:16" ht="28.5" customHeight="1" x14ac:dyDescent="0.2">
      <c r="A47" s="855"/>
      <c r="B47" s="30" t="s">
        <v>158</v>
      </c>
      <c r="C47" s="28">
        <v>0</v>
      </c>
      <c r="D47" s="28">
        <v>0</v>
      </c>
      <c r="E47" s="28">
        <v>0</v>
      </c>
      <c r="F47" s="28">
        <v>0</v>
      </c>
      <c r="G47" s="28">
        <v>0</v>
      </c>
      <c r="H47" s="28">
        <v>0</v>
      </c>
      <c r="I47" s="28">
        <v>0</v>
      </c>
      <c r="J47" s="28">
        <v>0</v>
      </c>
      <c r="K47" s="28">
        <v>0</v>
      </c>
      <c r="L47" s="28">
        <v>0</v>
      </c>
      <c r="M47" s="28">
        <v>0</v>
      </c>
      <c r="N47" s="28">
        <v>0</v>
      </c>
      <c r="O47" s="31">
        <f t="shared" si="5"/>
        <v>0</v>
      </c>
    </row>
    <row r="48" spans="1:16" ht="15" x14ac:dyDescent="0.2">
      <c r="A48" s="856"/>
      <c r="B48" s="127" t="s">
        <v>434</v>
      </c>
      <c r="C48" s="28">
        <v>0</v>
      </c>
      <c r="D48" s="28">
        <v>0</v>
      </c>
      <c r="E48" s="28">
        <v>0</v>
      </c>
      <c r="F48" s="28">
        <v>0</v>
      </c>
      <c r="G48" s="28">
        <v>0</v>
      </c>
      <c r="H48" s="28">
        <v>0</v>
      </c>
      <c r="I48" s="28">
        <v>0</v>
      </c>
      <c r="J48" s="28">
        <v>0</v>
      </c>
      <c r="K48" s="28">
        <v>0</v>
      </c>
      <c r="L48" s="28">
        <v>0</v>
      </c>
      <c r="M48" s="28">
        <v>0</v>
      </c>
      <c r="N48" s="28">
        <v>0</v>
      </c>
      <c r="O48" s="31">
        <f t="shared" si="5"/>
        <v>0</v>
      </c>
    </row>
    <row r="49" spans="1:18" ht="15" x14ac:dyDescent="0.2">
      <c r="A49" s="857" t="s">
        <v>160</v>
      </c>
      <c r="B49" s="858"/>
      <c r="C49" s="33">
        <f t="shared" ref="C49:N49" si="6">SUM(C38:C48)</f>
        <v>0</v>
      </c>
      <c r="D49" s="33">
        <f t="shared" si="6"/>
        <v>0</v>
      </c>
      <c r="E49" s="33">
        <f t="shared" si="6"/>
        <v>0</v>
      </c>
      <c r="F49" s="33">
        <f t="shared" si="6"/>
        <v>0</v>
      </c>
      <c r="G49" s="33">
        <f t="shared" si="6"/>
        <v>0</v>
      </c>
      <c r="H49" s="33">
        <f t="shared" si="6"/>
        <v>0</v>
      </c>
      <c r="I49" s="33">
        <f t="shared" si="6"/>
        <v>0</v>
      </c>
      <c r="J49" s="33">
        <f t="shared" si="6"/>
        <v>0</v>
      </c>
      <c r="K49" s="33">
        <f t="shared" si="6"/>
        <v>0</v>
      </c>
      <c r="L49" s="33">
        <f t="shared" si="6"/>
        <v>0</v>
      </c>
      <c r="M49" s="33">
        <f t="shared" si="6"/>
        <v>0</v>
      </c>
      <c r="N49" s="33">
        <f t="shared" si="6"/>
        <v>0</v>
      </c>
      <c r="O49" s="34">
        <f t="shared" si="5"/>
        <v>0</v>
      </c>
    </row>
    <row r="50" spans="1:18" ht="15.75" thickBot="1" x14ac:dyDescent="0.25">
      <c r="A50" s="859" t="s">
        <v>161</v>
      </c>
      <c r="B50" s="860"/>
      <c r="C50" s="35">
        <f t="shared" ref="C50:N50" si="7">C37-C49</f>
        <v>0</v>
      </c>
      <c r="D50" s="35">
        <f t="shared" si="7"/>
        <v>0</v>
      </c>
      <c r="E50" s="35">
        <f t="shared" si="7"/>
        <v>0</v>
      </c>
      <c r="F50" s="35">
        <f t="shared" si="7"/>
        <v>0</v>
      </c>
      <c r="G50" s="35">
        <f t="shared" si="7"/>
        <v>0</v>
      </c>
      <c r="H50" s="35">
        <f t="shared" si="7"/>
        <v>0</v>
      </c>
      <c r="I50" s="35">
        <f t="shared" si="7"/>
        <v>0</v>
      </c>
      <c r="J50" s="35">
        <f t="shared" si="7"/>
        <v>0</v>
      </c>
      <c r="K50" s="35">
        <f t="shared" si="7"/>
        <v>0</v>
      </c>
      <c r="L50" s="35">
        <f t="shared" si="7"/>
        <v>0</v>
      </c>
      <c r="M50" s="35">
        <f t="shared" si="7"/>
        <v>0</v>
      </c>
      <c r="N50" s="35">
        <f t="shared" si="7"/>
        <v>0</v>
      </c>
      <c r="O50" s="36">
        <f t="shared" si="5"/>
        <v>0</v>
      </c>
    </row>
    <row r="51" spans="1:18" x14ac:dyDescent="0.2">
      <c r="J51" s="128">
        <f>+J37-SUM(J22:J36)</f>
        <v>0</v>
      </c>
      <c r="Q51" s="38"/>
    </row>
    <row r="52" spans="1:18" ht="13.5" thickBot="1" x14ac:dyDescent="0.25">
      <c r="J52" s="38">
        <f>+J51-J49</f>
        <v>0</v>
      </c>
    </row>
    <row r="53" spans="1:18" ht="13.5" thickBot="1" x14ac:dyDescent="0.25">
      <c r="B53" s="789" t="s">
        <v>162</v>
      </c>
      <c r="C53" s="861"/>
      <c r="D53" s="861"/>
      <c r="E53" s="861"/>
      <c r="F53" s="862"/>
      <c r="G53" s="863">
        <f>O37</f>
        <v>0</v>
      </c>
      <c r="H53" s="864"/>
    </row>
    <row r="54" spans="1:18" ht="13.5" thickBot="1" x14ac:dyDescent="0.25"/>
    <row r="55" spans="1:18" x14ac:dyDescent="0.2">
      <c r="B55" s="830" t="s">
        <v>163</v>
      </c>
      <c r="C55" s="833" t="s">
        <v>164</v>
      </c>
      <c r="D55" s="836" t="s">
        <v>165</v>
      </c>
      <c r="E55" s="837"/>
      <c r="F55" s="838"/>
      <c r="G55" s="839">
        <f>1600*12</f>
        <v>19200</v>
      </c>
      <c r="H55" s="840"/>
    </row>
    <row r="56" spans="1:18" x14ac:dyDescent="0.2">
      <c r="B56" s="831"/>
      <c r="C56" s="834"/>
      <c r="D56" s="841" t="s">
        <v>166</v>
      </c>
      <c r="E56" s="842"/>
      <c r="F56" s="843"/>
      <c r="G56" s="844">
        <f>+O44</f>
        <v>0</v>
      </c>
      <c r="H56" s="845"/>
      <c r="I56" s="39"/>
      <c r="J56" s="846"/>
      <c r="K56" s="846"/>
      <c r="L56" s="846"/>
      <c r="M56" s="847"/>
      <c r="N56" s="847"/>
      <c r="O56" s="847"/>
    </row>
    <row r="57" spans="1:18" ht="13.5" thickBot="1" x14ac:dyDescent="0.25">
      <c r="B57" s="832"/>
      <c r="C57" s="835"/>
      <c r="D57" s="848" t="s">
        <v>266</v>
      </c>
      <c r="E57" s="849"/>
      <c r="F57" s="850"/>
      <c r="G57" s="851">
        <v>0</v>
      </c>
      <c r="H57" s="852"/>
      <c r="J57" s="47"/>
      <c r="K57" s="47"/>
      <c r="L57" s="47"/>
      <c r="M57" s="47"/>
      <c r="N57" s="47"/>
      <c r="O57" s="47"/>
    </row>
    <row r="58" spans="1:18" ht="13.5" thickBot="1" x14ac:dyDescent="0.25">
      <c r="B58" s="48"/>
      <c r="J58" s="47"/>
      <c r="K58" s="47"/>
      <c r="L58" s="47"/>
      <c r="M58" s="47"/>
      <c r="N58" s="47"/>
      <c r="O58" s="47"/>
    </row>
    <row r="59" spans="1:18" ht="13.5" thickBot="1" x14ac:dyDescent="0.25">
      <c r="B59" s="789" t="s">
        <v>168</v>
      </c>
      <c r="C59" s="790"/>
      <c r="D59" s="790"/>
      <c r="E59" s="790"/>
      <c r="F59" s="791"/>
      <c r="G59" s="825">
        <f>+G53-SUM(G55:H57)</f>
        <v>-19200</v>
      </c>
      <c r="H59" s="826"/>
      <c r="J59" s="827" t="s">
        <v>169</v>
      </c>
      <c r="K59" s="828"/>
      <c r="L59" s="828"/>
      <c r="M59" s="828"/>
      <c r="N59" s="828"/>
      <c r="O59" s="829"/>
    </row>
    <row r="60" spans="1:18" ht="13.5" thickBot="1" x14ac:dyDescent="0.25">
      <c r="B60" s="49"/>
      <c r="C60" s="50"/>
      <c r="D60" s="50"/>
      <c r="E60" s="50"/>
      <c r="F60" s="50"/>
      <c r="G60" s="45"/>
      <c r="H60" s="50"/>
      <c r="J60" s="129"/>
      <c r="K60" s="130"/>
      <c r="L60" s="130"/>
      <c r="M60" s="130"/>
      <c r="N60" s="130"/>
      <c r="O60" s="131"/>
    </row>
    <row r="61" spans="1:18" ht="13.5" thickBot="1" x14ac:dyDescent="0.25">
      <c r="B61" s="789" t="s">
        <v>170</v>
      </c>
      <c r="C61" s="790"/>
      <c r="D61" s="790"/>
      <c r="E61" s="790"/>
      <c r="F61" s="791"/>
      <c r="G61" s="805"/>
      <c r="H61" s="791"/>
      <c r="J61" s="129"/>
      <c r="K61" s="130"/>
      <c r="L61" s="130"/>
      <c r="M61" s="130"/>
      <c r="N61" s="130"/>
      <c r="O61" s="131"/>
    </row>
    <row r="62" spans="1:18" ht="12.75" customHeight="1" x14ac:dyDescent="0.2">
      <c r="B62" s="57" t="s">
        <v>171</v>
      </c>
      <c r="C62" s="806" t="s">
        <v>172</v>
      </c>
      <c r="D62" s="807"/>
      <c r="E62" s="807"/>
      <c r="F62" s="808"/>
      <c r="G62" s="809">
        <v>0</v>
      </c>
      <c r="H62" s="809"/>
      <c r="I62" s="58"/>
      <c r="J62" s="810" t="s">
        <v>173</v>
      </c>
      <c r="K62" s="811"/>
      <c r="L62" s="811"/>
      <c r="M62" s="811"/>
      <c r="N62" s="811"/>
      <c r="O62" s="812"/>
      <c r="Q62" s="59"/>
      <c r="R62" s="59"/>
    </row>
    <row r="63" spans="1:18" ht="13.5" thickBot="1" x14ac:dyDescent="0.25">
      <c r="D63" s="37"/>
      <c r="I63" s="58"/>
      <c r="J63" s="60"/>
      <c r="K63" s="132"/>
      <c r="L63" s="132"/>
      <c r="M63" s="133"/>
      <c r="N63" s="133"/>
      <c r="O63" s="134"/>
      <c r="Q63" s="59"/>
      <c r="R63" s="59"/>
    </row>
    <row r="64" spans="1:18" ht="13.5" thickBot="1" x14ac:dyDescent="0.25">
      <c r="B64" s="789" t="s">
        <v>175</v>
      </c>
      <c r="C64" s="790"/>
      <c r="D64" s="790"/>
      <c r="E64" s="790"/>
      <c r="F64" s="791"/>
      <c r="G64" s="805">
        <f>+G59-G62</f>
        <v>-19200</v>
      </c>
      <c r="H64" s="791"/>
      <c r="I64" s="63"/>
      <c r="J64" s="75"/>
      <c r="K64" s="39"/>
      <c r="L64" s="39"/>
      <c r="M64" s="39"/>
      <c r="N64" s="39"/>
      <c r="O64" s="65"/>
      <c r="Q64" s="59"/>
      <c r="R64" s="59"/>
    </row>
    <row r="65" spans="2:18" ht="12.75" customHeight="1" x14ac:dyDescent="0.2">
      <c r="B65" s="48"/>
      <c r="C65" s="48"/>
      <c r="I65" s="63"/>
      <c r="J65" s="75"/>
      <c r="K65" s="39"/>
      <c r="L65" s="39"/>
      <c r="M65" s="39"/>
      <c r="N65" s="39"/>
      <c r="O65" s="65"/>
      <c r="Q65" s="59"/>
      <c r="R65" s="59"/>
    </row>
    <row r="66" spans="2:18" x14ac:dyDescent="0.2">
      <c r="B66" s="66" t="s">
        <v>176</v>
      </c>
      <c r="C66" s="48"/>
      <c r="I66" s="63"/>
      <c r="J66" s="67"/>
      <c r="K66" s="68"/>
      <c r="L66" s="68"/>
      <c r="M66" s="68"/>
      <c r="N66" s="68"/>
      <c r="O66" s="69"/>
      <c r="Q66" s="59"/>
      <c r="R66" s="59"/>
    </row>
    <row r="67" spans="2:18" ht="26.25" customHeight="1" thickBot="1" x14ac:dyDescent="0.25">
      <c r="B67" s="66"/>
      <c r="C67" s="48"/>
      <c r="G67" s="70" t="s">
        <v>177</v>
      </c>
      <c r="H67" s="70" t="s">
        <v>178</v>
      </c>
      <c r="I67" s="63"/>
      <c r="J67" s="810" t="s">
        <v>179</v>
      </c>
      <c r="K67" s="811"/>
      <c r="L67" s="71"/>
      <c r="M67" s="71"/>
      <c r="N67" s="71"/>
      <c r="O67" s="72"/>
      <c r="Q67" s="59"/>
      <c r="R67" s="59"/>
    </row>
    <row r="68" spans="2:18" ht="12.75" customHeight="1" x14ac:dyDescent="0.2">
      <c r="B68" s="802" t="s">
        <v>180</v>
      </c>
      <c r="C68" s="821" t="s">
        <v>181</v>
      </c>
      <c r="D68" s="823" t="s">
        <v>182</v>
      </c>
      <c r="E68" s="824"/>
      <c r="F68" s="824"/>
      <c r="G68" s="73">
        <f>+O43</f>
        <v>0</v>
      </c>
      <c r="H68" s="74">
        <f t="shared" ref="H68:H76" si="8">+G68</f>
        <v>0</v>
      </c>
      <c r="I68" s="63"/>
      <c r="J68" s="181" t="s">
        <v>435</v>
      </c>
      <c r="K68" s="58"/>
      <c r="L68" s="58" t="s">
        <v>436</v>
      </c>
      <c r="M68" s="135" t="s">
        <v>232</v>
      </c>
      <c r="N68" s="135" t="s">
        <v>233</v>
      </c>
      <c r="O68" s="76">
        <f>1021*12</f>
        <v>12252</v>
      </c>
      <c r="Q68" s="59"/>
      <c r="R68" s="59"/>
    </row>
    <row r="69" spans="2:18" ht="12.75" customHeight="1" x14ac:dyDescent="0.2">
      <c r="B69" s="803"/>
      <c r="C69" s="822"/>
      <c r="D69" s="782" t="s">
        <v>184</v>
      </c>
      <c r="E69" s="783"/>
      <c r="F69" s="783"/>
      <c r="G69" s="77">
        <f>+O47+1021*12+2695*2</f>
        <v>17642</v>
      </c>
      <c r="H69" s="78">
        <f t="shared" si="8"/>
        <v>17642</v>
      </c>
      <c r="I69" s="63"/>
      <c r="J69" s="181" t="s">
        <v>437</v>
      </c>
      <c r="K69" s="68"/>
      <c r="L69" s="135" t="s">
        <v>438</v>
      </c>
      <c r="M69" s="135" t="s">
        <v>232</v>
      </c>
      <c r="N69" s="135" t="s">
        <v>439</v>
      </c>
      <c r="O69" s="136">
        <v>5390</v>
      </c>
      <c r="Q69" s="59"/>
      <c r="R69" s="59"/>
    </row>
    <row r="70" spans="2:18" ht="12.75" customHeight="1" x14ac:dyDescent="0.2">
      <c r="B70" s="803"/>
      <c r="C70" s="822"/>
      <c r="D70" s="819" t="s">
        <v>185</v>
      </c>
      <c r="E70" s="820"/>
      <c r="F70" s="820"/>
      <c r="G70" s="80">
        <f>O40</f>
        <v>0</v>
      </c>
      <c r="H70" s="78">
        <f t="shared" si="8"/>
        <v>0</v>
      </c>
      <c r="I70" s="63"/>
      <c r="J70" s="67"/>
      <c r="K70" s="68"/>
      <c r="L70" s="68"/>
      <c r="M70" s="68"/>
      <c r="N70" s="68"/>
      <c r="O70" s="69"/>
    </row>
    <row r="71" spans="2:18" x14ac:dyDescent="0.2">
      <c r="B71" s="803"/>
      <c r="C71" s="822"/>
      <c r="D71" s="782" t="s">
        <v>186</v>
      </c>
      <c r="E71" s="783"/>
      <c r="F71" s="783"/>
      <c r="G71" s="81">
        <v>0</v>
      </c>
      <c r="H71" s="78">
        <f t="shared" si="8"/>
        <v>0</v>
      </c>
      <c r="I71" s="63"/>
      <c r="J71" s="82" t="s">
        <v>187</v>
      </c>
      <c r="K71" s="71"/>
      <c r="L71" s="71"/>
      <c r="M71" s="71"/>
      <c r="N71" s="71"/>
      <c r="O71" s="72"/>
    </row>
    <row r="72" spans="2:18" ht="12.75" customHeight="1" x14ac:dyDescent="0.2">
      <c r="B72" s="803"/>
      <c r="C72" s="822"/>
      <c r="D72" s="784" t="s">
        <v>188</v>
      </c>
      <c r="E72" s="783"/>
      <c r="F72" s="783"/>
      <c r="G72" s="80">
        <v>0</v>
      </c>
      <c r="H72" s="78">
        <f t="shared" si="8"/>
        <v>0</v>
      </c>
      <c r="I72" s="63"/>
      <c r="J72" s="75" t="s">
        <v>189</v>
      </c>
      <c r="K72" s="50"/>
      <c r="L72" s="50"/>
      <c r="M72" s="50"/>
      <c r="N72" s="50"/>
      <c r="O72" s="83">
        <v>0</v>
      </c>
    </row>
    <row r="73" spans="2:18" ht="14.25" customHeight="1" x14ac:dyDescent="0.2">
      <c r="B73" s="803"/>
      <c r="C73" s="822"/>
      <c r="D73" s="782" t="s">
        <v>190</v>
      </c>
      <c r="E73" s="783"/>
      <c r="F73" s="783"/>
      <c r="G73" s="84">
        <v>0</v>
      </c>
      <c r="H73" s="78">
        <f t="shared" si="8"/>
        <v>0</v>
      </c>
      <c r="I73" s="63"/>
      <c r="J73" s="75"/>
      <c r="K73" s="39"/>
      <c r="L73" s="39"/>
      <c r="M73" s="39"/>
      <c r="N73" s="39"/>
      <c r="O73" s="65"/>
    </row>
    <row r="74" spans="2:18" x14ac:dyDescent="0.2">
      <c r="B74" s="803"/>
      <c r="C74" s="822"/>
      <c r="D74" s="782" t="s">
        <v>191</v>
      </c>
      <c r="E74" s="783"/>
      <c r="F74" s="783"/>
      <c r="G74" s="81">
        <v>0</v>
      </c>
      <c r="H74" s="78">
        <f t="shared" si="8"/>
        <v>0</v>
      </c>
      <c r="I74" s="58"/>
      <c r="J74" s="137"/>
      <c r="K74" s="50"/>
      <c r="L74" s="50"/>
      <c r="M74" s="50"/>
      <c r="N74" s="50"/>
      <c r="O74" s="83"/>
    </row>
    <row r="75" spans="2:18" x14ac:dyDescent="0.2">
      <c r="B75" s="803"/>
      <c r="C75" s="88" t="s">
        <v>192</v>
      </c>
      <c r="D75" s="813" t="s">
        <v>193</v>
      </c>
      <c r="E75" s="814"/>
      <c r="F75" s="814"/>
      <c r="G75" s="80">
        <v>0</v>
      </c>
      <c r="H75" s="78">
        <f t="shared" si="8"/>
        <v>0</v>
      </c>
      <c r="I75" s="58"/>
      <c r="J75" s="79"/>
      <c r="K75" s="39"/>
      <c r="L75" s="39"/>
      <c r="M75" s="39"/>
      <c r="N75" s="39"/>
      <c r="O75" s="65"/>
    </row>
    <row r="76" spans="2:18" ht="13.5" customHeight="1" thickBot="1" x14ac:dyDescent="0.25">
      <c r="B76" s="803"/>
      <c r="C76" s="88" t="s">
        <v>194</v>
      </c>
      <c r="D76" s="815" t="s">
        <v>195</v>
      </c>
      <c r="E76" s="815"/>
      <c r="F76" s="815"/>
      <c r="G76" s="89">
        <v>0</v>
      </c>
      <c r="H76" s="90">
        <f t="shared" si="8"/>
        <v>0</v>
      </c>
      <c r="I76" s="63"/>
      <c r="J76" s="67"/>
      <c r="K76" s="68"/>
      <c r="L76" s="68"/>
      <c r="M76" s="91"/>
      <c r="N76" s="91"/>
      <c r="O76" s="92"/>
    </row>
    <row r="77" spans="2:18" ht="13.5" thickBot="1" x14ac:dyDescent="0.25">
      <c r="B77" s="803"/>
      <c r="C77" s="93"/>
      <c r="D77" s="94"/>
      <c r="E77" s="816" t="s">
        <v>117</v>
      </c>
      <c r="F77" s="817"/>
      <c r="G77" s="95">
        <f>SUM(G68:G76)</f>
        <v>17642</v>
      </c>
      <c r="H77" s="96">
        <f>IF(SUM(G68:G74)&lt;150000,SUM(G68:G74),150000)+IF(+G75&lt;20000,+G75,20000)</f>
        <v>17642</v>
      </c>
      <c r="I77" s="63"/>
      <c r="J77" s="140"/>
      <c r="K77" s="141"/>
      <c r="L77" s="141"/>
      <c r="M77" s="142"/>
      <c r="N77" s="142"/>
      <c r="O77" s="143"/>
    </row>
    <row r="78" spans="2:18" ht="12.75" customHeight="1" x14ac:dyDescent="0.2">
      <c r="B78" s="803"/>
      <c r="C78" s="100" t="s">
        <v>196</v>
      </c>
      <c r="D78" s="782" t="s">
        <v>187</v>
      </c>
      <c r="E78" s="783"/>
      <c r="F78" s="818"/>
      <c r="G78" s="73">
        <f>+O42</f>
        <v>0</v>
      </c>
      <c r="H78" s="101">
        <f>+IF(+G78&lt;25000,+G78,25000)</f>
        <v>0</v>
      </c>
      <c r="I78" s="87"/>
    </row>
    <row r="79" spans="2:18" x14ac:dyDescent="0.2">
      <c r="B79" s="803"/>
      <c r="C79" s="100" t="s">
        <v>197</v>
      </c>
      <c r="D79" s="784" t="s">
        <v>198</v>
      </c>
      <c r="E79" s="785"/>
      <c r="F79" s="786"/>
      <c r="G79" s="102"/>
      <c r="H79" s="103">
        <f>+IF(+G79&lt;40000,+G79,40000)</f>
        <v>0</v>
      </c>
      <c r="I79" s="63"/>
    </row>
    <row r="80" spans="2:18" x14ac:dyDescent="0.2">
      <c r="B80" s="803"/>
      <c r="C80" s="100" t="s">
        <v>199</v>
      </c>
      <c r="D80" s="784" t="s">
        <v>200</v>
      </c>
      <c r="E80" s="785"/>
      <c r="F80" s="786"/>
      <c r="G80" s="81"/>
      <c r="H80" s="104">
        <v>0</v>
      </c>
      <c r="I80" s="63"/>
      <c r="J80" s="106"/>
    </row>
    <row r="81" spans="2:12" x14ac:dyDescent="0.2">
      <c r="B81" s="803"/>
      <c r="C81" s="100" t="s">
        <v>201</v>
      </c>
      <c r="D81" s="784" t="s">
        <v>202</v>
      </c>
      <c r="E81" s="785"/>
      <c r="F81" s="786"/>
      <c r="G81" s="81"/>
      <c r="H81" s="104">
        <v>0</v>
      </c>
      <c r="I81" s="63"/>
    </row>
    <row r="82" spans="2:12" ht="13.5" thickBot="1" x14ac:dyDescent="0.25">
      <c r="B82" s="804"/>
      <c r="C82" s="100" t="s">
        <v>203</v>
      </c>
      <c r="D82" s="784" t="s">
        <v>204</v>
      </c>
      <c r="E82" s="785"/>
      <c r="F82" s="786"/>
      <c r="G82" s="102"/>
      <c r="H82" s="103">
        <f>+IF(+G82&lt;100000,+G82,10000)</f>
        <v>0</v>
      </c>
      <c r="I82" s="63"/>
    </row>
    <row r="83" spans="2:12" ht="13.5" thickBot="1" x14ac:dyDescent="0.25">
      <c r="B83" s="787" t="s">
        <v>205</v>
      </c>
      <c r="C83" s="788"/>
      <c r="D83" s="788"/>
      <c r="E83" s="788"/>
      <c r="F83" s="788"/>
      <c r="G83" s="107">
        <f>SUM(G78:G82)</f>
        <v>0</v>
      </c>
      <c r="H83" s="108">
        <f>SUM(H77:H82)</f>
        <v>17642</v>
      </c>
    </row>
    <row r="84" spans="2:12" ht="13.5" thickBot="1" x14ac:dyDescent="0.25"/>
    <row r="85" spans="2:12" ht="13.5" thickBot="1" x14ac:dyDescent="0.25">
      <c r="B85" s="789" t="s">
        <v>206</v>
      </c>
      <c r="C85" s="790"/>
      <c r="D85" s="790"/>
      <c r="E85" s="790"/>
      <c r="F85" s="791"/>
      <c r="G85" s="792">
        <f>+G64-H83</f>
        <v>-36842</v>
      </c>
      <c r="H85" s="791"/>
      <c r="J85" s="109">
        <f>C37+D37+E37+F37</f>
        <v>0</v>
      </c>
      <c r="K85" s="16" t="s">
        <v>235</v>
      </c>
    </row>
    <row r="86" spans="2:12" x14ac:dyDescent="0.2">
      <c r="B86" s="110"/>
      <c r="F86" s="105"/>
      <c r="J86" s="109">
        <f>G37+H37+I37</f>
        <v>0</v>
      </c>
      <c r="K86" s="16" t="s">
        <v>236</v>
      </c>
      <c r="L86" s="16">
        <f>+J86/3</f>
        <v>0</v>
      </c>
    </row>
    <row r="87" spans="2:12" x14ac:dyDescent="0.2">
      <c r="C87" s="793" t="s">
        <v>207</v>
      </c>
      <c r="D87" s="794"/>
      <c r="E87" s="111" t="s">
        <v>208</v>
      </c>
      <c r="F87" s="111" t="s">
        <v>209</v>
      </c>
      <c r="G87" s="111" t="s">
        <v>210</v>
      </c>
      <c r="H87" s="111" t="s">
        <v>211</v>
      </c>
      <c r="J87" s="109">
        <f>J37+K37+L37</f>
        <v>0</v>
      </c>
      <c r="K87" s="47" t="s">
        <v>237</v>
      </c>
      <c r="L87" s="16">
        <f>+J87/3</f>
        <v>0</v>
      </c>
    </row>
    <row r="88" spans="2:12" x14ac:dyDescent="0.2">
      <c r="C88" s="795" t="str">
        <f>IF(I6="M","0          - 250000","0          -  250000")</f>
        <v>0          -  250000</v>
      </c>
      <c r="D88" s="796"/>
      <c r="E88" s="112">
        <v>0</v>
      </c>
      <c r="F88" s="113">
        <f>IF(I6="M",(IF(G85&lt;250000,G85,250000)),(IF(G85&lt;250000,G85,250000)))</f>
        <v>-36842</v>
      </c>
      <c r="G88" s="113">
        <f>G85-F88</f>
        <v>0</v>
      </c>
      <c r="H88" s="113">
        <f>E88*F88</f>
        <v>0</v>
      </c>
      <c r="J88" s="16">
        <f>M37+N37</f>
        <v>0</v>
      </c>
      <c r="K88" s="1" t="s">
        <v>238</v>
      </c>
      <c r="L88" s="16">
        <f>+J88/2</f>
        <v>0</v>
      </c>
    </row>
    <row r="89" spans="2:12" x14ac:dyDescent="0.2">
      <c r="C89" s="795" t="str">
        <f>IF(I6="M","250001 - 500000","250001-500000")</f>
        <v>250001-500000</v>
      </c>
      <c r="D89" s="796"/>
      <c r="E89" s="112">
        <v>0.05</v>
      </c>
      <c r="F89" s="113">
        <f>IF(I6="M",(IF(G88&lt;250000,G88,250000)),(IF(G88&lt;250000,G88,250000)))</f>
        <v>0</v>
      </c>
      <c r="G89" s="113">
        <f>G88-F89</f>
        <v>0</v>
      </c>
      <c r="H89" s="114">
        <f>ROUND(E89*F89,0.1)</f>
        <v>0</v>
      </c>
      <c r="J89" s="115">
        <f>SUM(J85:J88)</f>
        <v>0</v>
      </c>
    </row>
    <row r="90" spans="2:12" x14ac:dyDescent="0.2">
      <c r="C90" s="797" t="s">
        <v>212</v>
      </c>
      <c r="D90" s="798"/>
      <c r="E90" s="112">
        <v>0.2</v>
      </c>
      <c r="F90" s="113">
        <f>IF(G89&lt;500000,G89,500000)</f>
        <v>0</v>
      </c>
      <c r="G90" s="113">
        <f>G89-F90</f>
        <v>0</v>
      </c>
      <c r="H90" s="114">
        <f>ROUND(E90*F90,0.1)</f>
        <v>0</v>
      </c>
      <c r="J90" s="16">
        <f>+G85</f>
        <v>-36842</v>
      </c>
    </row>
    <row r="91" spans="2:12" x14ac:dyDescent="0.2">
      <c r="C91" s="795" t="s">
        <v>213</v>
      </c>
      <c r="D91" s="796"/>
      <c r="E91" s="112">
        <v>0.3</v>
      </c>
      <c r="F91" s="113">
        <f>G90</f>
        <v>0</v>
      </c>
      <c r="G91" s="113">
        <f>G90-F91</f>
        <v>0</v>
      </c>
      <c r="H91" s="114">
        <f>ROUND(E91*F91,0.1)</f>
        <v>0</v>
      </c>
      <c r="J91" s="16">
        <f>+J89-J90</f>
        <v>36842</v>
      </c>
    </row>
    <row r="92" spans="2:12" ht="12.75" customHeight="1" thickBot="1" x14ac:dyDescent="0.25">
      <c r="B92" s="116"/>
      <c r="C92" s="117"/>
      <c r="D92" s="47"/>
      <c r="E92" s="47"/>
      <c r="F92" s="47"/>
      <c r="J92" s="87"/>
      <c r="K92" s="118"/>
    </row>
    <row r="93" spans="2:12" ht="13.5" thickBot="1" x14ac:dyDescent="0.25">
      <c r="B93" s="799" t="s">
        <v>239</v>
      </c>
      <c r="C93" s="800"/>
      <c r="D93" s="800"/>
      <c r="E93" s="800"/>
      <c r="F93" s="801"/>
      <c r="G93" s="771">
        <f>H88+H89+H90+H91</f>
        <v>0</v>
      </c>
      <c r="H93" s="772"/>
    </row>
    <row r="94" spans="2:12" ht="13.5" thickBot="1" x14ac:dyDescent="0.25">
      <c r="B94" s="119" t="s">
        <v>215</v>
      </c>
      <c r="C94" s="120"/>
      <c r="D94" s="120"/>
      <c r="E94" s="120"/>
      <c r="F94" s="120"/>
      <c r="G94" s="884">
        <f>IF((G64&lt;500000),5000,0)</f>
        <v>5000</v>
      </c>
      <c r="H94" s="885">
        <f>IF(H92&lt;200000,0,IF(H92&lt;220000,((H92-200000)*10%),IF(H92&lt;=500000,2000,IF(H92&gt;=500000,0))))</f>
        <v>0</v>
      </c>
      <c r="J94" s="1"/>
      <c r="K94" s="121"/>
      <c r="L94" s="121"/>
    </row>
    <row r="95" spans="2:12" ht="13.5" thickBot="1" x14ac:dyDescent="0.25">
      <c r="B95" s="122" t="s">
        <v>216</v>
      </c>
      <c r="C95" s="123"/>
      <c r="D95" s="123"/>
      <c r="E95" s="123"/>
      <c r="F95" s="123"/>
      <c r="G95" s="771">
        <f>IF((G93-G94)&lt;0,0,(G93-G94))</f>
        <v>0</v>
      </c>
      <c r="H95" s="772"/>
      <c r="I95" s="37"/>
    </row>
    <row r="96" spans="2:12" ht="13.5" thickBot="1" x14ac:dyDescent="0.25">
      <c r="B96" s="773" t="s">
        <v>217</v>
      </c>
      <c r="C96" s="774"/>
      <c r="D96" s="774"/>
      <c r="E96" s="774"/>
      <c r="F96" s="775"/>
      <c r="G96" s="776">
        <f>ROUND((IF(G95&gt;0,(G95*3%),0)),0)</f>
        <v>0</v>
      </c>
      <c r="H96" s="777"/>
      <c r="I96" s="37"/>
    </row>
    <row r="97" spans="2:9" ht="13.5" thickBot="1" x14ac:dyDescent="0.25">
      <c r="B97" s="778" t="s">
        <v>218</v>
      </c>
      <c r="C97" s="779"/>
      <c r="D97" s="779"/>
      <c r="E97" s="779"/>
      <c r="F97" s="779"/>
      <c r="G97" s="780">
        <f>G95+G96</f>
        <v>0</v>
      </c>
      <c r="H97" s="781"/>
      <c r="I97" s="121"/>
    </row>
    <row r="98" spans="2:9" ht="13.5" thickBot="1" x14ac:dyDescent="0.25">
      <c r="B98" s="765" t="s">
        <v>219</v>
      </c>
      <c r="C98" s="766"/>
      <c r="D98" s="766"/>
      <c r="E98" s="766"/>
      <c r="F98" s="766"/>
      <c r="G98" s="767">
        <f>O38</f>
        <v>0</v>
      </c>
      <c r="H98" s="768"/>
      <c r="I98" s="121"/>
    </row>
    <row r="99" spans="2:9" ht="13.5" thickBot="1" x14ac:dyDescent="0.25">
      <c r="B99" s="765" t="str">
        <f>IF(G99&gt;0,"TAX PAYABLE","TAX REFUND")</f>
        <v>TAX REFUND</v>
      </c>
      <c r="C99" s="766"/>
      <c r="D99" s="766"/>
      <c r="E99" s="766"/>
      <c r="F99" s="766"/>
      <c r="G99" s="767">
        <f>+G97-G98</f>
        <v>0</v>
      </c>
      <c r="H99" s="768"/>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0:F90 B99:F99 B93:F97">
    <cfRule type="cellIs" dxfId="73" priority="3" stopIfTrue="1" operator="equal">
      <formula>"TAX PAYABLE"</formula>
    </cfRule>
    <cfRule type="cellIs" dxfId="72" priority="4" stopIfTrue="1" operator="equal">
      <formula>"TAX REFUND"</formula>
    </cfRule>
  </conditionalFormatting>
  <conditionalFormatting sqref="G90:H90">
    <cfRule type="cellIs" dxfId="71" priority="5" stopIfTrue="1" operator="lessThan">
      <formula>0</formula>
    </cfRule>
    <cfRule type="cellIs" dxfId="70" priority="6" stopIfTrue="1" operator="greaterThan">
      <formula>0</formula>
    </cfRule>
  </conditionalFormatting>
  <conditionalFormatting sqref="G99:H99">
    <cfRule type="cellIs" dxfId="69" priority="1" stopIfTrue="1" operator="greaterThan">
      <formula>0</formula>
    </cfRule>
    <cfRule type="cellIs" dxfId="68"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hyperlinks>
    <hyperlink ref="J51" r:id="rId1" display="+J37-@sum(J22:J36)"/>
  </hyperlinks>
  <pageMargins left="0.7" right="0.7" top="0.75" bottom="0.75" header="0.3" footer="0.3"/>
  <pageSetup paperSize="5" orientation="landscape" horizontalDpi="300" verticalDpi="300" r:id="rId2"/>
  <headerFooter alignWithMargins="0"/>
  <legacyDrawing r:id="rId3"/>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7"/>
  <sheetViews>
    <sheetView workbookViewId="0">
      <selection activeCell="E38" sqref="C38:E38"/>
    </sheetView>
  </sheetViews>
  <sheetFormatPr defaultRowHeight="12.75" x14ac:dyDescent="0.2"/>
  <cols>
    <col min="1" max="1" width="5" style="16" customWidth="1"/>
    <col min="2" max="2" width="18.28515625" style="37" customWidth="1"/>
    <col min="3" max="3" width="10.7109375" style="16" bestFit="1" customWidth="1"/>
    <col min="4" max="4" width="6.7109375" style="16" customWidth="1"/>
    <col min="5" max="5" width="8.5703125" style="16" customWidth="1"/>
    <col min="6" max="6" width="9.28515625" style="16" customWidth="1"/>
    <col min="7" max="7" width="10.42578125" style="16" bestFit="1" customWidth="1"/>
    <col min="8" max="8" width="10.28515625" style="16" bestFit="1" customWidth="1"/>
    <col min="9" max="9" width="7.140625" style="16" customWidth="1"/>
    <col min="10" max="10" width="8.42578125" style="16" customWidth="1"/>
    <col min="11" max="12" width="7" style="16" customWidth="1"/>
    <col min="13" max="13" width="6.85546875" style="16" customWidth="1"/>
    <col min="14" max="14" width="7" style="16" customWidth="1"/>
    <col min="15" max="15" width="8.28515625" style="16" customWidth="1"/>
    <col min="16" max="16" width="9.140625" style="16"/>
    <col min="17" max="17" width="8.28515625" style="16" customWidth="1"/>
    <col min="18" max="18" width="9.28515625" style="16" bestFit="1" customWidth="1"/>
    <col min="19" max="19" width="9.140625" style="16"/>
    <col min="20" max="20" width="12.42578125" style="16" customWidth="1"/>
    <col min="21" max="21" width="9.140625" style="16"/>
    <col min="22" max="22" width="12" style="16" customWidth="1"/>
    <col min="23" max="256" width="9.140625" style="16"/>
    <col min="257" max="257" width="5" style="16" customWidth="1"/>
    <col min="258" max="258" width="18.28515625" style="16" customWidth="1"/>
    <col min="259" max="259" width="10.7109375" style="16" bestFit="1" customWidth="1"/>
    <col min="260" max="260" width="6.7109375" style="16" customWidth="1"/>
    <col min="261" max="261" width="8.5703125" style="16" customWidth="1"/>
    <col min="262" max="262" width="9.28515625" style="16" customWidth="1"/>
    <col min="263" max="263" width="10.42578125" style="16" bestFit="1" customWidth="1"/>
    <col min="264" max="264" width="10.28515625" style="16" bestFit="1" customWidth="1"/>
    <col min="265" max="265" width="7.140625" style="16" customWidth="1"/>
    <col min="266" max="266" width="8.42578125" style="16" customWidth="1"/>
    <col min="267" max="268" width="7" style="16" customWidth="1"/>
    <col min="269" max="269" width="6.85546875" style="16" customWidth="1"/>
    <col min="270" max="270" width="7" style="16" customWidth="1"/>
    <col min="271" max="271" width="8.28515625" style="16" customWidth="1"/>
    <col min="272" max="272" width="9.140625" style="16"/>
    <col min="273" max="273" width="8.28515625" style="16" customWidth="1"/>
    <col min="274" max="274" width="9.28515625" style="16" bestFit="1" customWidth="1"/>
    <col min="275" max="275" width="9.140625" style="16"/>
    <col min="276" max="276" width="12.42578125" style="16" customWidth="1"/>
    <col min="277" max="277" width="9.140625" style="16"/>
    <col min="278" max="278" width="12" style="16" customWidth="1"/>
    <col min="279" max="512" width="9.140625" style="16"/>
    <col min="513" max="513" width="5" style="16" customWidth="1"/>
    <col min="514" max="514" width="18.28515625" style="16" customWidth="1"/>
    <col min="515" max="515" width="10.7109375" style="16" bestFit="1" customWidth="1"/>
    <col min="516" max="516" width="6.7109375" style="16" customWidth="1"/>
    <col min="517" max="517" width="8.5703125" style="16" customWidth="1"/>
    <col min="518" max="518" width="9.28515625" style="16" customWidth="1"/>
    <col min="519" max="519" width="10.42578125" style="16" bestFit="1" customWidth="1"/>
    <col min="520" max="520" width="10.28515625" style="16" bestFit="1" customWidth="1"/>
    <col min="521" max="521" width="7.140625" style="16" customWidth="1"/>
    <col min="522" max="522" width="8.42578125" style="16" customWidth="1"/>
    <col min="523" max="524" width="7" style="16" customWidth="1"/>
    <col min="525" max="525" width="6.85546875" style="16" customWidth="1"/>
    <col min="526" max="526" width="7" style="16" customWidth="1"/>
    <col min="527" max="527" width="8.28515625" style="16" customWidth="1"/>
    <col min="528" max="528" width="9.140625" style="16"/>
    <col min="529" max="529" width="8.28515625" style="16" customWidth="1"/>
    <col min="530" max="530" width="9.28515625" style="16" bestFit="1" customWidth="1"/>
    <col min="531" max="531" width="9.140625" style="16"/>
    <col min="532" max="532" width="12.42578125" style="16" customWidth="1"/>
    <col min="533" max="533" width="9.140625" style="16"/>
    <col min="534" max="534" width="12" style="16" customWidth="1"/>
    <col min="535" max="768" width="9.140625" style="16"/>
    <col min="769" max="769" width="5" style="16" customWidth="1"/>
    <col min="770" max="770" width="18.28515625" style="16" customWidth="1"/>
    <col min="771" max="771" width="10.7109375" style="16" bestFit="1" customWidth="1"/>
    <col min="772" max="772" width="6.7109375" style="16" customWidth="1"/>
    <col min="773" max="773" width="8.5703125" style="16" customWidth="1"/>
    <col min="774" max="774" width="9.28515625" style="16" customWidth="1"/>
    <col min="775" max="775" width="10.42578125" style="16" bestFit="1" customWidth="1"/>
    <col min="776" max="776" width="10.28515625" style="16" bestFit="1" customWidth="1"/>
    <col min="777" max="777" width="7.140625" style="16" customWidth="1"/>
    <col min="778" max="778" width="8.42578125" style="16" customWidth="1"/>
    <col min="779" max="780" width="7" style="16" customWidth="1"/>
    <col min="781" max="781" width="6.85546875" style="16" customWidth="1"/>
    <col min="782" max="782" width="7" style="16" customWidth="1"/>
    <col min="783" max="783" width="8.28515625" style="16" customWidth="1"/>
    <col min="784" max="784" width="9.140625" style="16"/>
    <col min="785" max="785" width="8.28515625" style="16" customWidth="1"/>
    <col min="786" max="786" width="9.28515625" style="16" bestFit="1" customWidth="1"/>
    <col min="787"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8.28515625" style="16" customWidth="1"/>
    <col min="1027" max="1027" width="10.7109375" style="16" bestFit="1" customWidth="1"/>
    <col min="1028" max="1028" width="6.7109375" style="16" customWidth="1"/>
    <col min="1029" max="1029" width="8.5703125" style="16" customWidth="1"/>
    <col min="1030" max="1030" width="9.28515625" style="16" customWidth="1"/>
    <col min="1031" max="1031" width="10.42578125" style="16" bestFit="1" customWidth="1"/>
    <col min="1032" max="1032" width="10.28515625" style="16" bestFit="1" customWidth="1"/>
    <col min="1033" max="1033" width="7.140625" style="16" customWidth="1"/>
    <col min="1034" max="1034" width="8.42578125" style="16" customWidth="1"/>
    <col min="1035" max="1036" width="7" style="16" customWidth="1"/>
    <col min="1037" max="1037" width="6.85546875" style="16" customWidth="1"/>
    <col min="1038" max="1038" width="7" style="16" customWidth="1"/>
    <col min="1039" max="1039" width="8.28515625" style="16" customWidth="1"/>
    <col min="1040" max="1040" width="9.140625" style="16"/>
    <col min="1041" max="1041" width="8.28515625" style="16" customWidth="1"/>
    <col min="1042" max="1042" width="9.28515625" style="16" bestFit="1" customWidth="1"/>
    <col min="1043"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8.28515625" style="16" customWidth="1"/>
    <col min="1283" max="1283" width="10.7109375" style="16" bestFit="1" customWidth="1"/>
    <col min="1284" max="1284" width="6.7109375" style="16" customWidth="1"/>
    <col min="1285" max="1285" width="8.5703125" style="16" customWidth="1"/>
    <col min="1286" max="1286" width="9.28515625" style="16" customWidth="1"/>
    <col min="1287" max="1287" width="10.42578125" style="16" bestFit="1" customWidth="1"/>
    <col min="1288" max="1288" width="10.28515625" style="16" bestFit="1" customWidth="1"/>
    <col min="1289" max="1289" width="7.140625" style="16" customWidth="1"/>
    <col min="1290" max="1290" width="8.42578125" style="16" customWidth="1"/>
    <col min="1291" max="1292" width="7" style="16" customWidth="1"/>
    <col min="1293" max="1293" width="6.85546875" style="16" customWidth="1"/>
    <col min="1294" max="1294" width="7" style="16" customWidth="1"/>
    <col min="1295" max="1295" width="8.28515625" style="16" customWidth="1"/>
    <col min="1296" max="1296" width="9.140625" style="16"/>
    <col min="1297" max="1297" width="8.28515625" style="16" customWidth="1"/>
    <col min="1298" max="1298" width="9.28515625" style="16" bestFit="1" customWidth="1"/>
    <col min="1299"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8.28515625" style="16" customWidth="1"/>
    <col min="1539" max="1539" width="10.7109375" style="16" bestFit="1" customWidth="1"/>
    <col min="1540" max="1540" width="6.7109375" style="16" customWidth="1"/>
    <col min="1541" max="1541" width="8.5703125" style="16" customWidth="1"/>
    <col min="1542" max="1542" width="9.28515625" style="16" customWidth="1"/>
    <col min="1543" max="1543" width="10.42578125" style="16" bestFit="1" customWidth="1"/>
    <col min="1544" max="1544" width="10.28515625" style="16" bestFit="1" customWidth="1"/>
    <col min="1545" max="1545" width="7.140625" style="16" customWidth="1"/>
    <col min="1546" max="1546" width="8.42578125" style="16" customWidth="1"/>
    <col min="1547" max="1548" width="7" style="16" customWidth="1"/>
    <col min="1549" max="1549" width="6.85546875" style="16" customWidth="1"/>
    <col min="1550" max="1550" width="7" style="16" customWidth="1"/>
    <col min="1551" max="1551" width="8.28515625" style="16" customWidth="1"/>
    <col min="1552" max="1552" width="9.140625" style="16"/>
    <col min="1553" max="1553" width="8.28515625" style="16" customWidth="1"/>
    <col min="1554" max="1554" width="9.28515625" style="16" bestFit="1" customWidth="1"/>
    <col min="1555"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8.28515625" style="16" customWidth="1"/>
    <col min="1795" max="1795" width="10.7109375" style="16" bestFit="1" customWidth="1"/>
    <col min="1796" max="1796" width="6.7109375" style="16" customWidth="1"/>
    <col min="1797" max="1797" width="8.5703125" style="16" customWidth="1"/>
    <col min="1798" max="1798" width="9.28515625" style="16" customWidth="1"/>
    <col min="1799" max="1799" width="10.42578125" style="16" bestFit="1" customWidth="1"/>
    <col min="1800" max="1800" width="10.28515625" style="16" bestFit="1" customWidth="1"/>
    <col min="1801" max="1801" width="7.140625" style="16" customWidth="1"/>
    <col min="1802" max="1802" width="8.42578125" style="16" customWidth="1"/>
    <col min="1803" max="1804" width="7" style="16" customWidth="1"/>
    <col min="1805" max="1805" width="6.85546875" style="16" customWidth="1"/>
    <col min="1806" max="1806" width="7" style="16" customWidth="1"/>
    <col min="1807" max="1807" width="8.28515625" style="16" customWidth="1"/>
    <col min="1808" max="1808" width="9.140625" style="16"/>
    <col min="1809" max="1809" width="8.28515625" style="16" customWidth="1"/>
    <col min="1810" max="1810" width="9.28515625" style="16" bestFit="1" customWidth="1"/>
    <col min="1811"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8.28515625" style="16" customWidth="1"/>
    <col min="2051" max="2051" width="10.7109375" style="16" bestFit="1" customWidth="1"/>
    <col min="2052" max="2052" width="6.7109375" style="16" customWidth="1"/>
    <col min="2053" max="2053" width="8.5703125" style="16" customWidth="1"/>
    <col min="2054" max="2054" width="9.28515625" style="16" customWidth="1"/>
    <col min="2055" max="2055" width="10.42578125" style="16" bestFit="1" customWidth="1"/>
    <col min="2056" max="2056" width="10.28515625" style="16" bestFit="1" customWidth="1"/>
    <col min="2057" max="2057" width="7.140625" style="16" customWidth="1"/>
    <col min="2058" max="2058" width="8.42578125" style="16" customWidth="1"/>
    <col min="2059" max="2060" width="7" style="16" customWidth="1"/>
    <col min="2061" max="2061" width="6.85546875" style="16" customWidth="1"/>
    <col min="2062" max="2062" width="7" style="16" customWidth="1"/>
    <col min="2063" max="2063" width="8.28515625" style="16" customWidth="1"/>
    <col min="2064" max="2064" width="9.140625" style="16"/>
    <col min="2065" max="2065" width="8.28515625" style="16" customWidth="1"/>
    <col min="2066" max="2066" width="9.28515625" style="16" bestFit="1" customWidth="1"/>
    <col min="2067"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8.28515625" style="16" customWidth="1"/>
    <col min="2307" max="2307" width="10.7109375" style="16" bestFit="1" customWidth="1"/>
    <col min="2308" max="2308" width="6.7109375" style="16" customWidth="1"/>
    <col min="2309" max="2309" width="8.5703125" style="16" customWidth="1"/>
    <col min="2310" max="2310" width="9.28515625" style="16" customWidth="1"/>
    <col min="2311" max="2311" width="10.42578125" style="16" bestFit="1" customWidth="1"/>
    <col min="2312" max="2312" width="10.28515625" style="16" bestFit="1" customWidth="1"/>
    <col min="2313" max="2313" width="7.140625" style="16" customWidth="1"/>
    <col min="2314" max="2314" width="8.42578125" style="16" customWidth="1"/>
    <col min="2315" max="2316" width="7" style="16" customWidth="1"/>
    <col min="2317" max="2317" width="6.85546875" style="16" customWidth="1"/>
    <col min="2318" max="2318" width="7" style="16" customWidth="1"/>
    <col min="2319" max="2319" width="8.28515625" style="16" customWidth="1"/>
    <col min="2320" max="2320" width="9.140625" style="16"/>
    <col min="2321" max="2321" width="8.28515625" style="16" customWidth="1"/>
    <col min="2322" max="2322" width="9.28515625" style="16" bestFit="1" customWidth="1"/>
    <col min="2323"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8.28515625" style="16" customWidth="1"/>
    <col min="2563" max="2563" width="10.7109375" style="16" bestFit="1" customWidth="1"/>
    <col min="2564" max="2564" width="6.7109375" style="16" customWidth="1"/>
    <col min="2565" max="2565" width="8.5703125" style="16" customWidth="1"/>
    <col min="2566" max="2566" width="9.28515625" style="16" customWidth="1"/>
    <col min="2567" max="2567" width="10.42578125" style="16" bestFit="1" customWidth="1"/>
    <col min="2568" max="2568" width="10.28515625" style="16" bestFit="1" customWidth="1"/>
    <col min="2569" max="2569" width="7.140625" style="16" customWidth="1"/>
    <col min="2570" max="2570" width="8.42578125" style="16" customWidth="1"/>
    <col min="2571" max="2572" width="7" style="16" customWidth="1"/>
    <col min="2573" max="2573" width="6.85546875" style="16" customWidth="1"/>
    <col min="2574" max="2574" width="7" style="16" customWidth="1"/>
    <col min="2575" max="2575" width="8.28515625" style="16" customWidth="1"/>
    <col min="2576" max="2576" width="9.140625" style="16"/>
    <col min="2577" max="2577" width="8.28515625" style="16" customWidth="1"/>
    <col min="2578" max="2578" width="9.28515625" style="16" bestFit="1" customWidth="1"/>
    <col min="2579"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8.28515625" style="16" customWidth="1"/>
    <col min="2819" max="2819" width="10.7109375" style="16" bestFit="1" customWidth="1"/>
    <col min="2820" max="2820" width="6.7109375" style="16" customWidth="1"/>
    <col min="2821" max="2821" width="8.5703125" style="16" customWidth="1"/>
    <col min="2822" max="2822" width="9.28515625" style="16" customWidth="1"/>
    <col min="2823" max="2823" width="10.42578125" style="16" bestFit="1" customWidth="1"/>
    <col min="2824" max="2824" width="10.28515625" style="16" bestFit="1" customWidth="1"/>
    <col min="2825" max="2825" width="7.140625" style="16" customWidth="1"/>
    <col min="2826" max="2826" width="8.42578125" style="16" customWidth="1"/>
    <col min="2827" max="2828" width="7" style="16" customWidth="1"/>
    <col min="2829" max="2829" width="6.85546875" style="16" customWidth="1"/>
    <col min="2830" max="2830" width="7" style="16" customWidth="1"/>
    <col min="2831" max="2831" width="8.28515625" style="16" customWidth="1"/>
    <col min="2832" max="2832" width="9.140625" style="16"/>
    <col min="2833" max="2833" width="8.28515625" style="16" customWidth="1"/>
    <col min="2834" max="2834" width="9.28515625" style="16" bestFit="1" customWidth="1"/>
    <col min="2835"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8.28515625" style="16" customWidth="1"/>
    <col min="3075" max="3075" width="10.7109375" style="16" bestFit="1" customWidth="1"/>
    <col min="3076" max="3076" width="6.7109375" style="16" customWidth="1"/>
    <col min="3077" max="3077" width="8.5703125" style="16" customWidth="1"/>
    <col min="3078" max="3078" width="9.28515625" style="16" customWidth="1"/>
    <col min="3079" max="3079" width="10.42578125" style="16" bestFit="1" customWidth="1"/>
    <col min="3080" max="3080" width="10.28515625" style="16" bestFit="1" customWidth="1"/>
    <col min="3081" max="3081" width="7.140625" style="16" customWidth="1"/>
    <col min="3082" max="3082" width="8.42578125" style="16" customWidth="1"/>
    <col min="3083" max="3084" width="7" style="16" customWidth="1"/>
    <col min="3085" max="3085" width="6.85546875" style="16" customWidth="1"/>
    <col min="3086" max="3086" width="7" style="16" customWidth="1"/>
    <col min="3087" max="3087" width="8.28515625" style="16" customWidth="1"/>
    <col min="3088" max="3088" width="9.140625" style="16"/>
    <col min="3089" max="3089" width="8.28515625" style="16" customWidth="1"/>
    <col min="3090" max="3090" width="9.28515625" style="16" bestFit="1" customWidth="1"/>
    <col min="3091"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8.28515625" style="16" customWidth="1"/>
    <col min="3331" max="3331" width="10.7109375" style="16" bestFit="1" customWidth="1"/>
    <col min="3332" max="3332" width="6.7109375" style="16" customWidth="1"/>
    <col min="3333" max="3333" width="8.5703125" style="16" customWidth="1"/>
    <col min="3334" max="3334" width="9.28515625" style="16" customWidth="1"/>
    <col min="3335" max="3335" width="10.42578125" style="16" bestFit="1" customWidth="1"/>
    <col min="3336" max="3336" width="10.28515625" style="16" bestFit="1" customWidth="1"/>
    <col min="3337" max="3337" width="7.140625" style="16" customWidth="1"/>
    <col min="3338" max="3338" width="8.42578125" style="16" customWidth="1"/>
    <col min="3339" max="3340" width="7" style="16" customWidth="1"/>
    <col min="3341" max="3341" width="6.85546875" style="16" customWidth="1"/>
    <col min="3342" max="3342" width="7" style="16" customWidth="1"/>
    <col min="3343" max="3343" width="8.28515625" style="16" customWidth="1"/>
    <col min="3344" max="3344" width="9.140625" style="16"/>
    <col min="3345" max="3345" width="8.28515625" style="16" customWidth="1"/>
    <col min="3346" max="3346" width="9.28515625" style="16" bestFit="1" customWidth="1"/>
    <col min="3347"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8.28515625" style="16" customWidth="1"/>
    <col min="3587" max="3587" width="10.7109375" style="16" bestFit="1" customWidth="1"/>
    <col min="3588" max="3588" width="6.7109375" style="16" customWidth="1"/>
    <col min="3589" max="3589" width="8.5703125" style="16" customWidth="1"/>
    <col min="3590" max="3590" width="9.28515625" style="16" customWidth="1"/>
    <col min="3591" max="3591" width="10.42578125" style="16" bestFit="1" customWidth="1"/>
    <col min="3592" max="3592" width="10.28515625" style="16" bestFit="1" customWidth="1"/>
    <col min="3593" max="3593" width="7.140625" style="16" customWidth="1"/>
    <col min="3594" max="3594" width="8.42578125" style="16" customWidth="1"/>
    <col min="3595" max="3596" width="7" style="16" customWidth="1"/>
    <col min="3597" max="3597" width="6.85546875" style="16" customWidth="1"/>
    <col min="3598" max="3598" width="7" style="16" customWidth="1"/>
    <col min="3599" max="3599" width="8.28515625" style="16" customWidth="1"/>
    <col min="3600" max="3600" width="9.140625" style="16"/>
    <col min="3601" max="3601" width="8.28515625" style="16" customWidth="1"/>
    <col min="3602" max="3602" width="9.28515625" style="16" bestFit="1" customWidth="1"/>
    <col min="3603"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8.28515625" style="16" customWidth="1"/>
    <col min="3843" max="3843" width="10.7109375" style="16" bestFit="1" customWidth="1"/>
    <col min="3844" max="3844" width="6.7109375" style="16" customWidth="1"/>
    <col min="3845" max="3845" width="8.5703125" style="16" customWidth="1"/>
    <col min="3846" max="3846" width="9.28515625" style="16" customWidth="1"/>
    <col min="3847" max="3847" width="10.42578125" style="16" bestFit="1" customWidth="1"/>
    <col min="3848" max="3848" width="10.28515625" style="16" bestFit="1" customWidth="1"/>
    <col min="3849" max="3849" width="7.140625" style="16" customWidth="1"/>
    <col min="3850" max="3850" width="8.42578125" style="16" customWidth="1"/>
    <col min="3851" max="3852" width="7" style="16" customWidth="1"/>
    <col min="3853" max="3853" width="6.85546875" style="16" customWidth="1"/>
    <col min="3854" max="3854" width="7" style="16" customWidth="1"/>
    <col min="3855" max="3855" width="8.28515625" style="16" customWidth="1"/>
    <col min="3856" max="3856" width="9.140625" style="16"/>
    <col min="3857" max="3857" width="8.28515625" style="16" customWidth="1"/>
    <col min="3858" max="3858" width="9.28515625" style="16" bestFit="1" customWidth="1"/>
    <col min="3859"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8.28515625" style="16" customWidth="1"/>
    <col min="4099" max="4099" width="10.7109375" style="16" bestFit="1" customWidth="1"/>
    <col min="4100" max="4100" width="6.7109375" style="16" customWidth="1"/>
    <col min="4101" max="4101" width="8.5703125" style="16" customWidth="1"/>
    <col min="4102" max="4102" width="9.28515625" style="16" customWidth="1"/>
    <col min="4103" max="4103" width="10.42578125" style="16" bestFit="1" customWidth="1"/>
    <col min="4104" max="4104" width="10.28515625" style="16" bestFit="1" customWidth="1"/>
    <col min="4105" max="4105" width="7.140625" style="16" customWidth="1"/>
    <col min="4106" max="4106" width="8.42578125" style="16" customWidth="1"/>
    <col min="4107" max="4108" width="7" style="16" customWidth="1"/>
    <col min="4109" max="4109" width="6.85546875" style="16" customWidth="1"/>
    <col min="4110" max="4110" width="7" style="16" customWidth="1"/>
    <col min="4111" max="4111" width="8.28515625" style="16" customWidth="1"/>
    <col min="4112" max="4112" width="9.140625" style="16"/>
    <col min="4113" max="4113" width="8.28515625" style="16" customWidth="1"/>
    <col min="4114" max="4114" width="9.28515625" style="16" bestFit="1" customWidth="1"/>
    <col min="4115"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8.28515625" style="16" customWidth="1"/>
    <col min="4355" max="4355" width="10.7109375" style="16" bestFit="1" customWidth="1"/>
    <col min="4356" max="4356" width="6.7109375" style="16" customWidth="1"/>
    <col min="4357" max="4357" width="8.5703125" style="16" customWidth="1"/>
    <col min="4358" max="4358" width="9.28515625" style="16" customWidth="1"/>
    <col min="4359" max="4359" width="10.42578125" style="16" bestFit="1" customWidth="1"/>
    <col min="4360" max="4360" width="10.28515625" style="16" bestFit="1" customWidth="1"/>
    <col min="4361" max="4361" width="7.140625" style="16" customWidth="1"/>
    <col min="4362" max="4362" width="8.42578125" style="16" customWidth="1"/>
    <col min="4363" max="4364" width="7" style="16" customWidth="1"/>
    <col min="4365" max="4365" width="6.85546875" style="16" customWidth="1"/>
    <col min="4366" max="4366" width="7" style="16" customWidth="1"/>
    <col min="4367" max="4367" width="8.28515625" style="16" customWidth="1"/>
    <col min="4368" max="4368" width="9.140625" style="16"/>
    <col min="4369" max="4369" width="8.28515625" style="16" customWidth="1"/>
    <col min="4370" max="4370" width="9.28515625" style="16" bestFit="1" customWidth="1"/>
    <col min="4371"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8.28515625" style="16" customWidth="1"/>
    <col min="4611" max="4611" width="10.7109375" style="16" bestFit="1" customWidth="1"/>
    <col min="4612" max="4612" width="6.7109375" style="16" customWidth="1"/>
    <col min="4613" max="4613" width="8.5703125" style="16" customWidth="1"/>
    <col min="4614" max="4614" width="9.28515625" style="16" customWidth="1"/>
    <col min="4615" max="4615" width="10.42578125" style="16" bestFit="1" customWidth="1"/>
    <col min="4616" max="4616" width="10.28515625" style="16" bestFit="1" customWidth="1"/>
    <col min="4617" max="4617" width="7.140625" style="16" customWidth="1"/>
    <col min="4618" max="4618" width="8.42578125" style="16" customWidth="1"/>
    <col min="4619" max="4620" width="7" style="16" customWidth="1"/>
    <col min="4621" max="4621" width="6.85546875" style="16" customWidth="1"/>
    <col min="4622" max="4622" width="7" style="16" customWidth="1"/>
    <col min="4623" max="4623" width="8.28515625" style="16" customWidth="1"/>
    <col min="4624" max="4624" width="9.140625" style="16"/>
    <col min="4625" max="4625" width="8.28515625" style="16" customWidth="1"/>
    <col min="4626" max="4626" width="9.28515625" style="16" bestFit="1" customWidth="1"/>
    <col min="4627"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8.28515625" style="16" customWidth="1"/>
    <col min="4867" max="4867" width="10.7109375" style="16" bestFit="1" customWidth="1"/>
    <col min="4868" max="4868" width="6.7109375" style="16" customWidth="1"/>
    <col min="4869" max="4869" width="8.5703125" style="16" customWidth="1"/>
    <col min="4870" max="4870" width="9.28515625" style="16" customWidth="1"/>
    <col min="4871" max="4871" width="10.42578125" style="16" bestFit="1" customWidth="1"/>
    <col min="4872" max="4872" width="10.28515625" style="16" bestFit="1" customWidth="1"/>
    <col min="4873" max="4873" width="7.140625" style="16" customWidth="1"/>
    <col min="4874" max="4874" width="8.42578125" style="16" customWidth="1"/>
    <col min="4875" max="4876" width="7" style="16" customWidth="1"/>
    <col min="4877" max="4877" width="6.85546875" style="16" customWidth="1"/>
    <col min="4878" max="4878" width="7" style="16" customWidth="1"/>
    <col min="4879" max="4879" width="8.28515625" style="16" customWidth="1"/>
    <col min="4880" max="4880" width="9.140625" style="16"/>
    <col min="4881" max="4881" width="8.28515625" style="16" customWidth="1"/>
    <col min="4882" max="4882" width="9.28515625" style="16" bestFit="1" customWidth="1"/>
    <col min="4883"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8.28515625" style="16" customWidth="1"/>
    <col min="5123" max="5123" width="10.7109375" style="16" bestFit="1" customWidth="1"/>
    <col min="5124" max="5124" width="6.7109375" style="16" customWidth="1"/>
    <col min="5125" max="5125" width="8.5703125" style="16" customWidth="1"/>
    <col min="5126" max="5126" width="9.28515625" style="16" customWidth="1"/>
    <col min="5127" max="5127" width="10.42578125" style="16" bestFit="1" customWidth="1"/>
    <col min="5128" max="5128" width="10.28515625" style="16" bestFit="1" customWidth="1"/>
    <col min="5129" max="5129" width="7.140625" style="16" customWidth="1"/>
    <col min="5130" max="5130" width="8.42578125" style="16" customWidth="1"/>
    <col min="5131" max="5132" width="7" style="16" customWidth="1"/>
    <col min="5133" max="5133" width="6.85546875" style="16" customWidth="1"/>
    <col min="5134" max="5134" width="7" style="16" customWidth="1"/>
    <col min="5135" max="5135" width="8.28515625" style="16" customWidth="1"/>
    <col min="5136" max="5136" width="9.140625" style="16"/>
    <col min="5137" max="5137" width="8.28515625" style="16" customWidth="1"/>
    <col min="5138" max="5138" width="9.28515625" style="16" bestFit="1" customWidth="1"/>
    <col min="5139"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8.28515625" style="16" customWidth="1"/>
    <col min="5379" max="5379" width="10.7109375" style="16" bestFit="1" customWidth="1"/>
    <col min="5380" max="5380" width="6.7109375" style="16" customWidth="1"/>
    <col min="5381" max="5381" width="8.5703125" style="16" customWidth="1"/>
    <col min="5382" max="5382" width="9.28515625" style="16" customWidth="1"/>
    <col min="5383" max="5383" width="10.42578125" style="16" bestFit="1" customWidth="1"/>
    <col min="5384" max="5384" width="10.28515625" style="16" bestFit="1" customWidth="1"/>
    <col min="5385" max="5385" width="7.140625" style="16" customWidth="1"/>
    <col min="5386" max="5386" width="8.42578125" style="16" customWidth="1"/>
    <col min="5387" max="5388" width="7" style="16" customWidth="1"/>
    <col min="5389" max="5389" width="6.85546875" style="16" customWidth="1"/>
    <col min="5390" max="5390" width="7" style="16" customWidth="1"/>
    <col min="5391" max="5391" width="8.28515625" style="16" customWidth="1"/>
    <col min="5392" max="5392" width="9.140625" style="16"/>
    <col min="5393" max="5393" width="8.28515625" style="16" customWidth="1"/>
    <col min="5394" max="5394" width="9.28515625" style="16" bestFit="1" customWidth="1"/>
    <col min="5395"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8.28515625" style="16" customWidth="1"/>
    <col min="5635" max="5635" width="10.7109375" style="16" bestFit="1" customWidth="1"/>
    <col min="5636" max="5636" width="6.7109375" style="16" customWidth="1"/>
    <col min="5637" max="5637" width="8.5703125" style="16" customWidth="1"/>
    <col min="5638" max="5638" width="9.28515625" style="16" customWidth="1"/>
    <col min="5639" max="5639" width="10.42578125" style="16" bestFit="1" customWidth="1"/>
    <col min="5640" max="5640" width="10.28515625" style="16" bestFit="1" customWidth="1"/>
    <col min="5641" max="5641" width="7.140625" style="16" customWidth="1"/>
    <col min="5642" max="5642" width="8.42578125" style="16" customWidth="1"/>
    <col min="5643" max="5644" width="7" style="16" customWidth="1"/>
    <col min="5645" max="5645" width="6.85546875" style="16" customWidth="1"/>
    <col min="5646" max="5646" width="7" style="16" customWidth="1"/>
    <col min="5647" max="5647" width="8.28515625" style="16" customWidth="1"/>
    <col min="5648" max="5648" width="9.140625" style="16"/>
    <col min="5649" max="5649" width="8.28515625" style="16" customWidth="1"/>
    <col min="5650" max="5650" width="9.28515625" style="16" bestFit="1" customWidth="1"/>
    <col min="5651"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8.28515625" style="16" customWidth="1"/>
    <col min="5891" max="5891" width="10.7109375" style="16" bestFit="1" customWidth="1"/>
    <col min="5892" max="5892" width="6.7109375" style="16" customWidth="1"/>
    <col min="5893" max="5893" width="8.5703125" style="16" customWidth="1"/>
    <col min="5894" max="5894" width="9.28515625" style="16" customWidth="1"/>
    <col min="5895" max="5895" width="10.42578125" style="16" bestFit="1" customWidth="1"/>
    <col min="5896" max="5896" width="10.28515625" style="16" bestFit="1" customWidth="1"/>
    <col min="5897" max="5897" width="7.140625" style="16" customWidth="1"/>
    <col min="5898" max="5898" width="8.42578125" style="16" customWidth="1"/>
    <col min="5899" max="5900" width="7" style="16" customWidth="1"/>
    <col min="5901" max="5901" width="6.85546875" style="16" customWidth="1"/>
    <col min="5902" max="5902" width="7" style="16" customWidth="1"/>
    <col min="5903" max="5903" width="8.28515625" style="16" customWidth="1"/>
    <col min="5904" max="5904" width="9.140625" style="16"/>
    <col min="5905" max="5905" width="8.28515625" style="16" customWidth="1"/>
    <col min="5906" max="5906" width="9.28515625" style="16" bestFit="1" customWidth="1"/>
    <col min="5907"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8.28515625" style="16" customWidth="1"/>
    <col min="6147" max="6147" width="10.7109375" style="16" bestFit="1" customWidth="1"/>
    <col min="6148" max="6148" width="6.7109375" style="16" customWidth="1"/>
    <col min="6149" max="6149" width="8.5703125" style="16" customWidth="1"/>
    <col min="6150" max="6150" width="9.28515625" style="16" customWidth="1"/>
    <col min="6151" max="6151" width="10.42578125" style="16" bestFit="1" customWidth="1"/>
    <col min="6152" max="6152" width="10.28515625" style="16" bestFit="1" customWidth="1"/>
    <col min="6153" max="6153" width="7.140625" style="16" customWidth="1"/>
    <col min="6154" max="6154" width="8.42578125" style="16" customWidth="1"/>
    <col min="6155" max="6156" width="7" style="16" customWidth="1"/>
    <col min="6157" max="6157" width="6.85546875" style="16" customWidth="1"/>
    <col min="6158" max="6158" width="7" style="16" customWidth="1"/>
    <col min="6159" max="6159" width="8.28515625" style="16" customWidth="1"/>
    <col min="6160" max="6160" width="9.140625" style="16"/>
    <col min="6161" max="6161" width="8.28515625" style="16" customWidth="1"/>
    <col min="6162" max="6162" width="9.28515625" style="16" bestFit="1" customWidth="1"/>
    <col min="6163"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8.28515625" style="16" customWidth="1"/>
    <col min="6403" max="6403" width="10.7109375" style="16" bestFit="1" customWidth="1"/>
    <col min="6404" max="6404" width="6.7109375" style="16" customWidth="1"/>
    <col min="6405" max="6405" width="8.5703125" style="16" customWidth="1"/>
    <col min="6406" max="6406" width="9.28515625" style="16" customWidth="1"/>
    <col min="6407" max="6407" width="10.42578125" style="16" bestFit="1" customWidth="1"/>
    <col min="6408" max="6408" width="10.28515625" style="16" bestFit="1" customWidth="1"/>
    <col min="6409" max="6409" width="7.140625" style="16" customWidth="1"/>
    <col min="6410" max="6410" width="8.42578125" style="16" customWidth="1"/>
    <col min="6411" max="6412" width="7" style="16" customWidth="1"/>
    <col min="6413" max="6413" width="6.85546875" style="16" customWidth="1"/>
    <col min="6414" max="6414" width="7" style="16" customWidth="1"/>
    <col min="6415" max="6415" width="8.28515625" style="16" customWidth="1"/>
    <col min="6416" max="6416" width="9.140625" style="16"/>
    <col min="6417" max="6417" width="8.28515625" style="16" customWidth="1"/>
    <col min="6418" max="6418" width="9.28515625" style="16" bestFit="1" customWidth="1"/>
    <col min="6419"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8.28515625" style="16" customWidth="1"/>
    <col min="6659" max="6659" width="10.7109375" style="16" bestFit="1" customWidth="1"/>
    <col min="6660" max="6660" width="6.7109375" style="16" customWidth="1"/>
    <col min="6661" max="6661" width="8.5703125" style="16" customWidth="1"/>
    <col min="6662" max="6662" width="9.28515625" style="16" customWidth="1"/>
    <col min="6663" max="6663" width="10.42578125" style="16" bestFit="1" customWidth="1"/>
    <col min="6664" max="6664" width="10.28515625" style="16" bestFit="1" customWidth="1"/>
    <col min="6665" max="6665" width="7.140625" style="16" customWidth="1"/>
    <col min="6666" max="6666" width="8.42578125" style="16" customWidth="1"/>
    <col min="6667" max="6668" width="7" style="16" customWidth="1"/>
    <col min="6669" max="6669" width="6.85546875" style="16" customWidth="1"/>
    <col min="6670" max="6670" width="7" style="16" customWidth="1"/>
    <col min="6671" max="6671" width="8.28515625" style="16" customWidth="1"/>
    <col min="6672" max="6672" width="9.140625" style="16"/>
    <col min="6673" max="6673" width="8.28515625" style="16" customWidth="1"/>
    <col min="6674" max="6674" width="9.28515625" style="16" bestFit="1" customWidth="1"/>
    <col min="6675"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8.28515625" style="16" customWidth="1"/>
    <col min="6915" max="6915" width="10.7109375" style="16" bestFit="1" customWidth="1"/>
    <col min="6916" max="6916" width="6.7109375" style="16" customWidth="1"/>
    <col min="6917" max="6917" width="8.5703125" style="16" customWidth="1"/>
    <col min="6918" max="6918" width="9.28515625" style="16" customWidth="1"/>
    <col min="6919" max="6919" width="10.42578125" style="16" bestFit="1" customWidth="1"/>
    <col min="6920" max="6920" width="10.28515625" style="16" bestFit="1" customWidth="1"/>
    <col min="6921" max="6921" width="7.140625" style="16" customWidth="1"/>
    <col min="6922" max="6922" width="8.42578125" style="16" customWidth="1"/>
    <col min="6923" max="6924" width="7" style="16" customWidth="1"/>
    <col min="6925" max="6925" width="6.85546875" style="16" customWidth="1"/>
    <col min="6926" max="6926" width="7" style="16" customWidth="1"/>
    <col min="6927" max="6927" width="8.28515625" style="16" customWidth="1"/>
    <col min="6928" max="6928" width="9.140625" style="16"/>
    <col min="6929" max="6929" width="8.28515625" style="16" customWidth="1"/>
    <col min="6930" max="6930" width="9.28515625" style="16" bestFit="1" customWidth="1"/>
    <col min="6931"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8.28515625" style="16" customWidth="1"/>
    <col min="7171" max="7171" width="10.7109375" style="16" bestFit="1" customWidth="1"/>
    <col min="7172" max="7172" width="6.7109375" style="16" customWidth="1"/>
    <col min="7173" max="7173" width="8.5703125" style="16" customWidth="1"/>
    <col min="7174" max="7174" width="9.28515625" style="16" customWidth="1"/>
    <col min="7175" max="7175" width="10.42578125" style="16" bestFit="1" customWidth="1"/>
    <col min="7176" max="7176" width="10.28515625" style="16" bestFit="1" customWidth="1"/>
    <col min="7177" max="7177" width="7.140625" style="16" customWidth="1"/>
    <col min="7178" max="7178" width="8.42578125" style="16" customWidth="1"/>
    <col min="7179" max="7180" width="7" style="16" customWidth="1"/>
    <col min="7181" max="7181" width="6.85546875" style="16" customWidth="1"/>
    <col min="7182" max="7182" width="7" style="16" customWidth="1"/>
    <col min="7183" max="7183" width="8.28515625" style="16" customWidth="1"/>
    <col min="7184" max="7184" width="9.140625" style="16"/>
    <col min="7185" max="7185" width="8.28515625" style="16" customWidth="1"/>
    <col min="7186" max="7186" width="9.28515625" style="16" bestFit="1" customWidth="1"/>
    <col min="7187"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8.28515625" style="16" customWidth="1"/>
    <col min="7427" max="7427" width="10.7109375" style="16" bestFit="1" customWidth="1"/>
    <col min="7428" max="7428" width="6.7109375" style="16" customWidth="1"/>
    <col min="7429" max="7429" width="8.5703125" style="16" customWidth="1"/>
    <col min="7430" max="7430" width="9.28515625" style="16" customWidth="1"/>
    <col min="7431" max="7431" width="10.42578125" style="16" bestFit="1" customWidth="1"/>
    <col min="7432" max="7432" width="10.28515625" style="16" bestFit="1" customWidth="1"/>
    <col min="7433" max="7433" width="7.140625" style="16" customWidth="1"/>
    <col min="7434" max="7434" width="8.42578125" style="16" customWidth="1"/>
    <col min="7435" max="7436" width="7" style="16" customWidth="1"/>
    <col min="7437" max="7437" width="6.85546875" style="16" customWidth="1"/>
    <col min="7438" max="7438" width="7" style="16" customWidth="1"/>
    <col min="7439" max="7439" width="8.28515625" style="16" customWidth="1"/>
    <col min="7440" max="7440" width="9.140625" style="16"/>
    <col min="7441" max="7441" width="8.28515625" style="16" customWidth="1"/>
    <col min="7442" max="7442" width="9.28515625" style="16" bestFit="1" customWidth="1"/>
    <col min="7443"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8.28515625" style="16" customWidth="1"/>
    <col min="7683" max="7683" width="10.7109375" style="16" bestFit="1" customWidth="1"/>
    <col min="7684" max="7684" width="6.7109375" style="16" customWidth="1"/>
    <col min="7685" max="7685" width="8.5703125" style="16" customWidth="1"/>
    <col min="7686" max="7686" width="9.28515625" style="16" customWidth="1"/>
    <col min="7687" max="7687" width="10.42578125" style="16" bestFit="1" customWidth="1"/>
    <col min="7688" max="7688" width="10.28515625" style="16" bestFit="1" customWidth="1"/>
    <col min="7689" max="7689" width="7.140625" style="16" customWidth="1"/>
    <col min="7690" max="7690" width="8.42578125" style="16" customWidth="1"/>
    <col min="7691" max="7692" width="7" style="16" customWidth="1"/>
    <col min="7693" max="7693" width="6.85546875" style="16" customWidth="1"/>
    <col min="7694" max="7694" width="7" style="16" customWidth="1"/>
    <col min="7695" max="7695" width="8.28515625" style="16" customWidth="1"/>
    <col min="7696" max="7696" width="9.140625" style="16"/>
    <col min="7697" max="7697" width="8.28515625" style="16" customWidth="1"/>
    <col min="7698" max="7698" width="9.28515625" style="16" bestFit="1" customWidth="1"/>
    <col min="7699"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8.28515625" style="16" customWidth="1"/>
    <col min="7939" max="7939" width="10.7109375" style="16" bestFit="1" customWidth="1"/>
    <col min="7940" max="7940" width="6.7109375" style="16" customWidth="1"/>
    <col min="7941" max="7941" width="8.5703125" style="16" customWidth="1"/>
    <col min="7942" max="7942" width="9.28515625" style="16" customWidth="1"/>
    <col min="7943" max="7943" width="10.42578125" style="16" bestFit="1" customWidth="1"/>
    <col min="7944" max="7944" width="10.28515625" style="16" bestFit="1" customWidth="1"/>
    <col min="7945" max="7945" width="7.140625" style="16" customWidth="1"/>
    <col min="7946" max="7946" width="8.42578125" style="16" customWidth="1"/>
    <col min="7947" max="7948" width="7" style="16" customWidth="1"/>
    <col min="7949" max="7949" width="6.85546875" style="16" customWidth="1"/>
    <col min="7950" max="7950" width="7" style="16" customWidth="1"/>
    <col min="7951" max="7951" width="8.28515625" style="16" customWidth="1"/>
    <col min="7952" max="7952" width="9.140625" style="16"/>
    <col min="7953" max="7953" width="8.28515625" style="16" customWidth="1"/>
    <col min="7954" max="7954" width="9.28515625" style="16" bestFit="1" customWidth="1"/>
    <col min="7955"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8.28515625" style="16" customWidth="1"/>
    <col min="8195" max="8195" width="10.7109375" style="16" bestFit="1" customWidth="1"/>
    <col min="8196" max="8196" width="6.7109375" style="16" customWidth="1"/>
    <col min="8197" max="8197" width="8.5703125" style="16" customWidth="1"/>
    <col min="8198" max="8198" width="9.28515625" style="16" customWidth="1"/>
    <col min="8199" max="8199" width="10.42578125" style="16" bestFit="1" customWidth="1"/>
    <col min="8200" max="8200" width="10.28515625" style="16" bestFit="1" customWidth="1"/>
    <col min="8201" max="8201" width="7.140625" style="16" customWidth="1"/>
    <col min="8202" max="8202" width="8.42578125" style="16" customWidth="1"/>
    <col min="8203" max="8204" width="7" style="16" customWidth="1"/>
    <col min="8205" max="8205" width="6.85546875" style="16" customWidth="1"/>
    <col min="8206" max="8206" width="7" style="16" customWidth="1"/>
    <col min="8207" max="8207" width="8.28515625" style="16" customWidth="1"/>
    <col min="8208" max="8208" width="9.140625" style="16"/>
    <col min="8209" max="8209" width="8.28515625" style="16" customWidth="1"/>
    <col min="8210" max="8210" width="9.28515625" style="16" bestFit="1" customWidth="1"/>
    <col min="8211"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8.28515625" style="16" customWidth="1"/>
    <col min="8451" max="8451" width="10.7109375" style="16" bestFit="1" customWidth="1"/>
    <col min="8452" max="8452" width="6.7109375" style="16" customWidth="1"/>
    <col min="8453" max="8453" width="8.5703125" style="16" customWidth="1"/>
    <col min="8454" max="8454" width="9.28515625" style="16" customWidth="1"/>
    <col min="8455" max="8455" width="10.42578125" style="16" bestFit="1" customWidth="1"/>
    <col min="8456" max="8456" width="10.28515625" style="16" bestFit="1" customWidth="1"/>
    <col min="8457" max="8457" width="7.140625" style="16" customWidth="1"/>
    <col min="8458" max="8458" width="8.42578125" style="16" customWidth="1"/>
    <col min="8459" max="8460" width="7" style="16" customWidth="1"/>
    <col min="8461" max="8461" width="6.85546875" style="16" customWidth="1"/>
    <col min="8462" max="8462" width="7" style="16" customWidth="1"/>
    <col min="8463" max="8463" width="8.28515625" style="16" customWidth="1"/>
    <col min="8464" max="8464" width="9.140625" style="16"/>
    <col min="8465" max="8465" width="8.28515625" style="16" customWidth="1"/>
    <col min="8466" max="8466" width="9.28515625" style="16" bestFit="1" customWidth="1"/>
    <col min="8467"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8.28515625" style="16" customWidth="1"/>
    <col min="8707" max="8707" width="10.7109375" style="16" bestFit="1" customWidth="1"/>
    <col min="8708" max="8708" width="6.7109375" style="16" customWidth="1"/>
    <col min="8709" max="8709" width="8.5703125" style="16" customWidth="1"/>
    <col min="8710" max="8710" width="9.28515625" style="16" customWidth="1"/>
    <col min="8711" max="8711" width="10.42578125" style="16" bestFit="1" customWidth="1"/>
    <col min="8712" max="8712" width="10.28515625" style="16" bestFit="1" customWidth="1"/>
    <col min="8713" max="8713" width="7.140625" style="16" customWidth="1"/>
    <col min="8714" max="8714" width="8.42578125" style="16" customWidth="1"/>
    <col min="8715" max="8716" width="7" style="16" customWidth="1"/>
    <col min="8717" max="8717" width="6.85546875" style="16" customWidth="1"/>
    <col min="8718" max="8718" width="7" style="16" customWidth="1"/>
    <col min="8719" max="8719" width="8.28515625" style="16" customWidth="1"/>
    <col min="8720" max="8720" width="9.140625" style="16"/>
    <col min="8721" max="8721" width="8.28515625" style="16" customWidth="1"/>
    <col min="8722" max="8722" width="9.28515625" style="16" bestFit="1" customWidth="1"/>
    <col min="8723"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8.28515625" style="16" customWidth="1"/>
    <col min="8963" max="8963" width="10.7109375" style="16" bestFit="1" customWidth="1"/>
    <col min="8964" max="8964" width="6.7109375" style="16" customWidth="1"/>
    <col min="8965" max="8965" width="8.5703125" style="16" customWidth="1"/>
    <col min="8966" max="8966" width="9.28515625" style="16" customWidth="1"/>
    <col min="8967" max="8967" width="10.42578125" style="16" bestFit="1" customWidth="1"/>
    <col min="8968" max="8968" width="10.28515625" style="16" bestFit="1" customWidth="1"/>
    <col min="8969" max="8969" width="7.140625" style="16" customWidth="1"/>
    <col min="8970" max="8970" width="8.42578125" style="16" customWidth="1"/>
    <col min="8971" max="8972" width="7" style="16" customWidth="1"/>
    <col min="8973" max="8973" width="6.85546875" style="16" customWidth="1"/>
    <col min="8974" max="8974" width="7" style="16" customWidth="1"/>
    <col min="8975" max="8975" width="8.28515625" style="16" customWidth="1"/>
    <col min="8976" max="8976" width="9.140625" style="16"/>
    <col min="8977" max="8977" width="8.28515625" style="16" customWidth="1"/>
    <col min="8978" max="8978" width="9.28515625" style="16" bestFit="1" customWidth="1"/>
    <col min="8979"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8.28515625" style="16" customWidth="1"/>
    <col min="9219" max="9219" width="10.7109375" style="16" bestFit="1" customWidth="1"/>
    <col min="9220" max="9220" width="6.7109375" style="16" customWidth="1"/>
    <col min="9221" max="9221" width="8.5703125" style="16" customWidth="1"/>
    <col min="9222" max="9222" width="9.28515625" style="16" customWidth="1"/>
    <col min="9223" max="9223" width="10.42578125" style="16" bestFit="1" customWidth="1"/>
    <col min="9224" max="9224" width="10.28515625" style="16" bestFit="1" customWidth="1"/>
    <col min="9225" max="9225" width="7.140625" style="16" customWidth="1"/>
    <col min="9226" max="9226" width="8.42578125" style="16" customWidth="1"/>
    <col min="9227" max="9228" width="7" style="16" customWidth="1"/>
    <col min="9229" max="9229" width="6.85546875" style="16" customWidth="1"/>
    <col min="9230" max="9230" width="7" style="16" customWidth="1"/>
    <col min="9231" max="9231" width="8.28515625" style="16" customWidth="1"/>
    <col min="9232" max="9232" width="9.140625" style="16"/>
    <col min="9233" max="9233" width="8.28515625" style="16" customWidth="1"/>
    <col min="9234" max="9234" width="9.28515625" style="16" bestFit="1" customWidth="1"/>
    <col min="9235"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8.28515625" style="16" customWidth="1"/>
    <col min="9475" max="9475" width="10.7109375" style="16" bestFit="1" customWidth="1"/>
    <col min="9476" max="9476" width="6.7109375" style="16" customWidth="1"/>
    <col min="9477" max="9477" width="8.5703125" style="16" customWidth="1"/>
    <col min="9478" max="9478" width="9.28515625" style="16" customWidth="1"/>
    <col min="9479" max="9479" width="10.42578125" style="16" bestFit="1" customWidth="1"/>
    <col min="9480" max="9480" width="10.28515625" style="16" bestFit="1" customWidth="1"/>
    <col min="9481" max="9481" width="7.140625" style="16" customWidth="1"/>
    <col min="9482" max="9482" width="8.42578125" style="16" customWidth="1"/>
    <col min="9483" max="9484" width="7" style="16" customWidth="1"/>
    <col min="9485" max="9485" width="6.85546875" style="16" customWidth="1"/>
    <col min="9486" max="9486" width="7" style="16" customWidth="1"/>
    <col min="9487" max="9487" width="8.28515625" style="16" customWidth="1"/>
    <col min="9488" max="9488" width="9.140625" style="16"/>
    <col min="9489" max="9489" width="8.28515625" style="16" customWidth="1"/>
    <col min="9490" max="9490" width="9.28515625" style="16" bestFit="1" customWidth="1"/>
    <col min="9491"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8.28515625" style="16" customWidth="1"/>
    <col min="9731" max="9731" width="10.7109375" style="16" bestFit="1" customWidth="1"/>
    <col min="9732" max="9732" width="6.7109375" style="16" customWidth="1"/>
    <col min="9733" max="9733" width="8.5703125" style="16" customWidth="1"/>
    <col min="9734" max="9734" width="9.28515625" style="16" customWidth="1"/>
    <col min="9735" max="9735" width="10.42578125" style="16" bestFit="1" customWidth="1"/>
    <col min="9736" max="9736" width="10.28515625" style="16" bestFit="1" customWidth="1"/>
    <col min="9737" max="9737" width="7.140625" style="16" customWidth="1"/>
    <col min="9738" max="9738" width="8.42578125" style="16" customWidth="1"/>
    <col min="9739" max="9740" width="7" style="16" customWidth="1"/>
    <col min="9741" max="9741" width="6.85546875" style="16" customWidth="1"/>
    <col min="9742" max="9742" width="7" style="16" customWidth="1"/>
    <col min="9743" max="9743" width="8.28515625" style="16" customWidth="1"/>
    <col min="9744" max="9744" width="9.140625" style="16"/>
    <col min="9745" max="9745" width="8.28515625" style="16" customWidth="1"/>
    <col min="9746" max="9746" width="9.28515625" style="16" bestFit="1" customWidth="1"/>
    <col min="9747"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8.28515625" style="16" customWidth="1"/>
    <col min="9987" max="9987" width="10.7109375" style="16" bestFit="1" customWidth="1"/>
    <col min="9988" max="9988" width="6.7109375" style="16" customWidth="1"/>
    <col min="9989" max="9989" width="8.5703125" style="16" customWidth="1"/>
    <col min="9990" max="9990" width="9.28515625" style="16" customWidth="1"/>
    <col min="9991" max="9991" width="10.42578125" style="16" bestFit="1" customWidth="1"/>
    <col min="9992" max="9992" width="10.28515625" style="16" bestFit="1" customWidth="1"/>
    <col min="9993" max="9993" width="7.140625" style="16" customWidth="1"/>
    <col min="9994" max="9994" width="8.42578125" style="16" customWidth="1"/>
    <col min="9995" max="9996" width="7" style="16" customWidth="1"/>
    <col min="9997" max="9997" width="6.85546875" style="16" customWidth="1"/>
    <col min="9998" max="9998" width="7" style="16" customWidth="1"/>
    <col min="9999" max="9999" width="8.28515625" style="16" customWidth="1"/>
    <col min="10000" max="10000" width="9.140625" style="16"/>
    <col min="10001" max="10001" width="8.28515625" style="16" customWidth="1"/>
    <col min="10002" max="10002" width="9.28515625" style="16" bestFit="1" customWidth="1"/>
    <col min="10003"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8.28515625" style="16" customWidth="1"/>
    <col min="10243" max="10243" width="10.7109375" style="16" bestFit="1" customWidth="1"/>
    <col min="10244" max="10244" width="6.7109375" style="16" customWidth="1"/>
    <col min="10245" max="10245" width="8.5703125" style="16" customWidth="1"/>
    <col min="10246" max="10246" width="9.28515625" style="16" customWidth="1"/>
    <col min="10247" max="10247" width="10.42578125" style="16" bestFit="1" customWidth="1"/>
    <col min="10248" max="10248" width="10.28515625" style="16" bestFit="1" customWidth="1"/>
    <col min="10249" max="10249" width="7.140625" style="16" customWidth="1"/>
    <col min="10250" max="10250" width="8.42578125" style="16" customWidth="1"/>
    <col min="10251" max="10252" width="7" style="16" customWidth="1"/>
    <col min="10253" max="10253" width="6.85546875" style="16" customWidth="1"/>
    <col min="10254" max="10254" width="7" style="16" customWidth="1"/>
    <col min="10255" max="10255" width="8.28515625" style="16" customWidth="1"/>
    <col min="10256" max="10256" width="9.140625" style="16"/>
    <col min="10257" max="10257" width="8.28515625" style="16" customWidth="1"/>
    <col min="10258" max="10258" width="9.28515625" style="16" bestFit="1" customWidth="1"/>
    <col min="10259"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8.28515625" style="16" customWidth="1"/>
    <col min="10499" max="10499" width="10.7109375" style="16" bestFit="1" customWidth="1"/>
    <col min="10500" max="10500" width="6.7109375" style="16" customWidth="1"/>
    <col min="10501" max="10501" width="8.5703125" style="16" customWidth="1"/>
    <col min="10502" max="10502" width="9.28515625" style="16" customWidth="1"/>
    <col min="10503" max="10503" width="10.42578125" style="16" bestFit="1" customWidth="1"/>
    <col min="10504" max="10504" width="10.28515625" style="16" bestFit="1" customWidth="1"/>
    <col min="10505" max="10505" width="7.140625" style="16" customWidth="1"/>
    <col min="10506" max="10506" width="8.42578125" style="16" customWidth="1"/>
    <col min="10507" max="10508" width="7" style="16" customWidth="1"/>
    <col min="10509" max="10509" width="6.85546875" style="16" customWidth="1"/>
    <col min="10510" max="10510" width="7" style="16" customWidth="1"/>
    <col min="10511" max="10511" width="8.28515625" style="16" customWidth="1"/>
    <col min="10512" max="10512" width="9.140625" style="16"/>
    <col min="10513" max="10513" width="8.28515625" style="16" customWidth="1"/>
    <col min="10514" max="10514" width="9.28515625" style="16" bestFit="1" customWidth="1"/>
    <col min="10515"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8.28515625" style="16" customWidth="1"/>
    <col min="10755" max="10755" width="10.7109375" style="16" bestFit="1" customWidth="1"/>
    <col min="10756" max="10756" width="6.7109375" style="16" customWidth="1"/>
    <col min="10757" max="10757" width="8.5703125" style="16" customWidth="1"/>
    <col min="10758" max="10758" width="9.28515625" style="16" customWidth="1"/>
    <col min="10759" max="10759" width="10.42578125" style="16" bestFit="1" customWidth="1"/>
    <col min="10760" max="10760" width="10.28515625" style="16" bestFit="1" customWidth="1"/>
    <col min="10761" max="10761" width="7.140625" style="16" customWidth="1"/>
    <col min="10762" max="10762" width="8.42578125" style="16" customWidth="1"/>
    <col min="10763" max="10764" width="7" style="16" customWidth="1"/>
    <col min="10765" max="10765" width="6.85546875" style="16" customWidth="1"/>
    <col min="10766" max="10766" width="7" style="16" customWidth="1"/>
    <col min="10767" max="10767" width="8.28515625" style="16" customWidth="1"/>
    <col min="10768" max="10768" width="9.140625" style="16"/>
    <col min="10769" max="10769" width="8.28515625" style="16" customWidth="1"/>
    <col min="10770" max="10770" width="9.28515625" style="16" bestFit="1" customWidth="1"/>
    <col min="10771"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8.28515625" style="16" customWidth="1"/>
    <col min="11011" max="11011" width="10.7109375" style="16" bestFit="1" customWidth="1"/>
    <col min="11012" max="11012" width="6.7109375" style="16" customWidth="1"/>
    <col min="11013" max="11013" width="8.5703125" style="16" customWidth="1"/>
    <col min="11014" max="11014" width="9.28515625" style="16" customWidth="1"/>
    <col min="11015" max="11015" width="10.42578125" style="16" bestFit="1" customWidth="1"/>
    <col min="11016" max="11016" width="10.28515625" style="16" bestFit="1" customWidth="1"/>
    <col min="11017" max="11017" width="7.140625" style="16" customWidth="1"/>
    <col min="11018" max="11018" width="8.42578125" style="16" customWidth="1"/>
    <col min="11019" max="11020" width="7" style="16" customWidth="1"/>
    <col min="11021" max="11021" width="6.85546875" style="16" customWidth="1"/>
    <col min="11022" max="11022" width="7" style="16" customWidth="1"/>
    <col min="11023" max="11023" width="8.28515625" style="16" customWidth="1"/>
    <col min="11024" max="11024" width="9.140625" style="16"/>
    <col min="11025" max="11025" width="8.28515625" style="16" customWidth="1"/>
    <col min="11026" max="11026" width="9.28515625" style="16" bestFit="1" customWidth="1"/>
    <col min="11027"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8.28515625" style="16" customWidth="1"/>
    <col min="11267" max="11267" width="10.7109375" style="16" bestFit="1" customWidth="1"/>
    <col min="11268" max="11268" width="6.7109375" style="16" customWidth="1"/>
    <col min="11269" max="11269" width="8.5703125" style="16" customWidth="1"/>
    <col min="11270" max="11270" width="9.28515625" style="16" customWidth="1"/>
    <col min="11271" max="11271" width="10.42578125" style="16" bestFit="1" customWidth="1"/>
    <col min="11272" max="11272" width="10.28515625" style="16" bestFit="1" customWidth="1"/>
    <col min="11273" max="11273" width="7.140625" style="16" customWidth="1"/>
    <col min="11274" max="11274" width="8.42578125" style="16" customWidth="1"/>
    <col min="11275" max="11276" width="7" style="16" customWidth="1"/>
    <col min="11277" max="11277" width="6.85546875" style="16" customWidth="1"/>
    <col min="11278" max="11278" width="7" style="16" customWidth="1"/>
    <col min="11279" max="11279" width="8.28515625" style="16" customWidth="1"/>
    <col min="11280" max="11280" width="9.140625" style="16"/>
    <col min="11281" max="11281" width="8.28515625" style="16" customWidth="1"/>
    <col min="11282" max="11282" width="9.28515625" style="16" bestFit="1" customWidth="1"/>
    <col min="11283"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8.28515625" style="16" customWidth="1"/>
    <col min="11523" max="11523" width="10.7109375" style="16" bestFit="1" customWidth="1"/>
    <col min="11524" max="11524" width="6.7109375" style="16" customWidth="1"/>
    <col min="11525" max="11525" width="8.5703125" style="16" customWidth="1"/>
    <col min="11526" max="11526" width="9.28515625" style="16" customWidth="1"/>
    <col min="11527" max="11527" width="10.42578125" style="16" bestFit="1" customWidth="1"/>
    <col min="11528" max="11528" width="10.28515625" style="16" bestFit="1" customWidth="1"/>
    <col min="11529" max="11529" width="7.140625" style="16" customWidth="1"/>
    <col min="11530" max="11530" width="8.42578125" style="16" customWidth="1"/>
    <col min="11531" max="11532" width="7" style="16" customWidth="1"/>
    <col min="11533" max="11533" width="6.85546875" style="16" customWidth="1"/>
    <col min="11534" max="11534" width="7" style="16" customWidth="1"/>
    <col min="11535" max="11535" width="8.28515625" style="16" customWidth="1"/>
    <col min="11536" max="11536" width="9.140625" style="16"/>
    <col min="11537" max="11537" width="8.28515625" style="16" customWidth="1"/>
    <col min="11538" max="11538" width="9.28515625" style="16" bestFit="1" customWidth="1"/>
    <col min="11539"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8.28515625" style="16" customWidth="1"/>
    <col min="11779" max="11779" width="10.7109375" style="16" bestFit="1" customWidth="1"/>
    <col min="11780" max="11780" width="6.7109375" style="16" customWidth="1"/>
    <col min="11781" max="11781" width="8.5703125" style="16" customWidth="1"/>
    <col min="11782" max="11782" width="9.28515625" style="16" customWidth="1"/>
    <col min="11783" max="11783" width="10.42578125" style="16" bestFit="1" customWidth="1"/>
    <col min="11784" max="11784" width="10.28515625" style="16" bestFit="1" customWidth="1"/>
    <col min="11785" max="11785" width="7.140625" style="16" customWidth="1"/>
    <col min="11786" max="11786" width="8.42578125" style="16" customWidth="1"/>
    <col min="11787" max="11788" width="7" style="16" customWidth="1"/>
    <col min="11789" max="11789" width="6.85546875" style="16" customWidth="1"/>
    <col min="11790" max="11790" width="7" style="16" customWidth="1"/>
    <col min="11791" max="11791" width="8.28515625" style="16" customWidth="1"/>
    <col min="11792" max="11792" width="9.140625" style="16"/>
    <col min="11793" max="11793" width="8.28515625" style="16" customWidth="1"/>
    <col min="11794" max="11794" width="9.28515625" style="16" bestFit="1" customWidth="1"/>
    <col min="11795"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8.28515625" style="16" customWidth="1"/>
    <col min="12035" max="12035" width="10.7109375" style="16" bestFit="1" customWidth="1"/>
    <col min="12036" max="12036" width="6.7109375" style="16" customWidth="1"/>
    <col min="12037" max="12037" width="8.5703125" style="16" customWidth="1"/>
    <col min="12038" max="12038" width="9.28515625" style="16" customWidth="1"/>
    <col min="12039" max="12039" width="10.42578125" style="16" bestFit="1" customWidth="1"/>
    <col min="12040" max="12040" width="10.28515625" style="16" bestFit="1" customWidth="1"/>
    <col min="12041" max="12041" width="7.140625" style="16" customWidth="1"/>
    <col min="12042" max="12042" width="8.42578125" style="16" customWidth="1"/>
    <col min="12043" max="12044" width="7" style="16" customWidth="1"/>
    <col min="12045" max="12045" width="6.85546875" style="16" customWidth="1"/>
    <col min="12046" max="12046" width="7" style="16" customWidth="1"/>
    <col min="12047" max="12047" width="8.28515625" style="16" customWidth="1"/>
    <col min="12048" max="12048" width="9.140625" style="16"/>
    <col min="12049" max="12049" width="8.28515625" style="16" customWidth="1"/>
    <col min="12050" max="12050" width="9.28515625" style="16" bestFit="1" customWidth="1"/>
    <col min="12051"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8.28515625" style="16" customWidth="1"/>
    <col min="12291" max="12291" width="10.7109375" style="16" bestFit="1" customWidth="1"/>
    <col min="12292" max="12292" width="6.7109375" style="16" customWidth="1"/>
    <col min="12293" max="12293" width="8.5703125" style="16" customWidth="1"/>
    <col min="12294" max="12294" width="9.28515625" style="16" customWidth="1"/>
    <col min="12295" max="12295" width="10.42578125" style="16" bestFit="1" customWidth="1"/>
    <col min="12296" max="12296" width="10.28515625" style="16" bestFit="1" customWidth="1"/>
    <col min="12297" max="12297" width="7.140625" style="16" customWidth="1"/>
    <col min="12298" max="12298" width="8.42578125" style="16" customWidth="1"/>
    <col min="12299" max="12300" width="7" style="16" customWidth="1"/>
    <col min="12301" max="12301" width="6.85546875" style="16" customWidth="1"/>
    <col min="12302" max="12302" width="7" style="16" customWidth="1"/>
    <col min="12303" max="12303" width="8.28515625" style="16" customWidth="1"/>
    <col min="12304" max="12304" width="9.140625" style="16"/>
    <col min="12305" max="12305" width="8.28515625" style="16" customWidth="1"/>
    <col min="12306" max="12306" width="9.28515625" style="16" bestFit="1" customWidth="1"/>
    <col min="12307"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8.28515625" style="16" customWidth="1"/>
    <col min="12547" max="12547" width="10.7109375" style="16" bestFit="1" customWidth="1"/>
    <col min="12548" max="12548" width="6.7109375" style="16" customWidth="1"/>
    <col min="12549" max="12549" width="8.5703125" style="16" customWidth="1"/>
    <col min="12550" max="12550" width="9.28515625" style="16" customWidth="1"/>
    <col min="12551" max="12551" width="10.42578125" style="16" bestFit="1" customWidth="1"/>
    <col min="12552" max="12552" width="10.28515625" style="16" bestFit="1" customWidth="1"/>
    <col min="12553" max="12553" width="7.140625" style="16" customWidth="1"/>
    <col min="12554" max="12554" width="8.42578125" style="16" customWidth="1"/>
    <col min="12555" max="12556" width="7" style="16" customWidth="1"/>
    <col min="12557" max="12557" width="6.85546875" style="16" customWidth="1"/>
    <col min="12558" max="12558" width="7" style="16" customWidth="1"/>
    <col min="12559" max="12559" width="8.28515625" style="16" customWidth="1"/>
    <col min="12560" max="12560" width="9.140625" style="16"/>
    <col min="12561" max="12561" width="8.28515625" style="16" customWidth="1"/>
    <col min="12562" max="12562" width="9.28515625" style="16" bestFit="1" customWidth="1"/>
    <col min="12563"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8.28515625" style="16" customWidth="1"/>
    <col min="12803" max="12803" width="10.7109375" style="16" bestFit="1" customWidth="1"/>
    <col min="12804" max="12804" width="6.7109375" style="16" customWidth="1"/>
    <col min="12805" max="12805" width="8.5703125" style="16" customWidth="1"/>
    <col min="12806" max="12806" width="9.28515625" style="16" customWidth="1"/>
    <col min="12807" max="12807" width="10.42578125" style="16" bestFit="1" customWidth="1"/>
    <col min="12808" max="12808" width="10.28515625" style="16" bestFit="1" customWidth="1"/>
    <col min="12809" max="12809" width="7.140625" style="16" customWidth="1"/>
    <col min="12810" max="12810" width="8.42578125" style="16" customWidth="1"/>
    <col min="12811" max="12812" width="7" style="16" customWidth="1"/>
    <col min="12813" max="12813" width="6.85546875" style="16" customWidth="1"/>
    <col min="12814" max="12814" width="7" style="16" customWidth="1"/>
    <col min="12815" max="12815" width="8.28515625" style="16" customWidth="1"/>
    <col min="12816" max="12816" width="9.140625" style="16"/>
    <col min="12817" max="12817" width="8.28515625" style="16" customWidth="1"/>
    <col min="12818" max="12818" width="9.28515625" style="16" bestFit="1" customWidth="1"/>
    <col min="12819"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8.28515625" style="16" customWidth="1"/>
    <col min="13059" max="13059" width="10.7109375" style="16" bestFit="1" customWidth="1"/>
    <col min="13060" max="13060" width="6.7109375" style="16" customWidth="1"/>
    <col min="13061" max="13061" width="8.5703125" style="16" customWidth="1"/>
    <col min="13062" max="13062" width="9.28515625" style="16" customWidth="1"/>
    <col min="13063" max="13063" width="10.42578125" style="16" bestFit="1" customWidth="1"/>
    <col min="13064" max="13064" width="10.28515625" style="16" bestFit="1" customWidth="1"/>
    <col min="13065" max="13065" width="7.140625" style="16" customWidth="1"/>
    <col min="13066" max="13066" width="8.42578125" style="16" customWidth="1"/>
    <col min="13067" max="13068" width="7" style="16" customWidth="1"/>
    <col min="13069" max="13069" width="6.85546875" style="16" customWidth="1"/>
    <col min="13070" max="13070" width="7" style="16" customWidth="1"/>
    <col min="13071" max="13071" width="8.28515625" style="16" customWidth="1"/>
    <col min="13072" max="13072" width="9.140625" style="16"/>
    <col min="13073" max="13073" width="8.28515625" style="16" customWidth="1"/>
    <col min="13074" max="13074" width="9.28515625" style="16" bestFit="1" customWidth="1"/>
    <col min="13075"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8.28515625" style="16" customWidth="1"/>
    <col min="13315" max="13315" width="10.7109375" style="16" bestFit="1" customWidth="1"/>
    <col min="13316" max="13316" width="6.7109375" style="16" customWidth="1"/>
    <col min="13317" max="13317" width="8.5703125" style="16" customWidth="1"/>
    <col min="13318" max="13318" width="9.28515625" style="16" customWidth="1"/>
    <col min="13319" max="13319" width="10.42578125" style="16" bestFit="1" customWidth="1"/>
    <col min="13320" max="13320" width="10.28515625" style="16" bestFit="1" customWidth="1"/>
    <col min="13321" max="13321" width="7.140625" style="16" customWidth="1"/>
    <col min="13322" max="13322" width="8.42578125" style="16" customWidth="1"/>
    <col min="13323" max="13324" width="7" style="16" customWidth="1"/>
    <col min="13325" max="13325" width="6.85546875" style="16" customWidth="1"/>
    <col min="13326" max="13326" width="7" style="16" customWidth="1"/>
    <col min="13327" max="13327" width="8.28515625" style="16" customWidth="1"/>
    <col min="13328" max="13328" width="9.140625" style="16"/>
    <col min="13329" max="13329" width="8.28515625" style="16" customWidth="1"/>
    <col min="13330" max="13330" width="9.28515625" style="16" bestFit="1" customWidth="1"/>
    <col min="13331"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8.28515625" style="16" customWidth="1"/>
    <col min="13571" max="13571" width="10.7109375" style="16" bestFit="1" customWidth="1"/>
    <col min="13572" max="13572" width="6.7109375" style="16" customWidth="1"/>
    <col min="13573" max="13573" width="8.5703125" style="16" customWidth="1"/>
    <col min="13574" max="13574" width="9.28515625" style="16" customWidth="1"/>
    <col min="13575" max="13575" width="10.42578125" style="16" bestFit="1" customWidth="1"/>
    <col min="13576" max="13576" width="10.28515625" style="16" bestFit="1" customWidth="1"/>
    <col min="13577" max="13577" width="7.140625" style="16" customWidth="1"/>
    <col min="13578" max="13578" width="8.42578125" style="16" customWidth="1"/>
    <col min="13579" max="13580" width="7" style="16" customWidth="1"/>
    <col min="13581" max="13581" width="6.85546875" style="16" customWidth="1"/>
    <col min="13582" max="13582" width="7" style="16" customWidth="1"/>
    <col min="13583" max="13583" width="8.28515625" style="16" customWidth="1"/>
    <col min="13584" max="13584" width="9.140625" style="16"/>
    <col min="13585" max="13585" width="8.28515625" style="16" customWidth="1"/>
    <col min="13586" max="13586" width="9.28515625" style="16" bestFit="1" customWidth="1"/>
    <col min="13587"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8.28515625" style="16" customWidth="1"/>
    <col min="13827" max="13827" width="10.7109375" style="16" bestFit="1" customWidth="1"/>
    <col min="13828" max="13828" width="6.7109375" style="16" customWidth="1"/>
    <col min="13829" max="13829" width="8.5703125" style="16" customWidth="1"/>
    <col min="13830" max="13830" width="9.28515625" style="16" customWidth="1"/>
    <col min="13831" max="13831" width="10.42578125" style="16" bestFit="1" customWidth="1"/>
    <col min="13832" max="13832" width="10.28515625" style="16" bestFit="1" customWidth="1"/>
    <col min="13833" max="13833" width="7.140625" style="16" customWidth="1"/>
    <col min="13834" max="13834" width="8.42578125" style="16" customWidth="1"/>
    <col min="13835" max="13836" width="7" style="16" customWidth="1"/>
    <col min="13837" max="13837" width="6.85546875" style="16" customWidth="1"/>
    <col min="13838" max="13838" width="7" style="16" customWidth="1"/>
    <col min="13839" max="13839" width="8.28515625" style="16" customWidth="1"/>
    <col min="13840" max="13840" width="9.140625" style="16"/>
    <col min="13841" max="13841" width="8.28515625" style="16" customWidth="1"/>
    <col min="13842" max="13842" width="9.28515625" style="16" bestFit="1" customWidth="1"/>
    <col min="13843"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8.28515625" style="16" customWidth="1"/>
    <col min="14083" max="14083" width="10.7109375" style="16" bestFit="1" customWidth="1"/>
    <col min="14084" max="14084" width="6.7109375" style="16" customWidth="1"/>
    <col min="14085" max="14085" width="8.5703125" style="16" customWidth="1"/>
    <col min="14086" max="14086" width="9.28515625" style="16" customWidth="1"/>
    <col min="14087" max="14087" width="10.42578125" style="16" bestFit="1" customWidth="1"/>
    <col min="14088" max="14088" width="10.28515625" style="16" bestFit="1" customWidth="1"/>
    <col min="14089" max="14089" width="7.140625" style="16" customWidth="1"/>
    <col min="14090" max="14090" width="8.42578125" style="16" customWidth="1"/>
    <col min="14091" max="14092" width="7" style="16" customWidth="1"/>
    <col min="14093" max="14093" width="6.85546875" style="16" customWidth="1"/>
    <col min="14094" max="14094" width="7" style="16" customWidth="1"/>
    <col min="14095" max="14095" width="8.28515625" style="16" customWidth="1"/>
    <col min="14096" max="14096" width="9.140625" style="16"/>
    <col min="14097" max="14097" width="8.28515625" style="16" customWidth="1"/>
    <col min="14098" max="14098" width="9.28515625" style="16" bestFit="1" customWidth="1"/>
    <col min="14099"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8.28515625" style="16" customWidth="1"/>
    <col min="14339" max="14339" width="10.7109375" style="16" bestFit="1" customWidth="1"/>
    <col min="14340" max="14340" width="6.7109375" style="16" customWidth="1"/>
    <col min="14341" max="14341" width="8.5703125" style="16" customWidth="1"/>
    <col min="14342" max="14342" width="9.28515625" style="16" customWidth="1"/>
    <col min="14343" max="14343" width="10.42578125" style="16" bestFit="1" customWidth="1"/>
    <col min="14344" max="14344" width="10.28515625" style="16" bestFit="1" customWidth="1"/>
    <col min="14345" max="14345" width="7.140625" style="16" customWidth="1"/>
    <col min="14346" max="14346" width="8.42578125" style="16" customWidth="1"/>
    <col min="14347" max="14348" width="7" style="16" customWidth="1"/>
    <col min="14349" max="14349" width="6.85546875" style="16" customWidth="1"/>
    <col min="14350" max="14350" width="7" style="16" customWidth="1"/>
    <col min="14351" max="14351" width="8.28515625" style="16" customWidth="1"/>
    <col min="14352" max="14352" width="9.140625" style="16"/>
    <col min="14353" max="14353" width="8.28515625" style="16" customWidth="1"/>
    <col min="14354" max="14354" width="9.28515625" style="16" bestFit="1" customWidth="1"/>
    <col min="14355"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8.28515625" style="16" customWidth="1"/>
    <col min="14595" max="14595" width="10.7109375" style="16" bestFit="1" customWidth="1"/>
    <col min="14596" max="14596" width="6.7109375" style="16" customWidth="1"/>
    <col min="14597" max="14597" width="8.5703125" style="16" customWidth="1"/>
    <col min="14598" max="14598" width="9.28515625" style="16" customWidth="1"/>
    <col min="14599" max="14599" width="10.42578125" style="16" bestFit="1" customWidth="1"/>
    <col min="14600" max="14600" width="10.28515625" style="16" bestFit="1" customWidth="1"/>
    <col min="14601" max="14601" width="7.140625" style="16" customWidth="1"/>
    <col min="14602" max="14602" width="8.42578125" style="16" customWidth="1"/>
    <col min="14603" max="14604" width="7" style="16" customWidth="1"/>
    <col min="14605" max="14605" width="6.85546875" style="16" customWidth="1"/>
    <col min="14606" max="14606" width="7" style="16" customWidth="1"/>
    <col min="14607" max="14607" width="8.28515625" style="16" customWidth="1"/>
    <col min="14608" max="14608" width="9.140625" style="16"/>
    <col min="14609" max="14609" width="8.28515625" style="16" customWidth="1"/>
    <col min="14610" max="14610" width="9.28515625" style="16" bestFit="1" customWidth="1"/>
    <col min="14611"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8.28515625" style="16" customWidth="1"/>
    <col min="14851" max="14851" width="10.7109375" style="16" bestFit="1" customWidth="1"/>
    <col min="14852" max="14852" width="6.7109375" style="16" customWidth="1"/>
    <col min="14853" max="14853" width="8.5703125" style="16" customWidth="1"/>
    <col min="14854" max="14854" width="9.28515625" style="16" customWidth="1"/>
    <col min="14855" max="14855" width="10.42578125" style="16" bestFit="1" customWidth="1"/>
    <col min="14856" max="14856" width="10.28515625" style="16" bestFit="1" customWidth="1"/>
    <col min="14857" max="14857" width="7.140625" style="16" customWidth="1"/>
    <col min="14858" max="14858" width="8.42578125" style="16" customWidth="1"/>
    <col min="14859" max="14860" width="7" style="16" customWidth="1"/>
    <col min="14861" max="14861" width="6.85546875" style="16" customWidth="1"/>
    <col min="14862" max="14862" width="7" style="16" customWidth="1"/>
    <col min="14863" max="14863" width="8.28515625" style="16" customWidth="1"/>
    <col min="14864" max="14864" width="9.140625" style="16"/>
    <col min="14865" max="14865" width="8.28515625" style="16" customWidth="1"/>
    <col min="14866" max="14866" width="9.28515625" style="16" bestFit="1" customWidth="1"/>
    <col min="14867"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8.28515625" style="16" customWidth="1"/>
    <col min="15107" max="15107" width="10.7109375" style="16" bestFit="1" customWidth="1"/>
    <col min="15108" max="15108" width="6.7109375" style="16" customWidth="1"/>
    <col min="15109" max="15109" width="8.5703125" style="16" customWidth="1"/>
    <col min="15110" max="15110" width="9.28515625" style="16" customWidth="1"/>
    <col min="15111" max="15111" width="10.42578125" style="16" bestFit="1" customWidth="1"/>
    <col min="15112" max="15112" width="10.28515625" style="16" bestFit="1" customWidth="1"/>
    <col min="15113" max="15113" width="7.140625" style="16" customWidth="1"/>
    <col min="15114" max="15114" width="8.42578125" style="16" customWidth="1"/>
    <col min="15115" max="15116" width="7" style="16" customWidth="1"/>
    <col min="15117" max="15117" width="6.85546875" style="16" customWidth="1"/>
    <col min="15118" max="15118" width="7" style="16" customWidth="1"/>
    <col min="15119" max="15119" width="8.28515625" style="16" customWidth="1"/>
    <col min="15120" max="15120" width="9.140625" style="16"/>
    <col min="15121" max="15121" width="8.28515625" style="16" customWidth="1"/>
    <col min="15122" max="15122" width="9.28515625" style="16" bestFit="1" customWidth="1"/>
    <col min="15123"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8.28515625" style="16" customWidth="1"/>
    <col min="15363" max="15363" width="10.7109375" style="16" bestFit="1" customWidth="1"/>
    <col min="15364" max="15364" width="6.7109375" style="16" customWidth="1"/>
    <col min="15365" max="15365" width="8.5703125" style="16" customWidth="1"/>
    <col min="15366" max="15366" width="9.28515625" style="16" customWidth="1"/>
    <col min="15367" max="15367" width="10.42578125" style="16" bestFit="1" customWidth="1"/>
    <col min="15368" max="15368" width="10.28515625" style="16" bestFit="1" customWidth="1"/>
    <col min="15369" max="15369" width="7.140625" style="16" customWidth="1"/>
    <col min="15370" max="15370" width="8.42578125" style="16" customWidth="1"/>
    <col min="15371" max="15372" width="7" style="16" customWidth="1"/>
    <col min="15373" max="15373" width="6.85546875" style="16" customWidth="1"/>
    <col min="15374" max="15374" width="7" style="16" customWidth="1"/>
    <col min="15375" max="15375" width="8.28515625" style="16" customWidth="1"/>
    <col min="15376" max="15376" width="9.140625" style="16"/>
    <col min="15377" max="15377" width="8.28515625" style="16" customWidth="1"/>
    <col min="15378" max="15378" width="9.28515625" style="16" bestFit="1" customWidth="1"/>
    <col min="15379"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8.28515625" style="16" customWidth="1"/>
    <col min="15619" max="15619" width="10.7109375" style="16" bestFit="1" customWidth="1"/>
    <col min="15620" max="15620" width="6.7109375" style="16" customWidth="1"/>
    <col min="15621" max="15621" width="8.5703125" style="16" customWidth="1"/>
    <col min="15622" max="15622" width="9.28515625" style="16" customWidth="1"/>
    <col min="15623" max="15623" width="10.42578125" style="16" bestFit="1" customWidth="1"/>
    <col min="15624" max="15624" width="10.28515625" style="16" bestFit="1" customWidth="1"/>
    <col min="15625" max="15625" width="7.140625" style="16" customWidth="1"/>
    <col min="15626" max="15626" width="8.42578125" style="16" customWidth="1"/>
    <col min="15627" max="15628" width="7" style="16" customWidth="1"/>
    <col min="15629" max="15629" width="6.85546875" style="16" customWidth="1"/>
    <col min="15630" max="15630" width="7" style="16" customWidth="1"/>
    <col min="15631" max="15631" width="8.28515625" style="16" customWidth="1"/>
    <col min="15632" max="15632" width="9.140625" style="16"/>
    <col min="15633" max="15633" width="8.28515625" style="16" customWidth="1"/>
    <col min="15634" max="15634" width="9.28515625" style="16" bestFit="1" customWidth="1"/>
    <col min="15635"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8.28515625" style="16" customWidth="1"/>
    <col min="15875" max="15875" width="10.7109375" style="16" bestFit="1" customWidth="1"/>
    <col min="15876" max="15876" width="6.7109375" style="16" customWidth="1"/>
    <col min="15877" max="15877" width="8.5703125" style="16" customWidth="1"/>
    <col min="15878" max="15878" width="9.28515625" style="16" customWidth="1"/>
    <col min="15879" max="15879" width="10.42578125" style="16" bestFit="1" customWidth="1"/>
    <col min="15880" max="15880" width="10.28515625" style="16" bestFit="1" customWidth="1"/>
    <col min="15881" max="15881" width="7.140625" style="16" customWidth="1"/>
    <col min="15882" max="15882" width="8.42578125" style="16" customWidth="1"/>
    <col min="15883" max="15884" width="7" style="16" customWidth="1"/>
    <col min="15885" max="15885" width="6.85546875" style="16" customWidth="1"/>
    <col min="15886" max="15886" width="7" style="16" customWidth="1"/>
    <col min="15887" max="15887" width="8.28515625" style="16" customWidth="1"/>
    <col min="15888" max="15888" width="9.140625" style="16"/>
    <col min="15889" max="15889" width="8.28515625" style="16" customWidth="1"/>
    <col min="15890" max="15890" width="9.28515625" style="16" bestFit="1" customWidth="1"/>
    <col min="15891"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8.28515625" style="16" customWidth="1"/>
    <col min="16131" max="16131" width="10.7109375" style="16" bestFit="1" customWidth="1"/>
    <col min="16132" max="16132" width="6.7109375" style="16" customWidth="1"/>
    <col min="16133" max="16133" width="8.5703125" style="16" customWidth="1"/>
    <col min="16134" max="16134" width="9.28515625" style="16" customWidth="1"/>
    <col min="16135" max="16135" width="10.42578125" style="16" bestFit="1" customWidth="1"/>
    <col min="16136" max="16136" width="10.28515625" style="16" bestFit="1" customWidth="1"/>
    <col min="16137" max="16137" width="7.140625" style="16" customWidth="1"/>
    <col min="16138" max="16138" width="8.42578125" style="16" customWidth="1"/>
    <col min="16139" max="16140" width="7" style="16" customWidth="1"/>
    <col min="16141" max="16141" width="6.85546875" style="16" customWidth="1"/>
    <col min="16142" max="16142" width="7" style="16" customWidth="1"/>
    <col min="16143" max="16143" width="8.28515625" style="16" customWidth="1"/>
    <col min="16144" max="16144" width="9.140625" style="16"/>
    <col min="16145" max="16145" width="8.28515625" style="16" customWidth="1"/>
    <col min="16146" max="16146" width="9.28515625" style="16" bestFit="1" customWidth="1"/>
    <col min="16147" max="16147" width="9.140625" style="16"/>
    <col min="16148" max="16148" width="12.42578125" style="16" customWidth="1"/>
    <col min="16149" max="16149" width="9.140625" style="16"/>
    <col min="16150" max="16150" width="12" style="16" customWidth="1"/>
    <col min="16151" max="16384" width="9.140625" style="16"/>
  </cols>
  <sheetData>
    <row r="1" spans="1:17" s="1" customFormat="1" ht="12.75" customHeight="1" x14ac:dyDescent="0.2">
      <c r="A1" s="867" t="s">
        <v>100</v>
      </c>
      <c r="B1" s="868"/>
      <c r="C1" s="868"/>
      <c r="D1" s="890"/>
      <c r="E1" s="868"/>
      <c r="F1" s="868"/>
      <c r="G1" s="867" t="s">
        <v>102</v>
      </c>
      <c r="H1" s="869"/>
      <c r="I1" s="869" t="s">
        <v>492</v>
      </c>
      <c r="J1" s="868"/>
      <c r="K1" s="868"/>
      <c r="L1" s="870"/>
      <c r="M1" s="870"/>
      <c r="N1" s="870"/>
      <c r="O1" s="870"/>
    </row>
    <row r="2" spans="1:17" s="1" customFormat="1" x14ac:dyDescent="0.2">
      <c r="A2" s="867" t="s">
        <v>103</v>
      </c>
      <c r="B2" s="868"/>
      <c r="C2" s="868"/>
      <c r="D2" s="869" t="s">
        <v>493</v>
      </c>
      <c r="E2" s="868"/>
      <c r="F2" s="868"/>
      <c r="G2" s="867" t="s">
        <v>104</v>
      </c>
      <c r="H2" s="869"/>
      <c r="I2" s="869" t="s">
        <v>105</v>
      </c>
      <c r="J2" s="868"/>
      <c r="K2" s="868"/>
      <c r="L2" s="870"/>
      <c r="M2" s="870"/>
      <c r="N2" s="870"/>
      <c r="O2" s="870"/>
    </row>
    <row r="3" spans="1:17" s="1" customFormat="1" x14ac:dyDescent="0.2">
      <c r="A3" s="867" t="s">
        <v>106</v>
      </c>
      <c r="B3" s="868"/>
      <c r="C3" s="868"/>
      <c r="D3" s="890" t="s">
        <v>494</v>
      </c>
      <c r="E3" s="891"/>
      <c r="F3" s="891"/>
      <c r="G3" s="867" t="s">
        <v>107</v>
      </c>
      <c r="H3" s="869"/>
      <c r="I3" s="869" t="s">
        <v>108</v>
      </c>
      <c r="J3" s="868"/>
      <c r="K3" s="868"/>
      <c r="L3" s="870"/>
      <c r="M3" s="870"/>
      <c r="N3" s="870"/>
      <c r="O3" s="870"/>
    </row>
    <row r="4" spans="1:17" s="1" customFormat="1" x14ac:dyDescent="0.2">
      <c r="A4" s="867" t="s">
        <v>109</v>
      </c>
      <c r="B4" s="868"/>
      <c r="C4" s="868"/>
      <c r="D4" s="869"/>
      <c r="E4" s="868"/>
      <c r="F4" s="868"/>
      <c r="G4" s="867" t="s">
        <v>110</v>
      </c>
      <c r="H4" s="869"/>
      <c r="I4" s="869" t="s">
        <v>486</v>
      </c>
      <c r="J4" s="868"/>
      <c r="K4" s="868"/>
      <c r="L4" s="870"/>
      <c r="M4" s="870"/>
      <c r="N4" s="870"/>
      <c r="O4" s="870"/>
    </row>
    <row r="5" spans="1:17" s="1" customFormat="1" x14ac:dyDescent="0.2">
      <c r="A5" s="867" t="s">
        <v>443</v>
      </c>
      <c r="B5" s="868"/>
      <c r="C5" s="868"/>
      <c r="D5" s="883" t="s">
        <v>495</v>
      </c>
      <c r="E5" s="868"/>
      <c r="F5" s="868"/>
      <c r="G5" s="867"/>
      <c r="H5" s="868"/>
      <c r="I5" s="869" t="s">
        <v>113</v>
      </c>
      <c r="J5" s="868"/>
      <c r="K5" s="868"/>
      <c r="L5" s="870"/>
      <c r="M5" s="870"/>
      <c r="N5" s="870"/>
      <c r="O5" s="870"/>
    </row>
    <row r="6" spans="1:17" s="1" customFormat="1" x14ac:dyDescent="0.2">
      <c r="A6" s="871" t="s">
        <v>496</v>
      </c>
      <c r="B6" s="872"/>
      <c r="C6" s="872"/>
      <c r="D6" s="868" t="s">
        <v>497</v>
      </c>
      <c r="E6" s="868"/>
      <c r="F6" s="868"/>
      <c r="G6" s="871" t="s">
        <v>115</v>
      </c>
      <c r="H6" s="871"/>
      <c r="I6" s="254" t="s">
        <v>116</v>
      </c>
      <c r="J6" s="903"/>
      <c r="K6" s="903"/>
      <c r="L6" s="903"/>
      <c r="M6" s="903"/>
      <c r="N6" s="903"/>
      <c r="O6" s="904"/>
    </row>
    <row r="7" spans="1:17" s="1" customFormat="1" ht="13.5" thickBot="1" x14ac:dyDescent="0.25">
      <c r="A7" s="3"/>
      <c r="B7" s="4"/>
      <c r="C7" s="5"/>
      <c r="D7" s="6"/>
      <c r="E7" s="6"/>
      <c r="F7" s="6"/>
      <c r="G7" s="6"/>
      <c r="H7" s="6"/>
      <c r="I7" s="6"/>
      <c r="J7" s="7"/>
      <c r="K7" s="8"/>
      <c r="L7" s="875" t="s">
        <v>223</v>
      </c>
      <c r="M7" s="875"/>
      <c r="N7" s="875"/>
      <c r="O7" s="875"/>
      <c r="Q7" s="11"/>
    </row>
    <row r="8" spans="1:17" s="11" customFormat="1" x14ac:dyDescent="0.2">
      <c r="A8" s="876" t="str">
        <f>I1</f>
        <v>Mr. Ajay Shrivastava</v>
      </c>
      <c r="B8" s="877"/>
      <c r="C8" s="9">
        <v>43160</v>
      </c>
      <c r="D8" s="9">
        <v>43191</v>
      </c>
      <c r="E8" s="9">
        <v>43221</v>
      </c>
      <c r="F8" s="9">
        <v>43252</v>
      </c>
      <c r="G8" s="9">
        <v>43282</v>
      </c>
      <c r="H8" s="9">
        <v>43313</v>
      </c>
      <c r="I8" s="9">
        <v>43344</v>
      </c>
      <c r="J8" s="9">
        <v>43374</v>
      </c>
      <c r="K8" s="9">
        <v>43405</v>
      </c>
      <c r="L8" s="9">
        <v>43435</v>
      </c>
      <c r="M8" s="9">
        <v>43466</v>
      </c>
      <c r="N8" s="9">
        <v>43497</v>
      </c>
      <c r="O8" s="10" t="s">
        <v>117</v>
      </c>
    </row>
    <row r="9" spans="1:17" ht="15" x14ac:dyDescent="0.2">
      <c r="A9" s="12"/>
      <c r="B9" s="13" t="s">
        <v>118</v>
      </c>
      <c r="C9" s="14">
        <v>101700</v>
      </c>
      <c r="D9" s="14">
        <v>101700</v>
      </c>
      <c r="E9" s="14">
        <v>101700</v>
      </c>
      <c r="F9" s="14">
        <v>101700</v>
      </c>
      <c r="G9" s="14">
        <v>104800</v>
      </c>
      <c r="H9" s="14">
        <f t="shared" ref="H9:N9" si="0">+G9</f>
        <v>104800</v>
      </c>
      <c r="I9" s="14">
        <f t="shared" si="0"/>
        <v>104800</v>
      </c>
      <c r="J9" s="14">
        <f t="shared" si="0"/>
        <v>104800</v>
      </c>
      <c r="K9" s="14">
        <f t="shared" si="0"/>
        <v>104800</v>
      </c>
      <c r="L9" s="14">
        <f t="shared" si="0"/>
        <v>104800</v>
      </c>
      <c r="M9" s="14">
        <f t="shared" si="0"/>
        <v>104800</v>
      </c>
      <c r="N9" s="14">
        <f t="shared" si="0"/>
        <v>104800</v>
      </c>
      <c r="O9" s="15">
        <f>SUM(C9:N9)</f>
        <v>1245200</v>
      </c>
      <c r="Q9" s="255"/>
    </row>
    <row r="10" spans="1:17" ht="15" x14ac:dyDescent="0.2">
      <c r="A10" s="12"/>
      <c r="B10" s="13" t="s">
        <v>119</v>
      </c>
      <c r="C10" s="17">
        <v>0</v>
      </c>
      <c r="D10" s="17">
        <f t="shared" ref="D10:N34" si="1">+C10</f>
        <v>0</v>
      </c>
      <c r="E10" s="17">
        <f t="shared" si="1"/>
        <v>0</v>
      </c>
      <c r="F10" s="17">
        <f t="shared" si="1"/>
        <v>0</v>
      </c>
      <c r="G10" s="17">
        <f t="shared" si="1"/>
        <v>0</v>
      </c>
      <c r="H10" s="17">
        <v>0</v>
      </c>
      <c r="I10" s="17">
        <f t="shared" si="1"/>
        <v>0</v>
      </c>
      <c r="J10" s="17">
        <f t="shared" si="1"/>
        <v>0</v>
      </c>
      <c r="K10" s="17">
        <f t="shared" si="1"/>
        <v>0</v>
      </c>
      <c r="L10" s="17">
        <f t="shared" si="1"/>
        <v>0</v>
      </c>
      <c r="M10" s="17">
        <f t="shared" si="1"/>
        <v>0</v>
      </c>
      <c r="N10" s="17">
        <f>+M10</f>
        <v>0</v>
      </c>
      <c r="O10" s="18">
        <f>SUM(C10:N10)</f>
        <v>0</v>
      </c>
    </row>
    <row r="11" spans="1:17" ht="15" x14ac:dyDescent="0.2">
      <c r="A11" s="12"/>
      <c r="B11" s="13" t="s">
        <v>120</v>
      </c>
      <c r="C11" s="17">
        <v>5085</v>
      </c>
      <c r="D11" s="17">
        <f t="shared" si="1"/>
        <v>5085</v>
      </c>
      <c r="E11" s="17">
        <f t="shared" si="1"/>
        <v>5085</v>
      </c>
      <c r="F11" s="17">
        <v>7119</v>
      </c>
      <c r="G11" s="17">
        <v>7336</v>
      </c>
      <c r="H11" s="17">
        <v>7336</v>
      </c>
      <c r="I11" s="17">
        <v>7336</v>
      </c>
      <c r="J11" s="17">
        <v>9432</v>
      </c>
      <c r="K11" s="17">
        <f t="shared" si="1"/>
        <v>9432</v>
      </c>
      <c r="L11" s="17">
        <f t="shared" si="1"/>
        <v>9432</v>
      </c>
      <c r="M11" s="17">
        <f t="shared" si="1"/>
        <v>9432</v>
      </c>
      <c r="N11" s="17">
        <f t="shared" si="1"/>
        <v>9432</v>
      </c>
      <c r="O11" s="18">
        <f>SUM(C11:N11)</f>
        <v>91542</v>
      </c>
    </row>
    <row r="12" spans="1:17" ht="17.25" hidden="1" customHeight="1" x14ac:dyDescent="0.2">
      <c r="A12" s="12"/>
      <c r="B12" s="13" t="s">
        <v>121</v>
      </c>
      <c r="C12" s="17">
        <v>0</v>
      </c>
      <c r="D12" s="17">
        <f t="shared" si="1"/>
        <v>0</v>
      </c>
      <c r="E12" s="17">
        <f t="shared" si="1"/>
        <v>0</v>
      </c>
      <c r="F12" s="17">
        <f t="shared" si="1"/>
        <v>0</v>
      </c>
      <c r="G12" s="17">
        <f t="shared" si="1"/>
        <v>0</v>
      </c>
      <c r="H12" s="17">
        <v>0</v>
      </c>
      <c r="I12" s="17">
        <f t="shared" si="1"/>
        <v>0</v>
      </c>
      <c r="J12" s="17">
        <f t="shared" si="1"/>
        <v>0</v>
      </c>
      <c r="K12" s="17">
        <f t="shared" si="1"/>
        <v>0</v>
      </c>
      <c r="L12" s="17">
        <f t="shared" si="1"/>
        <v>0</v>
      </c>
      <c r="M12" s="17">
        <v>0</v>
      </c>
      <c r="N12" s="17">
        <v>0</v>
      </c>
      <c r="O12" s="18">
        <f>SUM(C12:N12)</f>
        <v>0</v>
      </c>
    </row>
    <row r="13" spans="1:17" ht="16.5" hidden="1" customHeight="1" x14ac:dyDescent="0.2">
      <c r="A13" s="12"/>
      <c r="B13" s="13" t="s">
        <v>122</v>
      </c>
      <c r="C13" s="17">
        <v>0</v>
      </c>
      <c r="D13" s="17">
        <f t="shared" si="1"/>
        <v>0</v>
      </c>
      <c r="E13" s="17">
        <f t="shared" si="1"/>
        <v>0</v>
      </c>
      <c r="F13" s="17">
        <f t="shared" si="1"/>
        <v>0</v>
      </c>
      <c r="G13" s="17">
        <f t="shared" si="1"/>
        <v>0</v>
      </c>
      <c r="H13" s="17">
        <v>0</v>
      </c>
      <c r="I13" s="17">
        <f t="shared" si="1"/>
        <v>0</v>
      </c>
      <c r="J13" s="17">
        <f t="shared" si="1"/>
        <v>0</v>
      </c>
      <c r="K13" s="17">
        <f t="shared" si="1"/>
        <v>0</v>
      </c>
      <c r="L13" s="17">
        <f t="shared" si="1"/>
        <v>0</v>
      </c>
      <c r="M13" s="17">
        <v>0</v>
      </c>
      <c r="N13" s="17">
        <v>0</v>
      </c>
      <c r="O13" s="18">
        <f t="shared" ref="O13:O36" si="2">SUM(C13:N13)</f>
        <v>0</v>
      </c>
    </row>
    <row r="14" spans="1:17" ht="15" x14ac:dyDescent="0.2">
      <c r="A14" s="12"/>
      <c r="B14" s="13" t="s">
        <v>123</v>
      </c>
      <c r="C14" s="17">
        <v>7560</v>
      </c>
      <c r="D14" s="17">
        <f t="shared" si="1"/>
        <v>7560</v>
      </c>
      <c r="E14" s="17">
        <f t="shared" si="1"/>
        <v>7560</v>
      </c>
      <c r="F14" s="17">
        <v>7704</v>
      </c>
      <c r="G14" s="17">
        <v>7704</v>
      </c>
      <c r="H14" s="17">
        <v>7704</v>
      </c>
      <c r="I14" s="17">
        <v>7704</v>
      </c>
      <c r="J14" s="17">
        <v>7848</v>
      </c>
      <c r="K14" s="17">
        <v>7848</v>
      </c>
      <c r="L14" s="17">
        <v>7848</v>
      </c>
      <c r="M14" s="17">
        <v>7848</v>
      </c>
      <c r="N14" s="17">
        <v>7848</v>
      </c>
      <c r="O14" s="18">
        <f t="shared" si="2"/>
        <v>92736</v>
      </c>
    </row>
    <row r="15" spans="1:17" ht="16.5" customHeight="1" x14ac:dyDescent="0.2">
      <c r="A15" s="12"/>
      <c r="B15" s="13" t="s">
        <v>124</v>
      </c>
      <c r="C15" s="17">
        <v>0</v>
      </c>
      <c r="D15" s="17">
        <f t="shared" si="1"/>
        <v>0</v>
      </c>
      <c r="E15" s="17">
        <f t="shared" si="1"/>
        <v>0</v>
      </c>
      <c r="F15" s="17">
        <f t="shared" si="1"/>
        <v>0</v>
      </c>
      <c r="G15" s="17">
        <f t="shared" si="1"/>
        <v>0</v>
      </c>
      <c r="H15" s="17">
        <v>0</v>
      </c>
      <c r="I15" s="17">
        <f t="shared" si="1"/>
        <v>0</v>
      </c>
      <c r="J15" s="17">
        <f t="shared" si="1"/>
        <v>0</v>
      </c>
      <c r="K15" s="17">
        <f t="shared" si="1"/>
        <v>0</v>
      </c>
      <c r="L15" s="17">
        <f t="shared" si="1"/>
        <v>0</v>
      </c>
      <c r="M15" s="17">
        <v>0</v>
      </c>
      <c r="N15" s="17">
        <v>0</v>
      </c>
      <c r="O15" s="18">
        <f t="shared" si="2"/>
        <v>0</v>
      </c>
    </row>
    <row r="16" spans="1:17" ht="15.75" hidden="1" customHeight="1" x14ac:dyDescent="0.2">
      <c r="A16" s="12"/>
      <c r="B16" s="13" t="s">
        <v>125</v>
      </c>
      <c r="C16" s="17">
        <v>0</v>
      </c>
      <c r="D16" s="17">
        <f t="shared" si="1"/>
        <v>0</v>
      </c>
      <c r="E16" s="17">
        <f t="shared" si="1"/>
        <v>0</v>
      </c>
      <c r="F16" s="17">
        <f t="shared" si="1"/>
        <v>0</v>
      </c>
      <c r="G16" s="17">
        <f t="shared" si="1"/>
        <v>0</v>
      </c>
      <c r="H16" s="17">
        <v>0</v>
      </c>
      <c r="I16" s="17">
        <f t="shared" si="1"/>
        <v>0</v>
      </c>
      <c r="J16" s="17">
        <f t="shared" si="1"/>
        <v>0</v>
      </c>
      <c r="K16" s="17">
        <f t="shared" si="1"/>
        <v>0</v>
      </c>
      <c r="L16" s="17">
        <f t="shared" si="1"/>
        <v>0</v>
      </c>
      <c r="M16" s="17">
        <f>+L16</f>
        <v>0</v>
      </c>
      <c r="N16" s="17">
        <f>+M16</f>
        <v>0</v>
      </c>
      <c r="O16" s="18">
        <f t="shared" si="2"/>
        <v>0</v>
      </c>
    </row>
    <row r="17" spans="1:15" ht="16.5" hidden="1" customHeight="1" x14ac:dyDescent="0.2">
      <c r="A17" s="12"/>
      <c r="B17" s="13" t="s">
        <v>126</v>
      </c>
      <c r="C17" s="17">
        <v>0</v>
      </c>
      <c r="D17" s="17">
        <f t="shared" si="1"/>
        <v>0</v>
      </c>
      <c r="E17" s="17">
        <f t="shared" si="1"/>
        <v>0</v>
      </c>
      <c r="F17" s="17">
        <f t="shared" si="1"/>
        <v>0</v>
      </c>
      <c r="G17" s="17">
        <f t="shared" si="1"/>
        <v>0</v>
      </c>
      <c r="H17" s="17">
        <v>0</v>
      </c>
      <c r="I17" s="17">
        <f t="shared" si="1"/>
        <v>0</v>
      </c>
      <c r="J17" s="17">
        <f t="shared" si="1"/>
        <v>0</v>
      </c>
      <c r="K17" s="17">
        <f t="shared" si="1"/>
        <v>0</v>
      </c>
      <c r="L17" s="17">
        <f t="shared" si="1"/>
        <v>0</v>
      </c>
      <c r="M17" s="147">
        <v>0</v>
      </c>
      <c r="N17" s="147">
        <v>0</v>
      </c>
      <c r="O17" s="18">
        <f t="shared" si="2"/>
        <v>0</v>
      </c>
    </row>
    <row r="18" spans="1:15" ht="15" x14ac:dyDescent="0.2">
      <c r="A18" s="12"/>
      <c r="B18" s="13" t="s">
        <v>127</v>
      </c>
      <c r="C18" s="17">
        <v>0</v>
      </c>
      <c r="D18" s="17">
        <f t="shared" si="1"/>
        <v>0</v>
      </c>
      <c r="E18" s="17">
        <f t="shared" si="1"/>
        <v>0</v>
      </c>
      <c r="F18" s="17">
        <f t="shared" si="1"/>
        <v>0</v>
      </c>
      <c r="G18" s="17">
        <f t="shared" si="1"/>
        <v>0</v>
      </c>
      <c r="H18" s="17">
        <v>0</v>
      </c>
      <c r="I18" s="17">
        <f t="shared" si="1"/>
        <v>0</v>
      </c>
      <c r="J18" s="17">
        <f t="shared" si="1"/>
        <v>0</v>
      </c>
      <c r="K18" s="17">
        <f t="shared" si="1"/>
        <v>0</v>
      </c>
      <c r="L18" s="17">
        <f t="shared" si="1"/>
        <v>0</v>
      </c>
      <c r="M18" s="147">
        <v>0</v>
      </c>
      <c r="N18" s="147">
        <v>0</v>
      </c>
      <c r="O18" s="18">
        <f t="shared" si="2"/>
        <v>0</v>
      </c>
    </row>
    <row r="19" spans="1:15" ht="15" x14ac:dyDescent="0.2">
      <c r="A19" s="12"/>
      <c r="B19" s="13" t="s">
        <v>128</v>
      </c>
      <c r="C19" s="17">
        <v>0</v>
      </c>
      <c r="D19" s="17">
        <f t="shared" si="1"/>
        <v>0</v>
      </c>
      <c r="E19" s="17">
        <f t="shared" si="1"/>
        <v>0</v>
      </c>
      <c r="F19" s="17">
        <f t="shared" si="1"/>
        <v>0</v>
      </c>
      <c r="G19" s="17">
        <f t="shared" si="1"/>
        <v>0</v>
      </c>
      <c r="H19" s="17">
        <v>0</v>
      </c>
      <c r="I19" s="17">
        <f t="shared" si="1"/>
        <v>0</v>
      </c>
      <c r="J19" s="17">
        <f t="shared" si="1"/>
        <v>0</v>
      </c>
      <c r="K19" s="17">
        <f t="shared" si="1"/>
        <v>0</v>
      </c>
      <c r="L19" s="17">
        <f t="shared" si="1"/>
        <v>0</v>
      </c>
      <c r="M19" s="147">
        <v>0</v>
      </c>
      <c r="N19" s="147">
        <v>0</v>
      </c>
      <c r="O19" s="18">
        <f t="shared" si="2"/>
        <v>0</v>
      </c>
    </row>
    <row r="20" spans="1:15" ht="15" customHeight="1" x14ac:dyDescent="0.2">
      <c r="A20" s="12"/>
      <c r="B20" s="13" t="s">
        <v>141</v>
      </c>
      <c r="C20" s="17">
        <v>0</v>
      </c>
      <c r="D20" s="17">
        <f t="shared" si="1"/>
        <v>0</v>
      </c>
      <c r="E20" s="17">
        <f t="shared" si="1"/>
        <v>0</v>
      </c>
      <c r="F20" s="17">
        <f t="shared" si="1"/>
        <v>0</v>
      </c>
      <c r="G20" s="17">
        <f t="shared" si="1"/>
        <v>0</v>
      </c>
      <c r="H20" s="17">
        <v>0</v>
      </c>
      <c r="I20" s="17">
        <f t="shared" si="1"/>
        <v>0</v>
      </c>
      <c r="J20" s="17">
        <f t="shared" si="1"/>
        <v>0</v>
      </c>
      <c r="K20" s="17">
        <f t="shared" si="1"/>
        <v>0</v>
      </c>
      <c r="L20" s="17">
        <f t="shared" si="1"/>
        <v>0</v>
      </c>
      <c r="M20" s="147">
        <v>0</v>
      </c>
      <c r="N20" s="147">
        <v>0</v>
      </c>
      <c r="O20" s="18">
        <f t="shared" si="2"/>
        <v>0</v>
      </c>
    </row>
    <row r="21" spans="1:15" ht="15" hidden="1" customHeight="1" x14ac:dyDescent="0.2">
      <c r="A21" s="878" t="s">
        <v>130</v>
      </c>
      <c r="B21" s="19" t="s">
        <v>131</v>
      </c>
      <c r="C21" s="17">
        <v>0</v>
      </c>
      <c r="D21" s="17">
        <f t="shared" si="1"/>
        <v>0</v>
      </c>
      <c r="E21" s="17">
        <f t="shared" si="1"/>
        <v>0</v>
      </c>
      <c r="F21" s="17">
        <f t="shared" si="1"/>
        <v>0</v>
      </c>
      <c r="G21" s="17">
        <f t="shared" si="1"/>
        <v>0</v>
      </c>
      <c r="H21" s="17">
        <v>0</v>
      </c>
      <c r="I21" s="17">
        <f t="shared" si="1"/>
        <v>0</v>
      </c>
      <c r="J21" s="17">
        <f t="shared" si="1"/>
        <v>0</v>
      </c>
      <c r="K21" s="17">
        <f t="shared" si="1"/>
        <v>0</v>
      </c>
      <c r="L21" s="17">
        <f t="shared" si="1"/>
        <v>0</v>
      </c>
      <c r="M21" s="147">
        <v>0</v>
      </c>
      <c r="N21" s="147">
        <v>0</v>
      </c>
      <c r="O21" s="18">
        <f t="shared" si="2"/>
        <v>0</v>
      </c>
    </row>
    <row r="22" spans="1:15" ht="15" customHeight="1" x14ac:dyDescent="0.2">
      <c r="A22" s="879"/>
      <c r="B22" s="19" t="s">
        <v>132</v>
      </c>
      <c r="C22" s="17">
        <v>0</v>
      </c>
      <c r="D22" s="17">
        <f t="shared" si="1"/>
        <v>0</v>
      </c>
      <c r="E22" s="17">
        <f t="shared" si="1"/>
        <v>0</v>
      </c>
      <c r="F22" s="17">
        <f t="shared" si="1"/>
        <v>0</v>
      </c>
      <c r="G22" s="17">
        <f t="shared" si="1"/>
        <v>0</v>
      </c>
      <c r="H22" s="17">
        <v>0</v>
      </c>
      <c r="I22" s="17">
        <f t="shared" si="1"/>
        <v>0</v>
      </c>
      <c r="J22" s="17">
        <f t="shared" si="1"/>
        <v>0</v>
      </c>
      <c r="K22" s="17">
        <f t="shared" si="1"/>
        <v>0</v>
      </c>
      <c r="L22" s="17">
        <f t="shared" si="1"/>
        <v>0</v>
      </c>
      <c r="M22" s="147">
        <v>0</v>
      </c>
      <c r="N22" s="147">
        <v>0</v>
      </c>
      <c r="O22" s="18">
        <f t="shared" si="2"/>
        <v>0</v>
      </c>
    </row>
    <row r="23" spans="1:15" ht="15" hidden="1" customHeight="1" x14ac:dyDescent="0.2">
      <c r="A23" s="879"/>
      <c r="B23" s="19" t="s">
        <v>133</v>
      </c>
      <c r="C23" s="17">
        <v>0</v>
      </c>
      <c r="D23" s="17">
        <f t="shared" si="1"/>
        <v>0</v>
      </c>
      <c r="E23" s="17">
        <f t="shared" si="1"/>
        <v>0</v>
      </c>
      <c r="F23" s="17">
        <f t="shared" si="1"/>
        <v>0</v>
      </c>
      <c r="G23" s="17">
        <f t="shared" si="1"/>
        <v>0</v>
      </c>
      <c r="H23" s="17">
        <v>0</v>
      </c>
      <c r="I23" s="17">
        <f t="shared" si="1"/>
        <v>0</v>
      </c>
      <c r="J23" s="17">
        <f t="shared" si="1"/>
        <v>0</v>
      </c>
      <c r="K23" s="17">
        <f t="shared" si="1"/>
        <v>0</v>
      </c>
      <c r="L23" s="17">
        <f t="shared" si="1"/>
        <v>0</v>
      </c>
      <c r="M23" s="147">
        <v>0</v>
      </c>
      <c r="N23" s="147">
        <v>0</v>
      </c>
      <c r="O23" s="18">
        <f t="shared" si="2"/>
        <v>0</v>
      </c>
    </row>
    <row r="24" spans="1:15" ht="15" hidden="1" customHeight="1" x14ac:dyDescent="0.2">
      <c r="A24" s="879"/>
      <c r="B24" s="19" t="s">
        <v>134</v>
      </c>
      <c r="C24" s="17">
        <v>0</v>
      </c>
      <c r="D24" s="17">
        <f t="shared" si="1"/>
        <v>0</v>
      </c>
      <c r="E24" s="17">
        <f t="shared" si="1"/>
        <v>0</v>
      </c>
      <c r="F24" s="17">
        <f t="shared" si="1"/>
        <v>0</v>
      </c>
      <c r="G24" s="17">
        <f t="shared" si="1"/>
        <v>0</v>
      </c>
      <c r="H24" s="17">
        <v>0</v>
      </c>
      <c r="I24" s="17">
        <f t="shared" si="1"/>
        <v>0</v>
      </c>
      <c r="J24" s="17">
        <f t="shared" si="1"/>
        <v>0</v>
      </c>
      <c r="K24" s="17">
        <f t="shared" si="1"/>
        <v>0</v>
      </c>
      <c r="L24" s="17">
        <f t="shared" si="1"/>
        <v>0</v>
      </c>
      <c r="M24" s="147">
        <v>0</v>
      </c>
      <c r="N24" s="147">
        <v>0</v>
      </c>
      <c r="O24" s="18">
        <f t="shared" si="2"/>
        <v>0</v>
      </c>
    </row>
    <row r="25" spans="1:15" ht="15" hidden="1" customHeight="1" x14ac:dyDescent="0.2">
      <c r="A25" s="879"/>
      <c r="B25" s="19" t="s">
        <v>135</v>
      </c>
      <c r="C25" s="17">
        <v>0</v>
      </c>
      <c r="D25" s="17">
        <f t="shared" si="1"/>
        <v>0</v>
      </c>
      <c r="E25" s="17">
        <f t="shared" si="1"/>
        <v>0</v>
      </c>
      <c r="F25" s="17">
        <f t="shared" si="1"/>
        <v>0</v>
      </c>
      <c r="G25" s="17">
        <f t="shared" si="1"/>
        <v>0</v>
      </c>
      <c r="H25" s="17">
        <v>0</v>
      </c>
      <c r="I25" s="17">
        <f t="shared" si="1"/>
        <v>0</v>
      </c>
      <c r="J25" s="17">
        <f t="shared" si="1"/>
        <v>0</v>
      </c>
      <c r="K25" s="17">
        <f t="shared" si="1"/>
        <v>0</v>
      </c>
      <c r="L25" s="17">
        <f t="shared" si="1"/>
        <v>0</v>
      </c>
      <c r="M25" s="147">
        <v>0</v>
      </c>
      <c r="N25" s="147">
        <v>0</v>
      </c>
      <c r="O25" s="18">
        <f t="shared" si="2"/>
        <v>0</v>
      </c>
    </row>
    <row r="26" spans="1:15" ht="15" hidden="1" customHeight="1" x14ac:dyDescent="0.2">
      <c r="A26" s="879"/>
      <c r="B26" s="19" t="s">
        <v>136</v>
      </c>
      <c r="C26" s="17">
        <v>0</v>
      </c>
      <c r="D26" s="17">
        <f t="shared" si="1"/>
        <v>0</v>
      </c>
      <c r="E26" s="17">
        <f t="shared" si="1"/>
        <v>0</v>
      </c>
      <c r="F26" s="17">
        <f t="shared" si="1"/>
        <v>0</v>
      </c>
      <c r="G26" s="17">
        <f t="shared" si="1"/>
        <v>0</v>
      </c>
      <c r="H26" s="17">
        <v>0</v>
      </c>
      <c r="I26" s="17">
        <f t="shared" si="1"/>
        <v>0</v>
      </c>
      <c r="J26" s="17">
        <f t="shared" si="1"/>
        <v>0</v>
      </c>
      <c r="K26" s="17">
        <f t="shared" si="1"/>
        <v>0</v>
      </c>
      <c r="L26" s="17">
        <f t="shared" si="1"/>
        <v>0</v>
      </c>
      <c r="M26" s="147">
        <v>0</v>
      </c>
      <c r="N26" s="147">
        <v>0</v>
      </c>
      <c r="O26" s="18">
        <f t="shared" si="2"/>
        <v>0</v>
      </c>
    </row>
    <row r="27" spans="1:15" ht="15" hidden="1" customHeight="1" x14ac:dyDescent="0.2">
      <c r="A27" s="879"/>
      <c r="B27" s="19" t="s">
        <v>137</v>
      </c>
      <c r="C27" s="17">
        <v>0</v>
      </c>
      <c r="D27" s="17">
        <f t="shared" si="1"/>
        <v>0</v>
      </c>
      <c r="E27" s="17">
        <f t="shared" si="1"/>
        <v>0</v>
      </c>
      <c r="F27" s="17">
        <f t="shared" si="1"/>
        <v>0</v>
      </c>
      <c r="G27" s="17">
        <f t="shared" si="1"/>
        <v>0</v>
      </c>
      <c r="H27" s="17">
        <v>0</v>
      </c>
      <c r="I27" s="17">
        <f t="shared" si="1"/>
        <v>0</v>
      </c>
      <c r="J27" s="17">
        <f t="shared" si="1"/>
        <v>0</v>
      </c>
      <c r="K27" s="17">
        <f t="shared" si="1"/>
        <v>0</v>
      </c>
      <c r="L27" s="17">
        <f t="shared" si="1"/>
        <v>0</v>
      </c>
      <c r="M27" s="147">
        <v>0</v>
      </c>
      <c r="N27" s="147">
        <v>0</v>
      </c>
      <c r="O27" s="18">
        <f t="shared" si="2"/>
        <v>0</v>
      </c>
    </row>
    <row r="28" spans="1:15" ht="15" hidden="1" customHeight="1" x14ac:dyDescent="0.2">
      <c r="A28" s="879"/>
      <c r="B28" s="19" t="s">
        <v>138</v>
      </c>
      <c r="C28" s="17">
        <v>0</v>
      </c>
      <c r="D28" s="17">
        <f t="shared" si="1"/>
        <v>0</v>
      </c>
      <c r="E28" s="17">
        <f t="shared" si="1"/>
        <v>0</v>
      </c>
      <c r="F28" s="17">
        <f t="shared" si="1"/>
        <v>0</v>
      </c>
      <c r="G28" s="17">
        <f t="shared" si="1"/>
        <v>0</v>
      </c>
      <c r="H28" s="17">
        <v>0</v>
      </c>
      <c r="I28" s="17">
        <f t="shared" si="1"/>
        <v>0</v>
      </c>
      <c r="J28" s="17">
        <f t="shared" si="1"/>
        <v>0</v>
      </c>
      <c r="K28" s="17">
        <f t="shared" si="1"/>
        <v>0</v>
      </c>
      <c r="L28" s="17">
        <f t="shared" si="1"/>
        <v>0</v>
      </c>
      <c r="M28" s="147">
        <v>0</v>
      </c>
      <c r="N28" s="147">
        <v>0</v>
      </c>
      <c r="O28" s="18">
        <f t="shared" si="2"/>
        <v>0</v>
      </c>
    </row>
    <row r="29" spans="1:15" ht="15" hidden="1" customHeight="1" x14ac:dyDescent="0.2">
      <c r="A29" s="879"/>
      <c r="B29" s="19" t="s">
        <v>139</v>
      </c>
      <c r="C29" s="17">
        <v>0</v>
      </c>
      <c r="D29" s="17">
        <f t="shared" si="1"/>
        <v>0</v>
      </c>
      <c r="E29" s="17">
        <f t="shared" si="1"/>
        <v>0</v>
      </c>
      <c r="F29" s="17">
        <f t="shared" si="1"/>
        <v>0</v>
      </c>
      <c r="G29" s="17">
        <f t="shared" si="1"/>
        <v>0</v>
      </c>
      <c r="H29" s="17">
        <v>0</v>
      </c>
      <c r="I29" s="17">
        <f t="shared" si="1"/>
        <v>0</v>
      </c>
      <c r="J29" s="17">
        <f t="shared" si="1"/>
        <v>0</v>
      </c>
      <c r="K29" s="17">
        <f t="shared" si="1"/>
        <v>0</v>
      </c>
      <c r="L29" s="17">
        <f t="shared" si="1"/>
        <v>0</v>
      </c>
      <c r="M29" s="147">
        <v>0</v>
      </c>
      <c r="N29" s="147">
        <v>0</v>
      </c>
      <c r="O29" s="18">
        <f t="shared" si="2"/>
        <v>0</v>
      </c>
    </row>
    <row r="30" spans="1:15" ht="15" hidden="1" customHeight="1" x14ac:dyDescent="0.2">
      <c r="A30" s="879"/>
      <c r="B30" s="19" t="s">
        <v>140</v>
      </c>
      <c r="C30" s="17">
        <v>0</v>
      </c>
      <c r="D30" s="17">
        <f t="shared" si="1"/>
        <v>0</v>
      </c>
      <c r="E30" s="17">
        <f t="shared" si="1"/>
        <v>0</v>
      </c>
      <c r="F30" s="17">
        <f t="shared" si="1"/>
        <v>0</v>
      </c>
      <c r="G30" s="17">
        <f t="shared" si="1"/>
        <v>0</v>
      </c>
      <c r="H30" s="17">
        <v>0</v>
      </c>
      <c r="I30" s="17">
        <f t="shared" si="1"/>
        <v>0</v>
      </c>
      <c r="J30" s="17">
        <f t="shared" si="1"/>
        <v>0</v>
      </c>
      <c r="K30" s="17">
        <f t="shared" si="1"/>
        <v>0</v>
      </c>
      <c r="L30" s="17">
        <f t="shared" si="1"/>
        <v>0</v>
      </c>
      <c r="M30" s="147">
        <v>0</v>
      </c>
      <c r="N30" s="147">
        <v>0</v>
      </c>
      <c r="O30" s="18">
        <f t="shared" si="2"/>
        <v>0</v>
      </c>
    </row>
    <row r="31" spans="1:15" ht="15" hidden="1" customHeight="1" x14ac:dyDescent="0.2">
      <c r="A31" s="879"/>
      <c r="B31" s="19" t="s">
        <v>225</v>
      </c>
      <c r="C31" s="17">
        <v>0</v>
      </c>
      <c r="D31" s="17">
        <f t="shared" si="1"/>
        <v>0</v>
      </c>
      <c r="E31" s="17">
        <f t="shared" si="1"/>
        <v>0</v>
      </c>
      <c r="F31" s="17">
        <f t="shared" si="1"/>
        <v>0</v>
      </c>
      <c r="G31" s="17">
        <f t="shared" si="1"/>
        <v>0</v>
      </c>
      <c r="H31" s="17">
        <v>0</v>
      </c>
      <c r="I31" s="17">
        <f t="shared" si="1"/>
        <v>0</v>
      </c>
      <c r="J31" s="17">
        <f t="shared" si="1"/>
        <v>0</v>
      </c>
      <c r="K31" s="17">
        <f t="shared" si="1"/>
        <v>0</v>
      </c>
      <c r="L31" s="17">
        <f t="shared" si="1"/>
        <v>0</v>
      </c>
      <c r="M31" s="147">
        <v>0</v>
      </c>
      <c r="N31" s="147">
        <v>0</v>
      </c>
      <c r="O31" s="18">
        <f t="shared" si="2"/>
        <v>0</v>
      </c>
    </row>
    <row r="32" spans="1:15" ht="15" customHeight="1" x14ac:dyDescent="0.2">
      <c r="A32" s="879"/>
      <c r="B32" s="21" t="s">
        <v>142</v>
      </c>
      <c r="C32" s="17">
        <v>0</v>
      </c>
      <c r="D32" s="17">
        <f t="shared" si="1"/>
        <v>0</v>
      </c>
      <c r="E32" s="17">
        <f t="shared" si="1"/>
        <v>0</v>
      </c>
      <c r="F32" s="17">
        <f t="shared" si="1"/>
        <v>0</v>
      </c>
      <c r="G32" s="17">
        <f t="shared" si="1"/>
        <v>0</v>
      </c>
      <c r="H32" s="17">
        <v>0</v>
      </c>
      <c r="I32" s="17">
        <f t="shared" si="1"/>
        <v>0</v>
      </c>
      <c r="J32" s="17">
        <f t="shared" si="1"/>
        <v>0</v>
      </c>
      <c r="K32" s="17">
        <f t="shared" si="1"/>
        <v>0</v>
      </c>
      <c r="L32" s="17">
        <f t="shared" si="1"/>
        <v>0</v>
      </c>
      <c r="M32" s="147">
        <v>0</v>
      </c>
      <c r="N32" s="147">
        <v>0</v>
      </c>
      <c r="O32" s="18">
        <f t="shared" si="2"/>
        <v>0</v>
      </c>
    </row>
    <row r="33" spans="1:16" ht="15" hidden="1" customHeight="1" x14ac:dyDescent="0.2">
      <c r="A33" s="880"/>
      <c r="B33" s="19" t="s">
        <v>226</v>
      </c>
      <c r="C33" s="17">
        <v>0</v>
      </c>
      <c r="D33" s="17">
        <f t="shared" si="1"/>
        <v>0</v>
      </c>
      <c r="E33" s="17">
        <f t="shared" si="1"/>
        <v>0</v>
      </c>
      <c r="F33" s="17">
        <f t="shared" si="1"/>
        <v>0</v>
      </c>
      <c r="G33" s="17">
        <f t="shared" si="1"/>
        <v>0</v>
      </c>
      <c r="H33" s="17">
        <v>0</v>
      </c>
      <c r="I33" s="17">
        <f t="shared" si="1"/>
        <v>0</v>
      </c>
      <c r="J33" s="17">
        <f t="shared" si="1"/>
        <v>0</v>
      </c>
      <c r="K33" s="17">
        <f t="shared" si="1"/>
        <v>0</v>
      </c>
      <c r="L33" s="17">
        <f t="shared" si="1"/>
        <v>0</v>
      </c>
      <c r="M33" s="147">
        <v>0</v>
      </c>
      <c r="N33" s="147">
        <v>0</v>
      </c>
      <c r="O33" s="18">
        <f t="shared" si="2"/>
        <v>0</v>
      </c>
    </row>
    <row r="34" spans="1:16" ht="15" customHeight="1" x14ac:dyDescent="0.2">
      <c r="A34" s="865" t="s">
        <v>144</v>
      </c>
      <c r="B34" s="866"/>
      <c r="C34" s="17">
        <v>0</v>
      </c>
      <c r="D34" s="17">
        <f t="shared" si="1"/>
        <v>0</v>
      </c>
      <c r="E34" s="17">
        <f t="shared" si="1"/>
        <v>0</v>
      </c>
      <c r="F34" s="17">
        <f t="shared" si="1"/>
        <v>0</v>
      </c>
      <c r="G34" s="17">
        <f t="shared" si="1"/>
        <v>0</v>
      </c>
      <c r="H34" s="17">
        <v>0</v>
      </c>
      <c r="I34" s="17">
        <f t="shared" si="1"/>
        <v>0</v>
      </c>
      <c r="J34" s="17">
        <f t="shared" si="1"/>
        <v>0</v>
      </c>
      <c r="K34" s="17">
        <f t="shared" si="1"/>
        <v>0</v>
      </c>
      <c r="L34" s="17">
        <f t="shared" si="1"/>
        <v>0</v>
      </c>
      <c r="M34" s="147">
        <v>0</v>
      </c>
      <c r="N34" s="147">
        <v>0</v>
      </c>
      <c r="O34" s="18">
        <f t="shared" si="2"/>
        <v>0</v>
      </c>
    </row>
    <row r="35" spans="1:16" ht="15" customHeight="1" x14ac:dyDescent="0.2">
      <c r="A35" s="865" t="s">
        <v>145</v>
      </c>
      <c r="B35" s="866"/>
      <c r="C35" s="17">
        <v>432</v>
      </c>
      <c r="D35" s="17">
        <v>0</v>
      </c>
      <c r="E35" s="17">
        <f t="shared" ref="E35:G36" si="3">+D35</f>
        <v>0</v>
      </c>
      <c r="F35" s="17">
        <f t="shared" si="3"/>
        <v>0</v>
      </c>
      <c r="G35" s="17">
        <f t="shared" si="3"/>
        <v>0</v>
      </c>
      <c r="H35" s="17">
        <v>0</v>
      </c>
      <c r="I35" s="17">
        <f t="shared" ref="I35:I36" si="4">+H35</f>
        <v>0</v>
      </c>
      <c r="J35" s="17">
        <v>432</v>
      </c>
      <c r="K35" s="17">
        <v>0</v>
      </c>
      <c r="L35" s="17">
        <v>0</v>
      </c>
      <c r="M35" s="17">
        <v>0</v>
      </c>
      <c r="N35" s="17">
        <v>0</v>
      </c>
      <c r="O35" s="18">
        <f t="shared" si="2"/>
        <v>864</v>
      </c>
    </row>
    <row r="36" spans="1:16" ht="15" customHeight="1" x14ac:dyDescent="0.2">
      <c r="A36" s="865" t="s">
        <v>146</v>
      </c>
      <c r="B36" s="866"/>
      <c r="C36" s="17">
        <v>6102</v>
      </c>
      <c r="D36" s="17">
        <v>0</v>
      </c>
      <c r="E36" s="17">
        <f t="shared" si="3"/>
        <v>0</v>
      </c>
      <c r="F36" s="17">
        <f t="shared" si="3"/>
        <v>0</v>
      </c>
      <c r="G36" s="17">
        <f t="shared" si="3"/>
        <v>0</v>
      </c>
      <c r="H36" s="17">
        <v>0</v>
      </c>
      <c r="I36" s="17">
        <f t="shared" si="4"/>
        <v>0</v>
      </c>
      <c r="J36" s="17">
        <v>6288</v>
      </c>
      <c r="K36" s="17">
        <v>0</v>
      </c>
      <c r="L36" s="17">
        <v>0</v>
      </c>
      <c r="M36" s="17">
        <v>0</v>
      </c>
      <c r="N36" s="17">
        <v>0</v>
      </c>
      <c r="O36" s="18">
        <f t="shared" si="2"/>
        <v>12390</v>
      </c>
    </row>
    <row r="37" spans="1:16" ht="15" customHeight="1" x14ac:dyDescent="0.2">
      <c r="A37" s="22"/>
      <c r="B37" s="23" t="s">
        <v>147</v>
      </c>
      <c r="C37" s="24">
        <f t="shared" ref="C37:N37" si="5">SUM(C9:C36)</f>
        <v>120879</v>
      </c>
      <c r="D37" s="24">
        <f t="shared" si="5"/>
        <v>114345</v>
      </c>
      <c r="E37" s="24">
        <f t="shared" si="5"/>
        <v>114345</v>
      </c>
      <c r="F37" s="24">
        <f t="shared" si="5"/>
        <v>116523</v>
      </c>
      <c r="G37" s="24">
        <f t="shared" si="5"/>
        <v>119840</v>
      </c>
      <c r="H37" s="24">
        <f t="shared" si="5"/>
        <v>119840</v>
      </c>
      <c r="I37" s="24">
        <f t="shared" si="5"/>
        <v>119840</v>
      </c>
      <c r="J37" s="24">
        <f t="shared" si="5"/>
        <v>128800</v>
      </c>
      <c r="K37" s="24">
        <f t="shared" si="5"/>
        <v>122080</v>
      </c>
      <c r="L37" s="24">
        <f t="shared" si="5"/>
        <v>122080</v>
      </c>
      <c r="M37" s="24">
        <f t="shared" si="5"/>
        <v>122080</v>
      </c>
      <c r="N37" s="24">
        <f t="shared" si="5"/>
        <v>122080</v>
      </c>
      <c r="O37" s="25">
        <f>SUM(C37:N37)</f>
        <v>1442732</v>
      </c>
    </row>
    <row r="38" spans="1:16" ht="15" customHeight="1" x14ac:dyDescent="0.2">
      <c r="A38" s="853" t="s">
        <v>148</v>
      </c>
      <c r="B38" s="27" t="s">
        <v>149</v>
      </c>
      <c r="C38" s="147">
        <v>15000</v>
      </c>
      <c r="D38" s="147">
        <v>15000</v>
      </c>
      <c r="E38" s="147">
        <v>17000</v>
      </c>
      <c r="F38" s="147">
        <v>17000</v>
      </c>
      <c r="G38" s="147">
        <v>17000</v>
      </c>
      <c r="H38" s="147">
        <v>17000</v>
      </c>
      <c r="I38" s="147">
        <v>17000</v>
      </c>
      <c r="J38" s="147">
        <v>17000</v>
      </c>
      <c r="K38" s="147">
        <v>2625</v>
      </c>
      <c r="L38" s="147">
        <v>19340</v>
      </c>
      <c r="M38" s="147">
        <v>19340</v>
      </c>
      <c r="N38" s="147">
        <v>19340</v>
      </c>
      <c r="O38" s="18">
        <f>SUM(C38:N38)</f>
        <v>192645</v>
      </c>
      <c r="P38" s="248"/>
    </row>
    <row r="39" spans="1:16" ht="15" x14ac:dyDescent="0.2">
      <c r="A39" s="854"/>
      <c r="B39" s="27" t="s">
        <v>150</v>
      </c>
      <c r="C39" s="147">
        <v>0</v>
      </c>
      <c r="D39" s="147">
        <v>0</v>
      </c>
      <c r="E39" s="147">
        <v>0</v>
      </c>
      <c r="F39" s="147">
        <v>0</v>
      </c>
      <c r="G39" s="147">
        <v>0</v>
      </c>
      <c r="H39" s="147">
        <v>0</v>
      </c>
      <c r="I39" s="147">
        <v>0</v>
      </c>
      <c r="J39" s="147">
        <v>0</v>
      </c>
      <c r="K39" s="147">
        <v>0</v>
      </c>
      <c r="L39" s="147">
        <v>0</v>
      </c>
      <c r="M39" s="147">
        <v>0</v>
      </c>
      <c r="N39" s="147">
        <v>0</v>
      </c>
      <c r="O39" s="18">
        <f>SUM(C39:N39)</f>
        <v>0</v>
      </c>
    </row>
    <row r="40" spans="1:16" ht="15" x14ac:dyDescent="0.2">
      <c r="A40" s="854"/>
      <c r="B40" s="27" t="s">
        <v>151</v>
      </c>
      <c r="C40" s="147">
        <v>60</v>
      </c>
      <c r="D40" s="147">
        <v>60</v>
      </c>
      <c r="E40" s="147">
        <v>60</v>
      </c>
      <c r="F40" s="147">
        <v>60</v>
      </c>
      <c r="G40" s="147">
        <v>60</v>
      </c>
      <c r="H40" s="147">
        <v>60</v>
      </c>
      <c r="I40" s="147">
        <v>60</v>
      </c>
      <c r="J40" s="147">
        <v>60</v>
      </c>
      <c r="K40" s="147">
        <v>60</v>
      </c>
      <c r="L40" s="147">
        <v>60</v>
      </c>
      <c r="M40" s="147">
        <v>60</v>
      </c>
      <c r="N40" s="147">
        <v>60</v>
      </c>
      <c r="O40" s="18">
        <f t="shared" ref="O40:O50" si="6">SUM(C40:N40)</f>
        <v>720</v>
      </c>
    </row>
    <row r="41" spans="1:16" ht="15" x14ac:dyDescent="0.2">
      <c r="A41" s="854"/>
      <c r="B41" s="27" t="s">
        <v>152</v>
      </c>
      <c r="C41" s="147">
        <v>0</v>
      </c>
      <c r="D41" s="147">
        <v>0</v>
      </c>
      <c r="E41" s="147">
        <v>0</v>
      </c>
      <c r="F41" s="147">
        <v>0</v>
      </c>
      <c r="G41" s="147">
        <v>0</v>
      </c>
      <c r="H41" s="147">
        <v>0</v>
      </c>
      <c r="I41" s="147">
        <v>0</v>
      </c>
      <c r="J41" s="147">
        <v>0</v>
      </c>
      <c r="K41" s="147">
        <v>0</v>
      </c>
      <c r="L41" s="147">
        <v>0</v>
      </c>
      <c r="M41" s="147">
        <v>0</v>
      </c>
      <c r="N41" s="147">
        <f>M41</f>
        <v>0</v>
      </c>
      <c r="O41" s="18">
        <f t="shared" si="6"/>
        <v>0</v>
      </c>
    </row>
    <row r="42" spans="1:16" ht="15" x14ac:dyDescent="0.2">
      <c r="A42" s="854"/>
      <c r="B42" s="27" t="s">
        <v>153</v>
      </c>
      <c r="C42" s="147">
        <v>650</v>
      </c>
      <c r="D42" s="147">
        <v>650</v>
      </c>
      <c r="E42" s="147">
        <v>650</v>
      </c>
      <c r="F42" s="147">
        <v>650</v>
      </c>
      <c r="G42" s="147">
        <v>650</v>
      </c>
      <c r="H42" s="147">
        <v>650</v>
      </c>
      <c r="I42" s="147">
        <v>650</v>
      </c>
      <c r="J42" s="147">
        <v>650</v>
      </c>
      <c r="K42" s="147">
        <v>650</v>
      </c>
      <c r="L42" s="147">
        <v>650</v>
      </c>
      <c r="M42" s="147">
        <v>650</v>
      </c>
      <c r="N42" s="147">
        <v>650</v>
      </c>
      <c r="O42" s="18">
        <f t="shared" si="6"/>
        <v>7800</v>
      </c>
    </row>
    <row r="43" spans="1:16" ht="15" x14ac:dyDescent="0.2">
      <c r="A43" s="854"/>
      <c r="B43" s="27" t="s">
        <v>154</v>
      </c>
      <c r="C43" s="147">
        <v>16000</v>
      </c>
      <c r="D43" s="147">
        <v>16000</v>
      </c>
      <c r="E43" s="147">
        <v>16000</v>
      </c>
      <c r="F43" s="147">
        <v>16000</v>
      </c>
      <c r="G43" s="147">
        <v>16000</v>
      </c>
      <c r="H43" s="147">
        <v>16000</v>
      </c>
      <c r="I43" s="147">
        <v>16000</v>
      </c>
      <c r="J43" s="147">
        <v>25000</v>
      </c>
      <c r="K43" s="147">
        <v>25000</v>
      </c>
      <c r="L43" s="147">
        <v>25000</v>
      </c>
      <c r="M43" s="147">
        <v>25000</v>
      </c>
      <c r="N43" s="147">
        <v>25000</v>
      </c>
      <c r="O43" s="18">
        <f t="shared" si="6"/>
        <v>237000</v>
      </c>
    </row>
    <row r="44" spans="1:16" ht="15" x14ac:dyDescent="0.2">
      <c r="A44" s="854"/>
      <c r="B44" s="27" t="s">
        <v>155</v>
      </c>
      <c r="C44" s="147">
        <v>200</v>
      </c>
      <c r="D44" s="147">
        <v>200</v>
      </c>
      <c r="E44" s="147">
        <v>200</v>
      </c>
      <c r="F44" s="147">
        <v>200</v>
      </c>
      <c r="G44" s="147">
        <v>200</v>
      </c>
      <c r="H44" s="147">
        <v>200</v>
      </c>
      <c r="I44" s="147">
        <v>200</v>
      </c>
      <c r="J44" s="147">
        <v>200</v>
      </c>
      <c r="K44" s="147">
        <v>200</v>
      </c>
      <c r="L44" s="147">
        <v>200</v>
      </c>
      <c r="M44" s="147">
        <v>200</v>
      </c>
      <c r="N44" s="28">
        <v>300</v>
      </c>
      <c r="O44" s="18">
        <f t="shared" si="6"/>
        <v>2500</v>
      </c>
    </row>
    <row r="45" spans="1:16" ht="15" x14ac:dyDescent="0.2">
      <c r="A45" s="854"/>
      <c r="B45" s="27" t="s">
        <v>156</v>
      </c>
      <c r="C45" s="147">
        <v>728</v>
      </c>
      <c r="D45" s="147">
        <v>728</v>
      </c>
      <c r="E45" s="147">
        <v>728</v>
      </c>
      <c r="F45" s="147">
        <v>728</v>
      </c>
      <c r="G45" s="147">
        <v>728</v>
      </c>
      <c r="H45" s="147">
        <v>728</v>
      </c>
      <c r="I45" s="147">
        <v>728</v>
      </c>
      <c r="J45" s="147">
        <v>728</v>
      </c>
      <c r="K45" s="147">
        <v>728</v>
      </c>
      <c r="L45" s="147">
        <v>728</v>
      </c>
      <c r="M45" s="147">
        <v>728</v>
      </c>
      <c r="N45" s="147">
        <v>728</v>
      </c>
      <c r="O45" s="18">
        <f t="shared" si="6"/>
        <v>8736</v>
      </c>
    </row>
    <row r="46" spans="1:16" ht="28.5" x14ac:dyDescent="0.2">
      <c r="A46" s="854"/>
      <c r="B46" s="218" t="s">
        <v>445</v>
      </c>
      <c r="C46" s="147">
        <v>640</v>
      </c>
      <c r="D46" s="147">
        <v>640</v>
      </c>
      <c r="E46" s="147">
        <v>640</v>
      </c>
      <c r="F46" s="147">
        <v>640</v>
      </c>
      <c r="G46" s="147">
        <v>640</v>
      </c>
      <c r="H46" s="147">
        <v>640</v>
      </c>
      <c r="I46" s="147">
        <v>640</v>
      </c>
      <c r="J46" s="147">
        <v>640</v>
      </c>
      <c r="K46" s="147">
        <v>0</v>
      </c>
      <c r="L46" s="147">
        <v>0</v>
      </c>
      <c r="M46" s="147">
        <v>0</v>
      </c>
      <c r="N46" s="28">
        <f>M46</f>
        <v>0</v>
      </c>
      <c r="O46" s="18">
        <f t="shared" si="6"/>
        <v>5120</v>
      </c>
    </row>
    <row r="47" spans="1:16" ht="28.5" customHeight="1" x14ac:dyDescent="0.2">
      <c r="A47" s="855"/>
      <c r="B47" s="30" t="s">
        <v>158</v>
      </c>
      <c r="C47" s="147">
        <v>0</v>
      </c>
      <c r="D47" s="147">
        <v>0</v>
      </c>
      <c r="E47" s="147">
        <v>0</v>
      </c>
      <c r="F47" s="147">
        <v>0</v>
      </c>
      <c r="G47" s="147">
        <v>0</v>
      </c>
      <c r="H47" s="147">
        <v>0</v>
      </c>
      <c r="I47" s="147">
        <v>0</v>
      </c>
      <c r="J47" s="147">
        <v>0</v>
      </c>
      <c r="K47" s="147">
        <v>0</v>
      </c>
      <c r="L47" s="147">
        <v>0</v>
      </c>
      <c r="M47" s="147">
        <v>0</v>
      </c>
      <c r="N47" s="256">
        <f>M47</f>
        <v>0</v>
      </c>
      <c r="O47" s="31">
        <f t="shared" si="6"/>
        <v>0</v>
      </c>
    </row>
    <row r="48" spans="1:16" x14ac:dyDescent="0.2">
      <c r="A48" s="856"/>
      <c r="B48" s="169" t="s">
        <v>498</v>
      </c>
      <c r="C48" s="147">
        <v>1350</v>
      </c>
      <c r="D48" s="147">
        <v>1350</v>
      </c>
      <c r="E48" s="147">
        <v>1350</v>
      </c>
      <c r="F48" s="147">
        <v>1350</v>
      </c>
      <c r="G48" s="147">
        <v>1350</v>
      </c>
      <c r="H48" s="147">
        <v>1350</v>
      </c>
      <c r="I48" s="147">
        <v>1350</v>
      </c>
      <c r="J48" s="147">
        <v>1350</v>
      </c>
      <c r="K48" s="147">
        <v>1350</v>
      </c>
      <c r="L48" s="147">
        <v>1350</v>
      </c>
      <c r="M48" s="147">
        <v>1350</v>
      </c>
      <c r="N48" s="147">
        <v>1350</v>
      </c>
      <c r="O48" s="31">
        <f t="shared" si="6"/>
        <v>16200</v>
      </c>
    </row>
    <row r="49" spans="1:18" ht="15" x14ac:dyDescent="0.2">
      <c r="A49" s="857" t="s">
        <v>160</v>
      </c>
      <c r="B49" s="858"/>
      <c r="C49" s="33">
        <f t="shared" ref="C49:N49" si="7">SUM(C38:C48)</f>
        <v>34628</v>
      </c>
      <c r="D49" s="33">
        <f t="shared" si="7"/>
        <v>34628</v>
      </c>
      <c r="E49" s="33">
        <f t="shared" si="7"/>
        <v>36628</v>
      </c>
      <c r="F49" s="33">
        <f t="shared" si="7"/>
        <v>36628</v>
      </c>
      <c r="G49" s="33">
        <f t="shared" si="7"/>
        <v>36628</v>
      </c>
      <c r="H49" s="33">
        <f t="shared" si="7"/>
        <v>36628</v>
      </c>
      <c r="I49" s="33">
        <f t="shared" si="7"/>
        <v>36628</v>
      </c>
      <c r="J49" s="33">
        <f t="shared" si="7"/>
        <v>45628</v>
      </c>
      <c r="K49" s="33">
        <f t="shared" si="7"/>
        <v>30613</v>
      </c>
      <c r="L49" s="33">
        <f t="shared" si="7"/>
        <v>47328</v>
      </c>
      <c r="M49" s="33">
        <f t="shared" si="7"/>
        <v>47328</v>
      </c>
      <c r="N49" s="33">
        <f t="shared" si="7"/>
        <v>47428</v>
      </c>
      <c r="O49" s="34">
        <f t="shared" si="6"/>
        <v>470721</v>
      </c>
    </row>
    <row r="50" spans="1:18" ht="15.75" thickBot="1" x14ac:dyDescent="0.25">
      <c r="A50" s="859" t="s">
        <v>161</v>
      </c>
      <c r="B50" s="860"/>
      <c r="C50" s="35">
        <f t="shared" ref="C50:N50" si="8">C37-C49</f>
        <v>86251</v>
      </c>
      <c r="D50" s="35">
        <f t="shared" si="8"/>
        <v>79717</v>
      </c>
      <c r="E50" s="35">
        <f t="shared" si="8"/>
        <v>77717</v>
      </c>
      <c r="F50" s="35">
        <f t="shared" si="8"/>
        <v>79895</v>
      </c>
      <c r="G50" s="35">
        <f t="shared" si="8"/>
        <v>83212</v>
      </c>
      <c r="H50" s="35">
        <f t="shared" si="8"/>
        <v>83212</v>
      </c>
      <c r="I50" s="35">
        <f t="shared" si="8"/>
        <v>83212</v>
      </c>
      <c r="J50" s="35">
        <f t="shared" si="8"/>
        <v>83172</v>
      </c>
      <c r="K50" s="35">
        <f t="shared" si="8"/>
        <v>91467</v>
      </c>
      <c r="L50" s="35">
        <f t="shared" si="8"/>
        <v>74752</v>
      </c>
      <c r="M50" s="35">
        <f t="shared" si="8"/>
        <v>74752</v>
      </c>
      <c r="N50" s="35">
        <f t="shared" si="8"/>
        <v>74652</v>
      </c>
      <c r="O50" s="36">
        <f t="shared" si="6"/>
        <v>972011</v>
      </c>
      <c r="R50" s="257"/>
    </row>
    <row r="51" spans="1:18" x14ac:dyDescent="0.2">
      <c r="J51" s="128">
        <f>+J37-SUM(J22:J36)</f>
        <v>122080</v>
      </c>
      <c r="Q51" s="38"/>
      <c r="R51" s="257"/>
    </row>
    <row r="52" spans="1:18" ht="13.5" thickBot="1" x14ac:dyDescent="0.25">
      <c r="J52" s="38">
        <f>+J51-J49</f>
        <v>76452</v>
      </c>
    </row>
    <row r="53" spans="1:18" ht="13.5" thickBot="1" x14ac:dyDescent="0.25">
      <c r="B53" s="789" t="s">
        <v>162</v>
      </c>
      <c r="C53" s="861"/>
      <c r="D53" s="861"/>
      <c r="E53" s="861"/>
      <c r="F53" s="862"/>
      <c r="G53" s="863">
        <f>O37</f>
        <v>1442732</v>
      </c>
      <c r="H53" s="864"/>
    </row>
    <row r="54" spans="1:18" ht="13.5" thickBot="1" x14ac:dyDescent="0.25"/>
    <row r="55" spans="1:18" x14ac:dyDescent="0.2">
      <c r="B55" s="830" t="s">
        <v>163</v>
      </c>
      <c r="C55" s="833" t="s">
        <v>164</v>
      </c>
      <c r="D55" s="836" t="s">
        <v>425</v>
      </c>
      <c r="E55" s="837"/>
      <c r="F55" s="838"/>
      <c r="G55" s="839">
        <v>40000</v>
      </c>
      <c r="H55" s="840"/>
    </row>
    <row r="56" spans="1:18" x14ac:dyDescent="0.2">
      <c r="B56" s="831"/>
      <c r="C56" s="834"/>
      <c r="D56" s="841" t="s">
        <v>166</v>
      </c>
      <c r="E56" s="842"/>
      <c r="F56" s="843"/>
      <c r="G56" s="844">
        <f>+O44</f>
        <v>2500</v>
      </c>
      <c r="H56" s="845"/>
      <c r="I56" s="39"/>
      <c r="J56" s="846"/>
      <c r="K56" s="846"/>
      <c r="L56" s="846"/>
      <c r="M56" s="847"/>
      <c r="N56" s="847"/>
      <c r="O56" s="847"/>
    </row>
    <row r="57" spans="1:18" ht="13.5" thickBot="1" x14ac:dyDescent="0.25">
      <c r="B57" s="832"/>
      <c r="C57" s="835"/>
      <c r="D57" s="921" t="s">
        <v>499</v>
      </c>
      <c r="E57" s="849"/>
      <c r="F57" s="850"/>
      <c r="G57" s="851">
        <f>+P93</f>
        <v>0</v>
      </c>
      <c r="H57" s="852"/>
      <c r="J57" s="47"/>
      <c r="K57" s="47"/>
      <c r="L57" s="47"/>
      <c r="M57" s="47"/>
      <c r="N57" s="47"/>
      <c r="O57" s="47"/>
    </row>
    <row r="58" spans="1:18" ht="13.5" thickBot="1" x14ac:dyDescent="0.25">
      <c r="B58" s="48"/>
      <c r="J58" s="47"/>
      <c r="K58" s="47"/>
      <c r="L58" s="47"/>
      <c r="M58" s="47"/>
      <c r="N58" s="47"/>
      <c r="O58" s="47"/>
    </row>
    <row r="59" spans="1:18" ht="13.5" thickBot="1" x14ac:dyDescent="0.25">
      <c r="B59" s="789" t="s">
        <v>168</v>
      </c>
      <c r="C59" s="790"/>
      <c r="D59" s="790"/>
      <c r="E59" s="790"/>
      <c r="F59" s="791"/>
      <c r="G59" s="825">
        <f>+G53-SUM(G55:H57)</f>
        <v>1400232</v>
      </c>
      <c r="H59" s="826"/>
      <c r="J59" s="827" t="s">
        <v>169</v>
      </c>
      <c r="K59" s="828"/>
      <c r="L59" s="828"/>
      <c r="M59" s="828"/>
      <c r="N59" s="828"/>
      <c r="O59" s="829"/>
    </row>
    <row r="60" spans="1:18" ht="13.5" thickBot="1" x14ac:dyDescent="0.25">
      <c r="B60" s="49"/>
      <c r="C60" s="50"/>
      <c r="D60" s="50"/>
      <c r="E60" s="50"/>
      <c r="F60" s="50"/>
      <c r="G60" s="45"/>
      <c r="H60" s="50"/>
      <c r="J60" s="51"/>
      <c r="K60" s="52"/>
      <c r="L60" s="52"/>
      <c r="M60" s="52"/>
      <c r="N60" s="52"/>
      <c r="O60" s="53"/>
    </row>
    <row r="61" spans="1:18" ht="13.5" thickBot="1" x14ac:dyDescent="0.25">
      <c r="B61" s="789" t="s">
        <v>170</v>
      </c>
      <c r="C61" s="790"/>
      <c r="D61" s="790"/>
      <c r="E61" s="790"/>
      <c r="F61" s="791"/>
      <c r="G61" s="805"/>
      <c r="H61" s="791"/>
      <c r="J61" s="54"/>
      <c r="K61" s="55"/>
      <c r="L61" s="55"/>
      <c r="M61" s="55"/>
      <c r="N61" s="55"/>
      <c r="O61" s="56"/>
    </row>
    <row r="62" spans="1:18" ht="12.75" customHeight="1" x14ac:dyDescent="0.2">
      <c r="B62" s="57" t="s">
        <v>171</v>
      </c>
      <c r="C62" s="806" t="s">
        <v>172</v>
      </c>
      <c r="D62" s="807"/>
      <c r="E62" s="807"/>
      <c r="F62" s="808"/>
      <c r="G62" s="809">
        <v>0</v>
      </c>
      <c r="H62" s="809"/>
      <c r="I62" s="58"/>
      <c r="J62" s="810" t="s">
        <v>173</v>
      </c>
      <c r="K62" s="811"/>
      <c r="L62" s="811"/>
      <c r="M62" s="811"/>
      <c r="N62" s="811"/>
      <c r="O62" s="812"/>
      <c r="Q62" s="59"/>
      <c r="R62" s="59"/>
    </row>
    <row r="63" spans="1:18" ht="13.5" thickBot="1" x14ac:dyDescent="0.25">
      <c r="D63" s="37"/>
      <c r="I63" s="58"/>
      <c r="J63" s="60" t="s">
        <v>254</v>
      </c>
      <c r="K63" s="61"/>
      <c r="L63" s="61"/>
      <c r="M63" s="61"/>
      <c r="N63" s="61"/>
      <c r="O63" s="62"/>
      <c r="Q63" s="59"/>
      <c r="R63" s="59"/>
    </row>
    <row r="64" spans="1:18" ht="13.5" thickBot="1" x14ac:dyDescent="0.25">
      <c r="B64" s="789" t="s">
        <v>175</v>
      </c>
      <c r="C64" s="790"/>
      <c r="D64" s="790"/>
      <c r="E64" s="790"/>
      <c r="F64" s="791"/>
      <c r="G64" s="805">
        <f>+G59-G62</f>
        <v>1400232</v>
      </c>
      <c r="H64" s="791"/>
      <c r="I64" s="63"/>
      <c r="J64" s="64"/>
      <c r="K64" s="39"/>
      <c r="L64" s="39"/>
      <c r="M64" s="39"/>
      <c r="N64" s="39"/>
      <c r="O64" s="65"/>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6.25" customHeight="1" thickBot="1" x14ac:dyDescent="0.25">
      <c r="B67" s="66"/>
      <c r="C67" s="48"/>
      <c r="G67" s="70" t="s">
        <v>177</v>
      </c>
      <c r="H67" s="70" t="s">
        <v>178</v>
      </c>
      <c r="I67" s="63"/>
      <c r="J67" s="810" t="s">
        <v>179</v>
      </c>
      <c r="K67" s="811"/>
      <c r="L67" s="71"/>
      <c r="M67" s="71"/>
      <c r="N67" s="71"/>
      <c r="O67" s="72"/>
      <c r="Q67" s="59"/>
      <c r="R67" s="59"/>
    </row>
    <row r="68" spans="2:18" ht="12.75" customHeight="1" x14ac:dyDescent="0.2">
      <c r="B68" s="802" t="s">
        <v>180</v>
      </c>
      <c r="C68" s="821" t="s">
        <v>181</v>
      </c>
      <c r="D68" s="823" t="s">
        <v>182</v>
      </c>
      <c r="E68" s="824"/>
      <c r="F68" s="824"/>
      <c r="G68" s="73">
        <f>+O43</f>
        <v>237000</v>
      </c>
      <c r="H68" s="74">
        <f t="shared" ref="H68:H76" si="9">+G68</f>
        <v>237000</v>
      </c>
      <c r="I68" s="63"/>
      <c r="J68" s="75" t="s">
        <v>500</v>
      </c>
      <c r="K68" s="58"/>
      <c r="L68" s="58"/>
      <c r="M68" s="58"/>
      <c r="N68" s="58"/>
      <c r="O68" s="76"/>
      <c r="Q68" s="59"/>
      <c r="R68" s="59"/>
    </row>
    <row r="69" spans="2:18" ht="12.75" customHeight="1" x14ac:dyDescent="0.2">
      <c r="B69" s="803"/>
      <c r="C69" s="822"/>
      <c r="D69" s="782" t="s">
        <v>184</v>
      </c>
      <c r="E69" s="783"/>
      <c r="F69" s="783"/>
      <c r="G69" s="77">
        <f>O68</f>
        <v>0</v>
      </c>
      <c r="H69" s="78">
        <f t="shared" si="9"/>
        <v>0</v>
      </c>
      <c r="I69" s="63"/>
      <c r="J69" s="79"/>
      <c r="K69" s="68"/>
      <c r="L69" s="68"/>
      <c r="M69" s="68"/>
      <c r="N69" s="68"/>
      <c r="O69" s="69"/>
      <c r="Q69" s="59"/>
      <c r="R69" s="59"/>
    </row>
    <row r="70" spans="2:18" ht="12.75" customHeight="1" x14ac:dyDescent="0.2">
      <c r="B70" s="803"/>
      <c r="C70" s="822"/>
      <c r="D70" s="819" t="s">
        <v>185</v>
      </c>
      <c r="E70" s="820"/>
      <c r="F70" s="820"/>
      <c r="G70" s="80">
        <f>O40</f>
        <v>720</v>
      </c>
      <c r="H70" s="78">
        <f t="shared" si="9"/>
        <v>720</v>
      </c>
      <c r="I70" s="63"/>
      <c r="J70" s="67"/>
      <c r="K70" s="68"/>
      <c r="L70" s="68"/>
      <c r="M70" s="68"/>
      <c r="N70" s="68"/>
      <c r="O70" s="69"/>
    </row>
    <row r="71" spans="2:18" x14ac:dyDescent="0.2">
      <c r="B71" s="803"/>
      <c r="C71" s="822"/>
      <c r="D71" s="782" t="s">
        <v>501</v>
      </c>
      <c r="E71" s="783"/>
      <c r="F71" s="783"/>
      <c r="G71" s="81"/>
      <c r="H71" s="78">
        <f t="shared" si="9"/>
        <v>0</v>
      </c>
      <c r="I71" s="63"/>
      <c r="J71" s="82" t="s">
        <v>187</v>
      </c>
      <c r="K71" s="71"/>
      <c r="L71" s="71"/>
      <c r="M71" s="71"/>
      <c r="N71" s="71"/>
      <c r="O71" s="72"/>
    </row>
    <row r="72" spans="2:18" ht="12.75" customHeight="1" x14ac:dyDescent="0.2">
      <c r="B72" s="803"/>
      <c r="C72" s="822"/>
      <c r="D72" s="784" t="s">
        <v>188</v>
      </c>
      <c r="E72" s="783"/>
      <c r="F72" s="783"/>
      <c r="G72" s="80">
        <v>0</v>
      </c>
      <c r="H72" s="78">
        <f t="shared" si="9"/>
        <v>0</v>
      </c>
      <c r="I72" s="63"/>
      <c r="J72" s="75" t="s">
        <v>189</v>
      </c>
      <c r="K72" s="50"/>
      <c r="L72" s="50"/>
      <c r="M72" s="50"/>
      <c r="N72" s="50"/>
      <c r="O72" s="83">
        <f>+O42</f>
        <v>7800</v>
      </c>
    </row>
    <row r="73" spans="2:18" ht="14.25" customHeight="1" x14ac:dyDescent="0.2">
      <c r="B73" s="803"/>
      <c r="C73" s="822"/>
      <c r="D73" s="782" t="s">
        <v>190</v>
      </c>
      <c r="E73" s="783"/>
      <c r="F73" s="783"/>
      <c r="G73" s="84"/>
      <c r="H73" s="78">
        <f t="shared" si="9"/>
        <v>0</v>
      </c>
      <c r="I73" s="63"/>
      <c r="J73" s="64"/>
      <c r="K73" s="39"/>
      <c r="L73" s="39"/>
      <c r="M73" s="39"/>
      <c r="N73" s="39"/>
      <c r="O73" s="65"/>
    </row>
    <row r="74" spans="2:18" x14ac:dyDescent="0.2">
      <c r="B74" s="803"/>
      <c r="C74" s="822"/>
      <c r="D74" s="782" t="s">
        <v>191</v>
      </c>
      <c r="E74" s="783"/>
      <c r="F74" s="783"/>
      <c r="G74" s="81">
        <v>0</v>
      </c>
      <c r="H74" s="78">
        <f t="shared" si="9"/>
        <v>0</v>
      </c>
      <c r="I74" s="58"/>
      <c r="J74" s="85"/>
      <c r="K74" s="63"/>
      <c r="L74" s="63"/>
      <c r="M74" s="63"/>
      <c r="N74" s="63"/>
      <c r="O74" s="86"/>
    </row>
    <row r="75" spans="2:18" x14ac:dyDescent="0.2">
      <c r="B75" s="803"/>
      <c r="C75" s="88" t="s">
        <v>192</v>
      </c>
      <c r="D75" s="813" t="s">
        <v>193</v>
      </c>
      <c r="E75" s="814"/>
      <c r="F75" s="814"/>
      <c r="G75" s="80">
        <v>0</v>
      </c>
      <c r="H75" s="78">
        <f t="shared" si="9"/>
        <v>0</v>
      </c>
      <c r="I75" s="58"/>
      <c r="J75" s="60"/>
      <c r="K75" s="68"/>
      <c r="L75" s="68"/>
      <c r="M75" s="50"/>
      <c r="N75" s="50"/>
      <c r="O75" s="83"/>
    </row>
    <row r="76" spans="2:18" ht="13.5" customHeight="1" thickBot="1" x14ac:dyDescent="0.25">
      <c r="B76" s="803"/>
      <c r="C76" s="88" t="s">
        <v>194</v>
      </c>
      <c r="D76" s="815" t="s">
        <v>195</v>
      </c>
      <c r="E76" s="815"/>
      <c r="F76" s="815"/>
      <c r="G76" s="89">
        <v>0</v>
      </c>
      <c r="H76" s="90">
        <f t="shared" si="9"/>
        <v>0</v>
      </c>
      <c r="I76" s="63"/>
      <c r="J76" s="75"/>
      <c r="K76" s="68"/>
      <c r="L76" s="68"/>
      <c r="M76" s="91"/>
      <c r="N76" s="91"/>
      <c r="O76" s="92"/>
    </row>
    <row r="77" spans="2:18" ht="13.5" thickBot="1" x14ac:dyDescent="0.25">
      <c r="B77" s="803"/>
      <c r="C77" s="93"/>
      <c r="D77" s="94"/>
      <c r="E77" s="816" t="s">
        <v>117</v>
      </c>
      <c r="F77" s="817"/>
      <c r="G77" s="95">
        <f>SUM(G68:G76)</f>
        <v>237720</v>
      </c>
      <c r="H77" s="96">
        <f>IF(SUM(G68:G74)&lt;150000,SUM(G68:G74),150000)+IF(+G75&lt;20000,+G75,20000)</f>
        <v>150000</v>
      </c>
      <c r="I77" s="63"/>
      <c r="J77" s="97"/>
      <c r="K77" s="98"/>
      <c r="L77" s="98"/>
      <c r="M77" s="98"/>
      <c r="N77" s="98"/>
      <c r="O77" s="99"/>
    </row>
    <row r="78" spans="2:18" ht="12.75" customHeight="1" x14ac:dyDescent="0.2">
      <c r="B78" s="803"/>
      <c r="C78" s="100" t="s">
        <v>196</v>
      </c>
      <c r="D78" s="782" t="s">
        <v>187</v>
      </c>
      <c r="E78" s="783"/>
      <c r="F78" s="818"/>
      <c r="G78" s="73">
        <f>+O42+O73</f>
        <v>7800</v>
      </c>
      <c r="H78" s="101">
        <f>+IF(+G78&lt;25000,+G78,25000)</f>
        <v>7800</v>
      </c>
      <c r="I78" s="87"/>
    </row>
    <row r="79" spans="2:18" x14ac:dyDescent="0.2">
      <c r="B79" s="803"/>
      <c r="C79" s="100" t="s">
        <v>197</v>
      </c>
      <c r="D79" s="784" t="s">
        <v>198</v>
      </c>
      <c r="E79" s="785"/>
      <c r="F79" s="786"/>
      <c r="G79" s="102"/>
      <c r="H79" s="103">
        <f>+IF(+G79&lt;40000,+G79,40000)</f>
        <v>0</v>
      </c>
      <c r="I79" s="63"/>
    </row>
    <row r="80" spans="2:18" x14ac:dyDescent="0.2">
      <c r="B80" s="803"/>
      <c r="C80" s="100" t="s">
        <v>199</v>
      </c>
      <c r="D80" s="784" t="s">
        <v>200</v>
      </c>
      <c r="E80" s="785"/>
      <c r="F80" s="786"/>
      <c r="G80" s="81"/>
      <c r="H80" s="104">
        <v>0</v>
      </c>
      <c r="I80" s="63"/>
      <c r="J80" s="106"/>
    </row>
    <row r="81" spans="2:18" x14ac:dyDescent="0.2">
      <c r="B81" s="803"/>
      <c r="C81" s="100" t="s">
        <v>201</v>
      </c>
      <c r="D81" s="784" t="s">
        <v>202</v>
      </c>
      <c r="E81" s="785"/>
      <c r="F81" s="786"/>
      <c r="G81" s="81"/>
      <c r="H81" s="104">
        <v>0</v>
      </c>
      <c r="I81" s="63"/>
    </row>
    <row r="82" spans="2:18" ht="13.5" thickBot="1" x14ac:dyDescent="0.25">
      <c r="B82" s="804"/>
      <c r="C82" s="100" t="s">
        <v>203</v>
      </c>
      <c r="D82" s="784" t="s">
        <v>204</v>
      </c>
      <c r="E82" s="785"/>
      <c r="F82" s="786"/>
      <c r="G82" s="102"/>
      <c r="H82" s="103">
        <f>+IF(+G82&lt;100000,+G82,10000)</f>
        <v>0</v>
      </c>
      <c r="I82" s="63"/>
      <c r="M82" s="156" t="s">
        <v>257</v>
      </c>
    </row>
    <row r="83" spans="2:18" ht="13.5" thickBot="1" x14ac:dyDescent="0.25">
      <c r="B83" s="787" t="s">
        <v>205</v>
      </c>
      <c r="C83" s="788"/>
      <c r="D83" s="788"/>
      <c r="E83" s="788"/>
      <c r="F83" s="788"/>
      <c r="G83" s="107">
        <f>SUM(G78:G82)</f>
        <v>7800</v>
      </c>
      <c r="H83" s="108">
        <f>SUM(H77:H82)</f>
        <v>157800</v>
      </c>
      <c r="M83" s="1" t="s">
        <v>347</v>
      </c>
      <c r="R83" s="16">
        <f>ROUND((+O9+O10+O11)*50%,0)</f>
        <v>668371</v>
      </c>
    </row>
    <row r="84" spans="2:18" ht="13.5" thickBot="1" x14ac:dyDescent="0.25">
      <c r="M84" s="1" t="s">
        <v>348</v>
      </c>
      <c r="R84" s="16">
        <f>O19</f>
        <v>0</v>
      </c>
    </row>
    <row r="85" spans="2:18" ht="13.5" thickBot="1" x14ac:dyDescent="0.25">
      <c r="B85" s="789" t="s">
        <v>206</v>
      </c>
      <c r="C85" s="790"/>
      <c r="D85" s="790"/>
      <c r="E85" s="790"/>
      <c r="F85" s="791"/>
      <c r="G85" s="792">
        <f>+G64-H83</f>
        <v>1242432</v>
      </c>
      <c r="H85" s="791"/>
      <c r="J85" s="109">
        <f>C37+D37+E37+F37</f>
        <v>466092</v>
      </c>
      <c r="K85" s="16" t="s">
        <v>235</v>
      </c>
      <c r="M85" s="16" t="s">
        <v>261</v>
      </c>
      <c r="R85" s="16">
        <f>ROUND((17500*12)-(+O9+O10+O11)*10%,0.1)</f>
        <v>76326</v>
      </c>
    </row>
    <row r="86" spans="2:18" x14ac:dyDescent="0.2">
      <c r="B86" s="110"/>
      <c r="C86" s="258" t="s">
        <v>502</v>
      </c>
      <c r="D86" s="109"/>
      <c r="F86" s="105"/>
      <c r="J86" s="109">
        <f>G37+H37+I37</f>
        <v>359520</v>
      </c>
      <c r="K86" s="16" t="s">
        <v>236</v>
      </c>
    </row>
    <row r="87" spans="2:18" x14ac:dyDescent="0.2">
      <c r="C87" s="793" t="s">
        <v>207</v>
      </c>
      <c r="D87" s="794"/>
      <c r="E87" s="111" t="s">
        <v>208</v>
      </c>
      <c r="F87" s="111" t="s">
        <v>209</v>
      </c>
      <c r="G87" s="111" t="s">
        <v>210</v>
      </c>
      <c r="H87" s="111" t="s">
        <v>211</v>
      </c>
      <c r="J87" s="109">
        <f>J37+K37+L37</f>
        <v>372960</v>
      </c>
      <c r="K87" s="47" t="s">
        <v>237</v>
      </c>
      <c r="M87" s="157" t="s">
        <v>262</v>
      </c>
      <c r="N87" s="87"/>
      <c r="O87" s="87"/>
      <c r="R87" s="16">
        <f>+R84</f>
        <v>0</v>
      </c>
    </row>
    <row r="88" spans="2:18" x14ac:dyDescent="0.2">
      <c r="C88" s="795" t="str">
        <f>IF(I6="M","0          - 250000","0          -  250000")</f>
        <v>0          - 250000</v>
      </c>
      <c r="D88" s="796"/>
      <c r="E88" s="112">
        <v>0</v>
      </c>
      <c r="F88" s="113">
        <f>IF(I6="M",(IF(G85&lt;250000,G85,250000)),(IF(G85&lt;250000,G85,250000)))</f>
        <v>250000</v>
      </c>
      <c r="G88" s="113">
        <f>G85-F88</f>
        <v>992432</v>
      </c>
      <c r="H88" s="113">
        <f>E88*F88</f>
        <v>0</v>
      </c>
      <c r="J88" s="16">
        <f>M37+N37</f>
        <v>244160</v>
      </c>
      <c r="K88" s="1" t="s">
        <v>238</v>
      </c>
      <c r="M88" s="157" t="s">
        <v>503</v>
      </c>
    </row>
    <row r="89" spans="2:18" x14ac:dyDescent="0.2">
      <c r="C89" s="795" t="str">
        <f>IF(I6="M","250001 - 500000","250001-500000")</f>
        <v>250001 - 500000</v>
      </c>
      <c r="D89" s="796"/>
      <c r="E89" s="112">
        <v>0.05</v>
      </c>
      <c r="F89" s="113">
        <f>IF(I6="M",(IF(G88&lt;250000,G88,250000)),(IF(G88&lt;250000,G88,250000)))</f>
        <v>250000</v>
      </c>
      <c r="G89" s="113">
        <f>G88-F89</f>
        <v>742432</v>
      </c>
      <c r="H89" s="114">
        <f>ROUND(E89*F89,0.1)</f>
        <v>12500</v>
      </c>
      <c r="J89" s="115">
        <f>SUM(J85:J88)</f>
        <v>1442732</v>
      </c>
    </row>
    <row r="90" spans="2:18" x14ac:dyDescent="0.2">
      <c r="C90" s="797" t="s">
        <v>212</v>
      </c>
      <c r="D90" s="798"/>
      <c r="E90" s="112">
        <v>0.2</v>
      </c>
      <c r="F90" s="113">
        <f>IF(G89&lt;500000,G89,500000)</f>
        <v>500000</v>
      </c>
      <c r="G90" s="113">
        <f>G89-F90</f>
        <v>242432</v>
      </c>
      <c r="H90" s="114">
        <f>ROUND(E90*F90,0.1)</f>
        <v>100000</v>
      </c>
      <c r="J90" s="16">
        <f>+G85</f>
        <v>1242432</v>
      </c>
    </row>
    <row r="91" spans="2:18" x14ac:dyDescent="0.2">
      <c r="C91" s="795" t="s">
        <v>213</v>
      </c>
      <c r="D91" s="796"/>
      <c r="E91" s="112">
        <v>0.3</v>
      </c>
      <c r="F91" s="113">
        <f>G90</f>
        <v>242432</v>
      </c>
      <c r="G91" s="113">
        <f>G90-F91</f>
        <v>0</v>
      </c>
      <c r="H91" s="114">
        <f>ROUND(E91*F91,0.1)</f>
        <v>72730</v>
      </c>
      <c r="J91" s="16">
        <f>+J89-J90</f>
        <v>200300</v>
      </c>
      <c r="M91" s="16" t="s">
        <v>504</v>
      </c>
      <c r="P91" s="109"/>
    </row>
    <row r="92" spans="2:18" ht="12.75" customHeight="1" thickBot="1" x14ac:dyDescent="0.25">
      <c r="B92" s="116"/>
      <c r="C92" s="117"/>
      <c r="D92" s="47"/>
      <c r="E92" s="47"/>
      <c r="F92" s="47"/>
      <c r="J92" s="87"/>
      <c r="K92" s="118"/>
    </row>
    <row r="93" spans="2:18" ht="13.5" thickBot="1" x14ac:dyDescent="0.25">
      <c r="B93" s="799" t="s">
        <v>239</v>
      </c>
      <c r="C93" s="800"/>
      <c r="D93" s="800"/>
      <c r="E93" s="800"/>
      <c r="F93" s="801"/>
      <c r="G93" s="771">
        <f>H88+H89+H90+H91</f>
        <v>185230</v>
      </c>
      <c r="H93" s="772"/>
      <c r="M93" s="109" t="s">
        <v>505</v>
      </c>
      <c r="N93" s="109"/>
      <c r="P93" s="109"/>
    </row>
    <row r="94" spans="2:18" ht="13.5" thickBot="1" x14ac:dyDescent="0.25">
      <c r="B94" s="119" t="s">
        <v>215</v>
      </c>
      <c r="C94" s="120"/>
      <c r="D94" s="120"/>
      <c r="E94" s="120"/>
      <c r="F94" s="120"/>
      <c r="G94" s="884">
        <f>IF((G64&lt;500000),5000,0)</f>
        <v>0</v>
      </c>
      <c r="H94" s="885">
        <f>IF(H92&lt;200000,0,IF(H92&lt;220000,((H92-200000)*10%),IF(H92&lt;=500000,2000,IF(H92&gt;=500000,0))))</f>
        <v>0</v>
      </c>
      <c r="J94" s="1"/>
      <c r="K94" s="121"/>
      <c r="L94" s="121"/>
    </row>
    <row r="95" spans="2:18" ht="13.5" thickBot="1" x14ac:dyDescent="0.25">
      <c r="B95" s="122" t="s">
        <v>216</v>
      </c>
      <c r="C95" s="123"/>
      <c r="D95" s="123"/>
      <c r="E95" s="123"/>
      <c r="F95" s="123"/>
      <c r="G95" s="771">
        <f>IF((G93-G94)&lt;0,0,(G93-G94))</f>
        <v>185230</v>
      </c>
      <c r="H95" s="772"/>
      <c r="I95" s="37"/>
      <c r="M95" s="16" t="s">
        <v>506</v>
      </c>
      <c r="P95" s="109"/>
    </row>
    <row r="96" spans="2:18" ht="13.5" thickBot="1" x14ac:dyDescent="0.25">
      <c r="B96" s="773" t="s">
        <v>240</v>
      </c>
      <c r="C96" s="774"/>
      <c r="D96" s="774"/>
      <c r="E96" s="774"/>
      <c r="F96" s="775"/>
      <c r="G96" s="776">
        <f>ROUND((IF(G95&gt;0,(G95*4%),0)),0)</f>
        <v>7409</v>
      </c>
      <c r="H96" s="777"/>
      <c r="I96" s="37"/>
    </row>
    <row r="97" spans="2:9" ht="13.5" thickBot="1" x14ac:dyDescent="0.25">
      <c r="B97" s="778" t="s">
        <v>218</v>
      </c>
      <c r="C97" s="779"/>
      <c r="D97" s="779"/>
      <c r="E97" s="779"/>
      <c r="F97" s="779"/>
      <c r="G97" s="780">
        <f>G95+G96</f>
        <v>192639</v>
      </c>
      <c r="H97" s="781"/>
      <c r="I97" s="121"/>
    </row>
    <row r="98" spans="2:9" ht="13.5" thickBot="1" x14ac:dyDescent="0.25">
      <c r="B98" s="765" t="s">
        <v>219</v>
      </c>
      <c r="C98" s="766"/>
      <c r="D98" s="766"/>
      <c r="E98" s="766"/>
      <c r="F98" s="766"/>
      <c r="G98" s="767">
        <f>O38</f>
        <v>192645</v>
      </c>
      <c r="H98" s="768"/>
      <c r="I98" s="121"/>
    </row>
    <row r="99" spans="2:9" ht="13.5" thickBot="1" x14ac:dyDescent="0.25">
      <c r="B99" s="765" t="str">
        <f>IF(G99&gt;0,"TAX PAYABLE","TAX REFUND")</f>
        <v>TAX REFUND</v>
      </c>
      <c r="C99" s="766"/>
      <c r="D99" s="766"/>
      <c r="E99" s="766"/>
      <c r="F99" s="766"/>
      <c r="G99" s="767">
        <f>+G97-G98</f>
        <v>-6</v>
      </c>
      <c r="H99" s="768"/>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dataConsolidate/>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0:F90 B99:F99 B93:F97">
    <cfRule type="cellIs" dxfId="67" priority="3" stopIfTrue="1" operator="equal">
      <formula>"TAX PAYABLE"</formula>
    </cfRule>
    <cfRule type="cellIs" dxfId="66" priority="4" stopIfTrue="1" operator="equal">
      <formula>"TAX REFUND"</formula>
    </cfRule>
  </conditionalFormatting>
  <conditionalFormatting sqref="G90:H90">
    <cfRule type="cellIs" dxfId="65" priority="5" stopIfTrue="1" operator="lessThan">
      <formula>0</formula>
    </cfRule>
    <cfRule type="cellIs" dxfId="64" priority="6" stopIfTrue="1" operator="greaterThan">
      <formula>0</formula>
    </cfRule>
  </conditionalFormatting>
  <conditionalFormatting sqref="G99:H99">
    <cfRule type="cellIs" dxfId="63" priority="1" stopIfTrue="1" operator="greaterThan">
      <formula>0</formula>
    </cfRule>
    <cfRule type="cellIs" dxfId="62"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hyperlinks>
    <hyperlink ref="J51" r:id="rId1" display="+J37-@sum(J22:J36)"/>
  </hyperlinks>
  <pageMargins left="0.7" right="0.7" top="0.75" bottom="0.75" header="0.3" footer="0.3"/>
  <pageSetup paperSize="5" orientation="landscape" horizontalDpi="300" verticalDpi="300" r:id="rId2"/>
  <headerFooter alignWithMargins="0"/>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8"/>
  <sheetViews>
    <sheetView workbookViewId="0">
      <selection activeCell="D6" sqref="D6:F6"/>
    </sheetView>
  </sheetViews>
  <sheetFormatPr defaultRowHeight="12.75" x14ac:dyDescent="0.2"/>
  <cols>
    <col min="1" max="1" width="5" style="16" customWidth="1"/>
    <col min="2" max="2" width="18.140625" style="37" customWidth="1"/>
    <col min="3" max="3" width="10.7109375" style="16" bestFit="1" customWidth="1"/>
    <col min="4" max="4" width="7" style="16" bestFit="1" customWidth="1"/>
    <col min="5" max="5" width="8.5703125" style="16" bestFit="1" customWidth="1"/>
    <col min="6" max="6" width="9.28515625" style="16" bestFit="1" customWidth="1"/>
    <col min="7" max="7" width="10.42578125" style="16" bestFit="1" customWidth="1"/>
    <col min="8" max="8" width="10.28515625" style="16" bestFit="1" customWidth="1"/>
    <col min="9" max="9" width="7.140625" style="16" bestFit="1" customWidth="1"/>
    <col min="10" max="10" width="7.85546875" style="16" customWidth="1"/>
    <col min="11" max="11" width="7.140625" style="16" bestFit="1" customWidth="1"/>
    <col min="12" max="12" width="7" style="16" bestFit="1" customWidth="1"/>
    <col min="13" max="13" width="6.85546875" style="16" bestFit="1" customWidth="1"/>
    <col min="14" max="14" width="7" style="16" bestFit="1" customWidth="1"/>
    <col min="15" max="15" width="8.4257812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8.140625" style="16" customWidth="1"/>
    <col min="259" max="259" width="10.7109375" style="16" bestFit="1" customWidth="1"/>
    <col min="260" max="260" width="7" style="16" bestFit="1" customWidth="1"/>
    <col min="261" max="261" width="8.5703125" style="16" bestFit="1" customWidth="1"/>
    <col min="262" max="262" width="9.28515625" style="16" bestFit="1" customWidth="1"/>
    <col min="263" max="263" width="10.42578125" style="16" bestFit="1" customWidth="1"/>
    <col min="264" max="264" width="10.28515625" style="16" bestFit="1" customWidth="1"/>
    <col min="265" max="265" width="7.140625" style="16" bestFit="1" customWidth="1"/>
    <col min="266" max="266" width="7.85546875" style="16" customWidth="1"/>
    <col min="267" max="267" width="7.140625" style="16" bestFit="1" customWidth="1"/>
    <col min="268" max="268" width="7" style="16" bestFit="1" customWidth="1"/>
    <col min="269" max="269" width="6.85546875" style="16" bestFit="1" customWidth="1"/>
    <col min="270" max="270" width="7" style="16" bestFit="1" customWidth="1"/>
    <col min="271" max="271" width="8.4257812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8.140625" style="16" customWidth="1"/>
    <col min="515" max="515" width="10.7109375" style="16" bestFit="1" customWidth="1"/>
    <col min="516" max="516" width="7" style="16" bestFit="1" customWidth="1"/>
    <col min="517" max="517" width="8.5703125" style="16" bestFit="1" customWidth="1"/>
    <col min="518" max="518" width="9.28515625" style="16" bestFit="1" customWidth="1"/>
    <col min="519" max="519" width="10.42578125" style="16" bestFit="1" customWidth="1"/>
    <col min="520" max="520" width="10.28515625" style="16" bestFit="1" customWidth="1"/>
    <col min="521" max="521" width="7.140625" style="16" bestFit="1" customWidth="1"/>
    <col min="522" max="522" width="7.85546875" style="16" customWidth="1"/>
    <col min="523" max="523" width="7.140625" style="16" bestFit="1" customWidth="1"/>
    <col min="524" max="524" width="7" style="16" bestFit="1" customWidth="1"/>
    <col min="525" max="525" width="6.85546875" style="16" bestFit="1" customWidth="1"/>
    <col min="526" max="526" width="7" style="16" bestFit="1" customWidth="1"/>
    <col min="527" max="527" width="8.4257812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8.140625" style="16" customWidth="1"/>
    <col min="771" max="771" width="10.7109375" style="16" bestFit="1" customWidth="1"/>
    <col min="772" max="772" width="7" style="16" bestFit="1" customWidth="1"/>
    <col min="773" max="773" width="8.5703125" style="16" bestFit="1" customWidth="1"/>
    <col min="774" max="774" width="9.28515625" style="16" bestFit="1" customWidth="1"/>
    <col min="775" max="775" width="10.42578125" style="16" bestFit="1" customWidth="1"/>
    <col min="776" max="776" width="10.28515625" style="16" bestFit="1" customWidth="1"/>
    <col min="777" max="777" width="7.140625" style="16" bestFit="1" customWidth="1"/>
    <col min="778" max="778" width="7.85546875" style="16" customWidth="1"/>
    <col min="779" max="779" width="7.140625" style="16" bestFit="1" customWidth="1"/>
    <col min="780" max="780" width="7" style="16" bestFit="1" customWidth="1"/>
    <col min="781" max="781" width="6.85546875" style="16" bestFit="1" customWidth="1"/>
    <col min="782" max="782" width="7" style="16" bestFit="1" customWidth="1"/>
    <col min="783" max="783" width="8.4257812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8.140625" style="16" customWidth="1"/>
    <col min="1027" max="1027" width="10.7109375" style="16" bestFit="1" customWidth="1"/>
    <col min="1028" max="1028" width="7" style="16" bestFit="1" customWidth="1"/>
    <col min="1029" max="1029" width="8.5703125" style="16" bestFit="1" customWidth="1"/>
    <col min="1030" max="1030" width="9.28515625" style="16" bestFit="1" customWidth="1"/>
    <col min="1031" max="1031" width="10.42578125" style="16" bestFit="1" customWidth="1"/>
    <col min="1032" max="1032" width="10.28515625" style="16" bestFit="1" customWidth="1"/>
    <col min="1033" max="1033" width="7.140625" style="16" bestFit="1" customWidth="1"/>
    <col min="1034" max="1034" width="7.85546875" style="16" customWidth="1"/>
    <col min="1035" max="1035" width="7.140625" style="16" bestFit="1" customWidth="1"/>
    <col min="1036" max="1036" width="7" style="16" bestFit="1" customWidth="1"/>
    <col min="1037" max="1037" width="6.85546875" style="16" bestFit="1" customWidth="1"/>
    <col min="1038" max="1038" width="7" style="16" bestFit="1" customWidth="1"/>
    <col min="1039" max="1039" width="8.4257812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8.140625" style="16" customWidth="1"/>
    <col min="1283" max="1283" width="10.7109375" style="16" bestFit="1" customWidth="1"/>
    <col min="1284" max="1284" width="7" style="16" bestFit="1" customWidth="1"/>
    <col min="1285" max="1285" width="8.5703125" style="16" bestFit="1" customWidth="1"/>
    <col min="1286" max="1286" width="9.28515625" style="16" bestFit="1" customWidth="1"/>
    <col min="1287" max="1287" width="10.42578125" style="16" bestFit="1" customWidth="1"/>
    <col min="1288" max="1288" width="10.28515625" style="16" bestFit="1" customWidth="1"/>
    <col min="1289" max="1289" width="7.140625" style="16" bestFit="1" customWidth="1"/>
    <col min="1290" max="1290" width="7.85546875" style="16" customWidth="1"/>
    <col min="1291" max="1291" width="7.140625" style="16" bestFit="1" customWidth="1"/>
    <col min="1292" max="1292" width="7" style="16" bestFit="1" customWidth="1"/>
    <col min="1293" max="1293" width="6.85546875" style="16" bestFit="1" customWidth="1"/>
    <col min="1294" max="1294" width="7" style="16" bestFit="1" customWidth="1"/>
    <col min="1295" max="1295" width="8.4257812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8.140625" style="16" customWidth="1"/>
    <col min="1539" max="1539" width="10.7109375" style="16" bestFit="1" customWidth="1"/>
    <col min="1540" max="1540" width="7" style="16" bestFit="1" customWidth="1"/>
    <col min="1541" max="1541" width="8.5703125" style="16" bestFit="1" customWidth="1"/>
    <col min="1542" max="1542" width="9.28515625" style="16" bestFit="1" customWidth="1"/>
    <col min="1543" max="1543" width="10.42578125" style="16" bestFit="1" customWidth="1"/>
    <col min="1544" max="1544" width="10.28515625" style="16" bestFit="1" customWidth="1"/>
    <col min="1545" max="1545" width="7.140625" style="16" bestFit="1" customWidth="1"/>
    <col min="1546" max="1546" width="7.85546875" style="16" customWidth="1"/>
    <col min="1547" max="1547" width="7.140625" style="16" bestFit="1" customWidth="1"/>
    <col min="1548" max="1548" width="7" style="16" bestFit="1" customWidth="1"/>
    <col min="1549" max="1549" width="6.85546875" style="16" bestFit="1" customWidth="1"/>
    <col min="1550" max="1550" width="7" style="16" bestFit="1" customWidth="1"/>
    <col min="1551" max="1551" width="8.4257812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8.140625" style="16" customWidth="1"/>
    <col min="1795" max="1795" width="10.7109375" style="16" bestFit="1" customWidth="1"/>
    <col min="1796" max="1796" width="7" style="16" bestFit="1" customWidth="1"/>
    <col min="1797" max="1797" width="8.5703125" style="16" bestFit="1" customWidth="1"/>
    <col min="1798" max="1798" width="9.28515625" style="16" bestFit="1" customWidth="1"/>
    <col min="1799" max="1799" width="10.42578125" style="16" bestFit="1" customWidth="1"/>
    <col min="1800" max="1800" width="10.28515625" style="16" bestFit="1" customWidth="1"/>
    <col min="1801" max="1801" width="7.140625" style="16" bestFit="1" customWidth="1"/>
    <col min="1802" max="1802" width="7.85546875" style="16" customWidth="1"/>
    <col min="1803" max="1803" width="7.140625" style="16" bestFit="1" customWidth="1"/>
    <col min="1804" max="1804" width="7" style="16" bestFit="1" customWidth="1"/>
    <col min="1805" max="1805" width="6.85546875" style="16" bestFit="1" customWidth="1"/>
    <col min="1806" max="1806" width="7" style="16" bestFit="1" customWidth="1"/>
    <col min="1807" max="1807" width="8.4257812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8.140625" style="16" customWidth="1"/>
    <col min="2051" max="2051" width="10.7109375" style="16" bestFit="1" customWidth="1"/>
    <col min="2052" max="2052" width="7" style="16" bestFit="1" customWidth="1"/>
    <col min="2053" max="2053" width="8.5703125" style="16" bestFit="1" customWidth="1"/>
    <col min="2054" max="2054" width="9.28515625" style="16" bestFit="1" customWidth="1"/>
    <col min="2055" max="2055" width="10.42578125" style="16" bestFit="1" customWidth="1"/>
    <col min="2056" max="2056" width="10.28515625" style="16" bestFit="1" customWidth="1"/>
    <col min="2057" max="2057" width="7.140625" style="16" bestFit="1" customWidth="1"/>
    <col min="2058" max="2058" width="7.85546875" style="16" customWidth="1"/>
    <col min="2059" max="2059" width="7.140625" style="16" bestFit="1" customWidth="1"/>
    <col min="2060" max="2060" width="7" style="16" bestFit="1" customWidth="1"/>
    <col min="2061" max="2061" width="6.85546875" style="16" bestFit="1" customWidth="1"/>
    <col min="2062" max="2062" width="7" style="16" bestFit="1" customWidth="1"/>
    <col min="2063" max="2063" width="8.4257812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8.140625" style="16" customWidth="1"/>
    <col min="2307" max="2307" width="10.7109375" style="16" bestFit="1" customWidth="1"/>
    <col min="2308" max="2308" width="7" style="16" bestFit="1" customWidth="1"/>
    <col min="2309" max="2309" width="8.5703125" style="16" bestFit="1" customWidth="1"/>
    <col min="2310" max="2310" width="9.28515625" style="16" bestFit="1" customWidth="1"/>
    <col min="2311" max="2311" width="10.42578125" style="16" bestFit="1" customWidth="1"/>
    <col min="2312" max="2312" width="10.28515625" style="16" bestFit="1" customWidth="1"/>
    <col min="2313" max="2313" width="7.140625" style="16" bestFit="1" customWidth="1"/>
    <col min="2314" max="2314" width="7.85546875" style="16" customWidth="1"/>
    <col min="2315" max="2315" width="7.140625" style="16" bestFit="1" customWidth="1"/>
    <col min="2316" max="2316" width="7" style="16" bestFit="1" customWidth="1"/>
    <col min="2317" max="2317" width="6.85546875" style="16" bestFit="1" customWidth="1"/>
    <col min="2318" max="2318" width="7" style="16" bestFit="1" customWidth="1"/>
    <col min="2319" max="2319" width="8.4257812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8.140625" style="16" customWidth="1"/>
    <col min="2563" max="2563" width="10.7109375" style="16" bestFit="1" customWidth="1"/>
    <col min="2564" max="2564" width="7" style="16" bestFit="1" customWidth="1"/>
    <col min="2565" max="2565" width="8.5703125" style="16" bestFit="1" customWidth="1"/>
    <col min="2566" max="2566" width="9.28515625" style="16" bestFit="1" customWidth="1"/>
    <col min="2567" max="2567" width="10.42578125" style="16" bestFit="1" customWidth="1"/>
    <col min="2568" max="2568" width="10.28515625" style="16" bestFit="1" customWidth="1"/>
    <col min="2569" max="2569" width="7.140625" style="16" bestFit="1" customWidth="1"/>
    <col min="2570" max="2570" width="7.85546875" style="16" customWidth="1"/>
    <col min="2571" max="2571" width="7.140625" style="16" bestFit="1" customWidth="1"/>
    <col min="2572" max="2572" width="7" style="16" bestFit="1" customWidth="1"/>
    <col min="2573" max="2573" width="6.85546875" style="16" bestFit="1" customWidth="1"/>
    <col min="2574" max="2574" width="7" style="16" bestFit="1" customWidth="1"/>
    <col min="2575" max="2575" width="8.4257812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8.140625" style="16" customWidth="1"/>
    <col min="2819" max="2819" width="10.7109375" style="16" bestFit="1" customWidth="1"/>
    <col min="2820" max="2820" width="7" style="16" bestFit="1" customWidth="1"/>
    <col min="2821" max="2821" width="8.5703125" style="16" bestFit="1" customWidth="1"/>
    <col min="2822" max="2822" width="9.28515625" style="16" bestFit="1" customWidth="1"/>
    <col min="2823" max="2823" width="10.42578125" style="16" bestFit="1" customWidth="1"/>
    <col min="2824" max="2824" width="10.28515625" style="16" bestFit="1" customWidth="1"/>
    <col min="2825" max="2825" width="7.140625" style="16" bestFit="1" customWidth="1"/>
    <col min="2826" max="2826" width="7.85546875" style="16" customWidth="1"/>
    <col min="2827" max="2827" width="7.140625" style="16" bestFit="1" customWidth="1"/>
    <col min="2828" max="2828" width="7" style="16" bestFit="1" customWidth="1"/>
    <col min="2829" max="2829" width="6.85546875" style="16" bestFit="1" customWidth="1"/>
    <col min="2830" max="2830" width="7" style="16" bestFit="1" customWidth="1"/>
    <col min="2831" max="2831" width="8.4257812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8.140625" style="16" customWidth="1"/>
    <col min="3075" max="3075" width="10.7109375" style="16" bestFit="1" customWidth="1"/>
    <col min="3076" max="3076" width="7" style="16" bestFit="1" customWidth="1"/>
    <col min="3077" max="3077" width="8.5703125" style="16" bestFit="1" customWidth="1"/>
    <col min="3078" max="3078" width="9.28515625" style="16" bestFit="1" customWidth="1"/>
    <col min="3079" max="3079" width="10.42578125" style="16" bestFit="1" customWidth="1"/>
    <col min="3080" max="3080" width="10.28515625" style="16" bestFit="1" customWidth="1"/>
    <col min="3081" max="3081" width="7.140625" style="16" bestFit="1" customWidth="1"/>
    <col min="3082" max="3082" width="7.85546875" style="16" customWidth="1"/>
    <col min="3083" max="3083" width="7.140625" style="16" bestFit="1" customWidth="1"/>
    <col min="3084" max="3084" width="7" style="16" bestFit="1" customWidth="1"/>
    <col min="3085" max="3085" width="6.85546875" style="16" bestFit="1" customWidth="1"/>
    <col min="3086" max="3086" width="7" style="16" bestFit="1" customWidth="1"/>
    <col min="3087" max="3087" width="8.4257812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8.140625" style="16" customWidth="1"/>
    <col min="3331" max="3331" width="10.7109375" style="16" bestFit="1" customWidth="1"/>
    <col min="3332" max="3332" width="7" style="16" bestFit="1" customWidth="1"/>
    <col min="3333" max="3333" width="8.5703125" style="16" bestFit="1" customWidth="1"/>
    <col min="3334" max="3334" width="9.28515625" style="16" bestFit="1" customWidth="1"/>
    <col min="3335" max="3335" width="10.42578125" style="16" bestFit="1" customWidth="1"/>
    <col min="3336" max="3336" width="10.28515625" style="16" bestFit="1" customWidth="1"/>
    <col min="3337" max="3337" width="7.140625" style="16" bestFit="1" customWidth="1"/>
    <col min="3338" max="3338" width="7.85546875" style="16" customWidth="1"/>
    <col min="3339" max="3339" width="7.140625" style="16" bestFit="1" customWidth="1"/>
    <col min="3340" max="3340" width="7" style="16" bestFit="1" customWidth="1"/>
    <col min="3341" max="3341" width="6.85546875" style="16" bestFit="1" customWidth="1"/>
    <col min="3342" max="3342" width="7" style="16" bestFit="1" customWidth="1"/>
    <col min="3343" max="3343" width="8.4257812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8.140625" style="16" customWidth="1"/>
    <col min="3587" max="3587" width="10.7109375" style="16" bestFit="1" customWidth="1"/>
    <col min="3588" max="3588" width="7" style="16" bestFit="1" customWidth="1"/>
    <col min="3589" max="3589" width="8.5703125" style="16" bestFit="1" customWidth="1"/>
    <col min="3590" max="3590" width="9.28515625" style="16" bestFit="1" customWidth="1"/>
    <col min="3591" max="3591" width="10.42578125" style="16" bestFit="1" customWidth="1"/>
    <col min="3592" max="3592" width="10.28515625" style="16" bestFit="1" customWidth="1"/>
    <col min="3593" max="3593" width="7.140625" style="16" bestFit="1" customWidth="1"/>
    <col min="3594" max="3594" width="7.85546875" style="16" customWidth="1"/>
    <col min="3595" max="3595" width="7.140625" style="16" bestFit="1" customWidth="1"/>
    <col min="3596" max="3596" width="7" style="16" bestFit="1" customWidth="1"/>
    <col min="3597" max="3597" width="6.85546875" style="16" bestFit="1" customWidth="1"/>
    <col min="3598" max="3598" width="7" style="16" bestFit="1" customWidth="1"/>
    <col min="3599" max="3599" width="8.4257812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8.140625" style="16" customWidth="1"/>
    <col min="3843" max="3843" width="10.7109375" style="16" bestFit="1" customWidth="1"/>
    <col min="3844" max="3844" width="7" style="16" bestFit="1" customWidth="1"/>
    <col min="3845" max="3845" width="8.5703125" style="16" bestFit="1" customWidth="1"/>
    <col min="3846" max="3846" width="9.28515625" style="16" bestFit="1" customWidth="1"/>
    <col min="3847" max="3847" width="10.42578125" style="16" bestFit="1" customWidth="1"/>
    <col min="3848" max="3848" width="10.28515625" style="16" bestFit="1" customWidth="1"/>
    <col min="3849" max="3849" width="7.140625" style="16" bestFit="1" customWidth="1"/>
    <col min="3850" max="3850" width="7.85546875" style="16" customWidth="1"/>
    <col min="3851" max="3851" width="7.140625" style="16" bestFit="1" customWidth="1"/>
    <col min="3852" max="3852" width="7" style="16" bestFit="1" customWidth="1"/>
    <col min="3853" max="3853" width="6.85546875" style="16" bestFit="1" customWidth="1"/>
    <col min="3854" max="3854" width="7" style="16" bestFit="1" customWidth="1"/>
    <col min="3855" max="3855" width="8.4257812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8.140625" style="16" customWidth="1"/>
    <col min="4099" max="4099" width="10.7109375" style="16" bestFit="1" customWidth="1"/>
    <col min="4100" max="4100" width="7" style="16" bestFit="1" customWidth="1"/>
    <col min="4101" max="4101" width="8.5703125" style="16" bestFit="1" customWidth="1"/>
    <col min="4102" max="4102" width="9.28515625" style="16" bestFit="1" customWidth="1"/>
    <col min="4103" max="4103" width="10.42578125" style="16" bestFit="1" customWidth="1"/>
    <col min="4104" max="4104" width="10.28515625" style="16" bestFit="1" customWidth="1"/>
    <col min="4105" max="4105" width="7.140625" style="16" bestFit="1" customWidth="1"/>
    <col min="4106" max="4106" width="7.85546875" style="16" customWidth="1"/>
    <col min="4107" max="4107" width="7.140625" style="16" bestFit="1" customWidth="1"/>
    <col min="4108" max="4108" width="7" style="16" bestFit="1" customWidth="1"/>
    <col min="4109" max="4109" width="6.85546875" style="16" bestFit="1" customWidth="1"/>
    <col min="4110" max="4110" width="7" style="16" bestFit="1" customWidth="1"/>
    <col min="4111" max="4111" width="8.4257812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8.140625" style="16" customWidth="1"/>
    <col min="4355" max="4355" width="10.7109375" style="16" bestFit="1" customWidth="1"/>
    <col min="4356" max="4356" width="7" style="16" bestFit="1" customWidth="1"/>
    <col min="4357" max="4357" width="8.5703125" style="16" bestFit="1" customWidth="1"/>
    <col min="4358" max="4358" width="9.28515625" style="16" bestFit="1" customWidth="1"/>
    <col min="4359" max="4359" width="10.42578125" style="16" bestFit="1" customWidth="1"/>
    <col min="4360" max="4360" width="10.28515625" style="16" bestFit="1" customWidth="1"/>
    <col min="4361" max="4361" width="7.140625" style="16" bestFit="1" customWidth="1"/>
    <col min="4362" max="4362" width="7.85546875" style="16" customWidth="1"/>
    <col min="4363" max="4363" width="7.140625" style="16" bestFit="1" customWidth="1"/>
    <col min="4364" max="4364" width="7" style="16" bestFit="1" customWidth="1"/>
    <col min="4365" max="4365" width="6.85546875" style="16" bestFit="1" customWidth="1"/>
    <col min="4366" max="4366" width="7" style="16" bestFit="1" customWidth="1"/>
    <col min="4367" max="4367" width="8.4257812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8.140625" style="16" customWidth="1"/>
    <col min="4611" max="4611" width="10.7109375" style="16" bestFit="1" customWidth="1"/>
    <col min="4612" max="4612" width="7" style="16" bestFit="1" customWidth="1"/>
    <col min="4613" max="4613" width="8.5703125" style="16" bestFit="1" customWidth="1"/>
    <col min="4614" max="4614" width="9.28515625" style="16" bestFit="1" customWidth="1"/>
    <col min="4615" max="4615" width="10.42578125" style="16" bestFit="1" customWidth="1"/>
    <col min="4616" max="4616" width="10.28515625" style="16" bestFit="1" customWidth="1"/>
    <col min="4617" max="4617" width="7.140625" style="16" bestFit="1" customWidth="1"/>
    <col min="4618" max="4618" width="7.85546875" style="16" customWidth="1"/>
    <col min="4619" max="4619" width="7.140625" style="16" bestFit="1" customWidth="1"/>
    <col min="4620" max="4620" width="7" style="16" bestFit="1" customWidth="1"/>
    <col min="4621" max="4621" width="6.85546875" style="16" bestFit="1" customWidth="1"/>
    <col min="4622" max="4622" width="7" style="16" bestFit="1" customWidth="1"/>
    <col min="4623" max="4623" width="8.4257812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8.140625" style="16" customWidth="1"/>
    <col min="4867" max="4867" width="10.7109375" style="16" bestFit="1" customWidth="1"/>
    <col min="4868" max="4868" width="7" style="16" bestFit="1" customWidth="1"/>
    <col min="4869" max="4869" width="8.5703125" style="16" bestFit="1" customWidth="1"/>
    <col min="4870" max="4870" width="9.28515625" style="16" bestFit="1" customWidth="1"/>
    <col min="4871" max="4871" width="10.42578125" style="16" bestFit="1" customWidth="1"/>
    <col min="4872" max="4872" width="10.28515625" style="16" bestFit="1" customWidth="1"/>
    <col min="4873" max="4873" width="7.140625" style="16" bestFit="1" customWidth="1"/>
    <col min="4874" max="4874" width="7.85546875" style="16" customWidth="1"/>
    <col min="4875" max="4875" width="7.140625" style="16" bestFit="1" customWidth="1"/>
    <col min="4876" max="4876" width="7" style="16" bestFit="1" customWidth="1"/>
    <col min="4877" max="4877" width="6.85546875" style="16" bestFit="1" customWidth="1"/>
    <col min="4878" max="4878" width="7" style="16" bestFit="1" customWidth="1"/>
    <col min="4879" max="4879" width="8.4257812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8.140625" style="16" customWidth="1"/>
    <col min="5123" max="5123" width="10.7109375" style="16" bestFit="1" customWidth="1"/>
    <col min="5124" max="5124" width="7" style="16" bestFit="1" customWidth="1"/>
    <col min="5125" max="5125" width="8.5703125" style="16" bestFit="1" customWidth="1"/>
    <col min="5126" max="5126" width="9.28515625" style="16" bestFit="1" customWidth="1"/>
    <col min="5127" max="5127" width="10.42578125" style="16" bestFit="1" customWidth="1"/>
    <col min="5128" max="5128" width="10.28515625" style="16" bestFit="1" customWidth="1"/>
    <col min="5129" max="5129" width="7.140625" style="16" bestFit="1" customWidth="1"/>
    <col min="5130" max="5130" width="7.85546875" style="16" customWidth="1"/>
    <col min="5131" max="5131" width="7.140625" style="16" bestFit="1" customWidth="1"/>
    <col min="5132" max="5132" width="7" style="16" bestFit="1" customWidth="1"/>
    <col min="5133" max="5133" width="6.85546875" style="16" bestFit="1" customWidth="1"/>
    <col min="5134" max="5134" width="7" style="16" bestFit="1" customWidth="1"/>
    <col min="5135" max="5135" width="8.4257812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8.140625" style="16" customWidth="1"/>
    <col min="5379" max="5379" width="10.7109375" style="16" bestFit="1" customWidth="1"/>
    <col min="5380" max="5380" width="7" style="16" bestFit="1" customWidth="1"/>
    <col min="5381" max="5381" width="8.5703125" style="16" bestFit="1" customWidth="1"/>
    <col min="5382" max="5382" width="9.28515625" style="16" bestFit="1" customWidth="1"/>
    <col min="5383" max="5383" width="10.42578125" style="16" bestFit="1" customWidth="1"/>
    <col min="5384" max="5384" width="10.28515625" style="16" bestFit="1" customWidth="1"/>
    <col min="5385" max="5385" width="7.140625" style="16" bestFit="1" customWidth="1"/>
    <col min="5386" max="5386" width="7.85546875" style="16" customWidth="1"/>
    <col min="5387" max="5387" width="7.140625" style="16" bestFit="1" customWidth="1"/>
    <col min="5388" max="5388" width="7" style="16" bestFit="1" customWidth="1"/>
    <col min="5389" max="5389" width="6.85546875" style="16" bestFit="1" customWidth="1"/>
    <col min="5390" max="5390" width="7" style="16" bestFit="1" customWidth="1"/>
    <col min="5391" max="5391" width="8.4257812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8.140625" style="16" customWidth="1"/>
    <col min="5635" max="5635" width="10.7109375" style="16" bestFit="1" customWidth="1"/>
    <col min="5636" max="5636" width="7" style="16" bestFit="1" customWidth="1"/>
    <col min="5637" max="5637" width="8.5703125" style="16" bestFit="1" customWidth="1"/>
    <col min="5638" max="5638" width="9.28515625" style="16" bestFit="1" customWidth="1"/>
    <col min="5639" max="5639" width="10.42578125" style="16" bestFit="1" customWidth="1"/>
    <col min="5640" max="5640" width="10.28515625" style="16" bestFit="1" customWidth="1"/>
    <col min="5641" max="5641" width="7.140625" style="16" bestFit="1" customWidth="1"/>
    <col min="5642" max="5642" width="7.85546875" style="16" customWidth="1"/>
    <col min="5643" max="5643" width="7.140625" style="16" bestFit="1" customWidth="1"/>
    <col min="5644" max="5644" width="7" style="16" bestFit="1" customWidth="1"/>
    <col min="5645" max="5645" width="6.85546875" style="16" bestFit="1" customWidth="1"/>
    <col min="5646" max="5646" width="7" style="16" bestFit="1" customWidth="1"/>
    <col min="5647" max="5647" width="8.4257812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8.140625" style="16" customWidth="1"/>
    <col min="5891" max="5891" width="10.7109375" style="16" bestFit="1" customWidth="1"/>
    <col min="5892" max="5892" width="7" style="16" bestFit="1" customWidth="1"/>
    <col min="5893" max="5893" width="8.5703125" style="16" bestFit="1" customWidth="1"/>
    <col min="5894" max="5894" width="9.28515625" style="16" bestFit="1" customWidth="1"/>
    <col min="5895" max="5895" width="10.42578125" style="16" bestFit="1" customWidth="1"/>
    <col min="5896" max="5896" width="10.28515625" style="16" bestFit="1" customWidth="1"/>
    <col min="5897" max="5897" width="7.140625" style="16" bestFit="1" customWidth="1"/>
    <col min="5898" max="5898" width="7.85546875" style="16" customWidth="1"/>
    <col min="5899" max="5899" width="7.140625" style="16" bestFit="1" customWidth="1"/>
    <col min="5900" max="5900" width="7" style="16" bestFit="1" customWidth="1"/>
    <col min="5901" max="5901" width="6.85546875" style="16" bestFit="1" customWidth="1"/>
    <col min="5902" max="5902" width="7" style="16" bestFit="1" customWidth="1"/>
    <col min="5903" max="5903" width="8.4257812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8.140625" style="16" customWidth="1"/>
    <col min="6147" max="6147" width="10.7109375" style="16" bestFit="1" customWidth="1"/>
    <col min="6148" max="6148" width="7" style="16" bestFit="1" customWidth="1"/>
    <col min="6149" max="6149" width="8.5703125" style="16" bestFit="1" customWidth="1"/>
    <col min="6150" max="6150" width="9.28515625" style="16" bestFit="1" customWidth="1"/>
    <col min="6151" max="6151" width="10.42578125" style="16" bestFit="1" customWidth="1"/>
    <col min="6152" max="6152" width="10.28515625" style="16" bestFit="1" customWidth="1"/>
    <col min="6153" max="6153" width="7.140625" style="16" bestFit="1" customWidth="1"/>
    <col min="6154" max="6154" width="7.85546875" style="16" customWidth="1"/>
    <col min="6155" max="6155" width="7.140625" style="16" bestFit="1" customWidth="1"/>
    <col min="6156" max="6156" width="7" style="16" bestFit="1" customWidth="1"/>
    <col min="6157" max="6157" width="6.85546875" style="16" bestFit="1" customWidth="1"/>
    <col min="6158" max="6158" width="7" style="16" bestFit="1" customWidth="1"/>
    <col min="6159" max="6159" width="8.4257812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8.140625" style="16" customWidth="1"/>
    <col min="6403" max="6403" width="10.7109375" style="16" bestFit="1" customWidth="1"/>
    <col min="6404" max="6404" width="7" style="16" bestFit="1" customWidth="1"/>
    <col min="6405" max="6405" width="8.5703125" style="16" bestFit="1" customWidth="1"/>
    <col min="6406" max="6406" width="9.28515625" style="16" bestFit="1" customWidth="1"/>
    <col min="6407" max="6407" width="10.42578125" style="16" bestFit="1" customWidth="1"/>
    <col min="6408" max="6408" width="10.28515625" style="16" bestFit="1" customWidth="1"/>
    <col min="6409" max="6409" width="7.140625" style="16" bestFit="1" customWidth="1"/>
    <col min="6410" max="6410" width="7.85546875" style="16" customWidth="1"/>
    <col min="6411" max="6411" width="7.140625" style="16" bestFit="1" customWidth="1"/>
    <col min="6412" max="6412" width="7" style="16" bestFit="1" customWidth="1"/>
    <col min="6413" max="6413" width="6.85546875" style="16" bestFit="1" customWidth="1"/>
    <col min="6414" max="6414" width="7" style="16" bestFit="1" customWidth="1"/>
    <col min="6415" max="6415" width="8.4257812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8.140625" style="16" customWidth="1"/>
    <col min="6659" max="6659" width="10.7109375" style="16" bestFit="1" customWidth="1"/>
    <col min="6660" max="6660" width="7" style="16" bestFit="1" customWidth="1"/>
    <col min="6661" max="6661" width="8.5703125" style="16" bestFit="1" customWidth="1"/>
    <col min="6662" max="6662" width="9.28515625" style="16" bestFit="1" customWidth="1"/>
    <col min="6663" max="6663" width="10.42578125" style="16" bestFit="1" customWidth="1"/>
    <col min="6664" max="6664" width="10.28515625" style="16" bestFit="1" customWidth="1"/>
    <col min="6665" max="6665" width="7.140625" style="16" bestFit="1" customWidth="1"/>
    <col min="6666" max="6666" width="7.85546875" style="16" customWidth="1"/>
    <col min="6667" max="6667" width="7.140625" style="16" bestFit="1" customWidth="1"/>
    <col min="6668" max="6668" width="7" style="16" bestFit="1" customWidth="1"/>
    <col min="6669" max="6669" width="6.85546875" style="16" bestFit="1" customWidth="1"/>
    <col min="6670" max="6670" width="7" style="16" bestFit="1" customWidth="1"/>
    <col min="6671" max="6671" width="8.4257812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8.140625" style="16" customWidth="1"/>
    <col min="6915" max="6915" width="10.7109375" style="16" bestFit="1" customWidth="1"/>
    <col min="6916" max="6916" width="7" style="16" bestFit="1" customWidth="1"/>
    <col min="6917" max="6917" width="8.5703125" style="16" bestFit="1" customWidth="1"/>
    <col min="6918" max="6918" width="9.28515625" style="16" bestFit="1" customWidth="1"/>
    <col min="6919" max="6919" width="10.42578125" style="16" bestFit="1" customWidth="1"/>
    <col min="6920" max="6920" width="10.28515625" style="16" bestFit="1" customWidth="1"/>
    <col min="6921" max="6921" width="7.140625" style="16" bestFit="1" customWidth="1"/>
    <col min="6922" max="6922" width="7.85546875" style="16" customWidth="1"/>
    <col min="6923" max="6923" width="7.140625" style="16" bestFit="1" customWidth="1"/>
    <col min="6924" max="6924" width="7" style="16" bestFit="1" customWidth="1"/>
    <col min="6925" max="6925" width="6.85546875" style="16" bestFit="1" customWidth="1"/>
    <col min="6926" max="6926" width="7" style="16" bestFit="1" customWidth="1"/>
    <col min="6927" max="6927" width="8.4257812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8.140625" style="16" customWidth="1"/>
    <col min="7171" max="7171" width="10.7109375" style="16" bestFit="1" customWidth="1"/>
    <col min="7172" max="7172" width="7" style="16" bestFit="1" customWidth="1"/>
    <col min="7173" max="7173" width="8.5703125" style="16" bestFit="1" customWidth="1"/>
    <col min="7174" max="7174" width="9.28515625" style="16" bestFit="1" customWidth="1"/>
    <col min="7175" max="7175" width="10.42578125" style="16" bestFit="1" customWidth="1"/>
    <col min="7176" max="7176" width="10.28515625" style="16" bestFit="1" customWidth="1"/>
    <col min="7177" max="7177" width="7.140625" style="16" bestFit="1" customWidth="1"/>
    <col min="7178" max="7178" width="7.85546875" style="16" customWidth="1"/>
    <col min="7179" max="7179" width="7.140625" style="16" bestFit="1" customWidth="1"/>
    <col min="7180" max="7180" width="7" style="16" bestFit="1" customWidth="1"/>
    <col min="7181" max="7181" width="6.85546875" style="16" bestFit="1" customWidth="1"/>
    <col min="7182" max="7182" width="7" style="16" bestFit="1" customWidth="1"/>
    <col min="7183" max="7183" width="8.4257812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8.140625" style="16" customWidth="1"/>
    <col min="7427" max="7427" width="10.7109375" style="16" bestFit="1" customWidth="1"/>
    <col min="7428" max="7428" width="7" style="16" bestFit="1" customWidth="1"/>
    <col min="7429" max="7429" width="8.5703125" style="16" bestFit="1" customWidth="1"/>
    <col min="7430" max="7430" width="9.28515625" style="16" bestFit="1" customWidth="1"/>
    <col min="7431" max="7431" width="10.42578125" style="16" bestFit="1" customWidth="1"/>
    <col min="7432" max="7432" width="10.28515625" style="16" bestFit="1" customWidth="1"/>
    <col min="7433" max="7433" width="7.140625" style="16" bestFit="1" customWidth="1"/>
    <col min="7434" max="7434" width="7.85546875" style="16" customWidth="1"/>
    <col min="7435" max="7435" width="7.140625" style="16" bestFit="1" customWidth="1"/>
    <col min="7436" max="7436" width="7" style="16" bestFit="1" customWidth="1"/>
    <col min="7437" max="7437" width="6.85546875" style="16" bestFit="1" customWidth="1"/>
    <col min="7438" max="7438" width="7" style="16" bestFit="1" customWidth="1"/>
    <col min="7439" max="7439" width="8.4257812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8.140625" style="16" customWidth="1"/>
    <col min="7683" max="7683" width="10.7109375" style="16" bestFit="1" customWidth="1"/>
    <col min="7684" max="7684" width="7" style="16" bestFit="1" customWidth="1"/>
    <col min="7685" max="7685" width="8.5703125" style="16" bestFit="1" customWidth="1"/>
    <col min="7686" max="7686" width="9.28515625" style="16" bestFit="1" customWidth="1"/>
    <col min="7687" max="7687" width="10.42578125" style="16" bestFit="1" customWidth="1"/>
    <col min="7688" max="7688" width="10.28515625" style="16" bestFit="1" customWidth="1"/>
    <col min="7689" max="7689" width="7.140625" style="16" bestFit="1" customWidth="1"/>
    <col min="7690" max="7690" width="7.85546875" style="16" customWidth="1"/>
    <col min="7691" max="7691" width="7.140625" style="16" bestFit="1" customWidth="1"/>
    <col min="7692" max="7692" width="7" style="16" bestFit="1" customWidth="1"/>
    <col min="7693" max="7693" width="6.85546875" style="16" bestFit="1" customWidth="1"/>
    <col min="7694" max="7694" width="7" style="16" bestFit="1" customWidth="1"/>
    <col min="7695" max="7695" width="8.4257812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8.140625" style="16" customWidth="1"/>
    <col min="7939" max="7939" width="10.7109375" style="16" bestFit="1" customWidth="1"/>
    <col min="7940" max="7940" width="7" style="16" bestFit="1" customWidth="1"/>
    <col min="7941" max="7941" width="8.5703125" style="16" bestFit="1" customWidth="1"/>
    <col min="7942" max="7942" width="9.28515625" style="16" bestFit="1" customWidth="1"/>
    <col min="7943" max="7943" width="10.42578125" style="16" bestFit="1" customWidth="1"/>
    <col min="7944" max="7944" width="10.28515625" style="16" bestFit="1" customWidth="1"/>
    <col min="7945" max="7945" width="7.140625" style="16" bestFit="1" customWidth="1"/>
    <col min="7946" max="7946" width="7.85546875" style="16" customWidth="1"/>
    <col min="7947" max="7947" width="7.140625" style="16" bestFit="1" customWidth="1"/>
    <col min="7948" max="7948" width="7" style="16" bestFit="1" customWidth="1"/>
    <col min="7949" max="7949" width="6.85546875" style="16" bestFit="1" customWidth="1"/>
    <col min="7950" max="7950" width="7" style="16" bestFit="1" customWidth="1"/>
    <col min="7951" max="7951" width="8.4257812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8.140625" style="16" customWidth="1"/>
    <col min="8195" max="8195" width="10.7109375" style="16" bestFit="1" customWidth="1"/>
    <col min="8196" max="8196" width="7" style="16" bestFit="1" customWidth="1"/>
    <col min="8197" max="8197" width="8.5703125" style="16" bestFit="1" customWidth="1"/>
    <col min="8198" max="8198" width="9.28515625" style="16" bestFit="1" customWidth="1"/>
    <col min="8199" max="8199" width="10.42578125" style="16" bestFit="1" customWidth="1"/>
    <col min="8200" max="8200" width="10.28515625" style="16" bestFit="1" customWidth="1"/>
    <col min="8201" max="8201" width="7.140625" style="16" bestFit="1" customWidth="1"/>
    <col min="8202" max="8202" width="7.85546875" style="16" customWidth="1"/>
    <col min="8203" max="8203" width="7.140625" style="16" bestFit="1" customWidth="1"/>
    <col min="8204" max="8204" width="7" style="16" bestFit="1" customWidth="1"/>
    <col min="8205" max="8205" width="6.85546875" style="16" bestFit="1" customWidth="1"/>
    <col min="8206" max="8206" width="7" style="16" bestFit="1" customWidth="1"/>
    <col min="8207" max="8207" width="8.4257812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8.140625" style="16" customWidth="1"/>
    <col min="8451" max="8451" width="10.7109375" style="16" bestFit="1" customWidth="1"/>
    <col min="8452" max="8452" width="7" style="16" bestFit="1" customWidth="1"/>
    <col min="8453" max="8453" width="8.5703125" style="16" bestFit="1" customWidth="1"/>
    <col min="8454" max="8454" width="9.28515625" style="16" bestFit="1" customWidth="1"/>
    <col min="8455" max="8455" width="10.42578125" style="16" bestFit="1" customWidth="1"/>
    <col min="8456" max="8456" width="10.28515625" style="16" bestFit="1" customWidth="1"/>
    <col min="8457" max="8457" width="7.140625" style="16" bestFit="1" customWidth="1"/>
    <col min="8458" max="8458" width="7.85546875" style="16" customWidth="1"/>
    <col min="8459" max="8459" width="7.140625" style="16" bestFit="1" customWidth="1"/>
    <col min="8460" max="8460" width="7" style="16" bestFit="1" customWidth="1"/>
    <col min="8461" max="8461" width="6.85546875" style="16" bestFit="1" customWidth="1"/>
    <col min="8462" max="8462" width="7" style="16" bestFit="1" customWidth="1"/>
    <col min="8463" max="8463" width="8.4257812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8.140625" style="16" customWidth="1"/>
    <col min="8707" max="8707" width="10.7109375" style="16" bestFit="1" customWidth="1"/>
    <col min="8708" max="8708" width="7" style="16" bestFit="1" customWidth="1"/>
    <col min="8709" max="8709" width="8.5703125" style="16" bestFit="1" customWidth="1"/>
    <col min="8710" max="8710" width="9.28515625" style="16" bestFit="1" customWidth="1"/>
    <col min="8711" max="8711" width="10.42578125" style="16" bestFit="1" customWidth="1"/>
    <col min="8712" max="8712" width="10.28515625" style="16" bestFit="1" customWidth="1"/>
    <col min="8713" max="8713" width="7.140625" style="16" bestFit="1" customWidth="1"/>
    <col min="8714" max="8714" width="7.85546875" style="16" customWidth="1"/>
    <col min="8715" max="8715" width="7.140625" style="16" bestFit="1" customWidth="1"/>
    <col min="8716" max="8716" width="7" style="16" bestFit="1" customWidth="1"/>
    <col min="8717" max="8717" width="6.85546875" style="16" bestFit="1" customWidth="1"/>
    <col min="8718" max="8718" width="7" style="16" bestFit="1" customWidth="1"/>
    <col min="8719" max="8719" width="8.4257812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8.140625" style="16" customWidth="1"/>
    <col min="8963" max="8963" width="10.7109375" style="16" bestFit="1" customWidth="1"/>
    <col min="8964" max="8964" width="7" style="16" bestFit="1" customWidth="1"/>
    <col min="8965" max="8965" width="8.5703125" style="16" bestFit="1" customWidth="1"/>
    <col min="8966" max="8966" width="9.28515625" style="16" bestFit="1" customWidth="1"/>
    <col min="8967" max="8967" width="10.42578125" style="16" bestFit="1" customWidth="1"/>
    <col min="8968" max="8968" width="10.28515625" style="16" bestFit="1" customWidth="1"/>
    <col min="8969" max="8969" width="7.140625" style="16" bestFit="1" customWidth="1"/>
    <col min="8970" max="8970" width="7.85546875" style="16" customWidth="1"/>
    <col min="8971" max="8971" width="7.140625" style="16" bestFit="1" customWidth="1"/>
    <col min="8972" max="8972" width="7" style="16" bestFit="1" customWidth="1"/>
    <col min="8973" max="8973" width="6.85546875" style="16" bestFit="1" customWidth="1"/>
    <col min="8974" max="8974" width="7" style="16" bestFit="1" customWidth="1"/>
    <col min="8975" max="8975" width="8.4257812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8.140625" style="16" customWidth="1"/>
    <col min="9219" max="9219" width="10.7109375" style="16" bestFit="1" customWidth="1"/>
    <col min="9220" max="9220" width="7" style="16" bestFit="1" customWidth="1"/>
    <col min="9221" max="9221" width="8.5703125" style="16" bestFit="1" customWidth="1"/>
    <col min="9222" max="9222" width="9.28515625" style="16" bestFit="1" customWidth="1"/>
    <col min="9223" max="9223" width="10.42578125" style="16" bestFit="1" customWidth="1"/>
    <col min="9224" max="9224" width="10.28515625" style="16" bestFit="1" customWidth="1"/>
    <col min="9225" max="9225" width="7.140625" style="16" bestFit="1" customWidth="1"/>
    <col min="9226" max="9226" width="7.85546875" style="16" customWidth="1"/>
    <col min="9227" max="9227" width="7.140625" style="16" bestFit="1" customWidth="1"/>
    <col min="9228" max="9228" width="7" style="16" bestFit="1" customWidth="1"/>
    <col min="9229" max="9229" width="6.85546875" style="16" bestFit="1" customWidth="1"/>
    <col min="9230" max="9230" width="7" style="16" bestFit="1" customWidth="1"/>
    <col min="9231" max="9231" width="8.4257812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8.140625" style="16" customWidth="1"/>
    <col min="9475" max="9475" width="10.7109375" style="16" bestFit="1" customWidth="1"/>
    <col min="9476" max="9476" width="7" style="16" bestFit="1" customWidth="1"/>
    <col min="9477" max="9477" width="8.5703125" style="16" bestFit="1" customWidth="1"/>
    <col min="9478" max="9478" width="9.28515625" style="16" bestFit="1" customWidth="1"/>
    <col min="9479" max="9479" width="10.42578125" style="16" bestFit="1" customWidth="1"/>
    <col min="9480" max="9480" width="10.28515625" style="16" bestFit="1" customWidth="1"/>
    <col min="9481" max="9481" width="7.140625" style="16" bestFit="1" customWidth="1"/>
    <col min="9482" max="9482" width="7.85546875" style="16" customWidth="1"/>
    <col min="9483" max="9483" width="7.140625" style="16" bestFit="1" customWidth="1"/>
    <col min="9484" max="9484" width="7" style="16" bestFit="1" customWidth="1"/>
    <col min="9485" max="9485" width="6.85546875" style="16" bestFit="1" customWidth="1"/>
    <col min="9486" max="9486" width="7" style="16" bestFit="1" customWidth="1"/>
    <col min="9487" max="9487" width="8.4257812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8.140625" style="16" customWidth="1"/>
    <col min="9731" max="9731" width="10.7109375" style="16" bestFit="1" customWidth="1"/>
    <col min="9732" max="9732" width="7" style="16" bestFit="1" customWidth="1"/>
    <col min="9733" max="9733" width="8.5703125" style="16" bestFit="1" customWidth="1"/>
    <col min="9734" max="9734" width="9.28515625" style="16" bestFit="1" customWidth="1"/>
    <col min="9735" max="9735" width="10.42578125" style="16" bestFit="1" customWidth="1"/>
    <col min="9736" max="9736" width="10.28515625" style="16" bestFit="1" customWidth="1"/>
    <col min="9737" max="9737" width="7.140625" style="16" bestFit="1" customWidth="1"/>
    <col min="9738" max="9738" width="7.85546875" style="16" customWidth="1"/>
    <col min="9739" max="9739" width="7.140625" style="16" bestFit="1" customWidth="1"/>
    <col min="9740" max="9740" width="7" style="16" bestFit="1" customWidth="1"/>
    <col min="9741" max="9741" width="6.85546875" style="16" bestFit="1" customWidth="1"/>
    <col min="9742" max="9742" width="7" style="16" bestFit="1" customWidth="1"/>
    <col min="9743" max="9743" width="8.4257812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8.140625" style="16" customWidth="1"/>
    <col min="9987" max="9987" width="10.7109375" style="16" bestFit="1" customWidth="1"/>
    <col min="9988" max="9988" width="7" style="16" bestFit="1" customWidth="1"/>
    <col min="9989" max="9989" width="8.5703125" style="16" bestFit="1" customWidth="1"/>
    <col min="9990" max="9990" width="9.28515625" style="16" bestFit="1" customWidth="1"/>
    <col min="9991" max="9991" width="10.42578125" style="16" bestFit="1" customWidth="1"/>
    <col min="9992" max="9992" width="10.28515625" style="16" bestFit="1" customWidth="1"/>
    <col min="9993" max="9993" width="7.140625" style="16" bestFit="1" customWidth="1"/>
    <col min="9994" max="9994" width="7.85546875" style="16" customWidth="1"/>
    <col min="9995" max="9995" width="7.140625" style="16" bestFit="1" customWidth="1"/>
    <col min="9996" max="9996" width="7" style="16" bestFit="1" customWidth="1"/>
    <col min="9997" max="9997" width="6.85546875" style="16" bestFit="1" customWidth="1"/>
    <col min="9998" max="9998" width="7" style="16" bestFit="1" customWidth="1"/>
    <col min="9999" max="9999" width="8.4257812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8.140625" style="16" customWidth="1"/>
    <col min="10243" max="10243" width="10.7109375" style="16" bestFit="1" customWidth="1"/>
    <col min="10244" max="10244" width="7" style="16" bestFit="1" customWidth="1"/>
    <col min="10245" max="10245" width="8.5703125" style="16" bestFit="1" customWidth="1"/>
    <col min="10246" max="10246" width="9.28515625" style="16" bestFit="1" customWidth="1"/>
    <col min="10247" max="10247" width="10.42578125" style="16" bestFit="1" customWidth="1"/>
    <col min="10248" max="10248" width="10.28515625" style="16" bestFit="1" customWidth="1"/>
    <col min="10249" max="10249" width="7.140625" style="16" bestFit="1" customWidth="1"/>
    <col min="10250" max="10250" width="7.85546875" style="16" customWidth="1"/>
    <col min="10251" max="10251" width="7.140625" style="16" bestFit="1" customWidth="1"/>
    <col min="10252" max="10252" width="7" style="16" bestFit="1" customWidth="1"/>
    <col min="10253" max="10253" width="6.85546875" style="16" bestFit="1" customWidth="1"/>
    <col min="10254" max="10254" width="7" style="16" bestFit="1" customWidth="1"/>
    <col min="10255" max="10255" width="8.4257812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8.140625" style="16" customWidth="1"/>
    <col min="10499" max="10499" width="10.7109375" style="16" bestFit="1" customWidth="1"/>
    <col min="10500" max="10500" width="7" style="16" bestFit="1" customWidth="1"/>
    <col min="10501" max="10501" width="8.5703125" style="16" bestFit="1" customWidth="1"/>
    <col min="10502" max="10502" width="9.28515625" style="16" bestFit="1" customWidth="1"/>
    <col min="10503" max="10503" width="10.42578125" style="16" bestFit="1" customWidth="1"/>
    <col min="10504" max="10504" width="10.28515625" style="16" bestFit="1" customWidth="1"/>
    <col min="10505" max="10505" width="7.140625" style="16" bestFit="1" customWidth="1"/>
    <col min="10506" max="10506" width="7.85546875" style="16" customWidth="1"/>
    <col min="10507" max="10507" width="7.140625" style="16" bestFit="1" customWidth="1"/>
    <col min="10508" max="10508" width="7" style="16" bestFit="1" customWidth="1"/>
    <col min="10509" max="10509" width="6.85546875" style="16" bestFit="1" customWidth="1"/>
    <col min="10510" max="10510" width="7" style="16" bestFit="1" customWidth="1"/>
    <col min="10511" max="10511" width="8.4257812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8.140625" style="16" customWidth="1"/>
    <col min="10755" max="10755" width="10.7109375" style="16" bestFit="1" customWidth="1"/>
    <col min="10756" max="10756" width="7" style="16" bestFit="1" customWidth="1"/>
    <col min="10757" max="10757" width="8.5703125" style="16" bestFit="1" customWidth="1"/>
    <col min="10758" max="10758" width="9.28515625" style="16" bestFit="1" customWidth="1"/>
    <col min="10759" max="10759" width="10.42578125" style="16" bestFit="1" customWidth="1"/>
    <col min="10760" max="10760" width="10.28515625" style="16" bestFit="1" customWidth="1"/>
    <col min="10761" max="10761" width="7.140625" style="16" bestFit="1" customWidth="1"/>
    <col min="10762" max="10762" width="7.85546875" style="16" customWidth="1"/>
    <col min="10763" max="10763" width="7.140625" style="16" bestFit="1" customWidth="1"/>
    <col min="10764" max="10764" width="7" style="16" bestFit="1" customWidth="1"/>
    <col min="10765" max="10765" width="6.85546875" style="16" bestFit="1" customWidth="1"/>
    <col min="10766" max="10766" width="7" style="16" bestFit="1" customWidth="1"/>
    <col min="10767" max="10767" width="8.4257812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8.140625" style="16" customWidth="1"/>
    <col min="11011" max="11011" width="10.7109375" style="16" bestFit="1" customWidth="1"/>
    <col min="11012" max="11012" width="7" style="16" bestFit="1" customWidth="1"/>
    <col min="11013" max="11013" width="8.5703125" style="16" bestFit="1" customWidth="1"/>
    <col min="11014" max="11014" width="9.28515625" style="16" bestFit="1" customWidth="1"/>
    <col min="11015" max="11015" width="10.42578125" style="16" bestFit="1" customWidth="1"/>
    <col min="11016" max="11016" width="10.28515625" style="16" bestFit="1" customWidth="1"/>
    <col min="11017" max="11017" width="7.140625" style="16" bestFit="1" customWidth="1"/>
    <col min="11018" max="11018" width="7.85546875" style="16" customWidth="1"/>
    <col min="11019" max="11019" width="7.140625" style="16" bestFit="1" customWidth="1"/>
    <col min="11020" max="11020" width="7" style="16" bestFit="1" customWidth="1"/>
    <col min="11021" max="11021" width="6.85546875" style="16" bestFit="1" customWidth="1"/>
    <col min="11022" max="11022" width="7" style="16" bestFit="1" customWidth="1"/>
    <col min="11023" max="11023" width="8.4257812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8.140625" style="16" customWidth="1"/>
    <col min="11267" max="11267" width="10.7109375" style="16" bestFit="1" customWidth="1"/>
    <col min="11268" max="11268" width="7" style="16" bestFit="1" customWidth="1"/>
    <col min="11269" max="11269" width="8.5703125" style="16" bestFit="1" customWidth="1"/>
    <col min="11270" max="11270" width="9.28515625" style="16" bestFit="1" customWidth="1"/>
    <col min="11271" max="11271" width="10.42578125" style="16" bestFit="1" customWidth="1"/>
    <col min="11272" max="11272" width="10.28515625" style="16" bestFit="1" customWidth="1"/>
    <col min="11273" max="11273" width="7.140625" style="16" bestFit="1" customWidth="1"/>
    <col min="11274" max="11274" width="7.85546875" style="16" customWidth="1"/>
    <col min="11275" max="11275" width="7.140625" style="16" bestFit="1" customWidth="1"/>
    <col min="11276" max="11276" width="7" style="16" bestFit="1" customWidth="1"/>
    <col min="11277" max="11277" width="6.85546875" style="16" bestFit="1" customWidth="1"/>
    <col min="11278" max="11278" width="7" style="16" bestFit="1" customWidth="1"/>
    <col min="11279" max="11279" width="8.4257812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8.140625" style="16" customWidth="1"/>
    <col min="11523" max="11523" width="10.7109375" style="16" bestFit="1" customWidth="1"/>
    <col min="11524" max="11524" width="7" style="16" bestFit="1" customWidth="1"/>
    <col min="11525" max="11525" width="8.5703125" style="16" bestFit="1" customWidth="1"/>
    <col min="11526" max="11526" width="9.28515625" style="16" bestFit="1" customWidth="1"/>
    <col min="11527" max="11527" width="10.42578125" style="16" bestFit="1" customWidth="1"/>
    <col min="11528" max="11528" width="10.28515625" style="16" bestFit="1" customWidth="1"/>
    <col min="11529" max="11529" width="7.140625" style="16" bestFit="1" customWidth="1"/>
    <col min="11530" max="11530" width="7.85546875" style="16" customWidth="1"/>
    <col min="11531" max="11531" width="7.140625" style="16" bestFit="1" customWidth="1"/>
    <col min="11532" max="11532" width="7" style="16" bestFit="1" customWidth="1"/>
    <col min="11533" max="11533" width="6.85546875" style="16" bestFit="1" customWidth="1"/>
    <col min="11534" max="11534" width="7" style="16" bestFit="1" customWidth="1"/>
    <col min="11535" max="11535" width="8.4257812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8.140625" style="16" customWidth="1"/>
    <col min="11779" max="11779" width="10.7109375" style="16" bestFit="1" customWidth="1"/>
    <col min="11780" max="11780" width="7" style="16" bestFit="1" customWidth="1"/>
    <col min="11781" max="11781" width="8.5703125" style="16" bestFit="1" customWidth="1"/>
    <col min="11782" max="11782" width="9.28515625" style="16" bestFit="1" customWidth="1"/>
    <col min="11783" max="11783" width="10.42578125" style="16" bestFit="1" customWidth="1"/>
    <col min="11784" max="11784" width="10.28515625" style="16" bestFit="1" customWidth="1"/>
    <col min="11785" max="11785" width="7.140625" style="16" bestFit="1" customWidth="1"/>
    <col min="11786" max="11786" width="7.85546875" style="16" customWidth="1"/>
    <col min="11787" max="11787" width="7.140625" style="16" bestFit="1" customWidth="1"/>
    <col min="11788" max="11788" width="7" style="16" bestFit="1" customWidth="1"/>
    <col min="11789" max="11789" width="6.85546875" style="16" bestFit="1" customWidth="1"/>
    <col min="11790" max="11790" width="7" style="16" bestFit="1" customWidth="1"/>
    <col min="11791" max="11791" width="8.4257812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8.140625" style="16" customWidth="1"/>
    <col min="12035" max="12035" width="10.7109375" style="16" bestFit="1" customWidth="1"/>
    <col min="12036" max="12036" width="7" style="16" bestFit="1" customWidth="1"/>
    <col min="12037" max="12037" width="8.5703125" style="16" bestFit="1" customWidth="1"/>
    <col min="12038" max="12038" width="9.28515625" style="16" bestFit="1" customWidth="1"/>
    <col min="12039" max="12039" width="10.42578125" style="16" bestFit="1" customWidth="1"/>
    <col min="12040" max="12040" width="10.28515625" style="16" bestFit="1" customWidth="1"/>
    <col min="12041" max="12041" width="7.140625" style="16" bestFit="1" customWidth="1"/>
    <col min="12042" max="12042" width="7.85546875" style="16" customWidth="1"/>
    <col min="12043" max="12043" width="7.140625" style="16" bestFit="1" customWidth="1"/>
    <col min="12044" max="12044" width="7" style="16" bestFit="1" customWidth="1"/>
    <col min="12045" max="12045" width="6.85546875" style="16" bestFit="1" customWidth="1"/>
    <col min="12046" max="12046" width="7" style="16" bestFit="1" customWidth="1"/>
    <col min="12047" max="12047" width="8.4257812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8.140625" style="16" customWidth="1"/>
    <col min="12291" max="12291" width="10.7109375" style="16" bestFit="1" customWidth="1"/>
    <col min="12292" max="12292" width="7" style="16" bestFit="1" customWidth="1"/>
    <col min="12293" max="12293" width="8.5703125" style="16" bestFit="1" customWidth="1"/>
    <col min="12294" max="12294" width="9.28515625" style="16" bestFit="1" customWidth="1"/>
    <col min="12295" max="12295" width="10.42578125" style="16" bestFit="1" customWidth="1"/>
    <col min="12296" max="12296" width="10.28515625" style="16" bestFit="1" customWidth="1"/>
    <col min="12297" max="12297" width="7.140625" style="16" bestFit="1" customWidth="1"/>
    <col min="12298" max="12298" width="7.85546875" style="16" customWidth="1"/>
    <col min="12299" max="12299" width="7.140625" style="16" bestFit="1" customWidth="1"/>
    <col min="12300" max="12300" width="7" style="16" bestFit="1" customWidth="1"/>
    <col min="12301" max="12301" width="6.85546875" style="16" bestFit="1" customWidth="1"/>
    <col min="12302" max="12302" width="7" style="16" bestFit="1" customWidth="1"/>
    <col min="12303" max="12303" width="8.4257812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8.140625" style="16" customWidth="1"/>
    <col min="12547" max="12547" width="10.7109375" style="16" bestFit="1" customWidth="1"/>
    <col min="12548" max="12548" width="7" style="16" bestFit="1" customWidth="1"/>
    <col min="12549" max="12549" width="8.5703125" style="16" bestFit="1" customWidth="1"/>
    <col min="12550" max="12550" width="9.28515625" style="16" bestFit="1" customWidth="1"/>
    <col min="12551" max="12551" width="10.42578125" style="16" bestFit="1" customWidth="1"/>
    <col min="12552" max="12552" width="10.28515625" style="16" bestFit="1" customWidth="1"/>
    <col min="12553" max="12553" width="7.140625" style="16" bestFit="1" customWidth="1"/>
    <col min="12554" max="12554" width="7.85546875" style="16" customWidth="1"/>
    <col min="12555" max="12555" width="7.140625" style="16" bestFit="1" customWidth="1"/>
    <col min="12556" max="12556" width="7" style="16" bestFit="1" customWidth="1"/>
    <col min="12557" max="12557" width="6.85546875" style="16" bestFit="1" customWidth="1"/>
    <col min="12558" max="12558" width="7" style="16" bestFit="1" customWidth="1"/>
    <col min="12559" max="12559" width="8.4257812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8.140625" style="16" customWidth="1"/>
    <col min="12803" max="12803" width="10.7109375" style="16" bestFit="1" customWidth="1"/>
    <col min="12804" max="12804" width="7" style="16" bestFit="1" customWidth="1"/>
    <col min="12805" max="12805" width="8.5703125" style="16" bestFit="1" customWidth="1"/>
    <col min="12806" max="12806" width="9.28515625" style="16" bestFit="1" customWidth="1"/>
    <col min="12807" max="12807" width="10.42578125" style="16" bestFit="1" customWidth="1"/>
    <col min="12808" max="12808" width="10.28515625" style="16" bestFit="1" customWidth="1"/>
    <col min="12809" max="12809" width="7.140625" style="16" bestFit="1" customWidth="1"/>
    <col min="12810" max="12810" width="7.85546875" style="16" customWidth="1"/>
    <col min="12811" max="12811" width="7.140625" style="16" bestFit="1" customWidth="1"/>
    <col min="12812" max="12812" width="7" style="16" bestFit="1" customWidth="1"/>
    <col min="12813" max="12813" width="6.85546875" style="16" bestFit="1" customWidth="1"/>
    <col min="12814" max="12814" width="7" style="16" bestFit="1" customWidth="1"/>
    <col min="12815" max="12815" width="8.4257812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8.140625" style="16" customWidth="1"/>
    <col min="13059" max="13059" width="10.7109375" style="16" bestFit="1" customWidth="1"/>
    <col min="13060" max="13060" width="7" style="16" bestFit="1" customWidth="1"/>
    <col min="13061" max="13061" width="8.5703125" style="16" bestFit="1" customWidth="1"/>
    <col min="13062" max="13062" width="9.28515625" style="16" bestFit="1" customWidth="1"/>
    <col min="13063" max="13063" width="10.42578125" style="16" bestFit="1" customWidth="1"/>
    <col min="13064" max="13064" width="10.28515625" style="16" bestFit="1" customWidth="1"/>
    <col min="13065" max="13065" width="7.140625" style="16" bestFit="1" customWidth="1"/>
    <col min="13066" max="13066" width="7.85546875" style="16" customWidth="1"/>
    <col min="13067" max="13067" width="7.140625" style="16" bestFit="1" customWidth="1"/>
    <col min="13068" max="13068" width="7" style="16" bestFit="1" customWidth="1"/>
    <col min="13069" max="13069" width="6.85546875" style="16" bestFit="1" customWidth="1"/>
    <col min="13070" max="13070" width="7" style="16" bestFit="1" customWidth="1"/>
    <col min="13071" max="13071" width="8.4257812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8.140625" style="16" customWidth="1"/>
    <col min="13315" max="13315" width="10.7109375" style="16" bestFit="1" customWidth="1"/>
    <col min="13316" max="13316" width="7" style="16" bestFit="1" customWidth="1"/>
    <col min="13317" max="13317" width="8.5703125" style="16" bestFit="1" customWidth="1"/>
    <col min="13318" max="13318" width="9.28515625" style="16" bestFit="1" customWidth="1"/>
    <col min="13319" max="13319" width="10.42578125" style="16" bestFit="1" customWidth="1"/>
    <col min="13320" max="13320" width="10.28515625" style="16" bestFit="1" customWidth="1"/>
    <col min="13321" max="13321" width="7.140625" style="16" bestFit="1" customWidth="1"/>
    <col min="13322" max="13322" width="7.85546875" style="16" customWidth="1"/>
    <col min="13323" max="13323" width="7.140625" style="16" bestFit="1" customWidth="1"/>
    <col min="13324" max="13324" width="7" style="16" bestFit="1" customWidth="1"/>
    <col min="13325" max="13325" width="6.85546875" style="16" bestFit="1" customWidth="1"/>
    <col min="13326" max="13326" width="7" style="16" bestFit="1" customWidth="1"/>
    <col min="13327" max="13327" width="8.4257812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8.140625" style="16" customWidth="1"/>
    <col min="13571" max="13571" width="10.7109375" style="16" bestFit="1" customWidth="1"/>
    <col min="13572" max="13572" width="7" style="16" bestFit="1" customWidth="1"/>
    <col min="13573" max="13573" width="8.5703125" style="16" bestFit="1" customWidth="1"/>
    <col min="13574" max="13574" width="9.28515625" style="16" bestFit="1" customWidth="1"/>
    <col min="13575" max="13575" width="10.42578125" style="16" bestFit="1" customWidth="1"/>
    <col min="13576" max="13576" width="10.28515625" style="16" bestFit="1" customWidth="1"/>
    <col min="13577" max="13577" width="7.140625" style="16" bestFit="1" customWidth="1"/>
    <col min="13578" max="13578" width="7.85546875" style="16" customWidth="1"/>
    <col min="13579" max="13579" width="7.140625" style="16" bestFit="1" customWidth="1"/>
    <col min="13580" max="13580" width="7" style="16" bestFit="1" customWidth="1"/>
    <col min="13581" max="13581" width="6.85546875" style="16" bestFit="1" customWidth="1"/>
    <col min="13582" max="13582" width="7" style="16" bestFit="1" customWidth="1"/>
    <col min="13583" max="13583" width="8.4257812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8.140625" style="16" customWidth="1"/>
    <col min="13827" max="13827" width="10.7109375" style="16" bestFit="1" customWidth="1"/>
    <col min="13828" max="13828" width="7" style="16" bestFit="1" customWidth="1"/>
    <col min="13829" max="13829" width="8.5703125" style="16" bestFit="1" customWidth="1"/>
    <col min="13830" max="13830" width="9.28515625" style="16" bestFit="1" customWidth="1"/>
    <col min="13831" max="13831" width="10.42578125" style="16" bestFit="1" customWidth="1"/>
    <col min="13832" max="13832" width="10.28515625" style="16" bestFit="1" customWidth="1"/>
    <col min="13833" max="13833" width="7.140625" style="16" bestFit="1" customWidth="1"/>
    <col min="13834" max="13834" width="7.85546875" style="16" customWidth="1"/>
    <col min="13835" max="13835" width="7.140625" style="16" bestFit="1" customWidth="1"/>
    <col min="13836" max="13836" width="7" style="16" bestFit="1" customWidth="1"/>
    <col min="13837" max="13837" width="6.85546875" style="16" bestFit="1" customWidth="1"/>
    <col min="13838" max="13838" width="7" style="16" bestFit="1" customWidth="1"/>
    <col min="13839" max="13839" width="8.4257812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8.140625" style="16" customWidth="1"/>
    <col min="14083" max="14083" width="10.7109375" style="16" bestFit="1" customWidth="1"/>
    <col min="14084" max="14084" width="7" style="16" bestFit="1" customWidth="1"/>
    <col min="14085" max="14085" width="8.5703125" style="16" bestFit="1" customWidth="1"/>
    <col min="14086" max="14086" width="9.28515625" style="16" bestFit="1" customWidth="1"/>
    <col min="14087" max="14087" width="10.42578125" style="16" bestFit="1" customWidth="1"/>
    <col min="14088" max="14088" width="10.28515625" style="16" bestFit="1" customWidth="1"/>
    <col min="14089" max="14089" width="7.140625" style="16" bestFit="1" customWidth="1"/>
    <col min="14090" max="14090" width="7.85546875" style="16" customWidth="1"/>
    <col min="14091" max="14091" width="7.140625" style="16" bestFit="1" customWidth="1"/>
    <col min="14092" max="14092" width="7" style="16" bestFit="1" customWidth="1"/>
    <col min="14093" max="14093" width="6.85546875" style="16" bestFit="1" customWidth="1"/>
    <col min="14094" max="14094" width="7" style="16" bestFit="1" customWidth="1"/>
    <col min="14095" max="14095" width="8.4257812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8.140625" style="16" customWidth="1"/>
    <col min="14339" max="14339" width="10.7109375" style="16" bestFit="1" customWidth="1"/>
    <col min="14340" max="14340" width="7" style="16" bestFit="1" customWidth="1"/>
    <col min="14341" max="14341" width="8.5703125" style="16" bestFit="1" customWidth="1"/>
    <col min="14342" max="14342" width="9.28515625" style="16" bestFit="1" customWidth="1"/>
    <col min="14343" max="14343" width="10.42578125" style="16" bestFit="1" customWidth="1"/>
    <col min="14344" max="14344" width="10.28515625" style="16" bestFit="1" customWidth="1"/>
    <col min="14345" max="14345" width="7.140625" style="16" bestFit="1" customWidth="1"/>
    <col min="14346" max="14346" width="7.85546875" style="16" customWidth="1"/>
    <col min="14347" max="14347" width="7.140625" style="16" bestFit="1" customWidth="1"/>
    <col min="14348" max="14348" width="7" style="16" bestFit="1" customWidth="1"/>
    <col min="14349" max="14349" width="6.85546875" style="16" bestFit="1" customWidth="1"/>
    <col min="14350" max="14350" width="7" style="16" bestFit="1" customWidth="1"/>
    <col min="14351" max="14351" width="8.4257812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8.140625" style="16" customWidth="1"/>
    <col min="14595" max="14595" width="10.7109375" style="16" bestFit="1" customWidth="1"/>
    <col min="14596" max="14596" width="7" style="16" bestFit="1" customWidth="1"/>
    <col min="14597" max="14597" width="8.5703125" style="16" bestFit="1" customWidth="1"/>
    <col min="14598" max="14598" width="9.28515625" style="16" bestFit="1" customWidth="1"/>
    <col min="14599" max="14599" width="10.42578125" style="16" bestFit="1" customWidth="1"/>
    <col min="14600" max="14600" width="10.28515625" style="16" bestFit="1" customWidth="1"/>
    <col min="14601" max="14601" width="7.140625" style="16" bestFit="1" customWidth="1"/>
    <col min="14602" max="14602" width="7.85546875" style="16" customWidth="1"/>
    <col min="14603" max="14603" width="7.140625" style="16" bestFit="1" customWidth="1"/>
    <col min="14604" max="14604" width="7" style="16" bestFit="1" customWidth="1"/>
    <col min="14605" max="14605" width="6.85546875" style="16" bestFit="1" customWidth="1"/>
    <col min="14606" max="14606" width="7" style="16" bestFit="1" customWidth="1"/>
    <col min="14607" max="14607" width="8.4257812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8.140625" style="16" customWidth="1"/>
    <col min="14851" max="14851" width="10.7109375" style="16" bestFit="1" customWidth="1"/>
    <col min="14852" max="14852" width="7" style="16" bestFit="1" customWidth="1"/>
    <col min="14853" max="14853" width="8.5703125" style="16" bestFit="1" customWidth="1"/>
    <col min="14854" max="14854" width="9.28515625" style="16" bestFit="1" customWidth="1"/>
    <col min="14855" max="14855" width="10.42578125" style="16" bestFit="1" customWidth="1"/>
    <col min="14856" max="14856" width="10.28515625" style="16" bestFit="1" customWidth="1"/>
    <col min="14857" max="14857" width="7.140625" style="16" bestFit="1" customWidth="1"/>
    <col min="14858" max="14858" width="7.85546875" style="16" customWidth="1"/>
    <col min="14859" max="14859" width="7.140625" style="16" bestFit="1" customWidth="1"/>
    <col min="14860" max="14860" width="7" style="16" bestFit="1" customWidth="1"/>
    <col min="14861" max="14861" width="6.85546875" style="16" bestFit="1" customWidth="1"/>
    <col min="14862" max="14862" width="7" style="16" bestFit="1" customWidth="1"/>
    <col min="14863" max="14863" width="8.4257812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8.140625" style="16" customWidth="1"/>
    <col min="15107" max="15107" width="10.7109375" style="16" bestFit="1" customWidth="1"/>
    <col min="15108" max="15108" width="7" style="16" bestFit="1" customWidth="1"/>
    <col min="15109" max="15109" width="8.5703125" style="16" bestFit="1" customWidth="1"/>
    <col min="15110" max="15110" width="9.28515625" style="16" bestFit="1" customWidth="1"/>
    <col min="15111" max="15111" width="10.42578125" style="16" bestFit="1" customWidth="1"/>
    <col min="15112" max="15112" width="10.28515625" style="16" bestFit="1" customWidth="1"/>
    <col min="15113" max="15113" width="7.140625" style="16" bestFit="1" customWidth="1"/>
    <col min="15114" max="15114" width="7.85546875" style="16" customWidth="1"/>
    <col min="15115" max="15115" width="7.140625" style="16" bestFit="1" customWidth="1"/>
    <col min="15116" max="15116" width="7" style="16" bestFit="1" customWidth="1"/>
    <col min="15117" max="15117" width="6.85546875" style="16" bestFit="1" customWidth="1"/>
    <col min="15118" max="15118" width="7" style="16" bestFit="1" customWidth="1"/>
    <col min="15119" max="15119" width="8.4257812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8.140625" style="16" customWidth="1"/>
    <col min="15363" max="15363" width="10.7109375" style="16" bestFit="1" customWidth="1"/>
    <col min="15364" max="15364" width="7" style="16" bestFit="1" customWidth="1"/>
    <col min="15365" max="15365" width="8.5703125" style="16" bestFit="1" customWidth="1"/>
    <col min="15366" max="15366" width="9.28515625" style="16" bestFit="1" customWidth="1"/>
    <col min="15367" max="15367" width="10.42578125" style="16" bestFit="1" customWidth="1"/>
    <col min="15368" max="15368" width="10.28515625" style="16" bestFit="1" customWidth="1"/>
    <col min="15369" max="15369" width="7.140625" style="16" bestFit="1" customWidth="1"/>
    <col min="15370" max="15370" width="7.85546875" style="16" customWidth="1"/>
    <col min="15371" max="15371" width="7.140625" style="16" bestFit="1" customWidth="1"/>
    <col min="15372" max="15372" width="7" style="16" bestFit="1" customWidth="1"/>
    <col min="15373" max="15373" width="6.85546875" style="16" bestFit="1" customWidth="1"/>
    <col min="15374" max="15374" width="7" style="16" bestFit="1" customWidth="1"/>
    <col min="15375" max="15375" width="8.4257812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8.140625" style="16" customWidth="1"/>
    <col min="15619" max="15619" width="10.7109375" style="16" bestFit="1" customWidth="1"/>
    <col min="15620" max="15620" width="7" style="16" bestFit="1" customWidth="1"/>
    <col min="15621" max="15621" width="8.5703125" style="16" bestFit="1" customWidth="1"/>
    <col min="15622" max="15622" width="9.28515625" style="16" bestFit="1" customWidth="1"/>
    <col min="15623" max="15623" width="10.42578125" style="16" bestFit="1" customWidth="1"/>
    <col min="15624" max="15624" width="10.28515625" style="16" bestFit="1" customWidth="1"/>
    <col min="15625" max="15625" width="7.140625" style="16" bestFit="1" customWidth="1"/>
    <col min="15626" max="15626" width="7.85546875" style="16" customWidth="1"/>
    <col min="15627" max="15627" width="7.140625" style="16" bestFit="1" customWidth="1"/>
    <col min="15628" max="15628" width="7" style="16" bestFit="1" customWidth="1"/>
    <col min="15629" max="15629" width="6.85546875" style="16" bestFit="1" customWidth="1"/>
    <col min="15630" max="15630" width="7" style="16" bestFit="1" customWidth="1"/>
    <col min="15631" max="15631" width="8.4257812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8.140625" style="16" customWidth="1"/>
    <col min="15875" max="15875" width="10.7109375" style="16" bestFit="1" customWidth="1"/>
    <col min="15876" max="15876" width="7" style="16" bestFit="1" customWidth="1"/>
    <col min="15877" max="15877" width="8.5703125" style="16" bestFit="1" customWidth="1"/>
    <col min="15878" max="15878" width="9.28515625" style="16" bestFit="1" customWidth="1"/>
    <col min="15879" max="15879" width="10.42578125" style="16" bestFit="1" customWidth="1"/>
    <col min="15880" max="15880" width="10.28515625" style="16" bestFit="1" customWidth="1"/>
    <col min="15881" max="15881" width="7.140625" style="16" bestFit="1" customWidth="1"/>
    <col min="15882" max="15882" width="7.85546875" style="16" customWidth="1"/>
    <col min="15883" max="15883" width="7.140625" style="16" bestFit="1" customWidth="1"/>
    <col min="15884" max="15884" width="7" style="16" bestFit="1" customWidth="1"/>
    <col min="15885" max="15885" width="6.85546875" style="16" bestFit="1" customWidth="1"/>
    <col min="15886" max="15886" width="7" style="16" bestFit="1" customWidth="1"/>
    <col min="15887" max="15887" width="8.4257812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8.140625" style="16" customWidth="1"/>
    <col min="16131" max="16131" width="10.7109375" style="16" bestFit="1" customWidth="1"/>
    <col min="16132" max="16132" width="7" style="16" bestFit="1" customWidth="1"/>
    <col min="16133" max="16133" width="8.5703125" style="16" bestFit="1" customWidth="1"/>
    <col min="16134" max="16134" width="9.28515625" style="16" bestFit="1" customWidth="1"/>
    <col min="16135" max="16135" width="10.42578125" style="16" bestFit="1" customWidth="1"/>
    <col min="16136" max="16136" width="10.28515625" style="16" bestFit="1" customWidth="1"/>
    <col min="16137" max="16137" width="7.140625" style="16" bestFit="1" customWidth="1"/>
    <col min="16138" max="16138" width="7.85546875" style="16" customWidth="1"/>
    <col min="16139" max="16139" width="7.140625" style="16" bestFit="1" customWidth="1"/>
    <col min="16140" max="16140" width="7" style="16" bestFit="1" customWidth="1"/>
    <col min="16141" max="16141" width="6.85546875" style="16" bestFit="1" customWidth="1"/>
    <col min="16142" max="16142" width="7" style="16" bestFit="1" customWidth="1"/>
    <col min="16143" max="16143" width="8.4257812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ht="12.75" customHeight="1" x14ac:dyDescent="0.2">
      <c r="A1" s="867" t="s">
        <v>100</v>
      </c>
      <c r="B1" s="868"/>
      <c r="C1" s="868"/>
      <c r="D1" s="1225" t="s">
        <v>518</v>
      </c>
      <c r="E1" s="882"/>
      <c r="F1" s="882"/>
      <c r="G1" s="867" t="s">
        <v>102</v>
      </c>
      <c r="H1" s="869"/>
      <c r="I1" s="869" t="s">
        <v>9</v>
      </c>
      <c r="J1" s="868"/>
      <c r="K1" s="868"/>
      <c r="L1" s="870"/>
      <c r="M1" s="870"/>
      <c r="N1" s="870"/>
      <c r="O1" s="870"/>
    </row>
    <row r="2" spans="1:15" s="1" customFormat="1" x14ac:dyDescent="0.2">
      <c r="A2" s="867" t="s">
        <v>103</v>
      </c>
      <c r="B2" s="868"/>
      <c r="C2" s="868"/>
      <c r="D2" s="869" t="s">
        <v>519</v>
      </c>
      <c r="E2" s="868"/>
      <c r="F2" s="868"/>
      <c r="G2" s="867" t="s">
        <v>104</v>
      </c>
      <c r="H2" s="869"/>
      <c r="I2" s="869" t="s">
        <v>105</v>
      </c>
      <c r="J2" s="868"/>
      <c r="K2" s="868"/>
      <c r="L2" s="870"/>
      <c r="M2" s="870"/>
      <c r="N2" s="870"/>
      <c r="O2" s="870"/>
    </row>
    <row r="3" spans="1:15" s="1" customFormat="1" ht="12.75" customHeight="1" x14ac:dyDescent="0.2">
      <c r="A3" s="867" t="s">
        <v>106</v>
      </c>
      <c r="B3" s="868"/>
      <c r="C3" s="868"/>
      <c r="D3" s="881">
        <v>22065</v>
      </c>
      <c r="E3" s="882"/>
      <c r="F3" s="882"/>
      <c r="G3" s="867" t="s">
        <v>107</v>
      </c>
      <c r="H3" s="869"/>
      <c r="I3" s="869" t="s">
        <v>108</v>
      </c>
      <c r="J3" s="868"/>
      <c r="K3" s="868"/>
      <c r="L3" s="870"/>
      <c r="M3" s="870"/>
      <c r="N3" s="870"/>
      <c r="O3" s="870"/>
    </row>
    <row r="4" spans="1:15" s="1" customFormat="1" x14ac:dyDescent="0.2">
      <c r="A4" s="867" t="s">
        <v>476</v>
      </c>
      <c r="B4" s="868"/>
      <c r="C4" s="868"/>
      <c r="D4" s="869" t="s">
        <v>520</v>
      </c>
      <c r="E4" s="868"/>
      <c r="F4" s="868"/>
      <c r="G4" s="867" t="s">
        <v>110</v>
      </c>
      <c r="H4" s="869"/>
      <c r="I4" s="869" t="s">
        <v>478</v>
      </c>
      <c r="J4" s="868"/>
      <c r="K4" s="868"/>
      <c r="L4" s="870"/>
      <c r="M4" s="870"/>
      <c r="N4" s="870"/>
      <c r="O4" s="870"/>
    </row>
    <row r="5" spans="1:15" s="1" customFormat="1" x14ac:dyDescent="0.2">
      <c r="A5" s="867" t="s">
        <v>112</v>
      </c>
      <c r="B5" s="868"/>
      <c r="C5" s="868"/>
      <c r="D5" s="869"/>
      <c r="E5" s="868"/>
      <c r="F5" s="868"/>
      <c r="G5" s="867"/>
      <c r="H5" s="868"/>
      <c r="I5" s="869" t="s">
        <v>113</v>
      </c>
      <c r="J5" s="868"/>
      <c r="K5" s="868"/>
      <c r="L5" s="870"/>
      <c r="M5" s="870"/>
      <c r="N5" s="870"/>
      <c r="O5" s="870"/>
    </row>
    <row r="6" spans="1:15" s="1" customFormat="1" x14ac:dyDescent="0.2">
      <c r="A6" s="871" t="s">
        <v>114</v>
      </c>
      <c r="B6" s="872"/>
      <c r="C6" s="872"/>
      <c r="D6" s="868" t="s">
        <v>10</v>
      </c>
      <c r="E6" s="868"/>
      <c r="F6" s="868"/>
      <c r="G6" s="871" t="s">
        <v>115</v>
      </c>
      <c r="H6" s="871"/>
      <c r="I6" s="2" t="s">
        <v>116</v>
      </c>
      <c r="J6" s="888" t="s">
        <v>521</v>
      </c>
      <c r="K6" s="888"/>
      <c r="L6" s="888"/>
      <c r="M6" s="888"/>
      <c r="N6" s="888"/>
      <c r="O6" s="889"/>
    </row>
    <row r="7" spans="1:15" s="1" customFormat="1" ht="13.5" thickBot="1" x14ac:dyDescent="0.25">
      <c r="A7" s="3"/>
      <c r="B7" s="4"/>
      <c r="C7" s="5"/>
      <c r="D7" s="6"/>
      <c r="E7" s="6"/>
      <c r="F7" s="6"/>
      <c r="G7" s="6"/>
      <c r="H7" s="6"/>
      <c r="I7" s="6"/>
      <c r="J7" s="7"/>
      <c r="K7" s="8"/>
      <c r="L7" s="875" t="s">
        <v>223</v>
      </c>
      <c r="M7" s="875"/>
      <c r="N7" s="875"/>
      <c r="O7" s="875"/>
    </row>
    <row r="8" spans="1:15" s="11" customFormat="1" x14ac:dyDescent="0.2">
      <c r="A8" s="876" t="str">
        <f>I1</f>
        <v>Mr. U.C. Pradhan</v>
      </c>
      <c r="B8" s="877"/>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0</v>
      </c>
      <c r="D9" s="14">
        <f>+C9</f>
        <v>0</v>
      </c>
      <c r="E9" s="14">
        <f t="shared" ref="E9:N9" si="0">+D9</f>
        <v>0</v>
      </c>
      <c r="F9" s="14">
        <f t="shared" si="0"/>
        <v>0</v>
      </c>
      <c r="G9" s="14">
        <f t="shared" si="0"/>
        <v>0</v>
      </c>
      <c r="H9" s="14">
        <f t="shared" si="0"/>
        <v>0</v>
      </c>
      <c r="I9" s="14">
        <f t="shared" si="0"/>
        <v>0</v>
      </c>
      <c r="J9" s="14">
        <f t="shared" si="0"/>
        <v>0</v>
      </c>
      <c r="K9" s="14">
        <f t="shared" si="0"/>
        <v>0</v>
      </c>
      <c r="L9" s="14">
        <f t="shared" si="0"/>
        <v>0</v>
      </c>
      <c r="M9" s="14">
        <f t="shared" si="0"/>
        <v>0</v>
      </c>
      <c r="N9" s="14">
        <f t="shared" si="0"/>
        <v>0</v>
      </c>
      <c r="O9" s="15">
        <f>SUM(C9:N9)</f>
        <v>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0</v>
      </c>
      <c r="D11" s="17">
        <v>0</v>
      </c>
      <c r="E11" s="17">
        <v>0</v>
      </c>
      <c r="F11" s="17">
        <v>0</v>
      </c>
      <c r="G11" s="17">
        <v>0</v>
      </c>
      <c r="H11" s="17">
        <v>0</v>
      </c>
      <c r="I11" s="17">
        <v>0</v>
      </c>
      <c r="J11" s="17">
        <v>0</v>
      </c>
      <c r="K11" s="17">
        <v>0</v>
      </c>
      <c r="L11" s="17">
        <v>0</v>
      </c>
      <c r="M11" s="17">
        <v>0</v>
      </c>
      <c r="N11" s="17">
        <v>0</v>
      </c>
      <c r="O11" s="18">
        <f>SUM(C11:N11)</f>
        <v>0</v>
      </c>
    </row>
    <row r="12" spans="1:15" ht="15" customHeight="1" x14ac:dyDescent="0.2">
      <c r="A12" s="12"/>
      <c r="B12" s="13" t="s">
        <v>522</v>
      </c>
      <c r="C12" s="17">
        <v>0</v>
      </c>
      <c r="D12" s="17">
        <v>0</v>
      </c>
      <c r="E12" s="17">
        <v>0</v>
      </c>
      <c r="F12" s="17">
        <v>0</v>
      </c>
      <c r="G12" s="17">
        <v>0</v>
      </c>
      <c r="H12" s="17">
        <v>0</v>
      </c>
      <c r="I12" s="17">
        <v>0</v>
      </c>
      <c r="J12" s="17">
        <v>0</v>
      </c>
      <c r="K12" s="17">
        <v>0</v>
      </c>
      <c r="L12" s="17">
        <v>0</v>
      </c>
      <c r="M12" s="17">
        <v>0</v>
      </c>
      <c r="N12" s="17">
        <v>0</v>
      </c>
      <c r="O12" s="18">
        <f>SUM(C12:N12)</f>
        <v>0</v>
      </c>
    </row>
    <row r="13" spans="1:15" ht="13.5" hidden="1" customHeight="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7" si="1">SUM(C13:N13)</f>
        <v>0</v>
      </c>
    </row>
    <row r="14" spans="1:15" ht="15.75" customHeight="1" x14ac:dyDescent="0.2">
      <c r="A14" s="12"/>
      <c r="B14" s="13" t="s">
        <v>123</v>
      </c>
      <c r="C14" s="17">
        <v>0</v>
      </c>
      <c r="D14" s="17">
        <v>0</v>
      </c>
      <c r="E14" s="17">
        <v>0</v>
      </c>
      <c r="F14" s="17">
        <v>0</v>
      </c>
      <c r="G14" s="17">
        <v>0</v>
      </c>
      <c r="H14" s="17">
        <v>0</v>
      </c>
      <c r="I14" s="17">
        <v>0</v>
      </c>
      <c r="J14" s="17">
        <v>0</v>
      </c>
      <c r="K14" s="17">
        <v>0</v>
      </c>
      <c r="L14" s="17">
        <v>0</v>
      </c>
      <c r="M14" s="17">
        <v>0</v>
      </c>
      <c r="N14" s="17">
        <v>0</v>
      </c>
      <c r="O14" s="18">
        <f t="shared" si="1"/>
        <v>0</v>
      </c>
    </row>
    <row r="15" spans="1:15" ht="14.25" hidden="1" customHeight="1" x14ac:dyDescent="0.2">
      <c r="A15" s="12"/>
      <c r="B15" s="13" t="s">
        <v>321</v>
      </c>
      <c r="C15" s="17">
        <v>0</v>
      </c>
      <c r="D15" s="17">
        <v>0</v>
      </c>
      <c r="E15" s="17">
        <v>0</v>
      </c>
      <c r="F15" s="17">
        <v>0</v>
      </c>
      <c r="G15" s="17">
        <v>0</v>
      </c>
      <c r="H15" s="17">
        <v>0</v>
      </c>
      <c r="I15" s="17">
        <v>0</v>
      </c>
      <c r="J15" s="17">
        <v>0</v>
      </c>
      <c r="K15" s="17">
        <v>0</v>
      </c>
      <c r="L15" s="17">
        <v>0</v>
      </c>
      <c r="M15" s="17">
        <v>0</v>
      </c>
      <c r="N15" s="17">
        <v>0</v>
      </c>
      <c r="O15" s="18">
        <f t="shared" si="1"/>
        <v>0</v>
      </c>
    </row>
    <row r="16" spans="1:15" ht="15" hidden="1" customHeight="1" x14ac:dyDescent="0.2">
      <c r="A16" s="12"/>
      <c r="B16" s="13" t="s">
        <v>125</v>
      </c>
      <c r="C16" s="17">
        <v>0</v>
      </c>
      <c r="D16" s="17">
        <v>0</v>
      </c>
      <c r="E16" s="17">
        <v>0</v>
      </c>
      <c r="F16" s="17">
        <v>0</v>
      </c>
      <c r="G16" s="17">
        <v>0</v>
      </c>
      <c r="H16" s="17">
        <v>0</v>
      </c>
      <c r="I16" s="17">
        <v>0</v>
      </c>
      <c r="J16" s="17">
        <v>0</v>
      </c>
      <c r="K16" s="17">
        <v>0</v>
      </c>
      <c r="L16" s="17">
        <v>0</v>
      </c>
      <c r="M16" s="17">
        <v>0</v>
      </c>
      <c r="N16" s="17">
        <v>0</v>
      </c>
      <c r="O16" s="18">
        <f t="shared" si="1"/>
        <v>0</v>
      </c>
    </row>
    <row r="17" spans="1:15" ht="15.75" hidden="1" customHeight="1" x14ac:dyDescent="0.2">
      <c r="A17" s="12"/>
      <c r="B17" s="13" t="s">
        <v>126</v>
      </c>
      <c r="C17" s="17">
        <v>0</v>
      </c>
      <c r="D17" s="17">
        <v>0</v>
      </c>
      <c r="E17" s="17">
        <v>0</v>
      </c>
      <c r="F17" s="17">
        <v>0</v>
      </c>
      <c r="G17" s="17">
        <v>0</v>
      </c>
      <c r="H17" s="17">
        <v>0</v>
      </c>
      <c r="I17" s="17">
        <v>0</v>
      </c>
      <c r="J17" s="17">
        <v>0</v>
      </c>
      <c r="K17" s="17">
        <v>0</v>
      </c>
      <c r="L17" s="17">
        <v>0</v>
      </c>
      <c r="M17" s="17">
        <v>0</v>
      </c>
      <c r="N17" s="17">
        <v>0</v>
      </c>
      <c r="O17" s="18">
        <f t="shared" si="1"/>
        <v>0</v>
      </c>
    </row>
    <row r="18" spans="1:15" ht="15.75" hidden="1" customHeight="1" x14ac:dyDescent="0.2">
      <c r="A18" s="12"/>
      <c r="B18" s="13" t="s">
        <v>127</v>
      </c>
      <c r="C18" s="17">
        <v>0</v>
      </c>
      <c r="D18" s="17">
        <v>0</v>
      </c>
      <c r="E18" s="17">
        <v>0</v>
      </c>
      <c r="F18" s="17">
        <v>0</v>
      </c>
      <c r="G18" s="17">
        <v>0</v>
      </c>
      <c r="H18" s="17">
        <v>0</v>
      </c>
      <c r="I18" s="17">
        <v>0</v>
      </c>
      <c r="J18" s="17">
        <v>0</v>
      </c>
      <c r="K18" s="17">
        <v>0</v>
      </c>
      <c r="L18" s="17">
        <v>0</v>
      </c>
      <c r="M18" s="17">
        <v>0</v>
      </c>
      <c r="N18" s="17">
        <v>0</v>
      </c>
      <c r="O18" s="18">
        <f t="shared" si="1"/>
        <v>0</v>
      </c>
    </row>
    <row r="19" spans="1:15" ht="15" x14ac:dyDescent="0.2">
      <c r="A19" s="12"/>
      <c r="B19" s="13" t="s">
        <v>128</v>
      </c>
      <c r="C19" s="17">
        <v>0</v>
      </c>
      <c r="D19" s="17">
        <v>0</v>
      </c>
      <c r="E19" s="17">
        <v>0</v>
      </c>
      <c r="F19" s="17">
        <v>0</v>
      </c>
      <c r="G19" s="17">
        <v>0</v>
      </c>
      <c r="H19" s="17">
        <v>0</v>
      </c>
      <c r="I19" s="17">
        <v>0</v>
      </c>
      <c r="J19" s="17">
        <v>0</v>
      </c>
      <c r="K19" s="17">
        <v>0</v>
      </c>
      <c r="L19" s="17">
        <v>0</v>
      </c>
      <c r="M19" s="17">
        <v>0</v>
      </c>
      <c r="N19" s="17">
        <v>0</v>
      </c>
      <c r="O19" s="18">
        <f t="shared" si="1"/>
        <v>0</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1"/>
        <v>0</v>
      </c>
    </row>
    <row r="21" spans="1:15" ht="14.25" hidden="1" customHeight="1" x14ac:dyDescent="0.2">
      <c r="A21" s="878" t="s">
        <v>130</v>
      </c>
      <c r="B21" s="19" t="s">
        <v>131</v>
      </c>
      <c r="C21" s="17">
        <v>0</v>
      </c>
      <c r="D21" s="17">
        <v>0</v>
      </c>
      <c r="E21" s="17">
        <v>0</v>
      </c>
      <c r="F21" s="17">
        <v>0</v>
      </c>
      <c r="G21" s="17">
        <v>0</v>
      </c>
      <c r="H21" s="17">
        <v>0</v>
      </c>
      <c r="I21" s="17">
        <v>0</v>
      </c>
      <c r="J21" s="17">
        <v>0</v>
      </c>
      <c r="K21" s="17">
        <v>0</v>
      </c>
      <c r="L21" s="17">
        <v>0</v>
      </c>
      <c r="M21" s="17">
        <v>0</v>
      </c>
      <c r="N21" s="17">
        <v>0</v>
      </c>
      <c r="O21" s="18">
        <f t="shared" si="1"/>
        <v>0</v>
      </c>
    </row>
    <row r="22" spans="1:15" ht="15" customHeight="1" x14ac:dyDescent="0.2">
      <c r="A22" s="879"/>
      <c r="B22" s="19" t="s">
        <v>132</v>
      </c>
      <c r="C22" s="17">
        <v>0</v>
      </c>
      <c r="D22" s="17">
        <v>0</v>
      </c>
      <c r="E22" s="17">
        <v>0</v>
      </c>
      <c r="F22" s="17">
        <v>0</v>
      </c>
      <c r="G22" s="17">
        <v>0</v>
      </c>
      <c r="H22" s="17">
        <v>0</v>
      </c>
      <c r="I22" s="17">
        <v>0</v>
      </c>
      <c r="J22" s="17">
        <v>0</v>
      </c>
      <c r="K22" s="17">
        <v>0</v>
      </c>
      <c r="L22" s="17">
        <v>0</v>
      </c>
      <c r="M22" s="17">
        <v>0</v>
      </c>
      <c r="N22" s="17">
        <v>0</v>
      </c>
      <c r="O22" s="18">
        <f t="shared" si="1"/>
        <v>0</v>
      </c>
    </row>
    <row r="23" spans="1:15" ht="15" hidden="1" customHeight="1" x14ac:dyDescent="0.2">
      <c r="A23" s="879"/>
      <c r="B23" s="19" t="s">
        <v>133</v>
      </c>
      <c r="C23" s="17">
        <v>0</v>
      </c>
      <c r="D23" s="17">
        <v>0</v>
      </c>
      <c r="E23" s="17">
        <v>0</v>
      </c>
      <c r="F23" s="17">
        <v>0</v>
      </c>
      <c r="G23" s="17">
        <v>0</v>
      </c>
      <c r="H23" s="17">
        <v>0</v>
      </c>
      <c r="I23" s="17">
        <v>0</v>
      </c>
      <c r="J23" s="17">
        <v>0</v>
      </c>
      <c r="K23" s="17">
        <v>0</v>
      </c>
      <c r="L23" s="17">
        <v>0</v>
      </c>
      <c r="M23" s="17">
        <v>0</v>
      </c>
      <c r="N23" s="17">
        <v>0</v>
      </c>
      <c r="O23" s="18">
        <f t="shared" si="1"/>
        <v>0</v>
      </c>
    </row>
    <row r="24" spans="1:15" ht="13.5" hidden="1" customHeight="1" x14ac:dyDescent="0.2">
      <c r="A24" s="879"/>
      <c r="B24" s="19" t="s">
        <v>134</v>
      </c>
      <c r="C24" s="17">
        <v>0</v>
      </c>
      <c r="D24" s="17">
        <v>0</v>
      </c>
      <c r="E24" s="17">
        <v>0</v>
      </c>
      <c r="F24" s="17">
        <v>0</v>
      </c>
      <c r="G24" s="17">
        <v>0</v>
      </c>
      <c r="H24" s="17">
        <v>0</v>
      </c>
      <c r="I24" s="17">
        <v>0</v>
      </c>
      <c r="J24" s="17">
        <v>0</v>
      </c>
      <c r="K24" s="17">
        <v>0</v>
      </c>
      <c r="L24" s="17">
        <v>0</v>
      </c>
      <c r="M24" s="17">
        <v>0</v>
      </c>
      <c r="N24" s="17">
        <v>0</v>
      </c>
      <c r="O24" s="18">
        <f t="shared" si="1"/>
        <v>0</v>
      </c>
    </row>
    <row r="25" spans="1:15" ht="15" hidden="1" customHeight="1" x14ac:dyDescent="0.2">
      <c r="A25" s="879"/>
      <c r="B25" s="19" t="s">
        <v>135</v>
      </c>
      <c r="C25" s="17">
        <v>0</v>
      </c>
      <c r="D25" s="17">
        <v>0</v>
      </c>
      <c r="E25" s="17">
        <v>0</v>
      </c>
      <c r="F25" s="17">
        <v>0</v>
      </c>
      <c r="G25" s="17">
        <v>0</v>
      </c>
      <c r="H25" s="17">
        <v>0</v>
      </c>
      <c r="I25" s="17">
        <v>0</v>
      </c>
      <c r="J25" s="17">
        <v>0</v>
      </c>
      <c r="K25" s="17">
        <v>0</v>
      </c>
      <c r="L25" s="17">
        <v>0</v>
      </c>
      <c r="M25" s="17">
        <v>0</v>
      </c>
      <c r="N25" s="17">
        <v>0</v>
      </c>
      <c r="O25" s="18">
        <f t="shared" si="1"/>
        <v>0</v>
      </c>
    </row>
    <row r="26" spans="1:15" ht="15.75" hidden="1" customHeight="1" x14ac:dyDescent="0.2">
      <c r="A26" s="879"/>
      <c r="B26" s="19" t="s">
        <v>136</v>
      </c>
      <c r="C26" s="17">
        <v>0</v>
      </c>
      <c r="D26" s="17">
        <v>0</v>
      </c>
      <c r="E26" s="17">
        <v>0</v>
      </c>
      <c r="F26" s="17">
        <v>0</v>
      </c>
      <c r="G26" s="17">
        <v>0</v>
      </c>
      <c r="H26" s="17">
        <v>0</v>
      </c>
      <c r="I26" s="17">
        <v>0</v>
      </c>
      <c r="J26" s="17">
        <v>0</v>
      </c>
      <c r="K26" s="17">
        <v>0</v>
      </c>
      <c r="L26" s="17">
        <v>0</v>
      </c>
      <c r="M26" s="17">
        <v>0</v>
      </c>
      <c r="N26" s="17">
        <v>0</v>
      </c>
      <c r="O26" s="18">
        <f t="shared" si="1"/>
        <v>0</v>
      </c>
    </row>
    <row r="27" spans="1:15" ht="15.75" hidden="1" customHeight="1" x14ac:dyDescent="0.2">
      <c r="A27" s="879"/>
      <c r="B27" s="19" t="s">
        <v>137</v>
      </c>
      <c r="C27" s="17">
        <v>0</v>
      </c>
      <c r="D27" s="17">
        <v>0</v>
      </c>
      <c r="E27" s="17">
        <v>0</v>
      </c>
      <c r="F27" s="17">
        <v>0</v>
      </c>
      <c r="G27" s="17">
        <v>0</v>
      </c>
      <c r="H27" s="17">
        <v>0</v>
      </c>
      <c r="I27" s="17">
        <v>0</v>
      </c>
      <c r="J27" s="17">
        <v>0</v>
      </c>
      <c r="K27" s="17">
        <v>0</v>
      </c>
      <c r="L27" s="17">
        <v>0</v>
      </c>
      <c r="M27" s="17">
        <v>0</v>
      </c>
      <c r="N27" s="17">
        <v>0</v>
      </c>
      <c r="O27" s="18">
        <f t="shared" si="1"/>
        <v>0</v>
      </c>
    </row>
    <row r="28" spans="1:15" ht="15" hidden="1" customHeight="1" x14ac:dyDescent="0.2">
      <c r="A28" s="879"/>
      <c r="B28" s="19" t="s">
        <v>138</v>
      </c>
      <c r="C28" s="17">
        <v>0</v>
      </c>
      <c r="D28" s="17">
        <v>0</v>
      </c>
      <c r="E28" s="17">
        <v>0</v>
      </c>
      <c r="F28" s="17">
        <v>0</v>
      </c>
      <c r="G28" s="17">
        <v>0</v>
      </c>
      <c r="H28" s="17">
        <v>0</v>
      </c>
      <c r="I28" s="17">
        <v>0</v>
      </c>
      <c r="J28" s="17">
        <v>0</v>
      </c>
      <c r="K28" s="17">
        <v>0</v>
      </c>
      <c r="L28" s="17">
        <v>0</v>
      </c>
      <c r="M28" s="17">
        <v>0</v>
      </c>
      <c r="N28" s="17">
        <v>0</v>
      </c>
      <c r="O28" s="18">
        <f t="shared" si="1"/>
        <v>0</v>
      </c>
    </row>
    <row r="29" spans="1:15" ht="15.75" hidden="1" customHeight="1" x14ac:dyDescent="0.2">
      <c r="A29" s="879"/>
      <c r="B29" s="19" t="s">
        <v>139</v>
      </c>
      <c r="C29" s="17">
        <v>0</v>
      </c>
      <c r="D29" s="17">
        <v>0</v>
      </c>
      <c r="E29" s="17">
        <v>0</v>
      </c>
      <c r="F29" s="17">
        <v>0</v>
      </c>
      <c r="G29" s="17">
        <v>0</v>
      </c>
      <c r="H29" s="17">
        <v>0</v>
      </c>
      <c r="I29" s="17">
        <v>0</v>
      </c>
      <c r="J29" s="17">
        <v>0</v>
      </c>
      <c r="K29" s="17">
        <v>0</v>
      </c>
      <c r="L29" s="17">
        <v>0</v>
      </c>
      <c r="M29" s="17">
        <v>0</v>
      </c>
      <c r="N29" s="17">
        <v>0</v>
      </c>
      <c r="O29" s="18">
        <f t="shared" si="1"/>
        <v>0</v>
      </c>
    </row>
    <row r="30" spans="1:15" ht="16.5" hidden="1" customHeight="1" x14ac:dyDescent="0.2">
      <c r="A30" s="879"/>
      <c r="B30" s="19" t="s">
        <v>140</v>
      </c>
      <c r="C30" s="17">
        <v>0</v>
      </c>
      <c r="D30" s="17">
        <v>0</v>
      </c>
      <c r="E30" s="17">
        <v>0</v>
      </c>
      <c r="F30" s="17">
        <v>0</v>
      </c>
      <c r="G30" s="17">
        <v>0</v>
      </c>
      <c r="H30" s="17">
        <v>0</v>
      </c>
      <c r="I30" s="17">
        <v>0</v>
      </c>
      <c r="J30" s="17">
        <v>0</v>
      </c>
      <c r="K30" s="17">
        <v>0</v>
      </c>
      <c r="L30" s="17">
        <v>0</v>
      </c>
      <c r="M30" s="17">
        <v>0</v>
      </c>
      <c r="N30" s="17">
        <v>0</v>
      </c>
      <c r="O30" s="18">
        <f t="shared" si="1"/>
        <v>0</v>
      </c>
    </row>
    <row r="31" spans="1:15" ht="15.75" hidden="1" customHeight="1" x14ac:dyDescent="0.2">
      <c r="A31" s="879"/>
      <c r="B31" s="19" t="s">
        <v>225</v>
      </c>
      <c r="C31" s="17">
        <v>0</v>
      </c>
      <c r="D31" s="17">
        <v>0</v>
      </c>
      <c r="E31" s="17">
        <v>0</v>
      </c>
      <c r="F31" s="17">
        <v>0</v>
      </c>
      <c r="G31" s="17">
        <v>0</v>
      </c>
      <c r="H31" s="17">
        <v>0</v>
      </c>
      <c r="I31" s="17">
        <v>0</v>
      </c>
      <c r="J31" s="17">
        <v>0</v>
      </c>
      <c r="K31" s="17">
        <v>0</v>
      </c>
      <c r="L31" s="17">
        <v>0</v>
      </c>
      <c r="M31" s="17">
        <v>0</v>
      </c>
      <c r="N31" s="17">
        <v>0</v>
      </c>
      <c r="O31" s="18">
        <f t="shared" si="1"/>
        <v>0</v>
      </c>
    </row>
    <row r="32" spans="1:15" ht="15.75" customHeight="1" x14ac:dyDescent="0.2">
      <c r="A32" s="879"/>
      <c r="B32" s="19" t="s">
        <v>523</v>
      </c>
      <c r="C32" s="17">
        <v>0</v>
      </c>
      <c r="D32" s="17">
        <v>0</v>
      </c>
      <c r="E32" s="17">
        <v>0</v>
      </c>
      <c r="F32" s="17">
        <v>0</v>
      </c>
      <c r="G32" s="17">
        <v>0</v>
      </c>
      <c r="H32" s="17">
        <v>0</v>
      </c>
      <c r="I32" s="17">
        <v>0</v>
      </c>
      <c r="J32" s="17">
        <v>0</v>
      </c>
      <c r="K32" s="17">
        <v>0</v>
      </c>
      <c r="L32" s="17">
        <v>0</v>
      </c>
      <c r="M32" s="17">
        <v>0</v>
      </c>
      <c r="N32" s="17">
        <v>0</v>
      </c>
      <c r="O32" s="18"/>
    </row>
    <row r="33" spans="1:17" ht="15" customHeight="1" x14ac:dyDescent="0.2">
      <c r="A33" s="879"/>
      <c r="B33" s="21" t="s">
        <v>142</v>
      </c>
      <c r="C33" s="17">
        <v>0</v>
      </c>
      <c r="D33" s="17">
        <v>0</v>
      </c>
      <c r="E33" s="17">
        <v>0</v>
      </c>
      <c r="F33" s="17">
        <v>0</v>
      </c>
      <c r="G33" s="17">
        <v>0</v>
      </c>
      <c r="H33" s="17">
        <v>0</v>
      </c>
      <c r="I33" s="17">
        <v>0</v>
      </c>
      <c r="J33" s="17">
        <v>0</v>
      </c>
      <c r="K33" s="17">
        <v>0</v>
      </c>
      <c r="L33" s="17">
        <v>0</v>
      </c>
      <c r="M33" s="17">
        <v>0</v>
      </c>
      <c r="N33" s="17">
        <v>0</v>
      </c>
      <c r="O33" s="18">
        <f t="shared" si="1"/>
        <v>0</v>
      </c>
    </row>
    <row r="34" spans="1:17" ht="15" hidden="1" customHeight="1" x14ac:dyDescent="0.2">
      <c r="A34" s="880"/>
      <c r="B34" s="19" t="s">
        <v>226</v>
      </c>
      <c r="C34" s="17">
        <v>0</v>
      </c>
      <c r="D34" s="17">
        <v>0</v>
      </c>
      <c r="E34" s="17">
        <v>0</v>
      </c>
      <c r="F34" s="17">
        <v>0</v>
      </c>
      <c r="G34" s="17">
        <v>0</v>
      </c>
      <c r="H34" s="17">
        <v>0</v>
      </c>
      <c r="I34" s="17">
        <v>0</v>
      </c>
      <c r="J34" s="17">
        <v>0</v>
      </c>
      <c r="K34" s="17">
        <v>0</v>
      </c>
      <c r="L34" s="17">
        <v>0</v>
      </c>
      <c r="M34" s="17">
        <v>0</v>
      </c>
      <c r="N34" s="17">
        <v>0</v>
      </c>
      <c r="O34" s="18">
        <f t="shared" si="1"/>
        <v>0</v>
      </c>
    </row>
    <row r="35" spans="1:17" ht="15" customHeight="1" x14ac:dyDescent="0.2">
      <c r="A35" s="865" t="s">
        <v>144</v>
      </c>
      <c r="B35" s="866"/>
      <c r="C35" s="17">
        <v>0</v>
      </c>
      <c r="D35" s="17">
        <v>0</v>
      </c>
      <c r="E35" s="17">
        <v>0</v>
      </c>
      <c r="F35" s="17">
        <v>0</v>
      </c>
      <c r="G35" s="17">
        <v>0</v>
      </c>
      <c r="H35" s="17">
        <v>0</v>
      </c>
      <c r="I35" s="17">
        <v>0</v>
      </c>
      <c r="J35" s="17">
        <v>0</v>
      </c>
      <c r="K35" s="17">
        <v>0</v>
      </c>
      <c r="L35" s="17">
        <v>0</v>
      </c>
      <c r="M35" s="17">
        <v>0</v>
      </c>
      <c r="N35" s="17">
        <v>0</v>
      </c>
      <c r="O35" s="18">
        <f t="shared" si="1"/>
        <v>0</v>
      </c>
    </row>
    <row r="36" spans="1:17" ht="15" customHeight="1" x14ac:dyDescent="0.2">
      <c r="A36" s="865" t="s">
        <v>145</v>
      </c>
      <c r="B36" s="866"/>
      <c r="C36" s="17">
        <v>0</v>
      </c>
      <c r="D36" s="17">
        <v>0</v>
      </c>
      <c r="E36" s="17">
        <v>0</v>
      </c>
      <c r="F36" s="17">
        <v>0</v>
      </c>
      <c r="G36" s="17">
        <v>0</v>
      </c>
      <c r="H36" s="17">
        <v>0</v>
      </c>
      <c r="I36" s="17">
        <v>0</v>
      </c>
      <c r="J36" s="17">
        <v>0</v>
      </c>
      <c r="K36" s="17">
        <v>0</v>
      </c>
      <c r="L36" s="17">
        <v>0</v>
      </c>
      <c r="M36" s="17">
        <v>0</v>
      </c>
      <c r="N36" s="17">
        <v>0</v>
      </c>
      <c r="O36" s="18">
        <f t="shared" si="1"/>
        <v>0</v>
      </c>
    </row>
    <row r="37" spans="1:17" ht="15" customHeight="1" x14ac:dyDescent="0.2">
      <c r="A37" s="865" t="s">
        <v>146</v>
      </c>
      <c r="B37" s="866"/>
      <c r="C37" s="17">
        <v>0</v>
      </c>
      <c r="D37" s="17">
        <v>0</v>
      </c>
      <c r="E37" s="17">
        <v>0</v>
      </c>
      <c r="F37" s="17">
        <v>0</v>
      </c>
      <c r="G37" s="17">
        <v>0</v>
      </c>
      <c r="H37" s="17">
        <v>0</v>
      </c>
      <c r="I37" s="17">
        <v>0</v>
      </c>
      <c r="J37" s="17">
        <v>0</v>
      </c>
      <c r="K37" s="17">
        <v>0</v>
      </c>
      <c r="L37" s="17">
        <v>0</v>
      </c>
      <c r="M37" s="17">
        <v>0</v>
      </c>
      <c r="N37" s="17">
        <v>0</v>
      </c>
      <c r="O37" s="18">
        <f t="shared" si="1"/>
        <v>0</v>
      </c>
    </row>
    <row r="38" spans="1:17" ht="15" customHeight="1" x14ac:dyDescent="0.2">
      <c r="A38" s="22"/>
      <c r="B38" s="23" t="s">
        <v>147</v>
      </c>
      <c r="C38" s="24">
        <f t="shared" ref="C38:N38" si="2">SUM(C9:C37)</f>
        <v>0</v>
      </c>
      <c r="D38" s="24">
        <f t="shared" si="2"/>
        <v>0</v>
      </c>
      <c r="E38" s="24">
        <f t="shared" si="2"/>
        <v>0</v>
      </c>
      <c r="F38" s="24">
        <f t="shared" si="2"/>
        <v>0</v>
      </c>
      <c r="G38" s="24">
        <f t="shared" si="2"/>
        <v>0</v>
      </c>
      <c r="H38" s="24">
        <f t="shared" si="2"/>
        <v>0</v>
      </c>
      <c r="I38" s="24">
        <f t="shared" si="2"/>
        <v>0</v>
      </c>
      <c r="J38" s="24">
        <f t="shared" si="2"/>
        <v>0</v>
      </c>
      <c r="K38" s="24">
        <f t="shared" si="2"/>
        <v>0</v>
      </c>
      <c r="L38" s="24">
        <f t="shared" si="2"/>
        <v>0</v>
      </c>
      <c r="M38" s="24">
        <f t="shared" si="2"/>
        <v>0</v>
      </c>
      <c r="N38" s="24">
        <f t="shared" si="2"/>
        <v>0</v>
      </c>
      <c r="O38" s="25">
        <f>SUM(C38:N38)</f>
        <v>0</v>
      </c>
      <c r="Q38" s="16">
        <f>73099+73099+11660+76014*2+80214+78114*2+11232+81858*5</f>
        <v>966850</v>
      </c>
    </row>
    <row r="39" spans="1:17" ht="15" customHeight="1" x14ac:dyDescent="0.2">
      <c r="A39" s="853" t="s">
        <v>148</v>
      </c>
      <c r="B39" s="27" t="s">
        <v>149</v>
      </c>
      <c r="C39" s="147">
        <v>0</v>
      </c>
      <c r="D39" s="147">
        <v>0</v>
      </c>
      <c r="E39" s="147">
        <v>0</v>
      </c>
      <c r="F39" s="147">
        <v>0</v>
      </c>
      <c r="G39" s="147">
        <v>0</v>
      </c>
      <c r="H39" s="147">
        <v>0</v>
      </c>
      <c r="I39" s="147">
        <v>0</v>
      </c>
      <c r="J39" s="147">
        <v>0</v>
      </c>
      <c r="K39" s="147">
        <v>0</v>
      </c>
      <c r="L39" s="147">
        <v>0</v>
      </c>
      <c r="M39" s="147">
        <v>0</v>
      </c>
      <c r="N39" s="147">
        <v>0</v>
      </c>
      <c r="O39" s="18">
        <f>SUM(C39:N39)</f>
        <v>0</v>
      </c>
      <c r="P39" s="248" t="s">
        <v>524</v>
      </c>
      <c r="Q39" s="16">
        <f>+O15</f>
        <v>0</v>
      </c>
    </row>
    <row r="40" spans="1:17" ht="15" x14ac:dyDescent="0.2">
      <c r="A40" s="854"/>
      <c r="B40" s="27" t="s">
        <v>150</v>
      </c>
      <c r="C40" s="147">
        <v>0</v>
      </c>
      <c r="D40" s="147">
        <v>0</v>
      </c>
      <c r="E40" s="147">
        <v>0</v>
      </c>
      <c r="F40" s="147">
        <v>0</v>
      </c>
      <c r="G40" s="147">
        <v>0</v>
      </c>
      <c r="H40" s="147">
        <v>0</v>
      </c>
      <c r="I40" s="147">
        <v>0</v>
      </c>
      <c r="J40" s="147">
        <v>0</v>
      </c>
      <c r="K40" s="147">
        <v>0</v>
      </c>
      <c r="L40" s="147">
        <v>0</v>
      </c>
      <c r="M40" s="147">
        <v>0</v>
      </c>
      <c r="N40" s="147">
        <v>0</v>
      </c>
      <c r="O40" s="18">
        <f>SUM(C40:N40)</f>
        <v>0</v>
      </c>
      <c r="Q40" s="16">
        <f>+Q38+Q39</f>
        <v>966850</v>
      </c>
    </row>
    <row r="41" spans="1:17" ht="15" x14ac:dyDescent="0.2">
      <c r="A41" s="854"/>
      <c r="B41" s="27" t="s">
        <v>151</v>
      </c>
      <c r="C41" s="147">
        <v>0</v>
      </c>
      <c r="D41" s="147">
        <v>0</v>
      </c>
      <c r="E41" s="147">
        <v>0</v>
      </c>
      <c r="F41" s="147">
        <v>0</v>
      </c>
      <c r="G41" s="147">
        <v>0</v>
      </c>
      <c r="H41" s="147">
        <v>0</v>
      </c>
      <c r="I41" s="147">
        <v>0</v>
      </c>
      <c r="J41" s="147">
        <v>0</v>
      </c>
      <c r="K41" s="147">
        <v>0</v>
      </c>
      <c r="L41" s="147">
        <v>0</v>
      </c>
      <c r="M41" s="147">
        <v>0</v>
      </c>
      <c r="N41" s="147">
        <v>0</v>
      </c>
      <c r="O41" s="18">
        <f t="shared" ref="O41:O51" si="3">SUM(C41:N41)</f>
        <v>0</v>
      </c>
    </row>
    <row r="42" spans="1:17" ht="15" x14ac:dyDescent="0.2">
      <c r="A42" s="854"/>
      <c r="B42" s="27" t="s">
        <v>152</v>
      </c>
      <c r="C42" s="147">
        <v>0</v>
      </c>
      <c r="D42" s="147">
        <v>0</v>
      </c>
      <c r="E42" s="147">
        <v>0</v>
      </c>
      <c r="F42" s="147">
        <v>0</v>
      </c>
      <c r="G42" s="147">
        <v>0</v>
      </c>
      <c r="H42" s="147">
        <v>0</v>
      </c>
      <c r="I42" s="147">
        <v>0</v>
      </c>
      <c r="J42" s="147">
        <v>0</v>
      </c>
      <c r="K42" s="147">
        <v>0</v>
      </c>
      <c r="L42" s="147">
        <v>0</v>
      </c>
      <c r="M42" s="147">
        <v>0</v>
      </c>
      <c r="N42" s="147">
        <v>0</v>
      </c>
      <c r="O42" s="18">
        <f t="shared" si="3"/>
        <v>0</v>
      </c>
    </row>
    <row r="43" spans="1:17" ht="15" x14ac:dyDescent="0.2">
      <c r="A43" s="854"/>
      <c r="B43" s="27" t="s">
        <v>153</v>
      </c>
      <c r="C43" s="147">
        <v>0</v>
      </c>
      <c r="D43" s="147">
        <v>0</v>
      </c>
      <c r="E43" s="147">
        <v>0</v>
      </c>
      <c r="F43" s="147">
        <v>0</v>
      </c>
      <c r="G43" s="147">
        <v>0</v>
      </c>
      <c r="H43" s="147">
        <v>0</v>
      </c>
      <c r="I43" s="147">
        <v>0</v>
      </c>
      <c r="J43" s="147">
        <v>0</v>
      </c>
      <c r="K43" s="147">
        <v>0</v>
      </c>
      <c r="L43" s="147">
        <v>0</v>
      </c>
      <c r="M43" s="147">
        <v>0</v>
      </c>
      <c r="N43" s="147">
        <v>0</v>
      </c>
      <c r="O43" s="18">
        <f t="shared" si="3"/>
        <v>0</v>
      </c>
    </row>
    <row r="44" spans="1:17" ht="15" x14ac:dyDescent="0.2">
      <c r="A44" s="854"/>
      <c r="B44" s="27" t="s">
        <v>154</v>
      </c>
      <c r="C44" s="147">
        <v>0</v>
      </c>
      <c r="D44" s="147">
        <v>0</v>
      </c>
      <c r="E44" s="147">
        <v>0</v>
      </c>
      <c r="F44" s="147">
        <v>0</v>
      </c>
      <c r="G44" s="147">
        <v>0</v>
      </c>
      <c r="H44" s="147">
        <v>0</v>
      </c>
      <c r="I44" s="147">
        <v>0</v>
      </c>
      <c r="J44" s="147">
        <v>0</v>
      </c>
      <c r="K44" s="147">
        <v>0</v>
      </c>
      <c r="L44" s="147">
        <v>0</v>
      </c>
      <c r="M44" s="147">
        <v>0</v>
      </c>
      <c r="N44" s="147">
        <v>0</v>
      </c>
      <c r="O44" s="18">
        <f t="shared" si="3"/>
        <v>0</v>
      </c>
    </row>
    <row r="45" spans="1:17" ht="15" x14ac:dyDescent="0.2">
      <c r="A45" s="854"/>
      <c r="B45" s="27" t="s">
        <v>155</v>
      </c>
      <c r="C45" s="147">
        <v>0</v>
      </c>
      <c r="D45" s="147">
        <v>0</v>
      </c>
      <c r="E45" s="147">
        <v>0</v>
      </c>
      <c r="F45" s="147">
        <v>0</v>
      </c>
      <c r="G45" s="147">
        <v>0</v>
      </c>
      <c r="H45" s="147">
        <v>0</v>
      </c>
      <c r="I45" s="147">
        <v>0</v>
      </c>
      <c r="J45" s="147">
        <v>0</v>
      </c>
      <c r="K45" s="147">
        <v>0</v>
      </c>
      <c r="L45" s="147">
        <v>0</v>
      </c>
      <c r="M45" s="147">
        <v>0</v>
      </c>
      <c r="N45" s="147">
        <v>0</v>
      </c>
      <c r="O45" s="18">
        <f t="shared" si="3"/>
        <v>0</v>
      </c>
    </row>
    <row r="46" spans="1:17" ht="15" x14ac:dyDescent="0.2">
      <c r="A46" s="854"/>
      <c r="B46" s="27" t="s">
        <v>156</v>
      </c>
      <c r="C46" s="147">
        <v>0</v>
      </c>
      <c r="D46" s="147">
        <v>0</v>
      </c>
      <c r="E46" s="147">
        <v>0</v>
      </c>
      <c r="F46" s="147">
        <v>0</v>
      </c>
      <c r="G46" s="147">
        <v>0</v>
      </c>
      <c r="H46" s="147">
        <v>0</v>
      </c>
      <c r="I46" s="147">
        <v>0</v>
      </c>
      <c r="J46" s="147">
        <v>0</v>
      </c>
      <c r="K46" s="147">
        <v>0</v>
      </c>
      <c r="L46" s="147">
        <v>0</v>
      </c>
      <c r="M46" s="147">
        <v>0</v>
      </c>
      <c r="N46" s="147">
        <v>0</v>
      </c>
      <c r="O46" s="18">
        <f t="shared" si="3"/>
        <v>0</v>
      </c>
    </row>
    <row r="47" spans="1:17" ht="15" x14ac:dyDescent="0.2">
      <c r="A47" s="854"/>
      <c r="B47" s="27" t="s">
        <v>157</v>
      </c>
      <c r="C47" s="147">
        <v>0</v>
      </c>
      <c r="D47" s="147">
        <v>0</v>
      </c>
      <c r="E47" s="147">
        <v>0</v>
      </c>
      <c r="F47" s="147">
        <v>0</v>
      </c>
      <c r="G47" s="147">
        <v>0</v>
      </c>
      <c r="H47" s="147">
        <v>0</v>
      </c>
      <c r="I47" s="147">
        <v>0</v>
      </c>
      <c r="J47" s="147">
        <v>0</v>
      </c>
      <c r="K47" s="147">
        <v>0</v>
      </c>
      <c r="L47" s="147">
        <v>0</v>
      </c>
      <c r="M47" s="147">
        <v>0</v>
      </c>
      <c r="N47" s="147">
        <v>0</v>
      </c>
      <c r="O47" s="18">
        <f t="shared" si="3"/>
        <v>0</v>
      </c>
    </row>
    <row r="48" spans="1:17" ht="28.5" customHeight="1" x14ac:dyDescent="0.2">
      <c r="A48" s="855"/>
      <c r="B48" s="30" t="s">
        <v>158</v>
      </c>
      <c r="C48" s="147">
        <v>0</v>
      </c>
      <c r="D48" s="147">
        <v>0</v>
      </c>
      <c r="E48" s="147">
        <v>0</v>
      </c>
      <c r="F48" s="147">
        <v>0</v>
      </c>
      <c r="G48" s="147">
        <v>0</v>
      </c>
      <c r="H48" s="147">
        <v>0</v>
      </c>
      <c r="I48" s="147">
        <v>0</v>
      </c>
      <c r="J48" s="147">
        <v>0</v>
      </c>
      <c r="K48" s="147">
        <v>0</v>
      </c>
      <c r="L48" s="147">
        <v>0</v>
      </c>
      <c r="M48" s="147">
        <v>0</v>
      </c>
      <c r="N48" s="147">
        <v>0</v>
      </c>
      <c r="O48" s="31">
        <f t="shared" si="3"/>
        <v>0</v>
      </c>
    </row>
    <row r="49" spans="1:18" ht="15" x14ac:dyDescent="0.2">
      <c r="A49" s="856"/>
      <c r="B49" s="127" t="s">
        <v>406</v>
      </c>
      <c r="C49" s="147">
        <v>0</v>
      </c>
      <c r="D49" s="147">
        <v>0</v>
      </c>
      <c r="E49" s="147">
        <v>0</v>
      </c>
      <c r="F49" s="147">
        <v>0</v>
      </c>
      <c r="G49" s="147">
        <v>0</v>
      </c>
      <c r="H49" s="147">
        <v>0</v>
      </c>
      <c r="I49" s="147">
        <v>0</v>
      </c>
      <c r="J49" s="147">
        <v>0</v>
      </c>
      <c r="K49" s="147">
        <v>0</v>
      </c>
      <c r="L49" s="147">
        <v>0</v>
      </c>
      <c r="M49" s="147">
        <v>0</v>
      </c>
      <c r="N49" s="147">
        <v>0</v>
      </c>
      <c r="O49" s="31">
        <f t="shared" si="3"/>
        <v>0</v>
      </c>
    </row>
    <row r="50" spans="1:18" ht="15" x14ac:dyDescent="0.2">
      <c r="A50" s="857" t="s">
        <v>160</v>
      </c>
      <c r="B50" s="858"/>
      <c r="C50" s="33">
        <f t="shared" ref="C50:N50" si="4">SUM(C39:C49)</f>
        <v>0</v>
      </c>
      <c r="D50" s="33">
        <f t="shared" si="4"/>
        <v>0</v>
      </c>
      <c r="E50" s="33">
        <f t="shared" si="4"/>
        <v>0</v>
      </c>
      <c r="F50" s="33">
        <f t="shared" si="4"/>
        <v>0</v>
      </c>
      <c r="G50" s="33">
        <f t="shared" si="4"/>
        <v>0</v>
      </c>
      <c r="H50" s="33">
        <f t="shared" si="4"/>
        <v>0</v>
      </c>
      <c r="I50" s="33">
        <f t="shared" si="4"/>
        <v>0</v>
      </c>
      <c r="J50" s="33">
        <f t="shared" si="4"/>
        <v>0</v>
      </c>
      <c r="K50" s="33">
        <f t="shared" si="4"/>
        <v>0</v>
      </c>
      <c r="L50" s="33">
        <f t="shared" si="4"/>
        <v>0</v>
      </c>
      <c r="M50" s="33">
        <f t="shared" si="4"/>
        <v>0</v>
      </c>
      <c r="N50" s="33">
        <f t="shared" si="4"/>
        <v>0</v>
      </c>
      <c r="O50" s="34">
        <f t="shared" si="3"/>
        <v>0</v>
      </c>
    </row>
    <row r="51" spans="1:18" ht="15.75" thickBot="1" x14ac:dyDescent="0.25">
      <c r="A51" s="859" t="s">
        <v>161</v>
      </c>
      <c r="B51" s="860"/>
      <c r="C51" s="35">
        <f t="shared" ref="C51:N51" si="5">C38-C50</f>
        <v>0</v>
      </c>
      <c r="D51" s="35">
        <f t="shared" si="5"/>
        <v>0</v>
      </c>
      <c r="E51" s="35">
        <f t="shared" si="5"/>
        <v>0</v>
      </c>
      <c r="F51" s="35">
        <f t="shared" si="5"/>
        <v>0</v>
      </c>
      <c r="G51" s="35">
        <f t="shared" si="5"/>
        <v>0</v>
      </c>
      <c r="H51" s="35">
        <f t="shared" si="5"/>
        <v>0</v>
      </c>
      <c r="I51" s="35">
        <f t="shared" si="5"/>
        <v>0</v>
      </c>
      <c r="J51" s="35">
        <f t="shared" si="5"/>
        <v>0</v>
      </c>
      <c r="K51" s="35">
        <f t="shared" si="5"/>
        <v>0</v>
      </c>
      <c r="L51" s="35">
        <f t="shared" si="5"/>
        <v>0</v>
      </c>
      <c r="M51" s="35">
        <f t="shared" si="5"/>
        <v>0</v>
      </c>
      <c r="N51" s="35">
        <f t="shared" si="5"/>
        <v>0</v>
      </c>
      <c r="O51" s="36">
        <f t="shared" si="3"/>
        <v>0</v>
      </c>
      <c r="Q51" s="16">
        <f>57829+50229+11660+53034+53154+57354+52754+53354+11232+55498+55498+55498+60498+60252</f>
        <v>687844</v>
      </c>
    </row>
    <row r="52" spans="1:18" x14ac:dyDescent="0.2">
      <c r="H52" s="38"/>
      <c r="J52" s="128">
        <f>+J38-SUM(J22:J37)</f>
        <v>0</v>
      </c>
      <c r="Q52" s="38"/>
    </row>
    <row r="53" spans="1:18" ht="13.5" thickBot="1" x14ac:dyDescent="0.25">
      <c r="J53" s="38">
        <f>+J52-J50</f>
        <v>0</v>
      </c>
    </row>
    <row r="54" spans="1:18" ht="13.5" thickBot="1" x14ac:dyDescent="0.25">
      <c r="B54" s="789" t="s">
        <v>162</v>
      </c>
      <c r="C54" s="861"/>
      <c r="D54" s="861"/>
      <c r="E54" s="861"/>
      <c r="F54" s="862"/>
      <c r="G54" s="863">
        <f>O38</f>
        <v>0</v>
      </c>
      <c r="H54" s="864"/>
    </row>
    <row r="55" spans="1:18" ht="13.5" thickBot="1" x14ac:dyDescent="0.25"/>
    <row r="56" spans="1:18" x14ac:dyDescent="0.2">
      <c r="B56" s="830" t="s">
        <v>163</v>
      </c>
      <c r="C56" s="833" t="s">
        <v>164</v>
      </c>
      <c r="D56" s="836" t="s">
        <v>165</v>
      </c>
      <c r="E56" s="837"/>
      <c r="F56" s="838"/>
      <c r="G56" s="839">
        <f>1600*12</f>
        <v>19200</v>
      </c>
      <c r="H56" s="840"/>
    </row>
    <row r="57" spans="1:18" x14ac:dyDescent="0.2">
      <c r="B57" s="831"/>
      <c r="C57" s="834"/>
      <c r="D57" s="841" t="s">
        <v>166</v>
      </c>
      <c r="E57" s="842"/>
      <c r="F57" s="843"/>
      <c r="G57" s="844">
        <f>+O45</f>
        <v>0</v>
      </c>
      <c r="H57" s="845"/>
      <c r="I57" s="39"/>
      <c r="J57" s="846"/>
      <c r="K57" s="846"/>
      <c r="L57" s="846"/>
      <c r="M57" s="847"/>
      <c r="N57" s="847"/>
      <c r="O57" s="847"/>
    </row>
    <row r="58" spans="1:18" ht="13.5" thickBot="1" x14ac:dyDescent="0.25">
      <c r="B58" s="832"/>
      <c r="C58" s="835"/>
      <c r="D58" s="848" t="s">
        <v>266</v>
      </c>
      <c r="E58" s="849"/>
      <c r="F58" s="850"/>
      <c r="G58" s="851">
        <v>0</v>
      </c>
      <c r="H58" s="852"/>
      <c r="J58" s="47"/>
      <c r="K58" s="47"/>
      <c r="L58" s="47"/>
      <c r="M58" s="47"/>
      <c r="N58" s="47"/>
      <c r="O58" s="47"/>
    </row>
    <row r="59" spans="1:18" ht="13.5" thickBot="1" x14ac:dyDescent="0.25">
      <c r="B59" s="48"/>
      <c r="J59" s="47"/>
      <c r="K59" s="47"/>
      <c r="L59" s="47"/>
      <c r="M59" s="47"/>
      <c r="N59" s="47"/>
      <c r="O59" s="47"/>
    </row>
    <row r="60" spans="1:18" ht="13.5" thickBot="1" x14ac:dyDescent="0.25">
      <c r="B60" s="789" t="s">
        <v>168</v>
      </c>
      <c r="C60" s="790"/>
      <c r="D60" s="790"/>
      <c r="E60" s="790"/>
      <c r="F60" s="791"/>
      <c r="G60" s="825">
        <f>+G54-SUM(G56:H58)</f>
        <v>-19200</v>
      </c>
      <c r="H60" s="826"/>
      <c r="J60" s="827" t="s">
        <v>169</v>
      </c>
      <c r="K60" s="828"/>
      <c r="L60" s="828"/>
      <c r="M60" s="828"/>
      <c r="N60" s="828"/>
      <c r="O60" s="829"/>
    </row>
    <row r="61" spans="1:18" ht="13.5" thickBot="1" x14ac:dyDescent="0.25">
      <c r="B61" s="49"/>
      <c r="C61" s="50"/>
      <c r="D61" s="50"/>
      <c r="E61" s="50"/>
      <c r="F61" s="50"/>
      <c r="G61" s="45"/>
      <c r="H61" s="50"/>
      <c r="J61" s="51"/>
      <c r="K61" s="52"/>
      <c r="L61" s="52"/>
      <c r="M61" s="52"/>
      <c r="N61" s="52"/>
      <c r="O61" s="53"/>
    </row>
    <row r="62" spans="1:18" ht="13.5" thickBot="1" x14ac:dyDescent="0.25">
      <c r="B62" s="789" t="s">
        <v>170</v>
      </c>
      <c r="C62" s="790"/>
      <c r="D62" s="790"/>
      <c r="E62" s="790"/>
      <c r="F62" s="791"/>
      <c r="G62" s="805"/>
      <c r="H62" s="791"/>
      <c r="J62" s="54"/>
      <c r="K62" s="55"/>
      <c r="L62" s="55"/>
      <c r="M62" s="55"/>
      <c r="N62" s="55"/>
      <c r="O62" s="56"/>
    </row>
    <row r="63" spans="1:18" ht="12.75" customHeight="1" x14ac:dyDescent="0.2">
      <c r="B63" s="57" t="s">
        <v>171</v>
      </c>
      <c r="C63" s="806" t="s">
        <v>172</v>
      </c>
      <c r="D63" s="807"/>
      <c r="E63" s="807"/>
      <c r="F63" s="808"/>
      <c r="G63" s="809">
        <v>107858</v>
      </c>
      <c r="H63" s="809"/>
      <c r="I63" s="58"/>
      <c r="J63" s="810" t="s">
        <v>173</v>
      </c>
      <c r="K63" s="811"/>
      <c r="L63" s="811"/>
      <c r="M63" s="811"/>
      <c r="N63" s="811"/>
      <c r="O63" s="812"/>
      <c r="Q63" s="59"/>
      <c r="R63" s="59"/>
    </row>
    <row r="64" spans="1:18" ht="13.5" thickBot="1" x14ac:dyDescent="0.25">
      <c r="D64" s="37"/>
      <c r="I64" s="58"/>
      <c r="J64" s="60" t="s">
        <v>254</v>
      </c>
      <c r="K64" s="61"/>
      <c r="L64" s="61"/>
      <c r="M64" s="61"/>
      <c r="N64" s="61"/>
      <c r="O64" s="62"/>
      <c r="Q64" s="59"/>
      <c r="R64" s="59"/>
    </row>
    <row r="65" spans="2:18" ht="13.5" thickBot="1" x14ac:dyDescent="0.25">
      <c r="B65" s="789" t="s">
        <v>175</v>
      </c>
      <c r="C65" s="790"/>
      <c r="D65" s="790"/>
      <c r="E65" s="790"/>
      <c r="F65" s="791"/>
      <c r="G65" s="805">
        <f>+G60-G63</f>
        <v>-127058</v>
      </c>
      <c r="H65" s="791"/>
      <c r="I65" s="63"/>
      <c r="J65" s="64"/>
      <c r="K65" s="39"/>
      <c r="L65" s="39"/>
      <c r="M65" s="39"/>
      <c r="N65" s="39"/>
      <c r="O65" s="65"/>
      <c r="Q65" s="59"/>
      <c r="R65" s="59"/>
    </row>
    <row r="66" spans="2:18" ht="12.75" customHeight="1" x14ac:dyDescent="0.2">
      <c r="B66" s="48"/>
      <c r="C66" s="48"/>
      <c r="I66" s="63"/>
      <c r="J66" s="64"/>
      <c r="K66" s="39"/>
      <c r="L66" s="39"/>
      <c r="M66" s="39"/>
      <c r="N66" s="39"/>
      <c r="O66" s="65"/>
      <c r="Q66" s="59"/>
      <c r="R66" s="59"/>
    </row>
    <row r="67" spans="2:18" x14ac:dyDescent="0.2">
      <c r="B67" s="66" t="s">
        <v>176</v>
      </c>
      <c r="C67" s="48"/>
      <c r="I67" s="63"/>
      <c r="J67" s="67"/>
      <c r="K67" s="68"/>
      <c r="L67" s="68"/>
      <c r="M67" s="68"/>
      <c r="N67" s="68"/>
      <c r="O67" s="69"/>
      <c r="Q67" s="59"/>
      <c r="R67" s="59"/>
    </row>
    <row r="68" spans="2:18" ht="26.25" customHeight="1" thickBot="1" x14ac:dyDescent="0.25">
      <c r="B68" s="66"/>
      <c r="C68" s="48"/>
      <c r="G68" s="70" t="s">
        <v>177</v>
      </c>
      <c r="H68" s="70" t="s">
        <v>178</v>
      </c>
      <c r="I68" s="63"/>
      <c r="J68" s="810" t="s">
        <v>179</v>
      </c>
      <c r="K68" s="811"/>
      <c r="L68" s="71"/>
      <c r="M68" s="71"/>
      <c r="N68" s="71"/>
      <c r="O68" s="72"/>
      <c r="Q68" s="59"/>
      <c r="R68" s="59"/>
    </row>
    <row r="69" spans="2:18" ht="12.75" customHeight="1" x14ac:dyDescent="0.2">
      <c r="B69" s="802" t="s">
        <v>180</v>
      </c>
      <c r="C69" s="821" t="s">
        <v>181</v>
      </c>
      <c r="D69" s="823" t="s">
        <v>182</v>
      </c>
      <c r="E69" s="824"/>
      <c r="F69" s="824"/>
      <c r="G69" s="73">
        <f>+O44</f>
        <v>0</v>
      </c>
      <c r="H69" s="74">
        <f t="shared" ref="H69:H77" si="6">+G69</f>
        <v>0</v>
      </c>
      <c r="I69" s="63"/>
      <c r="J69" s="75" t="s">
        <v>183</v>
      </c>
      <c r="K69" s="58"/>
      <c r="L69" s="58"/>
      <c r="M69" s="58"/>
      <c r="N69" s="58"/>
      <c r="O69" s="76">
        <v>37690</v>
      </c>
      <c r="Q69" s="59"/>
      <c r="R69" s="59"/>
    </row>
    <row r="70" spans="2:18" ht="12.75" customHeight="1" x14ac:dyDescent="0.2">
      <c r="B70" s="803"/>
      <c r="C70" s="822"/>
      <c r="D70" s="782" t="s">
        <v>184</v>
      </c>
      <c r="E70" s="783"/>
      <c r="F70" s="783"/>
      <c r="G70" s="77">
        <f>+O48</f>
        <v>0</v>
      </c>
      <c r="H70" s="78">
        <f t="shared" si="6"/>
        <v>0</v>
      </c>
      <c r="I70" s="63"/>
      <c r="J70" s="79"/>
      <c r="K70" s="68"/>
      <c r="L70" s="68"/>
      <c r="M70" s="68"/>
      <c r="N70" s="68"/>
      <c r="O70" s="69"/>
      <c r="Q70" s="59"/>
      <c r="R70" s="59"/>
    </row>
    <row r="71" spans="2:18" ht="12.75" customHeight="1" x14ac:dyDescent="0.2">
      <c r="B71" s="803"/>
      <c r="C71" s="822"/>
      <c r="D71" s="819" t="s">
        <v>185</v>
      </c>
      <c r="E71" s="820"/>
      <c r="F71" s="820"/>
      <c r="G71" s="80">
        <f>O41</f>
        <v>0</v>
      </c>
      <c r="H71" s="78">
        <f t="shared" si="6"/>
        <v>0</v>
      </c>
      <c r="I71" s="63"/>
      <c r="J71" s="67"/>
      <c r="K71" s="68"/>
      <c r="L71" s="68"/>
      <c r="M71" s="68"/>
      <c r="N71" s="68"/>
      <c r="O71" s="69"/>
    </row>
    <row r="72" spans="2:18" x14ac:dyDescent="0.2">
      <c r="B72" s="803"/>
      <c r="C72" s="822"/>
      <c r="D72" s="782" t="s">
        <v>186</v>
      </c>
      <c r="E72" s="783"/>
      <c r="F72" s="783"/>
      <c r="G72" s="81">
        <v>0</v>
      </c>
      <c r="H72" s="78">
        <f t="shared" si="6"/>
        <v>0</v>
      </c>
      <c r="I72" s="63"/>
      <c r="J72" s="82" t="s">
        <v>187</v>
      </c>
      <c r="K72" s="71"/>
      <c r="L72" s="71"/>
      <c r="M72" s="71"/>
      <c r="N72" s="71"/>
      <c r="O72" s="72"/>
    </row>
    <row r="73" spans="2:18" ht="12.75" customHeight="1" x14ac:dyDescent="0.2">
      <c r="B73" s="803"/>
      <c r="C73" s="822"/>
      <c r="D73" s="784" t="s">
        <v>188</v>
      </c>
      <c r="E73" s="783"/>
      <c r="F73" s="783"/>
      <c r="G73" s="80">
        <v>0</v>
      </c>
      <c r="H73" s="78">
        <f t="shared" si="6"/>
        <v>0</v>
      </c>
      <c r="I73" s="63"/>
      <c r="J73" s="75" t="s">
        <v>189</v>
      </c>
      <c r="K73" s="50"/>
      <c r="L73" s="50"/>
      <c r="M73" s="50"/>
      <c r="N73" s="50"/>
      <c r="O73" s="83">
        <v>0</v>
      </c>
    </row>
    <row r="74" spans="2:18" ht="14.25" customHeight="1" x14ac:dyDescent="0.2">
      <c r="B74" s="803"/>
      <c r="C74" s="822"/>
      <c r="D74" s="782" t="s">
        <v>190</v>
      </c>
      <c r="E74" s="783"/>
      <c r="F74" s="783"/>
      <c r="G74" s="84">
        <v>0</v>
      </c>
      <c r="H74" s="78">
        <f t="shared" si="6"/>
        <v>0</v>
      </c>
      <c r="I74" s="63"/>
      <c r="J74" s="64"/>
      <c r="K74" s="39"/>
      <c r="L74" s="39"/>
      <c r="M74" s="39"/>
      <c r="N74" s="39"/>
      <c r="O74" s="65"/>
    </row>
    <row r="75" spans="2:18" x14ac:dyDescent="0.2">
      <c r="B75" s="803"/>
      <c r="C75" s="822"/>
      <c r="D75" s="782" t="s">
        <v>191</v>
      </c>
      <c r="E75" s="783"/>
      <c r="F75" s="783"/>
      <c r="G75" s="81">
        <v>108514</v>
      </c>
      <c r="H75" s="78">
        <f t="shared" si="6"/>
        <v>108514</v>
      </c>
      <c r="I75" s="58"/>
      <c r="J75" s="85"/>
      <c r="K75" s="63"/>
      <c r="L75" s="63"/>
      <c r="M75" s="63"/>
      <c r="N75" s="63"/>
      <c r="O75" s="86"/>
    </row>
    <row r="76" spans="2:18" x14ac:dyDescent="0.2">
      <c r="B76" s="803"/>
      <c r="C76" s="88" t="s">
        <v>192</v>
      </c>
      <c r="D76" s="813" t="s">
        <v>193</v>
      </c>
      <c r="E76" s="814"/>
      <c r="F76" s="814"/>
      <c r="G76" s="80">
        <v>0</v>
      </c>
      <c r="H76" s="78">
        <f t="shared" si="6"/>
        <v>0</v>
      </c>
      <c r="I76" s="58"/>
      <c r="J76" s="60"/>
      <c r="K76" s="68"/>
      <c r="L76" s="68"/>
      <c r="M76" s="50"/>
      <c r="N76" s="50"/>
      <c r="O76" s="83"/>
    </row>
    <row r="77" spans="2:18" ht="13.5" customHeight="1" thickBot="1" x14ac:dyDescent="0.25">
      <c r="B77" s="803"/>
      <c r="C77" s="88" t="s">
        <v>194</v>
      </c>
      <c r="D77" s="815" t="s">
        <v>195</v>
      </c>
      <c r="E77" s="815"/>
      <c r="F77" s="815"/>
      <c r="G77" s="89">
        <v>0</v>
      </c>
      <c r="H77" s="90">
        <f t="shared" si="6"/>
        <v>0</v>
      </c>
      <c r="I77" s="63"/>
      <c r="J77" s="75"/>
      <c r="K77" s="68"/>
      <c r="L77" s="68"/>
      <c r="M77" s="91"/>
      <c r="N77" s="91"/>
      <c r="O77" s="92"/>
    </row>
    <row r="78" spans="2:18" ht="13.5" thickBot="1" x14ac:dyDescent="0.25">
      <c r="B78" s="803"/>
      <c r="C78" s="93"/>
      <c r="D78" s="94"/>
      <c r="E78" s="816" t="s">
        <v>117</v>
      </c>
      <c r="F78" s="817"/>
      <c r="G78" s="95">
        <f>SUM(G69:G77)</f>
        <v>108514</v>
      </c>
      <c r="H78" s="96">
        <f>IF(SUM(G69:G75)&lt;150000,SUM(G69:G75),150000)+IF(+G76&lt;20000,+G76,20000)</f>
        <v>108514</v>
      </c>
      <c r="I78" s="63"/>
      <c r="J78" s="97"/>
      <c r="K78" s="98"/>
      <c r="L78" s="98"/>
      <c r="M78" s="98"/>
      <c r="N78" s="98"/>
      <c r="O78" s="99"/>
    </row>
    <row r="79" spans="2:18" ht="12.75" customHeight="1" x14ac:dyDescent="0.2">
      <c r="B79" s="803"/>
      <c r="C79" s="100" t="s">
        <v>196</v>
      </c>
      <c r="D79" s="782" t="s">
        <v>187</v>
      </c>
      <c r="E79" s="783"/>
      <c r="F79" s="818"/>
      <c r="G79" s="73">
        <f>+O43</f>
        <v>0</v>
      </c>
      <c r="H79" s="101">
        <f>+IF(+G79&lt;25000,+G79,25000)</f>
        <v>0</v>
      </c>
      <c r="I79" s="87"/>
    </row>
    <row r="80" spans="2:18" x14ac:dyDescent="0.2">
      <c r="B80" s="803"/>
      <c r="C80" s="100" t="s">
        <v>197</v>
      </c>
      <c r="D80" s="784" t="s">
        <v>198</v>
      </c>
      <c r="E80" s="785"/>
      <c r="F80" s="786"/>
      <c r="G80" s="102"/>
      <c r="H80" s="103">
        <f>+IF(+G80&lt;40000,+G80,40000)</f>
        <v>0</v>
      </c>
      <c r="I80" s="63"/>
    </row>
    <row r="81" spans="2:12" x14ac:dyDescent="0.2">
      <c r="B81" s="803"/>
      <c r="C81" s="100" t="s">
        <v>199</v>
      </c>
      <c r="D81" s="784" t="s">
        <v>200</v>
      </c>
      <c r="E81" s="785"/>
      <c r="F81" s="786"/>
      <c r="G81" s="81"/>
      <c r="H81" s="104">
        <v>0</v>
      </c>
      <c r="I81" s="63"/>
      <c r="J81" s="106" t="s">
        <v>525</v>
      </c>
    </row>
    <row r="82" spans="2:12" x14ac:dyDescent="0.2">
      <c r="B82" s="803"/>
      <c r="C82" s="100" t="s">
        <v>201</v>
      </c>
      <c r="D82" s="784" t="s">
        <v>202</v>
      </c>
      <c r="E82" s="785"/>
      <c r="F82" s="786"/>
      <c r="G82" s="81"/>
      <c r="H82" s="104">
        <v>0</v>
      </c>
      <c r="I82" s="63"/>
    </row>
    <row r="83" spans="2:12" ht="13.5" thickBot="1" x14ac:dyDescent="0.25">
      <c r="B83" s="804"/>
      <c r="C83" s="100" t="s">
        <v>203</v>
      </c>
      <c r="D83" s="784" t="s">
        <v>204</v>
      </c>
      <c r="E83" s="785"/>
      <c r="F83" s="786"/>
      <c r="G83" s="102"/>
      <c r="H83" s="103">
        <f>+IF(+G83&lt;100000,+G83,10000)</f>
        <v>0</v>
      </c>
      <c r="I83" s="63"/>
    </row>
    <row r="84" spans="2:12" ht="13.5" thickBot="1" x14ac:dyDescent="0.25">
      <c r="B84" s="787" t="s">
        <v>205</v>
      </c>
      <c r="C84" s="788"/>
      <c r="D84" s="788"/>
      <c r="E84" s="788"/>
      <c r="F84" s="788"/>
      <c r="G84" s="107">
        <f>SUM(G79:G83)</f>
        <v>0</v>
      </c>
      <c r="H84" s="108">
        <f>SUM(H78:H83)</f>
        <v>108514</v>
      </c>
    </row>
    <row r="85" spans="2:12" ht="13.5" thickBot="1" x14ac:dyDescent="0.25"/>
    <row r="86" spans="2:12" ht="13.5" thickBot="1" x14ac:dyDescent="0.25">
      <c r="B86" s="789" t="s">
        <v>206</v>
      </c>
      <c r="C86" s="790"/>
      <c r="D86" s="790"/>
      <c r="E86" s="790"/>
      <c r="F86" s="791"/>
      <c r="G86" s="792">
        <f>+G65-H84</f>
        <v>-235572</v>
      </c>
      <c r="H86" s="791"/>
      <c r="J86" s="109">
        <f>C38+D38+E38+F38</f>
        <v>0</v>
      </c>
      <c r="K86" s="16" t="s">
        <v>235</v>
      </c>
    </row>
    <row r="87" spans="2:12" x14ac:dyDescent="0.2">
      <c r="B87" s="110"/>
      <c r="F87" s="105"/>
      <c r="J87" s="109">
        <f>G38+H38+I38</f>
        <v>0</v>
      </c>
      <c r="K87" s="16" t="s">
        <v>236</v>
      </c>
    </row>
    <row r="88" spans="2:12" x14ac:dyDescent="0.2">
      <c r="C88" s="793" t="s">
        <v>207</v>
      </c>
      <c r="D88" s="794"/>
      <c r="E88" s="111" t="s">
        <v>208</v>
      </c>
      <c r="F88" s="111" t="s">
        <v>209</v>
      </c>
      <c r="G88" s="111" t="s">
        <v>210</v>
      </c>
      <c r="H88" s="111" t="s">
        <v>211</v>
      </c>
      <c r="J88" s="109">
        <f>J38+K38+L38</f>
        <v>0</v>
      </c>
      <c r="K88" s="47" t="s">
        <v>237</v>
      </c>
    </row>
    <row r="89" spans="2:12" x14ac:dyDescent="0.2">
      <c r="C89" s="795" t="str">
        <f>IF(I6="M","0          - 250000","0          -  250000")</f>
        <v>0          - 250000</v>
      </c>
      <c r="D89" s="796"/>
      <c r="E89" s="112">
        <v>0</v>
      </c>
      <c r="F89" s="113">
        <f>IF(I6="M",(IF(G86&lt;250000,G86,250000)),(IF(G86&lt;250000,G86,250000)))</f>
        <v>-235572</v>
      </c>
      <c r="G89" s="113">
        <f>G86-F89</f>
        <v>0</v>
      </c>
      <c r="H89" s="113">
        <f>E89*F89</f>
        <v>0</v>
      </c>
      <c r="J89" s="16">
        <f>M38+N38</f>
        <v>0</v>
      </c>
      <c r="K89" s="1" t="s">
        <v>238</v>
      </c>
    </row>
    <row r="90" spans="2:12" x14ac:dyDescent="0.2">
      <c r="C90" s="795" t="str">
        <f>IF(I6="M","250001 - 500000","250001-500000")</f>
        <v>250001 - 500000</v>
      </c>
      <c r="D90" s="796"/>
      <c r="E90" s="112">
        <v>0.1</v>
      </c>
      <c r="F90" s="113">
        <f>IF(I6="M",(IF(G89&lt;250000,G89,250000)),(IF(G89&lt;250000,G89,250000)))</f>
        <v>0</v>
      </c>
      <c r="G90" s="113">
        <f>G89-F90</f>
        <v>0</v>
      </c>
      <c r="H90" s="114">
        <f>ROUND(E90*F90,0.1)</f>
        <v>0</v>
      </c>
      <c r="J90" s="115">
        <f>SUM(J86:J89)</f>
        <v>0</v>
      </c>
    </row>
    <row r="91" spans="2:12" x14ac:dyDescent="0.2">
      <c r="C91" s="797" t="s">
        <v>212</v>
      </c>
      <c r="D91" s="798"/>
      <c r="E91" s="112">
        <v>0.2</v>
      </c>
      <c r="F91" s="113">
        <f>IF(G90&lt;500000,G90,500000)</f>
        <v>0</v>
      </c>
      <c r="G91" s="113">
        <f>G90-F91</f>
        <v>0</v>
      </c>
      <c r="H91" s="114">
        <f>ROUND(E91*F91,0.1)</f>
        <v>0</v>
      </c>
      <c r="J91" s="16">
        <f>+G86</f>
        <v>-235572</v>
      </c>
    </row>
    <row r="92" spans="2:12" x14ac:dyDescent="0.2">
      <c r="C92" s="795" t="s">
        <v>289</v>
      </c>
      <c r="D92" s="796"/>
      <c r="E92" s="112">
        <v>0.3</v>
      </c>
      <c r="F92" s="113">
        <f>G91</f>
        <v>0</v>
      </c>
      <c r="G92" s="113">
        <f>G91-F92</f>
        <v>0</v>
      </c>
      <c r="H92" s="114">
        <f>ROUND(E92*F92,0.1)</f>
        <v>0</v>
      </c>
      <c r="J92" s="16">
        <f>+J90-J91</f>
        <v>235572</v>
      </c>
    </row>
    <row r="93" spans="2:12" ht="12.75" customHeight="1" thickBot="1" x14ac:dyDescent="0.25">
      <c r="B93" s="116"/>
      <c r="C93" s="117"/>
      <c r="D93" s="47"/>
      <c r="E93" s="47"/>
      <c r="F93" s="47"/>
      <c r="J93" s="87"/>
      <c r="K93" s="118"/>
    </row>
    <row r="94" spans="2:12" ht="13.5" thickBot="1" x14ac:dyDescent="0.25">
      <c r="B94" s="799" t="s">
        <v>239</v>
      </c>
      <c r="C94" s="800"/>
      <c r="D94" s="800"/>
      <c r="E94" s="800"/>
      <c r="F94" s="801"/>
      <c r="G94" s="771">
        <f>H89+H90+H91+H92</f>
        <v>0</v>
      </c>
      <c r="H94" s="772"/>
    </row>
    <row r="95" spans="2:12" ht="13.5" thickBot="1" x14ac:dyDescent="0.25">
      <c r="B95" s="171" t="s">
        <v>215</v>
      </c>
      <c r="C95" s="155"/>
      <c r="D95" s="155"/>
      <c r="E95" s="155"/>
      <c r="F95" s="155"/>
      <c r="G95" s="769">
        <f>IF(G86&lt;200000,0,IF(G86&lt;220000,((G86-200000)*10%),IF(G86&lt;=500000,2000,IF(G86&gt;=500000,0))))</f>
        <v>0</v>
      </c>
      <c r="H95" s="770">
        <f>IF(H93&lt;200000,0,IF(H93&lt;220000,((H93-200000)*10%),IF(H93&lt;=500000,2000,IF(H93&gt;=500000,0))))</f>
        <v>0</v>
      </c>
      <c r="J95" s="1"/>
      <c r="K95" s="121"/>
      <c r="L95" s="121"/>
    </row>
    <row r="96" spans="2:12" ht="13.5" thickBot="1" x14ac:dyDescent="0.25">
      <c r="B96" s="122" t="s">
        <v>216</v>
      </c>
      <c r="C96" s="123"/>
      <c r="D96" s="123"/>
      <c r="E96" s="123"/>
      <c r="F96" s="123"/>
      <c r="G96" s="771">
        <f>+G94-G95</f>
        <v>0</v>
      </c>
      <c r="H96" s="772"/>
      <c r="I96" s="37"/>
    </row>
    <row r="97" spans="2:9" ht="13.5" thickBot="1" x14ac:dyDescent="0.25">
      <c r="B97" s="773" t="s">
        <v>217</v>
      </c>
      <c r="C97" s="774"/>
      <c r="D97" s="774"/>
      <c r="E97" s="774"/>
      <c r="F97" s="775"/>
      <c r="G97" s="776">
        <f>ROUND((IF(G96&gt;0,(G96*3%),0)),0)</f>
        <v>0</v>
      </c>
      <c r="H97" s="777"/>
      <c r="I97" s="37"/>
    </row>
    <row r="98" spans="2:9" ht="13.5" thickBot="1" x14ac:dyDescent="0.25">
      <c r="B98" s="778" t="s">
        <v>218</v>
      </c>
      <c r="C98" s="779"/>
      <c r="D98" s="779"/>
      <c r="E98" s="779"/>
      <c r="F98" s="779"/>
      <c r="G98" s="780">
        <f>G96+G97</f>
        <v>0</v>
      </c>
      <c r="H98" s="781"/>
      <c r="I98" s="121"/>
    </row>
    <row r="99" spans="2:9" ht="13.5" thickBot="1" x14ac:dyDescent="0.25">
      <c r="B99" s="765" t="s">
        <v>219</v>
      </c>
      <c r="C99" s="766"/>
      <c r="D99" s="766"/>
      <c r="E99" s="766"/>
      <c r="F99" s="766"/>
      <c r="G99" s="767">
        <f>O39</f>
        <v>0</v>
      </c>
      <c r="H99" s="768"/>
      <c r="I99" s="121"/>
    </row>
    <row r="100" spans="2:9" ht="13.5" thickBot="1" x14ac:dyDescent="0.25">
      <c r="B100" s="765" t="str">
        <f>IF(G100&gt;0,"TAX PAYABLE","TAX REFUND")</f>
        <v>TAX REFUND</v>
      </c>
      <c r="C100" s="766"/>
      <c r="D100" s="766"/>
      <c r="E100" s="766"/>
      <c r="F100" s="766"/>
      <c r="G100" s="767">
        <f>+G98-G99</f>
        <v>0</v>
      </c>
      <c r="H100" s="768"/>
      <c r="I100" s="37"/>
    </row>
    <row r="101" spans="2:9" x14ac:dyDescent="0.2">
      <c r="C101" s="124"/>
      <c r="D101" s="45"/>
      <c r="E101" s="118"/>
      <c r="F101" s="118"/>
      <c r="G101" s="118"/>
      <c r="H101" s="118"/>
      <c r="I101" s="125"/>
    </row>
    <row r="102" spans="2:9" x14ac:dyDescent="0.2">
      <c r="C102" s="47"/>
      <c r="D102" s="50"/>
      <c r="E102" s="117"/>
      <c r="F102" s="47"/>
      <c r="G102" s="47"/>
      <c r="H102" s="47"/>
      <c r="I102" s="125"/>
    </row>
    <row r="103" spans="2:9" x14ac:dyDescent="0.2">
      <c r="C103" s="39"/>
      <c r="D103" s="126"/>
      <c r="E103" s="126"/>
      <c r="F103" s="126"/>
      <c r="G103" s="39"/>
      <c r="H103" s="39"/>
      <c r="I103" s="37"/>
    </row>
    <row r="104" spans="2:9" x14ac:dyDescent="0.2">
      <c r="C104" s="39"/>
      <c r="D104" s="126"/>
      <c r="E104" s="126"/>
      <c r="F104" s="39"/>
      <c r="G104" s="39"/>
      <c r="H104" s="39"/>
      <c r="I104" s="37"/>
    </row>
    <row r="105" spans="2:9" x14ac:dyDescent="0.2">
      <c r="C105" s="39"/>
      <c r="D105" s="126"/>
      <c r="E105" s="126"/>
      <c r="F105" s="39"/>
      <c r="G105" s="39"/>
      <c r="H105" s="39"/>
      <c r="I105" s="37"/>
    </row>
    <row r="106" spans="2:9" x14ac:dyDescent="0.2">
      <c r="C106" s="39"/>
      <c r="D106" s="39"/>
      <c r="E106" s="39"/>
      <c r="F106" s="39"/>
      <c r="G106" s="39"/>
      <c r="H106" s="39"/>
      <c r="I106" s="37"/>
    </row>
    <row r="107" spans="2:9" x14ac:dyDescent="0.2">
      <c r="C107" s="39"/>
      <c r="D107" s="39"/>
      <c r="E107" s="39"/>
      <c r="F107" s="39"/>
      <c r="G107" s="39"/>
      <c r="H107" s="39"/>
    </row>
    <row r="108" spans="2:9" x14ac:dyDescent="0.2">
      <c r="C108" s="39"/>
      <c r="D108" s="39"/>
      <c r="E108" s="39"/>
      <c r="F108" s="39"/>
      <c r="G108" s="39"/>
      <c r="H108"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7:B37"/>
    <mergeCell ref="A5:C5"/>
    <mergeCell ref="D5:F5"/>
    <mergeCell ref="G5:H5"/>
    <mergeCell ref="I5:O5"/>
    <mergeCell ref="A6:C6"/>
    <mergeCell ref="D6:F6"/>
    <mergeCell ref="G6:H6"/>
    <mergeCell ref="J6:O6"/>
    <mergeCell ref="L7:O7"/>
    <mergeCell ref="A8:B8"/>
    <mergeCell ref="A21:A34"/>
    <mergeCell ref="A35:B35"/>
    <mergeCell ref="A36:B36"/>
    <mergeCell ref="A39:A49"/>
    <mergeCell ref="A50:B50"/>
    <mergeCell ref="A51:B51"/>
    <mergeCell ref="B54:F54"/>
    <mergeCell ref="G54:H54"/>
    <mergeCell ref="B60:F60"/>
    <mergeCell ref="G60:H60"/>
    <mergeCell ref="J60:O60"/>
    <mergeCell ref="B56:B58"/>
    <mergeCell ref="C56:C58"/>
    <mergeCell ref="D56:F56"/>
    <mergeCell ref="G56:H56"/>
    <mergeCell ref="D57:F57"/>
    <mergeCell ref="G57:H57"/>
    <mergeCell ref="J57:L57"/>
    <mergeCell ref="M57:O57"/>
    <mergeCell ref="D58:F58"/>
    <mergeCell ref="G58:H58"/>
    <mergeCell ref="J63:O63"/>
    <mergeCell ref="D81:F81"/>
    <mergeCell ref="J68:K68"/>
    <mergeCell ref="B65:F65"/>
    <mergeCell ref="G65:H65"/>
    <mergeCell ref="D76:F76"/>
    <mergeCell ref="D77:F77"/>
    <mergeCell ref="E78:F78"/>
    <mergeCell ref="D79:F79"/>
    <mergeCell ref="D80:F80"/>
    <mergeCell ref="D71:F71"/>
    <mergeCell ref="D72:F72"/>
    <mergeCell ref="C69:C75"/>
    <mergeCell ref="D69:F69"/>
    <mergeCell ref="D70:F70"/>
    <mergeCell ref="D74:F74"/>
    <mergeCell ref="G62:H62"/>
    <mergeCell ref="C63:F63"/>
    <mergeCell ref="G63:H63"/>
    <mergeCell ref="B62:F62"/>
    <mergeCell ref="D73:F73"/>
    <mergeCell ref="D75:F75"/>
    <mergeCell ref="G94:H94"/>
    <mergeCell ref="D82:F82"/>
    <mergeCell ref="D83:F83"/>
    <mergeCell ref="B84:F84"/>
    <mergeCell ref="B86:F86"/>
    <mergeCell ref="G86:H86"/>
    <mergeCell ref="C88:D88"/>
    <mergeCell ref="C89:D89"/>
    <mergeCell ref="C90:D90"/>
    <mergeCell ref="C91:D91"/>
    <mergeCell ref="C92:D92"/>
    <mergeCell ref="B94:F94"/>
    <mergeCell ref="B69:B83"/>
    <mergeCell ref="B100:F100"/>
    <mergeCell ref="G100:H100"/>
    <mergeCell ref="G95:H95"/>
    <mergeCell ref="G96:H96"/>
    <mergeCell ref="B97:F97"/>
    <mergeCell ref="G97:H97"/>
    <mergeCell ref="B98:F98"/>
    <mergeCell ref="G98:H98"/>
    <mergeCell ref="B99:F99"/>
    <mergeCell ref="G99:H99"/>
  </mergeCells>
  <conditionalFormatting sqref="B100:F100 B94:F98">
    <cfRule type="cellIs" dxfId="61" priority="3" stopIfTrue="1" operator="equal">
      <formula>"TAX PAYABLE"</formula>
    </cfRule>
    <cfRule type="cellIs" dxfId="60" priority="4" stopIfTrue="1" operator="equal">
      <formula>"TAX REFUND"</formula>
    </cfRule>
  </conditionalFormatting>
  <conditionalFormatting sqref="G100:H100">
    <cfRule type="cellIs" dxfId="59" priority="1" stopIfTrue="1" operator="greaterThan">
      <formula>0</formula>
    </cfRule>
    <cfRule type="cellIs" dxfId="58"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hyperlinks>
    <hyperlink ref="J52" r:id="rId1" display="+J37-@sum(J22:J36)"/>
  </hyperlinks>
  <pageMargins left="0.7" right="0.7" top="0.75" bottom="0.75" header="0.3" footer="0.3"/>
  <pageSetup paperSize="5" orientation="landscape" horizontalDpi="300" verticalDpi="300" r:id="rId2"/>
  <headerFooter alignWithMargins="0"/>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8"/>
  <sheetViews>
    <sheetView topLeftCell="A11" zoomScaleNormal="100" workbookViewId="0">
      <selection activeCell="C38" sqref="C38:E38"/>
    </sheetView>
  </sheetViews>
  <sheetFormatPr defaultRowHeight="12.75" x14ac:dyDescent="0.2"/>
  <cols>
    <col min="1" max="1" width="5" style="16" customWidth="1"/>
    <col min="2" max="2" width="18.85546875" style="37" customWidth="1"/>
    <col min="3" max="3" width="10.85546875" style="16" bestFit="1" customWidth="1"/>
    <col min="4" max="4" width="9.42578125" style="16" bestFit="1" customWidth="1"/>
    <col min="5" max="5" width="9.85546875" style="16" bestFit="1" customWidth="1"/>
    <col min="6" max="6" width="9.42578125" style="16" bestFit="1" customWidth="1"/>
    <col min="7" max="7" width="10.5703125" style="16" bestFit="1" customWidth="1"/>
    <col min="8" max="8" width="10.42578125" style="16" bestFit="1" customWidth="1"/>
    <col min="9" max="9" width="9.42578125" style="16" bestFit="1" customWidth="1"/>
    <col min="10" max="10" width="7.7109375" style="16" customWidth="1"/>
    <col min="11" max="11" width="9.7109375" style="16" bestFit="1" customWidth="1"/>
    <col min="12" max="12" width="9.42578125" style="16" bestFit="1" customWidth="1"/>
    <col min="13" max="13" width="9" style="16" bestFit="1" customWidth="1"/>
    <col min="14" max="14" width="9.42578125" style="16" bestFit="1" customWidth="1"/>
    <col min="15" max="15" width="9.85546875" style="16" bestFit="1"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8.85546875" style="16" customWidth="1"/>
    <col min="259" max="259" width="10.85546875" style="16" bestFit="1" customWidth="1"/>
    <col min="260" max="260" width="9.42578125" style="16" bestFit="1" customWidth="1"/>
    <col min="261" max="261" width="9.85546875" style="16" bestFit="1" customWidth="1"/>
    <col min="262" max="262" width="9.42578125" style="16" bestFit="1" customWidth="1"/>
    <col min="263" max="263" width="10.5703125" style="16" bestFit="1" customWidth="1"/>
    <col min="264" max="264" width="10.42578125" style="16" bestFit="1" customWidth="1"/>
    <col min="265" max="265" width="9.42578125" style="16" bestFit="1" customWidth="1"/>
    <col min="266" max="266" width="7.7109375" style="16" customWidth="1"/>
    <col min="267" max="267" width="9.7109375" style="16" bestFit="1" customWidth="1"/>
    <col min="268" max="268" width="9.42578125" style="16" bestFit="1" customWidth="1"/>
    <col min="269" max="269" width="9" style="16" bestFit="1" customWidth="1"/>
    <col min="270" max="270" width="9.42578125" style="16" bestFit="1" customWidth="1"/>
    <col min="271" max="271" width="9.85546875" style="16" bestFit="1"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8.85546875" style="16" customWidth="1"/>
    <col min="515" max="515" width="10.85546875" style="16" bestFit="1" customWidth="1"/>
    <col min="516" max="516" width="9.42578125" style="16" bestFit="1" customWidth="1"/>
    <col min="517" max="517" width="9.85546875" style="16" bestFit="1" customWidth="1"/>
    <col min="518" max="518" width="9.42578125" style="16" bestFit="1" customWidth="1"/>
    <col min="519" max="519" width="10.5703125" style="16" bestFit="1" customWidth="1"/>
    <col min="520" max="520" width="10.42578125" style="16" bestFit="1" customWidth="1"/>
    <col min="521" max="521" width="9.42578125" style="16" bestFit="1" customWidth="1"/>
    <col min="522" max="522" width="7.7109375" style="16" customWidth="1"/>
    <col min="523" max="523" width="9.7109375" style="16" bestFit="1" customWidth="1"/>
    <col min="524" max="524" width="9.42578125" style="16" bestFit="1" customWidth="1"/>
    <col min="525" max="525" width="9" style="16" bestFit="1" customWidth="1"/>
    <col min="526" max="526" width="9.42578125" style="16" bestFit="1" customWidth="1"/>
    <col min="527" max="527" width="9.85546875" style="16" bestFit="1"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8.85546875" style="16" customWidth="1"/>
    <col min="771" max="771" width="10.85546875" style="16" bestFit="1" customWidth="1"/>
    <col min="772" max="772" width="9.42578125" style="16" bestFit="1" customWidth="1"/>
    <col min="773" max="773" width="9.85546875" style="16" bestFit="1" customWidth="1"/>
    <col min="774" max="774" width="9.42578125" style="16" bestFit="1" customWidth="1"/>
    <col min="775" max="775" width="10.5703125" style="16" bestFit="1" customWidth="1"/>
    <col min="776" max="776" width="10.42578125" style="16" bestFit="1" customWidth="1"/>
    <col min="777" max="777" width="9.42578125" style="16" bestFit="1" customWidth="1"/>
    <col min="778" max="778" width="7.7109375" style="16" customWidth="1"/>
    <col min="779" max="779" width="9.7109375" style="16" bestFit="1" customWidth="1"/>
    <col min="780" max="780" width="9.42578125" style="16" bestFit="1" customWidth="1"/>
    <col min="781" max="781" width="9" style="16" bestFit="1" customWidth="1"/>
    <col min="782" max="782" width="9.42578125" style="16" bestFit="1" customWidth="1"/>
    <col min="783" max="783" width="9.85546875" style="16" bestFit="1"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8.85546875" style="16" customWidth="1"/>
    <col min="1027" max="1027" width="10.85546875" style="16" bestFit="1" customWidth="1"/>
    <col min="1028" max="1028" width="9.42578125" style="16" bestFit="1" customWidth="1"/>
    <col min="1029" max="1029" width="9.85546875" style="16" bestFit="1" customWidth="1"/>
    <col min="1030" max="1030" width="9.42578125" style="16" bestFit="1" customWidth="1"/>
    <col min="1031" max="1031" width="10.5703125" style="16" bestFit="1" customWidth="1"/>
    <col min="1032" max="1032" width="10.42578125" style="16" bestFit="1" customWidth="1"/>
    <col min="1033" max="1033" width="9.42578125" style="16" bestFit="1" customWidth="1"/>
    <col min="1034" max="1034" width="7.7109375" style="16" customWidth="1"/>
    <col min="1035" max="1035" width="9.7109375" style="16" bestFit="1" customWidth="1"/>
    <col min="1036" max="1036" width="9.42578125" style="16" bestFit="1" customWidth="1"/>
    <col min="1037" max="1037" width="9" style="16" bestFit="1" customWidth="1"/>
    <col min="1038" max="1038" width="9.42578125" style="16" bestFit="1" customWidth="1"/>
    <col min="1039" max="1039" width="9.85546875" style="16" bestFit="1"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8.85546875" style="16" customWidth="1"/>
    <col min="1283" max="1283" width="10.85546875" style="16" bestFit="1" customWidth="1"/>
    <col min="1284" max="1284" width="9.42578125" style="16" bestFit="1" customWidth="1"/>
    <col min="1285" max="1285" width="9.85546875" style="16" bestFit="1" customWidth="1"/>
    <col min="1286" max="1286" width="9.42578125" style="16" bestFit="1" customWidth="1"/>
    <col min="1287" max="1287" width="10.5703125" style="16" bestFit="1" customWidth="1"/>
    <col min="1288" max="1288" width="10.42578125" style="16" bestFit="1" customWidth="1"/>
    <col min="1289" max="1289" width="9.42578125" style="16" bestFit="1" customWidth="1"/>
    <col min="1290" max="1290" width="7.7109375" style="16" customWidth="1"/>
    <col min="1291" max="1291" width="9.7109375" style="16" bestFit="1" customWidth="1"/>
    <col min="1292" max="1292" width="9.42578125" style="16" bestFit="1" customWidth="1"/>
    <col min="1293" max="1293" width="9" style="16" bestFit="1" customWidth="1"/>
    <col min="1294" max="1294" width="9.42578125" style="16" bestFit="1" customWidth="1"/>
    <col min="1295" max="1295" width="9.85546875" style="16" bestFit="1"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8.85546875" style="16" customWidth="1"/>
    <col min="1539" max="1539" width="10.85546875" style="16" bestFit="1" customWidth="1"/>
    <col min="1540" max="1540" width="9.42578125" style="16" bestFit="1" customWidth="1"/>
    <col min="1541" max="1541" width="9.85546875" style="16" bestFit="1" customWidth="1"/>
    <col min="1542" max="1542" width="9.42578125" style="16" bestFit="1" customWidth="1"/>
    <col min="1543" max="1543" width="10.5703125" style="16" bestFit="1" customWidth="1"/>
    <col min="1544" max="1544" width="10.42578125" style="16" bestFit="1" customWidth="1"/>
    <col min="1545" max="1545" width="9.42578125" style="16" bestFit="1" customWidth="1"/>
    <col min="1546" max="1546" width="7.7109375" style="16" customWidth="1"/>
    <col min="1547" max="1547" width="9.7109375" style="16" bestFit="1" customWidth="1"/>
    <col min="1548" max="1548" width="9.42578125" style="16" bestFit="1" customWidth="1"/>
    <col min="1549" max="1549" width="9" style="16" bestFit="1" customWidth="1"/>
    <col min="1550" max="1550" width="9.42578125" style="16" bestFit="1" customWidth="1"/>
    <col min="1551" max="1551" width="9.85546875" style="16" bestFit="1"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8.85546875" style="16" customWidth="1"/>
    <col min="1795" max="1795" width="10.85546875" style="16" bestFit="1" customWidth="1"/>
    <col min="1796" max="1796" width="9.42578125" style="16" bestFit="1" customWidth="1"/>
    <col min="1797" max="1797" width="9.85546875" style="16" bestFit="1" customWidth="1"/>
    <col min="1798" max="1798" width="9.42578125" style="16" bestFit="1" customWidth="1"/>
    <col min="1799" max="1799" width="10.5703125" style="16" bestFit="1" customWidth="1"/>
    <col min="1800" max="1800" width="10.42578125" style="16" bestFit="1" customWidth="1"/>
    <col min="1801" max="1801" width="9.42578125" style="16" bestFit="1" customWidth="1"/>
    <col min="1802" max="1802" width="7.7109375" style="16" customWidth="1"/>
    <col min="1803" max="1803" width="9.7109375" style="16" bestFit="1" customWidth="1"/>
    <col min="1804" max="1804" width="9.42578125" style="16" bestFit="1" customWidth="1"/>
    <col min="1805" max="1805" width="9" style="16" bestFit="1" customWidth="1"/>
    <col min="1806" max="1806" width="9.42578125" style="16" bestFit="1" customWidth="1"/>
    <col min="1807" max="1807" width="9.85546875" style="16" bestFit="1"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8.85546875" style="16" customWidth="1"/>
    <col min="2051" max="2051" width="10.85546875" style="16" bestFit="1" customWidth="1"/>
    <col min="2052" max="2052" width="9.42578125" style="16" bestFit="1" customWidth="1"/>
    <col min="2053" max="2053" width="9.85546875" style="16" bestFit="1" customWidth="1"/>
    <col min="2054" max="2054" width="9.42578125" style="16" bestFit="1" customWidth="1"/>
    <col min="2055" max="2055" width="10.5703125" style="16" bestFit="1" customWidth="1"/>
    <col min="2056" max="2056" width="10.42578125" style="16" bestFit="1" customWidth="1"/>
    <col min="2057" max="2057" width="9.42578125" style="16" bestFit="1" customWidth="1"/>
    <col min="2058" max="2058" width="7.7109375" style="16" customWidth="1"/>
    <col min="2059" max="2059" width="9.7109375" style="16" bestFit="1" customWidth="1"/>
    <col min="2060" max="2060" width="9.42578125" style="16" bestFit="1" customWidth="1"/>
    <col min="2061" max="2061" width="9" style="16" bestFit="1" customWidth="1"/>
    <col min="2062" max="2062" width="9.42578125" style="16" bestFit="1" customWidth="1"/>
    <col min="2063" max="2063" width="9.85546875" style="16" bestFit="1"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8.85546875" style="16" customWidth="1"/>
    <col min="2307" max="2307" width="10.85546875" style="16" bestFit="1" customWidth="1"/>
    <col min="2308" max="2308" width="9.42578125" style="16" bestFit="1" customWidth="1"/>
    <col min="2309" max="2309" width="9.85546875" style="16" bestFit="1" customWidth="1"/>
    <col min="2310" max="2310" width="9.42578125" style="16" bestFit="1" customWidth="1"/>
    <col min="2311" max="2311" width="10.5703125" style="16" bestFit="1" customWidth="1"/>
    <col min="2312" max="2312" width="10.42578125" style="16" bestFit="1" customWidth="1"/>
    <col min="2313" max="2313" width="9.42578125" style="16" bestFit="1" customWidth="1"/>
    <col min="2314" max="2314" width="7.7109375" style="16" customWidth="1"/>
    <col min="2315" max="2315" width="9.7109375" style="16" bestFit="1" customWidth="1"/>
    <col min="2316" max="2316" width="9.42578125" style="16" bestFit="1" customWidth="1"/>
    <col min="2317" max="2317" width="9" style="16" bestFit="1" customWidth="1"/>
    <col min="2318" max="2318" width="9.42578125" style="16" bestFit="1" customWidth="1"/>
    <col min="2319" max="2319" width="9.85546875" style="16" bestFit="1"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8.85546875" style="16" customWidth="1"/>
    <col min="2563" max="2563" width="10.85546875" style="16" bestFit="1" customWidth="1"/>
    <col min="2564" max="2564" width="9.42578125" style="16" bestFit="1" customWidth="1"/>
    <col min="2565" max="2565" width="9.85546875" style="16" bestFit="1" customWidth="1"/>
    <col min="2566" max="2566" width="9.42578125" style="16" bestFit="1" customWidth="1"/>
    <col min="2567" max="2567" width="10.5703125" style="16" bestFit="1" customWidth="1"/>
    <col min="2568" max="2568" width="10.42578125" style="16" bestFit="1" customWidth="1"/>
    <col min="2569" max="2569" width="9.42578125" style="16" bestFit="1" customWidth="1"/>
    <col min="2570" max="2570" width="7.7109375" style="16" customWidth="1"/>
    <col min="2571" max="2571" width="9.7109375" style="16" bestFit="1" customWidth="1"/>
    <col min="2572" max="2572" width="9.42578125" style="16" bestFit="1" customWidth="1"/>
    <col min="2573" max="2573" width="9" style="16" bestFit="1" customWidth="1"/>
    <col min="2574" max="2574" width="9.42578125" style="16" bestFit="1" customWidth="1"/>
    <col min="2575" max="2575" width="9.85546875" style="16" bestFit="1"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8.85546875" style="16" customWidth="1"/>
    <col min="2819" max="2819" width="10.85546875" style="16" bestFit="1" customWidth="1"/>
    <col min="2820" max="2820" width="9.42578125" style="16" bestFit="1" customWidth="1"/>
    <col min="2821" max="2821" width="9.85546875" style="16" bestFit="1" customWidth="1"/>
    <col min="2822" max="2822" width="9.42578125" style="16" bestFit="1" customWidth="1"/>
    <col min="2823" max="2823" width="10.5703125" style="16" bestFit="1" customWidth="1"/>
    <col min="2824" max="2824" width="10.42578125" style="16" bestFit="1" customWidth="1"/>
    <col min="2825" max="2825" width="9.42578125" style="16" bestFit="1" customWidth="1"/>
    <col min="2826" max="2826" width="7.7109375" style="16" customWidth="1"/>
    <col min="2827" max="2827" width="9.7109375" style="16" bestFit="1" customWidth="1"/>
    <col min="2828" max="2828" width="9.42578125" style="16" bestFit="1" customWidth="1"/>
    <col min="2829" max="2829" width="9" style="16" bestFit="1" customWidth="1"/>
    <col min="2830" max="2830" width="9.42578125" style="16" bestFit="1" customWidth="1"/>
    <col min="2831" max="2831" width="9.85546875" style="16" bestFit="1"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8.85546875" style="16" customWidth="1"/>
    <col min="3075" max="3075" width="10.85546875" style="16" bestFit="1" customWidth="1"/>
    <col min="3076" max="3076" width="9.42578125" style="16" bestFit="1" customWidth="1"/>
    <col min="3077" max="3077" width="9.85546875" style="16" bestFit="1" customWidth="1"/>
    <col min="3078" max="3078" width="9.42578125" style="16" bestFit="1" customWidth="1"/>
    <col min="3079" max="3079" width="10.5703125" style="16" bestFit="1" customWidth="1"/>
    <col min="3080" max="3080" width="10.42578125" style="16" bestFit="1" customWidth="1"/>
    <col min="3081" max="3081" width="9.42578125" style="16" bestFit="1" customWidth="1"/>
    <col min="3082" max="3082" width="7.7109375" style="16" customWidth="1"/>
    <col min="3083" max="3083" width="9.7109375" style="16" bestFit="1" customWidth="1"/>
    <col min="3084" max="3084" width="9.42578125" style="16" bestFit="1" customWidth="1"/>
    <col min="3085" max="3085" width="9" style="16" bestFit="1" customWidth="1"/>
    <col min="3086" max="3086" width="9.42578125" style="16" bestFit="1" customWidth="1"/>
    <col min="3087" max="3087" width="9.85546875" style="16" bestFit="1"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8.85546875" style="16" customWidth="1"/>
    <col min="3331" max="3331" width="10.85546875" style="16" bestFit="1" customWidth="1"/>
    <col min="3332" max="3332" width="9.42578125" style="16" bestFit="1" customWidth="1"/>
    <col min="3333" max="3333" width="9.85546875" style="16" bestFit="1" customWidth="1"/>
    <col min="3334" max="3334" width="9.42578125" style="16" bestFit="1" customWidth="1"/>
    <col min="3335" max="3335" width="10.5703125" style="16" bestFit="1" customWidth="1"/>
    <col min="3336" max="3336" width="10.42578125" style="16" bestFit="1" customWidth="1"/>
    <col min="3337" max="3337" width="9.42578125" style="16" bestFit="1" customWidth="1"/>
    <col min="3338" max="3338" width="7.7109375" style="16" customWidth="1"/>
    <col min="3339" max="3339" width="9.7109375" style="16" bestFit="1" customWidth="1"/>
    <col min="3340" max="3340" width="9.42578125" style="16" bestFit="1" customWidth="1"/>
    <col min="3341" max="3341" width="9" style="16" bestFit="1" customWidth="1"/>
    <col min="3342" max="3342" width="9.42578125" style="16" bestFit="1" customWidth="1"/>
    <col min="3343" max="3343" width="9.85546875" style="16" bestFit="1"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8.85546875" style="16" customWidth="1"/>
    <col min="3587" max="3587" width="10.85546875" style="16" bestFit="1" customWidth="1"/>
    <col min="3588" max="3588" width="9.42578125" style="16" bestFit="1" customWidth="1"/>
    <col min="3589" max="3589" width="9.85546875" style="16" bestFit="1" customWidth="1"/>
    <col min="3590" max="3590" width="9.42578125" style="16" bestFit="1" customWidth="1"/>
    <col min="3591" max="3591" width="10.5703125" style="16" bestFit="1" customWidth="1"/>
    <col min="3592" max="3592" width="10.42578125" style="16" bestFit="1" customWidth="1"/>
    <col min="3593" max="3593" width="9.42578125" style="16" bestFit="1" customWidth="1"/>
    <col min="3594" max="3594" width="7.7109375" style="16" customWidth="1"/>
    <col min="3595" max="3595" width="9.7109375" style="16" bestFit="1" customWidth="1"/>
    <col min="3596" max="3596" width="9.42578125" style="16" bestFit="1" customWidth="1"/>
    <col min="3597" max="3597" width="9" style="16" bestFit="1" customWidth="1"/>
    <col min="3598" max="3598" width="9.42578125" style="16" bestFit="1" customWidth="1"/>
    <col min="3599" max="3599" width="9.85546875" style="16" bestFit="1"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8.85546875" style="16" customWidth="1"/>
    <col min="3843" max="3843" width="10.85546875" style="16" bestFit="1" customWidth="1"/>
    <col min="3844" max="3844" width="9.42578125" style="16" bestFit="1" customWidth="1"/>
    <col min="3845" max="3845" width="9.85546875" style="16" bestFit="1" customWidth="1"/>
    <col min="3846" max="3846" width="9.42578125" style="16" bestFit="1" customWidth="1"/>
    <col min="3847" max="3847" width="10.5703125" style="16" bestFit="1" customWidth="1"/>
    <col min="3848" max="3848" width="10.42578125" style="16" bestFit="1" customWidth="1"/>
    <col min="3849" max="3849" width="9.42578125" style="16" bestFit="1" customWidth="1"/>
    <col min="3850" max="3850" width="7.7109375" style="16" customWidth="1"/>
    <col min="3851" max="3851" width="9.7109375" style="16" bestFit="1" customWidth="1"/>
    <col min="3852" max="3852" width="9.42578125" style="16" bestFit="1" customWidth="1"/>
    <col min="3853" max="3853" width="9" style="16" bestFit="1" customWidth="1"/>
    <col min="3854" max="3854" width="9.42578125" style="16" bestFit="1" customWidth="1"/>
    <col min="3855" max="3855" width="9.85546875" style="16" bestFit="1"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8.85546875" style="16" customWidth="1"/>
    <col min="4099" max="4099" width="10.85546875" style="16" bestFit="1" customWidth="1"/>
    <col min="4100" max="4100" width="9.42578125" style="16" bestFit="1" customWidth="1"/>
    <col min="4101" max="4101" width="9.85546875" style="16" bestFit="1" customWidth="1"/>
    <col min="4102" max="4102" width="9.42578125" style="16" bestFit="1" customWidth="1"/>
    <col min="4103" max="4103" width="10.5703125" style="16" bestFit="1" customWidth="1"/>
    <col min="4104" max="4104" width="10.42578125" style="16" bestFit="1" customWidth="1"/>
    <col min="4105" max="4105" width="9.42578125" style="16" bestFit="1" customWidth="1"/>
    <col min="4106" max="4106" width="7.7109375" style="16" customWidth="1"/>
    <col min="4107" max="4107" width="9.7109375" style="16" bestFit="1" customWidth="1"/>
    <col min="4108" max="4108" width="9.42578125" style="16" bestFit="1" customWidth="1"/>
    <col min="4109" max="4109" width="9" style="16" bestFit="1" customWidth="1"/>
    <col min="4110" max="4110" width="9.42578125" style="16" bestFit="1" customWidth="1"/>
    <col min="4111" max="4111" width="9.85546875" style="16" bestFit="1"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8.85546875" style="16" customWidth="1"/>
    <col min="4355" max="4355" width="10.85546875" style="16" bestFit="1" customWidth="1"/>
    <col min="4356" max="4356" width="9.42578125" style="16" bestFit="1" customWidth="1"/>
    <col min="4357" max="4357" width="9.85546875" style="16" bestFit="1" customWidth="1"/>
    <col min="4358" max="4358" width="9.42578125" style="16" bestFit="1" customWidth="1"/>
    <col min="4359" max="4359" width="10.5703125" style="16" bestFit="1" customWidth="1"/>
    <col min="4360" max="4360" width="10.42578125" style="16" bestFit="1" customWidth="1"/>
    <col min="4361" max="4361" width="9.42578125" style="16" bestFit="1" customWidth="1"/>
    <col min="4362" max="4362" width="7.7109375" style="16" customWidth="1"/>
    <col min="4363" max="4363" width="9.7109375" style="16" bestFit="1" customWidth="1"/>
    <col min="4364" max="4364" width="9.42578125" style="16" bestFit="1" customWidth="1"/>
    <col min="4365" max="4365" width="9" style="16" bestFit="1" customWidth="1"/>
    <col min="4366" max="4366" width="9.42578125" style="16" bestFit="1" customWidth="1"/>
    <col min="4367" max="4367" width="9.85546875" style="16" bestFit="1"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8.85546875" style="16" customWidth="1"/>
    <col min="4611" max="4611" width="10.85546875" style="16" bestFit="1" customWidth="1"/>
    <col min="4612" max="4612" width="9.42578125" style="16" bestFit="1" customWidth="1"/>
    <col min="4613" max="4613" width="9.85546875" style="16" bestFit="1" customWidth="1"/>
    <col min="4614" max="4614" width="9.42578125" style="16" bestFit="1" customWidth="1"/>
    <col min="4615" max="4615" width="10.5703125" style="16" bestFit="1" customWidth="1"/>
    <col min="4616" max="4616" width="10.42578125" style="16" bestFit="1" customWidth="1"/>
    <col min="4617" max="4617" width="9.42578125" style="16" bestFit="1" customWidth="1"/>
    <col min="4618" max="4618" width="7.7109375" style="16" customWidth="1"/>
    <col min="4619" max="4619" width="9.7109375" style="16" bestFit="1" customWidth="1"/>
    <col min="4620" max="4620" width="9.42578125" style="16" bestFit="1" customWidth="1"/>
    <col min="4621" max="4621" width="9" style="16" bestFit="1" customWidth="1"/>
    <col min="4622" max="4622" width="9.42578125" style="16" bestFit="1" customWidth="1"/>
    <col min="4623" max="4623" width="9.85546875" style="16" bestFit="1"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8.85546875" style="16" customWidth="1"/>
    <col min="4867" max="4867" width="10.85546875" style="16" bestFit="1" customWidth="1"/>
    <col min="4868" max="4868" width="9.42578125" style="16" bestFit="1" customWidth="1"/>
    <col min="4869" max="4869" width="9.85546875" style="16" bestFit="1" customWidth="1"/>
    <col min="4870" max="4870" width="9.42578125" style="16" bestFit="1" customWidth="1"/>
    <col min="4871" max="4871" width="10.5703125" style="16" bestFit="1" customWidth="1"/>
    <col min="4872" max="4872" width="10.42578125" style="16" bestFit="1" customWidth="1"/>
    <col min="4873" max="4873" width="9.42578125" style="16" bestFit="1" customWidth="1"/>
    <col min="4874" max="4874" width="7.7109375" style="16" customWidth="1"/>
    <col min="4875" max="4875" width="9.7109375" style="16" bestFit="1" customWidth="1"/>
    <col min="4876" max="4876" width="9.42578125" style="16" bestFit="1" customWidth="1"/>
    <col min="4877" max="4877" width="9" style="16" bestFit="1" customWidth="1"/>
    <col min="4878" max="4878" width="9.42578125" style="16" bestFit="1" customWidth="1"/>
    <col min="4879" max="4879" width="9.85546875" style="16" bestFit="1"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8.85546875" style="16" customWidth="1"/>
    <col min="5123" max="5123" width="10.85546875" style="16" bestFit="1" customWidth="1"/>
    <col min="5124" max="5124" width="9.42578125" style="16" bestFit="1" customWidth="1"/>
    <col min="5125" max="5125" width="9.85546875" style="16" bestFit="1" customWidth="1"/>
    <col min="5126" max="5126" width="9.42578125" style="16" bestFit="1" customWidth="1"/>
    <col min="5127" max="5127" width="10.5703125" style="16" bestFit="1" customWidth="1"/>
    <col min="5128" max="5128" width="10.42578125" style="16" bestFit="1" customWidth="1"/>
    <col min="5129" max="5129" width="9.42578125" style="16" bestFit="1" customWidth="1"/>
    <col min="5130" max="5130" width="7.7109375" style="16" customWidth="1"/>
    <col min="5131" max="5131" width="9.7109375" style="16" bestFit="1" customWidth="1"/>
    <col min="5132" max="5132" width="9.42578125" style="16" bestFit="1" customWidth="1"/>
    <col min="5133" max="5133" width="9" style="16" bestFit="1" customWidth="1"/>
    <col min="5134" max="5134" width="9.42578125" style="16" bestFit="1" customWidth="1"/>
    <col min="5135" max="5135" width="9.85546875" style="16" bestFit="1"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8.85546875" style="16" customWidth="1"/>
    <col min="5379" max="5379" width="10.85546875" style="16" bestFit="1" customWidth="1"/>
    <col min="5380" max="5380" width="9.42578125" style="16" bestFit="1" customWidth="1"/>
    <col min="5381" max="5381" width="9.85546875" style="16" bestFit="1" customWidth="1"/>
    <col min="5382" max="5382" width="9.42578125" style="16" bestFit="1" customWidth="1"/>
    <col min="5383" max="5383" width="10.5703125" style="16" bestFit="1" customWidth="1"/>
    <col min="5384" max="5384" width="10.42578125" style="16" bestFit="1" customWidth="1"/>
    <col min="5385" max="5385" width="9.42578125" style="16" bestFit="1" customWidth="1"/>
    <col min="5386" max="5386" width="7.7109375" style="16" customWidth="1"/>
    <col min="5387" max="5387" width="9.7109375" style="16" bestFit="1" customWidth="1"/>
    <col min="5388" max="5388" width="9.42578125" style="16" bestFit="1" customWidth="1"/>
    <col min="5389" max="5389" width="9" style="16" bestFit="1" customWidth="1"/>
    <col min="5390" max="5390" width="9.42578125" style="16" bestFit="1" customWidth="1"/>
    <col min="5391" max="5391" width="9.85546875" style="16" bestFit="1"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8.85546875" style="16" customWidth="1"/>
    <col min="5635" max="5635" width="10.85546875" style="16" bestFit="1" customWidth="1"/>
    <col min="5636" max="5636" width="9.42578125" style="16" bestFit="1" customWidth="1"/>
    <col min="5637" max="5637" width="9.85546875" style="16" bestFit="1" customWidth="1"/>
    <col min="5638" max="5638" width="9.42578125" style="16" bestFit="1" customWidth="1"/>
    <col min="5639" max="5639" width="10.5703125" style="16" bestFit="1" customWidth="1"/>
    <col min="5640" max="5640" width="10.42578125" style="16" bestFit="1" customWidth="1"/>
    <col min="5641" max="5641" width="9.42578125" style="16" bestFit="1" customWidth="1"/>
    <col min="5642" max="5642" width="7.7109375" style="16" customWidth="1"/>
    <col min="5643" max="5643" width="9.7109375" style="16" bestFit="1" customWidth="1"/>
    <col min="5644" max="5644" width="9.42578125" style="16" bestFit="1" customWidth="1"/>
    <col min="5645" max="5645" width="9" style="16" bestFit="1" customWidth="1"/>
    <col min="5646" max="5646" width="9.42578125" style="16" bestFit="1" customWidth="1"/>
    <col min="5647" max="5647" width="9.85546875" style="16" bestFit="1"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8.85546875" style="16" customWidth="1"/>
    <col min="5891" max="5891" width="10.85546875" style="16" bestFit="1" customWidth="1"/>
    <col min="5892" max="5892" width="9.42578125" style="16" bestFit="1" customWidth="1"/>
    <col min="5893" max="5893" width="9.85546875" style="16" bestFit="1" customWidth="1"/>
    <col min="5894" max="5894" width="9.42578125" style="16" bestFit="1" customWidth="1"/>
    <col min="5895" max="5895" width="10.5703125" style="16" bestFit="1" customWidth="1"/>
    <col min="5896" max="5896" width="10.42578125" style="16" bestFit="1" customWidth="1"/>
    <col min="5897" max="5897" width="9.42578125" style="16" bestFit="1" customWidth="1"/>
    <col min="5898" max="5898" width="7.7109375" style="16" customWidth="1"/>
    <col min="5899" max="5899" width="9.7109375" style="16" bestFit="1" customWidth="1"/>
    <col min="5900" max="5900" width="9.42578125" style="16" bestFit="1" customWidth="1"/>
    <col min="5901" max="5901" width="9" style="16" bestFit="1" customWidth="1"/>
    <col min="5902" max="5902" width="9.42578125" style="16" bestFit="1" customWidth="1"/>
    <col min="5903" max="5903" width="9.85546875" style="16" bestFit="1"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8.85546875" style="16" customWidth="1"/>
    <col min="6147" max="6147" width="10.85546875" style="16" bestFit="1" customWidth="1"/>
    <col min="6148" max="6148" width="9.42578125" style="16" bestFit="1" customWidth="1"/>
    <col min="6149" max="6149" width="9.85546875" style="16" bestFit="1" customWidth="1"/>
    <col min="6150" max="6150" width="9.42578125" style="16" bestFit="1" customWidth="1"/>
    <col min="6151" max="6151" width="10.5703125" style="16" bestFit="1" customWidth="1"/>
    <col min="6152" max="6152" width="10.42578125" style="16" bestFit="1" customWidth="1"/>
    <col min="6153" max="6153" width="9.42578125" style="16" bestFit="1" customWidth="1"/>
    <col min="6154" max="6154" width="7.7109375" style="16" customWidth="1"/>
    <col min="6155" max="6155" width="9.7109375" style="16" bestFit="1" customWidth="1"/>
    <col min="6156" max="6156" width="9.42578125" style="16" bestFit="1" customWidth="1"/>
    <col min="6157" max="6157" width="9" style="16" bestFit="1" customWidth="1"/>
    <col min="6158" max="6158" width="9.42578125" style="16" bestFit="1" customWidth="1"/>
    <col min="6159" max="6159" width="9.85546875" style="16" bestFit="1"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8.85546875" style="16" customWidth="1"/>
    <col min="6403" max="6403" width="10.85546875" style="16" bestFit="1" customWidth="1"/>
    <col min="6404" max="6404" width="9.42578125" style="16" bestFit="1" customWidth="1"/>
    <col min="6405" max="6405" width="9.85546875" style="16" bestFit="1" customWidth="1"/>
    <col min="6406" max="6406" width="9.42578125" style="16" bestFit="1" customWidth="1"/>
    <col min="6407" max="6407" width="10.5703125" style="16" bestFit="1" customWidth="1"/>
    <col min="6408" max="6408" width="10.42578125" style="16" bestFit="1" customWidth="1"/>
    <col min="6409" max="6409" width="9.42578125" style="16" bestFit="1" customWidth="1"/>
    <col min="6410" max="6410" width="7.7109375" style="16" customWidth="1"/>
    <col min="6411" max="6411" width="9.7109375" style="16" bestFit="1" customWidth="1"/>
    <col min="6412" max="6412" width="9.42578125" style="16" bestFit="1" customWidth="1"/>
    <col min="6413" max="6413" width="9" style="16" bestFit="1" customWidth="1"/>
    <col min="6414" max="6414" width="9.42578125" style="16" bestFit="1" customWidth="1"/>
    <col min="6415" max="6415" width="9.85546875" style="16" bestFit="1"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8.85546875" style="16" customWidth="1"/>
    <col min="6659" max="6659" width="10.85546875" style="16" bestFit="1" customWidth="1"/>
    <col min="6660" max="6660" width="9.42578125" style="16" bestFit="1" customWidth="1"/>
    <col min="6661" max="6661" width="9.85546875" style="16" bestFit="1" customWidth="1"/>
    <col min="6662" max="6662" width="9.42578125" style="16" bestFit="1" customWidth="1"/>
    <col min="6663" max="6663" width="10.5703125" style="16" bestFit="1" customWidth="1"/>
    <col min="6664" max="6664" width="10.42578125" style="16" bestFit="1" customWidth="1"/>
    <col min="6665" max="6665" width="9.42578125" style="16" bestFit="1" customWidth="1"/>
    <col min="6666" max="6666" width="7.7109375" style="16" customWidth="1"/>
    <col min="6667" max="6667" width="9.7109375" style="16" bestFit="1" customWidth="1"/>
    <col min="6668" max="6668" width="9.42578125" style="16" bestFit="1" customWidth="1"/>
    <col min="6669" max="6669" width="9" style="16" bestFit="1" customWidth="1"/>
    <col min="6670" max="6670" width="9.42578125" style="16" bestFit="1" customWidth="1"/>
    <col min="6671" max="6671" width="9.85546875" style="16" bestFit="1"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8.85546875" style="16" customWidth="1"/>
    <col min="6915" max="6915" width="10.85546875" style="16" bestFit="1" customWidth="1"/>
    <col min="6916" max="6916" width="9.42578125" style="16" bestFit="1" customWidth="1"/>
    <col min="6917" max="6917" width="9.85546875" style="16" bestFit="1" customWidth="1"/>
    <col min="6918" max="6918" width="9.42578125" style="16" bestFit="1" customWidth="1"/>
    <col min="6919" max="6919" width="10.5703125" style="16" bestFit="1" customWidth="1"/>
    <col min="6920" max="6920" width="10.42578125" style="16" bestFit="1" customWidth="1"/>
    <col min="6921" max="6921" width="9.42578125" style="16" bestFit="1" customWidth="1"/>
    <col min="6922" max="6922" width="7.7109375" style="16" customWidth="1"/>
    <col min="6923" max="6923" width="9.7109375" style="16" bestFit="1" customWidth="1"/>
    <col min="6924" max="6924" width="9.42578125" style="16" bestFit="1" customWidth="1"/>
    <col min="6925" max="6925" width="9" style="16" bestFit="1" customWidth="1"/>
    <col min="6926" max="6926" width="9.42578125" style="16" bestFit="1" customWidth="1"/>
    <col min="6927" max="6927" width="9.85546875" style="16" bestFit="1"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8.85546875" style="16" customWidth="1"/>
    <col min="7171" max="7171" width="10.85546875" style="16" bestFit="1" customWidth="1"/>
    <col min="7172" max="7172" width="9.42578125" style="16" bestFit="1" customWidth="1"/>
    <col min="7173" max="7173" width="9.85546875" style="16" bestFit="1" customWidth="1"/>
    <col min="7174" max="7174" width="9.42578125" style="16" bestFit="1" customWidth="1"/>
    <col min="7175" max="7175" width="10.5703125" style="16" bestFit="1" customWidth="1"/>
    <col min="7176" max="7176" width="10.42578125" style="16" bestFit="1" customWidth="1"/>
    <col min="7177" max="7177" width="9.42578125" style="16" bestFit="1" customWidth="1"/>
    <col min="7178" max="7178" width="7.7109375" style="16" customWidth="1"/>
    <col min="7179" max="7179" width="9.7109375" style="16" bestFit="1" customWidth="1"/>
    <col min="7180" max="7180" width="9.42578125" style="16" bestFit="1" customWidth="1"/>
    <col min="7181" max="7181" width="9" style="16" bestFit="1" customWidth="1"/>
    <col min="7182" max="7182" width="9.42578125" style="16" bestFit="1" customWidth="1"/>
    <col min="7183" max="7183" width="9.85546875" style="16" bestFit="1"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8.85546875" style="16" customWidth="1"/>
    <col min="7427" max="7427" width="10.85546875" style="16" bestFit="1" customWidth="1"/>
    <col min="7428" max="7428" width="9.42578125" style="16" bestFit="1" customWidth="1"/>
    <col min="7429" max="7429" width="9.85546875" style="16" bestFit="1" customWidth="1"/>
    <col min="7430" max="7430" width="9.42578125" style="16" bestFit="1" customWidth="1"/>
    <col min="7431" max="7431" width="10.5703125" style="16" bestFit="1" customWidth="1"/>
    <col min="7432" max="7432" width="10.42578125" style="16" bestFit="1" customWidth="1"/>
    <col min="7433" max="7433" width="9.42578125" style="16" bestFit="1" customWidth="1"/>
    <col min="7434" max="7434" width="7.7109375" style="16" customWidth="1"/>
    <col min="7435" max="7435" width="9.7109375" style="16" bestFit="1" customWidth="1"/>
    <col min="7436" max="7436" width="9.42578125" style="16" bestFit="1" customWidth="1"/>
    <col min="7437" max="7437" width="9" style="16" bestFit="1" customWidth="1"/>
    <col min="7438" max="7438" width="9.42578125" style="16" bestFit="1" customWidth="1"/>
    <col min="7439" max="7439" width="9.85546875" style="16" bestFit="1"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8.85546875" style="16" customWidth="1"/>
    <col min="7683" max="7683" width="10.85546875" style="16" bestFit="1" customWidth="1"/>
    <col min="7684" max="7684" width="9.42578125" style="16" bestFit="1" customWidth="1"/>
    <col min="7685" max="7685" width="9.85546875" style="16" bestFit="1" customWidth="1"/>
    <col min="7686" max="7686" width="9.42578125" style="16" bestFit="1" customWidth="1"/>
    <col min="7687" max="7687" width="10.5703125" style="16" bestFit="1" customWidth="1"/>
    <col min="7688" max="7688" width="10.42578125" style="16" bestFit="1" customWidth="1"/>
    <col min="7689" max="7689" width="9.42578125" style="16" bestFit="1" customWidth="1"/>
    <col min="7690" max="7690" width="7.7109375" style="16" customWidth="1"/>
    <col min="7691" max="7691" width="9.7109375" style="16" bestFit="1" customWidth="1"/>
    <col min="7692" max="7692" width="9.42578125" style="16" bestFit="1" customWidth="1"/>
    <col min="7693" max="7693" width="9" style="16" bestFit="1" customWidth="1"/>
    <col min="7694" max="7694" width="9.42578125" style="16" bestFit="1" customWidth="1"/>
    <col min="7695" max="7695" width="9.85546875" style="16" bestFit="1"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8.85546875" style="16" customWidth="1"/>
    <col min="7939" max="7939" width="10.85546875" style="16" bestFit="1" customWidth="1"/>
    <col min="7940" max="7940" width="9.42578125" style="16" bestFit="1" customWidth="1"/>
    <col min="7941" max="7941" width="9.85546875" style="16" bestFit="1" customWidth="1"/>
    <col min="7942" max="7942" width="9.42578125" style="16" bestFit="1" customWidth="1"/>
    <col min="7943" max="7943" width="10.5703125" style="16" bestFit="1" customWidth="1"/>
    <col min="7944" max="7944" width="10.42578125" style="16" bestFit="1" customWidth="1"/>
    <col min="7945" max="7945" width="9.42578125" style="16" bestFit="1" customWidth="1"/>
    <col min="7946" max="7946" width="7.7109375" style="16" customWidth="1"/>
    <col min="7947" max="7947" width="9.7109375" style="16" bestFit="1" customWidth="1"/>
    <col min="7948" max="7948" width="9.42578125" style="16" bestFit="1" customWidth="1"/>
    <col min="7949" max="7949" width="9" style="16" bestFit="1" customWidth="1"/>
    <col min="7950" max="7950" width="9.42578125" style="16" bestFit="1" customWidth="1"/>
    <col min="7951" max="7951" width="9.85546875" style="16" bestFit="1"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8.85546875" style="16" customWidth="1"/>
    <col min="8195" max="8195" width="10.85546875" style="16" bestFit="1" customWidth="1"/>
    <col min="8196" max="8196" width="9.42578125" style="16" bestFit="1" customWidth="1"/>
    <col min="8197" max="8197" width="9.85546875" style="16" bestFit="1" customWidth="1"/>
    <col min="8198" max="8198" width="9.42578125" style="16" bestFit="1" customWidth="1"/>
    <col min="8199" max="8199" width="10.5703125" style="16" bestFit="1" customWidth="1"/>
    <col min="8200" max="8200" width="10.42578125" style="16" bestFit="1" customWidth="1"/>
    <col min="8201" max="8201" width="9.42578125" style="16" bestFit="1" customWidth="1"/>
    <col min="8202" max="8202" width="7.7109375" style="16" customWidth="1"/>
    <col min="8203" max="8203" width="9.7109375" style="16" bestFit="1" customWidth="1"/>
    <col min="8204" max="8204" width="9.42578125" style="16" bestFit="1" customWidth="1"/>
    <col min="8205" max="8205" width="9" style="16" bestFit="1" customWidth="1"/>
    <col min="8206" max="8206" width="9.42578125" style="16" bestFit="1" customWidth="1"/>
    <col min="8207" max="8207" width="9.85546875" style="16" bestFit="1"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8.85546875" style="16" customWidth="1"/>
    <col min="8451" max="8451" width="10.85546875" style="16" bestFit="1" customWidth="1"/>
    <col min="8452" max="8452" width="9.42578125" style="16" bestFit="1" customWidth="1"/>
    <col min="8453" max="8453" width="9.85546875" style="16" bestFit="1" customWidth="1"/>
    <col min="8454" max="8454" width="9.42578125" style="16" bestFit="1" customWidth="1"/>
    <col min="8455" max="8455" width="10.5703125" style="16" bestFit="1" customWidth="1"/>
    <col min="8456" max="8456" width="10.42578125" style="16" bestFit="1" customWidth="1"/>
    <col min="8457" max="8457" width="9.42578125" style="16" bestFit="1" customWidth="1"/>
    <col min="8458" max="8458" width="7.7109375" style="16" customWidth="1"/>
    <col min="8459" max="8459" width="9.7109375" style="16" bestFit="1" customWidth="1"/>
    <col min="8460" max="8460" width="9.42578125" style="16" bestFit="1" customWidth="1"/>
    <col min="8461" max="8461" width="9" style="16" bestFit="1" customWidth="1"/>
    <col min="8462" max="8462" width="9.42578125" style="16" bestFit="1" customWidth="1"/>
    <col min="8463" max="8463" width="9.85546875" style="16" bestFit="1"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8.85546875" style="16" customWidth="1"/>
    <col min="8707" max="8707" width="10.85546875" style="16" bestFit="1" customWidth="1"/>
    <col min="8708" max="8708" width="9.42578125" style="16" bestFit="1" customWidth="1"/>
    <col min="8709" max="8709" width="9.85546875" style="16" bestFit="1" customWidth="1"/>
    <col min="8710" max="8710" width="9.42578125" style="16" bestFit="1" customWidth="1"/>
    <col min="8711" max="8711" width="10.5703125" style="16" bestFit="1" customWidth="1"/>
    <col min="8712" max="8712" width="10.42578125" style="16" bestFit="1" customWidth="1"/>
    <col min="8713" max="8713" width="9.42578125" style="16" bestFit="1" customWidth="1"/>
    <col min="8714" max="8714" width="7.7109375" style="16" customWidth="1"/>
    <col min="8715" max="8715" width="9.7109375" style="16" bestFit="1" customWidth="1"/>
    <col min="8716" max="8716" width="9.42578125" style="16" bestFit="1" customWidth="1"/>
    <col min="8717" max="8717" width="9" style="16" bestFit="1" customWidth="1"/>
    <col min="8718" max="8718" width="9.42578125" style="16" bestFit="1" customWidth="1"/>
    <col min="8719" max="8719" width="9.85546875" style="16" bestFit="1"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8.85546875" style="16" customWidth="1"/>
    <col min="8963" max="8963" width="10.85546875" style="16" bestFit="1" customWidth="1"/>
    <col min="8964" max="8964" width="9.42578125" style="16" bestFit="1" customWidth="1"/>
    <col min="8965" max="8965" width="9.85546875" style="16" bestFit="1" customWidth="1"/>
    <col min="8966" max="8966" width="9.42578125" style="16" bestFit="1" customWidth="1"/>
    <col min="8967" max="8967" width="10.5703125" style="16" bestFit="1" customWidth="1"/>
    <col min="8968" max="8968" width="10.42578125" style="16" bestFit="1" customWidth="1"/>
    <col min="8969" max="8969" width="9.42578125" style="16" bestFit="1" customWidth="1"/>
    <col min="8970" max="8970" width="7.7109375" style="16" customWidth="1"/>
    <col min="8971" max="8971" width="9.7109375" style="16" bestFit="1" customWidth="1"/>
    <col min="8972" max="8972" width="9.42578125" style="16" bestFit="1" customWidth="1"/>
    <col min="8973" max="8973" width="9" style="16" bestFit="1" customWidth="1"/>
    <col min="8974" max="8974" width="9.42578125" style="16" bestFit="1" customWidth="1"/>
    <col min="8975" max="8975" width="9.85546875" style="16" bestFit="1"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8.85546875" style="16" customWidth="1"/>
    <col min="9219" max="9219" width="10.85546875" style="16" bestFit="1" customWidth="1"/>
    <col min="9220" max="9220" width="9.42578125" style="16" bestFit="1" customWidth="1"/>
    <col min="9221" max="9221" width="9.85546875" style="16" bestFit="1" customWidth="1"/>
    <col min="9222" max="9222" width="9.42578125" style="16" bestFit="1" customWidth="1"/>
    <col min="9223" max="9223" width="10.5703125" style="16" bestFit="1" customWidth="1"/>
    <col min="9224" max="9224" width="10.42578125" style="16" bestFit="1" customWidth="1"/>
    <col min="9225" max="9225" width="9.42578125" style="16" bestFit="1" customWidth="1"/>
    <col min="9226" max="9226" width="7.7109375" style="16" customWidth="1"/>
    <col min="9227" max="9227" width="9.7109375" style="16" bestFit="1" customWidth="1"/>
    <col min="9228" max="9228" width="9.42578125" style="16" bestFit="1" customWidth="1"/>
    <col min="9229" max="9229" width="9" style="16" bestFit="1" customWidth="1"/>
    <col min="9230" max="9230" width="9.42578125" style="16" bestFit="1" customWidth="1"/>
    <col min="9231" max="9231" width="9.85546875" style="16" bestFit="1"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8.85546875" style="16" customWidth="1"/>
    <col min="9475" max="9475" width="10.85546875" style="16" bestFit="1" customWidth="1"/>
    <col min="9476" max="9476" width="9.42578125" style="16" bestFit="1" customWidth="1"/>
    <col min="9477" max="9477" width="9.85546875" style="16" bestFit="1" customWidth="1"/>
    <col min="9478" max="9478" width="9.42578125" style="16" bestFit="1" customWidth="1"/>
    <col min="9479" max="9479" width="10.5703125" style="16" bestFit="1" customWidth="1"/>
    <col min="9480" max="9480" width="10.42578125" style="16" bestFit="1" customWidth="1"/>
    <col min="9481" max="9481" width="9.42578125" style="16" bestFit="1" customWidth="1"/>
    <col min="9482" max="9482" width="7.7109375" style="16" customWidth="1"/>
    <col min="9483" max="9483" width="9.7109375" style="16" bestFit="1" customWidth="1"/>
    <col min="9484" max="9484" width="9.42578125" style="16" bestFit="1" customWidth="1"/>
    <col min="9485" max="9485" width="9" style="16" bestFit="1" customWidth="1"/>
    <col min="9486" max="9486" width="9.42578125" style="16" bestFit="1" customWidth="1"/>
    <col min="9487" max="9487" width="9.85546875" style="16" bestFit="1"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8.85546875" style="16" customWidth="1"/>
    <col min="9731" max="9731" width="10.85546875" style="16" bestFit="1" customWidth="1"/>
    <col min="9732" max="9732" width="9.42578125" style="16" bestFit="1" customWidth="1"/>
    <col min="9733" max="9733" width="9.85546875" style="16" bestFit="1" customWidth="1"/>
    <col min="9734" max="9734" width="9.42578125" style="16" bestFit="1" customWidth="1"/>
    <col min="9735" max="9735" width="10.5703125" style="16" bestFit="1" customWidth="1"/>
    <col min="9736" max="9736" width="10.42578125" style="16" bestFit="1" customWidth="1"/>
    <col min="9737" max="9737" width="9.42578125" style="16" bestFit="1" customWidth="1"/>
    <col min="9738" max="9738" width="7.7109375" style="16" customWidth="1"/>
    <col min="9739" max="9739" width="9.7109375" style="16" bestFit="1" customWidth="1"/>
    <col min="9740" max="9740" width="9.42578125" style="16" bestFit="1" customWidth="1"/>
    <col min="9741" max="9741" width="9" style="16" bestFit="1" customWidth="1"/>
    <col min="9742" max="9742" width="9.42578125" style="16" bestFit="1" customWidth="1"/>
    <col min="9743" max="9743" width="9.85546875" style="16" bestFit="1"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8.85546875" style="16" customWidth="1"/>
    <col min="9987" max="9987" width="10.85546875" style="16" bestFit="1" customWidth="1"/>
    <col min="9988" max="9988" width="9.42578125" style="16" bestFit="1" customWidth="1"/>
    <col min="9989" max="9989" width="9.85546875" style="16" bestFit="1" customWidth="1"/>
    <col min="9990" max="9990" width="9.42578125" style="16" bestFit="1" customWidth="1"/>
    <col min="9991" max="9991" width="10.5703125" style="16" bestFit="1" customWidth="1"/>
    <col min="9992" max="9992" width="10.42578125" style="16" bestFit="1" customWidth="1"/>
    <col min="9993" max="9993" width="9.42578125" style="16" bestFit="1" customWidth="1"/>
    <col min="9994" max="9994" width="7.7109375" style="16" customWidth="1"/>
    <col min="9995" max="9995" width="9.7109375" style="16" bestFit="1" customWidth="1"/>
    <col min="9996" max="9996" width="9.42578125" style="16" bestFit="1" customWidth="1"/>
    <col min="9997" max="9997" width="9" style="16" bestFit="1" customWidth="1"/>
    <col min="9998" max="9998" width="9.42578125" style="16" bestFit="1" customWidth="1"/>
    <col min="9999" max="9999" width="9.85546875" style="16" bestFit="1"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8.85546875" style="16" customWidth="1"/>
    <col min="10243" max="10243" width="10.85546875" style="16" bestFit="1" customWidth="1"/>
    <col min="10244" max="10244" width="9.42578125" style="16" bestFit="1" customWidth="1"/>
    <col min="10245" max="10245" width="9.85546875" style="16" bestFit="1" customWidth="1"/>
    <col min="10246" max="10246" width="9.42578125" style="16" bestFit="1" customWidth="1"/>
    <col min="10247" max="10247" width="10.5703125" style="16" bestFit="1" customWidth="1"/>
    <col min="10248" max="10248" width="10.42578125" style="16" bestFit="1" customWidth="1"/>
    <col min="10249" max="10249" width="9.42578125" style="16" bestFit="1" customWidth="1"/>
    <col min="10250" max="10250" width="7.7109375" style="16" customWidth="1"/>
    <col min="10251" max="10251" width="9.7109375" style="16" bestFit="1" customWidth="1"/>
    <col min="10252" max="10252" width="9.42578125" style="16" bestFit="1" customWidth="1"/>
    <col min="10253" max="10253" width="9" style="16" bestFit="1" customWidth="1"/>
    <col min="10254" max="10254" width="9.42578125" style="16" bestFit="1" customWidth="1"/>
    <col min="10255" max="10255" width="9.85546875" style="16" bestFit="1"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8.85546875" style="16" customWidth="1"/>
    <col min="10499" max="10499" width="10.85546875" style="16" bestFit="1" customWidth="1"/>
    <col min="10500" max="10500" width="9.42578125" style="16" bestFit="1" customWidth="1"/>
    <col min="10501" max="10501" width="9.85546875" style="16" bestFit="1" customWidth="1"/>
    <col min="10502" max="10502" width="9.42578125" style="16" bestFit="1" customWidth="1"/>
    <col min="10503" max="10503" width="10.5703125" style="16" bestFit="1" customWidth="1"/>
    <col min="10504" max="10504" width="10.42578125" style="16" bestFit="1" customWidth="1"/>
    <col min="10505" max="10505" width="9.42578125" style="16" bestFit="1" customWidth="1"/>
    <col min="10506" max="10506" width="7.7109375" style="16" customWidth="1"/>
    <col min="10507" max="10507" width="9.7109375" style="16" bestFit="1" customWidth="1"/>
    <col min="10508" max="10508" width="9.42578125" style="16" bestFit="1" customWidth="1"/>
    <col min="10509" max="10509" width="9" style="16" bestFit="1" customWidth="1"/>
    <col min="10510" max="10510" width="9.42578125" style="16" bestFit="1" customWidth="1"/>
    <col min="10511" max="10511" width="9.85546875" style="16" bestFit="1"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8.85546875" style="16" customWidth="1"/>
    <col min="10755" max="10755" width="10.85546875" style="16" bestFit="1" customWidth="1"/>
    <col min="10756" max="10756" width="9.42578125" style="16" bestFit="1" customWidth="1"/>
    <col min="10757" max="10757" width="9.85546875" style="16" bestFit="1" customWidth="1"/>
    <col min="10758" max="10758" width="9.42578125" style="16" bestFit="1" customWidth="1"/>
    <col min="10759" max="10759" width="10.5703125" style="16" bestFit="1" customWidth="1"/>
    <col min="10760" max="10760" width="10.42578125" style="16" bestFit="1" customWidth="1"/>
    <col min="10761" max="10761" width="9.42578125" style="16" bestFit="1" customWidth="1"/>
    <col min="10762" max="10762" width="7.7109375" style="16" customWidth="1"/>
    <col min="10763" max="10763" width="9.7109375" style="16" bestFit="1" customWidth="1"/>
    <col min="10764" max="10764" width="9.42578125" style="16" bestFit="1" customWidth="1"/>
    <col min="10765" max="10765" width="9" style="16" bestFit="1" customWidth="1"/>
    <col min="10766" max="10766" width="9.42578125" style="16" bestFit="1" customWidth="1"/>
    <col min="10767" max="10767" width="9.85546875" style="16" bestFit="1"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8.85546875" style="16" customWidth="1"/>
    <col min="11011" max="11011" width="10.85546875" style="16" bestFit="1" customWidth="1"/>
    <col min="11012" max="11012" width="9.42578125" style="16" bestFit="1" customWidth="1"/>
    <col min="11013" max="11013" width="9.85546875" style="16" bestFit="1" customWidth="1"/>
    <col min="11014" max="11014" width="9.42578125" style="16" bestFit="1" customWidth="1"/>
    <col min="11015" max="11015" width="10.5703125" style="16" bestFit="1" customWidth="1"/>
    <col min="11016" max="11016" width="10.42578125" style="16" bestFit="1" customWidth="1"/>
    <col min="11017" max="11017" width="9.42578125" style="16" bestFit="1" customWidth="1"/>
    <col min="11018" max="11018" width="7.7109375" style="16" customWidth="1"/>
    <col min="11019" max="11019" width="9.7109375" style="16" bestFit="1" customWidth="1"/>
    <col min="11020" max="11020" width="9.42578125" style="16" bestFit="1" customWidth="1"/>
    <col min="11021" max="11021" width="9" style="16" bestFit="1" customWidth="1"/>
    <col min="11022" max="11022" width="9.42578125" style="16" bestFit="1" customWidth="1"/>
    <col min="11023" max="11023" width="9.85546875" style="16" bestFit="1"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8.85546875" style="16" customWidth="1"/>
    <col min="11267" max="11267" width="10.85546875" style="16" bestFit="1" customWidth="1"/>
    <col min="11268" max="11268" width="9.42578125" style="16" bestFit="1" customWidth="1"/>
    <col min="11269" max="11269" width="9.85546875" style="16" bestFit="1" customWidth="1"/>
    <col min="11270" max="11270" width="9.42578125" style="16" bestFit="1" customWidth="1"/>
    <col min="11271" max="11271" width="10.5703125" style="16" bestFit="1" customWidth="1"/>
    <col min="11272" max="11272" width="10.42578125" style="16" bestFit="1" customWidth="1"/>
    <col min="11273" max="11273" width="9.42578125" style="16" bestFit="1" customWidth="1"/>
    <col min="11274" max="11274" width="7.7109375" style="16" customWidth="1"/>
    <col min="11275" max="11275" width="9.7109375" style="16" bestFit="1" customWidth="1"/>
    <col min="11276" max="11276" width="9.42578125" style="16" bestFit="1" customWidth="1"/>
    <col min="11277" max="11277" width="9" style="16" bestFit="1" customWidth="1"/>
    <col min="11278" max="11278" width="9.42578125" style="16" bestFit="1" customWidth="1"/>
    <col min="11279" max="11279" width="9.85546875" style="16" bestFit="1"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8.85546875" style="16" customWidth="1"/>
    <col min="11523" max="11523" width="10.85546875" style="16" bestFit="1" customWidth="1"/>
    <col min="11524" max="11524" width="9.42578125" style="16" bestFit="1" customWidth="1"/>
    <col min="11525" max="11525" width="9.85546875" style="16" bestFit="1" customWidth="1"/>
    <col min="11526" max="11526" width="9.42578125" style="16" bestFit="1" customWidth="1"/>
    <col min="11527" max="11527" width="10.5703125" style="16" bestFit="1" customWidth="1"/>
    <col min="11528" max="11528" width="10.42578125" style="16" bestFit="1" customWidth="1"/>
    <col min="11529" max="11529" width="9.42578125" style="16" bestFit="1" customWidth="1"/>
    <col min="11530" max="11530" width="7.7109375" style="16" customWidth="1"/>
    <col min="11531" max="11531" width="9.7109375" style="16" bestFit="1" customWidth="1"/>
    <col min="11532" max="11532" width="9.42578125" style="16" bestFit="1" customWidth="1"/>
    <col min="11533" max="11533" width="9" style="16" bestFit="1" customWidth="1"/>
    <col min="11534" max="11534" width="9.42578125" style="16" bestFit="1" customWidth="1"/>
    <col min="11535" max="11535" width="9.85546875" style="16" bestFit="1"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8.85546875" style="16" customWidth="1"/>
    <col min="11779" max="11779" width="10.85546875" style="16" bestFit="1" customWidth="1"/>
    <col min="11780" max="11780" width="9.42578125" style="16" bestFit="1" customWidth="1"/>
    <col min="11781" max="11781" width="9.85546875" style="16" bestFit="1" customWidth="1"/>
    <col min="11782" max="11782" width="9.42578125" style="16" bestFit="1" customWidth="1"/>
    <col min="11783" max="11783" width="10.5703125" style="16" bestFit="1" customWidth="1"/>
    <col min="11784" max="11784" width="10.42578125" style="16" bestFit="1" customWidth="1"/>
    <col min="11785" max="11785" width="9.42578125" style="16" bestFit="1" customWidth="1"/>
    <col min="11786" max="11786" width="7.7109375" style="16" customWidth="1"/>
    <col min="11787" max="11787" width="9.7109375" style="16" bestFit="1" customWidth="1"/>
    <col min="11788" max="11788" width="9.42578125" style="16" bestFit="1" customWidth="1"/>
    <col min="11789" max="11789" width="9" style="16" bestFit="1" customWidth="1"/>
    <col min="11790" max="11790" width="9.42578125" style="16" bestFit="1" customWidth="1"/>
    <col min="11791" max="11791" width="9.85546875" style="16" bestFit="1"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8.85546875" style="16" customWidth="1"/>
    <col min="12035" max="12035" width="10.85546875" style="16" bestFit="1" customWidth="1"/>
    <col min="12036" max="12036" width="9.42578125" style="16" bestFit="1" customWidth="1"/>
    <col min="12037" max="12037" width="9.85546875" style="16" bestFit="1" customWidth="1"/>
    <col min="12038" max="12038" width="9.42578125" style="16" bestFit="1" customWidth="1"/>
    <col min="12039" max="12039" width="10.5703125" style="16" bestFit="1" customWidth="1"/>
    <col min="12040" max="12040" width="10.42578125" style="16" bestFit="1" customWidth="1"/>
    <col min="12041" max="12041" width="9.42578125" style="16" bestFit="1" customWidth="1"/>
    <col min="12042" max="12042" width="7.7109375" style="16" customWidth="1"/>
    <col min="12043" max="12043" width="9.7109375" style="16" bestFit="1" customWidth="1"/>
    <col min="12044" max="12044" width="9.42578125" style="16" bestFit="1" customWidth="1"/>
    <col min="12045" max="12045" width="9" style="16" bestFit="1" customWidth="1"/>
    <col min="12046" max="12046" width="9.42578125" style="16" bestFit="1" customWidth="1"/>
    <col min="12047" max="12047" width="9.85546875" style="16" bestFit="1"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8.85546875" style="16" customWidth="1"/>
    <col min="12291" max="12291" width="10.85546875" style="16" bestFit="1" customWidth="1"/>
    <col min="12292" max="12292" width="9.42578125" style="16" bestFit="1" customWidth="1"/>
    <col min="12293" max="12293" width="9.85546875" style="16" bestFit="1" customWidth="1"/>
    <col min="12294" max="12294" width="9.42578125" style="16" bestFit="1" customWidth="1"/>
    <col min="12295" max="12295" width="10.5703125" style="16" bestFit="1" customWidth="1"/>
    <col min="12296" max="12296" width="10.42578125" style="16" bestFit="1" customWidth="1"/>
    <col min="12297" max="12297" width="9.42578125" style="16" bestFit="1" customWidth="1"/>
    <col min="12298" max="12298" width="7.7109375" style="16" customWidth="1"/>
    <col min="12299" max="12299" width="9.7109375" style="16" bestFit="1" customWidth="1"/>
    <col min="12300" max="12300" width="9.42578125" style="16" bestFit="1" customWidth="1"/>
    <col min="12301" max="12301" width="9" style="16" bestFit="1" customWidth="1"/>
    <col min="12302" max="12302" width="9.42578125" style="16" bestFit="1" customWidth="1"/>
    <col min="12303" max="12303" width="9.85546875" style="16" bestFit="1"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8.85546875" style="16" customWidth="1"/>
    <col min="12547" max="12547" width="10.85546875" style="16" bestFit="1" customWidth="1"/>
    <col min="12548" max="12548" width="9.42578125" style="16" bestFit="1" customWidth="1"/>
    <col min="12549" max="12549" width="9.85546875" style="16" bestFit="1" customWidth="1"/>
    <col min="12550" max="12550" width="9.42578125" style="16" bestFit="1" customWidth="1"/>
    <col min="12551" max="12551" width="10.5703125" style="16" bestFit="1" customWidth="1"/>
    <col min="12552" max="12552" width="10.42578125" style="16" bestFit="1" customWidth="1"/>
    <col min="12553" max="12553" width="9.42578125" style="16" bestFit="1" customWidth="1"/>
    <col min="12554" max="12554" width="7.7109375" style="16" customWidth="1"/>
    <col min="12555" max="12555" width="9.7109375" style="16" bestFit="1" customWidth="1"/>
    <col min="12556" max="12556" width="9.42578125" style="16" bestFit="1" customWidth="1"/>
    <col min="12557" max="12557" width="9" style="16" bestFit="1" customWidth="1"/>
    <col min="12558" max="12558" width="9.42578125" style="16" bestFit="1" customWidth="1"/>
    <col min="12559" max="12559" width="9.85546875" style="16" bestFit="1"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8.85546875" style="16" customWidth="1"/>
    <col min="12803" max="12803" width="10.85546875" style="16" bestFit="1" customWidth="1"/>
    <col min="12804" max="12804" width="9.42578125" style="16" bestFit="1" customWidth="1"/>
    <col min="12805" max="12805" width="9.85546875" style="16" bestFit="1" customWidth="1"/>
    <col min="12806" max="12806" width="9.42578125" style="16" bestFit="1" customWidth="1"/>
    <col min="12807" max="12807" width="10.5703125" style="16" bestFit="1" customWidth="1"/>
    <col min="12808" max="12808" width="10.42578125" style="16" bestFit="1" customWidth="1"/>
    <col min="12809" max="12809" width="9.42578125" style="16" bestFit="1" customWidth="1"/>
    <col min="12810" max="12810" width="7.7109375" style="16" customWidth="1"/>
    <col min="12811" max="12811" width="9.7109375" style="16" bestFit="1" customWidth="1"/>
    <col min="12812" max="12812" width="9.42578125" style="16" bestFit="1" customWidth="1"/>
    <col min="12813" max="12813" width="9" style="16" bestFit="1" customWidth="1"/>
    <col min="12814" max="12814" width="9.42578125" style="16" bestFit="1" customWidth="1"/>
    <col min="12815" max="12815" width="9.85546875" style="16" bestFit="1"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8.85546875" style="16" customWidth="1"/>
    <col min="13059" max="13059" width="10.85546875" style="16" bestFit="1" customWidth="1"/>
    <col min="13060" max="13060" width="9.42578125" style="16" bestFit="1" customWidth="1"/>
    <col min="13061" max="13061" width="9.85546875" style="16" bestFit="1" customWidth="1"/>
    <col min="13062" max="13062" width="9.42578125" style="16" bestFit="1" customWidth="1"/>
    <col min="13063" max="13063" width="10.5703125" style="16" bestFit="1" customWidth="1"/>
    <col min="13064" max="13064" width="10.42578125" style="16" bestFit="1" customWidth="1"/>
    <col min="13065" max="13065" width="9.42578125" style="16" bestFit="1" customWidth="1"/>
    <col min="13066" max="13066" width="7.7109375" style="16" customWidth="1"/>
    <col min="13067" max="13067" width="9.7109375" style="16" bestFit="1" customWidth="1"/>
    <col min="13068" max="13068" width="9.42578125" style="16" bestFit="1" customWidth="1"/>
    <col min="13069" max="13069" width="9" style="16" bestFit="1" customWidth="1"/>
    <col min="13070" max="13070" width="9.42578125" style="16" bestFit="1" customWidth="1"/>
    <col min="13071" max="13071" width="9.85546875" style="16" bestFit="1"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8.85546875" style="16" customWidth="1"/>
    <col min="13315" max="13315" width="10.85546875" style="16" bestFit="1" customWidth="1"/>
    <col min="13316" max="13316" width="9.42578125" style="16" bestFit="1" customWidth="1"/>
    <col min="13317" max="13317" width="9.85546875" style="16" bestFit="1" customWidth="1"/>
    <col min="13318" max="13318" width="9.42578125" style="16" bestFit="1" customWidth="1"/>
    <col min="13319" max="13319" width="10.5703125" style="16" bestFit="1" customWidth="1"/>
    <col min="13320" max="13320" width="10.42578125" style="16" bestFit="1" customWidth="1"/>
    <col min="13321" max="13321" width="9.42578125" style="16" bestFit="1" customWidth="1"/>
    <col min="13322" max="13322" width="7.7109375" style="16" customWidth="1"/>
    <col min="13323" max="13323" width="9.7109375" style="16" bestFit="1" customWidth="1"/>
    <col min="13324" max="13324" width="9.42578125" style="16" bestFit="1" customWidth="1"/>
    <col min="13325" max="13325" width="9" style="16" bestFit="1" customWidth="1"/>
    <col min="13326" max="13326" width="9.42578125" style="16" bestFit="1" customWidth="1"/>
    <col min="13327" max="13327" width="9.85546875" style="16" bestFit="1"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8.85546875" style="16" customWidth="1"/>
    <col min="13571" max="13571" width="10.85546875" style="16" bestFit="1" customWidth="1"/>
    <col min="13572" max="13572" width="9.42578125" style="16" bestFit="1" customWidth="1"/>
    <col min="13573" max="13573" width="9.85546875" style="16" bestFit="1" customWidth="1"/>
    <col min="13574" max="13574" width="9.42578125" style="16" bestFit="1" customWidth="1"/>
    <col min="13575" max="13575" width="10.5703125" style="16" bestFit="1" customWidth="1"/>
    <col min="13576" max="13576" width="10.42578125" style="16" bestFit="1" customWidth="1"/>
    <col min="13577" max="13577" width="9.42578125" style="16" bestFit="1" customWidth="1"/>
    <col min="13578" max="13578" width="7.7109375" style="16" customWidth="1"/>
    <col min="13579" max="13579" width="9.7109375" style="16" bestFit="1" customWidth="1"/>
    <col min="13580" max="13580" width="9.42578125" style="16" bestFit="1" customWidth="1"/>
    <col min="13581" max="13581" width="9" style="16" bestFit="1" customWidth="1"/>
    <col min="13582" max="13582" width="9.42578125" style="16" bestFit="1" customWidth="1"/>
    <col min="13583" max="13583" width="9.85546875" style="16" bestFit="1"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8.85546875" style="16" customWidth="1"/>
    <col min="13827" max="13827" width="10.85546875" style="16" bestFit="1" customWidth="1"/>
    <col min="13828" max="13828" width="9.42578125" style="16" bestFit="1" customWidth="1"/>
    <col min="13829" max="13829" width="9.85546875" style="16" bestFit="1" customWidth="1"/>
    <col min="13830" max="13830" width="9.42578125" style="16" bestFit="1" customWidth="1"/>
    <col min="13831" max="13831" width="10.5703125" style="16" bestFit="1" customWidth="1"/>
    <col min="13832" max="13832" width="10.42578125" style="16" bestFit="1" customWidth="1"/>
    <col min="13833" max="13833" width="9.42578125" style="16" bestFit="1" customWidth="1"/>
    <col min="13834" max="13834" width="7.7109375" style="16" customWidth="1"/>
    <col min="13835" max="13835" width="9.7109375" style="16" bestFit="1" customWidth="1"/>
    <col min="13836" max="13836" width="9.42578125" style="16" bestFit="1" customWidth="1"/>
    <col min="13837" max="13837" width="9" style="16" bestFit="1" customWidth="1"/>
    <col min="13838" max="13838" width="9.42578125" style="16" bestFit="1" customWidth="1"/>
    <col min="13839" max="13839" width="9.85546875" style="16" bestFit="1"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8.85546875" style="16" customWidth="1"/>
    <col min="14083" max="14083" width="10.85546875" style="16" bestFit="1" customWidth="1"/>
    <col min="14084" max="14084" width="9.42578125" style="16" bestFit="1" customWidth="1"/>
    <col min="14085" max="14085" width="9.85546875" style="16" bestFit="1" customWidth="1"/>
    <col min="14086" max="14086" width="9.42578125" style="16" bestFit="1" customWidth="1"/>
    <col min="14087" max="14087" width="10.5703125" style="16" bestFit="1" customWidth="1"/>
    <col min="14088" max="14088" width="10.42578125" style="16" bestFit="1" customWidth="1"/>
    <col min="14089" max="14089" width="9.42578125" style="16" bestFit="1" customWidth="1"/>
    <col min="14090" max="14090" width="7.7109375" style="16" customWidth="1"/>
    <col min="14091" max="14091" width="9.7109375" style="16" bestFit="1" customWidth="1"/>
    <col min="14092" max="14092" width="9.42578125" style="16" bestFit="1" customWidth="1"/>
    <col min="14093" max="14093" width="9" style="16" bestFit="1" customWidth="1"/>
    <col min="14094" max="14094" width="9.42578125" style="16" bestFit="1" customWidth="1"/>
    <col min="14095" max="14095" width="9.85546875" style="16" bestFit="1"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8.85546875" style="16" customWidth="1"/>
    <col min="14339" max="14339" width="10.85546875" style="16" bestFit="1" customWidth="1"/>
    <col min="14340" max="14340" width="9.42578125" style="16" bestFit="1" customWidth="1"/>
    <col min="14341" max="14341" width="9.85546875" style="16" bestFit="1" customWidth="1"/>
    <col min="14342" max="14342" width="9.42578125" style="16" bestFit="1" customWidth="1"/>
    <col min="14343" max="14343" width="10.5703125" style="16" bestFit="1" customWidth="1"/>
    <col min="14344" max="14344" width="10.42578125" style="16" bestFit="1" customWidth="1"/>
    <col min="14345" max="14345" width="9.42578125" style="16" bestFit="1" customWidth="1"/>
    <col min="14346" max="14346" width="7.7109375" style="16" customWidth="1"/>
    <col min="14347" max="14347" width="9.7109375" style="16" bestFit="1" customWidth="1"/>
    <col min="14348" max="14348" width="9.42578125" style="16" bestFit="1" customWidth="1"/>
    <col min="14349" max="14349" width="9" style="16" bestFit="1" customWidth="1"/>
    <col min="14350" max="14350" width="9.42578125" style="16" bestFit="1" customWidth="1"/>
    <col min="14351" max="14351" width="9.85546875" style="16" bestFit="1"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8.85546875" style="16" customWidth="1"/>
    <col min="14595" max="14595" width="10.85546875" style="16" bestFit="1" customWidth="1"/>
    <col min="14596" max="14596" width="9.42578125" style="16" bestFit="1" customWidth="1"/>
    <col min="14597" max="14597" width="9.85546875" style="16" bestFit="1" customWidth="1"/>
    <col min="14598" max="14598" width="9.42578125" style="16" bestFit="1" customWidth="1"/>
    <col min="14599" max="14599" width="10.5703125" style="16" bestFit="1" customWidth="1"/>
    <col min="14600" max="14600" width="10.42578125" style="16" bestFit="1" customWidth="1"/>
    <col min="14601" max="14601" width="9.42578125" style="16" bestFit="1" customWidth="1"/>
    <col min="14602" max="14602" width="7.7109375" style="16" customWidth="1"/>
    <col min="14603" max="14603" width="9.7109375" style="16" bestFit="1" customWidth="1"/>
    <col min="14604" max="14604" width="9.42578125" style="16" bestFit="1" customWidth="1"/>
    <col min="14605" max="14605" width="9" style="16" bestFit="1" customWidth="1"/>
    <col min="14606" max="14606" width="9.42578125" style="16" bestFit="1" customWidth="1"/>
    <col min="14607" max="14607" width="9.85546875" style="16" bestFit="1"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8.85546875" style="16" customWidth="1"/>
    <col min="14851" max="14851" width="10.85546875" style="16" bestFit="1" customWidth="1"/>
    <col min="14852" max="14852" width="9.42578125" style="16" bestFit="1" customWidth="1"/>
    <col min="14853" max="14853" width="9.85546875" style="16" bestFit="1" customWidth="1"/>
    <col min="14854" max="14854" width="9.42578125" style="16" bestFit="1" customWidth="1"/>
    <col min="14855" max="14855" width="10.5703125" style="16" bestFit="1" customWidth="1"/>
    <col min="14856" max="14856" width="10.42578125" style="16" bestFit="1" customWidth="1"/>
    <col min="14857" max="14857" width="9.42578125" style="16" bestFit="1" customWidth="1"/>
    <col min="14858" max="14858" width="7.7109375" style="16" customWidth="1"/>
    <col min="14859" max="14859" width="9.7109375" style="16" bestFit="1" customWidth="1"/>
    <col min="14860" max="14860" width="9.42578125" style="16" bestFit="1" customWidth="1"/>
    <col min="14861" max="14861" width="9" style="16" bestFit="1" customWidth="1"/>
    <col min="14862" max="14862" width="9.42578125" style="16" bestFit="1" customWidth="1"/>
    <col min="14863" max="14863" width="9.85546875" style="16" bestFit="1"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8.85546875" style="16" customWidth="1"/>
    <col min="15107" max="15107" width="10.85546875" style="16" bestFit="1" customWidth="1"/>
    <col min="15108" max="15108" width="9.42578125" style="16" bestFit="1" customWidth="1"/>
    <col min="15109" max="15109" width="9.85546875" style="16" bestFit="1" customWidth="1"/>
    <col min="15110" max="15110" width="9.42578125" style="16" bestFit="1" customWidth="1"/>
    <col min="15111" max="15111" width="10.5703125" style="16" bestFit="1" customWidth="1"/>
    <col min="15112" max="15112" width="10.42578125" style="16" bestFit="1" customWidth="1"/>
    <col min="15113" max="15113" width="9.42578125" style="16" bestFit="1" customWidth="1"/>
    <col min="15114" max="15114" width="7.7109375" style="16" customWidth="1"/>
    <col min="15115" max="15115" width="9.7109375" style="16" bestFit="1" customWidth="1"/>
    <col min="15116" max="15116" width="9.42578125" style="16" bestFit="1" customWidth="1"/>
    <col min="15117" max="15117" width="9" style="16" bestFit="1" customWidth="1"/>
    <col min="15118" max="15118" width="9.42578125" style="16" bestFit="1" customWidth="1"/>
    <col min="15119" max="15119" width="9.85546875" style="16" bestFit="1"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8.85546875" style="16" customWidth="1"/>
    <col min="15363" max="15363" width="10.85546875" style="16" bestFit="1" customWidth="1"/>
    <col min="15364" max="15364" width="9.42578125" style="16" bestFit="1" customWidth="1"/>
    <col min="15365" max="15365" width="9.85546875" style="16" bestFit="1" customWidth="1"/>
    <col min="15366" max="15366" width="9.42578125" style="16" bestFit="1" customWidth="1"/>
    <col min="15367" max="15367" width="10.5703125" style="16" bestFit="1" customWidth="1"/>
    <col min="15368" max="15368" width="10.42578125" style="16" bestFit="1" customWidth="1"/>
    <col min="15369" max="15369" width="9.42578125" style="16" bestFit="1" customWidth="1"/>
    <col min="15370" max="15370" width="7.7109375" style="16" customWidth="1"/>
    <col min="15371" max="15371" width="9.7109375" style="16" bestFit="1" customWidth="1"/>
    <col min="15372" max="15372" width="9.42578125" style="16" bestFit="1" customWidth="1"/>
    <col min="15373" max="15373" width="9" style="16" bestFit="1" customWidth="1"/>
    <col min="15374" max="15374" width="9.42578125" style="16" bestFit="1" customWidth="1"/>
    <col min="15375" max="15375" width="9.85546875" style="16" bestFit="1"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8.85546875" style="16" customWidth="1"/>
    <col min="15619" max="15619" width="10.85546875" style="16" bestFit="1" customWidth="1"/>
    <col min="15620" max="15620" width="9.42578125" style="16" bestFit="1" customWidth="1"/>
    <col min="15621" max="15621" width="9.85546875" style="16" bestFit="1" customWidth="1"/>
    <col min="15622" max="15622" width="9.42578125" style="16" bestFit="1" customWidth="1"/>
    <col min="15623" max="15623" width="10.5703125" style="16" bestFit="1" customWidth="1"/>
    <col min="15624" max="15624" width="10.42578125" style="16" bestFit="1" customWidth="1"/>
    <col min="15625" max="15625" width="9.42578125" style="16" bestFit="1" customWidth="1"/>
    <col min="15626" max="15626" width="7.7109375" style="16" customWidth="1"/>
    <col min="15627" max="15627" width="9.7109375" style="16" bestFit="1" customWidth="1"/>
    <col min="15628" max="15628" width="9.42578125" style="16" bestFit="1" customWidth="1"/>
    <col min="15629" max="15629" width="9" style="16" bestFit="1" customWidth="1"/>
    <col min="15630" max="15630" width="9.42578125" style="16" bestFit="1" customWidth="1"/>
    <col min="15631" max="15631" width="9.85546875" style="16" bestFit="1"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8.85546875" style="16" customWidth="1"/>
    <col min="15875" max="15875" width="10.85546875" style="16" bestFit="1" customWidth="1"/>
    <col min="15876" max="15876" width="9.42578125" style="16" bestFit="1" customWidth="1"/>
    <col min="15877" max="15877" width="9.85546875" style="16" bestFit="1" customWidth="1"/>
    <col min="15878" max="15878" width="9.42578125" style="16" bestFit="1" customWidth="1"/>
    <col min="15879" max="15879" width="10.5703125" style="16" bestFit="1" customWidth="1"/>
    <col min="15880" max="15880" width="10.42578125" style="16" bestFit="1" customWidth="1"/>
    <col min="15881" max="15881" width="9.42578125" style="16" bestFit="1" customWidth="1"/>
    <col min="15882" max="15882" width="7.7109375" style="16" customWidth="1"/>
    <col min="15883" max="15883" width="9.7109375" style="16" bestFit="1" customWidth="1"/>
    <col min="15884" max="15884" width="9.42578125" style="16" bestFit="1" customWidth="1"/>
    <col min="15885" max="15885" width="9" style="16" bestFit="1" customWidth="1"/>
    <col min="15886" max="15886" width="9.42578125" style="16" bestFit="1" customWidth="1"/>
    <col min="15887" max="15887" width="9.85546875" style="16" bestFit="1"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8.85546875" style="16" customWidth="1"/>
    <col min="16131" max="16131" width="10.85546875" style="16" bestFit="1" customWidth="1"/>
    <col min="16132" max="16132" width="9.42578125" style="16" bestFit="1" customWidth="1"/>
    <col min="16133" max="16133" width="9.85546875" style="16" bestFit="1" customWidth="1"/>
    <col min="16134" max="16134" width="9.42578125" style="16" bestFit="1" customWidth="1"/>
    <col min="16135" max="16135" width="10.5703125" style="16" bestFit="1" customWidth="1"/>
    <col min="16136" max="16136" width="10.42578125" style="16" bestFit="1" customWidth="1"/>
    <col min="16137" max="16137" width="9.42578125" style="16" bestFit="1" customWidth="1"/>
    <col min="16138" max="16138" width="7.7109375" style="16" customWidth="1"/>
    <col min="16139" max="16139" width="9.7109375" style="16" bestFit="1" customWidth="1"/>
    <col min="16140" max="16140" width="9.42578125" style="16" bestFit="1" customWidth="1"/>
    <col min="16141" max="16141" width="9" style="16" bestFit="1" customWidth="1"/>
    <col min="16142" max="16142" width="9.42578125" style="16" bestFit="1" customWidth="1"/>
    <col min="16143" max="16143" width="9.85546875" style="16" bestFit="1"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67" t="s">
        <v>100</v>
      </c>
      <c r="B1" s="868"/>
      <c r="C1" s="868"/>
      <c r="D1" s="892"/>
      <c r="E1" s="868"/>
      <c r="F1" s="868"/>
      <c r="G1" s="867" t="s">
        <v>102</v>
      </c>
      <c r="H1" s="869"/>
      <c r="I1" s="869" t="s">
        <v>543</v>
      </c>
      <c r="J1" s="868"/>
      <c r="K1" s="868"/>
      <c r="L1" s="870"/>
      <c r="M1" s="870"/>
      <c r="N1" s="870"/>
      <c r="O1" s="870"/>
    </row>
    <row r="2" spans="1:15" s="1" customFormat="1" x14ac:dyDescent="0.2">
      <c r="A2" s="867" t="s">
        <v>103</v>
      </c>
      <c r="B2" s="868"/>
      <c r="C2" s="868"/>
      <c r="D2" s="869"/>
      <c r="E2" s="868"/>
      <c r="F2" s="868"/>
      <c r="G2" s="867" t="s">
        <v>104</v>
      </c>
      <c r="H2" s="869"/>
      <c r="I2" s="869" t="s">
        <v>105</v>
      </c>
      <c r="J2" s="868"/>
      <c r="K2" s="868"/>
      <c r="L2" s="870"/>
      <c r="M2" s="870"/>
      <c r="N2" s="870"/>
      <c r="O2" s="870"/>
    </row>
    <row r="3" spans="1:15" s="1" customFormat="1" x14ac:dyDescent="0.2">
      <c r="A3" s="867" t="s">
        <v>106</v>
      </c>
      <c r="B3" s="868"/>
      <c r="C3" s="868"/>
      <c r="D3" s="890" t="s">
        <v>544</v>
      </c>
      <c r="E3" s="891"/>
      <c r="F3" s="891"/>
      <c r="G3" s="867" t="s">
        <v>107</v>
      </c>
      <c r="H3" s="869"/>
      <c r="I3" s="869" t="s">
        <v>108</v>
      </c>
      <c r="J3" s="868"/>
      <c r="K3" s="868"/>
      <c r="L3" s="870"/>
      <c r="M3" s="870"/>
      <c r="N3" s="870"/>
      <c r="O3" s="870"/>
    </row>
    <row r="4" spans="1:15" s="1" customFormat="1" x14ac:dyDescent="0.2">
      <c r="A4" s="867" t="s">
        <v>109</v>
      </c>
      <c r="B4" s="868"/>
      <c r="C4" s="868"/>
      <c r="D4" s="869"/>
      <c r="E4" s="868"/>
      <c r="F4" s="868"/>
      <c r="G4" s="867" t="s">
        <v>110</v>
      </c>
      <c r="H4" s="869"/>
      <c r="I4" s="869" t="s">
        <v>486</v>
      </c>
      <c r="J4" s="868"/>
      <c r="K4" s="868"/>
      <c r="L4" s="870"/>
      <c r="M4" s="870"/>
      <c r="N4" s="870"/>
      <c r="O4" s="870"/>
    </row>
    <row r="5" spans="1:15" s="1" customFormat="1" x14ac:dyDescent="0.2">
      <c r="A5" s="867" t="s">
        <v>112</v>
      </c>
      <c r="B5" s="868"/>
      <c r="C5" s="868"/>
      <c r="D5" s="869"/>
      <c r="E5" s="868"/>
      <c r="F5" s="868"/>
      <c r="G5" s="867"/>
      <c r="H5" s="868"/>
      <c r="I5" s="869" t="s">
        <v>113</v>
      </c>
      <c r="J5" s="868"/>
      <c r="K5" s="868"/>
      <c r="L5" s="870"/>
      <c r="M5" s="870"/>
      <c r="N5" s="870"/>
      <c r="O5" s="870"/>
    </row>
    <row r="6" spans="1:15" s="1" customFormat="1" x14ac:dyDescent="0.2">
      <c r="A6" s="871" t="s">
        <v>114</v>
      </c>
      <c r="B6" s="872"/>
      <c r="C6" s="872"/>
      <c r="D6" s="868" t="s">
        <v>545</v>
      </c>
      <c r="E6" s="868"/>
      <c r="F6" s="868"/>
      <c r="G6" s="871" t="s">
        <v>115</v>
      </c>
      <c r="H6" s="871"/>
      <c r="I6" s="2" t="s">
        <v>116</v>
      </c>
      <c r="J6" s="888"/>
      <c r="K6" s="888"/>
      <c r="L6" s="888"/>
      <c r="M6" s="888"/>
      <c r="N6" s="888"/>
      <c r="O6" s="889"/>
    </row>
    <row r="7" spans="1:15" s="1" customFormat="1" ht="13.5" thickBot="1" x14ac:dyDescent="0.25">
      <c r="A7" s="3"/>
      <c r="B7" s="4"/>
      <c r="C7" s="5"/>
      <c r="D7" s="6"/>
      <c r="E7" s="6"/>
      <c r="F7" s="6"/>
      <c r="G7" s="6"/>
      <c r="H7" s="6"/>
      <c r="I7" s="6"/>
      <c r="J7" s="7"/>
      <c r="K7" s="8"/>
      <c r="L7" s="875"/>
      <c r="M7" s="875"/>
      <c r="N7" s="875"/>
      <c r="O7" s="875"/>
    </row>
    <row r="8" spans="1:15" s="11" customFormat="1" x14ac:dyDescent="0.2">
      <c r="A8" s="876" t="str">
        <f>I1</f>
        <v>Mr. ANURAG SHRIVASTAVA</v>
      </c>
      <c r="B8" s="877"/>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101700</v>
      </c>
      <c r="D9" s="14">
        <v>101700</v>
      </c>
      <c r="E9" s="14">
        <v>101700</v>
      </c>
      <c r="F9" s="14">
        <v>101700</v>
      </c>
      <c r="G9" s="14">
        <v>104800</v>
      </c>
      <c r="H9" s="14">
        <v>104800</v>
      </c>
      <c r="I9" s="14">
        <v>104800</v>
      </c>
      <c r="J9" s="14">
        <v>104800</v>
      </c>
      <c r="K9" s="14">
        <v>104800</v>
      </c>
      <c r="L9" s="14">
        <v>104800</v>
      </c>
      <c r="M9" s="14">
        <v>104800</v>
      </c>
      <c r="N9" s="14">
        <v>104800</v>
      </c>
      <c r="O9" s="15">
        <f t="shared" ref="O9:O50" si="0">SUM(C9:N9)</f>
        <v>1245200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 t="shared" si="0"/>
        <v>0</v>
      </c>
    </row>
    <row r="11" spans="1:15" ht="15" x14ac:dyDescent="0.2">
      <c r="A11" s="12"/>
      <c r="B11" s="13" t="s">
        <v>120</v>
      </c>
      <c r="C11" s="17">
        <v>5085</v>
      </c>
      <c r="D11" s="17">
        <v>5085</v>
      </c>
      <c r="E11" s="17">
        <v>5085</v>
      </c>
      <c r="F11" s="17">
        <v>7119</v>
      </c>
      <c r="G11" s="17">
        <v>7336</v>
      </c>
      <c r="H11" s="17">
        <v>7336</v>
      </c>
      <c r="I11" s="17">
        <v>7336</v>
      </c>
      <c r="J11" s="17">
        <v>9432</v>
      </c>
      <c r="K11" s="17">
        <v>9432</v>
      </c>
      <c r="L11" s="17">
        <v>9432</v>
      </c>
      <c r="M11" s="17">
        <v>9432</v>
      </c>
      <c r="N11" s="17">
        <v>9432</v>
      </c>
      <c r="O11" s="18">
        <f t="shared" si="0"/>
        <v>91542</v>
      </c>
    </row>
    <row r="12" spans="1:15"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 t="shared" si="0"/>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si="0"/>
        <v>0</v>
      </c>
    </row>
    <row r="14" spans="1:15" ht="16.5" customHeight="1" x14ac:dyDescent="0.2">
      <c r="A14" s="12"/>
      <c r="B14" s="13" t="s">
        <v>123</v>
      </c>
      <c r="C14" s="17">
        <v>7560</v>
      </c>
      <c r="D14" s="17">
        <v>7560</v>
      </c>
      <c r="E14" s="17">
        <v>7560</v>
      </c>
      <c r="F14" s="17">
        <v>7704</v>
      </c>
      <c r="G14" s="17">
        <v>7704</v>
      </c>
      <c r="H14" s="17">
        <v>7704</v>
      </c>
      <c r="I14" s="17">
        <v>7704</v>
      </c>
      <c r="J14" s="17">
        <v>7848</v>
      </c>
      <c r="K14" s="17">
        <v>7848</v>
      </c>
      <c r="L14" s="17">
        <v>7848</v>
      </c>
      <c r="M14" s="17">
        <v>7848</v>
      </c>
      <c r="N14" s="17">
        <v>7848</v>
      </c>
      <c r="O14" s="18">
        <f t="shared" si="0"/>
        <v>92736</v>
      </c>
    </row>
    <row r="15" spans="1:15" ht="15" customHeight="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6.5" hidden="1" customHeight="1"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row>
    <row r="17" spans="1:15" ht="15.75" hidden="1" customHeight="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127</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24408</v>
      </c>
      <c r="D19" s="17">
        <v>24408</v>
      </c>
      <c r="E19" s="17">
        <v>24408</v>
      </c>
      <c r="F19" s="17">
        <v>24408</v>
      </c>
      <c r="G19" s="17">
        <v>25152</v>
      </c>
      <c r="H19" s="17">
        <v>25152</v>
      </c>
      <c r="I19" s="17">
        <v>2515</v>
      </c>
      <c r="J19" s="17">
        <v>0</v>
      </c>
      <c r="K19" s="17">
        <v>0</v>
      </c>
      <c r="L19" s="17">
        <v>0</v>
      </c>
      <c r="M19" s="17">
        <v>0</v>
      </c>
      <c r="N19" s="17">
        <v>0</v>
      </c>
      <c r="O19" s="18">
        <f t="shared" si="0"/>
        <v>150451</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customHeight="1" x14ac:dyDescent="0.2">
      <c r="A21" s="878"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79"/>
      <c r="B22" s="19" t="s">
        <v>132</v>
      </c>
      <c r="C22" s="17">
        <v>0</v>
      </c>
      <c r="D22" s="17">
        <v>0</v>
      </c>
      <c r="E22" s="17">
        <v>0</v>
      </c>
      <c r="F22" s="17">
        <v>0</v>
      </c>
      <c r="G22" s="17">
        <v>0</v>
      </c>
      <c r="H22" s="17">
        <v>0</v>
      </c>
      <c r="I22" s="17">
        <v>0</v>
      </c>
      <c r="J22" s="17">
        <v>0</v>
      </c>
      <c r="K22" s="17">
        <v>0</v>
      </c>
      <c r="L22" s="17">
        <v>0</v>
      </c>
      <c r="M22" s="17">
        <v>0</v>
      </c>
      <c r="N22" s="17">
        <v>0</v>
      </c>
      <c r="O22" s="18">
        <f t="shared" si="0"/>
        <v>0</v>
      </c>
    </row>
    <row r="23" spans="1:15" ht="15" hidden="1" customHeight="1" x14ac:dyDescent="0.2">
      <c r="A23" s="879"/>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79"/>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79"/>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79"/>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79"/>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79"/>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79"/>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79"/>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customHeight="1" x14ac:dyDescent="0.2">
      <c r="A31" s="879"/>
      <c r="B31" s="20" t="s">
        <v>141</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79"/>
      <c r="B32" s="21" t="s">
        <v>142</v>
      </c>
      <c r="C32" s="17">
        <v>0</v>
      </c>
      <c r="D32" s="17">
        <v>0</v>
      </c>
      <c r="E32" s="17">
        <v>0</v>
      </c>
      <c r="F32" s="17">
        <v>0</v>
      </c>
      <c r="G32" s="17">
        <v>0</v>
      </c>
      <c r="H32" s="17">
        <v>0</v>
      </c>
      <c r="I32" s="17">
        <v>0</v>
      </c>
      <c r="J32" s="17">
        <v>0</v>
      </c>
      <c r="K32" s="17">
        <v>0</v>
      </c>
      <c r="L32" s="17">
        <v>0</v>
      </c>
      <c r="M32" s="17">
        <v>0</v>
      </c>
      <c r="N32" s="17">
        <v>0</v>
      </c>
      <c r="O32" s="18">
        <f t="shared" si="0"/>
        <v>0</v>
      </c>
    </row>
    <row r="33" spans="1:17" ht="15" customHeight="1" x14ac:dyDescent="0.2">
      <c r="A33" s="880"/>
      <c r="B33" s="19" t="s">
        <v>143</v>
      </c>
      <c r="C33" s="17">
        <v>0</v>
      </c>
      <c r="D33" s="17">
        <v>0</v>
      </c>
      <c r="E33" s="17">
        <v>0</v>
      </c>
      <c r="F33" s="17">
        <v>0</v>
      </c>
      <c r="G33" s="17">
        <v>0</v>
      </c>
      <c r="H33" s="17">
        <v>0</v>
      </c>
      <c r="I33" s="17">
        <v>0</v>
      </c>
      <c r="J33" s="17">
        <v>2261</v>
      </c>
      <c r="K33" s="17">
        <v>0</v>
      </c>
      <c r="L33" s="17">
        <v>0</v>
      </c>
      <c r="M33" s="17">
        <v>0</v>
      </c>
      <c r="N33" s="17">
        <v>0</v>
      </c>
      <c r="O33" s="18">
        <f t="shared" si="0"/>
        <v>2261</v>
      </c>
    </row>
    <row r="34" spans="1:17" ht="15" customHeight="1" x14ac:dyDescent="0.2">
      <c r="A34" s="865" t="s">
        <v>144</v>
      </c>
      <c r="B34" s="866"/>
      <c r="C34" s="17">
        <v>0</v>
      </c>
      <c r="D34" s="17">
        <v>0</v>
      </c>
      <c r="E34" s="17">
        <v>0</v>
      </c>
      <c r="F34" s="17">
        <v>0</v>
      </c>
      <c r="G34" s="17">
        <v>0</v>
      </c>
      <c r="H34" s="17">
        <v>0</v>
      </c>
      <c r="I34" s="17">
        <v>0</v>
      </c>
      <c r="J34" s="17">
        <v>0</v>
      </c>
      <c r="K34" s="17">
        <v>0</v>
      </c>
      <c r="L34" s="17">
        <v>0</v>
      </c>
      <c r="M34" s="17">
        <v>0</v>
      </c>
      <c r="N34" s="17">
        <v>0</v>
      </c>
      <c r="O34" s="18">
        <f t="shared" si="0"/>
        <v>0</v>
      </c>
    </row>
    <row r="35" spans="1:17" ht="15" customHeight="1" x14ac:dyDescent="0.2">
      <c r="A35" s="865" t="s">
        <v>145</v>
      </c>
      <c r="B35" s="866"/>
      <c r="C35" s="17">
        <v>0</v>
      </c>
      <c r="D35" s="17">
        <v>432</v>
      </c>
      <c r="E35" s="17">
        <v>0</v>
      </c>
      <c r="F35" s="17">
        <v>0</v>
      </c>
      <c r="G35" s="17">
        <v>0</v>
      </c>
      <c r="H35" s="17">
        <v>0</v>
      </c>
      <c r="I35" s="17">
        <v>0</v>
      </c>
      <c r="J35" s="17">
        <v>432</v>
      </c>
      <c r="K35" s="17">
        <v>0</v>
      </c>
      <c r="L35" s="17">
        <v>0</v>
      </c>
      <c r="M35" s="17">
        <v>0</v>
      </c>
      <c r="N35" s="17">
        <v>0</v>
      </c>
      <c r="O35" s="18">
        <f t="shared" si="0"/>
        <v>864</v>
      </c>
    </row>
    <row r="36" spans="1:17" ht="15" customHeight="1" x14ac:dyDescent="0.2">
      <c r="A36" s="865" t="s">
        <v>146</v>
      </c>
      <c r="B36" s="866"/>
      <c r="C36" s="17">
        <v>0</v>
      </c>
      <c r="D36" s="17">
        <v>6102</v>
      </c>
      <c r="E36" s="17">
        <v>0</v>
      </c>
      <c r="F36" s="17">
        <v>0</v>
      </c>
      <c r="G36" s="17">
        <v>0</v>
      </c>
      <c r="H36" s="17">
        <v>0</v>
      </c>
      <c r="I36" s="17">
        <v>0</v>
      </c>
      <c r="J36" s="17">
        <v>6288</v>
      </c>
      <c r="K36" s="17">
        <v>0</v>
      </c>
      <c r="L36" s="17">
        <v>0</v>
      </c>
      <c r="M36" s="17">
        <v>0</v>
      </c>
      <c r="N36" s="17">
        <v>0</v>
      </c>
      <c r="O36" s="18">
        <f t="shared" si="0"/>
        <v>12390</v>
      </c>
    </row>
    <row r="37" spans="1:17" ht="15" customHeight="1" x14ac:dyDescent="0.2">
      <c r="A37" s="22"/>
      <c r="B37" s="23" t="s">
        <v>147</v>
      </c>
      <c r="C37" s="24">
        <f t="shared" ref="C37:N37" si="1">SUM(C9:C36)</f>
        <v>138753</v>
      </c>
      <c r="D37" s="24">
        <f t="shared" si="1"/>
        <v>145287</v>
      </c>
      <c r="E37" s="24">
        <f t="shared" si="1"/>
        <v>138753</v>
      </c>
      <c r="F37" s="24">
        <f t="shared" si="1"/>
        <v>140931</v>
      </c>
      <c r="G37" s="24">
        <f t="shared" si="1"/>
        <v>144992</v>
      </c>
      <c r="H37" s="24">
        <f t="shared" si="1"/>
        <v>144992</v>
      </c>
      <c r="I37" s="24">
        <f t="shared" si="1"/>
        <v>122355</v>
      </c>
      <c r="J37" s="24">
        <f t="shared" si="1"/>
        <v>131061</v>
      </c>
      <c r="K37" s="24">
        <f t="shared" si="1"/>
        <v>122080</v>
      </c>
      <c r="L37" s="24">
        <f t="shared" si="1"/>
        <v>122080</v>
      </c>
      <c r="M37" s="24">
        <f t="shared" si="1"/>
        <v>122080</v>
      </c>
      <c r="N37" s="24">
        <f t="shared" si="1"/>
        <v>122080</v>
      </c>
      <c r="O37" s="25">
        <f t="shared" si="0"/>
        <v>1595444</v>
      </c>
      <c r="Q37" s="26"/>
    </row>
    <row r="38" spans="1:17" ht="15" customHeight="1" x14ac:dyDescent="0.2">
      <c r="A38" s="853" t="s">
        <v>148</v>
      </c>
      <c r="B38" s="27" t="s">
        <v>149</v>
      </c>
      <c r="C38" s="28">
        <v>17000</v>
      </c>
      <c r="D38" s="28">
        <v>17000</v>
      </c>
      <c r="E38" s="28">
        <v>17000</v>
      </c>
      <c r="F38" s="28">
        <v>17000</v>
      </c>
      <c r="G38" s="28">
        <v>17000</v>
      </c>
      <c r="H38" s="28">
        <v>17000</v>
      </c>
      <c r="I38" s="28">
        <v>17000</v>
      </c>
      <c r="J38" s="28">
        <v>15000</v>
      </c>
      <c r="K38" s="28">
        <v>0</v>
      </c>
      <c r="L38" s="28">
        <v>17407</v>
      </c>
      <c r="M38" s="28">
        <v>0</v>
      </c>
      <c r="N38" s="28">
        <v>0</v>
      </c>
      <c r="O38" s="18">
        <f t="shared" si="0"/>
        <v>151407</v>
      </c>
      <c r="P38" s="29"/>
    </row>
    <row r="39" spans="1:17" ht="15" x14ac:dyDescent="0.2">
      <c r="A39" s="854"/>
      <c r="B39" s="27" t="s">
        <v>150</v>
      </c>
      <c r="C39" s="28">
        <v>0</v>
      </c>
      <c r="D39" s="28">
        <v>0</v>
      </c>
      <c r="E39" s="28">
        <v>0</v>
      </c>
      <c r="F39" s="28">
        <v>0</v>
      </c>
      <c r="G39" s="28">
        <v>0</v>
      </c>
      <c r="H39" s="28">
        <v>0</v>
      </c>
      <c r="I39" s="28">
        <v>0</v>
      </c>
      <c r="J39" s="28">
        <v>0</v>
      </c>
      <c r="K39" s="28">
        <v>0</v>
      </c>
      <c r="L39" s="28">
        <v>0</v>
      </c>
      <c r="M39" s="28">
        <v>0</v>
      </c>
      <c r="N39" s="28">
        <v>0</v>
      </c>
      <c r="O39" s="18">
        <f t="shared" si="0"/>
        <v>0</v>
      </c>
    </row>
    <row r="40" spans="1:17" ht="15" x14ac:dyDescent="0.2">
      <c r="A40" s="854"/>
      <c r="B40" s="27" t="s">
        <v>151</v>
      </c>
      <c r="C40" s="28">
        <v>60</v>
      </c>
      <c r="D40" s="28">
        <v>60</v>
      </c>
      <c r="E40" s="28">
        <v>60</v>
      </c>
      <c r="F40" s="28">
        <v>60</v>
      </c>
      <c r="G40" s="28">
        <v>60</v>
      </c>
      <c r="H40" s="28">
        <v>60</v>
      </c>
      <c r="I40" s="28">
        <v>60</v>
      </c>
      <c r="J40" s="28">
        <v>60</v>
      </c>
      <c r="K40" s="28">
        <v>60</v>
      </c>
      <c r="L40" s="28">
        <v>60</v>
      </c>
      <c r="M40" s="28">
        <v>60</v>
      </c>
      <c r="N40" s="28">
        <v>60</v>
      </c>
      <c r="O40" s="18">
        <f t="shared" si="0"/>
        <v>720</v>
      </c>
    </row>
    <row r="41" spans="1:17" ht="15" x14ac:dyDescent="0.2">
      <c r="A41" s="854"/>
      <c r="B41" s="27" t="s">
        <v>152</v>
      </c>
      <c r="C41" s="28">
        <v>0</v>
      </c>
      <c r="D41" s="28">
        <v>0</v>
      </c>
      <c r="E41" s="28">
        <v>0</v>
      </c>
      <c r="F41" s="28">
        <v>0</v>
      </c>
      <c r="G41" s="28">
        <v>0</v>
      </c>
      <c r="H41" s="28">
        <v>0</v>
      </c>
      <c r="I41" s="28">
        <v>0</v>
      </c>
      <c r="J41" s="28">
        <v>0</v>
      </c>
      <c r="K41" s="28">
        <v>0</v>
      </c>
      <c r="L41" s="28">
        <v>0</v>
      </c>
      <c r="M41" s="28">
        <v>0</v>
      </c>
      <c r="N41" s="28">
        <v>0</v>
      </c>
      <c r="O41" s="18">
        <f t="shared" si="0"/>
        <v>0</v>
      </c>
    </row>
    <row r="42" spans="1:17" ht="15" x14ac:dyDescent="0.2">
      <c r="A42" s="854"/>
      <c r="B42" s="27" t="s">
        <v>153</v>
      </c>
      <c r="C42" s="28">
        <v>650</v>
      </c>
      <c r="D42" s="28">
        <v>650</v>
      </c>
      <c r="E42" s="28">
        <v>650</v>
      </c>
      <c r="F42" s="28">
        <v>650</v>
      </c>
      <c r="G42" s="28">
        <v>650</v>
      </c>
      <c r="H42" s="28">
        <v>650</v>
      </c>
      <c r="I42" s="28">
        <v>650</v>
      </c>
      <c r="J42" s="28">
        <v>650</v>
      </c>
      <c r="K42" s="28">
        <v>650</v>
      </c>
      <c r="L42" s="28">
        <v>650</v>
      </c>
      <c r="M42" s="28">
        <v>650</v>
      </c>
      <c r="N42" s="28">
        <v>650</v>
      </c>
      <c r="O42" s="18">
        <f t="shared" si="0"/>
        <v>7800</v>
      </c>
    </row>
    <row r="43" spans="1:17" ht="15" x14ac:dyDescent="0.2">
      <c r="A43" s="854"/>
      <c r="B43" s="27" t="s">
        <v>154</v>
      </c>
      <c r="C43" s="28">
        <v>15000</v>
      </c>
      <c r="D43" s="28">
        <v>15000</v>
      </c>
      <c r="E43" s="28">
        <v>15000</v>
      </c>
      <c r="F43" s="28">
        <v>15000</v>
      </c>
      <c r="G43" s="28">
        <v>15000</v>
      </c>
      <c r="H43" s="28">
        <v>15000</v>
      </c>
      <c r="I43" s="28">
        <v>15000</v>
      </c>
      <c r="J43" s="28">
        <v>15000</v>
      </c>
      <c r="K43" s="28">
        <v>15000</v>
      </c>
      <c r="L43" s="28">
        <v>15000</v>
      </c>
      <c r="M43" s="28">
        <v>15000</v>
      </c>
      <c r="N43" s="28">
        <v>15000</v>
      </c>
      <c r="O43" s="18">
        <f t="shared" si="0"/>
        <v>180000</v>
      </c>
    </row>
    <row r="44" spans="1:17" ht="15" x14ac:dyDescent="0.2">
      <c r="A44" s="854"/>
      <c r="B44" s="27" t="s">
        <v>155</v>
      </c>
      <c r="C44" s="28">
        <v>200</v>
      </c>
      <c r="D44" s="28">
        <v>200</v>
      </c>
      <c r="E44" s="28">
        <v>200</v>
      </c>
      <c r="F44" s="28">
        <v>200</v>
      </c>
      <c r="G44" s="28">
        <v>200</v>
      </c>
      <c r="H44" s="28">
        <v>200</v>
      </c>
      <c r="I44" s="28">
        <v>200</v>
      </c>
      <c r="J44" s="28">
        <v>200</v>
      </c>
      <c r="K44" s="28">
        <v>200</v>
      </c>
      <c r="L44" s="28">
        <v>200</v>
      </c>
      <c r="M44" s="28">
        <v>200</v>
      </c>
      <c r="N44" s="28">
        <v>300</v>
      </c>
      <c r="O44" s="18">
        <f t="shared" si="0"/>
        <v>2500</v>
      </c>
    </row>
    <row r="45" spans="1:17" ht="15" x14ac:dyDescent="0.2">
      <c r="A45" s="854"/>
      <c r="B45" s="27" t="s">
        <v>156</v>
      </c>
      <c r="C45" s="28">
        <v>0</v>
      </c>
      <c r="D45" s="28">
        <v>0</v>
      </c>
      <c r="E45" s="28">
        <v>0</v>
      </c>
      <c r="F45" s="28">
        <v>0</v>
      </c>
      <c r="G45" s="28">
        <v>0</v>
      </c>
      <c r="H45" s="28">
        <v>0</v>
      </c>
      <c r="I45" s="28">
        <v>3682</v>
      </c>
      <c r="J45" s="28">
        <v>3682</v>
      </c>
      <c r="K45" s="28">
        <v>3682</v>
      </c>
      <c r="L45" s="28">
        <v>3682</v>
      </c>
      <c r="M45" s="28">
        <v>3682</v>
      </c>
      <c r="N45" s="28">
        <v>3682</v>
      </c>
      <c r="O45" s="18">
        <f t="shared" si="0"/>
        <v>22092</v>
      </c>
    </row>
    <row r="46" spans="1:17" ht="15" x14ac:dyDescent="0.2">
      <c r="A46" s="854"/>
      <c r="B46" s="27" t="s">
        <v>157</v>
      </c>
      <c r="C46" s="28">
        <v>0</v>
      </c>
      <c r="D46" s="28">
        <v>0</v>
      </c>
      <c r="E46" s="28">
        <v>0</v>
      </c>
      <c r="F46" s="28">
        <v>0</v>
      </c>
      <c r="G46" s="28">
        <v>0</v>
      </c>
      <c r="H46" s="28">
        <v>0</v>
      </c>
      <c r="I46" s="28">
        <v>0</v>
      </c>
      <c r="J46" s="28">
        <v>0</v>
      </c>
      <c r="K46" s="28">
        <v>0</v>
      </c>
      <c r="L46" s="28">
        <v>0</v>
      </c>
      <c r="M46" s="28">
        <v>0</v>
      </c>
      <c r="N46" s="28">
        <v>0</v>
      </c>
      <c r="O46" s="18">
        <f t="shared" si="0"/>
        <v>0</v>
      </c>
    </row>
    <row r="47" spans="1:17" ht="28.5" customHeight="1" x14ac:dyDescent="0.2">
      <c r="A47" s="855"/>
      <c r="B47" s="30" t="s">
        <v>158</v>
      </c>
      <c r="C47" s="28">
        <v>0</v>
      </c>
      <c r="D47" s="28">
        <v>0</v>
      </c>
      <c r="E47" s="28">
        <v>0</v>
      </c>
      <c r="F47" s="28">
        <v>0</v>
      </c>
      <c r="G47" s="28">
        <v>0</v>
      </c>
      <c r="H47" s="28">
        <v>0</v>
      </c>
      <c r="I47" s="28">
        <v>0</v>
      </c>
      <c r="J47" s="28">
        <v>0</v>
      </c>
      <c r="K47" s="28">
        <v>0</v>
      </c>
      <c r="L47" s="28">
        <v>0</v>
      </c>
      <c r="M47" s="28">
        <v>0</v>
      </c>
      <c r="N47" s="28">
        <v>0</v>
      </c>
      <c r="O47" s="31">
        <f t="shared" si="0"/>
        <v>0</v>
      </c>
    </row>
    <row r="48" spans="1:17" ht="27.75" customHeight="1" x14ac:dyDescent="0.2">
      <c r="A48" s="856"/>
      <c r="B48" s="32" t="s">
        <v>159</v>
      </c>
      <c r="C48" s="28">
        <v>1975</v>
      </c>
      <c r="D48" s="28">
        <v>1975</v>
      </c>
      <c r="E48" s="28">
        <v>1975</v>
      </c>
      <c r="F48" s="28">
        <v>1975</v>
      </c>
      <c r="G48" s="28">
        <v>1975</v>
      </c>
      <c r="H48" s="28">
        <v>1975</v>
      </c>
      <c r="I48" s="28">
        <v>1975</v>
      </c>
      <c r="J48" s="28">
        <v>1975</v>
      </c>
      <c r="K48" s="28">
        <v>1975</v>
      </c>
      <c r="L48" s="28">
        <v>1975</v>
      </c>
      <c r="M48" s="28">
        <v>1975</v>
      </c>
      <c r="N48" s="28">
        <v>1975</v>
      </c>
      <c r="O48" s="31">
        <f t="shared" si="0"/>
        <v>23700</v>
      </c>
    </row>
    <row r="49" spans="1:18" ht="15" x14ac:dyDescent="0.2">
      <c r="A49" s="857" t="s">
        <v>160</v>
      </c>
      <c r="B49" s="858"/>
      <c r="C49" s="33">
        <f t="shared" ref="C49:N49" si="2">SUM(C38:C48)</f>
        <v>34885</v>
      </c>
      <c r="D49" s="33">
        <f t="shared" si="2"/>
        <v>34885</v>
      </c>
      <c r="E49" s="33">
        <f t="shared" si="2"/>
        <v>34885</v>
      </c>
      <c r="F49" s="33">
        <f t="shared" si="2"/>
        <v>34885</v>
      </c>
      <c r="G49" s="33">
        <f t="shared" si="2"/>
        <v>34885</v>
      </c>
      <c r="H49" s="33">
        <f t="shared" si="2"/>
        <v>34885</v>
      </c>
      <c r="I49" s="33">
        <f t="shared" si="2"/>
        <v>38567</v>
      </c>
      <c r="J49" s="33">
        <f t="shared" si="2"/>
        <v>36567</v>
      </c>
      <c r="K49" s="33">
        <f t="shared" si="2"/>
        <v>21567</v>
      </c>
      <c r="L49" s="33">
        <f t="shared" si="2"/>
        <v>38974</v>
      </c>
      <c r="M49" s="33">
        <f t="shared" si="2"/>
        <v>21567</v>
      </c>
      <c r="N49" s="33">
        <f t="shared" si="2"/>
        <v>21667</v>
      </c>
      <c r="O49" s="34">
        <f t="shared" si="0"/>
        <v>388219</v>
      </c>
    </row>
    <row r="50" spans="1:18" ht="15.75" thickBot="1" x14ac:dyDescent="0.25">
      <c r="A50" s="859" t="s">
        <v>161</v>
      </c>
      <c r="B50" s="860"/>
      <c r="C50" s="35">
        <f t="shared" ref="C50:N50" si="3">C37-C49</f>
        <v>103868</v>
      </c>
      <c r="D50" s="35">
        <f t="shared" si="3"/>
        <v>110402</v>
      </c>
      <c r="E50" s="35">
        <f t="shared" si="3"/>
        <v>103868</v>
      </c>
      <c r="F50" s="35">
        <f t="shared" si="3"/>
        <v>106046</v>
      </c>
      <c r="G50" s="35">
        <f t="shared" si="3"/>
        <v>110107</v>
      </c>
      <c r="H50" s="35">
        <f t="shared" si="3"/>
        <v>110107</v>
      </c>
      <c r="I50" s="35">
        <f t="shared" si="3"/>
        <v>83788</v>
      </c>
      <c r="J50" s="35">
        <f t="shared" si="3"/>
        <v>94494</v>
      </c>
      <c r="K50" s="35">
        <f t="shared" si="3"/>
        <v>100513</v>
      </c>
      <c r="L50" s="35">
        <f t="shared" si="3"/>
        <v>83106</v>
      </c>
      <c r="M50" s="35">
        <f t="shared" si="3"/>
        <v>100513</v>
      </c>
      <c r="N50" s="35">
        <f t="shared" si="3"/>
        <v>100413</v>
      </c>
      <c r="O50" s="36">
        <f t="shared" si="0"/>
        <v>1207225</v>
      </c>
    </row>
    <row r="51" spans="1:18" x14ac:dyDescent="0.2">
      <c r="J51" s="16">
        <f>+J37-J32-J35-J36</f>
        <v>124341</v>
      </c>
      <c r="Q51" s="38"/>
    </row>
    <row r="52" spans="1:18" ht="13.5" thickBot="1" x14ac:dyDescent="0.25">
      <c r="J52" s="38">
        <f>+J51-J49</f>
        <v>87774</v>
      </c>
    </row>
    <row r="53" spans="1:18" ht="13.5" thickBot="1" x14ac:dyDescent="0.25">
      <c r="B53" s="789" t="s">
        <v>162</v>
      </c>
      <c r="C53" s="861"/>
      <c r="D53" s="861"/>
      <c r="E53" s="861"/>
      <c r="F53" s="862"/>
      <c r="G53" s="863">
        <f>O37</f>
        <v>1595444</v>
      </c>
      <c r="H53" s="864"/>
      <c r="J53" s="38">
        <f>+J52+21206</f>
        <v>108980</v>
      </c>
    </row>
    <row r="54" spans="1:18" ht="13.5" thickBot="1" x14ac:dyDescent="0.25"/>
    <row r="55" spans="1:18" x14ac:dyDescent="0.2">
      <c r="B55" s="830" t="s">
        <v>163</v>
      </c>
      <c r="C55" s="833" t="s">
        <v>164</v>
      </c>
      <c r="D55" s="836" t="s">
        <v>425</v>
      </c>
      <c r="E55" s="837"/>
      <c r="F55" s="838"/>
      <c r="G55" s="839">
        <v>40000</v>
      </c>
      <c r="H55" s="840"/>
    </row>
    <row r="56" spans="1:18" x14ac:dyDescent="0.2">
      <c r="B56" s="831"/>
      <c r="C56" s="834"/>
      <c r="D56" s="841" t="s">
        <v>166</v>
      </c>
      <c r="E56" s="842"/>
      <c r="F56" s="843"/>
      <c r="G56" s="844">
        <f>+O44</f>
        <v>2500</v>
      </c>
      <c r="H56" s="845"/>
      <c r="I56" s="39"/>
      <c r="J56" s="846"/>
      <c r="K56" s="846"/>
      <c r="L56" s="846"/>
      <c r="M56" s="847"/>
      <c r="N56" s="847"/>
      <c r="O56" s="847"/>
    </row>
    <row r="57" spans="1:18" x14ac:dyDescent="0.2">
      <c r="B57" s="886"/>
      <c r="C57" s="887"/>
      <c r="D57" s="40" t="s">
        <v>546</v>
      </c>
      <c r="E57" s="41"/>
      <c r="F57" s="42"/>
      <c r="G57" s="43"/>
      <c r="H57" s="44">
        <v>80000</v>
      </c>
      <c r="I57" s="39"/>
      <c r="J57" s="45"/>
      <c r="K57" s="45"/>
      <c r="L57" s="45"/>
      <c r="M57" s="46"/>
      <c r="N57" s="46"/>
      <c r="O57" s="46"/>
    </row>
    <row r="58" spans="1:18" ht="13.5" thickBot="1" x14ac:dyDescent="0.25">
      <c r="B58" s="832"/>
      <c r="C58" s="835"/>
      <c r="D58" s="848" t="s">
        <v>167</v>
      </c>
      <c r="E58" s="849"/>
      <c r="F58" s="850"/>
      <c r="G58" s="851">
        <f>O18</f>
        <v>0</v>
      </c>
      <c r="H58" s="852"/>
      <c r="J58" s="47"/>
      <c r="K58" s="47"/>
      <c r="L58" s="47"/>
      <c r="M58" s="47"/>
      <c r="N58" s="47"/>
      <c r="O58" s="47"/>
    </row>
    <row r="59" spans="1:18" ht="13.5" thickBot="1" x14ac:dyDescent="0.25">
      <c r="B59" s="48"/>
      <c r="J59" s="47"/>
      <c r="K59" s="47"/>
      <c r="L59" s="47"/>
      <c r="M59" s="47"/>
      <c r="N59" s="47"/>
      <c r="O59" s="47"/>
    </row>
    <row r="60" spans="1:18" ht="13.5" thickBot="1" x14ac:dyDescent="0.25">
      <c r="B60" s="789" t="s">
        <v>168</v>
      </c>
      <c r="C60" s="790"/>
      <c r="D60" s="790"/>
      <c r="E60" s="790"/>
      <c r="F60" s="791"/>
      <c r="G60" s="825">
        <f>+G53-SUM(G55:H58)</f>
        <v>1472944</v>
      </c>
      <c r="H60" s="826"/>
      <c r="J60" s="827" t="s">
        <v>169</v>
      </c>
      <c r="K60" s="828"/>
      <c r="L60" s="828"/>
      <c r="M60" s="828"/>
      <c r="N60" s="828"/>
      <c r="O60" s="829"/>
    </row>
    <row r="61" spans="1:18" ht="13.5" thickBot="1" x14ac:dyDescent="0.25">
      <c r="B61" s="49"/>
      <c r="C61" s="50"/>
      <c r="D61" s="50"/>
      <c r="E61" s="50"/>
      <c r="F61" s="50"/>
      <c r="G61" s="45"/>
      <c r="H61" s="50"/>
      <c r="J61" s="51"/>
      <c r="K61" s="52"/>
      <c r="L61" s="52"/>
      <c r="M61" s="52"/>
      <c r="N61" s="52"/>
      <c r="O61" s="53"/>
    </row>
    <row r="62" spans="1:18" ht="13.5" thickBot="1" x14ac:dyDescent="0.25">
      <c r="B62" s="789" t="s">
        <v>170</v>
      </c>
      <c r="C62" s="790"/>
      <c r="D62" s="790"/>
      <c r="E62" s="790"/>
      <c r="F62" s="791"/>
      <c r="G62" s="805"/>
      <c r="H62" s="791"/>
      <c r="J62" s="54"/>
      <c r="K62" s="55"/>
      <c r="L62" s="55"/>
      <c r="M62" s="55"/>
      <c r="N62" s="55"/>
      <c r="O62" s="56"/>
    </row>
    <row r="63" spans="1:18" ht="12.75" customHeight="1" x14ac:dyDescent="0.2">
      <c r="B63" s="57" t="s">
        <v>171</v>
      </c>
      <c r="C63" s="806" t="s">
        <v>172</v>
      </c>
      <c r="D63" s="807"/>
      <c r="E63" s="807"/>
      <c r="F63" s="808"/>
      <c r="G63" s="809">
        <v>219027</v>
      </c>
      <c r="H63" s="809"/>
      <c r="I63" s="58"/>
      <c r="J63" s="810" t="s">
        <v>173</v>
      </c>
      <c r="K63" s="811"/>
      <c r="L63" s="811"/>
      <c r="M63" s="811"/>
      <c r="N63" s="811"/>
      <c r="O63" s="812"/>
      <c r="Q63" s="59"/>
      <c r="R63" s="59"/>
    </row>
    <row r="64" spans="1:18" ht="13.5" thickBot="1" x14ac:dyDescent="0.25">
      <c r="D64" s="37"/>
      <c r="I64" s="58"/>
      <c r="J64" s="60" t="s">
        <v>174</v>
      </c>
      <c r="K64" s="61"/>
      <c r="L64" s="61"/>
      <c r="M64" s="61"/>
      <c r="N64" s="61"/>
      <c r="O64" s="62"/>
      <c r="Q64" s="59"/>
      <c r="R64" s="59"/>
    </row>
    <row r="65" spans="2:18" ht="13.5" thickBot="1" x14ac:dyDescent="0.25">
      <c r="B65" s="789" t="s">
        <v>175</v>
      </c>
      <c r="C65" s="790"/>
      <c r="D65" s="790"/>
      <c r="E65" s="790"/>
      <c r="F65" s="791"/>
      <c r="G65" s="805">
        <f>+G60-G63</f>
        <v>1253917</v>
      </c>
      <c r="H65" s="791"/>
      <c r="I65" s="63"/>
      <c r="J65" s="64"/>
      <c r="K65" s="39"/>
      <c r="L65" s="39"/>
      <c r="M65" s="39"/>
      <c r="N65" s="39"/>
      <c r="O65" s="65"/>
      <c r="Q65" s="59"/>
      <c r="R65" s="59"/>
    </row>
    <row r="66" spans="2:18" ht="12.75" customHeight="1" x14ac:dyDescent="0.2">
      <c r="B66" s="48"/>
      <c r="C66" s="48"/>
      <c r="I66" s="63"/>
      <c r="J66" s="64"/>
      <c r="K66" s="39"/>
      <c r="L66" s="39"/>
      <c r="M66" s="39"/>
      <c r="N66" s="39"/>
      <c r="O66" s="65"/>
      <c r="Q66" s="59"/>
      <c r="R66" s="59"/>
    </row>
    <row r="67" spans="2:18" x14ac:dyDescent="0.2">
      <c r="B67" s="66" t="s">
        <v>176</v>
      </c>
      <c r="C67" s="48"/>
      <c r="I67" s="63"/>
      <c r="J67" s="67"/>
      <c r="K67" s="68"/>
      <c r="L67" s="68"/>
      <c r="M67" s="68"/>
      <c r="N67" s="68"/>
      <c r="O67" s="69"/>
      <c r="Q67" s="59"/>
      <c r="R67" s="59"/>
    </row>
    <row r="68" spans="2:18" ht="26.25" customHeight="1" thickBot="1" x14ac:dyDescent="0.25">
      <c r="B68" s="66"/>
      <c r="C68" s="48"/>
      <c r="G68" s="70" t="s">
        <v>177</v>
      </c>
      <c r="H68" s="70" t="s">
        <v>178</v>
      </c>
      <c r="I68" s="63"/>
      <c r="J68" s="810" t="s">
        <v>179</v>
      </c>
      <c r="K68" s="811"/>
      <c r="L68" s="71"/>
      <c r="M68" s="71"/>
      <c r="N68" s="71"/>
      <c r="O68" s="72"/>
      <c r="Q68" s="59"/>
      <c r="R68" s="59"/>
    </row>
    <row r="69" spans="2:18" ht="12.75" customHeight="1" x14ac:dyDescent="0.2">
      <c r="B69" s="802" t="s">
        <v>180</v>
      </c>
      <c r="C69" s="821" t="s">
        <v>181</v>
      </c>
      <c r="D69" s="823" t="s">
        <v>182</v>
      </c>
      <c r="E69" s="824"/>
      <c r="F69" s="824"/>
      <c r="G69" s="73">
        <f>+O43</f>
        <v>180000</v>
      </c>
      <c r="H69" s="74">
        <f t="shared" ref="H69:H77" si="4">+G69</f>
        <v>180000</v>
      </c>
      <c r="I69" s="63"/>
      <c r="J69" s="75" t="s">
        <v>183</v>
      </c>
      <c r="K69" s="58"/>
      <c r="L69" s="58"/>
      <c r="M69" s="58"/>
      <c r="N69" s="58"/>
      <c r="O69" s="76"/>
      <c r="Q69" s="59"/>
      <c r="R69" s="59"/>
    </row>
    <row r="70" spans="2:18" ht="12.75" customHeight="1" x14ac:dyDescent="0.2">
      <c r="B70" s="803"/>
      <c r="C70" s="822"/>
      <c r="D70" s="782" t="s">
        <v>184</v>
      </c>
      <c r="E70" s="783"/>
      <c r="F70" s="783"/>
      <c r="G70" s="77">
        <v>0</v>
      </c>
      <c r="H70" s="78">
        <f t="shared" si="4"/>
        <v>0</v>
      </c>
      <c r="I70" s="63"/>
      <c r="J70" s="79"/>
      <c r="K70" s="68"/>
      <c r="L70" s="68"/>
      <c r="M70" s="68"/>
      <c r="N70" s="68"/>
      <c r="O70" s="69"/>
      <c r="Q70" s="59"/>
      <c r="R70" s="59"/>
    </row>
    <row r="71" spans="2:18" ht="12.75" customHeight="1" x14ac:dyDescent="0.2">
      <c r="B71" s="803"/>
      <c r="C71" s="822"/>
      <c r="D71" s="819" t="s">
        <v>185</v>
      </c>
      <c r="E71" s="820"/>
      <c r="F71" s="820"/>
      <c r="G71" s="80">
        <f>O40</f>
        <v>720</v>
      </c>
      <c r="H71" s="78">
        <f t="shared" si="4"/>
        <v>720</v>
      </c>
      <c r="I71" s="63"/>
      <c r="J71" s="67"/>
      <c r="K71" s="68"/>
      <c r="L71" s="68"/>
      <c r="M71" s="68"/>
      <c r="N71" s="68"/>
      <c r="O71" s="69"/>
    </row>
    <row r="72" spans="2:18" x14ac:dyDescent="0.2">
      <c r="B72" s="803"/>
      <c r="C72" s="822"/>
      <c r="D72" s="782" t="s">
        <v>186</v>
      </c>
      <c r="E72" s="783"/>
      <c r="F72" s="783"/>
      <c r="G72" s="81">
        <v>0</v>
      </c>
      <c r="H72" s="78">
        <f t="shared" si="4"/>
        <v>0</v>
      </c>
      <c r="I72" s="63"/>
      <c r="J72" s="82" t="s">
        <v>187</v>
      </c>
      <c r="K72" s="71"/>
      <c r="L72" s="71"/>
      <c r="M72" s="71"/>
      <c r="N72" s="71"/>
      <c r="O72" s="72"/>
    </row>
    <row r="73" spans="2:18" ht="12.75" customHeight="1" x14ac:dyDescent="0.2">
      <c r="B73" s="803"/>
      <c r="C73" s="822"/>
      <c r="D73" s="784" t="s">
        <v>188</v>
      </c>
      <c r="E73" s="783"/>
      <c r="F73" s="783"/>
      <c r="G73" s="80">
        <v>0</v>
      </c>
      <c r="H73" s="78">
        <f t="shared" si="4"/>
        <v>0</v>
      </c>
      <c r="I73" s="63"/>
      <c r="J73" s="75" t="s">
        <v>189</v>
      </c>
      <c r="K73" s="50"/>
      <c r="L73" s="50"/>
      <c r="M73" s="50"/>
      <c r="N73" s="50"/>
      <c r="O73" s="83">
        <f>O42</f>
        <v>7800</v>
      </c>
    </row>
    <row r="74" spans="2:18" ht="14.25" customHeight="1" x14ac:dyDescent="0.2">
      <c r="B74" s="803"/>
      <c r="C74" s="822"/>
      <c r="D74" s="782" t="s">
        <v>190</v>
      </c>
      <c r="E74" s="783"/>
      <c r="F74" s="783"/>
      <c r="G74" s="84">
        <v>0</v>
      </c>
      <c r="H74" s="78">
        <f t="shared" si="4"/>
        <v>0</v>
      </c>
      <c r="I74" s="63"/>
      <c r="J74" s="64"/>
      <c r="K74" s="39"/>
      <c r="L74" s="39"/>
      <c r="M74" s="39"/>
      <c r="N74" s="39"/>
      <c r="O74" s="65"/>
    </row>
    <row r="75" spans="2:18" x14ac:dyDescent="0.2">
      <c r="B75" s="803"/>
      <c r="C75" s="822"/>
      <c r="D75" s="782" t="s">
        <v>191</v>
      </c>
      <c r="E75" s="783"/>
      <c r="F75" s="783"/>
      <c r="G75" s="81">
        <v>0</v>
      </c>
      <c r="H75" s="78">
        <f t="shared" si="4"/>
        <v>0</v>
      </c>
      <c r="I75" s="58"/>
      <c r="J75" s="85"/>
      <c r="K75" s="63"/>
      <c r="L75" s="63"/>
      <c r="M75" s="63"/>
      <c r="N75" s="63"/>
      <c r="O75" s="86"/>
      <c r="P75" s="87"/>
    </row>
    <row r="76" spans="2:18" x14ac:dyDescent="0.2">
      <c r="B76" s="803"/>
      <c r="C76" s="88" t="s">
        <v>192</v>
      </c>
      <c r="D76" s="813" t="s">
        <v>193</v>
      </c>
      <c r="E76" s="814"/>
      <c r="F76" s="814"/>
      <c r="G76" s="80">
        <v>0</v>
      </c>
      <c r="H76" s="78">
        <f t="shared" si="4"/>
        <v>0</v>
      </c>
      <c r="I76" s="58"/>
      <c r="J76" s="60"/>
      <c r="K76" s="68"/>
      <c r="L76" s="68"/>
      <c r="M76" s="50"/>
      <c r="N76" s="50"/>
      <c r="O76" s="83"/>
      <c r="P76" s="87"/>
    </row>
    <row r="77" spans="2:18" ht="13.5" customHeight="1" thickBot="1" x14ac:dyDescent="0.25">
      <c r="B77" s="803"/>
      <c r="C77" s="88" t="s">
        <v>194</v>
      </c>
      <c r="D77" s="815" t="s">
        <v>195</v>
      </c>
      <c r="E77" s="815"/>
      <c r="F77" s="815"/>
      <c r="G77" s="89">
        <v>0</v>
      </c>
      <c r="H77" s="90">
        <f t="shared" si="4"/>
        <v>0</v>
      </c>
      <c r="I77" s="63"/>
      <c r="J77" s="75"/>
      <c r="K77" s="68"/>
      <c r="L77" s="68"/>
      <c r="M77" s="91"/>
      <c r="N77" s="91"/>
      <c r="O77" s="92"/>
    </row>
    <row r="78" spans="2:18" ht="13.5" thickBot="1" x14ac:dyDescent="0.25">
      <c r="B78" s="803"/>
      <c r="C78" s="93"/>
      <c r="D78" s="94"/>
      <c r="E78" s="816" t="s">
        <v>117</v>
      </c>
      <c r="F78" s="817"/>
      <c r="G78" s="95">
        <f>SUM(G69:G77)</f>
        <v>180720</v>
      </c>
      <c r="H78" s="96">
        <f>IF(SUM(G69:G75)&lt;150000,SUM(G69:G75),150000)+IF(+G76&lt;20000,+G76,20000)</f>
        <v>150000</v>
      </c>
      <c r="I78" s="63"/>
      <c r="J78" s="97"/>
      <c r="K78" s="98"/>
      <c r="L78" s="98"/>
      <c r="M78" s="98"/>
      <c r="N78" s="98"/>
      <c r="O78" s="99"/>
    </row>
    <row r="79" spans="2:18" ht="12.75" customHeight="1" x14ac:dyDescent="0.2">
      <c r="B79" s="803"/>
      <c r="C79" s="100" t="s">
        <v>196</v>
      </c>
      <c r="D79" s="782" t="s">
        <v>187</v>
      </c>
      <c r="E79" s="783"/>
      <c r="F79" s="818"/>
      <c r="G79" s="73">
        <v>7800</v>
      </c>
      <c r="H79" s="101">
        <f>+IF(+G79&lt;25000,+G79,25000)</f>
        <v>7800</v>
      </c>
      <c r="I79" s="87"/>
    </row>
    <row r="80" spans="2:18" x14ac:dyDescent="0.2">
      <c r="B80" s="803"/>
      <c r="C80" s="100" t="s">
        <v>547</v>
      </c>
      <c r="D80" s="784" t="s">
        <v>548</v>
      </c>
      <c r="E80" s="785"/>
      <c r="F80" s="786"/>
      <c r="G80" s="81">
        <v>50000</v>
      </c>
      <c r="H80" s="103">
        <v>50000</v>
      </c>
      <c r="I80" s="63"/>
    </row>
    <row r="81" spans="2:12" x14ac:dyDescent="0.2">
      <c r="B81" s="803"/>
      <c r="C81" s="100" t="s">
        <v>199</v>
      </c>
      <c r="D81" s="784" t="s">
        <v>200</v>
      </c>
      <c r="E81" s="785"/>
      <c r="F81" s="786"/>
      <c r="G81" s="81">
        <v>0</v>
      </c>
      <c r="H81" s="104">
        <f>+G81</f>
        <v>0</v>
      </c>
      <c r="I81" s="63"/>
      <c r="J81" s="105"/>
      <c r="K81" s="106"/>
    </row>
    <row r="82" spans="2:12" x14ac:dyDescent="0.2">
      <c r="B82" s="803"/>
      <c r="C82" s="100" t="s">
        <v>201</v>
      </c>
      <c r="D82" s="784" t="s">
        <v>202</v>
      </c>
      <c r="E82" s="785"/>
      <c r="F82" s="786"/>
      <c r="G82" s="81">
        <v>0</v>
      </c>
      <c r="H82" s="104">
        <v>0</v>
      </c>
      <c r="I82" s="63"/>
    </row>
    <row r="83" spans="2:12" ht="13.5" thickBot="1" x14ac:dyDescent="0.25">
      <c r="B83" s="804"/>
      <c r="C83" s="100" t="s">
        <v>203</v>
      </c>
      <c r="D83" s="784" t="s">
        <v>204</v>
      </c>
      <c r="E83" s="785"/>
      <c r="F83" s="786"/>
      <c r="G83" s="81">
        <v>0</v>
      </c>
      <c r="H83" s="103">
        <f>+IF(+G83&lt;100000,+G83,10000)</f>
        <v>0</v>
      </c>
      <c r="I83" s="63"/>
    </row>
    <row r="84" spans="2:12" ht="13.5" thickBot="1" x14ac:dyDescent="0.25">
      <c r="B84" s="787" t="s">
        <v>205</v>
      </c>
      <c r="C84" s="788"/>
      <c r="D84" s="788"/>
      <c r="E84" s="788"/>
      <c r="F84" s="788"/>
      <c r="G84" s="107">
        <f>SUM(G79:G83)</f>
        <v>57800</v>
      </c>
      <c r="H84" s="108">
        <f>SUM(H78:H83)</f>
        <v>207800</v>
      </c>
    </row>
    <row r="85" spans="2:12" ht="13.5" thickBot="1" x14ac:dyDescent="0.25"/>
    <row r="86" spans="2:12" ht="13.5" thickBot="1" x14ac:dyDescent="0.25">
      <c r="B86" s="789" t="s">
        <v>206</v>
      </c>
      <c r="C86" s="790"/>
      <c r="D86" s="790"/>
      <c r="E86" s="790"/>
      <c r="F86" s="791"/>
      <c r="G86" s="792">
        <f>ROUND(+G65-H84,-1)</f>
        <v>1046120</v>
      </c>
      <c r="H86" s="791"/>
      <c r="J86" s="109">
        <f>C37+D37+E37+F37</f>
        <v>563724</v>
      </c>
      <c r="K86" s="16" t="s">
        <v>235</v>
      </c>
    </row>
    <row r="87" spans="2:12" x14ac:dyDescent="0.2">
      <c r="B87" s="110"/>
      <c r="F87" s="105"/>
      <c r="J87" s="109">
        <f>G37+H37+I37</f>
        <v>412339</v>
      </c>
      <c r="K87" s="16" t="s">
        <v>236</v>
      </c>
    </row>
    <row r="88" spans="2:12" x14ac:dyDescent="0.2">
      <c r="C88" s="793" t="s">
        <v>207</v>
      </c>
      <c r="D88" s="794"/>
      <c r="E88" s="111" t="s">
        <v>208</v>
      </c>
      <c r="F88" s="111" t="s">
        <v>209</v>
      </c>
      <c r="G88" s="111" t="s">
        <v>210</v>
      </c>
      <c r="H88" s="111" t="s">
        <v>211</v>
      </c>
      <c r="J88" s="109">
        <f>J37+K37+L37</f>
        <v>375221</v>
      </c>
      <c r="K88" s="47" t="s">
        <v>237</v>
      </c>
    </row>
    <row r="89" spans="2:12" x14ac:dyDescent="0.2">
      <c r="C89" s="795" t="str">
        <f>IF(I6="M","0          - 250000","0          -  250000")</f>
        <v>0          - 250000</v>
      </c>
      <c r="D89" s="796"/>
      <c r="E89" s="112">
        <v>0</v>
      </c>
      <c r="F89" s="113">
        <f>IF(I6="M",(IF(G86&lt;250000,G86,250000)),(IF(G86&lt;250000,G86,250000)))</f>
        <v>250000</v>
      </c>
      <c r="G89" s="113">
        <f>G86-F89</f>
        <v>796120</v>
      </c>
      <c r="H89" s="113">
        <f>E89*F89</f>
        <v>0</v>
      </c>
      <c r="J89" s="16">
        <f>M37+N37</f>
        <v>244160</v>
      </c>
      <c r="K89" s="1" t="s">
        <v>238</v>
      </c>
    </row>
    <row r="90" spans="2:12" x14ac:dyDescent="0.2">
      <c r="C90" s="795" t="str">
        <f>IF(I6="M","250001 - 500000","250001-500000")</f>
        <v>250001 - 500000</v>
      </c>
      <c r="D90" s="796"/>
      <c r="E90" s="112">
        <v>0.05</v>
      </c>
      <c r="F90" s="113">
        <f>IF(I6="M",(IF(G89&lt;250000,G89,250000)),(IF(G89&lt;250000,G89,250000)))</f>
        <v>250000</v>
      </c>
      <c r="G90" s="113">
        <f>G89-F90</f>
        <v>546120</v>
      </c>
      <c r="H90" s="114">
        <f>ROUND(E90*F90,0.1)</f>
        <v>12500</v>
      </c>
      <c r="J90" s="115">
        <f>SUM(J86:J89)</f>
        <v>1595444</v>
      </c>
    </row>
    <row r="91" spans="2:12" x14ac:dyDescent="0.2">
      <c r="C91" s="797" t="s">
        <v>212</v>
      </c>
      <c r="D91" s="798"/>
      <c r="E91" s="112">
        <v>0.2</v>
      </c>
      <c r="F91" s="113">
        <f>IF(G90&lt;500000,G90,500000)</f>
        <v>500000</v>
      </c>
      <c r="G91" s="113">
        <f>G90-F91</f>
        <v>46120</v>
      </c>
      <c r="H91" s="114">
        <f>ROUND(E91*F91,0.1)</f>
        <v>100000</v>
      </c>
      <c r="J91" s="16">
        <f>+G86</f>
        <v>1046120</v>
      </c>
    </row>
    <row r="92" spans="2:12" x14ac:dyDescent="0.2">
      <c r="C92" s="795" t="s">
        <v>213</v>
      </c>
      <c r="D92" s="796"/>
      <c r="E92" s="112">
        <v>0.3</v>
      </c>
      <c r="F92" s="113">
        <f>G91</f>
        <v>46120</v>
      </c>
      <c r="G92" s="113">
        <f>G91-F92</f>
        <v>0</v>
      </c>
      <c r="H92" s="114">
        <f>ROUND(E92*F92,0.1)</f>
        <v>13836</v>
      </c>
      <c r="J92" s="16">
        <f>+J90-J91</f>
        <v>549324</v>
      </c>
    </row>
    <row r="93" spans="2:12" ht="12.75" customHeight="1" thickBot="1" x14ac:dyDescent="0.25">
      <c r="B93" s="116"/>
      <c r="C93" s="117"/>
      <c r="D93" s="47"/>
      <c r="E93" s="47"/>
      <c r="F93" s="47"/>
      <c r="J93" s="87"/>
      <c r="K93" s="118"/>
    </row>
    <row r="94" spans="2:12" ht="13.5" thickBot="1" x14ac:dyDescent="0.25">
      <c r="B94" s="799" t="s">
        <v>214</v>
      </c>
      <c r="C94" s="800"/>
      <c r="D94" s="800"/>
      <c r="E94" s="800"/>
      <c r="F94" s="801"/>
      <c r="G94" s="771">
        <f>H89+H90+H91+H92</f>
        <v>126336</v>
      </c>
      <c r="H94" s="772"/>
    </row>
    <row r="95" spans="2:12" ht="13.5" thickBot="1" x14ac:dyDescent="0.25">
      <c r="B95" s="119" t="s">
        <v>215</v>
      </c>
      <c r="C95" s="120"/>
      <c r="D95" s="120"/>
      <c r="E95" s="120"/>
      <c r="F95" s="120"/>
      <c r="G95" s="884">
        <f>IF((G65&lt;500000),5000,0)</f>
        <v>0</v>
      </c>
      <c r="H95" s="885">
        <f>IF(H93&lt;200000,0,IF(H93&lt;220000,((H93-200000)*10%),IF(H93&lt;=500000,2000,IF(H93&gt;=500000,0))))</f>
        <v>0</v>
      </c>
      <c r="J95" s="1"/>
      <c r="K95" s="121"/>
      <c r="L95" s="121"/>
    </row>
    <row r="96" spans="2:12" ht="13.5" thickBot="1" x14ac:dyDescent="0.25">
      <c r="B96" s="122" t="s">
        <v>216</v>
      </c>
      <c r="C96" s="123"/>
      <c r="D96" s="123"/>
      <c r="E96" s="123"/>
      <c r="F96" s="123"/>
      <c r="G96" s="771">
        <f>IF((G94-G95)&lt;0,0,(G94-G95))</f>
        <v>126336</v>
      </c>
      <c r="H96" s="772"/>
      <c r="I96" s="37"/>
    </row>
    <row r="97" spans="2:9" ht="13.5" thickBot="1" x14ac:dyDescent="0.25">
      <c r="B97" s="773" t="s">
        <v>240</v>
      </c>
      <c r="C97" s="774"/>
      <c r="D97" s="774"/>
      <c r="E97" s="774"/>
      <c r="F97" s="775"/>
      <c r="G97" s="776">
        <f>ROUND((IF(G96&gt;0,(G96*4%),0)),0)</f>
        <v>5053</v>
      </c>
      <c r="H97" s="777"/>
      <c r="I97" s="37"/>
    </row>
    <row r="98" spans="2:9" ht="13.5" thickBot="1" x14ac:dyDescent="0.25">
      <c r="B98" s="778" t="s">
        <v>218</v>
      </c>
      <c r="C98" s="779"/>
      <c r="D98" s="779"/>
      <c r="E98" s="779"/>
      <c r="F98" s="779"/>
      <c r="G98" s="780">
        <f>G96+G97</f>
        <v>131389</v>
      </c>
      <c r="H98" s="781"/>
      <c r="I98" s="121"/>
    </row>
    <row r="99" spans="2:9" ht="13.5" thickBot="1" x14ac:dyDescent="0.25">
      <c r="B99" s="765" t="s">
        <v>219</v>
      </c>
      <c r="C99" s="766"/>
      <c r="D99" s="766"/>
      <c r="E99" s="766"/>
      <c r="F99" s="766"/>
      <c r="G99" s="767">
        <f>O38</f>
        <v>151407</v>
      </c>
      <c r="H99" s="768"/>
      <c r="I99" s="121"/>
    </row>
    <row r="100" spans="2:9" ht="13.5" thickBot="1" x14ac:dyDescent="0.25">
      <c r="B100" s="765" t="str">
        <f>IF(G100&gt;0,"TAX PAYABLE","TAX REFUND")</f>
        <v>TAX REFUND</v>
      </c>
      <c r="C100" s="766"/>
      <c r="D100" s="766"/>
      <c r="E100" s="766"/>
      <c r="F100" s="766"/>
      <c r="G100" s="767">
        <f>+G98-G99</f>
        <v>-20018</v>
      </c>
      <c r="H100" s="768"/>
      <c r="I100" s="37"/>
    </row>
    <row r="101" spans="2:9" x14ac:dyDescent="0.2">
      <c r="C101" s="124"/>
      <c r="D101" s="45"/>
      <c r="E101" s="118"/>
      <c r="F101" s="118"/>
      <c r="G101" s="118"/>
      <c r="H101" s="118"/>
      <c r="I101" s="125"/>
    </row>
    <row r="102" spans="2:9" x14ac:dyDescent="0.2">
      <c r="C102" s="47"/>
      <c r="D102" s="50"/>
      <c r="E102" s="117"/>
      <c r="F102" s="47"/>
      <c r="G102" s="47"/>
      <c r="H102" s="47"/>
      <c r="I102" s="125"/>
    </row>
    <row r="103" spans="2:9" x14ac:dyDescent="0.2">
      <c r="C103" s="39"/>
      <c r="D103" s="126"/>
      <c r="E103" s="126"/>
      <c r="F103" s="126"/>
      <c r="G103" s="39"/>
      <c r="H103" s="39"/>
      <c r="I103" s="37"/>
    </row>
    <row r="104" spans="2:9" x14ac:dyDescent="0.2">
      <c r="C104" s="39"/>
      <c r="D104" s="126"/>
      <c r="E104" s="126"/>
      <c r="F104" s="39"/>
      <c r="G104" s="39"/>
      <c r="H104" s="39"/>
      <c r="I104" s="37"/>
    </row>
    <row r="105" spans="2:9" x14ac:dyDescent="0.2">
      <c r="C105" s="39"/>
      <c r="D105" s="126"/>
      <c r="E105" s="126"/>
      <c r="F105" s="39"/>
      <c r="G105" s="39"/>
      <c r="H105" s="39"/>
      <c r="I105" s="37"/>
    </row>
    <row r="106" spans="2:9" x14ac:dyDescent="0.2">
      <c r="C106" s="39"/>
      <c r="D106" s="39"/>
      <c r="E106" s="39"/>
      <c r="F106" s="39"/>
      <c r="G106" s="39"/>
      <c r="H106" s="39"/>
      <c r="I106" s="37"/>
    </row>
    <row r="107" spans="2:9" x14ac:dyDescent="0.2">
      <c r="C107" s="39"/>
      <c r="D107" s="39"/>
      <c r="E107" s="39"/>
      <c r="F107" s="39"/>
      <c r="G107" s="39"/>
      <c r="H107" s="39"/>
    </row>
    <row r="108" spans="2:9" x14ac:dyDescent="0.2">
      <c r="C108" s="39"/>
      <c r="D108" s="39"/>
      <c r="E108" s="39"/>
      <c r="F108" s="39"/>
      <c r="G108" s="39"/>
      <c r="H108"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60:F60"/>
    <mergeCell ref="G60:H60"/>
    <mergeCell ref="J60:O60"/>
    <mergeCell ref="B55:B58"/>
    <mergeCell ref="C55:C58"/>
    <mergeCell ref="D55:F55"/>
    <mergeCell ref="G55:H55"/>
    <mergeCell ref="D56:F56"/>
    <mergeCell ref="G56:H56"/>
    <mergeCell ref="J56:L56"/>
    <mergeCell ref="M56:O56"/>
    <mergeCell ref="D58:F58"/>
    <mergeCell ref="G58:H58"/>
    <mergeCell ref="J63:O63"/>
    <mergeCell ref="D81:F81"/>
    <mergeCell ref="J68:K68"/>
    <mergeCell ref="B65:F65"/>
    <mergeCell ref="G65:H65"/>
    <mergeCell ref="D76:F76"/>
    <mergeCell ref="D77:F77"/>
    <mergeCell ref="E78:F78"/>
    <mergeCell ref="D79:F79"/>
    <mergeCell ref="D80:F80"/>
    <mergeCell ref="D71:F71"/>
    <mergeCell ref="D72:F72"/>
    <mergeCell ref="C69:C75"/>
    <mergeCell ref="D69:F69"/>
    <mergeCell ref="D70:F70"/>
    <mergeCell ref="D74:F74"/>
    <mergeCell ref="G62:H62"/>
    <mergeCell ref="C63:F63"/>
    <mergeCell ref="G63:H63"/>
    <mergeCell ref="B62:F62"/>
    <mergeCell ref="D73:F73"/>
    <mergeCell ref="D75:F75"/>
    <mergeCell ref="G94:H94"/>
    <mergeCell ref="D82:F82"/>
    <mergeCell ref="D83:F83"/>
    <mergeCell ref="B84:F84"/>
    <mergeCell ref="B86:F86"/>
    <mergeCell ref="G86:H86"/>
    <mergeCell ref="C88:D88"/>
    <mergeCell ref="C89:D89"/>
    <mergeCell ref="C90:D90"/>
    <mergeCell ref="C91:D91"/>
    <mergeCell ref="C92:D92"/>
    <mergeCell ref="B94:F94"/>
    <mergeCell ref="B69:B83"/>
    <mergeCell ref="B100:F100"/>
    <mergeCell ref="G100:H100"/>
    <mergeCell ref="G95:H95"/>
    <mergeCell ref="G96:H96"/>
    <mergeCell ref="B97:F97"/>
    <mergeCell ref="G97:H97"/>
    <mergeCell ref="B98:F98"/>
    <mergeCell ref="G98:H98"/>
    <mergeCell ref="B99:F99"/>
    <mergeCell ref="G99:H99"/>
  </mergeCells>
  <conditionalFormatting sqref="B100:F100 B94:F98">
    <cfRule type="cellIs" dxfId="57" priority="1" stopIfTrue="1" operator="equal">
      <formula>"TAX PAYABLE"</formula>
    </cfRule>
    <cfRule type="cellIs" dxfId="56" priority="2" stopIfTrue="1" operator="equal">
      <formula>"TAX REFUND"</formula>
    </cfRule>
  </conditionalFormatting>
  <conditionalFormatting sqref="G100:H100">
    <cfRule type="cellIs" dxfId="55" priority="3" stopIfTrue="1" operator="greaterThan">
      <formula>0</formula>
    </cfRule>
    <cfRule type="cellIs" dxfId="54" priority="4"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5" right="0.75" top="1" bottom="1" header="0.5" footer="0.5"/>
  <pageSetup scale="54" orientation="portrait" verticalDpi="0" r:id="rId1"/>
  <headerFooter alignWithMargins="0"/>
  <rowBreaks count="1" manualBreakCount="1">
    <brk id="58" max="16383" man="1"/>
  </rowBreaks>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8"/>
  <sheetViews>
    <sheetView topLeftCell="A4" workbookViewId="0">
      <selection activeCell="C38" sqref="C38:J38"/>
    </sheetView>
  </sheetViews>
  <sheetFormatPr defaultRowHeight="12.75" x14ac:dyDescent="0.2"/>
  <cols>
    <col min="1" max="1" width="5" style="16" customWidth="1"/>
    <col min="2" max="2" width="18.85546875" style="37" customWidth="1"/>
    <col min="3" max="3" width="10.85546875" style="16" bestFit="1" customWidth="1"/>
    <col min="4" max="4" width="9.42578125" style="16" bestFit="1" customWidth="1"/>
    <col min="5" max="5" width="9.85546875" style="16" bestFit="1" customWidth="1"/>
    <col min="6" max="6" width="9.42578125" style="16" bestFit="1" customWidth="1"/>
    <col min="7" max="7" width="10.5703125" style="16" bestFit="1" customWidth="1"/>
    <col min="8" max="8" width="10.42578125" style="16" bestFit="1" customWidth="1"/>
    <col min="9" max="9" width="9.42578125" style="16" bestFit="1" customWidth="1"/>
    <col min="10" max="10" width="7.7109375" style="16" customWidth="1"/>
    <col min="11" max="11" width="9.7109375" style="16" bestFit="1" customWidth="1"/>
    <col min="12" max="12" width="9.42578125" style="16" bestFit="1" customWidth="1"/>
    <col min="13" max="13" width="9" style="16" bestFit="1" customWidth="1"/>
    <col min="14" max="14" width="9.42578125" style="16" bestFit="1" customWidth="1"/>
    <col min="15" max="15" width="9.85546875" style="16" bestFit="1"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8.85546875" style="16" customWidth="1"/>
    <col min="259" max="259" width="10.85546875" style="16" bestFit="1" customWidth="1"/>
    <col min="260" max="260" width="9.42578125" style="16" bestFit="1" customWidth="1"/>
    <col min="261" max="261" width="9.85546875" style="16" bestFit="1" customWidth="1"/>
    <col min="262" max="262" width="9.42578125" style="16" bestFit="1" customWidth="1"/>
    <col min="263" max="263" width="10.5703125" style="16" bestFit="1" customWidth="1"/>
    <col min="264" max="264" width="10.42578125" style="16" bestFit="1" customWidth="1"/>
    <col min="265" max="265" width="9.42578125" style="16" bestFit="1" customWidth="1"/>
    <col min="266" max="266" width="7.7109375" style="16" customWidth="1"/>
    <col min="267" max="267" width="9.7109375" style="16" bestFit="1" customWidth="1"/>
    <col min="268" max="268" width="9.42578125" style="16" bestFit="1" customWidth="1"/>
    <col min="269" max="269" width="9" style="16" bestFit="1" customWidth="1"/>
    <col min="270" max="270" width="9.42578125" style="16" bestFit="1" customWidth="1"/>
    <col min="271" max="271" width="9.85546875" style="16" bestFit="1"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8.85546875" style="16" customWidth="1"/>
    <col min="515" max="515" width="10.85546875" style="16" bestFit="1" customWidth="1"/>
    <col min="516" max="516" width="9.42578125" style="16" bestFit="1" customWidth="1"/>
    <col min="517" max="517" width="9.85546875" style="16" bestFit="1" customWidth="1"/>
    <col min="518" max="518" width="9.42578125" style="16" bestFit="1" customWidth="1"/>
    <col min="519" max="519" width="10.5703125" style="16" bestFit="1" customWidth="1"/>
    <col min="520" max="520" width="10.42578125" style="16" bestFit="1" customWidth="1"/>
    <col min="521" max="521" width="9.42578125" style="16" bestFit="1" customWidth="1"/>
    <col min="522" max="522" width="7.7109375" style="16" customWidth="1"/>
    <col min="523" max="523" width="9.7109375" style="16" bestFit="1" customWidth="1"/>
    <col min="524" max="524" width="9.42578125" style="16" bestFit="1" customWidth="1"/>
    <col min="525" max="525" width="9" style="16" bestFit="1" customWidth="1"/>
    <col min="526" max="526" width="9.42578125" style="16" bestFit="1" customWidth="1"/>
    <col min="527" max="527" width="9.85546875" style="16" bestFit="1"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8.85546875" style="16" customWidth="1"/>
    <col min="771" max="771" width="10.85546875" style="16" bestFit="1" customWidth="1"/>
    <col min="772" max="772" width="9.42578125" style="16" bestFit="1" customWidth="1"/>
    <col min="773" max="773" width="9.85546875" style="16" bestFit="1" customWidth="1"/>
    <col min="774" max="774" width="9.42578125" style="16" bestFit="1" customWidth="1"/>
    <col min="775" max="775" width="10.5703125" style="16" bestFit="1" customWidth="1"/>
    <col min="776" max="776" width="10.42578125" style="16" bestFit="1" customWidth="1"/>
    <col min="777" max="777" width="9.42578125" style="16" bestFit="1" customWidth="1"/>
    <col min="778" max="778" width="7.7109375" style="16" customWidth="1"/>
    <col min="779" max="779" width="9.7109375" style="16" bestFit="1" customWidth="1"/>
    <col min="780" max="780" width="9.42578125" style="16" bestFit="1" customWidth="1"/>
    <col min="781" max="781" width="9" style="16" bestFit="1" customWidth="1"/>
    <col min="782" max="782" width="9.42578125" style="16" bestFit="1" customWidth="1"/>
    <col min="783" max="783" width="9.85546875" style="16" bestFit="1"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8.85546875" style="16" customWidth="1"/>
    <col min="1027" max="1027" width="10.85546875" style="16" bestFit="1" customWidth="1"/>
    <col min="1028" max="1028" width="9.42578125" style="16" bestFit="1" customWidth="1"/>
    <col min="1029" max="1029" width="9.85546875" style="16" bestFit="1" customWidth="1"/>
    <col min="1030" max="1030" width="9.42578125" style="16" bestFit="1" customWidth="1"/>
    <col min="1031" max="1031" width="10.5703125" style="16" bestFit="1" customWidth="1"/>
    <col min="1032" max="1032" width="10.42578125" style="16" bestFit="1" customWidth="1"/>
    <col min="1033" max="1033" width="9.42578125" style="16" bestFit="1" customWidth="1"/>
    <col min="1034" max="1034" width="7.7109375" style="16" customWidth="1"/>
    <col min="1035" max="1035" width="9.7109375" style="16" bestFit="1" customWidth="1"/>
    <col min="1036" max="1036" width="9.42578125" style="16" bestFit="1" customWidth="1"/>
    <col min="1037" max="1037" width="9" style="16" bestFit="1" customWidth="1"/>
    <col min="1038" max="1038" width="9.42578125" style="16" bestFit="1" customWidth="1"/>
    <col min="1039" max="1039" width="9.85546875" style="16" bestFit="1"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8.85546875" style="16" customWidth="1"/>
    <col min="1283" max="1283" width="10.85546875" style="16" bestFit="1" customWidth="1"/>
    <col min="1284" max="1284" width="9.42578125" style="16" bestFit="1" customWidth="1"/>
    <col min="1285" max="1285" width="9.85546875" style="16" bestFit="1" customWidth="1"/>
    <col min="1286" max="1286" width="9.42578125" style="16" bestFit="1" customWidth="1"/>
    <col min="1287" max="1287" width="10.5703125" style="16" bestFit="1" customWidth="1"/>
    <col min="1288" max="1288" width="10.42578125" style="16" bestFit="1" customWidth="1"/>
    <col min="1289" max="1289" width="9.42578125" style="16" bestFit="1" customWidth="1"/>
    <col min="1290" max="1290" width="7.7109375" style="16" customWidth="1"/>
    <col min="1291" max="1291" width="9.7109375" style="16" bestFit="1" customWidth="1"/>
    <col min="1292" max="1292" width="9.42578125" style="16" bestFit="1" customWidth="1"/>
    <col min="1293" max="1293" width="9" style="16" bestFit="1" customWidth="1"/>
    <col min="1294" max="1294" width="9.42578125" style="16" bestFit="1" customWidth="1"/>
    <col min="1295" max="1295" width="9.85546875" style="16" bestFit="1"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8.85546875" style="16" customWidth="1"/>
    <col min="1539" max="1539" width="10.85546875" style="16" bestFit="1" customWidth="1"/>
    <col min="1540" max="1540" width="9.42578125" style="16" bestFit="1" customWidth="1"/>
    <col min="1541" max="1541" width="9.85546875" style="16" bestFit="1" customWidth="1"/>
    <col min="1542" max="1542" width="9.42578125" style="16" bestFit="1" customWidth="1"/>
    <col min="1543" max="1543" width="10.5703125" style="16" bestFit="1" customWidth="1"/>
    <col min="1544" max="1544" width="10.42578125" style="16" bestFit="1" customWidth="1"/>
    <col min="1545" max="1545" width="9.42578125" style="16" bestFit="1" customWidth="1"/>
    <col min="1546" max="1546" width="7.7109375" style="16" customWidth="1"/>
    <col min="1547" max="1547" width="9.7109375" style="16" bestFit="1" customWidth="1"/>
    <col min="1548" max="1548" width="9.42578125" style="16" bestFit="1" customWidth="1"/>
    <col min="1549" max="1549" width="9" style="16" bestFit="1" customWidth="1"/>
    <col min="1550" max="1550" width="9.42578125" style="16" bestFit="1" customWidth="1"/>
    <col min="1551" max="1551" width="9.85546875" style="16" bestFit="1"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8.85546875" style="16" customWidth="1"/>
    <col min="1795" max="1795" width="10.85546875" style="16" bestFit="1" customWidth="1"/>
    <col min="1796" max="1796" width="9.42578125" style="16" bestFit="1" customWidth="1"/>
    <col min="1797" max="1797" width="9.85546875" style="16" bestFit="1" customWidth="1"/>
    <col min="1798" max="1798" width="9.42578125" style="16" bestFit="1" customWidth="1"/>
    <col min="1799" max="1799" width="10.5703125" style="16" bestFit="1" customWidth="1"/>
    <col min="1800" max="1800" width="10.42578125" style="16" bestFit="1" customWidth="1"/>
    <col min="1801" max="1801" width="9.42578125" style="16" bestFit="1" customWidth="1"/>
    <col min="1802" max="1802" width="7.7109375" style="16" customWidth="1"/>
    <col min="1803" max="1803" width="9.7109375" style="16" bestFit="1" customWidth="1"/>
    <col min="1804" max="1804" width="9.42578125" style="16" bestFit="1" customWidth="1"/>
    <col min="1805" max="1805" width="9" style="16" bestFit="1" customWidth="1"/>
    <col min="1806" max="1806" width="9.42578125" style="16" bestFit="1" customWidth="1"/>
    <col min="1807" max="1807" width="9.85546875" style="16" bestFit="1"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8.85546875" style="16" customWidth="1"/>
    <col min="2051" max="2051" width="10.85546875" style="16" bestFit="1" customWidth="1"/>
    <col min="2052" max="2052" width="9.42578125" style="16" bestFit="1" customWidth="1"/>
    <col min="2053" max="2053" width="9.85546875" style="16" bestFit="1" customWidth="1"/>
    <col min="2054" max="2054" width="9.42578125" style="16" bestFit="1" customWidth="1"/>
    <col min="2055" max="2055" width="10.5703125" style="16" bestFit="1" customWidth="1"/>
    <col min="2056" max="2056" width="10.42578125" style="16" bestFit="1" customWidth="1"/>
    <col min="2057" max="2057" width="9.42578125" style="16" bestFit="1" customWidth="1"/>
    <col min="2058" max="2058" width="7.7109375" style="16" customWidth="1"/>
    <col min="2059" max="2059" width="9.7109375" style="16" bestFit="1" customWidth="1"/>
    <col min="2060" max="2060" width="9.42578125" style="16" bestFit="1" customWidth="1"/>
    <col min="2061" max="2061" width="9" style="16" bestFit="1" customWidth="1"/>
    <col min="2062" max="2062" width="9.42578125" style="16" bestFit="1" customWidth="1"/>
    <col min="2063" max="2063" width="9.85546875" style="16" bestFit="1"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8.85546875" style="16" customWidth="1"/>
    <col min="2307" max="2307" width="10.85546875" style="16" bestFit="1" customWidth="1"/>
    <col min="2308" max="2308" width="9.42578125" style="16" bestFit="1" customWidth="1"/>
    <col min="2309" max="2309" width="9.85546875" style="16" bestFit="1" customWidth="1"/>
    <col min="2310" max="2310" width="9.42578125" style="16" bestFit="1" customWidth="1"/>
    <col min="2311" max="2311" width="10.5703125" style="16" bestFit="1" customWidth="1"/>
    <col min="2312" max="2312" width="10.42578125" style="16" bestFit="1" customWidth="1"/>
    <col min="2313" max="2313" width="9.42578125" style="16" bestFit="1" customWidth="1"/>
    <col min="2314" max="2314" width="7.7109375" style="16" customWidth="1"/>
    <col min="2315" max="2315" width="9.7109375" style="16" bestFit="1" customWidth="1"/>
    <col min="2316" max="2316" width="9.42578125" style="16" bestFit="1" customWidth="1"/>
    <col min="2317" max="2317" width="9" style="16" bestFit="1" customWidth="1"/>
    <col min="2318" max="2318" width="9.42578125" style="16" bestFit="1" customWidth="1"/>
    <col min="2319" max="2319" width="9.85546875" style="16" bestFit="1"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8.85546875" style="16" customWidth="1"/>
    <col min="2563" max="2563" width="10.85546875" style="16" bestFit="1" customWidth="1"/>
    <col min="2564" max="2564" width="9.42578125" style="16" bestFit="1" customWidth="1"/>
    <col min="2565" max="2565" width="9.85546875" style="16" bestFit="1" customWidth="1"/>
    <col min="2566" max="2566" width="9.42578125" style="16" bestFit="1" customWidth="1"/>
    <col min="2567" max="2567" width="10.5703125" style="16" bestFit="1" customWidth="1"/>
    <col min="2568" max="2568" width="10.42578125" style="16" bestFit="1" customWidth="1"/>
    <col min="2569" max="2569" width="9.42578125" style="16" bestFit="1" customWidth="1"/>
    <col min="2570" max="2570" width="7.7109375" style="16" customWidth="1"/>
    <col min="2571" max="2571" width="9.7109375" style="16" bestFit="1" customWidth="1"/>
    <col min="2572" max="2572" width="9.42578125" style="16" bestFit="1" customWidth="1"/>
    <col min="2573" max="2573" width="9" style="16" bestFit="1" customWidth="1"/>
    <col min="2574" max="2574" width="9.42578125" style="16" bestFit="1" customWidth="1"/>
    <col min="2575" max="2575" width="9.85546875" style="16" bestFit="1"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8.85546875" style="16" customWidth="1"/>
    <col min="2819" max="2819" width="10.85546875" style="16" bestFit="1" customWidth="1"/>
    <col min="2820" max="2820" width="9.42578125" style="16" bestFit="1" customWidth="1"/>
    <col min="2821" max="2821" width="9.85546875" style="16" bestFit="1" customWidth="1"/>
    <col min="2822" max="2822" width="9.42578125" style="16" bestFit="1" customWidth="1"/>
    <col min="2823" max="2823" width="10.5703125" style="16" bestFit="1" customWidth="1"/>
    <col min="2824" max="2824" width="10.42578125" style="16" bestFit="1" customWidth="1"/>
    <col min="2825" max="2825" width="9.42578125" style="16" bestFit="1" customWidth="1"/>
    <col min="2826" max="2826" width="7.7109375" style="16" customWidth="1"/>
    <col min="2827" max="2827" width="9.7109375" style="16" bestFit="1" customWidth="1"/>
    <col min="2828" max="2828" width="9.42578125" style="16" bestFit="1" customWidth="1"/>
    <col min="2829" max="2829" width="9" style="16" bestFit="1" customWidth="1"/>
    <col min="2830" max="2830" width="9.42578125" style="16" bestFit="1" customWidth="1"/>
    <col min="2831" max="2831" width="9.85546875" style="16" bestFit="1"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8.85546875" style="16" customWidth="1"/>
    <col min="3075" max="3075" width="10.85546875" style="16" bestFit="1" customWidth="1"/>
    <col min="3076" max="3076" width="9.42578125" style="16" bestFit="1" customWidth="1"/>
    <col min="3077" max="3077" width="9.85546875" style="16" bestFit="1" customWidth="1"/>
    <col min="3078" max="3078" width="9.42578125" style="16" bestFit="1" customWidth="1"/>
    <col min="3079" max="3079" width="10.5703125" style="16" bestFit="1" customWidth="1"/>
    <col min="3080" max="3080" width="10.42578125" style="16" bestFit="1" customWidth="1"/>
    <col min="3081" max="3081" width="9.42578125" style="16" bestFit="1" customWidth="1"/>
    <col min="3082" max="3082" width="7.7109375" style="16" customWidth="1"/>
    <col min="3083" max="3083" width="9.7109375" style="16" bestFit="1" customWidth="1"/>
    <col min="3084" max="3084" width="9.42578125" style="16" bestFit="1" customWidth="1"/>
    <col min="3085" max="3085" width="9" style="16" bestFit="1" customWidth="1"/>
    <col min="3086" max="3086" width="9.42578125" style="16" bestFit="1" customWidth="1"/>
    <col min="3087" max="3087" width="9.85546875" style="16" bestFit="1"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8.85546875" style="16" customWidth="1"/>
    <col min="3331" max="3331" width="10.85546875" style="16" bestFit="1" customWidth="1"/>
    <col min="3332" max="3332" width="9.42578125" style="16" bestFit="1" customWidth="1"/>
    <col min="3333" max="3333" width="9.85546875" style="16" bestFit="1" customWidth="1"/>
    <col min="3334" max="3334" width="9.42578125" style="16" bestFit="1" customWidth="1"/>
    <col min="3335" max="3335" width="10.5703125" style="16" bestFit="1" customWidth="1"/>
    <col min="3336" max="3336" width="10.42578125" style="16" bestFit="1" customWidth="1"/>
    <col min="3337" max="3337" width="9.42578125" style="16" bestFit="1" customWidth="1"/>
    <col min="3338" max="3338" width="7.7109375" style="16" customWidth="1"/>
    <col min="3339" max="3339" width="9.7109375" style="16" bestFit="1" customWidth="1"/>
    <col min="3340" max="3340" width="9.42578125" style="16" bestFit="1" customWidth="1"/>
    <col min="3341" max="3341" width="9" style="16" bestFit="1" customWidth="1"/>
    <col min="3342" max="3342" width="9.42578125" style="16" bestFit="1" customWidth="1"/>
    <col min="3343" max="3343" width="9.85546875" style="16" bestFit="1"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8.85546875" style="16" customWidth="1"/>
    <col min="3587" max="3587" width="10.85546875" style="16" bestFit="1" customWidth="1"/>
    <col min="3588" max="3588" width="9.42578125" style="16" bestFit="1" customWidth="1"/>
    <col min="3589" max="3589" width="9.85546875" style="16" bestFit="1" customWidth="1"/>
    <col min="3590" max="3590" width="9.42578125" style="16" bestFit="1" customWidth="1"/>
    <col min="3591" max="3591" width="10.5703125" style="16" bestFit="1" customWidth="1"/>
    <col min="3592" max="3592" width="10.42578125" style="16" bestFit="1" customWidth="1"/>
    <col min="3593" max="3593" width="9.42578125" style="16" bestFit="1" customWidth="1"/>
    <col min="3594" max="3594" width="7.7109375" style="16" customWidth="1"/>
    <col min="3595" max="3595" width="9.7109375" style="16" bestFit="1" customWidth="1"/>
    <col min="3596" max="3596" width="9.42578125" style="16" bestFit="1" customWidth="1"/>
    <col min="3597" max="3597" width="9" style="16" bestFit="1" customWidth="1"/>
    <col min="3598" max="3598" width="9.42578125" style="16" bestFit="1" customWidth="1"/>
    <col min="3599" max="3599" width="9.85546875" style="16" bestFit="1"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8.85546875" style="16" customWidth="1"/>
    <col min="3843" max="3843" width="10.85546875" style="16" bestFit="1" customWidth="1"/>
    <col min="3844" max="3844" width="9.42578125" style="16" bestFit="1" customWidth="1"/>
    <col min="3845" max="3845" width="9.85546875" style="16" bestFit="1" customWidth="1"/>
    <col min="3846" max="3846" width="9.42578125" style="16" bestFit="1" customWidth="1"/>
    <col min="3847" max="3847" width="10.5703125" style="16" bestFit="1" customWidth="1"/>
    <col min="3848" max="3848" width="10.42578125" style="16" bestFit="1" customWidth="1"/>
    <col min="3849" max="3849" width="9.42578125" style="16" bestFit="1" customWidth="1"/>
    <col min="3850" max="3850" width="7.7109375" style="16" customWidth="1"/>
    <col min="3851" max="3851" width="9.7109375" style="16" bestFit="1" customWidth="1"/>
    <col min="3852" max="3852" width="9.42578125" style="16" bestFit="1" customWidth="1"/>
    <col min="3853" max="3853" width="9" style="16" bestFit="1" customWidth="1"/>
    <col min="3854" max="3854" width="9.42578125" style="16" bestFit="1" customWidth="1"/>
    <col min="3855" max="3855" width="9.85546875" style="16" bestFit="1"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8.85546875" style="16" customWidth="1"/>
    <col min="4099" max="4099" width="10.85546875" style="16" bestFit="1" customWidth="1"/>
    <col min="4100" max="4100" width="9.42578125" style="16" bestFit="1" customWidth="1"/>
    <col min="4101" max="4101" width="9.85546875" style="16" bestFit="1" customWidth="1"/>
    <col min="4102" max="4102" width="9.42578125" style="16" bestFit="1" customWidth="1"/>
    <col min="4103" max="4103" width="10.5703125" style="16" bestFit="1" customWidth="1"/>
    <col min="4104" max="4104" width="10.42578125" style="16" bestFit="1" customWidth="1"/>
    <col min="4105" max="4105" width="9.42578125" style="16" bestFit="1" customWidth="1"/>
    <col min="4106" max="4106" width="7.7109375" style="16" customWidth="1"/>
    <col min="4107" max="4107" width="9.7109375" style="16" bestFit="1" customWidth="1"/>
    <col min="4108" max="4108" width="9.42578125" style="16" bestFit="1" customWidth="1"/>
    <col min="4109" max="4109" width="9" style="16" bestFit="1" customWidth="1"/>
    <col min="4110" max="4110" width="9.42578125" style="16" bestFit="1" customWidth="1"/>
    <col min="4111" max="4111" width="9.85546875" style="16" bestFit="1"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8.85546875" style="16" customWidth="1"/>
    <col min="4355" max="4355" width="10.85546875" style="16" bestFit="1" customWidth="1"/>
    <col min="4356" max="4356" width="9.42578125" style="16" bestFit="1" customWidth="1"/>
    <col min="4357" max="4357" width="9.85546875" style="16" bestFit="1" customWidth="1"/>
    <col min="4358" max="4358" width="9.42578125" style="16" bestFit="1" customWidth="1"/>
    <col min="4359" max="4359" width="10.5703125" style="16" bestFit="1" customWidth="1"/>
    <col min="4360" max="4360" width="10.42578125" style="16" bestFit="1" customWidth="1"/>
    <col min="4361" max="4361" width="9.42578125" style="16" bestFit="1" customWidth="1"/>
    <col min="4362" max="4362" width="7.7109375" style="16" customWidth="1"/>
    <col min="4363" max="4363" width="9.7109375" style="16" bestFit="1" customWidth="1"/>
    <col min="4364" max="4364" width="9.42578125" style="16" bestFit="1" customWidth="1"/>
    <col min="4365" max="4365" width="9" style="16" bestFit="1" customWidth="1"/>
    <col min="4366" max="4366" width="9.42578125" style="16" bestFit="1" customWidth="1"/>
    <col min="4367" max="4367" width="9.85546875" style="16" bestFit="1"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8.85546875" style="16" customWidth="1"/>
    <col min="4611" max="4611" width="10.85546875" style="16" bestFit="1" customWidth="1"/>
    <col min="4612" max="4612" width="9.42578125" style="16" bestFit="1" customWidth="1"/>
    <col min="4613" max="4613" width="9.85546875" style="16" bestFit="1" customWidth="1"/>
    <col min="4614" max="4614" width="9.42578125" style="16" bestFit="1" customWidth="1"/>
    <col min="4615" max="4615" width="10.5703125" style="16" bestFit="1" customWidth="1"/>
    <col min="4616" max="4616" width="10.42578125" style="16" bestFit="1" customWidth="1"/>
    <col min="4617" max="4617" width="9.42578125" style="16" bestFit="1" customWidth="1"/>
    <col min="4618" max="4618" width="7.7109375" style="16" customWidth="1"/>
    <col min="4619" max="4619" width="9.7109375" style="16" bestFit="1" customWidth="1"/>
    <col min="4620" max="4620" width="9.42578125" style="16" bestFit="1" customWidth="1"/>
    <col min="4621" max="4621" width="9" style="16" bestFit="1" customWidth="1"/>
    <col min="4622" max="4622" width="9.42578125" style="16" bestFit="1" customWidth="1"/>
    <col min="4623" max="4623" width="9.85546875" style="16" bestFit="1"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8.85546875" style="16" customWidth="1"/>
    <col min="4867" max="4867" width="10.85546875" style="16" bestFit="1" customWidth="1"/>
    <col min="4868" max="4868" width="9.42578125" style="16" bestFit="1" customWidth="1"/>
    <col min="4869" max="4869" width="9.85546875" style="16" bestFit="1" customWidth="1"/>
    <col min="4870" max="4870" width="9.42578125" style="16" bestFit="1" customWidth="1"/>
    <col min="4871" max="4871" width="10.5703125" style="16" bestFit="1" customWidth="1"/>
    <col min="4872" max="4872" width="10.42578125" style="16" bestFit="1" customWidth="1"/>
    <col min="4873" max="4873" width="9.42578125" style="16" bestFit="1" customWidth="1"/>
    <col min="4874" max="4874" width="7.7109375" style="16" customWidth="1"/>
    <col min="4875" max="4875" width="9.7109375" style="16" bestFit="1" customWidth="1"/>
    <col min="4876" max="4876" width="9.42578125" style="16" bestFit="1" customWidth="1"/>
    <col min="4877" max="4877" width="9" style="16" bestFit="1" customWidth="1"/>
    <col min="4878" max="4878" width="9.42578125" style="16" bestFit="1" customWidth="1"/>
    <col min="4879" max="4879" width="9.85546875" style="16" bestFit="1"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8.85546875" style="16" customWidth="1"/>
    <col min="5123" max="5123" width="10.85546875" style="16" bestFit="1" customWidth="1"/>
    <col min="5124" max="5124" width="9.42578125" style="16" bestFit="1" customWidth="1"/>
    <col min="5125" max="5125" width="9.85546875" style="16" bestFit="1" customWidth="1"/>
    <col min="5126" max="5126" width="9.42578125" style="16" bestFit="1" customWidth="1"/>
    <col min="5127" max="5127" width="10.5703125" style="16" bestFit="1" customWidth="1"/>
    <col min="5128" max="5128" width="10.42578125" style="16" bestFit="1" customWidth="1"/>
    <col min="5129" max="5129" width="9.42578125" style="16" bestFit="1" customWidth="1"/>
    <col min="5130" max="5130" width="7.7109375" style="16" customWidth="1"/>
    <col min="5131" max="5131" width="9.7109375" style="16" bestFit="1" customWidth="1"/>
    <col min="5132" max="5132" width="9.42578125" style="16" bestFit="1" customWidth="1"/>
    <col min="5133" max="5133" width="9" style="16" bestFit="1" customWidth="1"/>
    <col min="5134" max="5134" width="9.42578125" style="16" bestFit="1" customWidth="1"/>
    <col min="5135" max="5135" width="9.85546875" style="16" bestFit="1"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8.85546875" style="16" customWidth="1"/>
    <col min="5379" max="5379" width="10.85546875" style="16" bestFit="1" customWidth="1"/>
    <col min="5380" max="5380" width="9.42578125" style="16" bestFit="1" customWidth="1"/>
    <col min="5381" max="5381" width="9.85546875" style="16" bestFit="1" customWidth="1"/>
    <col min="5382" max="5382" width="9.42578125" style="16" bestFit="1" customWidth="1"/>
    <col min="5383" max="5383" width="10.5703125" style="16" bestFit="1" customWidth="1"/>
    <col min="5384" max="5384" width="10.42578125" style="16" bestFit="1" customWidth="1"/>
    <col min="5385" max="5385" width="9.42578125" style="16" bestFit="1" customWidth="1"/>
    <col min="5386" max="5386" width="7.7109375" style="16" customWidth="1"/>
    <col min="5387" max="5387" width="9.7109375" style="16" bestFit="1" customWidth="1"/>
    <col min="5388" max="5388" width="9.42578125" style="16" bestFit="1" customWidth="1"/>
    <col min="5389" max="5389" width="9" style="16" bestFit="1" customWidth="1"/>
    <col min="5390" max="5390" width="9.42578125" style="16" bestFit="1" customWidth="1"/>
    <col min="5391" max="5391" width="9.85546875" style="16" bestFit="1"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8.85546875" style="16" customWidth="1"/>
    <col min="5635" max="5635" width="10.85546875" style="16" bestFit="1" customWidth="1"/>
    <col min="5636" max="5636" width="9.42578125" style="16" bestFit="1" customWidth="1"/>
    <col min="5637" max="5637" width="9.85546875" style="16" bestFit="1" customWidth="1"/>
    <col min="5638" max="5638" width="9.42578125" style="16" bestFit="1" customWidth="1"/>
    <col min="5639" max="5639" width="10.5703125" style="16" bestFit="1" customWidth="1"/>
    <col min="5640" max="5640" width="10.42578125" style="16" bestFit="1" customWidth="1"/>
    <col min="5641" max="5641" width="9.42578125" style="16" bestFit="1" customWidth="1"/>
    <col min="5642" max="5642" width="7.7109375" style="16" customWidth="1"/>
    <col min="5643" max="5643" width="9.7109375" style="16" bestFit="1" customWidth="1"/>
    <col min="5644" max="5644" width="9.42578125" style="16" bestFit="1" customWidth="1"/>
    <col min="5645" max="5645" width="9" style="16" bestFit="1" customWidth="1"/>
    <col min="5646" max="5646" width="9.42578125" style="16" bestFit="1" customWidth="1"/>
    <col min="5647" max="5647" width="9.85546875" style="16" bestFit="1"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8.85546875" style="16" customWidth="1"/>
    <col min="5891" max="5891" width="10.85546875" style="16" bestFit="1" customWidth="1"/>
    <col min="5892" max="5892" width="9.42578125" style="16" bestFit="1" customWidth="1"/>
    <col min="5893" max="5893" width="9.85546875" style="16" bestFit="1" customWidth="1"/>
    <col min="5894" max="5894" width="9.42578125" style="16" bestFit="1" customWidth="1"/>
    <col min="5895" max="5895" width="10.5703125" style="16" bestFit="1" customWidth="1"/>
    <col min="5896" max="5896" width="10.42578125" style="16" bestFit="1" customWidth="1"/>
    <col min="5897" max="5897" width="9.42578125" style="16" bestFit="1" customWidth="1"/>
    <col min="5898" max="5898" width="7.7109375" style="16" customWidth="1"/>
    <col min="5899" max="5899" width="9.7109375" style="16" bestFit="1" customWidth="1"/>
    <col min="5900" max="5900" width="9.42578125" style="16" bestFit="1" customWidth="1"/>
    <col min="5901" max="5901" width="9" style="16" bestFit="1" customWidth="1"/>
    <col min="5902" max="5902" width="9.42578125" style="16" bestFit="1" customWidth="1"/>
    <col min="5903" max="5903" width="9.85546875" style="16" bestFit="1"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8.85546875" style="16" customWidth="1"/>
    <col min="6147" max="6147" width="10.85546875" style="16" bestFit="1" customWidth="1"/>
    <col min="6148" max="6148" width="9.42578125" style="16" bestFit="1" customWidth="1"/>
    <col min="6149" max="6149" width="9.85546875" style="16" bestFit="1" customWidth="1"/>
    <col min="6150" max="6150" width="9.42578125" style="16" bestFit="1" customWidth="1"/>
    <col min="6151" max="6151" width="10.5703125" style="16" bestFit="1" customWidth="1"/>
    <col min="6152" max="6152" width="10.42578125" style="16" bestFit="1" customWidth="1"/>
    <col min="6153" max="6153" width="9.42578125" style="16" bestFit="1" customWidth="1"/>
    <col min="6154" max="6154" width="7.7109375" style="16" customWidth="1"/>
    <col min="6155" max="6155" width="9.7109375" style="16" bestFit="1" customWidth="1"/>
    <col min="6156" max="6156" width="9.42578125" style="16" bestFit="1" customWidth="1"/>
    <col min="6157" max="6157" width="9" style="16" bestFit="1" customWidth="1"/>
    <col min="6158" max="6158" width="9.42578125" style="16" bestFit="1" customWidth="1"/>
    <col min="6159" max="6159" width="9.85546875" style="16" bestFit="1"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8.85546875" style="16" customWidth="1"/>
    <col min="6403" max="6403" width="10.85546875" style="16" bestFit="1" customWidth="1"/>
    <col min="6404" max="6404" width="9.42578125" style="16" bestFit="1" customWidth="1"/>
    <col min="6405" max="6405" width="9.85546875" style="16" bestFit="1" customWidth="1"/>
    <col min="6406" max="6406" width="9.42578125" style="16" bestFit="1" customWidth="1"/>
    <col min="6407" max="6407" width="10.5703125" style="16" bestFit="1" customWidth="1"/>
    <col min="6408" max="6408" width="10.42578125" style="16" bestFit="1" customWidth="1"/>
    <col min="6409" max="6409" width="9.42578125" style="16" bestFit="1" customWidth="1"/>
    <col min="6410" max="6410" width="7.7109375" style="16" customWidth="1"/>
    <col min="6411" max="6411" width="9.7109375" style="16" bestFit="1" customWidth="1"/>
    <col min="6412" max="6412" width="9.42578125" style="16" bestFit="1" customWidth="1"/>
    <col min="6413" max="6413" width="9" style="16" bestFit="1" customWidth="1"/>
    <col min="6414" max="6414" width="9.42578125" style="16" bestFit="1" customWidth="1"/>
    <col min="6415" max="6415" width="9.85546875" style="16" bestFit="1"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8.85546875" style="16" customWidth="1"/>
    <col min="6659" max="6659" width="10.85546875" style="16" bestFit="1" customWidth="1"/>
    <col min="6660" max="6660" width="9.42578125" style="16" bestFit="1" customWidth="1"/>
    <col min="6661" max="6661" width="9.85546875" style="16" bestFit="1" customWidth="1"/>
    <col min="6662" max="6662" width="9.42578125" style="16" bestFit="1" customWidth="1"/>
    <col min="6663" max="6663" width="10.5703125" style="16" bestFit="1" customWidth="1"/>
    <col min="6664" max="6664" width="10.42578125" style="16" bestFit="1" customWidth="1"/>
    <col min="6665" max="6665" width="9.42578125" style="16" bestFit="1" customWidth="1"/>
    <col min="6666" max="6666" width="7.7109375" style="16" customWidth="1"/>
    <col min="6667" max="6667" width="9.7109375" style="16" bestFit="1" customWidth="1"/>
    <col min="6668" max="6668" width="9.42578125" style="16" bestFit="1" customWidth="1"/>
    <col min="6669" max="6669" width="9" style="16" bestFit="1" customWidth="1"/>
    <col min="6670" max="6670" width="9.42578125" style="16" bestFit="1" customWidth="1"/>
    <col min="6671" max="6671" width="9.85546875" style="16" bestFit="1"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8.85546875" style="16" customWidth="1"/>
    <col min="6915" max="6915" width="10.85546875" style="16" bestFit="1" customWidth="1"/>
    <col min="6916" max="6916" width="9.42578125" style="16" bestFit="1" customWidth="1"/>
    <col min="6917" max="6917" width="9.85546875" style="16" bestFit="1" customWidth="1"/>
    <col min="6918" max="6918" width="9.42578125" style="16" bestFit="1" customWidth="1"/>
    <col min="6919" max="6919" width="10.5703125" style="16" bestFit="1" customWidth="1"/>
    <col min="6920" max="6920" width="10.42578125" style="16" bestFit="1" customWidth="1"/>
    <col min="6921" max="6921" width="9.42578125" style="16" bestFit="1" customWidth="1"/>
    <col min="6922" max="6922" width="7.7109375" style="16" customWidth="1"/>
    <col min="6923" max="6923" width="9.7109375" style="16" bestFit="1" customWidth="1"/>
    <col min="6924" max="6924" width="9.42578125" style="16" bestFit="1" customWidth="1"/>
    <col min="6925" max="6925" width="9" style="16" bestFit="1" customWidth="1"/>
    <col min="6926" max="6926" width="9.42578125" style="16" bestFit="1" customWidth="1"/>
    <col min="6927" max="6927" width="9.85546875" style="16" bestFit="1"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8.85546875" style="16" customWidth="1"/>
    <col min="7171" max="7171" width="10.85546875" style="16" bestFit="1" customWidth="1"/>
    <col min="7172" max="7172" width="9.42578125" style="16" bestFit="1" customWidth="1"/>
    <col min="7173" max="7173" width="9.85546875" style="16" bestFit="1" customWidth="1"/>
    <col min="7174" max="7174" width="9.42578125" style="16" bestFit="1" customWidth="1"/>
    <col min="7175" max="7175" width="10.5703125" style="16" bestFit="1" customWidth="1"/>
    <col min="7176" max="7176" width="10.42578125" style="16" bestFit="1" customWidth="1"/>
    <col min="7177" max="7177" width="9.42578125" style="16" bestFit="1" customWidth="1"/>
    <col min="7178" max="7178" width="7.7109375" style="16" customWidth="1"/>
    <col min="7179" max="7179" width="9.7109375" style="16" bestFit="1" customWidth="1"/>
    <col min="7180" max="7180" width="9.42578125" style="16" bestFit="1" customWidth="1"/>
    <col min="7181" max="7181" width="9" style="16" bestFit="1" customWidth="1"/>
    <col min="7182" max="7182" width="9.42578125" style="16" bestFit="1" customWidth="1"/>
    <col min="7183" max="7183" width="9.85546875" style="16" bestFit="1"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8.85546875" style="16" customWidth="1"/>
    <col min="7427" max="7427" width="10.85546875" style="16" bestFit="1" customWidth="1"/>
    <col min="7428" max="7428" width="9.42578125" style="16" bestFit="1" customWidth="1"/>
    <col min="7429" max="7429" width="9.85546875" style="16" bestFit="1" customWidth="1"/>
    <col min="7430" max="7430" width="9.42578125" style="16" bestFit="1" customWidth="1"/>
    <col min="7431" max="7431" width="10.5703125" style="16" bestFit="1" customWidth="1"/>
    <col min="7432" max="7432" width="10.42578125" style="16" bestFit="1" customWidth="1"/>
    <col min="7433" max="7433" width="9.42578125" style="16" bestFit="1" customWidth="1"/>
    <col min="7434" max="7434" width="7.7109375" style="16" customWidth="1"/>
    <col min="7435" max="7435" width="9.7109375" style="16" bestFit="1" customWidth="1"/>
    <col min="7436" max="7436" width="9.42578125" style="16" bestFit="1" customWidth="1"/>
    <col min="7437" max="7437" width="9" style="16" bestFit="1" customWidth="1"/>
    <col min="7438" max="7438" width="9.42578125" style="16" bestFit="1" customWidth="1"/>
    <col min="7439" max="7439" width="9.85546875" style="16" bestFit="1"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8.85546875" style="16" customWidth="1"/>
    <col min="7683" max="7683" width="10.85546875" style="16" bestFit="1" customWidth="1"/>
    <col min="7684" max="7684" width="9.42578125" style="16" bestFit="1" customWidth="1"/>
    <col min="7685" max="7685" width="9.85546875" style="16" bestFit="1" customWidth="1"/>
    <col min="7686" max="7686" width="9.42578125" style="16" bestFit="1" customWidth="1"/>
    <col min="7687" max="7687" width="10.5703125" style="16" bestFit="1" customWidth="1"/>
    <col min="7688" max="7688" width="10.42578125" style="16" bestFit="1" customWidth="1"/>
    <col min="7689" max="7689" width="9.42578125" style="16" bestFit="1" customWidth="1"/>
    <col min="7690" max="7690" width="7.7109375" style="16" customWidth="1"/>
    <col min="7691" max="7691" width="9.7109375" style="16" bestFit="1" customWidth="1"/>
    <col min="7692" max="7692" width="9.42578125" style="16" bestFit="1" customWidth="1"/>
    <col min="7693" max="7693" width="9" style="16" bestFit="1" customWidth="1"/>
    <col min="7694" max="7694" width="9.42578125" style="16" bestFit="1" customWidth="1"/>
    <col min="7695" max="7695" width="9.85546875" style="16" bestFit="1"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8.85546875" style="16" customWidth="1"/>
    <col min="7939" max="7939" width="10.85546875" style="16" bestFit="1" customWidth="1"/>
    <col min="7940" max="7940" width="9.42578125" style="16" bestFit="1" customWidth="1"/>
    <col min="7941" max="7941" width="9.85546875" style="16" bestFit="1" customWidth="1"/>
    <col min="7942" max="7942" width="9.42578125" style="16" bestFit="1" customWidth="1"/>
    <col min="7943" max="7943" width="10.5703125" style="16" bestFit="1" customWidth="1"/>
    <col min="7944" max="7944" width="10.42578125" style="16" bestFit="1" customWidth="1"/>
    <col min="7945" max="7945" width="9.42578125" style="16" bestFit="1" customWidth="1"/>
    <col min="7946" max="7946" width="7.7109375" style="16" customWidth="1"/>
    <col min="7947" max="7947" width="9.7109375" style="16" bestFit="1" customWidth="1"/>
    <col min="7948" max="7948" width="9.42578125" style="16" bestFit="1" customWidth="1"/>
    <col min="7949" max="7949" width="9" style="16" bestFit="1" customWidth="1"/>
    <col min="7950" max="7950" width="9.42578125" style="16" bestFit="1" customWidth="1"/>
    <col min="7951" max="7951" width="9.85546875" style="16" bestFit="1"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8.85546875" style="16" customWidth="1"/>
    <col min="8195" max="8195" width="10.85546875" style="16" bestFit="1" customWidth="1"/>
    <col min="8196" max="8196" width="9.42578125" style="16" bestFit="1" customWidth="1"/>
    <col min="8197" max="8197" width="9.85546875" style="16" bestFit="1" customWidth="1"/>
    <col min="8198" max="8198" width="9.42578125" style="16" bestFit="1" customWidth="1"/>
    <col min="8199" max="8199" width="10.5703125" style="16" bestFit="1" customWidth="1"/>
    <col min="8200" max="8200" width="10.42578125" style="16" bestFit="1" customWidth="1"/>
    <col min="8201" max="8201" width="9.42578125" style="16" bestFit="1" customWidth="1"/>
    <col min="8202" max="8202" width="7.7109375" style="16" customWidth="1"/>
    <col min="8203" max="8203" width="9.7109375" style="16" bestFit="1" customWidth="1"/>
    <col min="8204" max="8204" width="9.42578125" style="16" bestFit="1" customWidth="1"/>
    <col min="8205" max="8205" width="9" style="16" bestFit="1" customWidth="1"/>
    <col min="8206" max="8206" width="9.42578125" style="16" bestFit="1" customWidth="1"/>
    <col min="8207" max="8207" width="9.85546875" style="16" bestFit="1"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8.85546875" style="16" customWidth="1"/>
    <col min="8451" max="8451" width="10.85546875" style="16" bestFit="1" customWidth="1"/>
    <col min="8452" max="8452" width="9.42578125" style="16" bestFit="1" customWidth="1"/>
    <col min="8453" max="8453" width="9.85546875" style="16" bestFit="1" customWidth="1"/>
    <col min="8454" max="8454" width="9.42578125" style="16" bestFit="1" customWidth="1"/>
    <col min="8455" max="8455" width="10.5703125" style="16" bestFit="1" customWidth="1"/>
    <col min="8456" max="8456" width="10.42578125" style="16" bestFit="1" customWidth="1"/>
    <col min="8457" max="8457" width="9.42578125" style="16" bestFit="1" customWidth="1"/>
    <col min="8458" max="8458" width="7.7109375" style="16" customWidth="1"/>
    <col min="8459" max="8459" width="9.7109375" style="16" bestFit="1" customWidth="1"/>
    <col min="8460" max="8460" width="9.42578125" style="16" bestFit="1" customWidth="1"/>
    <col min="8461" max="8461" width="9" style="16" bestFit="1" customWidth="1"/>
    <col min="8462" max="8462" width="9.42578125" style="16" bestFit="1" customWidth="1"/>
    <col min="8463" max="8463" width="9.85546875" style="16" bestFit="1"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8.85546875" style="16" customWidth="1"/>
    <col min="8707" max="8707" width="10.85546875" style="16" bestFit="1" customWidth="1"/>
    <col min="8708" max="8708" width="9.42578125" style="16" bestFit="1" customWidth="1"/>
    <col min="8709" max="8709" width="9.85546875" style="16" bestFit="1" customWidth="1"/>
    <col min="8710" max="8710" width="9.42578125" style="16" bestFit="1" customWidth="1"/>
    <col min="8711" max="8711" width="10.5703125" style="16" bestFit="1" customWidth="1"/>
    <col min="8712" max="8712" width="10.42578125" style="16" bestFit="1" customWidth="1"/>
    <col min="8713" max="8713" width="9.42578125" style="16" bestFit="1" customWidth="1"/>
    <col min="8714" max="8714" width="7.7109375" style="16" customWidth="1"/>
    <col min="8715" max="8715" width="9.7109375" style="16" bestFit="1" customWidth="1"/>
    <col min="8716" max="8716" width="9.42578125" style="16" bestFit="1" customWidth="1"/>
    <col min="8717" max="8717" width="9" style="16" bestFit="1" customWidth="1"/>
    <col min="8718" max="8718" width="9.42578125" style="16" bestFit="1" customWidth="1"/>
    <col min="8719" max="8719" width="9.85546875" style="16" bestFit="1"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8.85546875" style="16" customWidth="1"/>
    <col min="8963" max="8963" width="10.85546875" style="16" bestFit="1" customWidth="1"/>
    <col min="8964" max="8964" width="9.42578125" style="16" bestFit="1" customWidth="1"/>
    <col min="8965" max="8965" width="9.85546875" style="16" bestFit="1" customWidth="1"/>
    <col min="8966" max="8966" width="9.42578125" style="16" bestFit="1" customWidth="1"/>
    <col min="8967" max="8967" width="10.5703125" style="16" bestFit="1" customWidth="1"/>
    <col min="8968" max="8968" width="10.42578125" style="16" bestFit="1" customWidth="1"/>
    <col min="8969" max="8969" width="9.42578125" style="16" bestFit="1" customWidth="1"/>
    <col min="8970" max="8970" width="7.7109375" style="16" customWidth="1"/>
    <col min="8971" max="8971" width="9.7109375" style="16" bestFit="1" customWidth="1"/>
    <col min="8972" max="8972" width="9.42578125" style="16" bestFit="1" customWidth="1"/>
    <col min="8973" max="8973" width="9" style="16" bestFit="1" customWidth="1"/>
    <col min="8974" max="8974" width="9.42578125" style="16" bestFit="1" customWidth="1"/>
    <col min="8975" max="8975" width="9.85546875" style="16" bestFit="1"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8.85546875" style="16" customWidth="1"/>
    <col min="9219" max="9219" width="10.85546875" style="16" bestFit="1" customWidth="1"/>
    <col min="9220" max="9220" width="9.42578125" style="16" bestFit="1" customWidth="1"/>
    <col min="9221" max="9221" width="9.85546875" style="16" bestFit="1" customWidth="1"/>
    <col min="9222" max="9222" width="9.42578125" style="16" bestFit="1" customWidth="1"/>
    <col min="9223" max="9223" width="10.5703125" style="16" bestFit="1" customWidth="1"/>
    <col min="9224" max="9224" width="10.42578125" style="16" bestFit="1" customWidth="1"/>
    <col min="9225" max="9225" width="9.42578125" style="16" bestFit="1" customWidth="1"/>
    <col min="9226" max="9226" width="7.7109375" style="16" customWidth="1"/>
    <col min="9227" max="9227" width="9.7109375" style="16" bestFit="1" customWidth="1"/>
    <col min="9228" max="9228" width="9.42578125" style="16" bestFit="1" customWidth="1"/>
    <col min="9229" max="9229" width="9" style="16" bestFit="1" customWidth="1"/>
    <col min="9230" max="9230" width="9.42578125" style="16" bestFit="1" customWidth="1"/>
    <col min="9231" max="9231" width="9.85546875" style="16" bestFit="1"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8.85546875" style="16" customWidth="1"/>
    <col min="9475" max="9475" width="10.85546875" style="16" bestFit="1" customWidth="1"/>
    <col min="9476" max="9476" width="9.42578125" style="16" bestFit="1" customWidth="1"/>
    <col min="9477" max="9477" width="9.85546875" style="16" bestFit="1" customWidth="1"/>
    <col min="9478" max="9478" width="9.42578125" style="16" bestFit="1" customWidth="1"/>
    <col min="9479" max="9479" width="10.5703125" style="16" bestFit="1" customWidth="1"/>
    <col min="9480" max="9480" width="10.42578125" style="16" bestFit="1" customWidth="1"/>
    <col min="9481" max="9481" width="9.42578125" style="16" bestFit="1" customWidth="1"/>
    <col min="9482" max="9482" width="7.7109375" style="16" customWidth="1"/>
    <col min="9483" max="9483" width="9.7109375" style="16" bestFit="1" customWidth="1"/>
    <col min="9484" max="9484" width="9.42578125" style="16" bestFit="1" customWidth="1"/>
    <col min="9485" max="9485" width="9" style="16" bestFit="1" customWidth="1"/>
    <col min="9486" max="9486" width="9.42578125" style="16" bestFit="1" customWidth="1"/>
    <col min="9487" max="9487" width="9.85546875" style="16" bestFit="1"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8.85546875" style="16" customWidth="1"/>
    <col min="9731" max="9731" width="10.85546875" style="16" bestFit="1" customWidth="1"/>
    <col min="9732" max="9732" width="9.42578125" style="16" bestFit="1" customWidth="1"/>
    <col min="9733" max="9733" width="9.85546875" style="16" bestFit="1" customWidth="1"/>
    <col min="9734" max="9734" width="9.42578125" style="16" bestFit="1" customWidth="1"/>
    <col min="9735" max="9735" width="10.5703125" style="16" bestFit="1" customWidth="1"/>
    <col min="9736" max="9736" width="10.42578125" style="16" bestFit="1" customWidth="1"/>
    <col min="9737" max="9737" width="9.42578125" style="16" bestFit="1" customWidth="1"/>
    <col min="9738" max="9738" width="7.7109375" style="16" customWidth="1"/>
    <col min="9739" max="9739" width="9.7109375" style="16" bestFit="1" customWidth="1"/>
    <col min="9740" max="9740" width="9.42578125" style="16" bestFit="1" customWidth="1"/>
    <col min="9741" max="9741" width="9" style="16" bestFit="1" customWidth="1"/>
    <col min="9742" max="9742" width="9.42578125" style="16" bestFit="1" customWidth="1"/>
    <col min="9743" max="9743" width="9.85546875" style="16" bestFit="1"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8.85546875" style="16" customWidth="1"/>
    <col min="9987" max="9987" width="10.85546875" style="16" bestFit="1" customWidth="1"/>
    <col min="9988" max="9988" width="9.42578125" style="16" bestFit="1" customWidth="1"/>
    <col min="9989" max="9989" width="9.85546875" style="16" bestFit="1" customWidth="1"/>
    <col min="9990" max="9990" width="9.42578125" style="16" bestFit="1" customWidth="1"/>
    <col min="9991" max="9991" width="10.5703125" style="16" bestFit="1" customWidth="1"/>
    <col min="9992" max="9992" width="10.42578125" style="16" bestFit="1" customWidth="1"/>
    <col min="9993" max="9993" width="9.42578125" style="16" bestFit="1" customWidth="1"/>
    <col min="9994" max="9994" width="7.7109375" style="16" customWidth="1"/>
    <col min="9995" max="9995" width="9.7109375" style="16" bestFit="1" customWidth="1"/>
    <col min="9996" max="9996" width="9.42578125" style="16" bestFit="1" customWidth="1"/>
    <col min="9997" max="9997" width="9" style="16" bestFit="1" customWidth="1"/>
    <col min="9998" max="9998" width="9.42578125" style="16" bestFit="1" customWidth="1"/>
    <col min="9999" max="9999" width="9.85546875" style="16" bestFit="1"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8.85546875" style="16" customWidth="1"/>
    <col min="10243" max="10243" width="10.85546875" style="16" bestFit="1" customWidth="1"/>
    <col min="10244" max="10244" width="9.42578125" style="16" bestFit="1" customWidth="1"/>
    <col min="10245" max="10245" width="9.85546875" style="16" bestFit="1" customWidth="1"/>
    <col min="10246" max="10246" width="9.42578125" style="16" bestFit="1" customWidth="1"/>
    <col min="10247" max="10247" width="10.5703125" style="16" bestFit="1" customWidth="1"/>
    <col min="10248" max="10248" width="10.42578125" style="16" bestFit="1" customWidth="1"/>
    <col min="10249" max="10249" width="9.42578125" style="16" bestFit="1" customWidth="1"/>
    <col min="10250" max="10250" width="7.7109375" style="16" customWidth="1"/>
    <col min="10251" max="10251" width="9.7109375" style="16" bestFit="1" customWidth="1"/>
    <col min="10252" max="10252" width="9.42578125" style="16" bestFit="1" customWidth="1"/>
    <col min="10253" max="10253" width="9" style="16" bestFit="1" customWidth="1"/>
    <col min="10254" max="10254" width="9.42578125" style="16" bestFit="1" customWidth="1"/>
    <col min="10255" max="10255" width="9.85546875" style="16" bestFit="1"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8.85546875" style="16" customWidth="1"/>
    <col min="10499" max="10499" width="10.85546875" style="16" bestFit="1" customWidth="1"/>
    <col min="10500" max="10500" width="9.42578125" style="16" bestFit="1" customWidth="1"/>
    <col min="10501" max="10501" width="9.85546875" style="16" bestFit="1" customWidth="1"/>
    <col min="10502" max="10502" width="9.42578125" style="16" bestFit="1" customWidth="1"/>
    <col min="10503" max="10503" width="10.5703125" style="16" bestFit="1" customWidth="1"/>
    <col min="10504" max="10504" width="10.42578125" style="16" bestFit="1" customWidth="1"/>
    <col min="10505" max="10505" width="9.42578125" style="16" bestFit="1" customWidth="1"/>
    <col min="10506" max="10506" width="7.7109375" style="16" customWidth="1"/>
    <col min="10507" max="10507" width="9.7109375" style="16" bestFit="1" customWidth="1"/>
    <col min="10508" max="10508" width="9.42578125" style="16" bestFit="1" customWidth="1"/>
    <col min="10509" max="10509" width="9" style="16" bestFit="1" customWidth="1"/>
    <col min="10510" max="10510" width="9.42578125" style="16" bestFit="1" customWidth="1"/>
    <col min="10511" max="10511" width="9.85546875" style="16" bestFit="1"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8.85546875" style="16" customWidth="1"/>
    <col min="10755" max="10755" width="10.85546875" style="16" bestFit="1" customWidth="1"/>
    <col min="10756" max="10756" width="9.42578125" style="16" bestFit="1" customWidth="1"/>
    <col min="10757" max="10757" width="9.85546875" style="16" bestFit="1" customWidth="1"/>
    <col min="10758" max="10758" width="9.42578125" style="16" bestFit="1" customWidth="1"/>
    <col min="10759" max="10759" width="10.5703125" style="16" bestFit="1" customWidth="1"/>
    <col min="10760" max="10760" width="10.42578125" style="16" bestFit="1" customWidth="1"/>
    <col min="10761" max="10761" width="9.42578125" style="16" bestFit="1" customWidth="1"/>
    <col min="10762" max="10762" width="7.7109375" style="16" customWidth="1"/>
    <col min="10763" max="10763" width="9.7109375" style="16" bestFit="1" customWidth="1"/>
    <col min="10764" max="10764" width="9.42578125" style="16" bestFit="1" customWidth="1"/>
    <col min="10765" max="10765" width="9" style="16" bestFit="1" customWidth="1"/>
    <col min="10766" max="10766" width="9.42578125" style="16" bestFit="1" customWidth="1"/>
    <col min="10767" max="10767" width="9.85546875" style="16" bestFit="1"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8.85546875" style="16" customWidth="1"/>
    <col min="11011" max="11011" width="10.85546875" style="16" bestFit="1" customWidth="1"/>
    <col min="11012" max="11012" width="9.42578125" style="16" bestFit="1" customWidth="1"/>
    <col min="11013" max="11013" width="9.85546875" style="16" bestFit="1" customWidth="1"/>
    <col min="11014" max="11014" width="9.42578125" style="16" bestFit="1" customWidth="1"/>
    <col min="11015" max="11015" width="10.5703125" style="16" bestFit="1" customWidth="1"/>
    <col min="11016" max="11016" width="10.42578125" style="16" bestFit="1" customWidth="1"/>
    <col min="11017" max="11017" width="9.42578125" style="16" bestFit="1" customWidth="1"/>
    <col min="11018" max="11018" width="7.7109375" style="16" customWidth="1"/>
    <col min="11019" max="11019" width="9.7109375" style="16" bestFit="1" customWidth="1"/>
    <col min="11020" max="11020" width="9.42578125" style="16" bestFit="1" customWidth="1"/>
    <col min="11021" max="11021" width="9" style="16" bestFit="1" customWidth="1"/>
    <col min="11022" max="11022" width="9.42578125" style="16" bestFit="1" customWidth="1"/>
    <col min="11023" max="11023" width="9.85546875" style="16" bestFit="1"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8.85546875" style="16" customWidth="1"/>
    <col min="11267" max="11267" width="10.85546875" style="16" bestFit="1" customWidth="1"/>
    <col min="11268" max="11268" width="9.42578125" style="16" bestFit="1" customWidth="1"/>
    <col min="11269" max="11269" width="9.85546875" style="16" bestFit="1" customWidth="1"/>
    <col min="11270" max="11270" width="9.42578125" style="16" bestFit="1" customWidth="1"/>
    <col min="11271" max="11271" width="10.5703125" style="16" bestFit="1" customWidth="1"/>
    <col min="11272" max="11272" width="10.42578125" style="16" bestFit="1" customWidth="1"/>
    <col min="11273" max="11273" width="9.42578125" style="16" bestFit="1" customWidth="1"/>
    <col min="11274" max="11274" width="7.7109375" style="16" customWidth="1"/>
    <col min="11275" max="11275" width="9.7109375" style="16" bestFit="1" customWidth="1"/>
    <col min="11276" max="11276" width="9.42578125" style="16" bestFit="1" customWidth="1"/>
    <col min="11277" max="11277" width="9" style="16" bestFit="1" customWidth="1"/>
    <col min="11278" max="11278" width="9.42578125" style="16" bestFit="1" customWidth="1"/>
    <col min="11279" max="11279" width="9.85546875" style="16" bestFit="1"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8.85546875" style="16" customWidth="1"/>
    <col min="11523" max="11523" width="10.85546875" style="16" bestFit="1" customWidth="1"/>
    <col min="11524" max="11524" width="9.42578125" style="16" bestFit="1" customWidth="1"/>
    <col min="11525" max="11525" width="9.85546875" style="16" bestFit="1" customWidth="1"/>
    <col min="11526" max="11526" width="9.42578125" style="16" bestFit="1" customWidth="1"/>
    <col min="11527" max="11527" width="10.5703125" style="16" bestFit="1" customWidth="1"/>
    <col min="11528" max="11528" width="10.42578125" style="16" bestFit="1" customWidth="1"/>
    <col min="11529" max="11529" width="9.42578125" style="16" bestFit="1" customWidth="1"/>
    <col min="11530" max="11530" width="7.7109375" style="16" customWidth="1"/>
    <col min="11531" max="11531" width="9.7109375" style="16" bestFit="1" customWidth="1"/>
    <col min="11532" max="11532" width="9.42578125" style="16" bestFit="1" customWidth="1"/>
    <col min="11533" max="11533" width="9" style="16" bestFit="1" customWidth="1"/>
    <col min="11534" max="11534" width="9.42578125" style="16" bestFit="1" customWidth="1"/>
    <col min="11535" max="11535" width="9.85546875" style="16" bestFit="1"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8.85546875" style="16" customWidth="1"/>
    <col min="11779" max="11779" width="10.85546875" style="16" bestFit="1" customWidth="1"/>
    <col min="11780" max="11780" width="9.42578125" style="16" bestFit="1" customWidth="1"/>
    <col min="11781" max="11781" width="9.85546875" style="16" bestFit="1" customWidth="1"/>
    <col min="11782" max="11782" width="9.42578125" style="16" bestFit="1" customWidth="1"/>
    <col min="11783" max="11783" width="10.5703125" style="16" bestFit="1" customWidth="1"/>
    <col min="11784" max="11784" width="10.42578125" style="16" bestFit="1" customWidth="1"/>
    <col min="11785" max="11785" width="9.42578125" style="16" bestFit="1" customWidth="1"/>
    <col min="11786" max="11786" width="7.7109375" style="16" customWidth="1"/>
    <col min="11787" max="11787" width="9.7109375" style="16" bestFit="1" customWidth="1"/>
    <col min="11788" max="11788" width="9.42578125" style="16" bestFit="1" customWidth="1"/>
    <col min="11789" max="11789" width="9" style="16" bestFit="1" customWidth="1"/>
    <col min="11790" max="11790" width="9.42578125" style="16" bestFit="1" customWidth="1"/>
    <col min="11791" max="11791" width="9.85546875" style="16" bestFit="1"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8.85546875" style="16" customWidth="1"/>
    <col min="12035" max="12035" width="10.85546875" style="16" bestFit="1" customWidth="1"/>
    <col min="12036" max="12036" width="9.42578125" style="16" bestFit="1" customWidth="1"/>
    <col min="12037" max="12037" width="9.85546875" style="16" bestFit="1" customWidth="1"/>
    <col min="12038" max="12038" width="9.42578125" style="16" bestFit="1" customWidth="1"/>
    <col min="12039" max="12039" width="10.5703125" style="16" bestFit="1" customWidth="1"/>
    <col min="12040" max="12040" width="10.42578125" style="16" bestFit="1" customWidth="1"/>
    <col min="12041" max="12041" width="9.42578125" style="16" bestFit="1" customWidth="1"/>
    <col min="12042" max="12042" width="7.7109375" style="16" customWidth="1"/>
    <col min="12043" max="12043" width="9.7109375" style="16" bestFit="1" customWidth="1"/>
    <col min="12044" max="12044" width="9.42578125" style="16" bestFit="1" customWidth="1"/>
    <col min="12045" max="12045" width="9" style="16" bestFit="1" customWidth="1"/>
    <col min="12046" max="12046" width="9.42578125" style="16" bestFit="1" customWidth="1"/>
    <col min="12047" max="12047" width="9.85546875" style="16" bestFit="1"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8.85546875" style="16" customWidth="1"/>
    <col min="12291" max="12291" width="10.85546875" style="16" bestFit="1" customWidth="1"/>
    <col min="12292" max="12292" width="9.42578125" style="16" bestFit="1" customWidth="1"/>
    <col min="12293" max="12293" width="9.85546875" style="16" bestFit="1" customWidth="1"/>
    <col min="12294" max="12294" width="9.42578125" style="16" bestFit="1" customWidth="1"/>
    <col min="12295" max="12295" width="10.5703125" style="16" bestFit="1" customWidth="1"/>
    <col min="12296" max="12296" width="10.42578125" style="16" bestFit="1" customWidth="1"/>
    <col min="12297" max="12297" width="9.42578125" style="16" bestFit="1" customWidth="1"/>
    <col min="12298" max="12298" width="7.7109375" style="16" customWidth="1"/>
    <col min="12299" max="12299" width="9.7109375" style="16" bestFit="1" customWidth="1"/>
    <col min="12300" max="12300" width="9.42578125" style="16" bestFit="1" customWidth="1"/>
    <col min="12301" max="12301" width="9" style="16" bestFit="1" customWidth="1"/>
    <col min="12302" max="12302" width="9.42578125" style="16" bestFit="1" customWidth="1"/>
    <col min="12303" max="12303" width="9.85546875" style="16" bestFit="1"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8.85546875" style="16" customWidth="1"/>
    <col min="12547" max="12547" width="10.85546875" style="16" bestFit="1" customWidth="1"/>
    <col min="12548" max="12548" width="9.42578125" style="16" bestFit="1" customWidth="1"/>
    <col min="12549" max="12549" width="9.85546875" style="16" bestFit="1" customWidth="1"/>
    <col min="12550" max="12550" width="9.42578125" style="16" bestFit="1" customWidth="1"/>
    <col min="12551" max="12551" width="10.5703125" style="16" bestFit="1" customWidth="1"/>
    <col min="12552" max="12552" width="10.42578125" style="16" bestFit="1" customWidth="1"/>
    <col min="12553" max="12553" width="9.42578125" style="16" bestFit="1" customWidth="1"/>
    <col min="12554" max="12554" width="7.7109375" style="16" customWidth="1"/>
    <col min="12555" max="12555" width="9.7109375" style="16" bestFit="1" customWidth="1"/>
    <col min="12556" max="12556" width="9.42578125" style="16" bestFit="1" customWidth="1"/>
    <col min="12557" max="12557" width="9" style="16" bestFit="1" customWidth="1"/>
    <col min="12558" max="12558" width="9.42578125" style="16" bestFit="1" customWidth="1"/>
    <col min="12559" max="12559" width="9.85546875" style="16" bestFit="1"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8.85546875" style="16" customWidth="1"/>
    <col min="12803" max="12803" width="10.85546875" style="16" bestFit="1" customWidth="1"/>
    <col min="12804" max="12804" width="9.42578125" style="16" bestFit="1" customWidth="1"/>
    <col min="12805" max="12805" width="9.85546875" style="16" bestFit="1" customWidth="1"/>
    <col min="12806" max="12806" width="9.42578125" style="16" bestFit="1" customWidth="1"/>
    <col min="12807" max="12807" width="10.5703125" style="16" bestFit="1" customWidth="1"/>
    <col min="12808" max="12808" width="10.42578125" style="16" bestFit="1" customWidth="1"/>
    <col min="12809" max="12809" width="9.42578125" style="16" bestFit="1" customWidth="1"/>
    <col min="12810" max="12810" width="7.7109375" style="16" customWidth="1"/>
    <col min="12811" max="12811" width="9.7109375" style="16" bestFit="1" customWidth="1"/>
    <col min="12812" max="12812" width="9.42578125" style="16" bestFit="1" customWidth="1"/>
    <col min="12813" max="12813" width="9" style="16" bestFit="1" customWidth="1"/>
    <col min="12814" max="12814" width="9.42578125" style="16" bestFit="1" customWidth="1"/>
    <col min="12815" max="12815" width="9.85546875" style="16" bestFit="1"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8.85546875" style="16" customWidth="1"/>
    <col min="13059" max="13059" width="10.85546875" style="16" bestFit="1" customWidth="1"/>
    <col min="13060" max="13060" width="9.42578125" style="16" bestFit="1" customWidth="1"/>
    <col min="13061" max="13061" width="9.85546875" style="16" bestFit="1" customWidth="1"/>
    <col min="13062" max="13062" width="9.42578125" style="16" bestFit="1" customWidth="1"/>
    <col min="13063" max="13063" width="10.5703125" style="16" bestFit="1" customWidth="1"/>
    <col min="13064" max="13064" width="10.42578125" style="16" bestFit="1" customWidth="1"/>
    <col min="13065" max="13065" width="9.42578125" style="16" bestFit="1" customWidth="1"/>
    <col min="13066" max="13066" width="7.7109375" style="16" customWidth="1"/>
    <col min="13067" max="13067" width="9.7109375" style="16" bestFit="1" customWidth="1"/>
    <col min="13068" max="13068" width="9.42578125" style="16" bestFit="1" customWidth="1"/>
    <col min="13069" max="13069" width="9" style="16" bestFit="1" customWidth="1"/>
    <col min="13070" max="13070" width="9.42578125" style="16" bestFit="1" customWidth="1"/>
    <col min="13071" max="13071" width="9.85546875" style="16" bestFit="1"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8.85546875" style="16" customWidth="1"/>
    <col min="13315" max="13315" width="10.85546875" style="16" bestFit="1" customWidth="1"/>
    <col min="13316" max="13316" width="9.42578125" style="16" bestFit="1" customWidth="1"/>
    <col min="13317" max="13317" width="9.85546875" style="16" bestFit="1" customWidth="1"/>
    <col min="13318" max="13318" width="9.42578125" style="16" bestFit="1" customWidth="1"/>
    <col min="13319" max="13319" width="10.5703125" style="16" bestFit="1" customWidth="1"/>
    <col min="13320" max="13320" width="10.42578125" style="16" bestFit="1" customWidth="1"/>
    <col min="13321" max="13321" width="9.42578125" style="16" bestFit="1" customWidth="1"/>
    <col min="13322" max="13322" width="7.7109375" style="16" customWidth="1"/>
    <col min="13323" max="13323" width="9.7109375" style="16" bestFit="1" customWidth="1"/>
    <col min="13324" max="13324" width="9.42578125" style="16" bestFit="1" customWidth="1"/>
    <col min="13325" max="13325" width="9" style="16" bestFit="1" customWidth="1"/>
    <col min="13326" max="13326" width="9.42578125" style="16" bestFit="1" customWidth="1"/>
    <col min="13327" max="13327" width="9.85546875" style="16" bestFit="1"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8.85546875" style="16" customWidth="1"/>
    <col min="13571" max="13571" width="10.85546875" style="16" bestFit="1" customWidth="1"/>
    <col min="13572" max="13572" width="9.42578125" style="16" bestFit="1" customWidth="1"/>
    <col min="13573" max="13573" width="9.85546875" style="16" bestFit="1" customWidth="1"/>
    <col min="13574" max="13574" width="9.42578125" style="16" bestFit="1" customWidth="1"/>
    <col min="13575" max="13575" width="10.5703125" style="16" bestFit="1" customWidth="1"/>
    <col min="13576" max="13576" width="10.42578125" style="16" bestFit="1" customWidth="1"/>
    <col min="13577" max="13577" width="9.42578125" style="16" bestFit="1" customWidth="1"/>
    <col min="13578" max="13578" width="7.7109375" style="16" customWidth="1"/>
    <col min="13579" max="13579" width="9.7109375" style="16" bestFit="1" customWidth="1"/>
    <col min="13580" max="13580" width="9.42578125" style="16" bestFit="1" customWidth="1"/>
    <col min="13581" max="13581" width="9" style="16" bestFit="1" customWidth="1"/>
    <col min="13582" max="13582" width="9.42578125" style="16" bestFit="1" customWidth="1"/>
    <col min="13583" max="13583" width="9.85546875" style="16" bestFit="1"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8.85546875" style="16" customWidth="1"/>
    <col min="13827" max="13827" width="10.85546875" style="16" bestFit="1" customWidth="1"/>
    <col min="13828" max="13828" width="9.42578125" style="16" bestFit="1" customWidth="1"/>
    <col min="13829" max="13829" width="9.85546875" style="16" bestFit="1" customWidth="1"/>
    <col min="13830" max="13830" width="9.42578125" style="16" bestFit="1" customWidth="1"/>
    <col min="13831" max="13831" width="10.5703125" style="16" bestFit="1" customWidth="1"/>
    <col min="13832" max="13832" width="10.42578125" style="16" bestFit="1" customWidth="1"/>
    <col min="13833" max="13833" width="9.42578125" style="16" bestFit="1" customWidth="1"/>
    <col min="13834" max="13834" width="7.7109375" style="16" customWidth="1"/>
    <col min="13835" max="13835" width="9.7109375" style="16" bestFit="1" customWidth="1"/>
    <col min="13836" max="13836" width="9.42578125" style="16" bestFit="1" customWidth="1"/>
    <col min="13837" max="13837" width="9" style="16" bestFit="1" customWidth="1"/>
    <col min="13838" max="13838" width="9.42578125" style="16" bestFit="1" customWidth="1"/>
    <col min="13839" max="13839" width="9.85546875" style="16" bestFit="1"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8.85546875" style="16" customWidth="1"/>
    <col min="14083" max="14083" width="10.85546875" style="16" bestFit="1" customWidth="1"/>
    <col min="14084" max="14084" width="9.42578125" style="16" bestFit="1" customWidth="1"/>
    <col min="14085" max="14085" width="9.85546875" style="16" bestFit="1" customWidth="1"/>
    <col min="14086" max="14086" width="9.42578125" style="16" bestFit="1" customWidth="1"/>
    <col min="14087" max="14087" width="10.5703125" style="16" bestFit="1" customWidth="1"/>
    <col min="14088" max="14088" width="10.42578125" style="16" bestFit="1" customWidth="1"/>
    <col min="14089" max="14089" width="9.42578125" style="16" bestFit="1" customWidth="1"/>
    <col min="14090" max="14090" width="7.7109375" style="16" customWidth="1"/>
    <col min="14091" max="14091" width="9.7109375" style="16" bestFit="1" customWidth="1"/>
    <col min="14092" max="14092" width="9.42578125" style="16" bestFit="1" customWidth="1"/>
    <col min="14093" max="14093" width="9" style="16" bestFit="1" customWidth="1"/>
    <col min="14094" max="14094" width="9.42578125" style="16" bestFit="1" customWidth="1"/>
    <col min="14095" max="14095" width="9.85546875" style="16" bestFit="1"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8.85546875" style="16" customWidth="1"/>
    <col min="14339" max="14339" width="10.85546875" style="16" bestFit="1" customWidth="1"/>
    <col min="14340" max="14340" width="9.42578125" style="16" bestFit="1" customWidth="1"/>
    <col min="14341" max="14341" width="9.85546875" style="16" bestFit="1" customWidth="1"/>
    <col min="14342" max="14342" width="9.42578125" style="16" bestFit="1" customWidth="1"/>
    <col min="14343" max="14343" width="10.5703125" style="16" bestFit="1" customWidth="1"/>
    <col min="14344" max="14344" width="10.42578125" style="16" bestFit="1" customWidth="1"/>
    <col min="14345" max="14345" width="9.42578125" style="16" bestFit="1" customWidth="1"/>
    <col min="14346" max="14346" width="7.7109375" style="16" customWidth="1"/>
    <col min="14347" max="14347" width="9.7109375" style="16" bestFit="1" customWidth="1"/>
    <col min="14348" max="14348" width="9.42578125" style="16" bestFit="1" customWidth="1"/>
    <col min="14349" max="14349" width="9" style="16" bestFit="1" customWidth="1"/>
    <col min="14350" max="14350" width="9.42578125" style="16" bestFit="1" customWidth="1"/>
    <col min="14351" max="14351" width="9.85546875" style="16" bestFit="1"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8.85546875" style="16" customWidth="1"/>
    <col min="14595" max="14595" width="10.85546875" style="16" bestFit="1" customWidth="1"/>
    <col min="14596" max="14596" width="9.42578125" style="16" bestFit="1" customWidth="1"/>
    <col min="14597" max="14597" width="9.85546875" style="16" bestFit="1" customWidth="1"/>
    <col min="14598" max="14598" width="9.42578125" style="16" bestFit="1" customWidth="1"/>
    <col min="14599" max="14599" width="10.5703125" style="16" bestFit="1" customWidth="1"/>
    <col min="14600" max="14600" width="10.42578125" style="16" bestFit="1" customWidth="1"/>
    <col min="14601" max="14601" width="9.42578125" style="16" bestFit="1" customWidth="1"/>
    <col min="14602" max="14602" width="7.7109375" style="16" customWidth="1"/>
    <col min="14603" max="14603" width="9.7109375" style="16" bestFit="1" customWidth="1"/>
    <col min="14604" max="14604" width="9.42578125" style="16" bestFit="1" customWidth="1"/>
    <col min="14605" max="14605" width="9" style="16" bestFit="1" customWidth="1"/>
    <col min="14606" max="14606" width="9.42578125" style="16" bestFit="1" customWidth="1"/>
    <col min="14607" max="14607" width="9.85546875" style="16" bestFit="1"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8.85546875" style="16" customWidth="1"/>
    <col min="14851" max="14851" width="10.85546875" style="16" bestFit="1" customWidth="1"/>
    <col min="14852" max="14852" width="9.42578125" style="16" bestFit="1" customWidth="1"/>
    <col min="14853" max="14853" width="9.85546875" style="16" bestFit="1" customWidth="1"/>
    <col min="14854" max="14854" width="9.42578125" style="16" bestFit="1" customWidth="1"/>
    <col min="14855" max="14855" width="10.5703125" style="16" bestFit="1" customWidth="1"/>
    <col min="14856" max="14856" width="10.42578125" style="16" bestFit="1" customWidth="1"/>
    <col min="14857" max="14857" width="9.42578125" style="16" bestFit="1" customWidth="1"/>
    <col min="14858" max="14858" width="7.7109375" style="16" customWidth="1"/>
    <col min="14859" max="14859" width="9.7109375" style="16" bestFit="1" customWidth="1"/>
    <col min="14860" max="14860" width="9.42578125" style="16" bestFit="1" customWidth="1"/>
    <col min="14861" max="14861" width="9" style="16" bestFit="1" customWidth="1"/>
    <col min="14862" max="14862" width="9.42578125" style="16" bestFit="1" customWidth="1"/>
    <col min="14863" max="14863" width="9.85546875" style="16" bestFit="1"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8.85546875" style="16" customWidth="1"/>
    <col min="15107" max="15107" width="10.85546875" style="16" bestFit="1" customWidth="1"/>
    <col min="15108" max="15108" width="9.42578125" style="16" bestFit="1" customWidth="1"/>
    <col min="15109" max="15109" width="9.85546875" style="16" bestFit="1" customWidth="1"/>
    <col min="15110" max="15110" width="9.42578125" style="16" bestFit="1" customWidth="1"/>
    <col min="15111" max="15111" width="10.5703125" style="16" bestFit="1" customWidth="1"/>
    <col min="15112" max="15112" width="10.42578125" style="16" bestFit="1" customWidth="1"/>
    <col min="15113" max="15113" width="9.42578125" style="16" bestFit="1" customWidth="1"/>
    <col min="15114" max="15114" width="7.7109375" style="16" customWidth="1"/>
    <col min="15115" max="15115" width="9.7109375" style="16" bestFit="1" customWidth="1"/>
    <col min="15116" max="15116" width="9.42578125" style="16" bestFit="1" customWidth="1"/>
    <col min="15117" max="15117" width="9" style="16" bestFit="1" customWidth="1"/>
    <col min="15118" max="15118" width="9.42578125" style="16" bestFit="1" customWidth="1"/>
    <col min="15119" max="15119" width="9.85546875" style="16" bestFit="1"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8.85546875" style="16" customWidth="1"/>
    <col min="15363" max="15363" width="10.85546875" style="16" bestFit="1" customWidth="1"/>
    <col min="15364" max="15364" width="9.42578125" style="16" bestFit="1" customWidth="1"/>
    <col min="15365" max="15365" width="9.85546875" style="16" bestFit="1" customWidth="1"/>
    <col min="15366" max="15366" width="9.42578125" style="16" bestFit="1" customWidth="1"/>
    <col min="15367" max="15367" width="10.5703125" style="16" bestFit="1" customWidth="1"/>
    <col min="15368" max="15368" width="10.42578125" style="16" bestFit="1" customWidth="1"/>
    <col min="15369" max="15369" width="9.42578125" style="16" bestFit="1" customWidth="1"/>
    <col min="15370" max="15370" width="7.7109375" style="16" customWidth="1"/>
    <col min="15371" max="15371" width="9.7109375" style="16" bestFit="1" customWidth="1"/>
    <col min="15372" max="15372" width="9.42578125" style="16" bestFit="1" customWidth="1"/>
    <col min="15373" max="15373" width="9" style="16" bestFit="1" customWidth="1"/>
    <col min="15374" max="15374" width="9.42578125" style="16" bestFit="1" customWidth="1"/>
    <col min="15375" max="15375" width="9.85546875" style="16" bestFit="1"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8.85546875" style="16" customWidth="1"/>
    <col min="15619" max="15619" width="10.85546875" style="16" bestFit="1" customWidth="1"/>
    <col min="15620" max="15620" width="9.42578125" style="16" bestFit="1" customWidth="1"/>
    <col min="15621" max="15621" width="9.85546875" style="16" bestFit="1" customWidth="1"/>
    <col min="15622" max="15622" width="9.42578125" style="16" bestFit="1" customWidth="1"/>
    <col min="15623" max="15623" width="10.5703125" style="16" bestFit="1" customWidth="1"/>
    <col min="15624" max="15624" width="10.42578125" style="16" bestFit="1" customWidth="1"/>
    <col min="15625" max="15625" width="9.42578125" style="16" bestFit="1" customWidth="1"/>
    <col min="15626" max="15626" width="7.7109375" style="16" customWidth="1"/>
    <col min="15627" max="15627" width="9.7109375" style="16" bestFit="1" customWidth="1"/>
    <col min="15628" max="15628" width="9.42578125" style="16" bestFit="1" customWidth="1"/>
    <col min="15629" max="15629" width="9" style="16" bestFit="1" customWidth="1"/>
    <col min="15630" max="15630" width="9.42578125" style="16" bestFit="1" customWidth="1"/>
    <col min="15631" max="15631" width="9.85546875" style="16" bestFit="1"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8.85546875" style="16" customWidth="1"/>
    <col min="15875" max="15875" width="10.85546875" style="16" bestFit="1" customWidth="1"/>
    <col min="15876" max="15876" width="9.42578125" style="16" bestFit="1" customWidth="1"/>
    <col min="15877" max="15877" width="9.85546875" style="16" bestFit="1" customWidth="1"/>
    <col min="15878" max="15878" width="9.42578125" style="16" bestFit="1" customWidth="1"/>
    <col min="15879" max="15879" width="10.5703125" style="16" bestFit="1" customWidth="1"/>
    <col min="15880" max="15880" width="10.42578125" style="16" bestFit="1" customWidth="1"/>
    <col min="15881" max="15881" width="9.42578125" style="16" bestFit="1" customWidth="1"/>
    <col min="15882" max="15882" width="7.7109375" style="16" customWidth="1"/>
    <col min="15883" max="15883" width="9.7109375" style="16" bestFit="1" customWidth="1"/>
    <col min="15884" max="15884" width="9.42578125" style="16" bestFit="1" customWidth="1"/>
    <col min="15885" max="15885" width="9" style="16" bestFit="1" customWidth="1"/>
    <col min="15886" max="15886" width="9.42578125" style="16" bestFit="1" customWidth="1"/>
    <col min="15887" max="15887" width="9.85546875" style="16" bestFit="1"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8.85546875" style="16" customWidth="1"/>
    <col min="16131" max="16131" width="10.85546875" style="16" bestFit="1" customWidth="1"/>
    <col min="16132" max="16132" width="9.42578125" style="16" bestFit="1" customWidth="1"/>
    <col min="16133" max="16133" width="9.85546875" style="16" bestFit="1" customWidth="1"/>
    <col min="16134" max="16134" width="9.42578125" style="16" bestFit="1" customWidth="1"/>
    <col min="16135" max="16135" width="10.5703125" style="16" bestFit="1" customWidth="1"/>
    <col min="16136" max="16136" width="10.42578125" style="16" bestFit="1" customWidth="1"/>
    <col min="16137" max="16137" width="9.42578125" style="16" bestFit="1" customWidth="1"/>
    <col min="16138" max="16138" width="7.7109375" style="16" customWidth="1"/>
    <col min="16139" max="16139" width="9.7109375" style="16" bestFit="1" customWidth="1"/>
    <col min="16140" max="16140" width="9.42578125" style="16" bestFit="1" customWidth="1"/>
    <col min="16141" max="16141" width="9" style="16" bestFit="1" customWidth="1"/>
    <col min="16142" max="16142" width="9.42578125" style="16" bestFit="1" customWidth="1"/>
    <col min="16143" max="16143" width="9.85546875" style="16" bestFit="1"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67" t="s">
        <v>100</v>
      </c>
      <c r="B1" s="868"/>
      <c r="C1" s="868"/>
      <c r="D1" s="892">
        <v>277</v>
      </c>
      <c r="E1" s="868"/>
      <c r="F1" s="868"/>
      <c r="G1" s="867" t="s">
        <v>102</v>
      </c>
      <c r="H1" s="869"/>
      <c r="I1" s="869" t="s">
        <v>549</v>
      </c>
      <c r="J1" s="868"/>
      <c r="K1" s="868"/>
      <c r="L1" s="870"/>
      <c r="M1" s="870"/>
      <c r="N1" s="870"/>
      <c r="O1" s="870"/>
    </row>
    <row r="2" spans="1:15" s="1" customFormat="1" x14ac:dyDescent="0.2">
      <c r="A2" s="867" t="s">
        <v>103</v>
      </c>
      <c r="B2" s="868"/>
      <c r="C2" s="868"/>
      <c r="D2" s="869"/>
      <c r="E2" s="868"/>
      <c r="F2" s="868"/>
      <c r="G2" s="867" t="s">
        <v>104</v>
      </c>
      <c r="H2" s="869"/>
      <c r="I2" s="869" t="s">
        <v>105</v>
      </c>
      <c r="J2" s="868"/>
      <c r="K2" s="868"/>
      <c r="L2" s="870"/>
      <c r="M2" s="870"/>
      <c r="N2" s="870"/>
      <c r="O2" s="870"/>
    </row>
    <row r="3" spans="1:15" s="1" customFormat="1" x14ac:dyDescent="0.2">
      <c r="A3" s="867" t="s">
        <v>106</v>
      </c>
      <c r="B3" s="868"/>
      <c r="C3" s="868"/>
      <c r="D3" s="890"/>
      <c r="E3" s="891"/>
      <c r="F3" s="891"/>
      <c r="G3" s="867" t="s">
        <v>107</v>
      </c>
      <c r="H3" s="869"/>
      <c r="I3" s="869" t="s">
        <v>108</v>
      </c>
      <c r="J3" s="868"/>
      <c r="K3" s="868"/>
      <c r="L3" s="870"/>
      <c r="M3" s="870"/>
      <c r="N3" s="870"/>
      <c r="O3" s="870"/>
    </row>
    <row r="4" spans="1:15" s="1" customFormat="1" x14ac:dyDescent="0.2">
      <c r="A4" s="867" t="s">
        <v>109</v>
      </c>
      <c r="B4" s="868"/>
      <c r="C4" s="868"/>
      <c r="D4" s="869"/>
      <c r="E4" s="868"/>
      <c r="F4" s="868"/>
      <c r="G4" s="867" t="s">
        <v>110</v>
      </c>
      <c r="H4" s="869"/>
      <c r="I4" s="869" t="s">
        <v>486</v>
      </c>
      <c r="J4" s="868"/>
      <c r="K4" s="868"/>
      <c r="L4" s="870"/>
      <c r="M4" s="870"/>
      <c r="N4" s="870"/>
      <c r="O4" s="870"/>
    </row>
    <row r="5" spans="1:15" s="1" customFormat="1" x14ac:dyDescent="0.2">
      <c r="A5" s="867" t="s">
        <v>112</v>
      </c>
      <c r="B5" s="868"/>
      <c r="C5" s="868"/>
      <c r="D5" s="869"/>
      <c r="E5" s="868"/>
      <c r="F5" s="868"/>
      <c r="G5" s="867"/>
      <c r="H5" s="868"/>
      <c r="I5" s="869" t="s">
        <v>113</v>
      </c>
      <c r="J5" s="868"/>
      <c r="K5" s="868"/>
      <c r="L5" s="870"/>
      <c r="M5" s="870"/>
      <c r="N5" s="870"/>
      <c r="O5" s="870"/>
    </row>
    <row r="6" spans="1:15" s="1" customFormat="1" x14ac:dyDescent="0.2">
      <c r="A6" s="871" t="s">
        <v>114</v>
      </c>
      <c r="B6" s="872"/>
      <c r="C6" s="872"/>
      <c r="D6" s="868" t="s">
        <v>1522</v>
      </c>
      <c r="E6" s="868"/>
      <c r="F6" s="868"/>
      <c r="G6" s="871" t="s">
        <v>115</v>
      </c>
      <c r="H6" s="871"/>
      <c r="I6" s="2" t="s">
        <v>116</v>
      </c>
      <c r="J6" s="888"/>
      <c r="K6" s="888"/>
      <c r="L6" s="888"/>
      <c r="M6" s="888"/>
      <c r="N6" s="888"/>
      <c r="O6" s="889"/>
    </row>
    <row r="7" spans="1:15" s="1" customFormat="1" ht="13.5" thickBot="1" x14ac:dyDescent="0.25">
      <c r="A7" s="3"/>
      <c r="B7" s="4"/>
      <c r="C7" s="5"/>
      <c r="D7" s="6"/>
      <c r="E7" s="6"/>
      <c r="F7" s="6"/>
      <c r="G7" s="6"/>
      <c r="H7" s="6"/>
      <c r="I7" s="6"/>
      <c r="J7" s="7"/>
      <c r="K7" s="8"/>
      <c r="L7" s="875"/>
      <c r="M7" s="875"/>
      <c r="N7" s="875"/>
      <c r="O7" s="875"/>
    </row>
    <row r="8" spans="1:15" s="11" customFormat="1" x14ac:dyDescent="0.2">
      <c r="A8" s="876" t="str">
        <f>I1</f>
        <v>Mr. R.C. DESAI</v>
      </c>
      <c r="B8" s="877"/>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107500</v>
      </c>
      <c r="D9" s="14">
        <v>107500</v>
      </c>
      <c r="E9" s="14">
        <v>107500</v>
      </c>
      <c r="F9" s="14">
        <v>107500</v>
      </c>
      <c r="G9" s="14">
        <v>110700</v>
      </c>
      <c r="H9" s="14">
        <v>110700</v>
      </c>
      <c r="I9" s="14">
        <v>110700</v>
      </c>
      <c r="J9" s="14">
        <v>110700</v>
      </c>
      <c r="K9" s="14">
        <v>110700</v>
      </c>
      <c r="L9" s="14">
        <v>110700</v>
      </c>
      <c r="M9" s="14">
        <v>110700</v>
      </c>
      <c r="N9" s="14">
        <v>110700</v>
      </c>
      <c r="O9" s="15">
        <f t="shared" ref="O9:O50" si="0">SUM(C9:N9)</f>
        <v>1315600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 t="shared" si="0"/>
        <v>0</v>
      </c>
    </row>
    <row r="11" spans="1:15" ht="15" x14ac:dyDescent="0.2">
      <c r="A11" s="12"/>
      <c r="B11" s="13" t="s">
        <v>120</v>
      </c>
      <c r="C11" s="17">
        <v>5375</v>
      </c>
      <c r="D11" s="17">
        <v>6450</v>
      </c>
      <c r="E11" s="17">
        <v>6450</v>
      </c>
      <c r="F11" s="17">
        <v>6450</v>
      </c>
      <c r="G11" s="17">
        <v>7749</v>
      </c>
      <c r="H11" s="17">
        <v>9963</v>
      </c>
      <c r="I11" s="17">
        <v>9963</v>
      </c>
      <c r="J11" s="17">
        <v>9963</v>
      </c>
      <c r="K11" s="17">
        <v>9963</v>
      </c>
      <c r="L11" s="17">
        <v>9963</v>
      </c>
      <c r="M11" s="17">
        <v>9963</v>
      </c>
      <c r="N11" s="17">
        <v>9432</v>
      </c>
      <c r="O11" s="18">
        <f t="shared" si="0"/>
        <v>101684</v>
      </c>
    </row>
    <row r="12" spans="1:15"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 t="shared" si="0"/>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si="0"/>
        <v>0</v>
      </c>
    </row>
    <row r="14" spans="1:15" ht="16.5" customHeight="1" x14ac:dyDescent="0.2">
      <c r="A14" s="12"/>
      <c r="B14" s="13" t="s">
        <v>123</v>
      </c>
      <c r="C14" s="17">
        <v>3780</v>
      </c>
      <c r="D14" s="17">
        <v>3780</v>
      </c>
      <c r="E14" s="17">
        <v>3780</v>
      </c>
      <c r="F14" s="17">
        <v>3780</v>
      </c>
      <c r="G14" s="17">
        <v>3852</v>
      </c>
      <c r="H14" s="17">
        <v>7848</v>
      </c>
      <c r="I14" s="17">
        <v>7848</v>
      </c>
      <c r="J14" s="17">
        <v>7848</v>
      </c>
      <c r="K14" s="17">
        <v>7848</v>
      </c>
      <c r="L14" s="17">
        <v>7848</v>
      </c>
      <c r="M14" s="17">
        <v>7848</v>
      </c>
      <c r="N14" s="17">
        <v>7848</v>
      </c>
      <c r="O14" s="18">
        <f t="shared" si="0"/>
        <v>73908</v>
      </c>
    </row>
    <row r="15" spans="1:15" ht="15" customHeight="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6.5" hidden="1" customHeight="1"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row>
    <row r="17" spans="1:15" ht="15.75" hidden="1" customHeight="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127</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8600</v>
      </c>
      <c r="D19" s="17">
        <v>8600</v>
      </c>
      <c r="E19" s="17">
        <v>8600</v>
      </c>
      <c r="F19" s="17">
        <v>8600</v>
      </c>
      <c r="G19" s="17">
        <v>8856</v>
      </c>
      <c r="H19" s="17">
        <v>26568</v>
      </c>
      <c r="I19" s="17">
        <v>26568</v>
      </c>
      <c r="J19" s="17">
        <v>26568</v>
      </c>
      <c r="K19" s="17">
        <v>26568</v>
      </c>
      <c r="L19" s="17">
        <v>26568</v>
      </c>
      <c r="M19" s="17">
        <v>0</v>
      </c>
      <c r="N19" s="17">
        <v>0</v>
      </c>
      <c r="O19" s="18">
        <f t="shared" si="0"/>
        <v>176096</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customHeight="1" x14ac:dyDescent="0.2">
      <c r="A21" s="878"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79"/>
      <c r="B22" s="19" t="s">
        <v>132</v>
      </c>
      <c r="C22" s="17">
        <v>0</v>
      </c>
      <c r="D22" s="17">
        <v>0</v>
      </c>
      <c r="E22" s="17">
        <v>0</v>
      </c>
      <c r="F22" s="17">
        <v>0</v>
      </c>
      <c r="G22" s="17">
        <v>0</v>
      </c>
      <c r="H22" s="17">
        <v>0</v>
      </c>
      <c r="I22" s="17">
        <v>0</v>
      </c>
      <c r="J22" s="17">
        <v>0</v>
      </c>
      <c r="K22" s="17">
        <v>0</v>
      </c>
      <c r="L22" s="17">
        <v>0</v>
      </c>
      <c r="M22" s="17">
        <v>0</v>
      </c>
      <c r="N22" s="17">
        <v>0</v>
      </c>
      <c r="O22" s="18">
        <f t="shared" si="0"/>
        <v>0</v>
      </c>
    </row>
    <row r="23" spans="1:15" ht="15" hidden="1" customHeight="1" x14ac:dyDescent="0.2">
      <c r="A23" s="879"/>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79"/>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79"/>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79"/>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79"/>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79"/>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79"/>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79"/>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customHeight="1" x14ac:dyDescent="0.2">
      <c r="A31" s="879"/>
      <c r="B31" s="20" t="s">
        <v>141</v>
      </c>
      <c r="C31" s="17">
        <v>0</v>
      </c>
      <c r="D31" s="17">
        <v>0</v>
      </c>
      <c r="E31" s="17">
        <v>0</v>
      </c>
      <c r="F31" s="17">
        <v>0</v>
      </c>
      <c r="G31" s="17">
        <v>0</v>
      </c>
      <c r="H31" s="17">
        <v>0</v>
      </c>
      <c r="I31" s="17">
        <v>0</v>
      </c>
      <c r="J31" s="17">
        <v>0</v>
      </c>
      <c r="K31" s="17">
        <v>0</v>
      </c>
      <c r="L31" s="17">
        <v>0</v>
      </c>
      <c r="M31" s="17">
        <v>40221</v>
      </c>
      <c r="N31" s="17">
        <v>0</v>
      </c>
      <c r="O31" s="18">
        <f t="shared" si="0"/>
        <v>40221</v>
      </c>
    </row>
    <row r="32" spans="1:15" ht="15" customHeight="1" x14ac:dyDescent="0.2">
      <c r="A32" s="879"/>
      <c r="B32" s="21" t="s">
        <v>142</v>
      </c>
      <c r="C32" s="17">
        <v>0</v>
      </c>
      <c r="D32" s="17">
        <v>0</v>
      </c>
      <c r="E32" s="17">
        <v>0</v>
      </c>
      <c r="F32" s="17">
        <v>0</v>
      </c>
      <c r="G32" s="17">
        <v>0</v>
      </c>
      <c r="H32" s="17">
        <v>0</v>
      </c>
      <c r="I32" s="17">
        <v>0</v>
      </c>
      <c r="J32" s="17">
        <v>0</v>
      </c>
      <c r="K32" s="17">
        <v>0</v>
      </c>
      <c r="L32" s="17">
        <v>0</v>
      </c>
      <c r="M32" s="17">
        <v>0</v>
      </c>
      <c r="N32" s="17">
        <v>0</v>
      </c>
      <c r="O32" s="18">
        <f t="shared" si="0"/>
        <v>0</v>
      </c>
    </row>
    <row r="33" spans="1:17" ht="15" customHeight="1" x14ac:dyDescent="0.2">
      <c r="A33" s="880"/>
      <c r="B33" s="19" t="s">
        <v>143</v>
      </c>
      <c r="C33" s="17">
        <v>0</v>
      </c>
      <c r="D33" s="17">
        <v>0</v>
      </c>
      <c r="E33" s="17">
        <v>0</v>
      </c>
      <c r="F33" s="17">
        <v>0</v>
      </c>
      <c r="G33" s="17">
        <v>0</v>
      </c>
      <c r="H33" s="17">
        <v>0</v>
      </c>
      <c r="I33" s="17">
        <v>0</v>
      </c>
      <c r="J33" s="17">
        <v>0</v>
      </c>
      <c r="K33" s="17">
        <v>0</v>
      </c>
      <c r="L33" s="17">
        <v>0</v>
      </c>
      <c r="M33" s="17">
        <v>0</v>
      </c>
      <c r="N33" s="17">
        <v>0</v>
      </c>
      <c r="O33" s="18">
        <f t="shared" si="0"/>
        <v>0</v>
      </c>
    </row>
    <row r="34" spans="1:17" ht="15" customHeight="1" x14ac:dyDescent="0.2">
      <c r="A34" s="865" t="s">
        <v>144</v>
      </c>
      <c r="B34" s="866"/>
      <c r="C34" s="17">
        <v>0</v>
      </c>
      <c r="D34" s="17">
        <v>0</v>
      </c>
      <c r="E34" s="17">
        <v>0</v>
      </c>
      <c r="F34" s="17">
        <v>0</v>
      </c>
      <c r="G34" s="17">
        <v>0</v>
      </c>
      <c r="H34" s="17">
        <v>0</v>
      </c>
      <c r="I34" s="17">
        <v>0</v>
      </c>
      <c r="J34" s="17">
        <v>0</v>
      </c>
      <c r="K34" s="17">
        <v>0</v>
      </c>
      <c r="L34" s="17">
        <v>0</v>
      </c>
      <c r="M34" s="17">
        <v>0</v>
      </c>
      <c r="N34" s="17">
        <v>0</v>
      </c>
      <c r="O34" s="18">
        <f t="shared" si="0"/>
        <v>0</v>
      </c>
    </row>
    <row r="35" spans="1:17" ht="15" customHeight="1" x14ac:dyDescent="0.2">
      <c r="A35" s="865" t="s">
        <v>145</v>
      </c>
      <c r="B35" s="866"/>
      <c r="C35" s="17">
        <v>0</v>
      </c>
      <c r="D35" s="17">
        <v>216</v>
      </c>
      <c r="E35" s="17">
        <v>0</v>
      </c>
      <c r="F35" s="17">
        <v>0</v>
      </c>
      <c r="G35" s="17">
        <v>0</v>
      </c>
      <c r="H35" s="17">
        <v>0</v>
      </c>
      <c r="I35" s="17">
        <v>0</v>
      </c>
      <c r="J35" s="17">
        <v>0</v>
      </c>
      <c r="K35" s="17">
        <v>0</v>
      </c>
      <c r="L35" s="17">
        <v>0</v>
      </c>
      <c r="M35" s="17">
        <v>0</v>
      </c>
      <c r="N35" s="17">
        <v>0</v>
      </c>
      <c r="O35" s="18">
        <f t="shared" si="0"/>
        <v>216</v>
      </c>
    </row>
    <row r="36" spans="1:17" ht="15" customHeight="1" x14ac:dyDescent="0.2">
      <c r="A36" s="865" t="s">
        <v>146</v>
      </c>
      <c r="B36" s="866"/>
      <c r="C36" s="17">
        <v>0</v>
      </c>
      <c r="D36" s="17">
        <v>6450</v>
      </c>
      <c r="E36" s="17">
        <v>0</v>
      </c>
      <c r="F36" s="17">
        <v>0</v>
      </c>
      <c r="G36" s="17">
        <v>0</v>
      </c>
      <c r="H36" s="17">
        <v>0</v>
      </c>
      <c r="I36" s="17">
        <v>0</v>
      </c>
      <c r="J36" s="17">
        <v>0</v>
      </c>
      <c r="K36" s="17">
        <v>0</v>
      </c>
      <c r="L36" s="17">
        <v>0</v>
      </c>
      <c r="M36" s="17">
        <v>0</v>
      </c>
      <c r="N36" s="17">
        <v>6642</v>
      </c>
      <c r="O36" s="18">
        <f t="shared" si="0"/>
        <v>13092</v>
      </c>
    </row>
    <row r="37" spans="1:17" ht="15" customHeight="1" x14ac:dyDescent="0.2">
      <c r="A37" s="22"/>
      <c r="B37" s="23" t="s">
        <v>147</v>
      </c>
      <c r="C37" s="24">
        <f t="shared" ref="C37:N37" si="1">SUM(C9:C36)</f>
        <v>125255</v>
      </c>
      <c r="D37" s="24">
        <f t="shared" si="1"/>
        <v>132996</v>
      </c>
      <c r="E37" s="24">
        <f t="shared" si="1"/>
        <v>126330</v>
      </c>
      <c r="F37" s="24">
        <f t="shared" si="1"/>
        <v>126330</v>
      </c>
      <c r="G37" s="24">
        <f t="shared" si="1"/>
        <v>131157</v>
      </c>
      <c r="H37" s="24">
        <f t="shared" si="1"/>
        <v>155079</v>
      </c>
      <c r="I37" s="24">
        <f t="shared" si="1"/>
        <v>155079</v>
      </c>
      <c r="J37" s="24">
        <f t="shared" si="1"/>
        <v>155079</v>
      </c>
      <c r="K37" s="24">
        <f t="shared" si="1"/>
        <v>155079</v>
      </c>
      <c r="L37" s="24">
        <f t="shared" si="1"/>
        <v>155079</v>
      </c>
      <c r="M37" s="24">
        <f t="shared" si="1"/>
        <v>168732</v>
      </c>
      <c r="N37" s="24">
        <f t="shared" si="1"/>
        <v>134622</v>
      </c>
      <c r="O37" s="25">
        <f t="shared" si="0"/>
        <v>1720817</v>
      </c>
      <c r="Q37" s="26"/>
    </row>
    <row r="38" spans="1:17" ht="15" customHeight="1" x14ac:dyDescent="0.2">
      <c r="A38" s="853" t="s">
        <v>148</v>
      </c>
      <c r="B38" s="27" t="s">
        <v>149</v>
      </c>
      <c r="C38" s="28">
        <v>17300</v>
      </c>
      <c r="D38" s="28">
        <v>17300</v>
      </c>
      <c r="E38" s="28">
        <v>17300</v>
      </c>
      <c r="F38" s="28">
        <v>17300</v>
      </c>
      <c r="G38" s="28">
        <v>17300</v>
      </c>
      <c r="H38" s="28">
        <v>41700</v>
      </c>
      <c r="I38" s="28">
        <v>41700</v>
      </c>
      <c r="J38" s="28">
        <v>41700</v>
      </c>
      <c r="K38" s="28">
        <v>20000</v>
      </c>
      <c r="L38" s="28">
        <v>20000</v>
      </c>
      <c r="M38" s="28">
        <v>20000</v>
      </c>
      <c r="N38" s="28">
        <v>20000</v>
      </c>
      <c r="O38" s="18">
        <f t="shared" si="0"/>
        <v>291600</v>
      </c>
      <c r="P38" s="29"/>
    </row>
    <row r="39" spans="1:17" ht="15" x14ac:dyDescent="0.2">
      <c r="A39" s="854"/>
      <c r="B39" s="27" t="s">
        <v>150</v>
      </c>
      <c r="C39" s="28">
        <v>0</v>
      </c>
      <c r="D39" s="28">
        <v>0</v>
      </c>
      <c r="E39" s="28">
        <v>0</v>
      </c>
      <c r="F39" s="28">
        <v>0</v>
      </c>
      <c r="G39" s="28">
        <v>0</v>
      </c>
      <c r="H39" s="28">
        <v>0</v>
      </c>
      <c r="I39" s="28">
        <v>0</v>
      </c>
      <c r="J39" s="28">
        <v>0</v>
      </c>
      <c r="K39" s="28">
        <v>0</v>
      </c>
      <c r="L39" s="28">
        <v>0</v>
      </c>
      <c r="M39" s="28">
        <v>0</v>
      </c>
      <c r="N39" s="28">
        <v>0</v>
      </c>
      <c r="O39" s="18">
        <f t="shared" si="0"/>
        <v>0</v>
      </c>
    </row>
    <row r="40" spans="1:17" ht="15" x14ac:dyDescent="0.2">
      <c r="A40" s="854"/>
      <c r="B40" s="27" t="s">
        <v>151</v>
      </c>
      <c r="C40" s="28">
        <v>60</v>
      </c>
      <c r="D40" s="28">
        <v>60</v>
      </c>
      <c r="E40" s="28">
        <v>60</v>
      </c>
      <c r="F40" s="28">
        <v>60</v>
      </c>
      <c r="G40" s="28">
        <v>60</v>
      </c>
      <c r="H40" s="28">
        <v>60</v>
      </c>
      <c r="I40" s="28">
        <v>60</v>
      </c>
      <c r="J40" s="28">
        <v>60</v>
      </c>
      <c r="K40" s="28">
        <v>60</v>
      </c>
      <c r="L40" s="28">
        <v>60</v>
      </c>
      <c r="M40" s="28">
        <v>60</v>
      </c>
      <c r="N40" s="28">
        <v>60</v>
      </c>
      <c r="O40" s="18">
        <f t="shared" si="0"/>
        <v>720</v>
      </c>
    </row>
    <row r="41" spans="1:17" ht="15" x14ac:dyDescent="0.2">
      <c r="A41" s="854"/>
      <c r="B41" s="27" t="s">
        <v>152</v>
      </c>
      <c r="C41" s="28">
        <v>0</v>
      </c>
      <c r="D41" s="28">
        <v>0</v>
      </c>
      <c r="E41" s="28">
        <v>0</v>
      </c>
      <c r="F41" s="28">
        <v>0</v>
      </c>
      <c r="G41" s="28">
        <v>0</v>
      </c>
      <c r="H41" s="28">
        <v>0</v>
      </c>
      <c r="I41" s="28">
        <v>0</v>
      </c>
      <c r="J41" s="28">
        <v>0</v>
      </c>
      <c r="K41" s="28">
        <v>0</v>
      </c>
      <c r="L41" s="28">
        <v>0</v>
      </c>
      <c r="M41" s="28">
        <v>0</v>
      </c>
      <c r="N41" s="28">
        <v>0</v>
      </c>
      <c r="O41" s="18">
        <f t="shared" si="0"/>
        <v>0</v>
      </c>
    </row>
    <row r="42" spans="1:17" ht="15" x14ac:dyDescent="0.2">
      <c r="A42" s="854"/>
      <c r="B42" s="27" t="s">
        <v>153</v>
      </c>
      <c r="C42" s="28">
        <v>0</v>
      </c>
      <c r="D42" s="28">
        <v>0</v>
      </c>
      <c r="E42" s="28">
        <v>0</v>
      </c>
      <c r="F42" s="28">
        <v>0</v>
      </c>
      <c r="G42" s="28">
        <v>0</v>
      </c>
      <c r="H42" s="28">
        <v>650</v>
      </c>
      <c r="I42" s="28">
        <v>650</v>
      </c>
      <c r="J42" s="28">
        <v>650</v>
      </c>
      <c r="K42" s="28">
        <v>650</v>
      </c>
      <c r="L42" s="28">
        <v>650</v>
      </c>
      <c r="M42" s="28">
        <v>650</v>
      </c>
      <c r="N42" s="28">
        <v>650</v>
      </c>
      <c r="O42" s="18">
        <f t="shared" si="0"/>
        <v>4550</v>
      </c>
    </row>
    <row r="43" spans="1:17" ht="15" x14ac:dyDescent="0.2">
      <c r="A43" s="854"/>
      <c r="B43" s="27" t="s">
        <v>154</v>
      </c>
      <c r="C43" s="28">
        <v>10000</v>
      </c>
      <c r="D43" s="28">
        <v>10000</v>
      </c>
      <c r="E43" s="28">
        <v>10000</v>
      </c>
      <c r="F43" s="28">
        <v>30000</v>
      </c>
      <c r="G43" s="28">
        <v>30000</v>
      </c>
      <c r="H43" s="28">
        <v>30000</v>
      </c>
      <c r="I43" s="28">
        <v>30000</v>
      </c>
      <c r="J43" s="28">
        <v>30000</v>
      </c>
      <c r="K43" s="28">
        <v>30000</v>
      </c>
      <c r="L43" s="28">
        <v>30000</v>
      </c>
      <c r="M43" s="28">
        <v>30000</v>
      </c>
      <c r="N43" s="28">
        <v>30000</v>
      </c>
      <c r="O43" s="18">
        <f t="shared" si="0"/>
        <v>300000</v>
      </c>
    </row>
    <row r="44" spans="1:17" ht="15" x14ac:dyDescent="0.2">
      <c r="A44" s="854"/>
      <c r="B44" s="27" t="s">
        <v>155</v>
      </c>
      <c r="C44" s="28">
        <v>200</v>
      </c>
      <c r="D44" s="28">
        <v>200</v>
      </c>
      <c r="E44" s="28">
        <v>200</v>
      </c>
      <c r="F44" s="28">
        <v>200</v>
      </c>
      <c r="G44" s="28">
        <v>200</v>
      </c>
      <c r="H44" s="28">
        <v>200</v>
      </c>
      <c r="I44" s="28">
        <v>200</v>
      </c>
      <c r="J44" s="28">
        <v>200</v>
      </c>
      <c r="K44" s="28">
        <v>200</v>
      </c>
      <c r="L44" s="28">
        <v>200</v>
      </c>
      <c r="M44" s="28">
        <v>200</v>
      </c>
      <c r="N44" s="28">
        <v>300</v>
      </c>
      <c r="O44" s="18">
        <f t="shared" si="0"/>
        <v>2500</v>
      </c>
    </row>
    <row r="45" spans="1:17" ht="15" x14ac:dyDescent="0.2">
      <c r="A45" s="854"/>
      <c r="B45" s="27" t="s">
        <v>156</v>
      </c>
      <c r="C45" s="28">
        <v>0</v>
      </c>
      <c r="D45" s="28">
        <v>0</v>
      </c>
      <c r="E45" s="28">
        <v>0</v>
      </c>
      <c r="F45" s="28">
        <v>0</v>
      </c>
      <c r="G45" s="28">
        <v>0</v>
      </c>
      <c r="H45" s="28">
        <v>0</v>
      </c>
      <c r="I45" s="28">
        <v>0</v>
      </c>
      <c r="J45" s="28">
        <v>0</v>
      </c>
      <c r="K45" s="28">
        <v>0</v>
      </c>
      <c r="L45" s="28">
        <v>0</v>
      </c>
      <c r="M45" s="28">
        <v>0</v>
      </c>
      <c r="N45" s="28">
        <v>1456</v>
      </c>
      <c r="O45" s="18">
        <f t="shared" si="0"/>
        <v>1456</v>
      </c>
    </row>
    <row r="46" spans="1:17" ht="15" x14ac:dyDescent="0.2">
      <c r="A46" s="854"/>
      <c r="B46" s="27" t="s">
        <v>157</v>
      </c>
      <c r="C46" s="28">
        <v>0</v>
      </c>
      <c r="D46" s="28">
        <v>0</v>
      </c>
      <c r="E46" s="28">
        <v>0</v>
      </c>
      <c r="F46" s="28">
        <v>0</v>
      </c>
      <c r="G46" s="28">
        <v>0</v>
      </c>
      <c r="H46" s="28">
        <v>0</v>
      </c>
      <c r="I46" s="28">
        <v>0</v>
      </c>
      <c r="J46" s="28">
        <v>0</v>
      </c>
      <c r="K46" s="28">
        <v>0</v>
      </c>
      <c r="L46" s="28">
        <v>0</v>
      </c>
      <c r="M46" s="28">
        <v>0</v>
      </c>
      <c r="N46" s="28">
        <v>0</v>
      </c>
      <c r="O46" s="18">
        <f t="shared" si="0"/>
        <v>0</v>
      </c>
    </row>
    <row r="47" spans="1:17" ht="28.5" customHeight="1" x14ac:dyDescent="0.2">
      <c r="A47" s="855"/>
      <c r="B47" s="30" t="s">
        <v>158</v>
      </c>
      <c r="C47" s="28">
        <v>0</v>
      </c>
      <c r="D47" s="28">
        <v>0</v>
      </c>
      <c r="E47" s="28">
        <v>0</v>
      </c>
      <c r="F47" s="28">
        <v>0</v>
      </c>
      <c r="G47" s="28">
        <v>0</v>
      </c>
      <c r="H47" s="28">
        <v>0</v>
      </c>
      <c r="I47" s="28">
        <v>0</v>
      </c>
      <c r="J47" s="28">
        <v>0</v>
      </c>
      <c r="K47" s="28">
        <v>0</v>
      </c>
      <c r="L47" s="28">
        <v>0</v>
      </c>
      <c r="M47" s="28">
        <v>0</v>
      </c>
      <c r="N47" s="28">
        <v>0</v>
      </c>
      <c r="O47" s="31">
        <f t="shared" si="0"/>
        <v>0</v>
      </c>
    </row>
    <row r="48" spans="1:17" ht="27.75" customHeight="1" x14ac:dyDescent="0.2">
      <c r="A48" s="856"/>
      <c r="B48" s="32" t="s">
        <v>159</v>
      </c>
      <c r="C48" s="28">
        <v>0</v>
      </c>
      <c r="D48" s="28">
        <v>0</v>
      </c>
      <c r="E48" s="28">
        <v>0</v>
      </c>
      <c r="F48" s="28">
        <v>0</v>
      </c>
      <c r="G48" s="28">
        <v>0</v>
      </c>
      <c r="H48" s="28">
        <v>0</v>
      </c>
      <c r="I48" s="28">
        <v>0</v>
      </c>
      <c r="J48" s="28">
        <v>0</v>
      </c>
      <c r="K48" s="28">
        <v>0</v>
      </c>
      <c r="L48" s="28">
        <v>0</v>
      </c>
      <c r="M48" s="28">
        <v>0</v>
      </c>
      <c r="N48" s="28">
        <v>0</v>
      </c>
      <c r="O48" s="31">
        <f t="shared" si="0"/>
        <v>0</v>
      </c>
    </row>
    <row r="49" spans="1:18" ht="15" x14ac:dyDescent="0.2">
      <c r="A49" s="857" t="s">
        <v>160</v>
      </c>
      <c r="B49" s="858"/>
      <c r="C49" s="33">
        <f t="shared" ref="C49:N49" si="2">SUM(C38:C48)</f>
        <v>27560</v>
      </c>
      <c r="D49" s="33">
        <f t="shared" si="2"/>
        <v>27560</v>
      </c>
      <c r="E49" s="33">
        <f t="shared" si="2"/>
        <v>27560</v>
      </c>
      <c r="F49" s="33">
        <f t="shared" si="2"/>
        <v>47560</v>
      </c>
      <c r="G49" s="33">
        <f t="shared" si="2"/>
        <v>47560</v>
      </c>
      <c r="H49" s="33">
        <f t="shared" si="2"/>
        <v>72610</v>
      </c>
      <c r="I49" s="33">
        <f t="shared" si="2"/>
        <v>72610</v>
      </c>
      <c r="J49" s="33">
        <f t="shared" si="2"/>
        <v>72610</v>
      </c>
      <c r="K49" s="33">
        <f t="shared" si="2"/>
        <v>50910</v>
      </c>
      <c r="L49" s="33">
        <f t="shared" si="2"/>
        <v>50910</v>
      </c>
      <c r="M49" s="33">
        <f t="shared" si="2"/>
        <v>50910</v>
      </c>
      <c r="N49" s="33">
        <f t="shared" si="2"/>
        <v>52466</v>
      </c>
      <c r="O49" s="34">
        <f t="shared" si="0"/>
        <v>600826</v>
      </c>
    </row>
    <row r="50" spans="1:18" ht="15.75" thickBot="1" x14ac:dyDescent="0.25">
      <c r="A50" s="859" t="s">
        <v>161</v>
      </c>
      <c r="B50" s="860"/>
      <c r="C50" s="35">
        <f t="shared" ref="C50:N50" si="3">C37-C49</f>
        <v>97695</v>
      </c>
      <c r="D50" s="35">
        <f t="shared" si="3"/>
        <v>105436</v>
      </c>
      <c r="E50" s="35">
        <f t="shared" si="3"/>
        <v>98770</v>
      </c>
      <c r="F50" s="35">
        <f t="shared" si="3"/>
        <v>78770</v>
      </c>
      <c r="G50" s="35">
        <f t="shared" si="3"/>
        <v>83597</v>
      </c>
      <c r="H50" s="35">
        <f t="shared" si="3"/>
        <v>82469</v>
      </c>
      <c r="I50" s="35">
        <f t="shared" si="3"/>
        <v>82469</v>
      </c>
      <c r="J50" s="35">
        <f t="shared" si="3"/>
        <v>82469</v>
      </c>
      <c r="K50" s="35">
        <f t="shared" si="3"/>
        <v>104169</v>
      </c>
      <c r="L50" s="35">
        <f t="shared" si="3"/>
        <v>104169</v>
      </c>
      <c r="M50" s="35">
        <f t="shared" si="3"/>
        <v>117822</v>
      </c>
      <c r="N50" s="35">
        <f t="shared" si="3"/>
        <v>82156</v>
      </c>
      <c r="O50" s="36">
        <f t="shared" si="0"/>
        <v>1119991</v>
      </c>
    </row>
    <row r="51" spans="1:18" x14ac:dyDescent="0.2">
      <c r="J51" s="16">
        <f>+J37-J32-J35-J36</f>
        <v>155079</v>
      </c>
      <c r="Q51" s="38"/>
    </row>
    <row r="52" spans="1:18" ht="13.5" thickBot="1" x14ac:dyDescent="0.25">
      <c r="J52" s="38">
        <f>+J51-J49</f>
        <v>82469</v>
      </c>
    </row>
    <row r="53" spans="1:18" ht="13.5" thickBot="1" x14ac:dyDescent="0.25">
      <c r="B53" s="789" t="s">
        <v>162</v>
      </c>
      <c r="C53" s="861"/>
      <c r="D53" s="861"/>
      <c r="E53" s="861"/>
      <c r="F53" s="862"/>
      <c r="G53" s="863">
        <f>O37</f>
        <v>1720817</v>
      </c>
      <c r="H53" s="864"/>
      <c r="J53" s="38">
        <f>+J52+21206</f>
        <v>103675</v>
      </c>
    </row>
    <row r="54" spans="1:18" ht="13.5" thickBot="1" x14ac:dyDescent="0.25"/>
    <row r="55" spans="1:18" x14ac:dyDescent="0.2">
      <c r="B55" s="830" t="s">
        <v>163</v>
      </c>
      <c r="C55" s="833" t="s">
        <v>164</v>
      </c>
      <c r="D55" s="836" t="s">
        <v>425</v>
      </c>
      <c r="E55" s="837"/>
      <c r="F55" s="838"/>
      <c r="G55" s="839">
        <v>40000</v>
      </c>
      <c r="H55" s="840"/>
    </row>
    <row r="56" spans="1:18" x14ac:dyDescent="0.2">
      <c r="B56" s="831"/>
      <c r="C56" s="834"/>
      <c r="D56" s="841" t="s">
        <v>166</v>
      </c>
      <c r="E56" s="842"/>
      <c r="F56" s="843"/>
      <c r="G56" s="844">
        <f>+O44</f>
        <v>2500</v>
      </c>
      <c r="H56" s="845"/>
      <c r="I56" s="39"/>
      <c r="J56" s="846"/>
      <c r="K56" s="846"/>
      <c r="L56" s="846"/>
      <c r="M56" s="847"/>
      <c r="N56" s="847"/>
      <c r="O56" s="847"/>
    </row>
    <row r="57" spans="1:18" x14ac:dyDescent="0.2">
      <c r="B57" s="886"/>
      <c r="C57" s="887"/>
      <c r="D57" s="40" t="s">
        <v>129</v>
      </c>
      <c r="E57" s="41"/>
      <c r="F57" s="42"/>
      <c r="G57" s="43"/>
      <c r="H57" s="44">
        <v>0</v>
      </c>
      <c r="I57" s="39"/>
      <c r="J57" s="45"/>
      <c r="K57" s="45"/>
      <c r="L57" s="45"/>
      <c r="M57" s="46"/>
      <c r="N57" s="46"/>
      <c r="O57" s="46"/>
    </row>
    <row r="58" spans="1:18" ht="13.5" thickBot="1" x14ac:dyDescent="0.25">
      <c r="B58" s="832"/>
      <c r="C58" s="835"/>
      <c r="D58" s="848" t="s">
        <v>167</v>
      </c>
      <c r="E58" s="849"/>
      <c r="F58" s="850"/>
      <c r="G58" s="851">
        <f>O18</f>
        <v>0</v>
      </c>
      <c r="H58" s="852"/>
      <c r="J58" s="47"/>
      <c r="K58" s="47"/>
      <c r="L58" s="47"/>
      <c r="M58" s="47"/>
      <c r="N58" s="47"/>
      <c r="O58" s="47"/>
    </row>
    <row r="59" spans="1:18" ht="13.5" thickBot="1" x14ac:dyDescent="0.25">
      <c r="B59" s="48"/>
      <c r="J59" s="47"/>
      <c r="K59" s="47"/>
      <c r="L59" s="47"/>
      <c r="M59" s="47"/>
      <c r="N59" s="47"/>
      <c r="O59" s="47"/>
    </row>
    <row r="60" spans="1:18" ht="13.5" thickBot="1" x14ac:dyDescent="0.25">
      <c r="B60" s="789" t="s">
        <v>168</v>
      </c>
      <c r="C60" s="790"/>
      <c r="D60" s="790"/>
      <c r="E60" s="790"/>
      <c r="F60" s="791"/>
      <c r="G60" s="825">
        <f>+G53-SUM(G55:H58)</f>
        <v>1678317</v>
      </c>
      <c r="H60" s="826"/>
      <c r="J60" s="827" t="s">
        <v>169</v>
      </c>
      <c r="K60" s="828"/>
      <c r="L60" s="828"/>
      <c r="M60" s="828"/>
      <c r="N60" s="828"/>
      <c r="O60" s="829"/>
    </row>
    <row r="61" spans="1:18" ht="13.5" thickBot="1" x14ac:dyDescent="0.25">
      <c r="B61" s="49"/>
      <c r="C61" s="50"/>
      <c r="D61" s="50"/>
      <c r="E61" s="50"/>
      <c r="F61" s="50"/>
      <c r="G61" s="45"/>
      <c r="H61" s="50"/>
      <c r="J61" s="51"/>
      <c r="K61" s="52"/>
      <c r="L61" s="52"/>
      <c r="M61" s="52"/>
      <c r="N61" s="52"/>
      <c r="O61" s="53"/>
    </row>
    <row r="62" spans="1:18" ht="13.5" thickBot="1" x14ac:dyDescent="0.25">
      <c r="B62" s="789" t="s">
        <v>170</v>
      </c>
      <c r="C62" s="790"/>
      <c r="D62" s="790"/>
      <c r="E62" s="790"/>
      <c r="F62" s="791"/>
      <c r="G62" s="805"/>
      <c r="H62" s="791"/>
      <c r="J62" s="54"/>
      <c r="K62" s="55"/>
      <c r="L62" s="55"/>
      <c r="M62" s="55"/>
      <c r="N62" s="55"/>
      <c r="O62" s="56"/>
    </row>
    <row r="63" spans="1:18" ht="12.75" customHeight="1" x14ac:dyDescent="0.2">
      <c r="B63" s="57" t="s">
        <v>171</v>
      </c>
      <c r="C63" s="806" t="s">
        <v>172</v>
      </c>
      <c r="D63" s="807"/>
      <c r="E63" s="807"/>
      <c r="F63" s="808"/>
      <c r="G63" s="809">
        <v>0</v>
      </c>
      <c r="H63" s="809"/>
      <c r="I63" s="58"/>
      <c r="J63" s="810" t="s">
        <v>173</v>
      </c>
      <c r="K63" s="811"/>
      <c r="L63" s="811"/>
      <c r="M63" s="811"/>
      <c r="N63" s="811"/>
      <c r="O63" s="812"/>
      <c r="Q63" s="59"/>
      <c r="R63" s="59"/>
    </row>
    <row r="64" spans="1:18" ht="13.5" thickBot="1" x14ac:dyDescent="0.25">
      <c r="D64" s="37"/>
      <c r="I64" s="58"/>
      <c r="J64" s="60" t="s">
        <v>174</v>
      </c>
      <c r="K64" s="61"/>
      <c r="L64" s="61"/>
      <c r="M64" s="61"/>
      <c r="N64" s="61"/>
      <c r="O64" s="62"/>
      <c r="Q64" s="59"/>
      <c r="R64" s="59"/>
    </row>
    <row r="65" spans="2:18" ht="13.5" thickBot="1" x14ac:dyDescent="0.25">
      <c r="B65" s="789" t="s">
        <v>175</v>
      </c>
      <c r="C65" s="790"/>
      <c r="D65" s="790"/>
      <c r="E65" s="790"/>
      <c r="F65" s="791"/>
      <c r="G65" s="805">
        <f>+G60-G63</f>
        <v>1678317</v>
      </c>
      <c r="H65" s="791"/>
      <c r="I65" s="63"/>
      <c r="J65" s="64"/>
      <c r="K65" s="39"/>
      <c r="L65" s="39"/>
      <c r="M65" s="39"/>
      <c r="N65" s="39"/>
      <c r="O65" s="65"/>
      <c r="Q65" s="59"/>
      <c r="R65" s="59"/>
    </row>
    <row r="66" spans="2:18" ht="12.75" customHeight="1" x14ac:dyDescent="0.2">
      <c r="B66" s="48"/>
      <c r="C66" s="48"/>
      <c r="I66" s="63"/>
      <c r="J66" s="64"/>
      <c r="K66" s="39"/>
      <c r="L66" s="39"/>
      <c r="M66" s="39"/>
      <c r="N66" s="39"/>
      <c r="O66" s="65"/>
      <c r="Q66" s="59"/>
      <c r="R66" s="59"/>
    </row>
    <row r="67" spans="2:18" x14ac:dyDescent="0.2">
      <c r="B67" s="66" t="s">
        <v>176</v>
      </c>
      <c r="C67" s="48"/>
      <c r="I67" s="63"/>
      <c r="J67" s="67"/>
      <c r="K67" s="68"/>
      <c r="L67" s="68"/>
      <c r="M67" s="68"/>
      <c r="N67" s="68"/>
      <c r="O67" s="69"/>
      <c r="Q67" s="59"/>
      <c r="R67" s="59"/>
    </row>
    <row r="68" spans="2:18" ht="26.25" customHeight="1" thickBot="1" x14ac:dyDescent="0.25">
      <c r="B68" s="66"/>
      <c r="C68" s="48"/>
      <c r="G68" s="70" t="s">
        <v>177</v>
      </c>
      <c r="H68" s="70" t="s">
        <v>178</v>
      </c>
      <c r="I68" s="63"/>
      <c r="J68" s="810" t="s">
        <v>179</v>
      </c>
      <c r="K68" s="811"/>
      <c r="L68" s="71"/>
      <c r="M68" s="71"/>
      <c r="N68" s="71"/>
      <c r="O68" s="72"/>
      <c r="Q68" s="59"/>
      <c r="R68" s="59"/>
    </row>
    <row r="69" spans="2:18" ht="12.75" customHeight="1" x14ac:dyDescent="0.2">
      <c r="B69" s="802" t="s">
        <v>180</v>
      </c>
      <c r="C69" s="821" t="s">
        <v>181</v>
      </c>
      <c r="D69" s="823" t="s">
        <v>182</v>
      </c>
      <c r="E69" s="824"/>
      <c r="F69" s="824"/>
      <c r="G69" s="73">
        <f>+O43</f>
        <v>300000</v>
      </c>
      <c r="H69" s="74">
        <f t="shared" ref="H69:H77" si="4">+G69</f>
        <v>300000</v>
      </c>
      <c r="I69" s="63"/>
      <c r="J69" s="75" t="s">
        <v>183</v>
      </c>
      <c r="K69" s="58"/>
      <c r="L69" s="58"/>
      <c r="M69" s="58"/>
      <c r="N69" s="58"/>
      <c r="O69" s="76"/>
      <c r="Q69" s="59"/>
      <c r="R69" s="59"/>
    </row>
    <row r="70" spans="2:18" ht="12.75" customHeight="1" x14ac:dyDescent="0.2">
      <c r="B70" s="803"/>
      <c r="C70" s="822"/>
      <c r="D70" s="782" t="s">
        <v>184</v>
      </c>
      <c r="E70" s="783"/>
      <c r="F70" s="783"/>
      <c r="G70" s="77">
        <v>0</v>
      </c>
      <c r="H70" s="78">
        <f t="shared" si="4"/>
        <v>0</v>
      </c>
      <c r="I70" s="63"/>
      <c r="J70" s="79"/>
      <c r="K70" s="68"/>
      <c r="L70" s="68"/>
      <c r="M70" s="68"/>
      <c r="N70" s="68"/>
      <c r="O70" s="69"/>
      <c r="Q70" s="59"/>
      <c r="R70" s="59"/>
    </row>
    <row r="71" spans="2:18" ht="12.75" customHeight="1" x14ac:dyDescent="0.2">
      <c r="B71" s="803"/>
      <c r="C71" s="822"/>
      <c r="D71" s="819" t="s">
        <v>185</v>
      </c>
      <c r="E71" s="820"/>
      <c r="F71" s="820"/>
      <c r="G71" s="80">
        <f>O40</f>
        <v>720</v>
      </c>
      <c r="H71" s="78">
        <f t="shared" si="4"/>
        <v>720</v>
      </c>
      <c r="I71" s="63"/>
      <c r="J71" s="67"/>
      <c r="K71" s="68"/>
      <c r="L71" s="68"/>
      <c r="M71" s="68"/>
      <c r="N71" s="68"/>
      <c r="O71" s="69"/>
    </row>
    <row r="72" spans="2:18" x14ac:dyDescent="0.2">
      <c r="B72" s="803"/>
      <c r="C72" s="822"/>
      <c r="D72" s="782" t="s">
        <v>186</v>
      </c>
      <c r="E72" s="783"/>
      <c r="F72" s="783"/>
      <c r="G72" s="81">
        <v>0</v>
      </c>
      <c r="H72" s="78">
        <f t="shared" si="4"/>
        <v>0</v>
      </c>
      <c r="I72" s="63"/>
      <c r="J72" s="82" t="s">
        <v>187</v>
      </c>
      <c r="K72" s="71"/>
      <c r="L72" s="71"/>
      <c r="M72" s="71"/>
      <c r="N72" s="71"/>
      <c r="O72" s="72"/>
    </row>
    <row r="73" spans="2:18" ht="12.75" customHeight="1" x14ac:dyDescent="0.2">
      <c r="B73" s="803"/>
      <c r="C73" s="822"/>
      <c r="D73" s="784" t="s">
        <v>188</v>
      </c>
      <c r="E73" s="783"/>
      <c r="F73" s="783"/>
      <c r="G73" s="80">
        <v>0</v>
      </c>
      <c r="H73" s="78">
        <f t="shared" si="4"/>
        <v>0</v>
      </c>
      <c r="I73" s="63"/>
      <c r="J73" s="75" t="s">
        <v>189</v>
      </c>
      <c r="K73" s="50"/>
      <c r="L73" s="50"/>
      <c r="M73" s="50"/>
      <c r="N73" s="50"/>
      <c r="O73" s="83">
        <f>O42</f>
        <v>4550</v>
      </c>
    </row>
    <row r="74" spans="2:18" ht="14.25" customHeight="1" x14ac:dyDescent="0.2">
      <c r="B74" s="803"/>
      <c r="C74" s="822"/>
      <c r="D74" s="782" t="s">
        <v>190</v>
      </c>
      <c r="E74" s="783"/>
      <c r="F74" s="783"/>
      <c r="G74" s="84">
        <v>0</v>
      </c>
      <c r="H74" s="78">
        <f t="shared" si="4"/>
        <v>0</v>
      </c>
      <c r="I74" s="63"/>
      <c r="J74" s="64"/>
      <c r="K74" s="39"/>
      <c r="L74" s="39"/>
      <c r="M74" s="39"/>
      <c r="N74" s="39"/>
      <c r="O74" s="65"/>
    </row>
    <row r="75" spans="2:18" x14ac:dyDescent="0.2">
      <c r="B75" s="803"/>
      <c r="C75" s="822"/>
      <c r="D75" s="782" t="s">
        <v>191</v>
      </c>
      <c r="E75" s="783"/>
      <c r="F75" s="783"/>
      <c r="G75" s="81">
        <v>0</v>
      </c>
      <c r="H75" s="78">
        <f t="shared" si="4"/>
        <v>0</v>
      </c>
      <c r="I75" s="58"/>
      <c r="J75" s="85"/>
      <c r="K75" s="63"/>
      <c r="L75" s="63"/>
      <c r="M75" s="63"/>
      <c r="N75" s="63"/>
      <c r="O75" s="86"/>
      <c r="P75" s="87"/>
    </row>
    <row r="76" spans="2:18" x14ac:dyDescent="0.2">
      <c r="B76" s="803"/>
      <c r="C76" s="88" t="s">
        <v>192</v>
      </c>
      <c r="D76" s="813" t="s">
        <v>193</v>
      </c>
      <c r="E76" s="814"/>
      <c r="F76" s="814"/>
      <c r="G76" s="80">
        <v>0</v>
      </c>
      <c r="H76" s="78">
        <f t="shared" si="4"/>
        <v>0</v>
      </c>
      <c r="I76" s="58"/>
      <c r="J76" s="60"/>
      <c r="K76" s="68"/>
      <c r="L76" s="68"/>
      <c r="M76" s="50"/>
      <c r="N76" s="50"/>
      <c r="O76" s="83"/>
      <c r="P76" s="87"/>
    </row>
    <row r="77" spans="2:18" ht="13.5" customHeight="1" thickBot="1" x14ac:dyDescent="0.25">
      <c r="B77" s="803"/>
      <c r="C77" s="88" t="s">
        <v>194</v>
      </c>
      <c r="D77" s="815" t="s">
        <v>195</v>
      </c>
      <c r="E77" s="815"/>
      <c r="F77" s="815"/>
      <c r="G77" s="89">
        <v>0</v>
      </c>
      <c r="H77" s="90">
        <f t="shared" si="4"/>
        <v>0</v>
      </c>
      <c r="I77" s="63"/>
      <c r="J77" s="75"/>
      <c r="K77" s="68"/>
      <c r="L77" s="68"/>
      <c r="M77" s="91"/>
      <c r="N77" s="91"/>
      <c r="O77" s="92"/>
    </row>
    <row r="78" spans="2:18" ht="13.5" thickBot="1" x14ac:dyDescent="0.25">
      <c r="B78" s="803"/>
      <c r="C78" s="93"/>
      <c r="D78" s="94"/>
      <c r="E78" s="816" t="s">
        <v>117</v>
      </c>
      <c r="F78" s="817"/>
      <c r="G78" s="95">
        <f>SUM(G69:G77)</f>
        <v>300720</v>
      </c>
      <c r="H78" s="96">
        <f>IF(SUM(G69:G75)&lt;150000,SUM(G69:G75),150000)+IF(+G76&lt;20000,+G76,20000)</f>
        <v>150000</v>
      </c>
      <c r="I78" s="63"/>
      <c r="J78" s="97"/>
      <c r="K78" s="98"/>
      <c r="L78" s="98"/>
      <c r="M78" s="98"/>
      <c r="N78" s="98"/>
      <c r="O78" s="99"/>
    </row>
    <row r="79" spans="2:18" ht="12.75" customHeight="1" x14ac:dyDescent="0.2">
      <c r="B79" s="803"/>
      <c r="C79" s="100" t="s">
        <v>196</v>
      </c>
      <c r="D79" s="782" t="s">
        <v>187</v>
      </c>
      <c r="E79" s="783"/>
      <c r="F79" s="818"/>
      <c r="G79" s="73">
        <v>3750</v>
      </c>
      <c r="H79" s="101">
        <f>+IF(+G79&lt;25000,+G79,25000)</f>
        <v>3750</v>
      </c>
      <c r="I79" s="87"/>
    </row>
    <row r="80" spans="2:18" x14ac:dyDescent="0.2">
      <c r="B80" s="803"/>
      <c r="C80" s="100" t="s">
        <v>197</v>
      </c>
      <c r="D80" s="784" t="s">
        <v>198</v>
      </c>
      <c r="E80" s="785"/>
      <c r="F80" s="786"/>
      <c r="G80" s="81">
        <v>0</v>
      </c>
      <c r="H80" s="103">
        <f>+IF(+G80&lt;40000,+G80,40000)</f>
        <v>0</v>
      </c>
      <c r="I80" s="63"/>
    </row>
    <row r="81" spans="2:12" x14ac:dyDescent="0.2">
      <c r="B81" s="803"/>
      <c r="C81" s="100" t="s">
        <v>199</v>
      </c>
      <c r="D81" s="784" t="s">
        <v>200</v>
      </c>
      <c r="E81" s="785"/>
      <c r="F81" s="786"/>
      <c r="G81" s="81">
        <v>0</v>
      </c>
      <c r="H81" s="104">
        <f>+G81</f>
        <v>0</v>
      </c>
      <c r="I81" s="63"/>
      <c r="J81" s="105"/>
      <c r="K81" s="106"/>
    </row>
    <row r="82" spans="2:12" x14ac:dyDescent="0.2">
      <c r="B82" s="803"/>
      <c r="C82" s="100" t="s">
        <v>201</v>
      </c>
      <c r="D82" s="784" t="s">
        <v>202</v>
      </c>
      <c r="E82" s="785"/>
      <c r="F82" s="786"/>
      <c r="G82" s="81">
        <v>0</v>
      </c>
      <c r="H82" s="104">
        <v>0</v>
      </c>
      <c r="I82" s="63"/>
    </row>
    <row r="83" spans="2:12" ht="13.5" thickBot="1" x14ac:dyDescent="0.25">
      <c r="B83" s="804"/>
      <c r="C83" s="100" t="s">
        <v>203</v>
      </c>
      <c r="D83" s="784" t="s">
        <v>204</v>
      </c>
      <c r="E83" s="785"/>
      <c r="F83" s="786"/>
      <c r="G83" s="81">
        <v>0</v>
      </c>
      <c r="H83" s="103">
        <f>+IF(+G83&lt;100000,+G83,10000)</f>
        <v>0</v>
      </c>
      <c r="I83" s="63"/>
    </row>
    <row r="84" spans="2:12" ht="13.5" thickBot="1" x14ac:dyDescent="0.25">
      <c r="B84" s="787" t="s">
        <v>205</v>
      </c>
      <c r="C84" s="788"/>
      <c r="D84" s="788"/>
      <c r="E84" s="788"/>
      <c r="F84" s="788"/>
      <c r="G84" s="107">
        <f>SUM(G79:G83)</f>
        <v>3750</v>
      </c>
      <c r="H84" s="108">
        <f>SUM(H78:H83)</f>
        <v>153750</v>
      </c>
    </row>
    <row r="85" spans="2:12" ht="13.5" thickBot="1" x14ac:dyDescent="0.25"/>
    <row r="86" spans="2:12" ht="13.5" thickBot="1" x14ac:dyDescent="0.25">
      <c r="B86" s="789" t="s">
        <v>206</v>
      </c>
      <c r="C86" s="790"/>
      <c r="D86" s="790"/>
      <c r="E86" s="790"/>
      <c r="F86" s="791"/>
      <c r="G86" s="792">
        <f>ROUND(+G65-H84,-1)</f>
        <v>1524570</v>
      </c>
      <c r="H86" s="791"/>
      <c r="J86" s="109">
        <f>C37+D37+E37+F37</f>
        <v>510911</v>
      </c>
      <c r="K86" s="16" t="s">
        <v>235</v>
      </c>
    </row>
    <row r="87" spans="2:12" x14ac:dyDescent="0.2">
      <c r="B87" s="110"/>
      <c r="F87" s="105"/>
      <c r="J87" s="109">
        <f>G37+H37+I37</f>
        <v>441315</v>
      </c>
      <c r="K87" s="16" t="s">
        <v>236</v>
      </c>
    </row>
    <row r="88" spans="2:12" x14ac:dyDescent="0.2">
      <c r="C88" s="793" t="s">
        <v>207</v>
      </c>
      <c r="D88" s="794"/>
      <c r="E88" s="111" t="s">
        <v>208</v>
      </c>
      <c r="F88" s="111" t="s">
        <v>209</v>
      </c>
      <c r="G88" s="111" t="s">
        <v>210</v>
      </c>
      <c r="H88" s="111" t="s">
        <v>211</v>
      </c>
      <c r="J88" s="109">
        <f>J37+K37+L37</f>
        <v>465237</v>
      </c>
      <c r="K88" s="47" t="s">
        <v>237</v>
      </c>
    </row>
    <row r="89" spans="2:12" x14ac:dyDescent="0.2">
      <c r="C89" s="795" t="str">
        <f>IF(I6="M","0          - 250000","0          -  250000")</f>
        <v>0          - 250000</v>
      </c>
      <c r="D89" s="796"/>
      <c r="E89" s="112">
        <v>0</v>
      </c>
      <c r="F89" s="113">
        <f>IF(I6="M",(IF(G86&lt;250000,G86,250000)),(IF(G86&lt;250000,G86,250000)))</f>
        <v>250000</v>
      </c>
      <c r="G89" s="113">
        <f>G86-F89</f>
        <v>1274570</v>
      </c>
      <c r="H89" s="113">
        <f>E89*F89</f>
        <v>0</v>
      </c>
      <c r="J89" s="16">
        <f>M37+N37</f>
        <v>303354</v>
      </c>
      <c r="K89" s="1" t="s">
        <v>238</v>
      </c>
    </row>
    <row r="90" spans="2:12" x14ac:dyDescent="0.2">
      <c r="C90" s="795" t="str">
        <f>IF(I6="M","250001 - 500000","250001-500000")</f>
        <v>250001 - 500000</v>
      </c>
      <c r="D90" s="796"/>
      <c r="E90" s="112">
        <v>0.05</v>
      </c>
      <c r="F90" s="113">
        <f>IF(I6="M",(IF(G89&lt;250000,G89,250000)),(IF(G89&lt;250000,G89,250000)))</f>
        <v>250000</v>
      </c>
      <c r="G90" s="113">
        <f>G89-F90</f>
        <v>1024570</v>
      </c>
      <c r="H90" s="114">
        <f>ROUND(E90*F90,0.1)</f>
        <v>12500</v>
      </c>
      <c r="J90" s="115">
        <f>SUM(J86:J89)</f>
        <v>1720817</v>
      </c>
    </row>
    <row r="91" spans="2:12" x14ac:dyDescent="0.2">
      <c r="C91" s="797" t="s">
        <v>212</v>
      </c>
      <c r="D91" s="798"/>
      <c r="E91" s="112">
        <v>0.2</v>
      </c>
      <c r="F91" s="113">
        <f>IF(G90&lt;500000,G90,500000)</f>
        <v>500000</v>
      </c>
      <c r="G91" s="113">
        <f>G90-F91</f>
        <v>524570</v>
      </c>
      <c r="H91" s="114">
        <f>ROUND(E91*F91,0.1)</f>
        <v>100000</v>
      </c>
      <c r="J91" s="16">
        <f>+G86</f>
        <v>1524570</v>
      </c>
    </row>
    <row r="92" spans="2:12" x14ac:dyDescent="0.2">
      <c r="C92" s="795" t="s">
        <v>213</v>
      </c>
      <c r="D92" s="796"/>
      <c r="E92" s="112">
        <v>0.3</v>
      </c>
      <c r="F92" s="113">
        <f>G91</f>
        <v>524570</v>
      </c>
      <c r="G92" s="113">
        <f>G91-F92</f>
        <v>0</v>
      </c>
      <c r="H92" s="114">
        <f>ROUND(E92*F92,0.1)</f>
        <v>157371</v>
      </c>
      <c r="J92" s="16">
        <f>+J90-J91</f>
        <v>196247</v>
      </c>
    </row>
    <row r="93" spans="2:12" ht="12.75" customHeight="1" thickBot="1" x14ac:dyDescent="0.25">
      <c r="B93" s="116"/>
      <c r="C93" s="117"/>
      <c r="D93" s="47"/>
      <c r="E93" s="47"/>
      <c r="F93" s="47"/>
      <c r="J93" s="87"/>
      <c r="K93" s="118"/>
    </row>
    <row r="94" spans="2:12" ht="13.5" thickBot="1" x14ac:dyDescent="0.25">
      <c r="B94" s="799" t="s">
        <v>214</v>
      </c>
      <c r="C94" s="800"/>
      <c r="D94" s="800"/>
      <c r="E94" s="800"/>
      <c r="F94" s="801"/>
      <c r="G94" s="771">
        <f>H89+H90+H91+H92</f>
        <v>269871</v>
      </c>
      <c r="H94" s="772"/>
    </row>
    <row r="95" spans="2:12" ht="13.5" thickBot="1" x14ac:dyDescent="0.25">
      <c r="B95" s="119" t="s">
        <v>215</v>
      </c>
      <c r="C95" s="120"/>
      <c r="D95" s="120"/>
      <c r="E95" s="120"/>
      <c r="F95" s="120"/>
      <c r="G95" s="884">
        <f>IF((G65&lt;500000),5000,0)</f>
        <v>0</v>
      </c>
      <c r="H95" s="885">
        <f>IF(H93&lt;200000,0,IF(H93&lt;220000,((H93-200000)*10%),IF(H93&lt;=500000,2000,IF(H93&gt;=500000,0))))</f>
        <v>0</v>
      </c>
      <c r="J95" s="1"/>
      <c r="K95" s="121"/>
      <c r="L95" s="121"/>
    </row>
    <row r="96" spans="2:12" ht="13.5" thickBot="1" x14ac:dyDescent="0.25">
      <c r="B96" s="122" t="s">
        <v>216</v>
      </c>
      <c r="C96" s="123"/>
      <c r="D96" s="123"/>
      <c r="E96" s="123"/>
      <c r="F96" s="123"/>
      <c r="G96" s="771">
        <f>IF((G94-G95)&lt;0,0,(G94-G95))</f>
        <v>269871</v>
      </c>
      <c r="H96" s="772"/>
      <c r="I96" s="37"/>
    </row>
    <row r="97" spans="2:9" ht="13.5" thickBot="1" x14ac:dyDescent="0.25">
      <c r="B97" s="773" t="s">
        <v>240</v>
      </c>
      <c r="C97" s="774"/>
      <c r="D97" s="774"/>
      <c r="E97" s="774"/>
      <c r="F97" s="775"/>
      <c r="G97" s="776">
        <f>ROUND((IF(G96&gt;0,(G96*4%),0)),0)</f>
        <v>10795</v>
      </c>
      <c r="H97" s="777"/>
      <c r="I97" s="37"/>
    </row>
    <row r="98" spans="2:9" ht="13.5" thickBot="1" x14ac:dyDescent="0.25">
      <c r="B98" s="778" t="s">
        <v>218</v>
      </c>
      <c r="C98" s="779"/>
      <c r="D98" s="779"/>
      <c r="E98" s="779"/>
      <c r="F98" s="779"/>
      <c r="G98" s="780">
        <f>G96+G97</f>
        <v>280666</v>
      </c>
      <c r="H98" s="781"/>
      <c r="I98" s="121"/>
    </row>
    <row r="99" spans="2:9" ht="13.5" thickBot="1" x14ac:dyDescent="0.25">
      <c r="B99" s="765" t="s">
        <v>219</v>
      </c>
      <c r="C99" s="766"/>
      <c r="D99" s="766"/>
      <c r="E99" s="766"/>
      <c r="F99" s="766"/>
      <c r="G99" s="767">
        <f>O38</f>
        <v>291600</v>
      </c>
      <c r="H99" s="768"/>
      <c r="I99" s="121"/>
    </row>
    <row r="100" spans="2:9" ht="13.5" thickBot="1" x14ac:dyDescent="0.25">
      <c r="B100" s="765" t="str">
        <f>IF(G100&gt;0,"TAX PAYABLE","TAX REFUND")</f>
        <v>TAX REFUND</v>
      </c>
      <c r="C100" s="766"/>
      <c r="D100" s="766"/>
      <c r="E100" s="766"/>
      <c r="F100" s="766"/>
      <c r="G100" s="767">
        <f>+G98-G99</f>
        <v>-10934</v>
      </c>
      <c r="H100" s="768"/>
      <c r="I100" s="37"/>
    </row>
    <row r="101" spans="2:9" x14ac:dyDescent="0.2">
      <c r="C101" s="124"/>
      <c r="D101" s="45"/>
      <c r="E101" s="118"/>
      <c r="F101" s="118"/>
      <c r="G101" s="118"/>
      <c r="H101" s="118"/>
      <c r="I101" s="125"/>
    </row>
    <row r="102" spans="2:9" x14ac:dyDescent="0.2">
      <c r="C102" s="47"/>
      <c r="D102" s="50"/>
      <c r="E102" s="117"/>
      <c r="F102" s="47"/>
      <c r="G102" s="47"/>
      <c r="H102" s="47"/>
      <c r="I102" s="125"/>
    </row>
    <row r="103" spans="2:9" x14ac:dyDescent="0.2">
      <c r="C103" s="39"/>
      <c r="D103" s="126"/>
      <c r="E103" s="126"/>
      <c r="F103" s="126"/>
      <c r="G103" s="39"/>
      <c r="H103" s="39"/>
      <c r="I103" s="37"/>
    </row>
    <row r="104" spans="2:9" x14ac:dyDescent="0.2">
      <c r="C104" s="39"/>
      <c r="D104" s="126"/>
      <c r="E104" s="126"/>
      <c r="F104" s="39"/>
      <c r="G104" s="39"/>
      <c r="H104" s="39"/>
      <c r="I104" s="37"/>
    </row>
    <row r="105" spans="2:9" x14ac:dyDescent="0.2">
      <c r="C105" s="39"/>
      <c r="D105" s="126"/>
      <c r="E105" s="126"/>
      <c r="F105" s="39"/>
      <c r="G105" s="39"/>
      <c r="H105" s="39"/>
      <c r="I105" s="37"/>
    </row>
    <row r="106" spans="2:9" x14ac:dyDescent="0.2">
      <c r="C106" s="39"/>
      <c r="D106" s="39"/>
      <c r="E106" s="39"/>
      <c r="F106" s="39"/>
      <c r="G106" s="39"/>
      <c r="H106" s="39"/>
      <c r="I106" s="37"/>
    </row>
    <row r="107" spans="2:9" x14ac:dyDescent="0.2">
      <c r="C107" s="39"/>
      <c r="D107" s="39"/>
      <c r="E107" s="39"/>
      <c r="F107" s="39"/>
      <c r="G107" s="39"/>
      <c r="H107" s="39"/>
    </row>
    <row r="108" spans="2:9" x14ac:dyDescent="0.2">
      <c r="C108" s="39"/>
      <c r="D108" s="39"/>
      <c r="E108" s="39"/>
      <c r="F108" s="39"/>
      <c r="G108" s="39"/>
      <c r="H108"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60:F60"/>
    <mergeCell ref="G60:H60"/>
    <mergeCell ref="J60:O60"/>
    <mergeCell ref="B55:B58"/>
    <mergeCell ref="C55:C58"/>
    <mergeCell ref="D55:F55"/>
    <mergeCell ref="G55:H55"/>
    <mergeCell ref="D56:F56"/>
    <mergeCell ref="G56:H56"/>
    <mergeCell ref="J56:L56"/>
    <mergeCell ref="M56:O56"/>
    <mergeCell ref="D58:F58"/>
    <mergeCell ref="G58:H58"/>
    <mergeCell ref="J63:O63"/>
    <mergeCell ref="D81:F81"/>
    <mergeCell ref="J68:K68"/>
    <mergeCell ref="B65:F65"/>
    <mergeCell ref="G65:H65"/>
    <mergeCell ref="D76:F76"/>
    <mergeCell ref="D77:F77"/>
    <mergeCell ref="E78:F78"/>
    <mergeCell ref="D79:F79"/>
    <mergeCell ref="D80:F80"/>
    <mergeCell ref="D71:F71"/>
    <mergeCell ref="D72:F72"/>
    <mergeCell ref="C69:C75"/>
    <mergeCell ref="D69:F69"/>
    <mergeCell ref="D70:F70"/>
    <mergeCell ref="D74:F74"/>
    <mergeCell ref="G62:H62"/>
    <mergeCell ref="C63:F63"/>
    <mergeCell ref="G63:H63"/>
    <mergeCell ref="B62:F62"/>
    <mergeCell ref="D73:F73"/>
    <mergeCell ref="D75:F75"/>
    <mergeCell ref="G94:H94"/>
    <mergeCell ref="D82:F82"/>
    <mergeCell ref="D83:F83"/>
    <mergeCell ref="B84:F84"/>
    <mergeCell ref="B86:F86"/>
    <mergeCell ref="G86:H86"/>
    <mergeCell ref="C88:D88"/>
    <mergeCell ref="C89:D89"/>
    <mergeCell ref="C90:D90"/>
    <mergeCell ref="C91:D91"/>
    <mergeCell ref="C92:D92"/>
    <mergeCell ref="B94:F94"/>
    <mergeCell ref="B69:B83"/>
    <mergeCell ref="B100:F100"/>
    <mergeCell ref="G100:H100"/>
    <mergeCell ref="G95:H95"/>
    <mergeCell ref="G96:H96"/>
    <mergeCell ref="B97:F97"/>
    <mergeCell ref="G97:H97"/>
    <mergeCell ref="B98:F98"/>
    <mergeCell ref="G98:H98"/>
    <mergeCell ref="B99:F99"/>
    <mergeCell ref="G99:H99"/>
  </mergeCells>
  <conditionalFormatting sqref="B100:F100 B94:F98">
    <cfRule type="cellIs" dxfId="53" priority="1" stopIfTrue="1" operator="equal">
      <formula>"TAX PAYABLE"</formula>
    </cfRule>
    <cfRule type="cellIs" dxfId="52" priority="2" stopIfTrue="1" operator="equal">
      <formula>"TAX REFUND"</formula>
    </cfRule>
  </conditionalFormatting>
  <conditionalFormatting sqref="G100:H100">
    <cfRule type="cellIs" dxfId="51" priority="3" stopIfTrue="1" operator="greaterThan">
      <formula>0</formula>
    </cfRule>
    <cfRule type="cellIs" dxfId="50" priority="4"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5" right="0.75" top="1" bottom="1" header="0.5" footer="0.5"/>
  <headerFooter alignWithMargins="0"/>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7"/>
  <sheetViews>
    <sheetView topLeftCell="A4" workbookViewId="0">
      <selection activeCell="C38" sqref="C38:L38"/>
    </sheetView>
  </sheetViews>
  <sheetFormatPr defaultRowHeight="12.75" x14ac:dyDescent="0.2"/>
  <cols>
    <col min="1" max="1" width="3.85546875" style="16" customWidth="1"/>
    <col min="2" max="2" width="17" style="16" customWidth="1"/>
    <col min="3" max="3" width="9.140625" style="16"/>
    <col min="4" max="4" width="7.85546875" style="16" customWidth="1"/>
    <col min="5" max="5" width="8.5703125" style="16" bestFit="1" customWidth="1"/>
    <col min="6" max="6" width="9.28515625" style="16" bestFit="1" customWidth="1"/>
    <col min="7" max="7" width="8.42578125" style="16" bestFit="1" customWidth="1"/>
    <col min="8" max="8" width="8.85546875" style="16" bestFit="1" customWidth="1"/>
    <col min="9" max="9" width="9.85546875" style="16" customWidth="1"/>
    <col min="10" max="10" width="9.28515625" style="16" customWidth="1"/>
    <col min="11" max="13" width="10" style="16" bestFit="1" customWidth="1"/>
    <col min="14" max="14" width="8.140625" style="16" customWidth="1"/>
    <col min="15" max="15" width="9" style="16" customWidth="1"/>
    <col min="16" max="256" width="9.140625" style="16"/>
    <col min="257" max="257" width="3.85546875" style="16" customWidth="1"/>
    <col min="258" max="258" width="17" style="16" customWidth="1"/>
    <col min="259" max="259" width="9.140625" style="16"/>
    <col min="260" max="260" width="7.85546875" style="16" customWidth="1"/>
    <col min="261" max="261" width="8.5703125" style="16" bestFit="1" customWidth="1"/>
    <col min="262" max="262" width="9.28515625" style="16" bestFit="1" customWidth="1"/>
    <col min="263" max="263" width="8.42578125" style="16" bestFit="1" customWidth="1"/>
    <col min="264" max="264" width="8.85546875" style="16" bestFit="1" customWidth="1"/>
    <col min="265" max="265" width="9.85546875" style="16" customWidth="1"/>
    <col min="266" max="266" width="9.28515625" style="16" customWidth="1"/>
    <col min="267" max="269" width="10" style="16" bestFit="1" customWidth="1"/>
    <col min="270" max="270" width="8.140625" style="16" customWidth="1"/>
    <col min="271" max="271" width="9" style="16" customWidth="1"/>
    <col min="272" max="512" width="9.140625" style="16"/>
    <col min="513" max="513" width="3.85546875" style="16" customWidth="1"/>
    <col min="514" max="514" width="17" style="16" customWidth="1"/>
    <col min="515" max="515" width="9.140625" style="16"/>
    <col min="516" max="516" width="7.85546875" style="16" customWidth="1"/>
    <col min="517" max="517" width="8.5703125" style="16" bestFit="1" customWidth="1"/>
    <col min="518" max="518" width="9.28515625" style="16" bestFit="1" customWidth="1"/>
    <col min="519" max="519" width="8.42578125" style="16" bestFit="1" customWidth="1"/>
    <col min="520" max="520" width="8.85546875" style="16" bestFit="1" customWidth="1"/>
    <col min="521" max="521" width="9.85546875" style="16" customWidth="1"/>
    <col min="522" max="522" width="9.28515625" style="16" customWidth="1"/>
    <col min="523" max="525" width="10" style="16" bestFit="1" customWidth="1"/>
    <col min="526" max="526" width="8.140625" style="16" customWidth="1"/>
    <col min="527" max="527" width="9" style="16" customWidth="1"/>
    <col min="528" max="768" width="9.140625" style="16"/>
    <col min="769" max="769" width="3.85546875" style="16" customWidth="1"/>
    <col min="770" max="770" width="17" style="16" customWidth="1"/>
    <col min="771" max="771" width="9.140625" style="16"/>
    <col min="772" max="772" width="7.85546875" style="16" customWidth="1"/>
    <col min="773" max="773" width="8.5703125" style="16" bestFit="1" customWidth="1"/>
    <col min="774" max="774" width="9.28515625" style="16" bestFit="1" customWidth="1"/>
    <col min="775" max="775" width="8.42578125" style="16" bestFit="1" customWidth="1"/>
    <col min="776" max="776" width="8.85546875" style="16" bestFit="1" customWidth="1"/>
    <col min="777" max="777" width="9.85546875" style="16" customWidth="1"/>
    <col min="778" max="778" width="9.28515625" style="16" customWidth="1"/>
    <col min="779" max="781" width="10" style="16" bestFit="1" customWidth="1"/>
    <col min="782" max="782" width="8.140625" style="16" customWidth="1"/>
    <col min="783" max="783" width="9" style="16" customWidth="1"/>
    <col min="784" max="1024" width="9.140625" style="16"/>
    <col min="1025" max="1025" width="3.85546875" style="16" customWidth="1"/>
    <col min="1026" max="1026" width="17" style="16" customWidth="1"/>
    <col min="1027" max="1027" width="9.140625" style="16"/>
    <col min="1028" max="1028" width="7.85546875" style="16" customWidth="1"/>
    <col min="1029" max="1029" width="8.5703125" style="16" bestFit="1" customWidth="1"/>
    <col min="1030" max="1030" width="9.28515625" style="16" bestFit="1" customWidth="1"/>
    <col min="1031" max="1031" width="8.42578125" style="16" bestFit="1" customWidth="1"/>
    <col min="1032" max="1032" width="8.85546875" style="16" bestFit="1" customWidth="1"/>
    <col min="1033" max="1033" width="9.85546875" style="16" customWidth="1"/>
    <col min="1034" max="1034" width="9.28515625" style="16" customWidth="1"/>
    <col min="1035" max="1037" width="10" style="16" bestFit="1" customWidth="1"/>
    <col min="1038" max="1038" width="8.140625" style="16" customWidth="1"/>
    <col min="1039" max="1039" width="9" style="16" customWidth="1"/>
    <col min="1040" max="1280" width="9.140625" style="16"/>
    <col min="1281" max="1281" width="3.85546875" style="16" customWidth="1"/>
    <col min="1282" max="1282" width="17" style="16" customWidth="1"/>
    <col min="1283" max="1283" width="9.140625" style="16"/>
    <col min="1284" max="1284" width="7.85546875" style="16" customWidth="1"/>
    <col min="1285" max="1285" width="8.5703125" style="16" bestFit="1" customWidth="1"/>
    <col min="1286" max="1286" width="9.28515625" style="16" bestFit="1" customWidth="1"/>
    <col min="1287" max="1287" width="8.42578125" style="16" bestFit="1" customWidth="1"/>
    <col min="1288" max="1288" width="8.85546875" style="16" bestFit="1" customWidth="1"/>
    <col min="1289" max="1289" width="9.85546875" style="16" customWidth="1"/>
    <col min="1290" max="1290" width="9.28515625" style="16" customWidth="1"/>
    <col min="1291" max="1293" width="10" style="16" bestFit="1" customWidth="1"/>
    <col min="1294" max="1294" width="8.140625" style="16" customWidth="1"/>
    <col min="1295" max="1295" width="9" style="16" customWidth="1"/>
    <col min="1296" max="1536" width="9.140625" style="16"/>
    <col min="1537" max="1537" width="3.85546875" style="16" customWidth="1"/>
    <col min="1538" max="1538" width="17" style="16" customWidth="1"/>
    <col min="1539" max="1539" width="9.140625" style="16"/>
    <col min="1540" max="1540" width="7.85546875" style="16" customWidth="1"/>
    <col min="1541" max="1541" width="8.5703125" style="16" bestFit="1" customWidth="1"/>
    <col min="1542" max="1542" width="9.28515625" style="16" bestFit="1" customWidth="1"/>
    <col min="1543" max="1543" width="8.42578125" style="16" bestFit="1" customWidth="1"/>
    <col min="1544" max="1544" width="8.85546875" style="16" bestFit="1" customWidth="1"/>
    <col min="1545" max="1545" width="9.85546875" style="16" customWidth="1"/>
    <col min="1546" max="1546" width="9.28515625" style="16" customWidth="1"/>
    <col min="1547" max="1549" width="10" style="16" bestFit="1" customWidth="1"/>
    <col min="1550" max="1550" width="8.140625" style="16" customWidth="1"/>
    <col min="1551" max="1551" width="9" style="16" customWidth="1"/>
    <col min="1552" max="1792" width="9.140625" style="16"/>
    <col min="1793" max="1793" width="3.85546875" style="16" customWidth="1"/>
    <col min="1794" max="1794" width="17" style="16" customWidth="1"/>
    <col min="1795" max="1795" width="9.140625" style="16"/>
    <col min="1796" max="1796" width="7.85546875" style="16" customWidth="1"/>
    <col min="1797" max="1797" width="8.5703125" style="16" bestFit="1" customWidth="1"/>
    <col min="1798" max="1798" width="9.28515625" style="16" bestFit="1" customWidth="1"/>
    <col min="1799" max="1799" width="8.42578125" style="16" bestFit="1" customWidth="1"/>
    <col min="1800" max="1800" width="8.85546875" style="16" bestFit="1" customWidth="1"/>
    <col min="1801" max="1801" width="9.85546875" style="16" customWidth="1"/>
    <col min="1802" max="1802" width="9.28515625" style="16" customWidth="1"/>
    <col min="1803" max="1805" width="10" style="16" bestFit="1" customWidth="1"/>
    <col min="1806" max="1806" width="8.140625" style="16" customWidth="1"/>
    <col min="1807" max="1807" width="9" style="16" customWidth="1"/>
    <col min="1808" max="2048" width="9.140625" style="16"/>
    <col min="2049" max="2049" width="3.85546875" style="16" customWidth="1"/>
    <col min="2050" max="2050" width="17" style="16" customWidth="1"/>
    <col min="2051" max="2051" width="9.140625" style="16"/>
    <col min="2052" max="2052" width="7.85546875" style="16" customWidth="1"/>
    <col min="2053" max="2053" width="8.5703125" style="16" bestFit="1" customWidth="1"/>
    <col min="2054" max="2054" width="9.28515625" style="16" bestFit="1" customWidth="1"/>
    <col min="2055" max="2055" width="8.42578125" style="16" bestFit="1" customWidth="1"/>
    <col min="2056" max="2056" width="8.85546875" style="16" bestFit="1" customWidth="1"/>
    <col min="2057" max="2057" width="9.85546875" style="16" customWidth="1"/>
    <col min="2058" max="2058" width="9.28515625" style="16" customWidth="1"/>
    <col min="2059" max="2061" width="10" style="16" bestFit="1" customWidth="1"/>
    <col min="2062" max="2062" width="8.140625" style="16" customWidth="1"/>
    <col min="2063" max="2063" width="9" style="16" customWidth="1"/>
    <col min="2064" max="2304" width="9.140625" style="16"/>
    <col min="2305" max="2305" width="3.85546875" style="16" customWidth="1"/>
    <col min="2306" max="2306" width="17" style="16" customWidth="1"/>
    <col min="2307" max="2307" width="9.140625" style="16"/>
    <col min="2308" max="2308" width="7.85546875" style="16" customWidth="1"/>
    <col min="2309" max="2309" width="8.5703125" style="16" bestFit="1" customWidth="1"/>
    <col min="2310" max="2310" width="9.28515625" style="16" bestFit="1" customWidth="1"/>
    <col min="2311" max="2311" width="8.42578125" style="16" bestFit="1" customWidth="1"/>
    <col min="2312" max="2312" width="8.85546875" style="16" bestFit="1" customWidth="1"/>
    <col min="2313" max="2313" width="9.85546875" style="16" customWidth="1"/>
    <col min="2314" max="2314" width="9.28515625" style="16" customWidth="1"/>
    <col min="2315" max="2317" width="10" style="16" bestFit="1" customWidth="1"/>
    <col min="2318" max="2318" width="8.140625" style="16" customWidth="1"/>
    <col min="2319" max="2319" width="9" style="16" customWidth="1"/>
    <col min="2320" max="2560" width="9.140625" style="16"/>
    <col min="2561" max="2561" width="3.85546875" style="16" customWidth="1"/>
    <col min="2562" max="2562" width="17" style="16" customWidth="1"/>
    <col min="2563" max="2563" width="9.140625" style="16"/>
    <col min="2564" max="2564" width="7.85546875" style="16" customWidth="1"/>
    <col min="2565" max="2565" width="8.5703125" style="16" bestFit="1" customWidth="1"/>
    <col min="2566" max="2566" width="9.28515625" style="16" bestFit="1" customWidth="1"/>
    <col min="2567" max="2567" width="8.42578125" style="16" bestFit="1" customWidth="1"/>
    <col min="2568" max="2568" width="8.85546875" style="16" bestFit="1" customWidth="1"/>
    <col min="2569" max="2569" width="9.85546875" style="16" customWidth="1"/>
    <col min="2570" max="2570" width="9.28515625" style="16" customWidth="1"/>
    <col min="2571" max="2573" width="10" style="16" bestFit="1" customWidth="1"/>
    <col min="2574" max="2574" width="8.140625" style="16" customWidth="1"/>
    <col min="2575" max="2575" width="9" style="16" customWidth="1"/>
    <col min="2576" max="2816" width="9.140625" style="16"/>
    <col min="2817" max="2817" width="3.85546875" style="16" customWidth="1"/>
    <col min="2818" max="2818" width="17" style="16" customWidth="1"/>
    <col min="2819" max="2819" width="9.140625" style="16"/>
    <col min="2820" max="2820" width="7.85546875" style="16" customWidth="1"/>
    <col min="2821" max="2821" width="8.5703125" style="16" bestFit="1" customWidth="1"/>
    <col min="2822" max="2822" width="9.28515625" style="16" bestFit="1" customWidth="1"/>
    <col min="2823" max="2823" width="8.42578125" style="16" bestFit="1" customWidth="1"/>
    <col min="2824" max="2824" width="8.85546875" style="16" bestFit="1" customWidth="1"/>
    <col min="2825" max="2825" width="9.85546875" style="16" customWidth="1"/>
    <col min="2826" max="2826" width="9.28515625" style="16" customWidth="1"/>
    <col min="2827" max="2829" width="10" style="16" bestFit="1" customWidth="1"/>
    <col min="2830" max="2830" width="8.140625" style="16" customWidth="1"/>
    <col min="2831" max="2831" width="9" style="16" customWidth="1"/>
    <col min="2832" max="3072" width="9.140625" style="16"/>
    <col min="3073" max="3073" width="3.85546875" style="16" customWidth="1"/>
    <col min="3074" max="3074" width="17" style="16" customWidth="1"/>
    <col min="3075" max="3075" width="9.140625" style="16"/>
    <col min="3076" max="3076" width="7.85546875" style="16" customWidth="1"/>
    <col min="3077" max="3077" width="8.5703125" style="16" bestFit="1" customWidth="1"/>
    <col min="3078" max="3078" width="9.28515625" style="16" bestFit="1" customWidth="1"/>
    <col min="3079" max="3079" width="8.42578125" style="16" bestFit="1" customWidth="1"/>
    <col min="3080" max="3080" width="8.85546875" style="16" bestFit="1" customWidth="1"/>
    <col min="3081" max="3081" width="9.85546875" style="16" customWidth="1"/>
    <col min="3082" max="3082" width="9.28515625" style="16" customWidth="1"/>
    <col min="3083" max="3085" width="10" style="16" bestFit="1" customWidth="1"/>
    <col min="3086" max="3086" width="8.140625" style="16" customWidth="1"/>
    <col min="3087" max="3087" width="9" style="16" customWidth="1"/>
    <col min="3088" max="3328" width="9.140625" style="16"/>
    <col min="3329" max="3329" width="3.85546875" style="16" customWidth="1"/>
    <col min="3330" max="3330" width="17" style="16" customWidth="1"/>
    <col min="3331" max="3331" width="9.140625" style="16"/>
    <col min="3332" max="3332" width="7.85546875" style="16" customWidth="1"/>
    <col min="3333" max="3333" width="8.5703125" style="16" bestFit="1" customWidth="1"/>
    <col min="3334" max="3334" width="9.28515625" style="16" bestFit="1" customWidth="1"/>
    <col min="3335" max="3335" width="8.42578125" style="16" bestFit="1" customWidth="1"/>
    <col min="3336" max="3336" width="8.85546875" style="16" bestFit="1" customWidth="1"/>
    <col min="3337" max="3337" width="9.85546875" style="16" customWidth="1"/>
    <col min="3338" max="3338" width="9.28515625" style="16" customWidth="1"/>
    <col min="3339" max="3341" width="10" style="16" bestFit="1" customWidth="1"/>
    <col min="3342" max="3342" width="8.140625" style="16" customWidth="1"/>
    <col min="3343" max="3343" width="9" style="16" customWidth="1"/>
    <col min="3344" max="3584" width="9.140625" style="16"/>
    <col min="3585" max="3585" width="3.85546875" style="16" customWidth="1"/>
    <col min="3586" max="3586" width="17" style="16" customWidth="1"/>
    <col min="3587" max="3587" width="9.140625" style="16"/>
    <col min="3588" max="3588" width="7.85546875" style="16" customWidth="1"/>
    <col min="3589" max="3589" width="8.5703125" style="16" bestFit="1" customWidth="1"/>
    <col min="3590" max="3590" width="9.28515625" style="16" bestFit="1" customWidth="1"/>
    <col min="3591" max="3591" width="8.42578125" style="16" bestFit="1" customWidth="1"/>
    <col min="3592" max="3592" width="8.85546875" style="16" bestFit="1" customWidth="1"/>
    <col min="3593" max="3593" width="9.85546875" style="16" customWidth="1"/>
    <col min="3594" max="3594" width="9.28515625" style="16" customWidth="1"/>
    <col min="3595" max="3597" width="10" style="16" bestFit="1" customWidth="1"/>
    <col min="3598" max="3598" width="8.140625" style="16" customWidth="1"/>
    <col min="3599" max="3599" width="9" style="16" customWidth="1"/>
    <col min="3600" max="3840" width="9.140625" style="16"/>
    <col min="3841" max="3841" width="3.85546875" style="16" customWidth="1"/>
    <col min="3842" max="3842" width="17" style="16" customWidth="1"/>
    <col min="3843" max="3843" width="9.140625" style="16"/>
    <col min="3844" max="3844" width="7.85546875" style="16" customWidth="1"/>
    <col min="3845" max="3845" width="8.5703125" style="16" bestFit="1" customWidth="1"/>
    <col min="3846" max="3846" width="9.28515625" style="16" bestFit="1" customWidth="1"/>
    <col min="3847" max="3847" width="8.42578125" style="16" bestFit="1" customWidth="1"/>
    <col min="3848" max="3848" width="8.85546875" style="16" bestFit="1" customWidth="1"/>
    <col min="3849" max="3849" width="9.85546875" style="16" customWidth="1"/>
    <col min="3850" max="3850" width="9.28515625" style="16" customWidth="1"/>
    <col min="3851" max="3853" width="10" style="16" bestFit="1" customWidth="1"/>
    <col min="3854" max="3854" width="8.140625" style="16" customWidth="1"/>
    <col min="3855" max="3855" width="9" style="16" customWidth="1"/>
    <col min="3856" max="4096" width="9.140625" style="16"/>
    <col min="4097" max="4097" width="3.85546875" style="16" customWidth="1"/>
    <col min="4098" max="4098" width="17" style="16" customWidth="1"/>
    <col min="4099" max="4099" width="9.140625" style="16"/>
    <col min="4100" max="4100" width="7.85546875" style="16" customWidth="1"/>
    <col min="4101" max="4101" width="8.5703125" style="16" bestFit="1" customWidth="1"/>
    <col min="4102" max="4102" width="9.28515625" style="16" bestFit="1" customWidth="1"/>
    <col min="4103" max="4103" width="8.42578125" style="16" bestFit="1" customWidth="1"/>
    <col min="4104" max="4104" width="8.85546875" style="16" bestFit="1" customWidth="1"/>
    <col min="4105" max="4105" width="9.85546875" style="16" customWidth="1"/>
    <col min="4106" max="4106" width="9.28515625" style="16" customWidth="1"/>
    <col min="4107" max="4109" width="10" style="16" bestFit="1" customWidth="1"/>
    <col min="4110" max="4110" width="8.140625" style="16" customWidth="1"/>
    <col min="4111" max="4111" width="9" style="16" customWidth="1"/>
    <col min="4112" max="4352" width="9.140625" style="16"/>
    <col min="4353" max="4353" width="3.85546875" style="16" customWidth="1"/>
    <col min="4354" max="4354" width="17" style="16" customWidth="1"/>
    <col min="4355" max="4355" width="9.140625" style="16"/>
    <col min="4356" max="4356" width="7.85546875" style="16" customWidth="1"/>
    <col min="4357" max="4357" width="8.5703125" style="16" bestFit="1" customWidth="1"/>
    <col min="4358" max="4358" width="9.28515625" style="16" bestFit="1" customWidth="1"/>
    <col min="4359" max="4359" width="8.42578125" style="16" bestFit="1" customWidth="1"/>
    <col min="4360" max="4360" width="8.85546875" style="16" bestFit="1" customWidth="1"/>
    <col min="4361" max="4361" width="9.85546875" style="16" customWidth="1"/>
    <col min="4362" max="4362" width="9.28515625" style="16" customWidth="1"/>
    <col min="4363" max="4365" width="10" style="16" bestFit="1" customWidth="1"/>
    <col min="4366" max="4366" width="8.140625" style="16" customWidth="1"/>
    <col min="4367" max="4367" width="9" style="16" customWidth="1"/>
    <col min="4368" max="4608" width="9.140625" style="16"/>
    <col min="4609" max="4609" width="3.85546875" style="16" customWidth="1"/>
    <col min="4610" max="4610" width="17" style="16" customWidth="1"/>
    <col min="4611" max="4611" width="9.140625" style="16"/>
    <col min="4612" max="4612" width="7.85546875" style="16" customWidth="1"/>
    <col min="4613" max="4613" width="8.5703125" style="16" bestFit="1" customWidth="1"/>
    <col min="4614" max="4614" width="9.28515625" style="16" bestFit="1" customWidth="1"/>
    <col min="4615" max="4615" width="8.42578125" style="16" bestFit="1" customWidth="1"/>
    <col min="4616" max="4616" width="8.85546875" style="16" bestFit="1" customWidth="1"/>
    <col min="4617" max="4617" width="9.85546875" style="16" customWidth="1"/>
    <col min="4618" max="4618" width="9.28515625" style="16" customWidth="1"/>
    <col min="4619" max="4621" width="10" style="16" bestFit="1" customWidth="1"/>
    <col min="4622" max="4622" width="8.140625" style="16" customWidth="1"/>
    <col min="4623" max="4623" width="9" style="16" customWidth="1"/>
    <col min="4624" max="4864" width="9.140625" style="16"/>
    <col min="4865" max="4865" width="3.85546875" style="16" customWidth="1"/>
    <col min="4866" max="4866" width="17" style="16" customWidth="1"/>
    <col min="4867" max="4867" width="9.140625" style="16"/>
    <col min="4868" max="4868" width="7.85546875" style="16" customWidth="1"/>
    <col min="4869" max="4869" width="8.5703125" style="16" bestFit="1" customWidth="1"/>
    <col min="4870" max="4870" width="9.28515625" style="16" bestFit="1" customWidth="1"/>
    <col min="4871" max="4871" width="8.42578125" style="16" bestFit="1" customWidth="1"/>
    <col min="4872" max="4872" width="8.85546875" style="16" bestFit="1" customWidth="1"/>
    <col min="4873" max="4873" width="9.85546875" style="16" customWidth="1"/>
    <col min="4874" max="4874" width="9.28515625" style="16" customWidth="1"/>
    <col min="4875" max="4877" width="10" style="16" bestFit="1" customWidth="1"/>
    <col min="4878" max="4878" width="8.140625" style="16" customWidth="1"/>
    <col min="4879" max="4879" width="9" style="16" customWidth="1"/>
    <col min="4880" max="5120" width="9.140625" style="16"/>
    <col min="5121" max="5121" width="3.85546875" style="16" customWidth="1"/>
    <col min="5122" max="5122" width="17" style="16" customWidth="1"/>
    <col min="5123" max="5123" width="9.140625" style="16"/>
    <col min="5124" max="5124" width="7.85546875" style="16" customWidth="1"/>
    <col min="5125" max="5125" width="8.5703125" style="16" bestFit="1" customWidth="1"/>
    <col min="5126" max="5126" width="9.28515625" style="16" bestFit="1" customWidth="1"/>
    <col min="5127" max="5127" width="8.42578125" style="16" bestFit="1" customWidth="1"/>
    <col min="5128" max="5128" width="8.85546875" style="16" bestFit="1" customWidth="1"/>
    <col min="5129" max="5129" width="9.85546875" style="16" customWidth="1"/>
    <col min="5130" max="5130" width="9.28515625" style="16" customWidth="1"/>
    <col min="5131" max="5133" width="10" style="16" bestFit="1" customWidth="1"/>
    <col min="5134" max="5134" width="8.140625" style="16" customWidth="1"/>
    <col min="5135" max="5135" width="9" style="16" customWidth="1"/>
    <col min="5136" max="5376" width="9.140625" style="16"/>
    <col min="5377" max="5377" width="3.85546875" style="16" customWidth="1"/>
    <col min="5378" max="5378" width="17" style="16" customWidth="1"/>
    <col min="5379" max="5379" width="9.140625" style="16"/>
    <col min="5380" max="5380" width="7.85546875" style="16" customWidth="1"/>
    <col min="5381" max="5381" width="8.5703125" style="16" bestFit="1" customWidth="1"/>
    <col min="5382" max="5382" width="9.28515625" style="16" bestFit="1" customWidth="1"/>
    <col min="5383" max="5383" width="8.42578125" style="16" bestFit="1" customWidth="1"/>
    <col min="5384" max="5384" width="8.85546875" style="16" bestFit="1" customWidth="1"/>
    <col min="5385" max="5385" width="9.85546875" style="16" customWidth="1"/>
    <col min="5386" max="5386" width="9.28515625" style="16" customWidth="1"/>
    <col min="5387" max="5389" width="10" style="16" bestFit="1" customWidth="1"/>
    <col min="5390" max="5390" width="8.140625" style="16" customWidth="1"/>
    <col min="5391" max="5391" width="9" style="16" customWidth="1"/>
    <col min="5392" max="5632" width="9.140625" style="16"/>
    <col min="5633" max="5633" width="3.85546875" style="16" customWidth="1"/>
    <col min="5634" max="5634" width="17" style="16" customWidth="1"/>
    <col min="5635" max="5635" width="9.140625" style="16"/>
    <col min="5636" max="5636" width="7.85546875" style="16" customWidth="1"/>
    <col min="5637" max="5637" width="8.5703125" style="16" bestFit="1" customWidth="1"/>
    <col min="5638" max="5638" width="9.28515625" style="16" bestFit="1" customWidth="1"/>
    <col min="5639" max="5639" width="8.42578125" style="16" bestFit="1" customWidth="1"/>
    <col min="5640" max="5640" width="8.85546875" style="16" bestFit="1" customWidth="1"/>
    <col min="5641" max="5641" width="9.85546875" style="16" customWidth="1"/>
    <col min="5642" max="5642" width="9.28515625" style="16" customWidth="1"/>
    <col min="5643" max="5645" width="10" style="16" bestFit="1" customWidth="1"/>
    <col min="5646" max="5646" width="8.140625" style="16" customWidth="1"/>
    <col min="5647" max="5647" width="9" style="16" customWidth="1"/>
    <col min="5648" max="5888" width="9.140625" style="16"/>
    <col min="5889" max="5889" width="3.85546875" style="16" customWidth="1"/>
    <col min="5890" max="5890" width="17" style="16" customWidth="1"/>
    <col min="5891" max="5891" width="9.140625" style="16"/>
    <col min="5892" max="5892" width="7.85546875" style="16" customWidth="1"/>
    <col min="5893" max="5893" width="8.5703125" style="16" bestFit="1" customWidth="1"/>
    <col min="5894" max="5894" width="9.28515625" style="16" bestFit="1" customWidth="1"/>
    <col min="5895" max="5895" width="8.42578125" style="16" bestFit="1" customWidth="1"/>
    <col min="5896" max="5896" width="8.85546875" style="16" bestFit="1" customWidth="1"/>
    <col min="5897" max="5897" width="9.85546875" style="16" customWidth="1"/>
    <col min="5898" max="5898" width="9.28515625" style="16" customWidth="1"/>
    <col min="5899" max="5901" width="10" style="16" bestFit="1" customWidth="1"/>
    <col min="5902" max="5902" width="8.140625" style="16" customWidth="1"/>
    <col min="5903" max="5903" width="9" style="16" customWidth="1"/>
    <col min="5904" max="6144" width="9.140625" style="16"/>
    <col min="6145" max="6145" width="3.85546875" style="16" customWidth="1"/>
    <col min="6146" max="6146" width="17" style="16" customWidth="1"/>
    <col min="6147" max="6147" width="9.140625" style="16"/>
    <col min="6148" max="6148" width="7.85546875" style="16" customWidth="1"/>
    <col min="6149" max="6149" width="8.5703125" style="16" bestFit="1" customWidth="1"/>
    <col min="6150" max="6150" width="9.28515625" style="16" bestFit="1" customWidth="1"/>
    <col min="6151" max="6151" width="8.42578125" style="16" bestFit="1" customWidth="1"/>
    <col min="6152" max="6152" width="8.85546875" style="16" bestFit="1" customWidth="1"/>
    <col min="6153" max="6153" width="9.85546875" style="16" customWidth="1"/>
    <col min="6154" max="6154" width="9.28515625" style="16" customWidth="1"/>
    <col min="6155" max="6157" width="10" style="16" bestFit="1" customWidth="1"/>
    <col min="6158" max="6158" width="8.140625" style="16" customWidth="1"/>
    <col min="6159" max="6159" width="9" style="16" customWidth="1"/>
    <col min="6160" max="6400" width="9.140625" style="16"/>
    <col min="6401" max="6401" width="3.85546875" style="16" customWidth="1"/>
    <col min="6402" max="6402" width="17" style="16" customWidth="1"/>
    <col min="6403" max="6403" width="9.140625" style="16"/>
    <col min="6404" max="6404" width="7.85546875" style="16" customWidth="1"/>
    <col min="6405" max="6405" width="8.5703125" style="16" bestFit="1" customWidth="1"/>
    <col min="6406" max="6406" width="9.28515625" style="16" bestFit="1" customWidth="1"/>
    <col min="6407" max="6407" width="8.42578125" style="16" bestFit="1" customWidth="1"/>
    <col min="6408" max="6408" width="8.85546875" style="16" bestFit="1" customWidth="1"/>
    <col min="6409" max="6409" width="9.85546875" style="16" customWidth="1"/>
    <col min="6410" max="6410" width="9.28515625" style="16" customWidth="1"/>
    <col min="6411" max="6413" width="10" style="16" bestFit="1" customWidth="1"/>
    <col min="6414" max="6414" width="8.140625" style="16" customWidth="1"/>
    <col min="6415" max="6415" width="9" style="16" customWidth="1"/>
    <col min="6416" max="6656" width="9.140625" style="16"/>
    <col min="6657" max="6657" width="3.85546875" style="16" customWidth="1"/>
    <col min="6658" max="6658" width="17" style="16" customWidth="1"/>
    <col min="6659" max="6659" width="9.140625" style="16"/>
    <col min="6660" max="6660" width="7.85546875" style="16" customWidth="1"/>
    <col min="6661" max="6661" width="8.5703125" style="16" bestFit="1" customWidth="1"/>
    <col min="6662" max="6662" width="9.28515625" style="16" bestFit="1" customWidth="1"/>
    <col min="6663" max="6663" width="8.42578125" style="16" bestFit="1" customWidth="1"/>
    <col min="6664" max="6664" width="8.85546875" style="16" bestFit="1" customWidth="1"/>
    <col min="6665" max="6665" width="9.85546875" style="16" customWidth="1"/>
    <col min="6666" max="6666" width="9.28515625" style="16" customWidth="1"/>
    <col min="6667" max="6669" width="10" style="16" bestFit="1" customWidth="1"/>
    <col min="6670" max="6670" width="8.140625" style="16" customWidth="1"/>
    <col min="6671" max="6671" width="9" style="16" customWidth="1"/>
    <col min="6672" max="6912" width="9.140625" style="16"/>
    <col min="6913" max="6913" width="3.85546875" style="16" customWidth="1"/>
    <col min="6914" max="6914" width="17" style="16" customWidth="1"/>
    <col min="6915" max="6915" width="9.140625" style="16"/>
    <col min="6916" max="6916" width="7.85546875" style="16" customWidth="1"/>
    <col min="6917" max="6917" width="8.5703125" style="16" bestFit="1" customWidth="1"/>
    <col min="6918" max="6918" width="9.28515625" style="16" bestFit="1" customWidth="1"/>
    <col min="6919" max="6919" width="8.42578125" style="16" bestFit="1" customWidth="1"/>
    <col min="6920" max="6920" width="8.85546875" style="16" bestFit="1" customWidth="1"/>
    <col min="6921" max="6921" width="9.85546875" style="16" customWidth="1"/>
    <col min="6922" max="6922" width="9.28515625" style="16" customWidth="1"/>
    <col min="6923" max="6925" width="10" style="16" bestFit="1" customWidth="1"/>
    <col min="6926" max="6926" width="8.140625" style="16" customWidth="1"/>
    <col min="6927" max="6927" width="9" style="16" customWidth="1"/>
    <col min="6928" max="7168" width="9.140625" style="16"/>
    <col min="7169" max="7169" width="3.85546875" style="16" customWidth="1"/>
    <col min="7170" max="7170" width="17" style="16" customWidth="1"/>
    <col min="7171" max="7171" width="9.140625" style="16"/>
    <col min="7172" max="7172" width="7.85546875" style="16" customWidth="1"/>
    <col min="7173" max="7173" width="8.5703125" style="16" bestFit="1" customWidth="1"/>
    <col min="7174" max="7174" width="9.28515625" style="16" bestFit="1" customWidth="1"/>
    <col min="7175" max="7175" width="8.42578125" style="16" bestFit="1" customWidth="1"/>
    <col min="7176" max="7176" width="8.85546875" style="16" bestFit="1" customWidth="1"/>
    <col min="7177" max="7177" width="9.85546875" style="16" customWidth="1"/>
    <col min="7178" max="7178" width="9.28515625" style="16" customWidth="1"/>
    <col min="7179" max="7181" width="10" style="16" bestFit="1" customWidth="1"/>
    <col min="7182" max="7182" width="8.140625" style="16" customWidth="1"/>
    <col min="7183" max="7183" width="9" style="16" customWidth="1"/>
    <col min="7184" max="7424" width="9.140625" style="16"/>
    <col min="7425" max="7425" width="3.85546875" style="16" customWidth="1"/>
    <col min="7426" max="7426" width="17" style="16" customWidth="1"/>
    <col min="7427" max="7427" width="9.140625" style="16"/>
    <col min="7428" max="7428" width="7.85546875" style="16" customWidth="1"/>
    <col min="7429" max="7429" width="8.5703125" style="16" bestFit="1" customWidth="1"/>
    <col min="7430" max="7430" width="9.28515625" style="16" bestFit="1" customWidth="1"/>
    <col min="7431" max="7431" width="8.42578125" style="16" bestFit="1" customWidth="1"/>
    <col min="7432" max="7432" width="8.85546875" style="16" bestFit="1" customWidth="1"/>
    <col min="7433" max="7433" width="9.85546875" style="16" customWidth="1"/>
    <col min="7434" max="7434" width="9.28515625" style="16" customWidth="1"/>
    <col min="7435" max="7437" width="10" style="16" bestFit="1" customWidth="1"/>
    <col min="7438" max="7438" width="8.140625" style="16" customWidth="1"/>
    <col min="7439" max="7439" width="9" style="16" customWidth="1"/>
    <col min="7440" max="7680" width="9.140625" style="16"/>
    <col min="7681" max="7681" width="3.85546875" style="16" customWidth="1"/>
    <col min="7682" max="7682" width="17" style="16" customWidth="1"/>
    <col min="7683" max="7683" width="9.140625" style="16"/>
    <col min="7684" max="7684" width="7.85546875" style="16" customWidth="1"/>
    <col min="7685" max="7685" width="8.5703125" style="16" bestFit="1" customWidth="1"/>
    <col min="7686" max="7686" width="9.28515625" style="16" bestFit="1" customWidth="1"/>
    <col min="7687" max="7687" width="8.42578125" style="16" bestFit="1" customWidth="1"/>
    <col min="7688" max="7688" width="8.85546875" style="16" bestFit="1" customWidth="1"/>
    <col min="7689" max="7689" width="9.85546875" style="16" customWidth="1"/>
    <col min="7690" max="7690" width="9.28515625" style="16" customWidth="1"/>
    <col min="7691" max="7693" width="10" style="16" bestFit="1" customWidth="1"/>
    <col min="7694" max="7694" width="8.140625" style="16" customWidth="1"/>
    <col min="7695" max="7695" width="9" style="16" customWidth="1"/>
    <col min="7696" max="7936" width="9.140625" style="16"/>
    <col min="7937" max="7937" width="3.85546875" style="16" customWidth="1"/>
    <col min="7938" max="7938" width="17" style="16" customWidth="1"/>
    <col min="7939" max="7939" width="9.140625" style="16"/>
    <col min="7940" max="7940" width="7.85546875" style="16" customWidth="1"/>
    <col min="7941" max="7941" width="8.5703125" style="16" bestFit="1" customWidth="1"/>
    <col min="7942" max="7942" width="9.28515625" style="16" bestFit="1" customWidth="1"/>
    <col min="7943" max="7943" width="8.42578125" style="16" bestFit="1" customWidth="1"/>
    <col min="7944" max="7944" width="8.85546875" style="16" bestFit="1" customWidth="1"/>
    <col min="7945" max="7945" width="9.85546875" style="16" customWidth="1"/>
    <col min="7946" max="7946" width="9.28515625" style="16" customWidth="1"/>
    <col min="7947" max="7949" width="10" style="16" bestFit="1" customWidth="1"/>
    <col min="7950" max="7950" width="8.140625" style="16" customWidth="1"/>
    <col min="7951" max="7951" width="9" style="16" customWidth="1"/>
    <col min="7952" max="8192" width="9.140625" style="16"/>
    <col min="8193" max="8193" width="3.85546875" style="16" customWidth="1"/>
    <col min="8194" max="8194" width="17" style="16" customWidth="1"/>
    <col min="8195" max="8195" width="9.140625" style="16"/>
    <col min="8196" max="8196" width="7.85546875" style="16" customWidth="1"/>
    <col min="8197" max="8197" width="8.5703125" style="16" bestFit="1" customWidth="1"/>
    <col min="8198" max="8198" width="9.28515625" style="16" bestFit="1" customWidth="1"/>
    <col min="8199" max="8199" width="8.42578125" style="16" bestFit="1" customWidth="1"/>
    <col min="8200" max="8200" width="8.85546875" style="16" bestFit="1" customWidth="1"/>
    <col min="8201" max="8201" width="9.85546875" style="16" customWidth="1"/>
    <col min="8202" max="8202" width="9.28515625" style="16" customWidth="1"/>
    <col min="8203" max="8205" width="10" style="16" bestFit="1" customWidth="1"/>
    <col min="8206" max="8206" width="8.140625" style="16" customWidth="1"/>
    <col min="8207" max="8207" width="9" style="16" customWidth="1"/>
    <col min="8208" max="8448" width="9.140625" style="16"/>
    <col min="8449" max="8449" width="3.85546875" style="16" customWidth="1"/>
    <col min="8450" max="8450" width="17" style="16" customWidth="1"/>
    <col min="8451" max="8451" width="9.140625" style="16"/>
    <col min="8452" max="8452" width="7.85546875" style="16" customWidth="1"/>
    <col min="8453" max="8453" width="8.5703125" style="16" bestFit="1" customWidth="1"/>
    <col min="8454" max="8454" width="9.28515625" style="16" bestFit="1" customWidth="1"/>
    <col min="8455" max="8455" width="8.42578125" style="16" bestFit="1" customWidth="1"/>
    <col min="8456" max="8456" width="8.85546875" style="16" bestFit="1" customWidth="1"/>
    <col min="8457" max="8457" width="9.85546875" style="16" customWidth="1"/>
    <col min="8458" max="8458" width="9.28515625" style="16" customWidth="1"/>
    <col min="8459" max="8461" width="10" style="16" bestFit="1" customWidth="1"/>
    <col min="8462" max="8462" width="8.140625" style="16" customWidth="1"/>
    <col min="8463" max="8463" width="9" style="16" customWidth="1"/>
    <col min="8464" max="8704" width="9.140625" style="16"/>
    <col min="8705" max="8705" width="3.85546875" style="16" customWidth="1"/>
    <col min="8706" max="8706" width="17" style="16" customWidth="1"/>
    <col min="8707" max="8707" width="9.140625" style="16"/>
    <col min="8708" max="8708" width="7.85546875" style="16" customWidth="1"/>
    <col min="8709" max="8709" width="8.5703125" style="16" bestFit="1" customWidth="1"/>
    <col min="8710" max="8710" width="9.28515625" style="16" bestFit="1" customWidth="1"/>
    <col min="8711" max="8711" width="8.42578125" style="16" bestFit="1" customWidth="1"/>
    <col min="8712" max="8712" width="8.85546875" style="16" bestFit="1" customWidth="1"/>
    <col min="8713" max="8713" width="9.85546875" style="16" customWidth="1"/>
    <col min="8714" max="8714" width="9.28515625" style="16" customWidth="1"/>
    <col min="8715" max="8717" width="10" style="16" bestFit="1" customWidth="1"/>
    <col min="8718" max="8718" width="8.140625" style="16" customWidth="1"/>
    <col min="8719" max="8719" width="9" style="16" customWidth="1"/>
    <col min="8720" max="8960" width="9.140625" style="16"/>
    <col min="8961" max="8961" width="3.85546875" style="16" customWidth="1"/>
    <col min="8962" max="8962" width="17" style="16" customWidth="1"/>
    <col min="8963" max="8963" width="9.140625" style="16"/>
    <col min="8964" max="8964" width="7.85546875" style="16" customWidth="1"/>
    <col min="8965" max="8965" width="8.5703125" style="16" bestFit="1" customWidth="1"/>
    <col min="8966" max="8966" width="9.28515625" style="16" bestFit="1" customWidth="1"/>
    <col min="8967" max="8967" width="8.42578125" style="16" bestFit="1" customWidth="1"/>
    <col min="8968" max="8968" width="8.85546875" style="16" bestFit="1" customWidth="1"/>
    <col min="8969" max="8969" width="9.85546875" style="16" customWidth="1"/>
    <col min="8970" max="8970" width="9.28515625" style="16" customWidth="1"/>
    <col min="8971" max="8973" width="10" style="16" bestFit="1" customWidth="1"/>
    <col min="8974" max="8974" width="8.140625" style="16" customWidth="1"/>
    <col min="8975" max="8975" width="9" style="16" customWidth="1"/>
    <col min="8976" max="9216" width="9.140625" style="16"/>
    <col min="9217" max="9217" width="3.85546875" style="16" customWidth="1"/>
    <col min="9218" max="9218" width="17" style="16" customWidth="1"/>
    <col min="9219" max="9219" width="9.140625" style="16"/>
    <col min="9220" max="9220" width="7.85546875" style="16" customWidth="1"/>
    <col min="9221" max="9221" width="8.5703125" style="16" bestFit="1" customWidth="1"/>
    <col min="9222" max="9222" width="9.28515625" style="16" bestFit="1" customWidth="1"/>
    <col min="9223" max="9223" width="8.42578125" style="16" bestFit="1" customWidth="1"/>
    <col min="9224" max="9224" width="8.85546875" style="16" bestFit="1" customWidth="1"/>
    <col min="9225" max="9225" width="9.85546875" style="16" customWidth="1"/>
    <col min="9226" max="9226" width="9.28515625" style="16" customWidth="1"/>
    <col min="9227" max="9229" width="10" style="16" bestFit="1" customWidth="1"/>
    <col min="9230" max="9230" width="8.140625" style="16" customWidth="1"/>
    <col min="9231" max="9231" width="9" style="16" customWidth="1"/>
    <col min="9232" max="9472" width="9.140625" style="16"/>
    <col min="9473" max="9473" width="3.85546875" style="16" customWidth="1"/>
    <col min="9474" max="9474" width="17" style="16" customWidth="1"/>
    <col min="9475" max="9475" width="9.140625" style="16"/>
    <col min="9476" max="9476" width="7.85546875" style="16" customWidth="1"/>
    <col min="9477" max="9477" width="8.5703125" style="16" bestFit="1" customWidth="1"/>
    <col min="9478" max="9478" width="9.28515625" style="16" bestFit="1" customWidth="1"/>
    <col min="9479" max="9479" width="8.42578125" style="16" bestFit="1" customWidth="1"/>
    <col min="9480" max="9480" width="8.85546875" style="16" bestFit="1" customWidth="1"/>
    <col min="9481" max="9481" width="9.85546875" style="16" customWidth="1"/>
    <col min="9482" max="9482" width="9.28515625" style="16" customWidth="1"/>
    <col min="9483" max="9485" width="10" style="16" bestFit="1" customWidth="1"/>
    <col min="9486" max="9486" width="8.140625" style="16" customWidth="1"/>
    <col min="9487" max="9487" width="9" style="16" customWidth="1"/>
    <col min="9488" max="9728" width="9.140625" style="16"/>
    <col min="9729" max="9729" width="3.85546875" style="16" customWidth="1"/>
    <col min="9730" max="9730" width="17" style="16" customWidth="1"/>
    <col min="9731" max="9731" width="9.140625" style="16"/>
    <col min="9732" max="9732" width="7.85546875" style="16" customWidth="1"/>
    <col min="9733" max="9733" width="8.5703125" style="16" bestFit="1" customWidth="1"/>
    <col min="9734" max="9734" width="9.28515625" style="16" bestFit="1" customWidth="1"/>
    <col min="9735" max="9735" width="8.42578125" style="16" bestFit="1" customWidth="1"/>
    <col min="9736" max="9736" width="8.85546875" style="16" bestFit="1" customWidth="1"/>
    <col min="9737" max="9737" width="9.85546875" style="16" customWidth="1"/>
    <col min="9738" max="9738" width="9.28515625" style="16" customWidth="1"/>
    <col min="9739" max="9741" width="10" style="16" bestFit="1" customWidth="1"/>
    <col min="9742" max="9742" width="8.140625" style="16" customWidth="1"/>
    <col min="9743" max="9743" width="9" style="16" customWidth="1"/>
    <col min="9744" max="9984" width="9.140625" style="16"/>
    <col min="9985" max="9985" width="3.85546875" style="16" customWidth="1"/>
    <col min="9986" max="9986" width="17" style="16" customWidth="1"/>
    <col min="9987" max="9987" width="9.140625" style="16"/>
    <col min="9988" max="9988" width="7.85546875" style="16" customWidth="1"/>
    <col min="9989" max="9989" width="8.5703125" style="16" bestFit="1" customWidth="1"/>
    <col min="9990" max="9990" width="9.28515625" style="16" bestFit="1" customWidth="1"/>
    <col min="9991" max="9991" width="8.42578125" style="16" bestFit="1" customWidth="1"/>
    <col min="9992" max="9992" width="8.85546875" style="16" bestFit="1" customWidth="1"/>
    <col min="9993" max="9993" width="9.85546875" style="16" customWidth="1"/>
    <col min="9994" max="9994" width="9.28515625" style="16" customWidth="1"/>
    <col min="9995" max="9997" width="10" style="16" bestFit="1" customWidth="1"/>
    <col min="9998" max="9998" width="8.140625" style="16" customWidth="1"/>
    <col min="9999" max="9999" width="9" style="16" customWidth="1"/>
    <col min="10000" max="10240" width="9.140625" style="16"/>
    <col min="10241" max="10241" width="3.85546875" style="16" customWidth="1"/>
    <col min="10242" max="10242" width="17" style="16" customWidth="1"/>
    <col min="10243" max="10243" width="9.140625" style="16"/>
    <col min="10244" max="10244" width="7.85546875" style="16" customWidth="1"/>
    <col min="10245" max="10245" width="8.5703125" style="16" bestFit="1" customWidth="1"/>
    <col min="10246" max="10246" width="9.28515625" style="16" bestFit="1" customWidth="1"/>
    <col min="10247" max="10247" width="8.42578125" style="16" bestFit="1" customWidth="1"/>
    <col min="10248" max="10248" width="8.85546875" style="16" bestFit="1" customWidth="1"/>
    <col min="10249" max="10249" width="9.85546875" style="16" customWidth="1"/>
    <col min="10250" max="10250" width="9.28515625" style="16" customWidth="1"/>
    <col min="10251" max="10253" width="10" style="16" bestFit="1" customWidth="1"/>
    <col min="10254" max="10254" width="8.140625" style="16" customWidth="1"/>
    <col min="10255" max="10255" width="9" style="16" customWidth="1"/>
    <col min="10256" max="10496" width="9.140625" style="16"/>
    <col min="10497" max="10497" width="3.85546875" style="16" customWidth="1"/>
    <col min="10498" max="10498" width="17" style="16" customWidth="1"/>
    <col min="10499" max="10499" width="9.140625" style="16"/>
    <col min="10500" max="10500" width="7.85546875" style="16" customWidth="1"/>
    <col min="10501" max="10501" width="8.5703125" style="16" bestFit="1" customWidth="1"/>
    <col min="10502" max="10502" width="9.28515625" style="16" bestFit="1" customWidth="1"/>
    <col min="10503" max="10503" width="8.42578125" style="16" bestFit="1" customWidth="1"/>
    <col min="10504" max="10504" width="8.85546875" style="16" bestFit="1" customWidth="1"/>
    <col min="10505" max="10505" width="9.85546875" style="16" customWidth="1"/>
    <col min="10506" max="10506" width="9.28515625" style="16" customWidth="1"/>
    <col min="10507" max="10509" width="10" style="16" bestFit="1" customWidth="1"/>
    <col min="10510" max="10510" width="8.140625" style="16" customWidth="1"/>
    <col min="10511" max="10511" width="9" style="16" customWidth="1"/>
    <col min="10512" max="10752" width="9.140625" style="16"/>
    <col min="10753" max="10753" width="3.85546875" style="16" customWidth="1"/>
    <col min="10754" max="10754" width="17" style="16" customWidth="1"/>
    <col min="10755" max="10755" width="9.140625" style="16"/>
    <col min="10756" max="10756" width="7.85546875" style="16" customWidth="1"/>
    <col min="10757" max="10757" width="8.5703125" style="16" bestFit="1" customWidth="1"/>
    <col min="10758" max="10758" width="9.28515625" style="16" bestFit="1" customWidth="1"/>
    <col min="10759" max="10759" width="8.42578125" style="16" bestFit="1" customWidth="1"/>
    <col min="10760" max="10760" width="8.85546875" style="16" bestFit="1" customWidth="1"/>
    <col min="10761" max="10761" width="9.85546875" style="16" customWidth="1"/>
    <col min="10762" max="10762" width="9.28515625" style="16" customWidth="1"/>
    <col min="10763" max="10765" width="10" style="16" bestFit="1" customWidth="1"/>
    <col min="10766" max="10766" width="8.140625" style="16" customWidth="1"/>
    <col min="10767" max="10767" width="9" style="16" customWidth="1"/>
    <col min="10768" max="11008" width="9.140625" style="16"/>
    <col min="11009" max="11009" width="3.85546875" style="16" customWidth="1"/>
    <col min="11010" max="11010" width="17" style="16" customWidth="1"/>
    <col min="11011" max="11011" width="9.140625" style="16"/>
    <col min="11012" max="11012" width="7.85546875" style="16" customWidth="1"/>
    <col min="11013" max="11013" width="8.5703125" style="16" bestFit="1" customWidth="1"/>
    <col min="11014" max="11014" width="9.28515625" style="16" bestFit="1" customWidth="1"/>
    <col min="11015" max="11015" width="8.42578125" style="16" bestFit="1" customWidth="1"/>
    <col min="11016" max="11016" width="8.85546875" style="16" bestFit="1" customWidth="1"/>
    <col min="11017" max="11017" width="9.85546875" style="16" customWidth="1"/>
    <col min="11018" max="11018" width="9.28515625" style="16" customWidth="1"/>
    <col min="11019" max="11021" width="10" style="16" bestFit="1" customWidth="1"/>
    <col min="11022" max="11022" width="8.140625" style="16" customWidth="1"/>
    <col min="11023" max="11023" width="9" style="16" customWidth="1"/>
    <col min="11024" max="11264" width="9.140625" style="16"/>
    <col min="11265" max="11265" width="3.85546875" style="16" customWidth="1"/>
    <col min="11266" max="11266" width="17" style="16" customWidth="1"/>
    <col min="11267" max="11267" width="9.140625" style="16"/>
    <col min="11268" max="11268" width="7.85546875" style="16" customWidth="1"/>
    <col min="11269" max="11269" width="8.5703125" style="16" bestFit="1" customWidth="1"/>
    <col min="11270" max="11270" width="9.28515625" style="16" bestFit="1" customWidth="1"/>
    <col min="11271" max="11271" width="8.42578125" style="16" bestFit="1" customWidth="1"/>
    <col min="11272" max="11272" width="8.85546875" style="16" bestFit="1" customWidth="1"/>
    <col min="11273" max="11273" width="9.85546875" style="16" customWidth="1"/>
    <col min="11274" max="11274" width="9.28515625" style="16" customWidth="1"/>
    <col min="11275" max="11277" width="10" style="16" bestFit="1" customWidth="1"/>
    <col min="11278" max="11278" width="8.140625" style="16" customWidth="1"/>
    <col min="11279" max="11279" width="9" style="16" customWidth="1"/>
    <col min="11280" max="11520" width="9.140625" style="16"/>
    <col min="11521" max="11521" width="3.85546875" style="16" customWidth="1"/>
    <col min="11522" max="11522" width="17" style="16" customWidth="1"/>
    <col min="11523" max="11523" width="9.140625" style="16"/>
    <col min="11524" max="11524" width="7.85546875" style="16" customWidth="1"/>
    <col min="11525" max="11525" width="8.5703125" style="16" bestFit="1" customWidth="1"/>
    <col min="11526" max="11526" width="9.28515625" style="16" bestFit="1" customWidth="1"/>
    <col min="11527" max="11527" width="8.42578125" style="16" bestFit="1" customWidth="1"/>
    <col min="11528" max="11528" width="8.85546875" style="16" bestFit="1" customWidth="1"/>
    <col min="11529" max="11529" width="9.85546875" style="16" customWidth="1"/>
    <col min="11530" max="11530" width="9.28515625" style="16" customWidth="1"/>
    <col min="11531" max="11533" width="10" style="16" bestFit="1" customWidth="1"/>
    <col min="11534" max="11534" width="8.140625" style="16" customWidth="1"/>
    <col min="11535" max="11535" width="9" style="16" customWidth="1"/>
    <col min="11536" max="11776" width="9.140625" style="16"/>
    <col min="11777" max="11777" width="3.85546875" style="16" customWidth="1"/>
    <col min="11778" max="11778" width="17" style="16" customWidth="1"/>
    <col min="11779" max="11779" width="9.140625" style="16"/>
    <col min="11780" max="11780" width="7.85546875" style="16" customWidth="1"/>
    <col min="11781" max="11781" width="8.5703125" style="16" bestFit="1" customWidth="1"/>
    <col min="11782" max="11782" width="9.28515625" style="16" bestFit="1" customWidth="1"/>
    <col min="11783" max="11783" width="8.42578125" style="16" bestFit="1" customWidth="1"/>
    <col min="11784" max="11784" width="8.85546875" style="16" bestFit="1" customWidth="1"/>
    <col min="11785" max="11785" width="9.85546875" style="16" customWidth="1"/>
    <col min="11786" max="11786" width="9.28515625" style="16" customWidth="1"/>
    <col min="11787" max="11789" width="10" style="16" bestFit="1" customWidth="1"/>
    <col min="11790" max="11790" width="8.140625" style="16" customWidth="1"/>
    <col min="11791" max="11791" width="9" style="16" customWidth="1"/>
    <col min="11792" max="12032" width="9.140625" style="16"/>
    <col min="12033" max="12033" width="3.85546875" style="16" customWidth="1"/>
    <col min="12034" max="12034" width="17" style="16" customWidth="1"/>
    <col min="12035" max="12035" width="9.140625" style="16"/>
    <col min="12036" max="12036" width="7.85546875" style="16" customWidth="1"/>
    <col min="12037" max="12037" width="8.5703125" style="16" bestFit="1" customWidth="1"/>
    <col min="12038" max="12038" width="9.28515625" style="16" bestFit="1" customWidth="1"/>
    <col min="12039" max="12039" width="8.42578125" style="16" bestFit="1" customWidth="1"/>
    <col min="12040" max="12040" width="8.85546875" style="16" bestFit="1" customWidth="1"/>
    <col min="12041" max="12041" width="9.85546875" style="16" customWidth="1"/>
    <col min="12042" max="12042" width="9.28515625" style="16" customWidth="1"/>
    <col min="12043" max="12045" width="10" style="16" bestFit="1" customWidth="1"/>
    <col min="12046" max="12046" width="8.140625" style="16" customWidth="1"/>
    <col min="12047" max="12047" width="9" style="16" customWidth="1"/>
    <col min="12048" max="12288" width="9.140625" style="16"/>
    <col min="12289" max="12289" width="3.85546875" style="16" customWidth="1"/>
    <col min="12290" max="12290" width="17" style="16" customWidth="1"/>
    <col min="12291" max="12291" width="9.140625" style="16"/>
    <col min="12292" max="12292" width="7.85546875" style="16" customWidth="1"/>
    <col min="12293" max="12293" width="8.5703125" style="16" bestFit="1" customWidth="1"/>
    <col min="12294" max="12294" width="9.28515625" style="16" bestFit="1" customWidth="1"/>
    <col min="12295" max="12295" width="8.42578125" style="16" bestFit="1" customWidth="1"/>
    <col min="12296" max="12296" width="8.85546875" style="16" bestFit="1" customWidth="1"/>
    <col min="12297" max="12297" width="9.85546875" style="16" customWidth="1"/>
    <col min="12298" max="12298" width="9.28515625" style="16" customWidth="1"/>
    <col min="12299" max="12301" width="10" style="16" bestFit="1" customWidth="1"/>
    <col min="12302" max="12302" width="8.140625" style="16" customWidth="1"/>
    <col min="12303" max="12303" width="9" style="16" customWidth="1"/>
    <col min="12304" max="12544" width="9.140625" style="16"/>
    <col min="12545" max="12545" width="3.85546875" style="16" customWidth="1"/>
    <col min="12546" max="12546" width="17" style="16" customWidth="1"/>
    <col min="12547" max="12547" width="9.140625" style="16"/>
    <col min="12548" max="12548" width="7.85546875" style="16" customWidth="1"/>
    <col min="12549" max="12549" width="8.5703125" style="16" bestFit="1" customWidth="1"/>
    <col min="12550" max="12550" width="9.28515625" style="16" bestFit="1" customWidth="1"/>
    <col min="12551" max="12551" width="8.42578125" style="16" bestFit="1" customWidth="1"/>
    <col min="12552" max="12552" width="8.85546875" style="16" bestFit="1" customWidth="1"/>
    <col min="12553" max="12553" width="9.85546875" style="16" customWidth="1"/>
    <col min="12554" max="12554" width="9.28515625" style="16" customWidth="1"/>
    <col min="12555" max="12557" width="10" style="16" bestFit="1" customWidth="1"/>
    <col min="12558" max="12558" width="8.140625" style="16" customWidth="1"/>
    <col min="12559" max="12559" width="9" style="16" customWidth="1"/>
    <col min="12560" max="12800" width="9.140625" style="16"/>
    <col min="12801" max="12801" width="3.85546875" style="16" customWidth="1"/>
    <col min="12802" max="12802" width="17" style="16" customWidth="1"/>
    <col min="12803" max="12803" width="9.140625" style="16"/>
    <col min="12804" max="12804" width="7.85546875" style="16" customWidth="1"/>
    <col min="12805" max="12805" width="8.5703125" style="16" bestFit="1" customWidth="1"/>
    <col min="12806" max="12806" width="9.28515625" style="16" bestFit="1" customWidth="1"/>
    <col min="12807" max="12807" width="8.42578125" style="16" bestFit="1" customWidth="1"/>
    <col min="12808" max="12808" width="8.85546875" style="16" bestFit="1" customWidth="1"/>
    <col min="12809" max="12809" width="9.85546875" style="16" customWidth="1"/>
    <col min="12810" max="12810" width="9.28515625" style="16" customWidth="1"/>
    <col min="12811" max="12813" width="10" style="16" bestFit="1" customWidth="1"/>
    <col min="12814" max="12814" width="8.140625" style="16" customWidth="1"/>
    <col min="12815" max="12815" width="9" style="16" customWidth="1"/>
    <col min="12816" max="13056" width="9.140625" style="16"/>
    <col min="13057" max="13057" width="3.85546875" style="16" customWidth="1"/>
    <col min="13058" max="13058" width="17" style="16" customWidth="1"/>
    <col min="13059" max="13059" width="9.140625" style="16"/>
    <col min="13060" max="13060" width="7.85546875" style="16" customWidth="1"/>
    <col min="13061" max="13061" width="8.5703125" style="16" bestFit="1" customWidth="1"/>
    <col min="13062" max="13062" width="9.28515625" style="16" bestFit="1" customWidth="1"/>
    <col min="13063" max="13063" width="8.42578125" style="16" bestFit="1" customWidth="1"/>
    <col min="13064" max="13064" width="8.85546875" style="16" bestFit="1" customWidth="1"/>
    <col min="13065" max="13065" width="9.85546875" style="16" customWidth="1"/>
    <col min="13066" max="13066" width="9.28515625" style="16" customWidth="1"/>
    <col min="13067" max="13069" width="10" style="16" bestFit="1" customWidth="1"/>
    <col min="13070" max="13070" width="8.140625" style="16" customWidth="1"/>
    <col min="13071" max="13071" width="9" style="16" customWidth="1"/>
    <col min="13072" max="13312" width="9.140625" style="16"/>
    <col min="13313" max="13313" width="3.85546875" style="16" customWidth="1"/>
    <col min="13314" max="13314" width="17" style="16" customWidth="1"/>
    <col min="13315" max="13315" width="9.140625" style="16"/>
    <col min="13316" max="13316" width="7.85546875" style="16" customWidth="1"/>
    <col min="13317" max="13317" width="8.5703125" style="16" bestFit="1" customWidth="1"/>
    <col min="13318" max="13318" width="9.28515625" style="16" bestFit="1" customWidth="1"/>
    <col min="13319" max="13319" width="8.42578125" style="16" bestFit="1" customWidth="1"/>
    <col min="13320" max="13320" width="8.85546875" style="16" bestFit="1" customWidth="1"/>
    <col min="13321" max="13321" width="9.85546875" style="16" customWidth="1"/>
    <col min="13322" max="13322" width="9.28515625" style="16" customWidth="1"/>
    <col min="13323" max="13325" width="10" style="16" bestFit="1" customWidth="1"/>
    <col min="13326" max="13326" width="8.140625" style="16" customWidth="1"/>
    <col min="13327" max="13327" width="9" style="16" customWidth="1"/>
    <col min="13328" max="13568" width="9.140625" style="16"/>
    <col min="13569" max="13569" width="3.85546875" style="16" customWidth="1"/>
    <col min="13570" max="13570" width="17" style="16" customWidth="1"/>
    <col min="13571" max="13571" width="9.140625" style="16"/>
    <col min="13572" max="13572" width="7.85546875" style="16" customWidth="1"/>
    <col min="13573" max="13573" width="8.5703125" style="16" bestFit="1" customWidth="1"/>
    <col min="13574" max="13574" width="9.28515625" style="16" bestFit="1" customWidth="1"/>
    <col min="13575" max="13575" width="8.42578125" style="16" bestFit="1" customWidth="1"/>
    <col min="13576" max="13576" width="8.85546875" style="16" bestFit="1" customWidth="1"/>
    <col min="13577" max="13577" width="9.85546875" style="16" customWidth="1"/>
    <col min="13578" max="13578" width="9.28515625" style="16" customWidth="1"/>
    <col min="13579" max="13581" width="10" style="16" bestFit="1" customWidth="1"/>
    <col min="13582" max="13582" width="8.140625" style="16" customWidth="1"/>
    <col min="13583" max="13583" width="9" style="16" customWidth="1"/>
    <col min="13584" max="13824" width="9.140625" style="16"/>
    <col min="13825" max="13825" width="3.85546875" style="16" customWidth="1"/>
    <col min="13826" max="13826" width="17" style="16" customWidth="1"/>
    <col min="13827" max="13827" width="9.140625" style="16"/>
    <col min="13828" max="13828" width="7.85546875" style="16" customWidth="1"/>
    <col min="13829" max="13829" width="8.5703125" style="16" bestFit="1" customWidth="1"/>
    <col min="13830" max="13830" width="9.28515625" style="16" bestFit="1" customWidth="1"/>
    <col min="13831" max="13831" width="8.42578125" style="16" bestFit="1" customWidth="1"/>
    <col min="13832" max="13832" width="8.85546875" style="16" bestFit="1" customWidth="1"/>
    <col min="13833" max="13833" width="9.85546875" style="16" customWidth="1"/>
    <col min="13834" max="13834" width="9.28515625" style="16" customWidth="1"/>
    <col min="13835" max="13837" width="10" style="16" bestFit="1" customWidth="1"/>
    <col min="13838" max="13838" width="8.140625" style="16" customWidth="1"/>
    <col min="13839" max="13839" width="9" style="16" customWidth="1"/>
    <col min="13840" max="14080" width="9.140625" style="16"/>
    <col min="14081" max="14081" width="3.85546875" style="16" customWidth="1"/>
    <col min="14082" max="14082" width="17" style="16" customWidth="1"/>
    <col min="14083" max="14083" width="9.140625" style="16"/>
    <col min="14084" max="14084" width="7.85546875" style="16" customWidth="1"/>
    <col min="14085" max="14085" width="8.5703125" style="16" bestFit="1" customWidth="1"/>
    <col min="14086" max="14086" width="9.28515625" style="16" bestFit="1" customWidth="1"/>
    <col min="14087" max="14087" width="8.42578125" style="16" bestFit="1" customWidth="1"/>
    <col min="14088" max="14088" width="8.85546875" style="16" bestFit="1" customWidth="1"/>
    <col min="14089" max="14089" width="9.85546875" style="16" customWidth="1"/>
    <col min="14090" max="14090" width="9.28515625" style="16" customWidth="1"/>
    <col min="14091" max="14093" width="10" style="16" bestFit="1" customWidth="1"/>
    <col min="14094" max="14094" width="8.140625" style="16" customWidth="1"/>
    <col min="14095" max="14095" width="9" style="16" customWidth="1"/>
    <col min="14096" max="14336" width="9.140625" style="16"/>
    <col min="14337" max="14337" width="3.85546875" style="16" customWidth="1"/>
    <col min="14338" max="14338" width="17" style="16" customWidth="1"/>
    <col min="14339" max="14339" width="9.140625" style="16"/>
    <col min="14340" max="14340" width="7.85546875" style="16" customWidth="1"/>
    <col min="14341" max="14341" width="8.5703125" style="16" bestFit="1" customWidth="1"/>
    <col min="14342" max="14342" width="9.28515625" style="16" bestFit="1" customWidth="1"/>
    <col min="14343" max="14343" width="8.42578125" style="16" bestFit="1" customWidth="1"/>
    <col min="14344" max="14344" width="8.85546875" style="16" bestFit="1" customWidth="1"/>
    <col min="14345" max="14345" width="9.85546875" style="16" customWidth="1"/>
    <col min="14346" max="14346" width="9.28515625" style="16" customWidth="1"/>
    <col min="14347" max="14349" width="10" style="16" bestFit="1" customWidth="1"/>
    <col min="14350" max="14350" width="8.140625" style="16" customWidth="1"/>
    <col min="14351" max="14351" width="9" style="16" customWidth="1"/>
    <col min="14352" max="14592" width="9.140625" style="16"/>
    <col min="14593" max="14593" width="3.85546875" style="16" customWidth="1"/>
    <col min="14594" max="14594" width="17" style="16" customWidth="1"/>
    <col min="14595" max="14595" width="9.140625" style="16"/>
    <col min="14596" max="14596" width="7.85546875" style="16" customWidth="1"/>
    <col min="14597" max="14597" width="8.5703125" style="16" bestFit="1" customWidth="1"/>
    <col min="14598" max="14598" width="9.28515625" style="16" bestFit="1" customWidth="1"/>
    <col min="14599" max="14599" width="8.42578125" style="16" bestFit="1" customWidth="1"/>
    <col min="14600" max="14600" width="8.85546875" style="16" bestFit="1" customWidth="1"/>
    <col min="14601" max="14601" width="9.85546875" style="16" customWidth="1"/>
    <col min="14602" max="14602" width="9.28515625" style="16" customWidth="1"/>
    <col min="14603" max="14605" width="10" style="16" bestFit="1" customWidth="1"/>
    <col min="14606" max="14606" width="8.140625" style="16" customWidth="1"/>
    <col min="14607" max="14607" width="9" style="16" customWidth="1"/>
    <col min="14608" max="14848" width="9.140625" style="16"/>
    <col min="14849" max="14849" width="3.85546875" style="16" customWidth="1"/>
    <col min="14850" max="14850" width="17" style="16" customWidth="1"/>
    <col min="14851" max="14851" width="9.140625" style="16"/>
    <col min="14852" max="14852" width="7.85546875" style="16" customWidth="1"/>
    <col min="14853" max="14853" width="8.5703125" style="16" bestFit="1" customWidth="1"/>
    <col min="14854" max="14854" width="9.28515625" style="16" bestFit="1" customWidth="1"/>
    <col min="14855" max="14855" width="8.42578125" style="16" bestFit="1" customWidth="1"/>
    <col min="14856" max="14856" width="8.85546875" style="16" bestFit="1" customWidth="1"/>
    <col min="14857" max="14857" width="9.85546875" style="16" customWidth="1"/>
    <col min="14858" max="14858" width="9.28515625" style="16" customWidth="1"/>
    <col min="14859" max="14861" width="10" style="16" bestFit="1" customWidth="1"/>
    <col min="14862" max="14862" width="8.140625" style="16" customWidth="1"/>
    <col min="14863" max="14863" width="9" style="16" customWidth="1"/>
    <col min="14864" max="15104" width="9.140625" style="16"/>
    <col min="15105" max="15105" width="3.85546875" style="16" customWidth="1"/>
    <col min="15106" max="15106" width="17" style="16" customWidth="1"/>
    <col min="15107" max="15107" width="9.140625" style="16"/>
    <col min="15108" max="15108" width="7.85546875" style="16" customWidth="1"/>
    <col min="15109" max="15109" width="8.5703125" style="16" bestFit="1" customWidth="1"/>
    <col min="15110" max="15110" width="9.28515625" style="16" bestFit="1" customWidth="1"/>
    <col min="15111" max="15111" width="8.42578125" style="16" bestFit="1" customWidth="1"/>
    <col min="15112" max="15112" width="8.85546875" style="16" bestFit="1" customWidth="1"/>
    <col min="15113" max="15113" width="9.85546875" style="16" customWidth="1"/>
    <col min="15114" max="15114" width="9.28515625" style="16" customWidth="1"/>
    <col min="15115" max="15117" width="10" style="16" bestFit="1" customWidth="1"/>
    <col min="15118" max="15118" width="8.140625" style="16" customWidth="1"/>
    <col min="15119" max="15119" width="9" style="16" customWidth="1"/>
    <col min="15120" max="15360" width="9.140625" style="16"/>
    <col min="15361" max="15361" width="3.85546875" style="16" customWidth="1"/>
    <col min="15362" max="15362" width="17" style="16" customWidth="1"/>
    <col min="15363" max="15363" width="9.140625" style="16"/>
    <col min="15364" max="15364" width="7.85546875" style="16" customWidth="1"/>
    <col min="15365" max="15365" width="8.5703125" style="16" bestFit="1" customWidth="1"/>
    <col min="15366" max="15366" width="9.28515625" style="16" bestFit="1" customWidth="1"/>
    <col min="15367" max="15367" width="8.42578125" style="16" bestFit="1" customWidth="1"/>
    <col min="15368" max="15368" width="8.85546875" style="16" bestFit="1" customWidth="1"/>
    <col min="15369" max="15369" width="9.85546875" style="16" customWidth="1"/>
    <col min="15370" max="15370" width="9.28515625" style="16" customWidth="1"/>
    <col min="15371" max="15373" width="10" style="16" bestFit="1" customWidth="1"/>
    <col min="15374" max="15374" width="8.140625" style="16" customWidth="1"/>
    <col min="15375" max="15375" width="9" style="16" customWidth="1"/>
    <col min="15376" max="15616" width="9.140625" style="16"/>
    <col min="15617" max="15617" width="3.85546875" style="16" customWidth="1"/>
    <col min="15618" max="15618" width="17" style="16" customWidth="1"/>
    <col min="15619" max="15619" width="9.140625" style="16"/>
    <col min="15620" max="15620" width="7.85546875" style="16" customWidth="1"/>
    <col min="15621" max="15621" width="8.5703125" style="16" bestFit="1" customWidth="1"/>
    <col min="15622" max="15622" width="9.28515625" style="16" bestFit="1" customWidth="1"/>
    <col min="15623" max="15623" width="8.42578125" style="16" bestFit="1" customWidth="1"/>
    <col min="15624" max="15624" width="8.85546875" style="16" bestFit="1" customWidth="1"/>
    <col min="15625" max="15625" width="9.85546875" style="16" customWidth="1"/>
    <col min="15626" max="15626" width="9.28515625" style="16" customWidth="1"/>
    <col min="15627" max="15629" width="10" style="16" bestFit="1" customWidth="1"/>
    <col min="15630" max="15630" width="8.140625" style="16" customWidth="1"/>
    <col min="15631" max="15631" width="9" style="16" customWidth="1"/>
    <col min="15632" max="15872" width="9.140625" style="16"/>
    <col min="15873" max="15873" width="3.85546875" style="16" customWidth="1"/>
    <col min="15874" max="15874" width="17" style="16" customWidth="1"/>
    <col min="15875" max="15875" width="9.140625" style="16"/>
    <col min="15876" max="15876" width="7.85546875" style="16" customWidth="1"/>
    <col min="15877" max="15877" width="8.5703125" style="16" bestFit="1" customWidth="1"/>
    <col min="15878" max="15878" width="9.28515625" style="16" bestFit="1" customWidth="1"/>
    <col min="15879" max="15879" width="8.42578125" style="16" bestFit="1" customWidth="1"/>
    <col min="15880" max="15880" width="8.85546875" style="16" bestFit="1" customWidth="1"/>
    <col min="15881" max="15881" width="9.85546875" style="16" customWidth="1"/>
    <col min="15882" max="15882" width="9.28515625" style="16" customWidth="1"/>
    <col min="15883" max="15885" width="10" style="16" bestFit="1" customWidth="1"/>
    <col min="15886" max="15886" width="8.140625" style="16" customWidth="1"/>
    <col min="15887" max="15887" width="9" style="16" customWidth="1"/>
    <col min="15888" max="16128" width="9.140625" style="16"/>
    <col min="16129" max="16129" width="3.85546875" style="16" customWidth="1"/>
    <col min="16130" max="16130" width="17" style="16" customWidth="1"/>
    <col min="16131" max="16131" width="9.140625" style="16"/>
    <col min="16132" max="16132" width="7.85546875" style="16" customWidth="1"/>
    <col min="16133" max="16133" width="8.5703125" style="16" bestFit="1" customWidth="1"/>
    <col min="16134" max="16134" width="9.28515625" style="16" bestFit="1" customWidth="1"/>
    <col min="16135" max="16135" width="8.42578125" style="16" bestFit="1" customWidth="1"/>
    <col min="16136" max="16136" width="8.85546875" style="16" bestFit="1" customWidth="1"/>
    <col min="16137" max="16137" width="9.85546875" style="16" customWidth="1"/>
    <col min="16138" max="16138" width="9.28515625" style="16" customWidth="1"/>
    <col min="16139" max="16141" width="10" style="16" bestFit="1" customWidth="1"/>
    <col min="16142" max="16142" width="8.140625" style="16" customWidth="1"/>
    <col min="16143" max="16143" width="9" style="16" customWidth="1"/>
    <col min="16144" max="16384" width="9.140625" style="16"/>
  </cols>
  <sheetData>
    <row r="1" spans="1:17" x14ac:dyDescent="0.2">
      <c r="A1" s="867" t="s">
        <v>449</v>
      </c>
      <c r="B1" s="868"/>
      <c r="C1" s="868"/>
      <c r="D1" s="869"/>
      <c r="E1" s="868"/>
      <c r="F1" s="868"/>
      <c r="G1" s="867" t="s">
        <v>102</v>
      </c>
      <c r="H1" s="869"/>
      <c r="I1" s="869" t="s">
        <v>1706</v>
      </c>
      <c r="J1" s="868"/>
      <c r="K1" s="868"/>
      <c r="L1" s="870"/>
      <c r="M1" s="870"/>
      <c r="N1" s="870"/>
      <c r="O1" s="870"/>
      <c r="P1" s="1"/>
      <c r="Q1" s="1"/>
    </row>
    <row r="2" spans="1:17" x14ac:dyDescent="0.2">
      <c r="A2" s="867" t="s">
        <v>103</v>
      </c>
      <c r="B2" s="868"/>
      <c r="C2" s="868"/>
      <c r="D2" s="869"/>
      <c r="E2" s="868"/>
      <c r="F2" s="868"/>
      <c r="G2" s="867" t="s">
        <v>104</v>
      </c>
      <c r="H2" s="869"/>
      <c r="I2" s="869" t="s">
        <v>105</v>
      </c>
      <c r="J2" s="868"/>
      <c r="K2" s="868"/>
      <c r="L2" s="870"/>
      <c r="M2" s="870"/>
      <c r="N2" s="870"/>
      <c r="O2" s="870"/>
      <c r="P2" s="1"/>
      <c r="Q2" s="1"/>
    </row>
    <row r="3" spans="1:17" x14ac:dyDescent="0.2">
      <c r="A3" s="867" t="s">
        <v>106</v>
      </c>
      <c r="B3" s="868"/>
      <c r="C3" s="868"/>
      <c r="D3" s="881"/>
      <c r="E3" s="882"/>
      <c r="F3" s="882"/>
      <c r="G3" s="867" t="s">
        <v>107</v>
      </c>
      <c r="H3" s="869"/>
      <c r="I3" s="869" t="s">
        <v>108</v>
      </c>
      <c r="J3" s="868"/>
      <c r="K3" s="868"/>
      <c r="L3" s="870"/>
      <c r="M3" s="870"/>
      <c r="N3" s="870"/>
      <c r="O3" s="870"/>
      <c r="P3" s="1"/>
      <c r="Q3" s="1"/>
    </row>
    <row r="4" spans="1:17" x14ac:dyDescent="0.2">
      <c r="A4" s="867" t="s">
        <v>109</v>
      </c>
      <c r="B4" s="868"/>
      <c r="C4" s="868"/>
      <c r="D4" s="869"/>
      <c r="E4" s="868"/>
      <c r="F4" s="868"/>
      <c r="G4" s="867" t="s">
        <v>110</v>
      </c>
      <c r="H4" s="869"/>
      <c r="I4" s="869" t="s">
        <v>1707</v>
      </c>
      <c r="J4" s="868"/>
      <c r="K4" s="868"/>
      <c r="L4" s="870"/>
      <c r="M4" s="870"/>
      <c r="N4" s="870"/>
      <c r="O4" s="870"/>
      <c r="P4" s="1"/>
      <c r="Q4" s="1"/>
    </row>
    <row r="5" spans="1:17" x14ac:dyDescent="0.2">
      <c r="A5" s="867" t="s">
        <v>112</v>
      </c>
      <c r="B5" s="868"/>
      <c r="C5" s="868"/>
      <c r="D5" s="869"/>
      <c r="E5" s="868"/>
      <c r="F5" s="868"/>
      <c r="G5" s="867"/>
      <c r="H5" s="868"/>
      <c r="I5" s="869" t="s">
        <v>113</v>
      </c>
      <c r="J5" s="868"/>
      <c r="K5" s="868"/>
      <c r="L5" s="870"/>
      <c r="M5" s="870"/>
      <c r="N5" s="870"/>
      <c r="O5" s="870"/>
      <c r="P5" s="1"/>
      <c r="Q5" s="1"/>
    </row>
    <row r="6" spans="1:17" x14ac:dyDescent="0.2">
      <c r="A6" s="871" t="s">
        <v>114</v>
      </c>
      <c r="B6" s="872"/>
      <c r="C6" s="872"/>
      <c r="D6" s="868" t="s">
        <v>1692</v>
      </c>
      <c r="E6" s="868"/>
      <c r="F6" s="868"/>
      <c r="G6" s="871" t="s">
        <v>115</v>
      </c>
      <c r="H6" s="871"/>
      <c r="I6" s="2" t="s">
        <v>116</v>
      </c>
      <c r="J6" s="888"/>
      <c r="K6" s="888"/>
      <c r="L6" s="888"/>
      <c r="M6" s="888"/>
      <c r="N6" s="888"/>
      <c r="O6" s="889"/>
      <c r="P6" s="1"/>
      <c r="Q6" s="1"/>
    </row>
    <row r="7" spans="1:17" ht="13.5" thickBot="1" x14ac:dyDescent="0.25">
      <c r="A7" s="3"/>
      <c r="B7" s="4"/>
      <c r="C7" s="5"/>
      <c r="D7" s="6"/>
      <c r="E7" s="6"/>
      <c r="F7" s="6"/>
      <c r="G7" s="6"/>
      <c r="H7" s="6"/>
      <c r="I7" s="6"/>
      <c r="J7" s="7"/>
      <c r="K7" s="756"/>
      <c r="L7" s="875" t="s">
        <v>223</v>
      </c>
      <c r="M7" s="875"/>
      <c r="N7" s="875"/>
      <c r="O7" s="875"/>
      <c r="P7" s="1"/>
      <c r="Q7" s="1"/>
    </row>
    <row r="8" spans="1:17" ht="15" x14ac:dyDescent="0.25">
      <c r="A8" s="876" t="s">
        <v>1197</v>
      </c>
      <c r="B8" s="877"/>
      <c r="C8" s="9">
        <v>43160</v>
      </c>
      <c r="D8" s="9">
        <v>43191</v>
      </c>
      <c r="E8" s="9">
        <v>43221</v>
      </c>
      <c r="F8" s="9">
        <v>43252</v>
      </c>
      <c r="G8" s="9">
        <v>43282</v>
      </c>
      <c r="H8" s="9">
        <v>43313</v>
      </c>
      <c r="I8" s="9">
        <v>43344</v>
      </c>
      <c r="J8" s="9">
        <v>43374</v>
      </c>
      <c r="K8" s="9">
        <v>43405</v>
      </c>
      <c r="L8" s="9">
        <v>43435</v>
      </c>
      <c r="M8" s="9">
        <v>43466</v>
      </c>
      <c r="N8" s="9">
        <v>43497</v>
      </c>
      <c r="O8" s="10" t="s">
        <v>117</v>
      </c>
      <c r="P8" s="11"/>
      <c r="Q8" s="763" t="s">
        <v>116</v>
      </c>
    </row>
    <row r="9" spans="1:17" ht="15.75" x14ac:dyDescent="0.25">
      <c r="A9" s="12"/>
      <c r="B9" s="13" t="s">
        <v>118</v>
      </c>
      <c r="C9" s="14">
        <v>101700</v>
      </c>
      <c r="D9" s="14">
        <v>101700</v>
      </c>
      <c r="E9" s="14">
        <v>101700</v>
      </c>
      <c r="F9" s="14">
        <v>101700</v>
      </c>
      <c r="G9" s="14">
        <v>104800</v>
      </c>
      <c r="H9" s="14">
        <v>104800</v>
      </c>
      <c r="I9" s="14">
        <v>104800</v>
      </c>
      <c r="J9" s="14">
        <v>104800</v>
      </c>
      <c r="K9" s="14">
        <v>104800</v>
      </c>
      <c r="L9" s="14">
        <v>104800</v>
      </c>
      <c r="M9" s="14">
        <v>104800</v>
      </c>
      <c r="N9" s="14">
        <v>104800</v>
      </c>
      <c r="O9" s="15">
        <f t="shared" ref="O9:O47" si="0">SUM(C9:N9)</f>
        <v>1245200</v>
      </c>
      <c r="Q9" s="764" t="s">
        <v>222</v>
      </c>
    </row>
    <row r="10" spans="1:17" ht="15.75" x14ac:dyDescent="0.25">
      <c r="A10" s="12"/>
      <c r="B10" s="13" t="s">
        <v>119</v>
      </c>
      <c r="C10" s="17">
        <v>0</v>
      </c>
      <c r="D10" s="17">
        <v>0</v>
      </c>
      <c r="E10" s="17">
        <v>0</v>
      </c>
      <c r="F10" s="17">
        <v>0</v>
      </c>
      <c r="G10" s="17">
        <v>0</v>
      </c>
      <c r="H10" s="17">
        <v>0</v>
      </c>
      <c r="I10" s="17">
        <v>0</v>
      </c>
      <c r="J10" s="17">
        <v>0</v>
      </c>
      <c r="K10" s="17">
        <v>0</v>
      </c>
      <c r="L10" s="17">
        <v>0</v>
      </c>
      <c r="M10" s="17">
        <v>0</v>
      </c>
      <c r="N10" s="17">
        <v>0</v>
      </c>
      <c r="O10" s="18">
        <f t="shared" si="0"/>
        <v>0</v>
      </c>
      <c r="Q10" s="764"/>
    </row>
    <row r="11" spans="1:17" ht="15" x14ac:dyDescent="0.2">
      <c r="A11" s="12"/>
      <c r="B11" s="13" t="s">
        <v>120</v>
      </c>
      <c r="C11" s="17">
        <v>5085</v>
      </c>
      <c r="D11" s="17">
        <v>7119</v>
      </c>
      <c r="E11" s="17">
        <v>7119</v>
      </c>
      <c r="F11" s="17">
        <v>7119</v>
      </c>
      <c r="G11" s="17">
        <v>7336</v>
      </c>
      <c r="H11" s="17">
        <v>7336</v>
      </c>
      <c r="I11" s="17">
        <v>9432</v>
      </c>
      <c r="J11" s="17">
        <v>9432</v>
      </c>
      <c r="K11" s="17">
        <v>9432</v>
      </c>
      <c r="L11" s="17">
        <v>9432</v>
      </c>
      <c r="M11" s="17">
        <v>9432</v>
      </c>
      <c r="N11" s="17">
        <v>9432</v>
      </c>
      <c r="O11" s="18">
        <f t="shared" si="0"/>
        <v>97706</v>
      </c>
    </row>
    <row r="12" spans="1:17"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 t="shared" si="0"/>
        <v>0</v>
      </c>
    </row>
    <row r="13" spans="1:17"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si="0"/>
        <v>0</v>
      </c>
    </row>
    <row r="14" spans="1:17" ht="15" x14ac:dyDescent="0.2">
      <c r="A14" s="12"/>
      <c r="B14" s="13" t="s">
        <v>123</v>
      </c>
      <c r="C14" s="17">
        <v>3780</v>
      </c>
      <c r="D14" s="17">
        <v>3852</v>
      </c>
      <c r="E14" s="17">
        <v>3852</v>
      </c>
      <c r="F14" s="17">
        <v>3852</v>
      </c>
      <c r="G14" s="17">
        <v>3852</v>
      </c>
      <c r="H14" s="17">
        <v>3852</v>
      </c>
      <c r="I14" s="17">
        <v>3924</v>
      </c>
      <c r="J14" s="17">
        <v>3924</v>
      </c>
      <c r="K14" s="17">
        <v>3924</v>
      </c>
      <c r="L14" s="17">
        <v>3924</v>
      </c>
      <c r="M14" s="17">
        <v>7848</v>
      </c>
      <c r="N14" s="17">
        <v>7848</v>
      </c>
      <c r="O14" s="18">
        <f t="shared" si="0"/>
        <v>54432</v>
      </c>
    </row>
    <row r="15" spans="1:17"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7" ht="15"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row>
    <row r="17" spans="1:19" x14ac:dyDescent="0.2">
      <c r="A17" s="12"/>
      <c r="B17" s="166" t="s">
        <v>280</v>
      </c>
      <c r="C17" s="17">
        <v>0</v>
      </c>
      <c r="D17" s="17">
        <v>0</v>
      </c>
      <c r="E17" s="17">
        <v>0</v>
      </c>
      <c r="F17" s="17">
        <v>0</v>
      </c>
      <c r="G17" s="17">
        <v>0</v>
      </c>
      <c r="H17" s="17">
        <v>0</v>
      </c>
      <c r="I17" s="17">
        <v>0</v>
      </c>
      <c r="J17" s="17">
        <v>0</v>
      </c>
      <c r="K17" s="17">
        <v>0</v>
      </c>
      <c r="L17" s="17">
        <v>0</v>
      </c>
      <c r="M17" s="17">
        <v>0</v>
      </c>
      <c r="N17" s="17">
        <v>0</v>
      </c>
      <c r="O17" s="18">
        <f t="shared" si="0"/>
        <v>0</v>
      </c>
    </row>
    <row r="18" spans="1:19" ht="15" hidden="1" x14ac:dyDescent="0.2">
      <c r="A18" s="12"/>
      <c r="B18" s="13" t="s">
        <v>609</v>
      </c>
      <c r="C18" s="17">
        <v>0</v>
      </c>
      <c r="D18" s="17">
        <v>0</v>
      </c>
      <c r="E18" s="17">
        <v>0</v>
      </c>
      <c r="F18" s="17">
        <v>0</v>
      </c>
      <c r="G18" s="17">
        <v>0</v>
      </c>
      <c r="H18" s="17">
        <v>0</v>
      </c>
      <c r="I18" s="17">
        <v>0</v>
      </c>
      <c r="J18" s="17">
        <v>0</v>
      </c>
      <c r="K18" s="17">
        <v>0</v>
      </c>
      <c r="L18" s="17">
        <v>0</v>
      </c>
      <c r="M18" s="17">
        <v>0</v>
      </c>
      <c r="N18" s="17">
        <v>0</v>
      </c>
      <c r="O18" s="18">
        <f t="shared" si="0"/>
        <v>0</v>
      </c>
    </row>
    <row r="19" spans="1:19" ht="15.75" x14ac:dyDescent="0.25">
      <c r="A19" s="12"/>
      <c r="B19" s="13" t="s">
        <v>128</v>
      </c>
      <c r="C19" s="17">
        <v>8136</v>
      </c>
      <c r="D19" s="17">
        <v>8136</v>
      </c>
      <c r="E19" s="17">
        <v>8136</v>
      </c>
      <c r="F19" s="17">
        <v>8136</v>
      </c>
      <c r="G19" s="17">
        <v>8384</v>
      </c>
      <c r="H19" s="17">
        <v>8384</v>
      </c>
      <c r="I19" s="17">
        <v>8384</v>
      </c>
      <c r="J19" s="17">
        <v>8384</v>
      </c>
      <c r="K19" s="17">
        <v>8384</v>
      </c>
      <c r="L19" s="17">
        <v>8384</v>
      </c>
      <c r="M19" s="17">
        <v>25152</v>
      </c>
      <c r="N19" s="17">
        <v>25152</v>
      </c>
      <c r="O19" s="18">
        <f t="shared" si="0"/>
        <v>133152</v>
      </c>
      <c r="S19" s="764"/>
    </row>
    <row r="20" spans="1:19" ht="15"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9" ht="15" hidden="1" x14ac:dyDescent="0.2">
      <c r="A21" s="878"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9" ht="15" x14ac:dyDescent="0.2">
      <c r="A22" s="879"/>
      <c r="B22" s="19" t="s">
        <v>132</v>
      </c>
      <c r="C22" s="17">
        <v>0</v>
      </c>
      <c r="D22" s="17">
        <v>0</v>
      </c>
      <c r="E22" s="17">
        <v>0</v>
      </c>
      <c r="F22" s="17">
        <v>0</v>
      </c>
      <c r="G22" s="17">
        <v>0</v>
      </c>
      <c r="H22" s="17">
        <v>0</v>
      </c>
      <c r="I22" s="17">
        <v>0</v>
      </c>
      <c r="J22" s="17">
        <v>0</v>
      </c>
      <c r="K22" s="17">
        <v>6908</v>
      </c>
      <c r="L22" s="17" t="s">
        <v>1708</v>
      </c>
      <c r="M22" s="17">
        <v>0</v>
      </c>
      <c r="N22" s="17">
        <v>0</v>
      </c>
      <c r="O22" s="18">
        <f t="shared" si="0"/>
        <v>6908</v>
      </c>
    </row>
    <row r="23" spans="1:19" ht="15" hidden="1" x14ac:dyDescent="0.2">
      <c r="A23" s="879"/>
      <c r="B23" s="19" t="s">
        <v>133</v>
      </c>
      <c r="C23" s="17">
        <v>0</v>
      </c>
      <c r="D23" s="17">
        <v>0</v>
      </c>
      <c r="E23" s="17">
        <v>0</v>
      </c>
      <c r="F23" s="17">
        <v>0</v>
      </c>
      <c r="G23" s="17">
        <v>0</v>
      </c>
      <c r="H23" s="17">
        <v>0</v>
      </c>
      <c r="I23" s="17">
        <v>0</v>
      </c>
      <c r="J23" s="17">
        <v>0</v>
      </c>
      <c r="K23" s="17">
        <v>0</v>
      </c>
      <c r="L23" s="17">
        <v>0</v>
      </c>
      <c r="M23" s="17">
        <v>0</v>
      </c>
      <c r="N23" s="17">
        <v>0</v>
      </c>
      <c r="O23" s="18">
        <f t="shared" si="0"/>
        <v>0</v>
      </c>
    </row>
    <row r="24" spans="1:19" ht="15" hidden="1" x14ac:dyDescent="0.2">
      <c r="A24" s="879"/>
      <c r="B24" s="19" t="s">
        <v>134</v>
      </c>
      <c r="C24" s="17">
        <v>0</v>
      </c>
      <c r="D24" s="17">
        <v>0</v>
      </c>
      <c r="E24" s="17">
        <v>0</v>
      </c>
      <c r="F24" s="17">
        <v>0</v>
      </c>
      <c r="G24" s="17">
        <v>0</v>
      </c>
      <c r="H24" s="17">
        <v>0</v>
      </c>
      <c r="I24" s="17">
        <v>0</v>
      </c>
      <c r="J24" s="17">
        <v>0</v>
      </c>
      <c r="K24" s="17">
        <v>0</v>
      </c>
      <c r="L24" s="17">
        <v>0</v>
      </c>
      <c r="M24" s="17">
        <v>0</v>
      </c>
      <c r="N24" s="17">
        <v>0</v>
      </c>
      <c r="O24" s="18">
        <f t="shared" si="0"/>
        <v>0</v>
      </c>
    </row>
    <row r="25" spans="1:19" ht="15" hidden="1" x14ac:dyDescent="0.2">
      <c r="A25" s="879"/>
      <c r="B25" s="19" t="s">
        <v>135</v>
      </c>
      <c r="C25" s="17">
        <v>0</v>
      </c>
      <c r="D25" s="17">
        <v>0</v>
      </c>
      <c r="E25" s="17">
        <v>0</v>
      </c>
      <c r="F25" s="17">
        <v>0</v>
      </c>
      <c r="G25" s="17">
        <v>0</v>
      </c>
      <c r="H25" s="17">
        <v>0</v>
      </c>
      <c r="I25" s="17">
        <v>0</v>
      </c>
      <c r="J25" s="17">
        <v>0</v>
      </c>
      <c r="K25" s="17">
        <v>0</v>
      </c>
      <c r="L25" s="17">
        <v>0</v>
      </c>
      <c r="M25" s="17">
        <v>0</v>
      </c>
      <c r="N25" s="17">
        <v>0</v>
      </c>
      <c r="O25" s="18">
        <f t="shared" si="0"/>
        <v>0</v>
      </c>
    </row>
    <row r="26" spans="1:19" ht="15" hidden="1" x14ac:dyDescent="0.2">
      <c r="A26" s="879"/>
      <c r="B26" s="19" t="s">
        <v>136</v>
      </c>
      <c r="C26" s="17">
        <v>0</v>
      </c>
      <c r="D26" s="17">
        <v>0</v>
      </c>
      <c r="E26" s="17">
        <v>0</v>
      </c>
      <c r="F26" s="17">
        <v>0</v>
      </c>
      <c r="G26" s="17">
        <v>0</v>
      </c>
      <c r="H26" s="17">
        <v>0</v>
      </c>
      <c r="I26" s="17">
        <v>0</v>
      </c>
      <c r="J26" s="17">
        <v>0</v>
      </c>
      <c r="K26" s="17">
        <v>0</v>
      </c>
      <c r="L26" s="17">
        <v>0</v>
      </c>
      <c r="M26" s="17">
        <v>0</v>
      </c>
      <c r="N26" s="17">
        <v>0</v>
      </c>
      <c r="O26" s="18">
        <f t="shared" si="0"/>
        <v>0</v>
      </c>
    </row>
    <row r="27" spans="1:19" ht="15" hidden="1" x14ac:dyDescent="0.2">
      <c r="A27" s="879"/>
      <c r="B27" s="19" t="s">
        <v>137</v>
      </c>
      <c r="C27" s="17">
        <v>0</v>
      </c>
      <c r="D27" s="17">
        <v>0</v>
      </c>
      <c r="E27" s="17">
        <v>0</v>
      </c>
      <c r="F27" s="17">
        <v>0</v>
      </c>
      <c r="G27" s="17">
        <v>0</v>
      </c>
      <c r="H27" s="17">
        <v>0</v>
      </c>
      <c r="I27" s="17">
        <v>0</v>
      </c>
      <c r="J27" s="17">
        <v>0</v>
      </c>
      <c r="K27" s="17">
        <v>0</v>
      </c>
      <c r="L27" s="17">
        <v>0</v>
      </c>
      <c r="M27" s="17">
        <v>0</v>
      </c>
      <c r="N27" s="17">
        <v>0</v>
      </c>
      <c r="O27" s="18">
        <f t="shared" si="0"/>
        <v>0</v>
      </c>
    </row>
    <row r="28" spans="1:19" ht="15" hidden="1" x14ac:dyDescent="0.2">
      <c r="A28" s="879"/>
      <c r="B28" s="19" t="s">
        <v>138</v>
      </c>
      <c r="C28" s="17">
        <v>0</v>
      </c>
      <c r="D28" s="17">
        <v>0</v>
      </c>
      <c r="E28" s="17">
        <v>0</v>
      </c>
      <c r="F28" s="17">
        <v>0</v>
      </c>
      <c r="G28" s="17">
        <v>0</v>
      </c>
      <c r="H28" s="17">
        <v>0</v>
      </c>
      <c r="I28" s="17">
        <v>0</v>
      </c>
      <c r="J28" s="17">
        <v>0</v>
      </c>
      <c r="K28" s="17">
        <v>0</v>
      </c>
      <c r="L28" s="17">
        <v>0</v>
      </c>
      <c r="M28" s="17">
        <v>0</v>
      </c>
      <c r="N28" s="17">
        <v>0</v>
      </c>
      <c r="O28" s="18">
        <f t="shared" si="0"/>
        <v>0</v>
      </c>
    </row>
    <row r="29" spans="1:19" ht="15" hidden="1" x14ac:dyDescent="0.2">
      <c r="A29" s="879"/>
      <c r="B29" s="19" t="s">
        <v>139</v>
      </c>
      <c r="C29" s="17">
        <v>0</v>
      </c>
      <c r="D29" s="17">
        <v>0</v>
      </c>
      <c r="E29" s="17">
        <v>0</v>
      </c>
      <c r="F29" s="17">
        <v>0</v>
      </c>
      <c r="G29" s="17">
        <v>0</v>
      </c>
      <c r="H29" s="17">
        <v>0</v>
      </c>
      <c r="I29" s="17">
        <v>0</v>
      </c>
      <c r="J29" s="17">
        <v>0</v>
      </c>
      <c r="K29" s="17">
        <v>0</v>
      </c>
      <c r="L29" s="17">
        <v>0</v>
      </c>
      <c r="M29" s="17">
        <v>0</v>
      </c>
      <c r="N29" s="17">
        <v>0</v>
      </c>
      <c r="O29" s="18">
        <f t="shared" si="0"/>
        <v>0</v>
      </c>
    </row>
    <row r="30" spans="1:19" ht="15" hidden="1" x14ac:dyDescent="0.2">
      <c r="A30" s="879"/>
      <c r="B30" s="19" t="s">
        <v>140</v>
      </c>
      <c r="C30" s="17">
        <v>0</v>
      </c>
      <c r="D30" s="17">
        <v>0</v>
      </c>
      <c r="E30" s="17">
        <v>0</v>
      </c>
      <c r="F30" s="17">
        <v>0</v>
      </c>
      <c r="G30" s="17">
        <v>0</v>
      </c>
      <c r="H30" s="17">
        <v>0</v>
      </c>
      <c r="I30" s="17">
        <v>0</v>
      </c>
      <c r="J30" s="17">
        <v>0</v>
      </c>
      <c r="K30" s="17">
        <v>0</v>
      </c>
      <c r="L30" s="17">
        <v>0</v>
      </c>
      <c r="M30" s="17">
        <v>0</v>
      </c>
      <c r="N30" s="17">
        <v>0</v>
      </c>
      <c r="O30" s="18">
        <f t="shared" si="0"/>
        <v>0</v>
      </c>
    </row>
    <row r="31" spans="1:19" ht="15" hidden="1" x14ac:dyDescent="0.2">
      <c r="A31" s="879"/>
      <c r="B31" s="19" t="s">
        <v>225</v>
      </c>
      <c r="C31" s="17">
        <v>0</v>
      </c>
      <c r="D31" s="17">
        <v>0</v>
      </c>
      <c r="E31" s="17">
        <v>0</v>
      </c>
      <c r="F31" s="17">
        <v>0</v>
      </c>
      <c r="G31" s="17">
        <v>0</v>
      </c>
      <c r="H31" s="17">
        <v>0</v>
      </c>
      <c r="I31" s="17">
        <v>0</v>
      </c>
      <c r="J31" s="17">
        <v>0</v>
      </c>
      <c r="K31" s="17">
        <v>0</v>
      </c>
      <c r="L31" s="17">
        <v>0</v>
      </c>
      <c r="M31" s="17">
        <v>0</v>
      </c>
      <c r="N31" s="17">
        <v>0</v>
      </c>
      <c r="O31" s="18">
        <f t="shared" si="0"/>
        <v>0</v>
      </c>
    </row>
    <row r="32" spans="1:19" ht="23.25" x14ac:dyDescent="0.2">
      <c r="A32" s="879"/>
      <c r="B32" s="21" t="s">
        <v>142</v>
      </c>
      <c r="C32" s="17">
        <v>0</v>
      </c>
      <c r="D32" s="17">
        <v>0</v>
      </c>
      <c r="E32" s="17">
        <v>0</v>
      </c>
      <c r="F32" s="17">
        <v>0</v>
      </c>
      <c r="G32" s="17">
        <v>0</v>
      </c>
      <c r="H32" s="17">
        <v>0</v>
      </c>
      <c r="I32" s="17">
        <v>0</v>
      </c>
      <c r="J32" s="17">
        <v>0</v>
      </c>
      <c r="K32" s="17">
        <v>0</v>
      </c>
      <c r="L32" s="17">
        <v>0</v>
      </c>
      <c r="M32" s="17">
        <v>0</v>
      </c>
      <c r="N32" s="17">
        <v>0</v>
      </c>
      <c r="O32" s="18">
        <f t="shared" si="0"/>
        <v>0</v>
      </c>
    </row>
    <row r="33" spans="1:17" ht="15" hidden="1" x14ac:dyDescent="0.2">
      <c r="A33" s="880"/>
      <c r="B33" s="19" t="s">
        <v>226</v>
      </c>
      <c r="C33" s="17">
        <v>0</v>
      </c>
      <c r="D33" s="17">
        <v>0</v>
      </c>
      <c r="E33" s="17">
        <v>0</v>
      </c>
      <c r="F33" s="17">
        <v>0</v>
      </c>
      <c r="G33" s="17">
        <v>0</v>
      </c>
      <c r="H33" s="17">
        <v>0</v>
      </c>
      <c r="I33" s="17">
        <v>0</v>
      </c>
      <c r="J33" s="17">
        <v>0</v>
      </c>
      <c r="K33" s="17">
        <v>0</v>
      </c>
      <c r="L33" s="17">
        <v>0</v>
      </c>
      <c r="M33" s="17">
        <v>0</v>
      </c>
      <c r="N33" s="17">
        <v>0</v>
      </c>
      <c r="O33" s="18">
        <f t="shared" si="0"/>
        <v>0</v>
      </c>
    </row>
    <row r="34" spans="1:17" ht="15" x14ac:dyDescent="0.2">
      <c r="A34" s="865" t="s">
        <v>144</v>
      </c>
      <c r="B34" s="866"/>
      <c r="C34" s="17">
        <v>0</v>
      </c>
      <c r="D34" s="17">
        <v>0</v>
      </c>
      <c r="E34" s="17">
        <v>0</v>
      </c>
      <c r="F34" s="17">
        <v>0</v>
      </c>
      <c r="G34" s="17">
        <v>0</v>
      </c>
      <c r="H34" s="17">
        <v>0</v>
      </c>
      <c r="I34" s="17">
        <v>0</v>
      </c>
      <c r="J34" s="17">
        <v>0</v>
      </c>
      <c r="K34" s="17">
        <v>0</v>
      </c>
      <c r="L34" s="17">
        <v>0</v>
      </c>
      <c r="M34" s="17">
        <v>0</v>
      </c>
      <c r="N34" s="17">
        <v>0</v>
      </c>
      <c r="O34" s="18">
        <f t="shared" si="0"/>
        <v>0</v>
      </c>
    </row>
    <row r="35" spans="1:17" ht="15" customHeight="1" x14ac:dyDescent="0.2">
      <c r="A35" s="865" t="s">
        <v>145</v>
      </c>
      <c r="B35" s="866"/>
      <c r="C35" s="17">
        <v>0</v>
      </c>
      <c r="D35" s="17">
        <v>0</v>
      </c>
      <c r="E35" s="17">
        <v>0</v>
      </c>
      <c r="F35" s="17">
        <v>0</v>
      </c>
      <c r="G35" s="17">
        <v>0</v>
      </c>
      <c r="H35" s="17">
        <v>0</v>
      </c>
      <c r="I35" s="17">
        <v>0</v>
      </c>
      <c r="J35" s="17">
        <v>0</v>
      </c>
      <c r="K35" s="17">
        <v>0</v>
      </c>
      <c r="L35" s="17">
        <v>0</v>
      </c>
      <c r="M35" s="17">
        <v>0</v>
      </c>
      <c r="N35" s="17">
        <v>0</v>
      </c>
      <c r="O35" s="18">
        <f t="shared" si="0"/>
        <v>0</v>
      </c>
    </row>
    <row r="36" spans="1:17" ht="15" x14ac:dyDescent="0.2">
      <c r="A36" s="865" t="s">
        <v>146</v>
      </c>
      <c r="B36" s="866"/>
      <c r="C36" s="17">
        <v>6318</v>
      </c>
      <c r="D36" s="17">
        <v>0</v>
      </c>
      <c r="E36" s="17">
        <v>0</v>
      </c>
      <c r="F36" s="17">
        <v>0</v>
      </c>
      <c r="G36" s="17">
        <v>0</v>
      </c>
      <c r="H36" s="17">
        <v>0</v>
      </c>
      <c r="I36" s="17">
        <v>6508</v>
      </c>
      <c r="J36" s="17">
        <v>0</v>
      </c>
      <c r="K36" s="17">
        <v>0</v>
      </c>
      <c r="L36" s="17">
        <v>0</v>
      </c>
      <c r="M36" s="17">
        <v>0</v>
      </c>
      <c r="N36" s="17">
        <v>0</v>
      </c>
      <c r="O36" s="18">
        <f t="shared" si="0"/>
        <v>12826</v>
      </c>
    </row>
    <row r="37" spans="1:17" ht="15" x14ac:dyDescent="0.2">
      <c r="A37" s="22"/>
      <c r="B37" s="23" t="s">
        <v>147</v>
      </c>
      <c r="C37" s="24">
        <f t="shared" ref="C37:N37" si="1">SUM(C9:C36)</f>
        <v>125019</v>
      </c>
      <c r="D37" s="24">
        <f t="shared" si="1"/>
        <v>120807</v>
      </c>
      <c r="E37" s="24">
        <f t="shared" si="1"/>
        <v>120807</v>
      </c>
      <c r="F37" s="24">
        <f t="shared" si="1"/>
        <v>120807</v>
      </c>
      <c r="G37" s="24">
        <f t="shared" si="1"/>
        <v>124372</v>
      </c>
      <c r="H37" s="24">
        <f t="shared" si="1"/>
        <v>124372</v>
      </c>
      <c r="I37" s="24">
        <f t="shared" si="1"/>
        <v>133048</v>
      </c>
      <c r="J37" s="24">
        <f t="shared" si="1"/>
        <v>126540</v>
      </c>
      <c r="K37" s="24">
        <f t="shared" si="1"/>
        <v>133448</v>
      </c>
      <c r="L37" s="24">
        <f t="shared" si="1"/>
        <v>126540</v>
      </c>
      <c r="M37" s="24">
        <f t="shared" si="1"/>
        <v>147232</v>
      </c>
      <c r="N37" s="24">
        <f t="shared" si="1"/>
        <v>147232</v>
      </c>
      <c r="O37" s="25">
        <f t="shared" si="0"/>
        <v>1550224</v>
      </c>
    </row>
    <row r="38" spans="1:17" ht="15" x14ac:dyDescent="0.2">
      <c r="A38" s="853" t="s">
        <v>148</v>
      </c>
      <c r="B38" s="27" t="s">
        <v>149</v>
      </c>
      <c r="C38" s="147">
        <v>20000</v>
      </c>
      <c r="D38" s="147">
        <v>20000</v>
      </c>
      <c r="E38" s="147">
        <v>20000</v>
      </c>
      <c r="F38" s="147">
        <v>20000</v>
      </c>
      <c r="G38" s="147">
        <v>20000</v>
      </c>
      <c r="H38" s="147">
        <v>20000</v>
      </c>
      <c r="I38" s="147">
        <v>20000</v>
      </c>
      <c r="J38" s="147">
        <v>12000</v>
      </c>
      <c r="K38" s="147">
        <v>12000</v>
      </c>
      <c r="L38" s="147">
        <v>12000</v>
      </c>
      <c r="M38" s="147">
        <v>15000</v>
      </c>
      <c r="N38" s="147">
        <v>18470</v>
      </c>
      <c r="O38" s="18">
        <f t="shared" si="0"/>
        <v>209470</v>
      </c>
      <c r="P38" s="284"/>
      <c r="Q38" s="16">
        <f>+O17</f>
        <v>0</v>
      </c>
    </row>
    <row r="39" spans="1:17" ht="15" x14ac:dyDescent="0.2">
      <c r="A39" s="854"/>
      <c r="B39" s="27" t="s">
        <v>150</v>
      </c>
      <c r="C39" s="147">
        <v>0</v>
      </c>
      <c r="D39" s="147">
        <v>0</v>
      </c>
      <c r="E39" s="147">
        <v>0</v>
      </c>
      <c r="F39" s="147">
        <v>0</v>
      </c>
      <c r="G39" s="147">
        <v>0</v>
      </c>
      <c r="H39" s="147">
        <v>0</v>
      </c>
      <c r="I39" s="147">
        <v>0</v>
      </c>
      <c r="J39" s="147">
        <v>0</v>
      </c>
      <c r="K39" s="147">
        <v>0</v>
      </c>
      <c r="L39" s="147">
        <v>0</v>
      </c>
      <c r="M39" s="147">
        <v>0</v>
      </c>
      <c r="N39" s="147">
        <v>0</v>
      </c>
      <c r="O39" s="18">
        <f t="shared" si="0"/>
        <v>0</v>
      </c>
      <c r="Q39" s="16">
        <f>+Q37+Q38</f>
        <v>0</v>
      </c>
    </row>
    <row r="40" spans="1:17" ht="15" x14ac:dyDescent="0.2">
      <c r="A40" s="854"/>
      <c r="B40" s="27" t="s">
        <v>151</v>
      </c>
      <c r="C40" s="147">
        <v>60</v>
      </c>
      <c r="D40" s="147">
        <v>60</v>
      </c>
      <c r="E40" s="147">
        <v>60</v>
      </c>
      <c r="F40" s="147">
        <v>60</v>
      </c>
      <c r="G40" s="147">
        <v>60</v>
      </c>
      <c r="H40" s="147">
        <v>60</v>
      </c>
      <c r="I40" s="147">
        <v>60</v>
      </c>
      <c r="J40" s="147">
        <v>60</v>
      </c>
      <c r="K40" s="147">
        <v>60</v>
      </c>
      <c r="L40" s="147">
        <v>60</v>
      </c>
      <c r="M40" s="147">
        <v>60</v>
      </c>
      <c r="N40" s="147">
        <v>60</v>
      </c>
      <c r="O40" s="18">
        <f t="shared" si="0"/>
        <v>720</v>
      </c>
    </row>
    <row r="41" spans="1:17" ht="15" x14ac:dyDescent="0.2">
      <c r="A41" s="854"/>
      <c r="B41" s="27" t="s">
        <v>152</v>
      </c>
      <c r="C41" s="147">
        <v>0</v>
      </c>
      <c r="D41" s="147">
        <v>0</v>
      </c>
      <c r="E41" s="147">
        <v>0</v>
      </c>
      <c r="F41" s="147">
        <v>0</v>
      </c>
      <c r="G41" s="147">
        <v>0</v>
      </c>
      <c r="H41" s="147">
        <v>0</v>
      </c>
      <c r="I41" s="147">
        <v>0</v>
      </c>
      <c r="J41" s="147">
        <v>0</v>
      </c>
      <c r="K41" s="147">
        <v>0</v>
      </c>
      <c r="L41" s="147">
        <v>0</v>
      </c>
      <c r="M41" s="147">
        <v>0</v>
      </c>
      <c r="N41" s="147">
        <v>0</v>
      </c>
      <c r="O41" s="18">
        <f t="shared" si="0"/>
        <v>0</v>
      </c>
    </row>
    <row r="42" spans="1:17" ht="15" x14ac:dyDescent="0.2">
      <c r="A42" s="854"/>
      <c r="B42" s="27" t="s">
        <v>153</v>
      </c>
      <c r="C42" s="147">
        <v>0</v>
      </c>
      <c r="D42" s="147">
        <v>0</v>
      </c>
      <c r="E42" s="147">
        <v>0</v>
      </c>
      <c r="F42" s="147">
        <v>0</v>
      </c>
      <c r="G42" s="147">
        <v>0</v>
      </c>
      <c r="H42" s="147">
        <v>0</v>
      </c>
      <c r="I42" s="147">
        <v>0</v>
      </c>
      <c r="J42" s="147">
        <v>0</v>
      </c>
      <c r="K42" s="147">
        <v>0</v>
      </c>
      <c r="L42" s="147">
        <v>0</v>
      </c>
      <c r="M42" s="147">
        <v>650</v>
      </c>
      <c r="N42" s="147">
        <v>650</v>
      </c>
      <c r="O42" s="18">
        <f t="shared" si="0"/>
        <v>1300</v>
      </c>
    </row>
    <row r="43" spans="1:17" ht="15" x14ac:dyDescent="0.2">
      <c r="A43" s="854"/>
      <c r="B43" s="27" t="s">
        <v>154</v>
      </c>
      <c r="C43" s="147">
        <v>15000</v>
      </c>
      <c r="D43" s="147">
        <v>15000</v>
      </c>
      <c r="E43" s="147">
        <v>15000</v>
      </c>
      <c r="F43" s="147">
        <v>15000</v>
      </c>
      <c r="G43" s="147">
        <v>15000</v>
      </c>
      <c r="H43" s="147">
        <v>15000</v>
      </c>
      <c r="I43" s="147">
        <v>15000</v>
      </c>
      <c r="J43" s="147">
        <v>15000</v>
      </c>
      <c r="K43" s="147">
        <v>15000</v>
      </c>
      <c r="L43" s="147">
        <v>15000</v>
      </c>
      <c r="M43" s="147">
        <v>15000</v>
      </c>
      <c r="N43" s="147">
        <v>15000</v>
      </c>
      <c r="O43" s="18">
        <f t="shared" si="0"/>
        <v>180000</v>
      </c>
    </row>
    <row r="44" spans="1:17" ht="15" x14ac:dyDescent="0.2">
      <c r="A44" s="854"/>
      <c r="B44" s="27" t="s">
        <v>155</v>
      </c>
      <c r="C44" s="147">
        <v>200</v>
      </c>
      <c r="D44" s="147">
        <v>200</v>
      </c>
      <c r="E44" s="147">
        <v>200</v>
      </c>
      <c r="F44" s="147">
        <v>200</v>
      </c>
      <c r="G44" s="147">
        <v>200</v>
      </c>
      <c r="H44" s="147">
        <v>200</v>
      </c>
      <c r="I44" s="147">
        <v>200</v>
      </c>
      <c r="J44" s="147">
        <v>200</v>
      </c>
      <c r="K44" s="147">
        <v>200</v>
      </c>
      <c r="L44" s="147">
        <v>200</v>
      </c>
      <c r="M44" s="147">
        <v>200</v>
      </c>
      <c r="N44" s="147">
        <v>300</v>
      </c>
      <c r="O44" s="18">
        <f t="shared" si="0"/>
        <v>2500</v>
      </c>
    </row>
    <row r="45" spans="1:17" ht="15" x14ac:dyDescent="0.2">
      <c r="A45" s="854"/>
      <c r="B45" s="27" t="s">
        <v>156</v>
      </c>
      <c r="C45" s="147">
        <v>0</v>
      </c>
      <c r="D45" s="147">
        <v>0</v>
      </c>
      <c r="E45" s="147">
        <v>0</v>
      </c>
      <c r="F45" s="147">
        <v>0</v>
      </c>
      <c r="G45" s="147">
        <v>0</v>
      </c>
      <c r="H45" s="147">
        <v>0</v>
      </c>
      <c r="I45" s="147">
        <v>0</v>
      </c>
      <c r="J45" s="147">
        <v>0</v>
      </c>
      <c r="K45" s="147">
        <v>0</v>
      </c>
      <c r="L45" s="147">
        <v>0</v>
      </c>
      <c r="M45" s="147">
        <v>0</v>
      </c>
      <c r="N45" s="147">
        <v>0</v>
      </c>
      <c r="O45" s="18">
        <f t="shared" si="0"/>
        <v>0</v>
      </c>
    </row>
    <row r="46" spans="1:17" ht="15" x14ac:dyDescent="0.2">
      <c r="A46" s="854"/>
      <c r="B46" s="27" t="s">
        <v>157</v>
      </c>
      <c r="C46" s="147">
        <v>11000</v>
      </c>
      <c r="D46" s="147">
        <v>11000</v>
      </c>
      <c r="E46" s="147">
        <v>11000</v>
      </c>
      <c r="F46" s="147">
        <v>11000</v>
      </c>
      <c r="G46" s="147">
        <v>11000</v>
      </c>
      <c r="H46" s="147">
        <v>11000</v>
      </c>
      <c r="I46" s="147">
        <v>11000</v>
      </c>
      <c r="J46" s="147">
        <v>11000</v>
      </c>
      <c r="K46" s="147">
        <v>11000</v>
      </c>
      <c r="L46" s="147">
        <v>11000</v>
      </c>
      <c r="M46" s="147">
        <v>11000</v>
      </c>
      <c r="N46" s="147">
        <v>11000</v>
      </c>
      <c r="O46" s="18">
        <f t="shared" si="0"/>
        <v>132000</v>
      </c>
    </row>
    <row r="47" spans="1:17" ht="21" x14ac:dyDescent="0.2">
      <c r="A47" s="855"/>
      <c r="B47" s="485" t="s">
        <v>158</v>
      </c>
      <c r="C47" s="147">
        <v>0</v>
      </c>
      <c r="D47" s="147">
        <v>0</v>
      </c>
      <c r="E47" s="147">
        <v>0</v>
      </c>
      <c r="F47" s="147">
        <v>0</v>
      </c>
      <c r="G47" s="147">
        <v>0</v>
      </c>
      <c r="H47" s="147">
        <v>0</v>
      </c>
      <c r="I47" s="147">
        <v>0</v>
      </c>
      <c r="J47" s="147">
        <v>0</v>
      </c>
      <c r="K47" s="147">
        <v>0</v>
      </c>
      <c r="L47" s="147">
        <v>0</v>
      </c>
      <c r="M47" s="147">
        <v>0</v>
      </c>
      <c r="N47" s="147">
        <v>0</v>
      </c>
      <c r="O47" s="31">
        <f t="shared" si="0"/>
        <v>0</v>
      </c>
    </row>
    <row r="48" spans="1:17" ht="38.25" x14ac:dyDescent="0.2">
      <c r="A48" s="856"/>
      <c r="B48" s="169" t="s">
        <v>1243</v>
      </c>
      <c r="C48" s="147">
        <v>0</v>
      </c>
      <c r="D48" s="147">
        <v>0</v>
      </c>
      <c r="E48" s="147">
        <v>0</v>
      </c>
      <c r="F48" s="147">
        <v>0</v>
      </c>
      <c r="G48" s="147">
        <v>0</v>
      </c>
      <c r="H48" s="147">
        <v>0</v>
      </c>
      <c r="I48" s="147">
        <v>0</v>
      </c>
      <c r="J48" s="147">
        <v>0</v>
      </c>
      <c r="K48" s="147">
        <v>0</v>
      </c>
      <c r="L48" s="147">
        <v>0</v>
      </c>
      <c r="M48" s="147">
        <v>0</v>
      </c>
      <c r="N48" s="147">
        <v>120</v>
      </c>
      <c r="O48" s="147">
        <v>120</v>
      </c>
    </row>
    <row r="49" spans="1:19" ht="15" x14ac:dyDescent="0.2">
      <c r="A49" s="857" t="s">
        <v>160</v>
      </c>
      <c r="B49" s="858"/>
      <c r="C49" s="33">
        <f t="shared" ref="C49:N49" si="2">SUM(C38:C48)</f>
        <v>46260</v>
      </c>
      <c r="D49" s="33">
        <f t="shared" si="2"/>
        <v>46260</v>
      </c>
      <c r="E49" s="33">
        <f t="shared" si="2"/>
        <v>46260</v>
      </c>
      <c r="F49" s="33">
        <f t="shared" si="2"/>
        <v>46260</v>
      </c>
      <c r="G49" s="33">
        <f t="shared" si="2"/>
        <v>46260</v>
      </c>
      <c r="H49" s="33">
        <f t="shared" si="2"/>
        <v>46260</v>
      </c>
      <c r="I49" s="33">
        <f t="shared" si="2"/>
        <v>46260</v>
      </c>
      <c r="J49" s="33">
        <f t="shared" si="2"/>
        <v>38260</v>
      </c>
      <c r="K49" s="33">
        <f t="shared" si="2"/>
        <v>38260</v>
      </c>
      <c r="L49" s="33">
        <f t="shared" si="2"/>
        <v>38260</v>
      </c>
      <c r="M49" s="33">
        <f t="shared" si="2"/>
        <v>41910</v>
      </c>
      <c r="N49" s="33">
        <f t="shared" si="2"/>
        <v>45600</v>
      </c>
      <c r="O49" s="34">
        <f>SUM(C49:N49)</f>
        <v>526110</v>
      </c>
    </row>
    <row r="50" spans="1:19" ht="15.75" thickBot="1" x14ac:dyDescent="0.25">
      <c r="A50" s="859" t="s">
        <v>161</v>
      </c>
      <c r="B50" s="860"/>
      <c r="C50" s="35">
        <f t="shared" ref="C50:N50" si="3">+C37-C49</f>
        <v>78759</v>
      </c>
      <c r="D50" s="35">
        <f t="shared" si="3"/>
        <v>74547</v>
      </c>
      <c r="E50" s="35">
        <f t="shared" si="3"/>
        <v>74547</v>
      </c>
      <c r="F50" s="35">
        <f t="shared" si="3"/>
        <v>74547</v>
      </c>
      <c r="G50" s="35">
        <f t="shared" si="3"/>
        <v>78112</v>
      </c>
      <c r="H50" s="35">
        <f t="shared" si="3"/>
        <v>78112</v>
      </c>
      <c r="I50" s="35">
        <f t="shared" si="3"/>
        <v>86788</v>
      </c>
      <c r="J50" s="35">
        <f t="shared" si="3"/>
        <v>88280</v>
      </c>
      <c r="K50" s="35">
        <f t="shared" si="3"/>
        <v>95188</v>
      </c>
      <c r="L50" s="35">
        <f t="shared" si="3"/>
        <v>88280</v>
      </c>
      <c r="M50" s="35">
        <f t="shared" si="3"/>
        <v>105322</v>
      </c>
      <c r="N50" s="35">
        <f t="shared" si="3"/>
        <v>101632</v>
      </c>
      <c r="O50" s="36">
        <f>SUM(C50:N50)</f>
        <v>1024114</v>
      </c>
      <c r="Q50" s="16">
        <f>15927+12939+3672+16845*2+17475*2+18010+17475+3531+3454+19027+18652*3+18552</f>
        <v>237183</v>
      </c>
    </row>
    <row r="51" spans="1:19" x14ac:dyDescent="0.2">
      <c r="J51" s="128">
        <f>+J37-SUM(J22:J36)</f>
        <v>126540</v>
      </c>
      <c r="Q51" s="38"/>
    </row>
    <row r="52" spans="1:19" ht="13.5" thickBot="1" x14ac:dyDescent="0.25">
      <c r="B52" s="37"/>
      <c r="J52" s="38">
        <f>+J51-J49</f>
        <v>88280</v>
      </c>
      <c r="Q52" s="38"/>
    </row>
    <row r="53" spans="1:19" ht="13.5" thickBot="1" x14ac:dyDescent="0.25">
      <c r="B53" s="789" t="s">
        <v>162</v>
      </c>
      <c r="C53" s="861"/>
      <c r="D53" s="861"/>
      <c r="E53" s="861"/>
      <c r="F53" s="862"/>
      <c r="G53" s="863">
        <f>+O37</f>
        <v>1550224</v>
      </c>
      <c r="H53" s="864"/>
    </row>
    <row r="54" spans="1:19" ht="13.5" thickBot="1" x14ac:dyDescent="0.25">
      <c r="B54" s="37"/>
    </row>
    <row r="55" spans="1:19" x14ac:dyDescent="0.2">
      <c r="B55" s="830" t="s">
        <v>163</v>
      </c>
      <c r="C55" s="833" t="s">
        <v>164</v>
      </c>
      <c r="D55" s="836" t="s">
        <v>229</v>
      </c>
      <c r="E55" s="837"/>
      <c r="F55" s="838"/>
      <c r="G55" s="839">
        <v>40000</v>
      </c>
      <c r="H55" s="840"/>
    </row>
    <row r="56" spans="1:19" x14ac:dyDescent="0.2">
      <c r="B56" s="831"/>
      <c r="C56" s="834"/>
      <c r="D56" s="841" t="s">
        <v>166</v>
      </c>
      <c r="E56" s="842"/>
      <c r="F56" s="843"/>
      <c r="G56" s="844">
        <v>2500</v>
      </c>
      <c r="H56" s="845"/>
      <c r="I56" s="39"/>
      <c r="J56" s="846"/>
      <c r="K56" s="846"/>
      <c r="L56" s="846"/>
      <c r="M56" s="847"/>
      <c r="N56" s="847"/>
      <c r="O56" s="847"/>
    </row>
    <row r="57" spans="1:19" ht="13.5" thickBot="1" x14ac:dyDescent="0.25">
      <c r="B57" s="832"/>
      <c r="C57" s="835"/>
      <c r="D57" s="848" t="s">
        <v>129</v>
      </c>
      <c r="E57" s="849"/>
      <c r="F57" s="850"/>
      <c r="G57" s="851">
        <v>0</v>
      </c>
      <c r="H57" s="852"/>
      <c r="J57" s="47"/>
      <c r="K57" s="47"/>
      <c r="L57" s="47"/>
      <c r="M57" s="47"/>
      <c r="N57" s="47"/>
      <c r="O57" s="47"/>
    </row>
    <row r="58" spans="1:19" ht="13.5" thickBot="1" x14ac:dyDescent="0.25">
      <c r="B58" s="48"/>
      <c r="J58" s="47"/>
      <c r="K58" s="47"/>
      <c r="L58" s="47"/>
      <c r="M58" s="47"/>
      <c r="N58" s="47"/>
      <c r="O58" s="47"/>
    </row>
    <row r="59" spans="1:19" ht="13.5" thickBot="1" x14ac:dyDescent="0.25">
      <c r="B59" s="789" t="s">
        <v>168</v>
      </c>
      <c r="C59" s="790"/>
      <c r="D59" s="790"/>
      <c r="E59" s="790"/>
      <c r="F59" s="791"/>
      <c r="G59" s="825">
        <f>+G53-SUM(G55:H57)</f>
        <v>1507724</v>
      </c>
      <c r="H59" s="826"/>
      <c r="J59" s="827" t="s">
        <v>169</v>
      </c>
      <c r="K59" s="828"/>
      <c r="L59" s="828"/>
      <c r="M59" s="828"/>
      <c r="N59" s="828"/>
      <c r="O59" s="829"/>
    </row>
    <row r="60" spans="1:19" ht="13.5" thickBot="1" x14ac:dyDescent="0.25">
      <c r="B60" s="49"/>
      <c r="C60" s="50"/>
      <c r="D60" s="50"/>
      <c r="E60" s="50"/>
      <c r="F60" s="50"/>
      <c r="G60" s="754"/>
      <c r="H60" s="50"/>
      <c r="J60" s="751"/>
      <c r="K60" s="752"/>
      <c r="L60" s="752"/>
      <c r="M60" s="752"/>
      <c r="N60" s="752"/>
      <c r="O60" s="753"/>
    </row>
    <row r="61" spans="1:19" ht="13.5" thickBot="1" x14ac:dyDescent="0.25">
      <c r="B61" s="789" t="s">
        <v>170</v>
      </c>
      <c r="C61" s="790"/>
      <c r="D61" s="790"/>
      <c r="E61" s="790"/>
      <c r="F61" s="791"/>
      <c r="G61" s="805"/>
      <c r="H61" s="791"/>
      <c r="J61" s="751"/>
      <c r="K61" s="752"/>
      <c r="L61" s="752"/>
      <c r="M61" s="752"/>
      <c r="N61" s="752"/>
      <c r="O61" s="753"/>
    </row>
    <row r="62" spans="1:19" ht="12.75" customHeight="1" x14ac:dyDescent="0.2">
      <c r="B62" s="57" t="s">
        <v>171</v>
      </c>
      <c r="C62" s="806" t="s">
        <v>172</v>
      </c>
      <c r="D62" s="807"/>
      <c r="E62" s="807"/>
      <c r="F62" s="808"/>
      <c r="G62" s="809">
        <v>60078</v>
      </c>
      <c r="H62" s="809"/>
      <c r="I62" s="58"/>
      <c r="J62" s="810" t="s">
        <v>173</v>
      </c>
      <c r="K62" s="811"/>
      <c r="L62" s="811"/>
      <c r="M62" s="811"/>
      <c r="N62" s="811"/>
      <c r="O62" s="812"/>
      <c r="Q62" s="59"/>
      <c r="R62" s="59"/>
      <c r="S62" s="59"/>
    </row>
    <row r="63" spans="1:19" ht="13.5" thickBot="1" x14ac:dyDescent="0.25">
      <c r="B63" s="37"/>
      <c r="D63" s="37"/>
      <c r="I63" s="58"/>
      <c r="J63" s="60" t="s">
        <v>1244</v>
      </c>
      <c r="K63" s="132"/>
      <c r="L63" s="132"/>
      <c r="M63" s="133"/>
      <c r="N63" s="133" t="s">
        <v>396</v>
      </c>
      <c r="O63" s="134"/>
      <c r="Q63" s="59"/>
      <c r="R63" s="59"/>
      <c r="S63" s="59"/>
    </row>
    <row r="64" spans="1:19" ht="13.5" thickBot="1" x14ac:dyDescent="0.25">
      <c r="B64" s="789" t="s">
        <v>175</v>
      </c>
      <c r="C64" s="790"/>
      <c r="D64" s="790"/>
      <c r="E64" s="790"/>
      <c r="F64" s="791"/>
      <c r="G64" s="805">
        <f>+G59-G62</f>
        <v>1447646</v>
      </c>
      <c r="H64" s="791"/>
      <c r="I64" s="63"/>
      <c r="J64" s="75"/>
      <c r="K64" s="39"/>
      <c r="L64" s="39"/>
      <c r="M64" s="39"/>
      <c r="N64" s="39" t="s">
        <v>388</v>
      </c>
      <c r="O64" s="65"/>
      <c r="Q64" s="59"/>
      <c r="R64" s="59"/>
      <c r="S64" s="59"/>
    </row>
    <row r="65" spans="2:19" ht="12.75" customHeight="1" x14ac:dyDescent="0.2">
      <c r="B65" s="48"/>
      <c r="C65" s="48"/>
      <c r="I65" s="63"/>
      <c r="J65" s="64"/>
      <c r="K65" s="39"/>
      <c r="L65" s="39"/>
      <c r="M65" s="39"/>
      <c r="N65" s="39"/>
      <c r="O65" s="65"/>
      <c r="Q65" s="59"/>
      <c r="R65" s="59"/>
      <c r="S65" s="59"/>
    </row>
    <row r="66" spans="2:19" x14ac:dyDescent="0.2">
      <c r="B66" s="66" t="s">
        <v>176</v>
      </c>
      <c r="C66" s="48"/>
      <c r="I66" s="63"/>
      <c r="J66" s="758"/>
      <c r="K66" s="759"/>
      <c r="L66" s="759"/>
      <c r="M66" s="759"/>
      <c r="N66" s="759"/>
      <c r="O66" s="69"/>
      <c r="Q66" s="59"/>
      <c r="R66" s="59"/>
      <c r="S66" s="59"/>
    </row>
    <row r="67" spans="2:19" ht="23.25" thickBot="1" x14ac:dyDescent="0.25">
      <c r="B67" s="66"/>
      <c r="C67" s="48"/>
      <c r="G67" s="70" t="s">
        <v>177</v>
      </c>
      <c r="H67" s="70" t="s">
        <v>178</v>
      </c>
      <c r="I67" s="63"/>
      <c r="J67" s="810" t="s">
        <v>179</v>
      </c>
      <c r="K67" s="811"/>
      <c r="L67" s="71"/>
      <c r="M67" s="71"/>
      <c r="N67" s="71"/>
      <c r="O67" s="72"/>
      <c r="Q67" s="59"/>
      <c r="R67" s="59"/>
      <c r="S67" s="59"/>
    </row>
    <row r="68" spans="2:19" x14ac:dyDescent="0.2">
      <c r="B68" s="802" t="s">
        <v>180</v>
      </c>
      <c r="C68" s="821" t="s">
        <v>181</v>
      </c>
      <c r="D68" s="823" t="s">
        <v>182</v>
      </c>
      <c r="E68" s="824"/>
      <c r="F68" s="824"/>
      <c r="G68" s="73">
        <f>+O43</f>
        <v>180000</v>
      </c>
      <c r="H68" s="74">
        <f>+G68</f>
        <v>180000</v>
      </c>
      <c r="I68" s="63"/>
      <c r="J68" s="75" t="s">
        <v>231</v>
      </c>
      <c r="K68" s="58"/>
      <c r="L68" s="58"/>
      <c r="M68" s="135" t="s">
        <v>232</v>
      </c>
      <c r="N68" s="58"/>
      <c r="O68" s="76"/>
      <c r="Q68" s="59"/>
      <c r="R68" s="59"/>
      <c r="S68" s="59"/>
    </row>
    <row r="69" spans="2:19" x14ac:dyDescent="0.2">
      <c r="B69" s="803"/>
      <c r="C69" s="822"/>
      <c r="D69" s="782" t="s">
        <v>184</v>
      </c>
      <c r="E69" s="783"/>
      <c r="F69" s="783"/>
      <c r="G69" s="77">
        <f>+O47</f>
        <v>0</v>
      </c>
      <c r="H69" s="78">
        <f>+G69</f>
        <v>0</v>
      </c>
      <c r="I69" s="63"/>
      <c r="J69" s="79"/>
      <c r="K69" s="486">
        <v>925860539</v>
      </c>
      <c r="L69" s="486">
        <v>922301309</v>
      </c>
      <c r="M69" s="486">
        <v>907550714</v>
      </c>
      <c r="N69" s="759"/>
      <c r="O69" s="69"/>
      <c r="Q69" s="59"/>
      <c r="R69" s="59"/>
      <c r="S69" s="59"/>
    </row>
    <row r="70" spans="2:19" ht="12.75" customHeight="1" x14ac:dyDescent="0.2">
      <c r="B70" s="803"/>
      <c r="C70" s="822"/>
      <c r="D70" s="819" t="s">
        <v>185</v>
      </c>
      <c r="E70" s="820"/>
      <c r="F70" s="820"/>
      <c r="G70" s="750">
        <f>+O40</f>
        <v>720</v>
      </c>
      <c r="H70" s="78">
        <f>+G70</f>
        <v>720</v>
      </c>
      <c r="I70" s="63"/>
      <c r="J70" s="758"/>
      <c r="K70" s="759"/>
      <c r="L70" s="759"/>
      <c r="M70" s="759"/>
      <c r="N70" s="759"/>
      <c r="O70" s="69"/>
    </row>
    <row r="71" spans="2:19" x14ac:dyDescent="0.2">
      <c r="B71" s="803"/>
      <c r="C71" s="822"/>
      <c r="D71" s="782" t="s">
        <v>186</v>
      </c>
      <c r="E71" s="783"/>
      <c r="F71" s="783"/>
      <c r="G71" s="761">
        <v>0</v>
      </c>
      <c r="H71" s="78">
        <f>+G71</f>
        <v>0</v>
      </c>
      <c r="I71" s="63"/>
      <c r="J71" s="82" t="s">
        <v>187</v>
      </c>
      <c r="K71" s="71"/>
      <c r="L71" s="71"/>
      <c r="M71" s="71"/>
      <c r="N71" s="71"/>
      <c r="O71" s="72"/>
    </row>
    <row r="72" spans="2:19" x14ac:dyDescent="0.2">
      <c r="B72" s="803"/>
      <c r="C72" s="822"/>
      <c r="D72" s="784" t="s">
        <v>188</v>
      </c>
      <c r="E72" s="783"/>
      <c r="F72" s="783"/>
      <c r="G72" s="750">
        <v>0</v>
      </c>
      <c r="H72" s="78">
        <v>0</v>
      </c>
      <c r="I72" s="63"/>
      <c r="J72" s="75" t="s">
        <v>189</v>
      </c>
      <c r="K72" s="50"/>
      <c r="L72" s="50"/>
      <c r="M72" s="50"/>
      <c r="N72" s="50"/>
      <c r="O72" s="83">
        <f>O42</f>
        <v>1300</v>
      </c>
    </row>
    <row r="73" spans="2:19" x14ac:dyDescent="0.2">
      <c r="B73" s="803"/>
      <c r="C73" s="822"/>
      <c r="D73" s="782" t="s">
        <v>190</v>
      </c>
      <c r="E73" s="783"/>
      <c r="F73" s="783"/>
      <c r="G73" s="84">
        <v>0</v>
      </c>
      <c r="H73" s="78">
        <f>+G73</f>
        <v>0</v>
      </c>
      <c r="I73" s="63"/>
      <c r="J73" s="64"/>
      <c r="K73" s="39"/>
      <c r="L73" s="39"/>
      <c r="M73" s="39"/>
      <c r="N73" s="39"/>
      <c r="O73" s="65"/>
    </row>
    <row r="74" spans="2:19" x14ac:dyDescent="0.2">
      <c r="B74" s="803"/>
      <c r="C74" s="822"/>
      <c r="D74" s="782" t="s">
        <v>191</v>
      </c>
      <c r="E74" s="783"/>
      <c r="F74" s="783"/>
      <c r="G74" s="761">
        <v>77664</v>
      </c>
      <c r="H74" s="78">
        <f>+G74</f>
        <v>77664</v>
      </c>
      <c r="I74" s="58"/>
      <c r="J74" s="150"/>
      <c r="K74" s="50"/>
      <c r="L74" s="50"/>
      <c r="M74" s="50"/>
      <c r="N74" s="50"/>
      <c r="O74" s="83"/>
    </row>
    <row r="75" spans="2:19" x14ac:dyDescent="0.2">
      <c r="B75" s="803"/>
      <c r="C75" s="88" t="s">
        <v>192</v>
      </c>
      <c r="D75" s="813" t="s">
        <v>193</v>
      </c>
      <c r="E75" s="814"/>
      <c r="F75" s="814"/>
      <c r="G75" s="750">
        <v>0</v>
      </c>
      <c r="H75" s="78">
        <f>+G75</f>
        <v>0</v>
      </c>
      <c r="I75" s="58"/>
      <c r="J75" s="79"/>
      <c r="K75" s="39"/>
      <c r="L75" s="39"/>
      <c r="M75" s="39"/>
      <c r="N75" s="39"/>
      <c r="O75" s="65"/>
    </row>
    <row r="76" spans="2:19" ht="13.5" customHeight="1" thickBot="1" x14ac:dyDescent="0.25">
      <c r="B76" s="803"/>
      <c r="C76" s="88" t="s">
        <v>194</v>
      </c>
      <c r="D76" s="815" t="s">
        <v>195</v>
      </c>
      <c r="E76" s="815"/>
      <c r="F76" s="815"/>
      <c r="G76" s="89">
        <v>0</v>
      </c>
      <c r="H76" s="90">
        <f>+G76</f>
        <v>0</v>
      </c>
      <c r="I76" s="63"/>
      <c r="J76" s="758"/>
      <c r="K76" s="759"/>
      <c r="L76" s="759"/>
      <c r="M76" s="91"/>
      <c r="N76" s="91"/>
      <c r="O76" s="92"/>
    </row>
    <row r="77" spans="2:19" ht="13.5" thickBot="1" x14ac:dyDescent="0.25">
      <c r="B77" s="803"/>
      <c r="C77" s="93"/>
      <c r="D77" s="94"/>
      <c r="E77" s="816" t="s">
        <v>117</v>
      </c>
      <c r="F77" s="817"/>
      <c r="G77" s="95">
        <f>SUM(G68:G76)</f>
        <v>258384</v>
      </c>
      <c r="H77" s="96">
        <f>IF(SUM(G68:G74)&lt;150000,SUM(G68:G74),150000)+IF(+G75&lt;20000,+G75,20000)</f>
        <v>150000</v>
      </c>
      <c r="I77" s="63"/>
      <c r="J77" s="140"/>
      <c r="K77" s="757"/>
      <c r="L77" s="757"/>
      <c r="M77" s="142"/>
      <c r="N77" s="142"/>
      <c r="O77" s="143"/>
    </row>
    <row r="78" spans="2:19" x14ac:dyDescent="0.2">
      <c r="B78" s="803"/>
      <c r="C78" s="100" t="s">
        <v>196</v>
      </c>
      <c r="D78" s="782" t="s">
        <v>187</v>
      </c>
      <c r="E78" s="783"/>
      <c r="F78" s="818"/>
      <c r="G78" s="73">
        <f>+O42</f>
        <v>1300</v>
      </c>
      <c r="H78" s="101">
        <f>+IF(+G78&lt;25000,+G78,25000)</f>
        <v>1300</v>
      </c>
      <c r="I78" s="87"/>
    </row>
    <row r="79" spans="2:19" x14ac:dyDescent="0.2">
      <c r="B79" s="803"/>
      <c r="C79" s="100" t="s">
        <v>197</v>
      </c>
      <c r="D79" s="784" t="s">
        <v>198</v>
      </c>
      <c r="E79" s="785"/>
      <c r="F79" s="786"/>
      <c r="G79" s="102"/>
      <c r="H79" s="103">
        <v>0</v>
      </c>
      <c r="I79" s="63"/>
    </row>
    <row r="80" spans="2:19" x14ac:dyDescent="0.2">
      <c r="B80" s="803"/>
      <c r="C80" s="100" t="s">
        <v>199</v>
      </c>
      <c r="D80" s="784" t="s">
        <v>200</v>
      </c>
      <c r="E80" s="785"/>
      <c r="F80" s="786"/>
      <c r="G80" s="761"/>
      <c r="H80" s="104">
        <v>0</v>
      </c>
      <c r="I80" s="63"/>
      <c r="J80" s="416"/>
      <c r="K80" s="416"/>
      <c r="L80" s="416"/>
      <c r="M80" s="416"/>
    </row>
    <row r="81" spans="2:12" x14ac:dyDescent="0.2">
      <c r="B81" s="803"/>
      <c r="C81" s="100" t="s">
        <v>201</v>
      </c>
      <c r="D81" s="784" t="s">
        <v>202</v>
      </c>
      <c r="E81" s="785"/>
      <c r="F81" s="786"/>
      <c r="G81" s="761"/>
      <c r="H81" s="104">
        <v>0</v>
      </c>
      <c r="I81" s="63"/>
    </row>
    <row r="82" spans="2:12" ht="13.5" thickBot="1" x14ac:dyDescent="0.25">
      <c r="B82" s="804"/>
      <c r="C82" s="100" t="s">
        <v>203</v>
      </c>
      <c r="D82" s="784" t="s">
        <v>204</v>
      </c>
      <c r="E82" s="785"/>
      <c r="F82" s="786"/>
      <c r="G82" s="102"/>
      <c r="H82" s="103">
        <v>0</v>
      </c>
      <c r="I82" s="63"/>
    </row>
    <row r="83" spans="2:12" ht="13.5" thickBot="1" x14ac:dyDescent="0.25">
      <c r="B83" s="787" t="s">
        <v>205</v>
      </c>
      <c r="C83" s="788"/>
      <c r="D83" s="788"/>
      <c r="E83" s="788"/>
      <c r="F83" s="788"/>
      <c r="G83" s="107">
        <f>SUM(G78:G82)</f>
        <v>1300</v>
      </c>
      <c r="H83" s="108">
        <f>SUM(H77:H82)</f>
        <v>151300</v>
      </c>
    </row>
    <row r="84" spans="2:12" ht="13.5" thickBot="1" x14ac:dyDescent="0.25">
      <c r="B84" s="37"/>
    </row>
    <row r="85" spans="2:12" ht="13.5" thickBot="1" x14ac:dyDescent="0.25">
      <c r="B85" s="789" t="s">
        <v>206</v>
      </c>
      <c r="C85" s="790"/>
      <c r="D85" s="790"/>
      <c r="E85" s="790"/>
      <c r="F85" s="791"/>
      <c r="G85" s="1055">
        <f>ROUND(+G64-H83,-1)</f>
        <v>1296350</v>
      </c>
      <c r="H85" s="1056"/>
      <c r="J85" s="109">
        <f>C37+D37+E37+F37</f>
        <v>487440</v>
      </c>
      <c r="K85" s="16" t="s">
        <v>235</v>
      </c>
    </row>
    <row r="86" spans="2:12" x14ac:dyDescent="0.2">
      <c r="B86" s="110"/>
      <c r="F86" s="105"/>
      <c r="J86" s="109">
        <f>G37+H37+I37</f>
        <v>381792</v>
      </c>
      <c r="K86" s="16" t="s">
        <v>236</v>
      </c>
    </row>
    <row r="87" spans="2:12" x14ac:dyDescent="0.2">
      <c r="B87" s="37"/>
      <c r="C87" s="793" t="s">
        <v>207</v>
      </c>
      <c r="D87" s="794"/>
      <c r="E87" s="111" t="s">
        <v>208</v>
      </c>
      <c r="F87" s="111" t="s">
        <v>209</v>
      </c>
      <c r="G87" s="111" t="s">
        <v>210</v>
      </c>
      <c r="H87" s="111" t="s">
        <v>211</v>
      </c>
      <c r="J87" s="109">
        <f>J37+K37+L37</f>
        <v>386528</v>
      </c>
      <c r="K87" s="47" t="s">
        <v>237</v>
      </c>
    </row>
    <row r="88" spans="2:12" x14ac:dyDescent="0.2">
      <c r="B88" s="37"/>
      <c r="C88" s="795" t="str">
        <f>IF(I6="M","0          - 250000","0          -  250000")</f>
        <v>0          - 250000</v>
      </c>
      <c r="D88" s="796"/>
      <c r="E88" s="112">
        <v>0</v>
      </c>
      <c r="F88" s="113">
        <f>IF(I6="M",(IF(G85&lt;250000,G85,250000)),(IF(G85&lt;250000,G85,250000)))</f>
        <v>250000</v>
      </c>
      <c r="G88" s="113">
        <f>G85-F88</f>
        <v>1046350</v>
      </c>
      <c r="H88" s="113">
        <f>E88*F88</f>
        <v>0</v>
      </c>
      <c r="J88" s="16">
        <f>M37+N37</f>
        <v>294464</v>
      </c>
      <c r="K88" s="1" t="s">
        <v>238</v>
      </c>
    </row>
    <row r="89" spans="2:12" x14ac:dyDescent="0.2">
      <c r="B89" s="37"/>
      <c r="C89" s="795" t="str">
        <f>IF(I6="M","250001 - 500000","250001-500000")</f>
        <v>250001 - 500000</v>
      </c>
      <c r="D89" s="796"/>
      <c r="E89" s="112">
        <v>0.05</v>
      </c>
      <c r="F89" s="113">
        <f>IF(I6="M",(IF(G88&lt;250000,G88,250000)),(IF(G88&lt;250000,G88,250000)))</f>
        <v>250000</v>
      </c>
      <c r="G89" s="113">
        <f>G88-F89</f>
        <v>796350</v>
      </c>
      <c r="H89" s="114">
        <f>ROUND(E89*F89,0.1)</f>
        <v>12500</v>
      </c>
      <c r="J89" s="115">
        <f>SUM(J85:J88)</f>
        <v>1550224</v>
      </c>
    </row>
    <row r="90" spans="2:12" x14ac:dyDescent="0.2">
      <c r="B90" s="37"/>
      <c r="C90" s="797" t="s">
        <v>212</v>
      </c>
      <c r="D90" s="798"/>
      <c r="E90" s="112">
        <v>0.2</v>
      </c>
      <c r="F90" s="113">
        <f>IF(G89&lt;500000,G89,500000)</f>
        <v>500000</v>
      </c>
      <c r="G90" s="113">
        <f>G89-F90</f>
        <v>296350</v>
      </c>
      <c r="H90" s="114">
        <f>ROUND(E90*F90,0.1)</f>
        <v>100000</v>
      </c>
      <c r="J90" s="16">
        <f>+G85</f>
        <v>1296350</v>
      </c>
    </row>
    <row r="91" spans="2:12" x14ac:dyDescent="0.2">
      <c r="B91" s="37"/>
      <c r="C91" s="795" t="s">
        <v>213</v>
      </c>
      <c r="D91" s="796"/>
      <c r="E91" s="112">
        <v>0.3</v>
      </c>
      <c r="F91" s="113">
        <f>G90</f>
        <v>296350</v>
      </c>
      <c r="G91" s="113">
        <f>G90-F91</f>
        <v>0</v>
      </c>
      <c r="H91" s="114">
        <f>ROUND(E91*F91,0.1)</f>
        <v>88905</v>
      </c>
      <c r="J91" s="16">
        <f>+J89-J90</f>
        <v>253874</v>
      </c>
    </row>
    <row r="92" spans="2:12" ht="13.5" thickBot="1" x14ac:dyDescent="0.25">
      <c r="B92" s="116"/>
      <c r="C92" s="117"/>
      <c r="D92" s="47"/>
      <c r="E92" s="47"/>
      <c r="F92" s="47"/>
      <c r="J92" s="16">
        <f>ROUND(+G85/12,0.1)</f>
        <v>108029</v>
      </c>
      <c r="K92" s="223"/>
    </row>
    <row r="93" spans="2:12" ht="13.5" thickBot="1" x14ac:dyDescent="0.25">
      <c r="B93" s="799" t="s">
        <v>239</v>
      </c>
      <c r="C93" s="800"/>
      <c r="D93" s="800"/>
      <c r="E93" s="800"/>
      <c r="F93" s="801"/>
      <c r="G93" s="771">
        <f>H88+H89+H90+H91</f>
        <v>201405</v>
      </c>
      <c r="H93" s="772"/>
    </row>
    <row r="94" spans="2:12" ht="13.5" thickBot="1" x14ac:dyDescent="0.25">
      <c r="B94" s="119" t="s">
        <v>215</v>
      </c>
      <c r="C94" s="120"/>
      <c r="D94" s="120"/>
      <c r="E94" s="120"/>
      <c r="F94" s="120"/>
      <c r="G94" s="884">
        <f>IF((G64&lt;350000),2500,0)</f>
        <v>0</v>
      </c>
      <c r="H94" s="885">
        <f>IF(H92&lt;200000,0,IF(H92&lt;220000,((H92-200000)*10%),IF(H92&lt;=500000,2000,IF(H92&gt;=500000,0))))</f>
        <v>0</v>
      </c>
      <c r="J94" s="1"/>
      <c r="K94" s="121"/>
      <c r="L94" s="121"/>
    </row>
    <row r="95" spans="2:12" ht="13.5" thickBot="1" x14ac:dyDescent="0.25">
      <c r="B95" s="762" t="s">
        <v>216</v>
      </c>
      <c r="C95" s="123"/>
      <c r="D95" s="123"/>
      <c r="E95" s="123"/>
      <c r="F95" s="123"/>
      <c r="G95" s="771">
        <f>IF((G93-G94)&lt;0,0,(G93-G94))</f>
        <v>201405</v>
      </c>
      <c r="H95" s="772"/>
      <c r="I95" s="37"/>
    </row>
    <row r="96" spans="2:12" ht="13.5" thickBot="1" x14ac:dyDescent="0.25">
      <c r="B96" s="773" t="s">
        <v>240</v>
      </c>
      <c r="C96" s="774"/>
      <c r="D96" s="774"/>
      <c r="E96" s="774"/>
      <c r="F96" s="775"/>
      <c r="G96" s="776">
        <f>ROUND((IF(G95&gt;0,(G95*4%),0)),0)</f>
        <v>8056</v>
      </c>
      <c r="H96" s="777"/>
      <c r="I96" s="37"/>
    </row>
    <row r="97" spans="2:9" ht="13.5" thickBot="1" x14ac:dyDescent="0.25">
      <c r="B97" s="778" t="s">
        <v>218</v>
      </c>
      <c r="C97" s="779"/>
      <c r="D97" s="779"/>
      <c r="E97" s="779"/>
      <c r="F97" s="779"/>
      <c r="G97" s="780">
        <f>G95+G96</f>
        <v>209461</v>
      </c>
      <c r="H97" s="781"/>
      <c r="I97" s="121"/>
    </row>
    <row r="98" spans="2:9" ht="13.5" thickBot="1" x14ac:dyDescent="0.25">
      <c r="B98" s="765" t="s">
        <v>219</v>
      </c>
      <c r="C98" s="766"/>
      <c r="D98" s="766"/>
      <c r="E98" s="766"/>
      <c r="F98" s="766"/>
      <c r="G98" s="767">
        <f>O38</f>
        <v>209470</v>
      </c>
      <c r="H98" s="768"/>
      <c r="I98" s="121"/>
    </row>
    <row r="99" spans="2:9" ht="13.5" thickBot="1" x14ac:dyDescent="0.25">
      <c r="B99" s="765" t="str">
        <f>IF(G99&gt;0,"TAX PAYABLE","TAX REFUND")</f>
        <v>TAX REFUND</v>
      </c>
      <c r="C99" s="766"/>
      <c r="D99" s="766"/>
      <c r="E99" s="766"/>
      <c r="F99" s="766"/>
      <c r="G99" s="767">
        <f>+G97-G98</f>
        <v>-9</v>
      </c>
      <c r="H99" s="768"/>
      <c r="I99" s="37"/>
    </row>
    <row r="100" spans="2:9" x14ac:dyDescent="0.2">
      <c r="C100" s="124"/>
      <c r="D100" s="754"/>
      <c r="E100" s="118"/>
      <c r="F100" s="118"/>
      <c r="G100" s="118"/>
      <c r="H100" s="118"/>
      <c r="I100" s="125"/>
    </row>
    <row r="101" spans="2:9" x14ac:dyDescent="0.2">
      <c r="C101" s="47"/>
      <c r="D101" s="50"/>
      <c r="E101" s="117"/>
      <c r="F101" s="47"/>
      <c r="G101" s="47"/>
      <c r="H101" s="47"/>
      <c r="I101" s="125"/>
    </row>
    <row r="102" spans="2:9" x14ac:dyDescent="0.2">
      <c r="C102" s="39"/>
      <c r="D102" s="760"/>
      <c r="E102" s="760"/>
      <c r="F102" s="760"/>
      <c r="G102" s="39"/>
      <c r="H102" s="39"/>
      <c r="I102" s="37"/>
    </row>
    <row r="103" spans="2:9" x14ac:dyDescent="0.2">
      <c r="C103" s="39"/>
      <c r="D103" s="760"/>
      <c r="E103" s="760"/>
      <c r="F103" s="39"/>
      <c r="G103" s="39"/>
      <c r="H103" s="39"/>
      <c r="I103" s="37"/>
    </row>
    <row r="104" spans="2:9" x14ac:dyDescent="0.2">
      <c r="C104" s="39"/>
      <c r="D104" s="760"/>
      <c r="E104" s="760"/>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c r="I106" s="121"/>
    </row>
    <row r="107" spans="2:9"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64:F64"/>
    <mergeCell ref="G64:H64"/>
    <mergeCell ref="G56:H56"/>
    <mergeCell ref="J56:L56"/>
    <mergeCell ref="M56:O56"/>
    <mergeCell ref="D57:F57"/>
    <mergeCell ref="G57:H57"/>
    <mergeCell ref="B59:F59"/>
    <mergeCell ref="G59:H59"/>
    <mergeCell ref="J59:O59"/>
    <mergeCell ref="B55:B57"/>
    <mergeCell ref="C55:C57"/>
    <mergeCell ref="D55:F55"/>
    <mergeCell ref="G55:H55"/>
    <mergeCell ref="D56:F56"/>
    <mergeCell ref="B61:F61"/>
    <mergeCell ref="G61:H61"/>
    <mergeCell ref="C62:F62"/>
    <mergeCell ref="G62:H62"/>
    <mergeCell ref="J62:O62"/>
    <mergeCell ref="D80:F80"/>
    <mergeCell ref="J67:K67"/>
    <mergeCell ref="B68:B82"/>
    <mergeCell ref="C68:C74"/>
    <mergeCell ref="D68:F68"/>
    <mergeCell ref="D69:F69"/>
    <mergeCell ref="D70:F70"/>
    <mergeCell ref="D71:F71"/>
    <mergeCell ref="D72:F72"/>
    <mergeCell ref="D73:F73"/>
    <mergeCell ref="D74:F74"/>
    <mergeCell ref="D75:F75"/>
    <mergeCell ref="D76:F76"/>
    <mergeCell ref="E77:F77"/>
    <mergeCell ref="D78:F78"/>
    <mergeCell ref="D79:F79"/>
    <mergeCell ref="G93:H93"/>
    <mergeCell ref="D81:F81"/>
    <mergeCell ref="D82:F82"/>
    <mergeCell ref="B83:F83"/>
    <mergeCell ref="B85:F85"/>
    <mergeCell ref="G85:H85"/>
    <mergeCell ref="C87:D87"/>
    <mergeCell ref="C88:D88"/>
    <mergeCell ref="C89:D89"/>
    <mergeCell ref="C90:D90"/>
    <mergeCell ref="C91:D91"/>
    <mergeCell ref="B93:F93"/>
    <mergeCell ref="B98:F98"/>
    <mergeCell ref="G98:H98"/>
    <mergeCell ref="B99:F99"/>
    <mergeCell ref="G99:H99"/>
    <mergeCell ref="G94:H94"/>
    <mergeCell ref="G95:H95"/>
    <mergeCell ref="B96:F96"/>
    <mergeCell ref="G96:H96"/>
    <mergeCell ref="B97:F97"/>
    <mergeCell ref="G97:H97"/>
  </mergeCells>
  <conditionalFormatting sqref="G90:H90">
    <cfRule type="cellIs" dxfId="49" priority="1" stopIfTrue="1" operator="lessThan">
      <formula>0</formula>
    </cfRule>
    <cfRule type="cellIs" dxfId="48" priority="2" stopIfTrue="1" operator="greaterThan">
      <formula>0</formula>
    </cfRule>
  </conditionalFormatting>
  <conditionalFormatting sqref="C90:F90 B99:F99 B93:F97">
    <cfRule type="cellIs" dxfId="47" priority="3" stopIfTrue="1" operator="equal">
      <formula>"TAX PAYABLE"</formula>
    </cfRule>
    <cfRule type="cellIs" dxfId="46" priority="4" stopIfTrue="1" operator="equal">
      <formula>"TAX REFUND"</formula>
    </cfRule>
  </conditionalFormatting>
  <conditionalFormatting sqref="G99:H99">
    <cfRule type="cellIs" dxfId="45" priority="5" stopIfTrue="1" operator="greaterThan">
      <formula>0</formula>
    </cfRule>
    <cfRule type="cellIs" dxfId="44" priority="6"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$Q$8:$Q$9</formula1>
    </dataValidation>
  </dataValidations>
  <pageMargins left="0.75" right="0.75" top="1" bottom="1" header="0.5" footer="0.5"/>
  <headerFooter alignWithMargins="0"/>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8"/>
  <sheetViews>
    <sheetView topLeftCell="A2" workbookViewId="0">
      <selection activeCell="F19" sqref="F19"/>
    </sheetView>
  </sheetViews>
  <sheetFormatPr defaultRowHeight="12.75" x14ac:dyDescent="0.2"/>
  <cols>
    <col min="1" max="1" width="5" style="16" customWidth="1"/>
    <col min="2" max="2" width="20.85546875" style="37" customWidth="1"/>
    <col min="3" max="3" width="7.7109375" style="16" customWidth="1"/>
    <col min="4" max="4" width="8.5703125" style="16" customWidth="1"/>
    <col min="5" max="5" width="8.5703125" style="16" bestFit="1" customWidth="1"/>
    <col min="6" max="6" width="8" style="16" customWidth="1"/>
    <col min="7" max="10" width="9" style="16" customWidth="1"/>
    <col min="11" max="14" width="8.28515625" style="16" customWidth="1"/>
    <col min="15" max="15" width="8.140625" style="16" customWidth="1"/>
    <col min="16" max="20" width="9.140625" style="16"/>
    <col min="21" max="21" width="12.42578125" style="16" customWidth="1"/>
    <col min="22" max="22" width="9.140625" style="16"/>
    <col min="23" max="23" width="12" style="16" customWidth="1"/>
    <col min="24" max="256" width="9.140625" style="16"/>
    <col min="257" max="257" width="5" style="16" customWidth="1"/>
    <col min="258" max="258" width="20.85546875" style="16" customWidth="1"/>
    <col min="259" max="259" width="7.7109375" style="16" customWidth="1"/>
    <col min="260" max="260" width="8.5703125" style="16" customWidth="1"/>
    <col min="261" max="261" width="8.5703125" style="16" bestFit="1" customWidth="1"/>
    <col min="262" max="262" width="8" style="16" customWidth="1"/>
    <col min="263" max="266" width="9" style="16" customWidth="1"/>
    <col min="267" max="270" width="8.28515625" style="16" customWidth="1"/>
    <col min="271" max="271" width="8.140625" style="16" customWidth="1"/>
    <col min="272" max="276" width="9.140625" style="16"/>
    <col min="277" max="277" width="12.42578125" style="16" customWidth="1"/>
    <col min="278" max="278" width="9.140625" style="16"/>
    <col min="279" max="279" width="12" style="16" customWidth="1"/>
    <col min="280" max="512" width="9.140625" style="16"/>
    <col min="513" max="513" width="5" style="16" customWidth="1"/>
    <col min="514" max="514" width="20.85546875" style="16" customWidth="1"/>
    <col min="515" max="515" width="7.7109375" style="16" customWidth="1"/>
    <col min="516" max="516" width="8.5703125" style="16" customWidth="1"/>
    <col min="517" max="517" width="8.5703125" style="16" bestFit="1" customWidth="1"/>
    <col min="518" max="518" width="8" style="16" customWidth="1"/>
    <col min="519" max="522" width="9" style="16" customWidth="1"/>
    <col min="523" max="526" width="8.28515625" style="16" customWidth="1"/>
    <col min="527" max="527" width="8.140625" style="16" customWidth="1"/>
    <col min="528" max="532" width="9.140625" style="16"/>
    <col min="533" max="533" width="12.42578125" style="16" customWidth="1"/>
    <col min="534" max="534" width="9.140625" style="16"/>
    <col min="535" max="535" width="12" style="16" customWidth="1"/>
    <col min="536" max="768" width="9.140625" style="16"/>
    <col min="769" max="769" width="5" style="16" customWidth="1"/>
    <col min="770" max="770" width="20.85546875" style="16" customWidth="1"/>
    <col min="771" max="771" width="7.7109375" style="16" customWidth="1"/>
    <col min="772" max="772" width="8.5703125" style="16" customWidth="1"/>
    <col min="773" max="773" width="8.5703125" style="16" bestFit="1" customWidth="1"/>
    <col min="774" max="774" width="8" style="16" customWidth="1"/>
    <col min="775" max="778" width="9" style="16" customWidth="1"/>
    <col min="779" max="782" width="8.28515625" style="16" customWidth="1"/>
    <col min="783" max="783" width="8.140625" style="16" customWidth="1"/>
    <col min="784" max="788" width="9.140625" style="16"/>
    <col min="789" max="789" width="12.42578125" style="16" customWidth="1"/>
    <col min="790" max="790" width="9.140625" style="16"/>
    <col min="791" max="791" width="12" style="16" customWidth="1"/>
    <col min="792" max="1024" width="9.140625" style="16"/>
    <col min="1025" max="1025" width="5" style="16" customWidth="1"/>
    <col min="1026" max="1026" width="20.85546875" style="16" customWidth="1"/>
    <col min="1027" max="1027" width="7.7109375" style="16" customWidth="1"/>
    <col min="1028" max="1028" width="8.5703125" style="16" customWidth="1"/>
    <col min="1029" max="1029" width="8.5703125" style="16" bestFit="1" customWidth="1"/>
    <col min="1030" max="1030" width="8" style="16" customWidth="1"/>
    <col min="1031" max="1034" width="9" style="16" customWidth="1"/>
    <col min="1035" max="1038" width="8.28515625" style="16" customWidth="1"/>
    <col min="1039" max="1039" width="8.140625" style="16" customWidth="1"/>
    <col min="1040" max="1044" width="9.140625" style="16"/>
    <col min="1045" max="1045" width="12.42578125" style="16" customWidth="1"/>
    <col min="1046" max="1046" width="9.140625" style="16"/>
    <col min="1047" max="1047" width="12" style="16" customWidth="1"/>
    <col min="1048" max="1280" width="9.140625" style="16"/>
    <col min="1281" max="1281" width="5" style="16" customWidth="1"/>
    <col min="1282" max="1282" width="20.85546875" style="16" customWidth="1"/>
    <col min="1283" max="1283" width="7.7109375" style="16" customWidth="1"/>
    <col min="1284" max="1284" width="8.5703125" style="16" customWidth="1"/>
    <col min="1285" max="1285" width="8.5703125" style="16" bestFit="1" customWidth="1"/>
    <col min="1286" max="1286" width="8" style="16" customWidth="1"/>
    <col min="1287" max="1290" width="9" style="16" customWidth="1"/>
    <col min="1291" max="1294" width="8.28515625" style="16" customWidth="1"/>
    <col min="1295" max="1295" width="8.140625" style="16" customWidth="1"/>
    <col min="1296" max="1300" width="9.140625" style="16"/>
    <col min="1301" max="1301" width="12.42578125" style="16" customWidth="1"/>
    <col min="1302" max="1302" width="9.140625" style="16"/>
    <col min="1303" max="1303" width="12" style="16" customWidth="1"/>
    <col min="1304" max="1536" width="9.140625" style="16"/>
    <col min="1537" max="1537" width="5" style="16" customWidth="1"/>
    <col min="1538" max="1538" width="20.85546875" style="16" customWidth="1"/>
    <col min="1539" max="1539" width="7.7109375" style="16" customWidth="1"/>
    <col min="1540" max="1540" width="8.5703125" style="16" customWidth="1"/>
    <col min="1541" max="1541" width="8.5703125" style="16" bestFit="1" customWidth="1"/>
    <col min="1542" max="1542" width="8" style="16" customWidth="1"/>
    <col min="1543" max="1546" width="9" style="16" customWidth="1"/>
    <col min="1547" max="1550" width="8.28515625" style="16" customWidth="1"/>
    <col min="1551" max="1551" width="8.140625" style="16" customWidth="1"/>
    <col min="1552" max="1556" width="9.140625" style="16"/>
    <col min="1557" max="1557" width="12.42578125" style="16" customWidth="1"/>
    <col min="1558" max="1558" width="9.140625" style="16"/>
    <col min="1559" max="1559" width="12" style="16" customWidth="1"/>
    <col min="1560" max="1792" width="9.140625" style="16"/>
    <col min="1793" max="1793" width="5" style="16" customWidth="1"/>
    <col min="1794" max="1794" width="20.85546875" style="16" customWidth="1"/>
    <col min="1795" max="1795" width="7.7109375" style="16" customWidth="1"/>
    <col min="1796" max="1796" width="8.5703125" style="16" customWidth="1"/>
    <col min="1797" max="1797" width="8.5703125" style="16" bestFit="1" customWidth="1"/>
    <col min="1798" max="1798" width="8" style="16" customWidth="1"/>
    <col min="1799" max="1802" width="9" style="16" customWidth="1"/>
    <col min="1803" max="1806" width="8.28515625" style="16" customWidth="1"/>
    <col min="1807" max="1807" width="8.140625" style="16" customWidth="1"/>
    <col min="1808" max="1812" width="9.140625" style="16"/>
    <col min="1813" max="1813" width="12.42578125" style="16" customWidth="1"/>
    <col min="1814" max="1814" width="9.140625" style="16"/>
    <col min="1815" max="1815" width="12" style="16" customWidth="1"/>
    <col min="1816" max="2048" width="9.140625" style="16"/>
    <col min="2049" max="2049" width="5" style="16" customWidth="1"/>
    <col min="2050" max="2050" width="20.85546875" style="16" customWidth="1"/>
    <col min="2051" max="2051" width="7.7109375" style="16" customWidth="1"/>
    <col min="2052" max="2052" width="8.5703125" style="16" customWidth="1"/>
    <col min="2053" max="2053" width="8.5703125" style="16" bestFit="1" customWidth="1"/>
    <col min="2054" max="2054" width="8" style="16" customWidth="1"/>
    <col min="2055" max="2058" width="9" style="16" customWidth="1"/>
    <col min="2059" max="2062" width="8.28515625" style="16" customWidth="1"/>
    <col min="2063" max="2063" width="8.140625" style="16" customWidth="1"/>
    <col min="2064" max="2068" width="9.140625" style="16"/>
    <col min="2069" max="2069" width="12.42578125" style="16" customWidth="1"/>
    <col min="2070" max="2070" width="9.140625" style="16"/>
    <col min="2071" max="2071" width="12" style="16" customWidth="1"/>
    <col min="2072" max="2304" width="9.140625" style="16"/>
    <col min="2305" max="2305" width="5" style="16" customWidth="1"/>
    <col min="2306" max="2306" width="20.85546875" style="16" customWidth="1"/>
    <col min="2307" max="2307" width="7.7109375" style="16" customWidth="1"/>
    <col min="2308" max="2308" width="8.5703125" style="16" customWidth="1"/>
    <col min="2309" max="2309" width="8.5703125" style="16" bestFit="1" customWidth="1"/>
    <col min="2310" max="2310" width="8" style="16" customWidth="1"/>
    <col min="2311" max="2314" width="9" style="16" customWidth="1"/>
    <col min="2315" max="2318" width="8.28515625" style="16" customWidth="1"/>
    <col min="2319" max="2319" width="8.140625" style="16" customWidth="1"/>
    <col min="2320" max="2324" width="9.140625" style="16"/>
    <col min="2325" max="2325" width="12.42578125" style="16" customWidth="1"/>
    <col min="2326" max="2326" width="9.140625" style="16"/>
    <col min="2327" max="2327" width="12" style="16" customWidth="1"/>
    <col min="2328" max="2560" width="9.140625" style="16"/>
    <col min="2561" max="2561" width="5" style="16" customWidth="1"/>
    <col min="2562" max="2562" width="20.85546875" style="16" customWidth="1"/>
    <col min="2563" max="2563" width="7.7109375" style="16" customWidth="1"/>
    <col min="2564" max="2564" width="8.5703125" style="16" customWidth="1"/>
    <col min="2565" max="2565" width="8.5703125" style="16" bestFit="1" customWidth="1"/>
    <col min="2566" max="2566" width="8" style="16" customWidth="1"/>
    <col min="2567" max="2570" width="9" style="16" customWidth="1"/>
    <col min="2571" max="2574" width="8.28515625" style="16" customWidth="1"/>
    <col min="2575" max="2575" width="8.140625" style="16" customWidth="1"/>
    <col min="2576" max="2580" width="9.140625" style="16"/>
    <col min="2581" max="2581" width="12.42578125" style="16" customWidth="1"/>
    <col min="2582" max="2582" width="9.140625" style="16"/>
    <col min="2583" max="2583" width="12" style="16" customWidth="1"/>
    <col min="2584" max="2816" width="9.140625" style="16"/>
    <col min="2817" max="2817" width="5" style="16" customWidth="1"/>
    <col min="2818" max="2818" width="20.85546875" style="16" customWidth="1"/>
    <col min="2819" max="2819" width="7.7109375" style="16" customWidth="1"/>
    <col min="2820" max="2820" width="8.5703125" style="16" customWidth="1"/>
    <col min="2821" max="2821" width="8.5703125" style="16" bestFit="1" customWidth="1"/>
    <col min="2822" max="2822" width="8" style="16" customWidth="1"/>
    <col min="2823" max="2826" width="9" style="16" customWidth="1"/>
    <col min="2827" max="2830" width="8.28515625" style="16" customWidth="1"/>
    <col min="2831" max="2831" width="8.140625" style="16" customWidth="1"/>
    <col min="2832" max="2836" width="9.140625" style="16"/>
    <col min="2837" max="2837" width="12.42578125" style="16" customWidth="1"/>
    <col min="2838" max="2838" width="9.140625" style="16"/>
    <col min="2839" max="2839" width="12" style="16" customWidth="1"/>
    <col min="2840" max="3072" width="9.140625" style="16"/>
    <col min="3073" max="3073" width="5" style="16" customWidth="1"/>
    <col min="3074" max="3074" width="20.85546875" style="16" customWidth="1"/>
    <col min="3075" max="3075" width="7.7109375" style="16" customWidth="1"/>
    <col min="3076" max="3076" width="8.5703125" style="16" customWidth="1"/>
    <col min="3077" max="3077" width="8.5703125" style="16" bestFit="1" customWidth="1"/>
    <col min="3078" max="3078" width="8" style="16" customWidth="1"/>
    <col min="3079" max="3082" width="9" style="16" customWidth="1"/>
    <col min="3083" max="3086" width="8.28515625" style="16" customWidth="1"/>
    <col min="3087" max="3087" width="8.140625" style="16" customWidth="1"/>
    <col min="3088" max="3092" width="9.140625" style="16"/>
    <col min="3093" max="3093" width="12.42578125" style="16" customWidth="1"/>
    <col min="3094" max="3094" width="9.140625" style="16"/>
    <col min="3095" max="3095" width="12" style="16" customWidth="1"/>
    <col min="3096" max="3328" width="9.140625" style="16"/>
    <col min="3329" max="3329" width="5" style="16" customWidth="1"/>
    <col min="3330" max="3330" width="20.85546875" style="16" customWidth="1"/>
    <col min="3331" max="3331" width="7.7109375" style="16" customWidth="1"/>
    <col min="3332" max="3332" width="8.5703125" style="16" customWidth="1"/>
    <col min="3333" max="3333" width="8.5703125" style="16" bestFit="1" customWidth="1"/>
    <col min="3334" max="3334" width="8" style="16" customWidth="1"/>
    <col min="3335" max="3338" width="9" style="16" customWidth="1"/>
    <col min="3339" max="3342" width="8.28515625" style="16" customWidth="1"/>
    <col min="3343" max="3343" width="8.140625" style="16" customWidth="1"/>
    <col min="3344" max="3348" width="9.140625" style="16"/>
    <col min="3349" max="3349" width="12.42578125" style="16" customWidth="1"/>
    <col min="3350" max="3350" width="9.140625" style="16"/>
    <col min="3351" max="3351" width="12" style="16" customWidth="1"/>
    <col min="3352" max="3584" width="9.140625" style="16"/>
    <col min="3585" max="3585" width="5" style="16" customWidth="1"/>
    <col min="3586" max="3586" width="20.85546875" style="16" customWidth="1"/>
    <col min="3587" max="3587" width="7.7109375" style="16" customWidth="1"/>
    <col min="3588" max="3588" width="8.5703125" style="16" customWidth="1"/>
    <col min="3589" max="3589" width="8.5703125" style="16" bestFit="1" customWidth="1"/>
    <col min="3590" max="3590" width="8" style="16" customWidth="1"/>
    <col min="3591" max="3594" width="9" style="16" customWidth="1"/>
    <col min="3595" max="3598" width="8.28515625" style="16" customWidth="1"/>
    <col min="3599" max="3599" width="8.140625" style="16" customWidth="1"/>
    <col min="3600" max="3604" width="9.140625" style="16"/>
    <col min="3605" max="3605" width="12.42578125" style="16" customWidth="1"/>
    <col min="3606" max="3606" width="9.140625" style="16"/>
    <col min="3607" max="3607" width="12" style="16" customWidth="1"/>
    <col min="3608" max="3840" width="9.140625" style="16"/>
    <col min="3841" max="3841" width="5" style="16" customWidth="1"/>
    <col min="3842" max="3842" width="20.85546875" style="16" customWidth="1"/>
    <col min="3843" max="3843" width="7.7109375" style="16" customWidth="1"/>
    <col min="3844" max="3844" width="8.5703125" style="16" customWidth="1"/>
    <col min="3845" max="3845" width="8.5703125" style="16" bestFit="1" customWidth="1"/>
    <col min="3846" max="3846" width="8" style="16" customWidth="1"/>
    <col min="3847" max="3850" width="9" style="16" customWidth="1"/>
    <col min="3851" max="3854" width="8.28515625" style="16" customWidth="1"/>
    <col min="3855" max="3855" width="8.140625" style="16" customWidth="1"/>
    <col min="3856" max="3860" width="9.140625" style="16"/>
    <col min="3861" max="3861" width="12.42578125" style="16" customWidth="1"/>
    <col min="3862" max="3862" width="9.140625" style="16"/>
    <col min="3863" max="3863" width="12" style="16" customWidth="1"/>
    <col min="3864" max="4096" width="9.140625" style="16"/>
    <col min="4097" max="4097" width="5" style="16" customWidth="1"/>
    <col min="4098" max="4098" width="20.85546875" style="16" customWidth="1"/>
    <col min="4099" max="4099" width="7.7109375" style="16" customWidth="1"/>
    <col min="4100" max="4100" width="8.5703125" style="16" customWidth="1"/>
    <col min="4101" max="4101" width="8.5703125" style="16" bestFit="1" customWidth="1"/>
    <col min="4102" max="4102" width="8" style="16" customWidth="1"/>
    <col min="4103" max="4106" width="9" style="16" customWidth="1"/>
    <col min="4107" max="4110" width="8.28515625" style="16" customWidth="1"/>
    <col min="4111" max="4111" width="8.140625" style="16" customWidth="1"/>
    <col min="4112" max="4116" width="9.140625" style="16"/>
    <col min="4117" max="4117" width="12.42578125" style="16" customWidth="1"/>
    <col min="4118" max="4118" width="9.140625" style="16"/>
    <col min="4119" max="4119" width="12" style="16" customWidth="1"/>
    <col min="4120" max="4352" width="9.140625" style="16"/>
    <col min="4353" max="4353" width="5" style="16" customWidth="1"/>
    <col min="4354" max="4354" width="20.85546875" style="16" customWidth="1"/>
    <col min="4355" max="4355" width="7.7109375" style="16" customWidth="1"/>
    <col min="4356" max="4356" width="8.5703125" style="16" customWidth="1"/>
    <col min="4357" max="4357" width="8.5703125" style="16" bestFit="1" customWidth="1"/>
    <col min="4358" max="4358" width="8" style="16" customWidth="1"/>
    <col min="4359" max="4362" width="9" style="16" customWidth="1"/>
    <col min="4363" max="4366" width="8.28515625" style="16" customWidth="1"/>
    <col min="4367" max="4367" width="8.140625" style="16" customWidth="1"/>
    <col min="4368" max="4372" width="9.140625" style="16"/>
    <col min="4373" max="4373" width="12.42578125" style="16" customWidth="1"/>
    <col min="4374" max="4374" width="9.140625" style="16"/>
    <col min="4375" max="4375" width="12" style="16" customWidth="1"/>
    <col min="4376" max="4608" width="9.140625" style="16"/>
    <col min="4609" max="4609" width="5" style="16" customWidth="1"/>
    <col min="4610" max="4610" width="20.85546875" style="16" customWidth="1"/>
    <col min="4611" max="4611" width="7.7109375" style="16" customWidth="1"/>
    <col min="4612" max="4612" width="8.5703125" style="16" customWidth="1"/>
    <col min="4613" max="4613" width="8.5703125" style="16" bestFit="1" customWidth="1"/>
    <col min="4614" max="4614" width="8" style="16" customWidth="1"/>
    <col min="4615" max="4618" width="9" style="16" customWidth="1"/>
    <col min="4619" max="4622" width="8.28515625" style="16" customWidth="1"/>
    <col min="4623" max="4623" width="8.140625" style="16" customWidth="1"/>
    <col min="4624" max="4628" width="9.140625" style="16"/>
    <col min="4629" max="4629" width="12.42578125" style="16" customWidth="1"/>
    <col min="4630" max="4630" width="9.140625" style="16"/>
    <col min="4631" max="4631" width="12" style="16" customWidth="1"/>
    <col min="4632" max="4864" width="9.140625" style="16"/>
    <col min="4865" max="4865" width="5" style="16" customWidth="1"/>
    <col min="4866" max="4866" width="20.85546875" style="16" customWidth="1"/>
    <col min="4867" max="4867" width="7.7109375" style="16" customWidth="1"/>
    <col min="4868" max="4868" width="8.5703125" style="16" customWidth="1"/>
    <col min="4869" max="4869" width="8.5703125" style="16" bestFit="1" customWidth="1"/>
    <col min="4870" max="4870" width="8" style="16" customWidth="1"/>
    <col min="4871" max="4874" width="9" style="16" customWidth="1"/>
    <col min="4875" max="4878" width="8.28515625" style="16" customWidth="1"/>
    <col min="4879" max="4879" width="8.140625" style="16" customWidth="1"/>
    <col min="4880" max="4884" width="9.140625" style="16"/>
    <col min="4885" max="4885" width="12.42578125" style="16" customWidth="1"/>
    <col min="4886" max="4886" width="9.140625" style="16"/>
    <col min="4887" max="4887" width="12" style="16" customWidth="1"/>
    <col min="4888" max="5120" width="9.140625" style="16"/>
    <col min="5121" max="5121" width="5" style="16" customWidth="1"/>
    <col min="5122" max="5122" width="20.85546875" style="16" customWidth="1"/>
    <col min="5123" max="5123" width="7.7109375" style="16" customWidth="1"/>
    <col min="5124" max="5124" width="8.5703125" style="16" customWidth="1"/>
    <col min="5125" max="5125" width="8.5703125" style="16" bestFit="1" customWidth="1"/>
    <col min="5126" max="5126" width="8" style="16" customWidth="1"/>
    <col min="5127" max="5130" width="9" style="16" customWidth="1"/>
    <col min="5131" max="5134" width="8.28515625" style="16" customWidth="1"/>
    <col min="5135" max="5135" width="8.140625" style="16" customWidth="1"/>
    <col min="5136" max="5140" width="9.140625" style="16"/>
    <col min="5141" max="5141" width="12.42578125" style="16" customWidth="1"/>
    <col min="5142" max="5142" width="9.140625" style="16"/>
    <col min="5143" max="5143" width="12" style="16" customWidth="1"/>
    <col min="5144" max="5376" width="9.140625" style="16"/>
    <col min="5377" max="5377" width="5" style="16" customWidth="1"/>
    <col min="5378" max="5378" width="20.85546875" style="16" customWidth="1"/>
    <col min="5379" max="5379" width="7.7109375" style="16" customWidth="1"/>
    <col min="5380" max="5380" width="8.5703125" style="16" customWidth="1"/>
    <col min="5381" max="5381" width="8.5703125" style="16" bestFit="1" customWidth="1"/>
    <col min="5382" max="5382" width="8" style="16" customWidth="1"/>
    <col min="5383" max="5386" width="9" style="16" customWidth="1"/>
    <col min="5387" max="5390" width="8.28515625" style="16" customWidth="1"/>
    <col min="5391" max="5391" width="8.140625" style="16" customWidth="1"/>
    <col min="5392" max="5396" width="9.140625" style="16"/>
    <col min="5397" max="5397" width="12.42578125" style="16" customWidth="1"/>
    <col min="5398" max="5398" width="9.140625" style="16"/>
    <col min="5399" max="5399" width="12" style="16" customWidth="1"/>
    <col min="5400" max="5632" width="9.140625" style="16"/>
    <col min="5633" max="5633" width="5" style="16" customWidth="1"/>
    <col min="5634" max="5634" width="20.85546875" style="16" customWidth="1"/>
    <col min="5635" max="5635" width="7.7109375" style="16" customWidth="1"/>
    <col min="5636" max="5636" width="8.5703125" style="16" customWidth="1"/>
    <col min="5637" max="5637" width="8.5703125" style="16" bestFit="1" customWidth="1"/>
    <col min="5638" max="5638" width="8" style="16" customWidth="1"/>
    <col min="5639" max="5642" width="9" style="16" customWidth="1"/>
    <col min="5643" max="5646" width="8.28515625" style="16" customWidth="1"/>
    <col min="5647" max="5647" width="8.140625" style="16" customWidth="1"/>
    <col min="5648" max="5652" width="9.140625" style="16"/>
    <col min="5653" max="5653" width="12.42578125" style="16" customWidth="1"/>
    <col min="5654" max="5654" width="9.140625" style="16"/>
    <col min="5655" max="5655" width="12" style="16" customWidth="1"/>
    <col min="5656" max="5888" width="9.140625" style="16"/>
    <col min="5889" max="5889" width="5" style="16" customWidth="1"/>
    <col min="5890" max="5890" width="20.85546875" style="16" customWidth="1"/>
    <col min="5891" max="5891" width="7.7109375" style="16" customWidth="1"/>
    <col min="5892" max="5892" width="8.5703125" style="16" customWidth="1"/>
    <col min="5893" max="5893" width="8.5703125" style="16" bestFit="1" customWidth="1"/>
    <col min="5894" max="5894" width="8" style="16" customWidth="1"/>
    <col min="5895" max="5898" width="9" style="16" customWidth="1"/>
    <col min="5899" max="5902" width="8.28515625" style="16" customWidth="1"/>
    <col min="5903" max="5903" width="8.140625" style="16" customWidth="1"/>
    <col min="5904" max="5908" width="9.140625" style="16"/>
    <col min="5909" max="5909" width="12.42578125" style="16" customWidth="1"/>
    <col min="5910" max="5910" width="9.140625" style="16"/>
    <col min="5911" max="5911" width="12" style="16" customWidth="1"/>
    <col min="5912" max="6144" width="9.140625" style="16"/>
    <col min="6145" max="6145" width="5" style="16" customWidth="1"/>
    <col min="6146" max="6146" width="20.85546875" style="16" customWidth="1"/>
    <col min="6147" max="6147" width="7.7109375" style="16" customWidth="1"/>
    <col min="6148" max="6148" width="8.5703125" style="16" customWidth="1"/>
    <col min="6149" max="6149" width="8.5703125" style="16" bestFit="1" customWidth="1"/>
    <col min="6150" max="6150" width="8" style="16" customWidth="1"/>
    <col min="6151" max="6154" width="9" style="16" customWidth="1"/>
    <col min="6155" max="6158" width="8.28515625" style="16" customWidth="1"/>
    <col min="6159" max="6159" width="8.140625" style="16" customWidth="1"/>
    <col min="6160" max="6164" width="9.140625" style="16"/>
    <col min="6165" max="6165" width="12.42578125" style="16" customWidth="1"/>
    <col min="6166" max="6166" width="9.140625" style="16"/>
    <col min="6167" max="6167" width="12" style="16" customWidth="1"/>
    <col min="6168" max="6400" width="9.140625" style="16"/>
    <col min="6401" max="6401" width="5" style="16" customWidth="1"/>
    <col min="6402" max="6402" width="20.85546875" style="16" customWidth="1"/>
    <col min="6403" max="6403" width="7.7109375" style="16" customWidth="1"/>
    <col min="6404" max="6404" width="8.5703125" style="16" customWidth="1"/>
    <col min="6405" max="6405" width="8.5703125" style="16" bestFit="1" customWidth="1"/>
    <col min="6406" max="6406" width="8" style="16" customWidth="1"/>
    <col min="6407" max="6410" width="9" style="16" customWidth="1"/>
    <col min="6411" max="6414" width="8.28515625" style="16" customWidth="1"/>
    <col min="6415" max="6415" width="8.140625" style="16" customWidth="1"/>
    <col min="6416" max="6420" width="9.140625" style="16"/>
    <col min="6421" max="6421" width="12.42578125" style="16" customWidth="1"/>
    <col min="6422" max="6422" width="9.140625" style="16"/>
    <col min="6423" max="6423" width="12" style="16" customWidth="1"/>
    <col min="6424" max="6656" width="9.140625" style="16"/>
    <col min="6657" max="6657" width="5" style="16" customWidth="1"/>
    <col min="6658" max="6658" width="20.85546875" style="16" customWidth="1"/>
    <col min="6659" max="6659" width="7.7109375" style="16" customWidth="1"/>
    <col min="6660" max="6660" width="8.5703125" style="16" customWidth="1"/>
    <col min="6661" max="6661" width="8.5703125" style="16" bestFit="1" customWidth="1"/>
    <col min="6662" max="6662" width="8" style="16" customWidth="1"/>
    <col min="6663" max="6666" width="9" style="16" customWidth="1"/>
    <col min="6667" max="6670" width="8.28515625" style="16" customWidth="1"/>
    <col min="6671" max="6671" width="8.140625" style="16" customWidth="1"/>
    <col min="6672" max="6676" width="9.140625" style="16"/>
    <col min="6677" max="6677" width="12.42578125" style="16" customWidth="1"/>
    <col min="6678" max="6678" width="9.140625" style="16"/>
    <col min="6679" max="6679" width="12" style="16" customWidth="1"/>
    <col min="6680" max="6912" width="9.140625" style="16"/>
    <col min="6913" max="6913" width="5" style="16" customWidth="1"/>
    <col min="6914" max="6914" width="20.85546875" style="16" customWidth="1"/>
    <col min="6915" max="6915" width="7.7109375" style="16" customWidth="1"/>
    <col min="6916" max="6916" width="8.5703125" style="16" customWidth="1"/>
    <col min="6917" max="6917" width="8.5703125" style="16" bestFit="1" customWidth="1"/>
    <col min="6918" max="6918" width="8" style="16" customWidth="1"/>
    <col min="6919" max="6922" width="9" style="16" customWidth="1"/>
    <col min="6923" max="6926" width="8.28515625" style="16" customWidth="1"/>
    <col min="6927" max="6927" width="8.140625" style="16" customWidth="1"/>
    <col min="6928" max="6932" width="9.140625" style="16"/>
    <col min="6933" max="6933" width="12.42578125" style="16" customWidth="1"/>
    <col min="6934" max="6934" width="9.140625" style="16"/>
    <col min="6935" max="6935" width="12" style="16" customWidth="1"/>
    <col min="6936" max="7168" width="9.140625" style="16"/>
    <col min="7169" max="7169" width="5" style="16" customWidth="1"/>
    <col min="7170" max="7170" width="20.85546875" style="16" customWidth="1"/>
    <col min="7171" max="7171" width="7.7109375" style="16" customWidth="1"/>
    <col min="7172" max="7172" width="8.5703125" style="16" customWidth="1"/>
    <col min="7173" max="7173" width="8.5703125" style="16" bestFit="1" customWidth="1"/>
    <col min="7174" max="7174" width="8" style="16" customWidth="1"/>
    <col min="7175" max="7178" width="9" style="16" customWidth="1"/>
    <col min="7179" max="7182" width="8.28515625" style="16" customWidth="1"/>
    <col min="7183" max="7183" width="8.140625" style="16" customWidth="1"/>
    <col min="7184" max="7188" width="9.140625" style="16"/>
    <col min="7189" max="7189" width="12.42578125" style="16" customWidth="1"/>
    <col min="7190" max="7190" width="9.140625" style="16"/>
    <col min="7191" max="7191" width="12" style="16" customWidth="1"/>
    <col min="7192" max="7424" width="9.140625" style="16"/>
    <col min="7425" max="7425" width="5" style="16" customWidth="1"/>
    <col min="7426" max="7426" width="20.85546875" style="16" customWidth="1"/>
    <col min="7427" max="7427" width="7.7109375" style="16" customWidth="1"/>
    <col min="7428" max="7428" width="8.5703125" style="16" customWidth="1"/>
    <col min="7429" max="7429" width="8.5703125" style="16" bestFit="1" customWidth="1"/>
    <col min="7430" max="7430" width="8" style="16" customWidth="1"/>
    <col min="7431" max="7434" width="9" style="16" customWidth="1"/>
    <col min="7435" max="7438" width="8.28515625" style="16" customWidth="1"/>
    <col min="7439" max="7439" width="8.140625" style="16" customWidth="1"/>
    <col min="7440" max="7444" width="9.140625" style="16"/>
    <col min="7445" max="7445" width="12.42578125" style="16" customWidth="1"/>
    <col min="7446" max="7446" width="9.140625" style="16"/>
    <col min="7447" max="7447" width="12" style="16" customWidth="1"/>
    <col min="7448" max="7680" width="9.140625" style="16"/>
    <col min="7681" max="7681" width="5" style="16" customWidth="1"/>
    <col min="7682" max="7682" width="20.85546875" style="16" customWidth="1"/>
    <col min="7683" max="7683" width="7.7109375" style="16" customWidth="1"/>
    <col min="7684" max="7684" width="8.5703125" style="16" customWidth="1"/>
    <col min="7685" max="7685" width="8.5703125" style="16" bestFit="1" customWidth="1"/>
    <col min="7686" max="7686" width="8" style="16" customWidth="1"/>
    <col min="7687" max="7690" width="9" style="16" customWidth="1"/>
    <col min="7691" max="7694" width="8.28515625" style="16" customWidth="1"/>
    <col min="7695" max="7695" width="8.140625" style="16" customWidth="1"/>
    <col min="7696" max="7700" width="9.140625" style="16"/>
    <col min="7701" max="7701" width="12.42578125" style="16" customWidth="1"/>
    <col min="7702" max="7702" width="9.140625" style="16"/>
    <col min="7703" max="7703" width="12" style="16" customWidth="1"/>
    <col min="7704" max="7936" width="9.140625" style="16"/>
    <col min="7937" max="7937" width="5" style="16" customWidth="1"/>
    <col min="7938" max="7938" width="20.85546875" style="16" customWidth="1"/>
    <col min="7939" max="7939" width="7.7109375" style="16" customWidth="1"/>
    <col min="7940" max="7940" width="8.5703125" style="16" customWidth="1"/>
    <col min="7941" max="7941" width="8.5703125" style="16" bestFit="1" customWidth="1"/>
    <col min="7942" max="7942" width="8" style="16" customWidth="1"/>
    <col min="7943" max="7946" width="9" style="16" customWidth="1"/>
    <col min="7947" max="7950" width="8.28515625" style="16" customWidth="1"/>
    <col min="7951" max="7951" width="8.140625" style="16" customWidth="1"/>
    <col min="7952" max="7956" width="9.140625" style="16"/>
    <col min="7957" max="7957" width="12.42578125" style="16" customWidth="1"/>
    <col min="7958" max="7958" width="9.140625" style="16"/>
    <col min="7959" max="7959" width="12" style="16" customWidth="1"/>
    <col min="7960" max="8192" width="9.140625" style="16"/>
    <col min="8193" max="8193" width="5" style="16" customWidth="1"/>
    <col min="8194" max="8194" width="20.85546875" style="16" customWidth="1"/>
    <col min="8195" max="8195" width="7.7109375" style="16" customWidth="1"/>
    <col min="8196" max="8196" width="8.5703125" style="16" customWidth="1"/>
    <col min="8197" max="8197" width="8.5703125" style="16" bestFit="1" customWidth="1"/>
    <col min="8198" max="8198" width="8" style="16" customWidth="1"/>
    <col min="8199" max="8202" width="9" style="16" customWidth="1"/>
    <col min="8203" max="8206" width="8.28515625" style="16" customWidth="1"/>
    <col min="8207" max="8207" width="8.140625" style="16" customWidth="1"/>
    <col min="8208" max="8212" width="9.140625" style="16"/>
    <col min="8213" max="8213" width="12.42578125" style="16" customWidth="1"/>
    <col min="8214" max="8214" width="9.140625" style="16"/>
    <col min="8215" max="8215" width="12" style="16" customWidth="1"/>
    <col min="8216" max="8448" width="9.140625" style="16"/>
    <col min="8449" max="8449" width="5" style="16" customWidth="1"/>
    <col min="8450" max="8450" width="20.85546875" style="16" customWidth="1"/>
    <col min="8451" max="8451" width="7.7109375" style="16" customWidth="1"/>
    <col min="8452" max="8452" width="8.5703125" style="16" customWidth="1"/>
    <col min="8453" max="8453" width="8.5703125" style="16" bestFit="1" customWidth="1"/>
    <col min="8454" max="8454" width="8" style="16" customWidth="1"/>
    <col min="8455" max="8458" width="9" style="16" customWidth="1"/>
    <col min="8459" max="8462" width="8.28515625" style="16" customWidth="1"/>
    <col min="8463" max="8463" width="8.140625" style="16" customWidth="1"/>
    <col min="8464" max="8468" width="9.140625" style="16"/>
    <col min="8469" max="8469" width="12.42578125" style="16" customWidth="1"/>
    <col min="8470" max="8470" width="9.140625" style="16"/>
    <col min="8471" max="8471" width="12" style="16" customWidth="1"/>
    <col min="8472" max="8704" width="9.140625" style="16"/>
    <col min="8705" max="8705" width="5" style="16" customWidth="1"/>
    <col min="8706" max="8706" width="20.85546875" style="16" customWidth="1"/>
    <col min="8707" max="8707" width="7.7109375" style="16" customWidth="1"/>
    <col min="8708" max="8708" width="8.5703125" style="16" customWidth="1"/>
    <col min="8709" max="8709" width="8.5703125" style="16" bestFit="1" customWidth="1"/>
    <col min="8710" max="8710" width="8" style="16" customWidth="1"/>
    <col min="8711" max="8714" width="9" style="16" customWidth="1"/>
    <col min="8715" max="8718" width="8.28515625" style="16" customWidth="1"/>
    <col min="8719" max="8719" width="8.140625" style="16" customWidth="1"/>
    <col min="8720" max="8724" width="9.140625" style="16"/>
    <col min="8725" max="8725" width="12.42578125" style="16" customWidth="1"/>
    <col min="8726" max="8726" width="9.140625" style="16"/>
    <col min="8727" max="8727" width="12" style="16" customWidth="1"/>
    <col min="8728" max="8960" width="9.140625" style="16"/>
    <col min="8961" max="8961" width="5" style="16" customWidth="1"/>
    <col min="8962" max="8962" width="20.85546875" style="16" customWidth="1"/>
    <col min="8963" max="8963" width="7.7109375" style="16" customWidth="1"/>
    <col min="8964" max="8964" width="8.5703125" style="16" customWidth="1"/>
    <col min="8965" max="8965" width="8.5703125" style="16" bestFit="1" customWidth="1"/>
    <col min="8966" max="8966" width="8" style="16" customWidth="1"/>
    <col min="8967" max="8970" width="9" style="16" customWidth="1"/>
    <col min="8971" max="8974" width="8.28515625" style="16" customWidth="1"/>
    <col min="8975" max="8975" width="8.140625" style="16" customWidth="1"/>
    <col min="8976" max="8980" width="9.140625" style="16"/>
    <col min="8981" max="8981" width="12.42578125" style="16" customWidth="1"/>
    <col min="8982" max="8982" width="9.140625" style="16"/>
    <col min="8983" max="8983" width="12" style="16" customWidth="1"/>
    <col min="8984" max="9216" width="9.140625" style="16"/>
    <col min="9217" max="9217" width="5" style="16" customWidth="1"/>
    <col min="9218" max="9218" width="20.85546875" style="16" customWidth="1"/>
    <col min="9219" max="9219" width="7.7109375" style="16" customWidth="1"/>
    <col min="9220" max="9220" width="8.5703125" style="16" customWidth="1"/>
    <col min="9221" max="9221" width="8.5703125" style="16" bestFit="1" customWidth="1"/>
    <col min="9222" max="9222" width="8" style="16" customWidth="1"/>
    <col min="9223" max="9226" width="9" style="16" customWidth="1"/>
    <col min="9227" max="9230" width="8.28515625" style="16" customWidth="1"/>
    <col min="9231" max="9231" width="8.140625" style="16" customWidth="1"/>
    <col min="9232" max="9236" width="9.140625" style="16"/>
    <col min="9237" max="9237" width="12.42578125" style="16" customWidth="1"/>
    <col min="9238" max="9238" width="9.140625" style="16"/>
    <col min="9239" max="9239" width="12" style="16" customWidth="1"/>
    <col min="9240" max="9472" width="9.140625" style="16"/>
    <col min="9473" max="9473" width="5" style="16" customWidth="1"/>
    <col min="9474" max="9474" width="20.85546875" style="16" customWidth="1"/>
    <col min="9475" max="9475" width="7.7109375" style="16" customWidth="1"/>
    <col min="9476" max="9476" width="8.5703125" style="16" customWidth="1"/>
    <col min="9477" max="9477" width="8.5703125" style="16" bestFit="1" customWidth="1"/>
    <col min="9478" max="9478" width="8" style="16" customWidth="1"/>
    <col min="9479" max="9482" width="9" style="16" customWidth="1"/>
    <col min="9483" max="9486" width="8.28515625" style="16" customWidth="1"/>
    <col min="9487" max="9487" width="8.140625" style="16" customWidth="1"/>
    <col min="9488" max="9492" width="9.140625" style="16"/>
    <col min="9493" max="9493" width="12.42578125" style="16" customWidth="1"/>
    <col min="9494" max="9494" width="9.140625" style="16"/>
    <col min="9495" max="9495" width="12" style="16" customWidth="1"/>
    <col min="9496" max="9728" width="9.140625" style="16"/>
    <col min="9729" max="9729" width="5" style="16" customWidth="1"/>
    <col min="9730" max="9730" width="20.85546875" style="16" customWidth="1"/>
    <col min="9731" max="9731" width="7.7109375" style="16" customWidth="1"/>
    <col min="9732" max="9732" width="8.5703125" style="16" customWidth="1"/>
    <col min="9733" max="9733" width="8.5703125" style="16" bestFit="1" customWidth="1"/>
    <col min="9734" max="9734" width="8" style="16" customWidth="1"/>
    <col min="9735" max="9738" width="9" style="16" customWidth="1"/>
    <col min="9739" max="9742" width="8.28515625" style="16" customWidth="1"/>
    <col min="9743" max="9743" width="8.140625" style="16" customWidth="1"/>
    <col min="9744" max="9748" width="9.140625" style="16"/>
    <col min="9749" max="9749" width="12.42578125" style="16" customWidth="1"/>
    <col min="9750" max="9750" width="9.140625" style="16"/>
    <col min="9751" max="9751" width="12" style="16" customWidth="1"/>
    <col min="9752" max="9984" width="9.140625" style="16"/>
    <col min="9985" max="9985" width="5" style="16" customWidth="1"/>
    <col min="9986" max="9986" width="20.85546875" style="16" customWidth="1"/>
    <col min="9987" max="9987" width="7.7109375" style="16" customWidth="1"/>
    <col min="9988" max="9988" width="8.5703125" style="16" customWidth="1"/>
    <col min="9989" max="9989" width="8.5703125" style="16" bestFit="1" customWidth="1"/>
    <col min="9990" max="9990" width="8" style="16" customWidth="1"/>
    <col min="9991" max="9994" width="9" style="16" customWidth="1"/>
    <col min="9995" max="9998" width="8.28515625" style="16" customWidth="1"/>
    <col min="9999" max="9999" width="8.140625" style="16" customWidth="1"/>
    <col min="10000" max="10004" width="9.140625" style="16"/>
    <col min="10005" max="10005" width="12.42578125" style="16" customWidth="1"/>
    <col min="10006" max="10006" width="9.140625" style="16"/>
    <col min="10007" max="10007" width="12" style="16" customWidth="1"/>
    <col min="10008" max="10240" width="9.140625" style="16"/>
    <col min="10241" max="10241" width="5" style="16" customWidth="1"/>
    <col min="10242" max="10242" width="20.85546875" style="16" customWidth="1"/>
    <col min="10243" max="10243" width="7.7109375" style="16" customWidth="1"/>
    <col min="10244" max="10244" width="8.5703125" style="16" customWidth="1"/>
    <col min="10245" max="10245" width="8.5703125" style="16" bestFit="1" customWidth="1"/>
    <col min="10246" max="10246" width="8" style="16" customWidth="1"/>
    <col min="10247" max="10250" width="9" style="16" customWidth="1"/>
    <col min="10251" max="10254" width="8.28515625" style="16" customWidth="1"/>
    <col min="10255" max="10255" width="8.140625" style="16" customWidth="1"/>
    <col min="10256" max="10260" width="9.140625" style="16"/>
    <col min="10261" max="10261" width="12.42578125" style="16" customWidth="1"/>
    <col min="10262" max="10262" width="9.140625" style="16"/>
    <col min="10263" max="10263" width="12" style="16" customWidth="1"/>
    <col min="10264" max="10496" width="9.140625" style="16"/>
    <col min="10497" max="10497" width="5" style="16" customWidth="1"/>
    <col min="10498" max="10498" width="20.85546875" style="16" customWidth="1"/>
    <col min="10499" max="10499" width="7.7109375" style="16" customWidth="1"/>
    <col min="10500" max="10500" width="8.5703125" style="16" customWidth="1"/>
    <col min="10501" max="10501" width="8.5703125" style="16" bestFit="1" customWidth="1"/>
    <col min="10502" max="10502" width="8" style="16" customWidth="1"/>
    <col min="10503" max="10506" width="9" style="16" customWidth="1"/>
    <col min="10507" max="10510" width="8.28515625" style="16" customWidth="1"/>
    <col min="10511" max="10511" width="8.140625" style="16" customWidth="1"/>
    <col min="10512" max="10516" width="9.140625" style="16"/>
    <col min="10517" max="10517" width="12.42578125" style="16" customWidth="1"/>
    <col min="10518" max="10518" width="9.140625" style="16"/>
    <col min="10519" max="10519" width="12" style="16" customWidth="1"/>
    <col min="10520" max="10752" width="9.140625" style="16"/>
    <col min="10753" max="10753" width="5" style="16" customWidth="1"/>
    <col min="10754" max="10754" width="20.85546875" style="16" customWidth="1"/>
    <col min="10755" max="10755" width="7.7109375" style="16" customWidth="1"/>
    <col min="10756" max="10756" width="8.5703125" style="16" customWidth="1"/>
    <col min="10757" max="10757" width="8.5703125" style="16" bestFit="1" customWidth="1"/>
    <col min="10758" max="10758" width="8" style="16" customWidth="1"/>
    <col min="10759" max="10762" width="9" style="16" customWidth="1"/>
    <col min="10763" max="10766" width="8.28515625" style="16" customWidth="1"/>
    <col min="10767" max="10767" width="8.140625" style="16" customWidth="1"/>
    <col min="10768" max="10772" width="9.140625" style="16"/>
    <col min="10773" max="10773" width="12.42578125" style="16" customWidth="1"/>
    <col min="10774" max="10774" width="9.140625" style="16"/>
    <col min="10775" max="10775" width="12" style="16" customWidth="1"/>
    <col min="10776" max="11008" width="9.140625" style="16"/>
    <col min="11009" max="11009" width="5" style="16" customWidth="1"/>
    <col min="11010" max="11010" width="20.85546875" style="16" customWidth="1"/>
    <col min="11011" max="11011" width="7.7109375" style="16" customWidth="1"/>
    <col min="11012" max="11012" width="8.5703125" style="16" customWidth="1"/>
    <col min="11013" max="11013" width="8.5703125" style="16" bestFit="1" customWidth="1"/>
    <col min="11014" max="11014" width="8" style="16" customWidth="1"/>
    <col min="11015" max="11018" width="9" style="16" customWidth="1"/>
    <col min="11019" max="11022" width="8.28515625" style="16" customWidth="1"/>
    <col min="11023" max="11023" width="8.140625" style="16" customWidth="1"/>
    <col min="11024" max="11028" width="9.140625" style="16"/>
    <col min="11029" max="11029" width="12.42578125" style="16" customWidth="1"/>
    <col min="11030" max="11030" width="9.140625" style="16"/>
    <col min="11031" max="11031" width="12" style="16" customWidth="1"/>
    <col min="11032" max="11264" width="9.140625" style="16"/>
    <col min="11265" max="11265" width="5" style="16" customWidth="1"/>
    <col min="11266" max="11266" width="20.85546875" style="16" customWidth="1"/>
    <col min="11267" max="11267" width="7.7109375" style="16" customWidth="1"/>
    <col min="11268" max="11268" width="8.5703125" style="16" customWidth="1"/>
    <col min="11269" max="11269" width="8.5703125" style="16" bestFit="1" customWidth="1"/>
    <col min="11270" max="11270" width="8" style="16" customWidth="1"/>
    <col min="11271" max="11274" width="9" style="16" customWidth="1"/>
    <col min="11275" max="11278" width="8.28515625" style="16" customWidth="1"/>
    <col min="11279" max="11279" width="8.140625" style="16" customWidth="1"/>
    <col min="11280" max="11284" width="9.140625" style="16"/>
    <col min="11285" max="11285" width="12.42578125" style="16" customWidth="1"/>
    <col min="11286" max="11286" width="9.140625" style="16"/>
    <col min="11287" max="11287" width="12" style="16" customWidth="1"/>
    <col min="11288" max="11520" width="9.140625" style="16"/>
    <col min="11521" max="11521" width="5" style="16" customWidth="1"/>
    <col min="11522" max="11522" width="20.85546875" style="16" customWidth="1"/>
    <col min="11523" max="11523" width="7.7109375" style="16" customWidth="1"/>
    <col min="11524" max="11524" width="8.5703125" style="16" customWidth="1"/>
    <col min="11525" max="11525" width="8.5703125" style="16" bestFit="1" customWidth="1"/>
    <col min="11526" max="11526" width="8" style="16" customWidth="1"/>
    <col min="11527" max="11530" width="9" style="16" customWidth="1"/>
    <col min="11531" max="11534" width="8.28515625" style="16" customWidth="1"/>
    <col min="11535" max="11535" width="8.140625" style="16" customWidth="1"/>
    <col min="11536" max="11540" width="9.140625" style="16"/>
    <col min="11541" max="11541" width="12.42578125" style="16" customWidth="1"/>
    <col min="11542" max="11542" width="9.140625" style="16"/>
    <col min="11543" max="11543" width="12" style="16" customWidth="1"/>
    <col min="11544" max="11776" width="9.140625" style="16"/>
    <col min="11777" max="11777" width="5" style="16" customWidth="1"/>
    <col min="11778" max="11778" width="20.85546875" style="16" customWidth="1"/>
    <col min="11779" max="11779" width="7.7109375" style="16" customWidth="1"/>
    <col min="11780" max="11780" width="8.5703125" style="16" customWidth="1"/>
    <col min="11781" max="11781" width="8.5703125" style="16" bestFit="1" customWidth="1"/>
    <col min="11782" max="11782" width="8" style="16" customWidth="1"/>
    <col min="11783" max="11786" width="9" style="16" customWidth="1"/>
    <col min="11787" max="11790" width="8.28515625" style="16" customWidth="1"/>
    <col min="11791" max="11791" width="8.140625" style="16" customWidth="1"/>
    <col min="11792" max="11796" width="9.140625" style="16"/>
    <col min="11797" max="11797" width="12.42578125" style="16" customWidth="1"/>
    <col min="11798" max="11798" width="9.140625" style="16"/>
    <col min="11799" max="11799" width="12" style="16" customWidth="1"/>
    <col min="11800" max="12032" width="9.140625" style="16"/>
    <col min="12033" max="12033" width="5" style="16" customWidth="1"/>
    <col min="12034" max="12034" width="20.85546875" style="16" customWidth="1"/>
    <col min="12035" max="12035" width="7.7109375" style="16" customWidth="1"/>
    <col min="12036" max="12036" width="8.5703125" style="16" customWidth="1"/>
    <col min="12037" max="12037" width="8.5703125" style="16" bestFit="1" customWidth="1"/>
    <col min="12038" max="12038" width="8" style="16" customWidth="1"/>
    <col min="12039" max="12042" width="9" style="16" customWidth="1"/>
    <col min="12043" max="12046" width="8.28515625" style="16" customWidth="1"/>
    <col min="12047" max="12047" width="8.140625" style="16" customWidth="1"/>
    <col min="12048" max="12052" width="9.140625" style="16"/>
    <col min="12053" max="12053" width="12.42578125" style="16" customWidth="1"/>
    <col min="12054" max="12054" width="9.140625" style="16"/>
    <col min="12055" max="12055" width="12" style="16" customWidth="1"/>
    <col min="12056" max="12288" width="9.140625" style="16"/>
    <col min="12289" max="12289" width="5" style="16" customWidth="1"/>
    <col min="12290" max="12290" width="20.85546875" style="16" customWidth="1"/>
    <col min="12291" max="12291" width="7.7109375" style="16" customWidth="1"/>
    <col min="12292" max="12292" width="8.5703125" style="16" customWidth="1"/>
    <col min="12293" max="12293" width="8.5703125" style="16" bestFit="1" customWidth="1"/>
    <col min="12294" max="12294" width="8" style="16" customWidth="1"/>
    <col min="12295" max="12298" width="9" style="16" customWidth="1"/>
    <col min="12299" max="12302" width="8.28515625" style="16" customWidth="1"/>
    <col min="12303" max="12303" width="8.140625" style="16" customWidth="1"/>
    <col min="12304" max="12308" width="9.140625" style="16"/>
    <col min="12309" max="12309" width="12.42578125" style="16" customWidth="1"/>
    <col min="12310" max="12310" width="9.140625" style="16"/>
    <col min="12311" max="12311" width="12" style="16" customWidth="1"/>
    <col min="12312" max="12544" width="9.140625" style="16"/>
    <col min="12545" max="12545" width="5" style="16" customWidth="1"/>
    <col min="12546" max="12546" width="20.85546875" style="16" customWidth="1"/>
    <col min="12547" max="12547" width="7.7109375" style="16" customWidth="1"/>
    <col min="12548" max="12548" width="8.5703125" style="16" customWidth="1"/>
    <col min="12549" max="12549" width="8.5703125" style="16" bestFit="1" customWidth="1"/>
    <col min="12550" max="12550" width="8" style="16" customWidth="1"/>
    <col min="12551" max="12554" width="9" style="16" customWidth="1"/>
    <col min="12555" max="12558" width="8.28515625" style="16" customWidth="1"/>
    <col min="12559" max="12559" width="8.140625" style="16" customWidth="1"/>
    <col min="12560" max="12564" width="9.140625" style="16"/>
    <col min="12565" max="12565" width="12.42578125" style="16" customWidth="1"/>
    <col min="12566" max="12566" width="9.140625" style="16"/>
    <col min="12567" max="12567" width="12" style="16" customWidth="1"/>
    <col min="12568" max="12800" width="9.140625" style="16"/>
    <col min="12801" max="12801" width="5" style="16" customWidth="1"/>
    <col min="12802" max="12802" width="20.85546875" style="16" customWidth="1"/>
    <col min="12803" max="12803" width="7.7109375" style="16" customWidth="1"/>
    <col min="12804" max="12804" width="8.5703125" style="16" customWidth="1"/>
    <col min="12805" max="12805" width="8.5703125" style="16" bestFit="1" customWidth="1"/>
    <col min="12806" max="12806" width="8" style="16" customWidth="1"/>
    <col min="12807" max="12810" width="9" style="16" customWidth="1"/>
    <col min="12811" max="12814" width="8.28515625" style="16" customWidth="1"/>
    <col min="12815" max="12815" width="8.140625" style="16" customWidth="1"/>
    <col min="12816" max="12820" width="9.140625" style="16"/>
    <col min="12821" max="12821" width="12.42578125" style="16" customWidth="1"/>
    <col min="12822" max="12822" width="9.140625" style="16"/>
    <col min="12823" max="12823" width="12" style="16" customWidth="1"/>
    <col min="12824" max="13056" width="9.140625" style="16"/>
    <col min="13057" max="13057" width="5" style="16" customWidth="1"/>
    <col min="13058" max="13058" width="20.85546875" style="16" customWidth="1"/>
    <col min="13059" max="13059" width="7.7109375" style="16" customWidth="1"/>
    <col min="13060" max="13060" width="8.5703125" style="16" customWidth="1"/>
    <col min="13061" max="13061" width="8.5703125" style="16" bestFit="1" customWidth="1"/>
    <col min="13062" max="13062" width="8" style="16" customWidth="1"/>
    <col min="13063" max="13066" width="9" style="16" customWidth="1"/>
    <col min="13067" max="13070" width="8.28515625" style="16" customWidth="1"/>
    <col min="13071" max="13071" width="8.140625" style="16" customWidth="1"/>
    <col min="13072" max="13076" width="9.140625" style="16"/>
    <col min="13077" max="13077" width="12.42578125" style="16" customWidth="1"/>
    <col min="13078" max="13078" width="9.140625" style="16"/>
    <col min="13079" max="13079" width="12" style="16" customWidth="1"/>
    <col min="13080" max="13312" width="9.140625" style="16"/>
    <col min="13313" max="13313" width="5" style="16" customWidth="1"/>
    <col min="13314" max="13314" width="20.85546875" style="16" customWidth="1"/>
    <col min="13315" max="13315" width="7.7109375" style="16" customWidth="1"/>
    <col min="13316" max="13316" width="8.5703125" style="16" customWidth="1"/>
    <col min="13317" max="13317" width="8.5703125" style="16" bestFit="1" customWidth="1"/>
    <col min="13318" max="13318" width="8" style="16" customWidth="1"/>
    <col min="13319" max="13322" width="9" style="16" customWidth="1"/>
    <col min="13323" max="13326" width="8.28515625" style="16" customWidth="1"/>
    <col min="13327" max="13327" width="8.140625" style="16" customWidth="1"/>
    <col min="13328" max="13332" width="9.140625" style="16"/>
    <col min="13333" max="13333" width="12.42578125" style="16" customWidth="1"/>
    <col min="13334" max="13334" width="9.140625" style="16"/>
    <col min="13335" max="13335" width="12" style="16" customWidth="1"/>
    <col min="13336" max="13568" width="9.140625" style="16"/>
    <col min="13569" max="13569" width="5" style="16" customWidth="1"/>
    <col min="13570" max="13570" width="20.85546875" style="16" customWidth="1"/>
    <col min="13571" max="13571" width="7.7109375" style="16" customWidth="1"/>
    <col min="13572" max="13572" width="8.5703125" style="16" customWidth="1"/>
    <col min="13573" max="13573" width="8.5703125" style="16" bestFit="1" customWidth="1"/>
    <col min="13574" max="13574" width="8" style="16" customWidth="1"/>
    <col min="13575" max="13578" width="9" style="16" customWidth="1"/>
    <col min="13579" max="13582" width="8.28515625" style="16" customWidth="1"/>
    <col min="13583" max="13583" width="8.140625" style="16" customWidth="1"/>
    <col min="13584" max="13588" width="9.140625" style="16"/>
    <col min="13589" max="13589" width="12.42578125" style="16" customWidth="1"/>
    <col min="13590" max="13590" width="9.140625" style="16"/>
    <col min="13591" max="13591" width="12" style="16" customWidth="1"/>
    <col min="13592" max="13824" width="9.140625" style="16"/>
    <col min="13825" max="13825" width="5" style="16" customWidth="1"/>
    <col min="13826" max="13826" width="20.85546875" style="16" customWidth="1"/>
    <col min="13827" max="13827" width="7.7109375" style="16" customWidth="1"/>
    <col min="13828" max="13828" width="8.5703125" style="16" customWidth="1"/>
    <col min="13829" max="13829" width="8.5703125" style="16" bestFit="1" customWidth="1"/>
    <col min="13830" max="13830" width="8" style="16" customWidth="1"/>
    <col min="13831" max="13834" width="9" style="16" customWidth="1"/>
    <col min="13835" max="13838" width="8.28515625" style="16" customWidth="1"/>
    <col min="13839" max="13839" width="8.140625" style="16" customWidth="1"/>
    <col min="13840" max="13844" width="9.140625" style="16"/>
    <col min="13845" max="13845" width="12.42578125" style="16" customWidth="1"/>
    <col min="13846" max="13846" width="9.140625" style="16"/>
    <col min="13847" max="13847" width="12" style="16" customWidth="1"/>
    <col min="13848" max="14080" width="9.140625" style="16"/>
    <col min="14081" max="14081" width="5" style="16" customWidth="1"/>
    <col min="14082" max="14082" width="20.85546875" style="16" customWidth="1"/>
    <col min="14083" max="14083" width="7.7109375" style="16" customWidth="1"/>
    <col min="14084" max="14084" width="8.5703125" style="16" customWidth="1"/>
    <col min="14085" max="14085" width="8.5703125" style="16" bestFit="1" customWidth="1"/>
    <col min="14086" max="14086" width="8" style="16" customWidth="1"/>
    <col min="14087" max="14090" width="9" style="16" customWidth="1"/>
    <col min="14091" max="14094" width="8.28515625" style="16" customWidth="1"/>
    <col min="14095" max="14095" width="8.140625" style="16" customWidth="1"/>
    <col min="14096" max="14100" width="9.140625" style="16"/>
    <col min="14101" max="14101" width="12.42578125" style="16" customWidth="1"/>
    <col min="14102" max="14102" width="9.140625" style="16"/>
    <col min="14103" max="14103" width="12" style="16" customWidth="1"/>
    <col min="14104" max="14336" width="9.140625" style="16"/>
    <col min="14337" max="14337" width="5" style="16" customWidth="1"/>
    <col min="14338" max="14338" width="20.85546875" style="16" customWidth="1"/>
    <col min="14339" max="14339" width="7.7109375" style="16" customWidth="1"/>
    <col min="14340" max="14340" width="8.5703125" style="16" customWidth="1"/>
    <col min="14341" max="14341" width="8.5703125" style="16" bestFit="1" customWidth="1"/>
    <col min="14342" max="14342" width="8" style="16" customWidth="1"/>
    <col min="14343" max="14346" width="9" style="16" customWidth="1"/>
    <col min="14347" max="14350" width="8.28515625" style="16" customWidth="1"/>
    <col min="14351" max="14351" width="8.140625" style="16" customWidth="1"/>
    <col min="14352" max="14356" width="9.140625" style="16"/>
    <col min="14357" max="14357" width="12.42578125" style="16" customWidth="1"/>
    <col min="14358" max="14358" width="9.140625" style="16"/>
    <col min="14359" max="14359" width="12" style="16" customWidth="1"/>
    <col min="14360" max="14592" width="9.140625" style="16"/>
    <col min="14593" max="14593" width="5" style="16" customWidth="1"/>
    <col min="14594" max="14594" width="20.85546875" style="16" customWidth="1"/>
    <col min="14595" max="14595" width="7.7109375" style="16" customWidth="1"/>
    <col min="14596" max="14596" width="8.5703125" style="16" customWidth="1"/>
    <col min="14597" max="14597" width="8.5703125" style="16" bestFit="1" customWidth="1"/>
    <col min="14598" max="14598" width="8" style="16" customWidth="1"/>
    <col min="14599" max="14602" width="9" style="16" customWidth="1"/>
    <col min="14603" max="14606" width="8.28515625" style="16" customWidth="1"/>
    <col min="14607" max="14607" width="8.140625" style="16" customWidth="1"/>
    <col min="14608" max="14612" width="9.140625" style="16"/>
    <col min="14613" max="14613" width="12.42578125" style="16" customWidth="1"/>
    <col min="14614" max="14614" width="9.140625" style="16"/>
    <col min="14615" max="14615" width="12" style="16" customWidth="1"/>
    <col min="14616" max="14848" width="9.140625" style="16"/>
    <col min="14849" max="14849" width="5" style="16" customWidth="1"/>
    <col min="14850" max="14850" width="20.85546875" style="16" customWidth="1"/>
    <col min="14851" max="14851" width="7.7109375" style="16" customWidth="1"/>
    <col min="14852" max="14852" width="8.5703125" style="16" customWidth="1"/>
    <col min="14853" max="14853" width="8.5703125" style="16" bestFit="1" customWidth="1"/>
    <col min="14854" max="14854" width="8" style="16" customWidth="1"/>
    <col min="14855" max="14858" width="9" style="16" customWidth="1"/>
    <col min="14859" max="14862" width="8.28515625" style="16" customWidth="1"/>
    <col min="14863" max="14863" width="8.140625" style="16" customWidth="1"/>
    <col min="14864" max="14868" width="9.140625" style="16"/>
    <col min="14869" max="14869" width="12.42578125" style="16" customWidth="1"/>
    <col min="14870" max="14870" width="9.140625" style="16"/>
    <col min="14871" max="14871" width="12" style="16" customWidth="1"/>
    <col min="14872" max="15104" width="9.140625" style="16"/>
    <col min="15105" max="15105" width="5" style="16" customWidth="1"/>
    <col min="15106" max="15106" width="20.85546875" style="16" customWidth="1"/>
    <col min="15107" max="15107" width="7.7109375" style="16" customWidth="1"/>
    <col min="15108" max="15108" width="8.5703125" style="16" customWidth="1"/>
    <col min="15109" max="15109" width="8.5703125" style="16" bestFit="1" customWidth="1"/>
    <col min="15110" max="15110" width="8" style="16" customWidth="1"/>
    <col min="15111" max="15114" width="9" style="16" customWidth="1"/>
    <col min="15115" max="15118" width="8.28515625" style="16" customWidth="1"/>
    <col min="15119" max="15119" width="8.140625" style="16" customWidth="1"/>
    <col min="15120" max="15124" width="9.140625" style="16"/>
    <col min="15125" max="15125" width="12.42578125" style="16" customWidth="1"/>
    <col min="15126" max="15126" width="9.140625" style="16"/>
    <col min="15127" max="15127" width="12" style="16" customWidth="1"/>
    <col min="15128" max="15360" width="9.140625" style="16"/>
    <col min="15361" max="15361" width="5" style="16" customWidth="1"/>
    <col min="15362" max="15362" width="20.85546875" style="16" customWidth="1"/>
    <col min="15363" max="15363" width="7.7109375" style="16" customWidth="1"/>
    <col min="15364" max="15364" width="8.5703125" style="16" customWidth="1"/>
    <col min="15365" max="15365" width="8.5703125" style="16" bestFit="1" customWidth="1"/>
    <col min="15366" max="15366" width="8" style="16" customWidth="1"/>
    <col min="15367" max="15370" width="9" style="16" customWidth="1"/>
    <col min="15371" max="15374" width="8.28515625" style="16" customWidth="1"/>
    <col min="15375" max="15375" width="8.140625" style="16" customWidth="1"/>
    <col min="15376" max="15380" width="9.140625" style="16"/>
    <col min="15381" max="15381" width="12.42578125" style="16" customWidth="1"/>
    <col min="15382" max="15382" width="9.140625" style="16"/>
    <col min="15383" max="15383" width="12" style="16" customWidth="1"/>
    <col min="15384" max="15616" width="9.140625" style="16"/>
    <col min="15617" max="15617" width="5" style="16" customWidth="1"/>
    <col min="15618" max="15618" width="20.85546875" style="16" customWidth="1"/>
    <col min="15619" max="15619" width="7.7109375" style="16" customWidth="1"/>
    <col min="15620" max="15620" width="8.5703125" style="16" customWidth="1"/>
    <col min="15621" max="15621" width="8.5703125" style="16" bestFit="1" customWidth="1"/>
    <col min="15622" max="15622" width="8" style="16" customWidth="1"/>
    <col min="15623" max="15626" width="9" style="16" customWidth="1"/>
    <col min="15627" max="15630" width="8.28515625" style="16" customWidth="1"/>
    <col min="15631" max="15631" width="8.140625" style="16" customWidth="1"/>
    <col min="15632" max="15636" width="9.140625" style="16"/>
    <col min="15637" max="15637" width="12.42578125" style="16" customWidth="1"/>
    <col min="15638" max="15638" width="9.140625" style="16"/>
    <col min="15639" max="15639" width="12" style="16" customWidth="1"/>
    <col min="15640" max="15872" width="9.140625" style="16"/>
    <col min="15873" max="15873" width="5" style="16" customWidth="1"/>
    <col min="15874" max="15874" width="20.85546875" style="16" customWidth="1"/>
    <col min="15875" max="15875" width="7.7109375" style="16" customWidth="1"/>
    <col min="15876" max="15876" width="8.5703125" style="16" customWidth="1"/>
    <col min="15877" max="15877" width="8.5703125" style="16" bestFit="1" customWidth="1"/>
    <col min="15878" max="15878" width="8" style="16" customWidth="1"/>
    <col min="15879" max="15882" width="9" style="16" customWidth="1"/>
    <col min="15883" max="15886" width="8.28515625" style="16" customWidth="1"/>
    <col min="15887" max="15887" width="8.140625" style="16" customWidth="1"/>
    <col min="15888" max="15892" width="9.140625" style="16"/>
    <col min="15893" max="15893" width="12.42578125" style="16" customWidth="1"/>
    <col min="15894" max="15894" width="9.140625" style="16"/>
    <col min="15895" max="15895" width="12" style="16" customWidth="1"/>
    <col min="15896" max="16128" width="9.140625" style="16"/>
    <col min="16129" max="16129" width="5" style="16" customWidth="1"/>
    <col min="16130" max="16130" width="20.85546875" style="16" customWidth="1"/>
    <col min="16131" max="16131" width="7.7109375" style="16" customWidth="1"/>
    <col min="16132" max="16132" width="8.5703125" style="16" customWidth="1"/>
    <col min="16133" max="16133" width="8.5703125" style="16" bestFit="1" customWidth="1"/>
    <col min="16134" max="16134" width="8" style="16" customWidth="1"/>
    <col min="16135" max="16138" width="9" style="16" customWidth="1"/>
    <col min="16139" max="16142" width="8.28515625" style="16" customWidth="1"/>
    <col min="16143" max="16143" width="8.140625" style="16" customWidth="1"/>
    <col min="16144" max="16148" width="9.140625" style="16"/>
    <col min="16149" max="16149" width="12.42578125" style="16" customWidth="1"/>
    <col min="16150" max="16150" width="9.140625" style="16"/>
    <col min="16151" max="16151" width="12" style="16" customWidth="1"/>
    <col min="16152" max="16384" width="9.140625" style="16"/>
  </cols>
  <sheetData>
    <row r="1" spans="1:17" s="1" customFormat="1" x14ac:dyDescent="0.2">
      <c r="A1" s="867" t="s">
        <v>449</v>
      </c>
      <c r="B1" s="868"/>
      <c r="C1" s="868"/>
      <c r="D1" s="869"/>
      <c r="E1" s="868"/>
      <c r="F1" s="868"/>
      <c r="G1" s="867" t="s">
        <v>102</v>
      </c>
      <c r="H1" s="869"/>
      <c r="I1" s="869" t="s">
        <v>1709</v>
      </c>
      <c r="J1" s="868"/>
      <c r="K1" s="868"/>
      <c r="L1" s="870"/>
      <c r="M1" s="870"/>
      <c r="N1" s="870"/>
      <c r="O1" s="870"/>
    </row>
    <row r="2" spans="1:17" s="1" customFormat="1" x14ac:dyDescent="0.2">
      <c r="A2" s="867" t="s">
        <v>103</v>
      </c>
      <c r="B2" s="868"/>
      <c r="C2" s="868"/>
      <c r="D2" s="869"/>
      <c r="E2" s="868"/>
      <c r="F2" s="868"/>
      <c r="G2" s="867" t="s">
        <v>104</v>
      </c>
      <c r="H2" s="869"/>
      <c r="I2" s="869" t="s">
        <v>105</v>
      </c>
      <c r="J2" s="868"/>
      <c r="K2" s="868"/>
      <c r="L2" s="870"/>
      <c r="M2" s="870"/>
      <c r="N2" s="870"/>
      <c r="O2" s="870"/>
    </row>
    <row r="3" spans="1:17" s="1" customFormat="1" x14ac:dyDescent="0.2">
      <c r="A3" s="867" t="s">
        <v>106</v>
      </c>
      <c r="B3" s="868"/>
      <c r="C3" s="868"/>
      <c r="D3" s="883" t="s">
        <v>1710</v>
      </c>
      <c r="E3" s="868"/>
      <c r="F3" s="868"/>
      <c r="G3" s="867" t="s">
        <v>107</v>
      </c>
      <c r="H3" s="869"/>
      <c r="I3" s="869" t="s">
        <v>108</v>
      </c>
      <c r="J3" s="868"/>
      <c r="K3" s="868"/>
      <c r="L3" s="870"/>
      <c r="M3" s="870"/>
      <c r="N3" s="870"/>
      <c r="O3" s="870"/>
    </row>
    <row r="4" spans="1:17" s="1" customFormat="1" x14ac:dyDescent="0.2">
      <c r="A4" s="867" t="s">
        <v>109</v>
      </c>
      <c r="B4" s="868"/>
      <c r="C4" s="868"/>
      <c r="D4" s="869"/>
      <c r="E4" s="868"/>
      <c r="F4" s="868"/>
      <c r="G4" s="867" t="s">
        <v>110</v>
      </c>
      <c r="H4" s="869"/>
      <c r="I4" s="869" t="s">
        <v>697</v>
      </c>
      <c r="J4" s="868"/>
      <c r="K4" s="868"/>
      <c r="L4" s="870"/>
      <c r="M4" s="870"/>
      <c r="N4" s="870"/>
      <c r="O4" s="870"/>
    </row>
    <row r="5" spans="1:17" s="1" customFormat="1" x14ac:dyDescent="0.2">
      <c r="A5" s="867" t="s">
        <v>112</v>
      </c>
      <c r="B5" s="868"/>
      <c r="C5" s="868"/>
      <c r="D5" s="869"/>
      <c r="E5" s="868"/>
      <c r="F5" s="868"/>
      <c r="G5" s="867"/>
      <c r="H5" s="868"/>
      <c r="I5" s="869" t="s">
        <v>113</v>
      </c>
      <c r="J5" s="868"/>
      <c r="K5" s="868"/>
      <c r="L5" s="870"/>
      <c r="M5" s="870"/>
      <c r="N5" s="870"/>
      <c r="O5" s="870"/>
    </row>
    <row r="6" spans="1:17" s="1" customFormat="1" x14ac:dyDescent="0.2">
      <c r="A6" s="871" t="s">
        <v>114</v>
      </c>
      <c r="B6" s="872"/>
      <c r="C6" s="872"/>
      <c r="D6" s="868" t="s">
        <v>1689</v>
      </c>
      <c r="E6" s="868"/>
      <c r="F6" s="868"/>
      <c r="G6" s="871" t="s">
        <v>115</v>
      </c>
      <c r="H6" s="871"/>
      <c r="I6" s="2" t="s">
        <v>116</v>
      </c>
      <c r="J6" s="888"/>
      <c r="K6" s="888"/>
      <c r="L6" s="888"/>
      <c r="M6" s="888"/>
      <c r="N6" s="888"/>
      <c r="O6" s="889"/>
    </row>
    <row r="7" spans="1:17" s="1" customFormat="1" ht="13.5" thickBot="1" x14ac:dyDescent="0.25">
      <c r="A7" s="3"/>
      <c r="B7" s="4"/>
      <c r="C7" s="5"/>
      <c r="D7" s="6"/>
      <c r="E7" s="6"/>
      <c r="F7" s="6"/>
      <c r="G7" s="6"/>
      <c r="H7" s="6"/>
      <c r="I7" s="6"/>
      <c r="J7" s="7"/>
      <c r="K7" s="756"/>
      <c r="L7" s="875" t="s">
        <v>223</v>
      </c>
      <c r="M7" s="875"/>
      <c r="N7" s="875"/>
      <c r="O7" s="875"/>
    </row>
    <row r="8" spans="1:17" s="11" customFormat="1" x14ac:dyDescent="0.2">
      <c r="A8" s="876" t="str">
        <f>I1</f>
        <v>Mr. R.J.Save</v>
      </c>
      <c r="B8" s="877"/>
      <c r="C8" s="9">
        <v>43160</v>
      </c>
      <c r="D8" s="9">
        <v>43191</v>
      </c>
      <c r="E8" s="9">
        <v>43221</v>
      </c>
      <c r="F8" s="9">
        <v>43252</v>
      </c>
      <c r="G8" s="9">
        <v>43282</v>
      </c>
      <c r="H8" s="9">
        <v>43313</v>
      </c>
      <c r="I8" s="9">
        <v>43344</v>
      </c>
      <c r="J8" s="9">
        <v>43374</v>
      </c>
      <c r="K8" s="9">
        <v>43405</v>
      </c>
      <c r="L8" s="9">
        <v>43435</v>
      </c>
      <c r="M8" s="9">
        <v>43466</v>
      </c>
      <c r="N8" s="9">
        <v>43497</v>
      </c>
      <c r="O8" s="10" t="s">
        <v>117</v>
      </c>
      <c r="Q8" s="11" t="s">
        <v>116</v>
      </c>
    </row>
    <row r="9" spans="1:17" ht="15" x14ac:dyDescent="0.2">
      <c r="A9" s="12"/>
      <c r="B9" s="13" t="s">
        <v>118</v>
      </c>
      <c r="C9" s="14">
        <v>68000</v>
      </c>
      <c r="D9" s="14">
        <v>68000</v>
      </c>
      <c r="E9" s="14">
        <v>68000</v>
      </c>
      <c r="F9" s="14">
        <v>68000</v>
      </c>
      <c r="G9" s="14">
        <v>70000</v>
      </c>
      <c r="H9" s="14">
        <v>70000</v>
      </c>
      <c r="I9" s="14">
        <v>70000</v>
      </c>
      <c r="J9" s="14">
        <v>70000</v>
      </c>
      <c r="K9" s="14">
        <v>70000</v>
      </c>
      <c r="L9" s="14">
        <v>70000</v>
      </c>
      <c r="M9" s="14">
        <v>70000</v>
      </c>
      <c r="N9" s="14">
        <v>70000</v>
      </c>
      <c r="O9" s="15">
        <f t="shared" ref="O9:O50" si="0">SUM(C9:N9)</f>
        <v>832000</v>
      </c>
      <c r="Q9" s="16" t="s">
        <v>222</v>
      </c>
    </row>
    <row r="10" spans="1:17" ht="15" x14ac:dyDescent="0.2">
      <c r="A10" s="12"/>
      <c r="B10" s="13" t="s">
        <v>119</v>
      </c>
      <c r="C10" s="17">
        <v>0</v>
      </c>
      <c r="D10" s="17">
        <f>+C10</f>
        <v>0</v>
      </c>
      <c r="E10" s="17">
        <f>+D10</f>
        <v>0</v>
      </c>
      <c r="F10" s="17">
        <f>+E10</f>
        <v>0</v>
      </c>
      <c r="G10" s="17">
        <f>+F10</f>
        <v>0</v>
      </c>
      <c r="H10" s="17">
        <v>0</v>
      </c>
      <c r="I10" s="17">
        <f t="shared" ref="I10:N10" si="1">+H10</f>
        <v>0</v>
      </c>
      <c r="J10" s="17">
        <f t="shared" si="1"/>
        <v>0</v>
      </c>
      <c r="K10" s="17">
        <f t="shared" si="1"/>
        <v>0</v>
      </c>
      <c r="L10" s="17">
        <f t="shared" si="1"/>
        <v>0</v>
      </c>
      <c r="M10" s="17">
        <f t="shared" si="1"/>
        <v>0</v>
      </c>
      <c r="N10" s="17">
        <f t="shared" si="1"/>
        <v>0</v>
      </c>
      <c r="O10" s="18">
        <f t="shared" si="0"/>
        <v>0</v>
      </c>
    </row>
    <row r="11" spans="1:17" ht="15" x14ac:dyDescent="0.2">
      <c r="A11" s="12"/>
      <c r="B11" s="13" t="s">
        <v>120</v>
      </c>
      <c r="C11" s="17">
        <v>3400</v>
      </c>
      <c r="D11" s="17">
        <v>4760</v>
      </c>
      <c r="E11" s="17">
        <v>4760</v>
      </c>
      <c r="F11" s="17">
        <v>4760</v>
      </c>
      <c r="G11" s="17">
        <v>4900</v>
      </c>
      <c r="H11" s="17">
        <v>4900</v>
      </c>
      <c r="I11" s="17">
        <v>4900</v>
      </c>
      <c r="J11" s="17">
        <v>4900</v>
      </c>
      <c r="K11" s="17">
        <v>4900</v>
      </c>
      <c r="L11" s="17">
        <v>4900</v>
      </c>
      <c r="M11" s="17">
        <v>6300</v>
      </c>
      <c r="N11" s="17">
        <v>6300</v>
      </c>
      <c r="O11" s="18">
        <f t="shared" si="0"/>
        <v>59680</v>
      </c>
    </row>
    <row r="12" spans="1:17" ht="15" hidden="1" x14ac:dyDescent="0.2">
      <c r="A12" s="12"/>
      <c r="B12" s="13" t="s">
        <v>121</v>
      </c>
      <c r="C12" s="17">
        <v>0</v>
      </c>
      <c r="D12" s="17">
        <f t="shared" ref="D12:G13" si="2">+C12</f>
        <v>0</v>
      </c>
      <c r="E12" s="17">
        <f t="shared" si="2"/>
        <v>0</v>
      </c>
      <c r="F12" s="17">
        <f t="shared" si="2"/>
        <v>0</v>
      </c>
      <c r="G12" s="17">
        <f t="shared" si="2"/>
        <v>0</v>
      </c>
      <c r="H12" s="17">
        <v>0</v>
      </c>
      <c r="I12" s="17">
        <f t="shared" ref="I12:N13" si="3">+H12</f>
        <v>0</v>
      </c>
      <c r="J12" s="17">
        <f t="shared" si="3"/>
        <v>0</v>
      </c>
      <c r="K12" s="17">
        <f t="shared" si="3"/>
        <v>0</v>
      </c>
      <c r="L12" s="17">
        <f t="shared" si="3"/>
        <v>0</v>
      </c>
      <c r="M12" s="17">
        <f t="shared" si="3"/>
        <v>0</v>
      </c>
      <c r="N12" s="17">
        <f t="shared" si="3"/>
        <v>0</v>
      </c>
      <c r="O12" s="18">
        <f t="shared" si="0"/>
        <v>0</v>
      </c>
    </row>
    <row r="13" spans="1:17" ht="15" hidden="1" x14ac:dyDescent="0.2">
      <c r="A13" s="12"/>
      <c r="B13" s="13" t="s">
        <v>122</v>
      </c>
      <c r="C13" s="17">
        <v>0</v>
      </c>
      <c r="D13" s="17">
        <f t="shared" si="2"/>
        <v>0</v>
      </c>
      <c r="E13" s="17">
        <f t="shared" si="2"/>
        <v>0</v>
      </c>
      <c r="F13" s="17">
        <f t="shared" si="2"/>
        <v>0</v>
      </c>
      <c r="G13" s="17">
        <f t="shared" si="2"/>
        <v>0</v>
      </c>
      <c r="H13" s="17">
        <v>0</v>
      </c>
      <c r="I13" s="17">
        <f t="shared" si="3"/>
        <v>0</v>
      </c>
      <c r="J13" s="17">
        <f t="shared" si="3"/>
        <v>0</v>
      </c>
      <c r="K13" s="17">
        <f t="shared" si="3"/>
        <v>0</v>
      </c>
      <c r="L13" s="17">
        <f t="shared" si="3"/>
        <v>0</v>
      </c>
      <c r="M13" s="17">
        <f t="shared" si="3"/>
        <v>0</v>
      </c>
      <c r="N13" s="17">
        <f t="shared" si="3"/>
        <v>0</v>
      </c>
      <c r="O13" s="18">
        <f t="shared" si="0"/>
        <v>0</v>
      </c>
    </row>
    <row r="14" spans="1:17" ht="15" x14ac:dyDescent="0.2">
      <c r="A14" s="12"/>
      <c r="B14" s="13" t="s">
        <v>123</v>
      </c>
      <c r="C14" s="17">
        <v>1890</v>
      </c>
      <c r="D14" s="17">
        <v>1926</v>
      </c>
      <c r="E14" s="17">
        <v>1926</v>
      </c>
      <c r="F14" s="17">
        <v>1926</v>
      </c>
      <c r="G14" s="17">
        <v>1962</v>
      </c>
      <c r="H14" s="17">
        <v>1962</v>
      </c>
      <c r="I14" s="17">
        <v>1962</v>
      </c>
      <c r="J14" s="17">
        <v>1962</v>
      </c>
      <c r="K14" s="17">
        <v>1962</v>
      </c>
      <c r="L14" s="17">
        <v>1962</v>
      </c>
      <c r="M14" s="17">
        <v>3924</v>
      </c>
      <c r="N14" s="17">
        <v>3924</v>
      </c>
      <c r="O14" s="18">
        <f t="shared" si="0"/>
        <v>27288</v>
      </c>
    </row>
    <row r="15" spans="1:17" ht="15" hidden="1" x14ac:dyDescent="0.2">
      <c r="A15" s="12"/>
      <c r="B15" s="13" t="s">
        <v>124</v>
      </c>
      <c r="C15" s="17">
        <v>0</v>
      </c>
      <c r="D15" s="17">
        <f t="shared" ref="D15:G18" si="4">+C15</f>
        <v>0</v>
      </c>
      <c r="E15" s="17">
        <f t="shared" si="4"/>
        <v>0</v>
      </c>
      <c r="F15" s="17">
        <f t="shared" si="4"/>
        <v>0</v>
      </c>
      <c r="G15" s="17">
        <f t="shared" si="4"/>
        <v>0</v>
      </c>
      <c r="H15" s="17">
        <v>0</v>
      </c>
      <c r="I15" s="17">
        <f t="shared" ref="I15:N18" si="5">+H15</f>
        <v>0</v>
      </c>
      <c r="J15" s="17">
        <f t="shared" si="5"/>
        <v>0</v>
      </c>
      <c r="K15" s="17">
        <f t="shared" si="5"/>
        <v>0</v>
      </c>
      <c r="L15" s="17">
        <f t="shared" si="5"/>
        <v>0</v>
      </c>
      <c r="M15" s="17">
        <f t="shared" si="5"/>
        <v>0</v>
      </c>
      <c r="N15" s="17">
        <f t="shared" si="5"/>
        <v>0</v>
      </c>
      <c r="O15" s="18">
        <f t="shared" si="0"/>
        <v>0</v>
      </c>
    </row>
    <row r="16" spans="1:17" ht="15" hidden="1" x14ac:dyDescent="0.2">
      <c r="A16" s="12"/>
      <c r="B16" s="13" t="s">
        <v>125</v>
      </c>
      <c r="C16" s="17">
        <v>0</v>
      </c>
      <c r="D16" s="17">
        <f t="shared" si="4"/>
        <v>0</v>
      </c>
      <c r="E16" s="17">
        <f t="shared" si="4"/>
        <v>0</v>
      </c>
      <c r="F16" s="17">
        <f t="shared" si="4"/>
        <v>0</v>
      </c>
      <c r="G16" s="17">
        <f t="shared" si="4"/>
        <v>0</v>
      </c>
      <c r="H16" s="17">
        <v>0</v>
      </c>
      <c r="I16" s="17">
        <f t="shared" si="5"/>
        <v>0</v>
      </c>
      <c r="J16" s="17">
        <f t="shared" si="5"/>
        <v>0</v>
      </c>
      <c r="K16" s="17">
        <f t="shared" si="5"/>
        <v>0</v>
      </c>
      <c r="L16" s="17">
        <f t="shared" si="5"/>
        <v>0</v>
      </c>
      <c r="M16" s="17">
        <f t="shared" si="5"/>
        <v>0</v>
      </c>
      <c r="N16" s="17">
        <f t="shared" si="5"/>
        <v>0</v>
      </c>
      <c r="O16" s="18">
        <f t="shared" si="0"/>
        <v>0</v>
      </c>
    </row>
    <row r="17" spans="1:20" ht="15" hidden="1" x14ac:dyDescent="0.2">
      <c r="A17" s="12"/>
      <c r="B17" s="13" t="s">
        <v>126</v>
      </c>
      <c r="C17" s="17">
        <v>0</v>
      </c>
      <c r="D17" s="17">
        <f t="shared" si="4"/>
        <v>0</v>
      </c>
      <c r="E17" s="17">
        <f t="shared" si="4"/>
        <v>0</v>
      </c>
      <c r="F17" s="17">
        <f t="shared" si="4"/>
        <v>0</v>
      </c>
      <c r="G17" s="17">
        <f t="shared" si="4"/>
        <v>0</v>
      </c>
      <c r="H17" s="17">
        <v>0</v>
      </c>
      <c r="I17" s="17">
        <f t="shared" si="5"/>
        <v>0</v>
      </c>
      <c r="J17" s="17">
        <f t="shared" si="5"/>
        <v>0</v>
      </c>
      <c r="K17" s="17">
        <f t="shared" si="5"/>
        <v>0</v>
      </c>
      <c r="L17" s="17">
        <f t="shared" si="5"/>
        <v>0</v>
      </c>
      <c r="M17" s="17">
        <f t="shared" si="5"/>
        <v>0</v>
      </c>
      <c r="N17" s="17">
        <f t="shared" si="5"/>
        <v>0</v>
      </c>
      <c r="O17" s="18">
        <f t="shared" si="0"/>
        <v>0</v>
      </c>
    </row>
    <row r="18" spans="1:20" ht="15" x14ac:dyDescent="0.2">
      <c r="A18" s="12"/>
      <c r="B18" s="13" t="s">
        <v>127</v>
      </c>
      <c r="C18" s="17">
        <v>0</v>
      </c>
      <c r="D18" s="17">
        <f t="shared" si="4"/>
        <v>0</v>
      </c>
      <c r="E18" s="17">
        <f t="shared" si="4"/>
        <v>0</v>
      </c>
      <c r="F18" s="17">
        <f t="shared" si="4"/>
        <v>0</v>
      </c>
      <c r="G18" s="17">
        <f t="shared" si="4"/>
        <v>0</v>
      </c>
      <c r="H18" s="17">
        <v>0</v>
      </c>
      <c r="I18" s="17">
        <f t="shared" si="5"/>
        <v>0</v>
      </c>
      <c r="J18" s="17">
        <f t="shared" si="5"/>
        <v>0</v>
      </c>
      <c r="K18" s="17">
        <f t="shared" si="5"/>
        <v>0</v>
      </c>
      <c r="L18" s="17">
        <f t="shared" si="5"/>
        <v>0</v>
      </c>
      <c r="M18" s="17">
        <f t="shared" si="5"/>
        <v>0</v>
      </c>
      <c r="N18" s="17">
        <f t="shared" si="5"/>
        <v>0</v>
      </c>
      <c r="O18" s="18">
        <f t="shared" si="0"/>
        <v>0</v>
      </c>
    </row>
    <row r="19" spans="1:20" ht="15" x14ac:dyDescent="0.2">
      <c r="A19" s="12"/>
      <c r="B19" s="13" t="s">
        <v>128</v>
      </c>
      <c r="C19" s="17">
        <v>5440</v>
      </c>
      <c r="D19" s="17">
        <v>5440</v>
      </c>
      <c r="E19" s="17">
        <v>5440</v>
      </c>
      <c r="F19" s="17">
        <v>5440</v>
      </c>
      <c r="G19" s="17">
        <v>5600</v>
      </c>
      <c r="H19" s="17">
        <v>5600</v>
      </c>
      <c r="I19" s="17">
        <v>5600</v>
      </c>
      <c r="J19" s="17">
        <v>5600</v>
      </c>
      <c r="K19" s="17">
        <v>5600</v>
      </c>
      <c r="L19" s="17">
        <v>5600</v>
      </c>
      <c r="M19" s="17">
        <v>16800</v>
      </c>
      <c r="N19" s="17">
        <v>16800</v>
      </c>
      <c r="O19" s="18">
        <f t="shared" si="0"/>
        <v>88960</v>
      </c>
    </row>
    <row r="20" spans="1:20" ht="15" customHeight="1" x14ac:dyDescent="0.2">
      <c r="A20" s="12"/>
      <c r="B20" s="13" t="s">
        <v>129</v>
      </c>
      <c r="C20" s="17">
        <v>0</v>
      </c>
      <c r="D20" s="17">
        <f t="shared" ref="D20:F35" si="6">+C20</f>
        <v>0</v>
      </c>
      <c r="E20" s="17">
        <v>26250</v>
      </c>
      <c r="F20" s="17">
        <v>0</v>
      </c>
      <c r="G20" s="17">
        <f t="shared" ref="G20:G36" si="7">+F20</f>
        <v>0</v>
      </c>
      <c r="H20" s="17">
        <v>0</v>
      </c>
      <c r="I20" s="17">
        <f t="shared" ref="I20:N35" si="8">+H20</f>
        <v>0</v>
      </c>
      <c r="J20" s="17">
        <f t="shared" si="8"/>
        <v>0</v>
      </c>
      <c r="K20" s="17">
        <f t="shared" si="8"/>
        <v>0</v>
      </c>
      <c r="L20" s="17">
        <f t="shared" si="8"/>
        <v>0</v>
      </c>
      <c r="M20" s="17">
        <f t="shared" si="8"/>
        <v>0</v>
      </c>
      <c r="N20" s="17">
        <f t="shared" si="8"/>
        <v>0</v>
      </c>
      <c r="O20" s="18">
        <f t="shared" si="0"/>
        <v>26250</v>
      </c>
    </row>
    <row r="21" spans="1:20" ht="15" hidden="1" customHeight="1" x14ac:dyDescent="0.2">
      <c r="A21" s="878" t="s">
        <v>130</v>
      </c>
      <c r="B21" s="19" t="s">
        <v>131</v>
      </c>
      <c r="C21" s="17">
        <v>0</v>
      </c>
      <c r="D21" s="17">
        <f t="shared" si="6"/>
        <v>0</v>
      </c>
      <c r="E21" s="17">
        <f t="shared" si="6"/>
        <v>0</v>
      </c>
      <c r="F21" s="17">
        <f t="shared" si="6"/>
        <v>0</v>
      </c>
      <c r="G21" s="17">
        <f t="shared" si="7"/>
        <v>0</v>
      </c>
      <c r="H21" s="17">
        <v>0</v>
      </c>
      <c r="I21" s="17">
        <f t="shared" si="8"/>
        <v>0</v>
      </c>
      <c r="J21" s="17">
        <f t="shared" si="8"/>
        <v>0</v>
      </c>
      <c r="K21" s="17">
        <f t="shared" si="8"/>
        <v>0</v>
      </c>
      <c r="L21" s="17">
        <f t="shared" si="8"/>
        <v>0</v>
      </c>
      <c r="M21" s="17">
        <f t="shared" si="8"/>
        <v>0</v>
      </c>
      <c r="N21" s="17">
        <f t="shared" si="8"/>
        <v>0</v>
      </c>
      <c r="O21" s="18">
        <f t="shared" si="0"/>
        <v>0</v>
      </c>
    </row>
    <row r="22" spans="1:20" ht="15" customHeight="1" x14ac:dyDescent="0.2">
      <c r="A22" s="879"/>
      <c r="B22" s="19" t="s">
        <v>132</v>
      </c>
      <c r="C22" s="17">
        <v>0</v>
      </c>
      <c r="D22" s="17">
        <f t="shared" si="6"/>
        <v>0</v>
      </c>
      <c r="E22" s="17">
        <f t="shared" si="6"/>
        <v>0</v>
      </c>
      <c r="F22" s="17">
        <f t="shared" si="6"/>
        <v>0</v>
      </c>
      <c r="G22" s="17">
        <f t="shared" si="7"/>
        <v>0</v>
      </c>
      <c r="H22" s="17">
        <v>0</v>
      </c>
      <c r="I22" s="17">
        <f t="shared" si="8"/>
        <v>0</v>
      </c>
      <c r="J22" s="17">
        <v>6908</v>
      </c>
      <c r="K22" s="17">
        <v>0</v>
      </c>
      <c r="L22" s="17">
        <f t="shared" si="8"/>
        <v>0</v>
      </c>
      <c r="M22" s="17">
        <f t="shared" si="8"/>
        <v>0</v>
      </c>
      <c r="N22" s="17">
        <f t="shared" si="8"/>
        <v>0</v>
      </c>
      <c r="O22" s="18">
        <f t="shared" si="0"/>
        <v>6908</v>
      </c>
    </row>
    <row r="23" spans="1:20" ht="15" hidden="1" customHeight="1" x14ac:dyDescent="0.2">
      <c r="A23" s="879"/>
      <c r="B23" s="19" t="s">
        <v>133</v>
      </c>
      <c r="C23" s="17">
        <v>0</v>
      </c>
      <c r="D23" s="17">
        <f t="shared" si="6"/>
        <v>0</v>
      </c>
      <c r="E23" s="17">
        <f t="shared" si="6"/>
        <v>0</v>
      </c>
      <c r="F23" s="17">
        <f t="shared" si="6"/>
        <v>0</v>
      </c>
      <c r="G23" s="17">
        <f t="shared" si="7"/>
        <v>0</v>
      </c>
      <c r="H23" s="17">
        <v>0</v>
      </c>
      <c r="I23" s="17">
        <f t="shared" si="8"/>
        <v>0</v>
      </c>
      <c r="J23" s="17">
        <f t="shared" si="8"/>
        <v>0</v>
      </c>
      <c r="K23" s="17">
        <f t="shared" si="8"/>
        <v>0</v>
      </c>
      <c r="L23" s="17">
        <f t="shared" si="8"/>
        <v>0</v>
      </c>
      <c r="M23" s="17">
        <f t="shared" si="8"/>
        <v>0</v>
      </c>
      <c r="N23" s="17">
        <f t="shared" si="8"/>
        <v>0</v>
      </c>
      <c r="O23" s="18">
        <f t="shared" si="0"/>
        <v>0</v>
      </c>
    </row>
    <row r="24" spans="1:20" ht="15" hidden="1" customHeight="1" x14ac:dyDescent="0.2">
      <c r="A24" s="879"/>
      <c r="B24" s="19" t="s">
        <v>134</v>
      </c>
      <c r="C24" s="17">
        <v>0</v>
      </c>
      <c r="D24" s="17">
        <f t="shared" si="6"/>
        <v>0</v>
      </c>
      <c r="E24" s="17">
        <f t="shared" si="6"/>
        <v>0</v>
      </c>
      <c r="F24" s="17">
        <f t="shared" si="6"/>
        <v>0</v>
      </c>
      <c r="G24" s="17">
        <f t="shared" si="7"/>
        <v>0</v>
      </c>
      <c r="H24" s="17">
        <v>0</v>
      </c>
      <c r="I24" s="17">
        <f t="shared" si="8"/>
        <v>0</v>
      </c>
      <c r="J24" s="17">
        <f t="shared" si="8"/>
        <v>0</v>
      </c>
      <c r="K24" s="17">
        <f t="shared" si="8"/>
        <v>0</v>
      </c>
      <c r="L24" s="17">
        <f t="shared" si="8"/>
        <v>0</v>
      </c>
      <c r="M24" s="17">
        <f t="shared" si="8"/>
        <v>0</v>
      </c>
      <c r="N24" s="17">
        <f t="shared" si="8"/>
        <v>0</v>
      </c>
      <c r="O24" s="18">
        <f t="shared" si="0"/>
        <v>0</v>
      </c>
    </row>
    <row r="25" spans="1:20" ht="15" hidden="1" customHeight="1" x14ac:dyDescent="0.2">
      <c r="A25" s="879"/>
      <c r="B25" s="19" t="s">
        <v>135</v>
      </c>
      <c r="C25" s="17">
        <v>0</v>
      </c>
      <c r="D25" s="17">
        <f t="shared" si="6"/>
        <v>0</v>
      </c>
      <c r="E25" s="17">
        <f t="shared" si="6"/>
        <v>0</v>
      </c>
      <c r="F25" s="17">
        <f t="shared" si="6"/>
        <v>0</v>
      </c>
      <c r="G25" s="17">
        <f t="shared" si="7"/>
        <v>0</v>
      </c>
      <c r="H25" s="17">
        <v>0</v>
      </c>
      <c r="I25" s="17">
        <f t="shared" si="8"/>
        <v>0</v>
      </c>
      <c r="J25" s="17">
        <f t="shared" si="8"/>
        <v>0</v>
      </c>
      <c r="K25" s="17">
        <f t="shared" si="8"/>
        <v>0</v>
      </c>
      <c r="L25" s="17">
        <f t="shared" si="8"/>
        <v>0</v>
      </c>
      <c r="M25" s="17">
        <f t="shared" si="8"/>
        <v>0</v>
      </c>
      <c r="N25" s="17">
        <f t="shared" si="8"/>
        <v>0</v>
      </c>
      <c r="O25" s="18">
        <f t="shared" si="0"/>
        <v>0</v>
      </c>
    </row>
    <row r="26" spans="1:20" ht="15" hidden="1" customHeight="1" x14ac:dyDescent="0.2">
      <c r="A26" s="879"/>
      <c r="B26" s="19" t="s">
        <v>136</v>
      </c>
      <c r="C26" s="17">
        <v>0</v>
      </c>
      <c r="D26" s="17">
        <f t="shared" si="6"/>
        <v>0</v>
      </c>
      <c r="E26" s="17">
        <f t="shared" si="6"/>
        <v>0</v>
      </c>
      <c r="F26" s="17">
        <f t="shared" si="6"/>
        <v>0</v>
      </c>
      <c r="G26" s="17">
        <f t="shared" si="7"/>
        <v>0</v>
      </c>
      <c r="H26" s="17">
        <v>0</v>
      </c>
      <c r="I26" s="17">
        <f t="shared" si="8"/>
        <v>0</v>
      </c>
      <c r="J26" s="17">
        <f t="shared" si="8"/>
        <v>0</v>
      </c>
      <c r="K26" s="17">
        <f t="shared" si="8"/>
        <v>0</v>
      </c>
      <c r="L26" s="17">
        <f t="shared" si="8"/>
        <v>0</v>
      </c>
      <c r="M26" s="17">
        <f t="shared" si="8"/>
        <v>0</v>
      </c>
      <c r="N26" s="17">
        <f t="shared" si="8"/>
        <v>0</v>
      </c>
      <c r="O26" s="18">
        <f t="shared" si="0"/>
        <v>0</v>
      </c>
    </row>
    <row r="27" spans="1:20" ht="15" hidden="1" customHeight="1" x14ac:dyDescent="0.2">
      <c r="A27" s="879"/>
      <c r="B27" s="19" t="s">
        <v>137</v>
      </c>
      <c r="C27" s="17">
        <v>0</v>
      </c>
      <c r="D27" s="17">
        <f t="shared" si="6"/>
        <v>0</v>
      </c>
      <c r="E27" s="17">
        <f t="shared" si="6"/>
        <v>0</v>
      </c>
      <c r="F27" s="17">
        <f t="shared" si="6"/>
        <v>0</v>
      </c>
      <c r="G27" s="17">
        <f t="shared" si="7"/>
        <v>0</v>
      </c>
      <c r="H27" s="17">
        <v>0</v>
      </c>
      <c r="I27" s="17">
        <f t="shared" si="8"/>
        <v>0</v>
      </c>
      <c r="J27" s="17">
        <f t="shared" si="8"/>
        <v>0</v>
      </c>
      <c r="K27" s="17">
        <f t="shared" si="8"/>
        <v>0</v>
      </c>
      <c r="L27" s="17">
        <f t="shared" si="8"/>
        <v>0</v>
      </c>
      <c r="M27" s="17">
        <f t="shared" si="8"/>
        <v>0</v>
      </c>
      <c r="N27" s="17">
        <f t="shared" si="8"/>
        <v>0</v>
      </c>
      <c r="O27" s="18">
        <f t="shared" si="0"/>
        <v>0</v>
      </c>
    </row>
    <row r="28" spans="1:20" ht="15" hidden="1" customHeight="1" x14ac:dyDescent="0.2">
      <c r="A28" s="879"/>
      <c r="B28" s="19" t="s">
        <v>138</v>
      </c>
      <c r="C28" s="17">
        <v>0</v>
      </c>
      <c r="D28" s="17">
        <f t="shared" si="6"/>
        <v>0</v>
      </c>
      <c r="E28" s="17">
        <f t="shared" si="6"/>
        <v>0</v>
      </c>
      <c r="F28" s="17">
        <f t="shared" si="6"/>
        <v>0</v>
      </c>
      <c r="G28" s="17">
        <f t="shared" si="7"/>
        <v>0</v>
      </c>
      <c r="H28" s="17">
        <v>0</v>
      </c>
      <c r="I28" s="17">
        <f t="shared" si="8"/>
        <v>0</v>
      </c>
      <c r="J28" s="17">
        <f t="shared" si="8"/>
        <v>0</v>
      </c>
      <c r="K28" s="17">
        <f t="shared" si="8"/>
        <v>0</v>
      </c>
      <c r="L28" s="17">
        <f t="shared" si="8"/>
        <v>0</v>
      </c>
      <c r="M28" s="17">
        <f t="shared" si="8"/>
        <v>0</v>
      </c>
      <c r="N28" s="17">
        <f t="shared" si="8"/>
        <v>0</v>
      </c>
      <c r="O28" s="18">
        <f t="shared" si="0"/>
        <v>0</v>
      </c>
    </row>
    <row r="29" spans="1:20" ht="15" hidden="1" customHeight="1" x14ac:dyDescent="0.2">
      <c r="A29" s="879"/>
      <c r="B29" s="19" t="s">
        <v>139</v>
      </c>
      <c r="C29" s="17">
        <v>0</v>
      </c>
      <c r="D29" s="17">
        <f t="shared" si="6"/>
        <v>0</v>
      </c>
      <c r="E29" s="17">
        <f t="shared" si="6"/>
        <v>0</v>
      </c>
      <c r="F29" s="17">
        <f t="shared" si="6"/>
        <v>0</v>
      </c>
      <c r="G29" s="17">
        <f t="shared" si="7"/>
        <v>0</v>
      </c>
      <c r="H29" s="17">
        <v>0</v>
      </c>
      <c r="I29" s="17">
        <f t="shared" si="8"/>
        <v>0</v>
      </c>
      <c r="J29" s="17">
        <f t="shared" si="8"/>
        <v>0</v>
      </c>
      <c r="K29" s="17">
        <f t="shared" si="8"/>
        <v>0</v>
      </c>
      <c r="L29" s="17">
        <f t="shared" si="8"/>
        <v>0</v>
      </c>
      <c r="M29" s="17">
        <f t="shared" si="8"/>
        <v>0</v>
      </c>
      <c r="N29" s="17">
        <f t="shared" si="8"/>
        <v>0</v>
      </c>
      <c r="O29" s="18">
        <f t="shared" si="0"/>
        <v>0</v>
      </c>
    </row>
    <row r="30" spans="1:20" ht="15" hidden="1" customHeight="1" x14ac:dyDescent="0.2">
      <c r="A30" s="879"/>
      <c r="B30" s="19" t="s">
        <v>140</v>
      </c>
      <c r="C30" s="17">
        <v>0</v>
      </c>
      <c r="D30" s="17">
        <f t="shared" si="6"/>
        <v>0</v>
      </c>
      <c r="E30" s="17">
        <f t="shared" si="6"/>
        <v>0</v>
      </c>
      <c r="F30" s="17">
        <f t="shared" si="6"/>
        <v>0</v>
      </c>
      <c r="G30" s="17">
        <f t="shared" si="7"/>
        <v>0</v>
      </c>
      <c r="H30" s="17">
        <v>0</v>
      </c>
      <c r="I30" s="17">
        <f t="shared" si="8"/>
        <v>0</v>
      </c>
      <c r="J30" s="17">
        <f t="shared" si="8"/>
        <v>0</v>
      </c>
      <c r="K30" s="17">
        <f t="shared" si="8"/>
        <v>0</v>
      </c>
      <c r="L30" s="17">
        <f t="shared" si="8"/>
        <v>0</v>
      </c>
      <c r="M30" s="17">
        <f t="shared" si="8"/>
        <v>0</v>
      </c>
      <c r="N30" s="17">
        <f t="shared" si="8"/>
        <v>0</v>
      </c>
      <c r="O30" s="18">
        <f t="shared" si="0"/>
        <v>0</v>
      </c>
    </row>
    <row r="31" spans="1:20" ht="15" customHeight="1" x14ac:dyDescent="0.2">
      <c r="A31" s="879"/>
      <c r="B31" s="167" t="s">
        <v>246</v>
      </c>
      <c r="C31" s="17">
        <v>0</v>
      </c>
      <c r="D31" s="17">
        <f t="shared" si="6"/>
        <v>0</v>
      </c>
      <c r="E31" s="17">
        <v>24253</v>
      </c>
      <c r="F31" s="17">
        <v>0</v>
      </c>
      <c r="G31" s="17">
        <f t="shared" si="7"/>
        <v>0</v>
      </c>
      <c r="H31" s="17">
        <v>0</v>
      </c>
      <c r="I31" s="17">
        <f t="shared" si="8"/>
        <v>0</v>
      </c>
      <c r="J31" s="17">
        <f t="shared" si="8"/>
        <v>0</v>
      </c>
      <c r="K31" s="17">
        <f t="shared" si="8"/>
        <v>0</v>
      </c>
      <c r="L31" s="17">
        <f t="shared" si="8"/>
        <v>0</v>
      </c>
      <c r="M31" s="17">
        <f t="shared" si="8"/>
        <v>0</v>
      </c>
      <c r="N31" s="17">
        <f t="shared" si="8"/>
        <v>0</v>
      </c>
      <c r="O31" s="18">
        <f t="shared" si="0"/>
        <v>24253</v>
      </c>
    </row>
    <row r="32" spans="1:20" ht="15" customHeight="1" x14ac:dyDescent="0.2">
      <c r="A32" s="879"/>
      <c r="B32" s="21" t="s">
        <v>142</v>
      </c>
      <c r="C32" s="17">
        <v>0</v>
      </c>
      <c r="D32" s="17">
        <f t="shared" si="6"/>
        <v>0</v>
      </c>
      <c r="E32" s="17">
        <f t="shared" si="6"/>
        <v>0</v>
      </c>
      <c r="F32" s="17">
        <f t="shared" si="6"/>
        <v>0</v>
      </c>
      <c r="G32" s="17">
        <f t="shared" si="7"/>
        <v>0</v>
      </c>
      <c r="H32" s="17">
        <v>0</v>
      </c>
      <c r="I32" s="17">
        <f t="shared" si="8"/>
        <v>0</v>
      </c>
      <c r="J32" s="17">
        <f t="shared" si="8"/>
        <v>0</v>
      </c>
      <c r="K32" s="17">
        <f t="shared" si="8"/>
        <v>0</v>
      </c>
      <c r="L32" s="17">
        <f t="shared" si="8"/>
        <v>0</v>
      </c>
      <c r="M32" s="17">
        <f t="shared" si="8"/>
        <v>0</v>
      </c>
      <c r="N32" s="17">
        <f t="shared" si="8"/>
        <v>0</v>
      </c>
      <c r="O32" s="18">
        <f t="shared" si="0"/>
        <v>0</v>
      </c>
      <c r="Q32" s="16">
        <v>116364</v>
      </c>
      <c r="T32" s="16">
        <v>11000</v>
      </c>
    </row>
    <row r="33" spans="1:20" ht="15" hidden="1" customHeight="1" x14ac:dyDescent="0.2">
      <c r="A33" s="880"/>
      <c r="B33" s="19" t="s">
        <v>226</v>
      </c>
      <c r="C33" s="17">
        <v>0</v>
      </c>
      <c r="D33" s="17">
        <f t="shared" si="6"/>
        <v>0</v>
      </c>
      <c r="E33" s="17">
        <f t="shared" si="6"/>
        <v>0</v>
      </c>
      <c r="F33" s="17">
        <f t="shared" si="6"/>
        <v>0</v>
      </c>
      <c r="G33" s="17">
        <f t="shared" si="7"/>
        <v>0</v>
      </c>
      <c r="H33" s="17">
        <v>0</v>
      </c>
      <c r="I33" s="17">
        <f t="shared" si="8"/>
        <v>0</v>
      </c>
      <c r="J33" s="17">
        <f t="shared" si="8"/>
        <v>0</v>
      </c>
      <c r="K33" s="17">
        <f t="shared" si="8"/>
        <v>0</v>
      </c>
      <c r="L33" s="17">
        <f t="shared" si="8"/>
        <v>0</v>
      </c>
      <c r="M33" s="17">
        <f t="shared" si="8"/>
        <v>0</v>
      </c>
      <c r="N33" s="17">
        <f t="shared" si="8"/>
        <v>0</v>
      </c>
      <c r="O33" s="18">
        <f t="shared" si="0"/>
        <v>0</v>
      </c>
    </row>
    <row r="34" spans="1:20" ht="15" customHeight="1" x14ac:dyDescent="0.2">
      <c r="A34" s="865" t="s">
        <v>143</v>
      </c>
      <c r="B34" s="866"/>
      <c r="C34" s="17">
        <v>0</v>
      </c>
      <c r="D34" s="17">
        <f t="shared" si="6"/>
        <v>0</v>
      </c>
      <c r="E34" s="17">
        <f t="shared" si="6"/>
        <v>0</v>
      </c>
      <c r="F34" s="17">
        <f t="shared" si="6"/>
        <v>0</v>
      </c>
      <c r="G34" s="17">
        <f t="shared" si="7"/>
        <v>0</v>
      </c>
      <c r="H34" s="17">
        <v>0</v>
      </c>
      <c r="I34" s="17">
        <f t="shared" si="8"/>
        <v>0</v>
      </c>
      <c r="J34" s="17">
        <f t="shared" si="8"/>
        <v>0</v>
      </c>
      <c r="K34" s="17">
        <f t="shared" si="8"/>
        <v>0</v>
      </c>
      <c r="L34" s="17">
        <f t="shared" si="8"/>
        <v>0</v>
      </c>
      <c r="M34" s="17">
        <f t="shared" si="8"/>
        <v>0</v>
      </c>
      <c r="N34" s="17">
        <f t="shared" si="8"/>
        <v>0</v>
      </c>
      <c r="O34" s="18">
        <f t="shared" si="0"/>
        <v>0</v>
      </c>
      <c r="T34" s="16">
        <f>14000*6</f>
        <v>84000</v>
      </c>
    </row>
    <row r="35" spans="1:20" ht="15" customHeight="1" x14ac:dyDescent="0.2">
      <c r="A35" s="865" t="s">
        <v>145</v>
      </c>
      <c r="B35" s="866"/>
      <c r="C35" s="17">
        <v>0</v>
      </c>
      <c r="D35" s="17">
        <f t="shared" si="6"/>
        <v>0</v>
      </c>
      <c r="E35" s="17">
        <f t="shared" si="6"/>
        <v>0</v>
      </c>
      <c r="F35" s="17">
        <f t="shared" si="6"/>
        <v>0</v>
      </c>
      <c r="G35" s="17">
        <f t="shared" si="7"/>
        <v>0</v>
      </c>
      <c r="H35" s="17">
        <v>0</v>
      </c>
      <c r="I35" s="17">
        <f t="shared" si="8"/>
        <v>0</v>
      </c>
      <c r="J35" s="17">
        <f t="shared" si="8"/>
        <v>0</v>
      </c>
      <c r="K35" s="17">
        <f t="shared" si="8"/>
        <v>0</v>
      </c>
      <c r="L35" s="17">
        <f t="shared" si="8"/>
        <v>0</v>
      </c>
      <c r="M35" s="17">
        <f t="shared" si="8"/>
        <v>0</v>
      </c>
      <c r="N35" s="17">
        <f t="shared" si="8"/>
        <v>0</v>
      </c>
      <c r="O35" s="18">
        <f t="shared" si="0"/>
        <v>0</v>
      </c>
      <c r="Q35" s="16">
        <f>SUM(O9:O11)*0.1</f>
        <v>89168</v>
      </c>
      <c r="T35" s="16">
        <f>11000*5</f>
        <v>55000</v>
      </c>
    </row>
    <row r="36" spans="1:20" ht="15" customHeight="1" x14ac:dyDescent="0.2">
      <c r="A36" s="865" t="s">
        <v>146</v>
      </c>
      <c r="B36" s="866"/>
      <c r="C36" s="17">
        <v>0</v>
      </c>
      <c r="D36" s="17">
        <v>4188</v>
      </c>
      <c r="E36" s="17">
        <v>0</v>
      </c>
      <c r="F36" s="17">
        <f>+E36</f>
        <v>0</v>
      </c>
      <c r="G36" s="17">
        <f t="shared" si="7"/>
        <v>0</v>
      </c>
      <c r="H36" s="17">
        <v>0</v>
      </c>
      <c r="I36" s="17">
        <v>2872</v>
      </c>
      <c r="J36" s="17">
        <v>0</v>
      </c>
      <c r="K36" s="17">
        <f>+J36</f>
        <v>0</v>
      </c>
      <c r="L36" s="17">
        <f t="shared" ref="L36:N36" si="9">+K36</f>
        <v>0</v>
      </c>
      <c r="M36" s="17">
        <f t="shared" si="9"/>
        <v>0</v>
      </c>
      <c r="N36" s="17">
        <f t="shared" si="9"/>
        <v>0</v>
      </c>
      <c r="O36" s="18">
        <f t="shared" si="0"/>
        <v>7060</v>
      </c>
      <c r="Q36" s="16">
        <f>T36-Q35</f>
        <v>60832</v>
      </c>
      <c r="T36" s="16">
        <f>SUM(T32:T35)</f>
        <v>150000</v>
      </c>
    </row>
    <row r="37" spans="1:20" ht="15" customHeight="1" x14ac:dyDescent="0.2">
      <c r="A37" s="22"/>
      <c r="B37" s="23" t="s">
        <v>147</v>
      </c>
      <c r="C37" s="24">
        <f t="shared" ref="C37:N37" si="10">SUM(C9:C36)</f>
        <v>78730</v>
      </c>
      <c r="D37" s="24">
        <f t="shared" si="10"/>
        <v>84314</v>
      </c>
      <c r="E37" s="24">
        <f t="shared" si="10"/>
        <v>130629</v>
      </c>
      <c r="F37" s="24">
        <f t="shared" si="10"/>
        <v>80126</v>
      </c>
      <c r="G37" s="24">
        <f t="shared" si="10"/>
        <v>82462</v>
      </c>
      <c r="H37" s="24">
        <f t="shared" si="10"/>
        <v>82462</v>
      </c>
      <c r="I37" s="24">
        <f t="shared" si="10"/>
        <v>85334</v>
      </c>
      <c r="J37" s="24">
        <f t="shared" si="10"/>
        <v>89370</v>
      </c>
      <c r="K37" s="24">
        <f t="shared" si="10"/>
        <v>82462</v>
      </c>
      <c r="L37" s="24">
        <f t="shared" si="10"/>
        <v>82462</v>
      </c>
      <c r="M37" s="24">
        <f t="shared" si="10"/>
        <v>97024</v>
      </c>
      <c r="N37" s="24">
        <f t="shared" si="10"/>
        <v>97024</v>
      </c>
      <c r="O37" s="25">
        <f t="shared" si="0"/>
        <v>1072399</v>
      </c>
      <c r="Q37" s="16">
        <f>SUM(O9:O11)*0.5</f>
        <v>445840</v>
      </c>
    </row>
    <row r="38" spans="1:20" ht="15" customHeight="1" x14ac:dyDescent="0.2">
      <c r="A38" s="853" t="s">
        <v>148</v>
      </c>
      <c r="B38" s="27" t="s">
        <v>149</v>
      </c>
      <c r="C38" s="147">
        <v>0</v>
      </c>
      <c r="D38" s="147">
        <v>6000</v>
      </c>
      <c r="E38" s="147">
        <v>6000</v>
      </c>
      <c r="F38" s="147">
        <v>6000</v>
      </c>
      <c r="G38" s="147">
        <v>6000</v>
      </c>
      <c r="H38" s="147">
        <v>6000</v>
      </c>
      <c r="I38" s="147">
        <v>6000</v>
      </c>
      <c r="J38" s="147">
        <v>9000</v>
      </c>
      <c r="K38" s="147">
        <v>9000</v>
      </c>
      <c r="L38" s="147">
        <v>9000</v>
      </c>
      <c r="M38" s="147">
        <v>11000</v>
      </c>
      <c r="N38" s="147">
        <v>10706</v>
      </c>
      <c r="O38" s="18">
        <f t="shared" si="0"/>
        <v>84706</v>
      </c>
      <c r="P38" s="29"/>
    </row>
    <row r="39" spans="1:20" ht="15" x14ac:dyDescent="0.2">
      <c r="A39" s="854"/>
      <c r="B39" s="27" t="s">
        <v>150</v>
      </c>
      <c r="C39" s="147">
        <v>0</v>
      </c>
      <c r="D39" s="147">
        <v>0</v>
      </c>
      <c r="E39" s="147">
        <v>0</v>
      </c>
      <c r="F39" s="147">
        <v>0</v>
      </c>
      <c r="G39" s="147">
        <v>0</v>
      </c>
      <c r="H39" s="147">
        <v>0</v>
      </c>
      <c r="I39" s="147">
        <v>0</v>
      </c>
      <c r="J39" s="147">
        <v>0</v>
      </c>
      <c r="K39" s="147">
        <v>0</v>
      </c>
      <c r="L39" s="147">
        <v>0</v>
      </c>
      <c r="M39" s="147">
        <v>0</v>
      </c>
      <c r="N39" s="147">
        <v>0</v>
      </c>
      <c r="O39" s="18">
        <f t="shared" si="0"/>
        <v>0</v>
      </c>
    </row>
    <row r="40" spans="1:20" ht="15" x14ac:dyDescent="0.2">
      <c r="A40" s="854"/>
      <c r="B40" s="27" t="s">
        <v>151</v>
      </c>
      <c r="C40" s="147">
        <v>60</v>
      </c>
      <c r="D40" s="147">
        <v>60</v>
      </c>
      <c r="E40" s="147">
        <v>60</v>
      </c>
      <c r="F40" s="147">
        <v>60</v>
      </c>
      <c r="G40" s="147">
        <v>60</v>
      </c>
      <c r="H40" s="147">
        <v>60</v>
      </c>
      <c r="I40" s="147">
        <v>60</v>
      </c>
      <c r="J40" s="147">
        <v>60</v>
      </c>
      <c r="K40" s="147">
        <v>60</v>
      </c>
      <c r="L40" s="147">
        <v>60</v>
      </c>
      <c r="M40" s="147">
        <v>60</v>
      </c>
      <c r="N40" s="147">
        <v>60</v>
      </c>
      <c r="O40" s="18">
        <f t="shared" si="0"/>
        <v>720</v>
      </c>
    </row>
    <row r="41" spans="1:20" ht="15" x14ac:dyDescent="0.2">
      <c r="A41" s="854"/>
      <c r="B41" s="27" t="s">
        <v>152</v>
      </c>
      <c r="C41" s="147">
        <v>0</v>
      </c>
      <c r="D41" s="147">
        <v>0</v>
      </c>
      <c r="E41" s="147">
        <v>0</v>
      </c>
      <c r="F41" s="147">
        <v>0</v>
      </c>
      <c r="G41" s="147">
        <v>0</v>
      </c>
      <c r="H41" s="147">
        <v>0</v>
      </c>
      <c r="I41" s="147">
        <v>0</v>
      </c>
      <c r="J41" s="147">
        <v>0</v>
      </c>
      <c r="K41" s="147">
        <v>0</v>
      </c>
      <c r="L41" s="147">
        <v>0</v>
      </c>
      <c r="M41" s="147">
        <v>0</v>
      </c>
      <c r="N41" s="147">
        <v>0</v>
      </c>
      <c r="O41" s="18">
        <f t="shared" si="0"/>
        <v>0</v>
      </c>
    </row>
    <row r="42" spans="1:20" ht="15" x14ac:dyDescent="0.2">
      <c r="A42" s="854"/>
      <c r="B42" s="27" t="s">
        <v>153</v>
      </c>
      <c r="C42" s="147">
        <v>0</v>
      </c>
      <c r="D42" s="147">
        <v>0</v>
      </c>
      <c r="E42" s="147">
        <v>0</v>
      </c>
      <c r="F42" s="147">
        <v>0</v>
      </c>
      <c r="G42" s="147">
        <v>0</v>
      </c>
      <c r="H42" s="147">
        <v>0</v>
      </c>
      <c r="I42" s="147">
        <v>0</v>
      </c>
      <c r="J42" s="147">
        <v>0</v>
      </c>
      <c r="K42" s="147">
        <v>0</v>
      </c>
      <c r="L42" s="147">
        <v>0</v>
      </c>
      <c r="M42" s="147">
        <v>0</v>
      </c>
      <c r="N42" s="147">
        <v>0</v>
      </c>
      <c r="O42" s="18">
        <f t="shared" si="0"/>
        <v>0</v>
      </c>
    </row>
    <row r="43" spans="1:20" ht="15" x14ac:dyDescent="0.2">
      <c r="A43" s="854"/>
      <c r="B43" s="27" t="s">
        <v>154</v>
      </c>
      <c r="C43" s="147">
        <v>10000</v>
      </c>
      <c r="D43" s="147">
        <v>10000</v>
      </c>
      <c r="E43" s="147">
        <v>10000</v>
      </c>
      <c r="F43" s="147">
        <v>10000</v>
      </c>
      <c r="G43" s="147">
        <v>10000</v>
      </c>
      <c r="H43" s="147">
        <v>10000</v>
      </c>
      <c r="I43" s="147">
        <v>10000</v>
      </c>
      <c r="J43" s="147">
        <v>10000</v>
      </c>
      <c r="K43" s="147">
        <v>10000</v>
      </c>
      <c r="L43" s="147">
        <v>10000</v>
      </c>
      <c r="M43" s="147">
        <v>15000</v>
      </c>
      <c r="N43" s="147">
        <v>15000</v>
      </c>
      <c r="O43" s="18">
        <f t="shared" si="0"/>
        <v>130000</v>
      </c>
    </row>
    <row r="44" spans="1:20" ht="15" x14ac:dyDescent="0.2">
      <c r="A44" s="854"/>
      <c r="B44" s="27" t="s">
        <v>155</v>
      </c>
      <c r="C44" s="147">
        <v>200</v>
      </c>
      <c r="D44" s="147">
        <v>200</v>
      </c>
      <c r="E44" s="147">
        <v>200</v>
      </c>
      <c r="F44" s="147">
        <v>200</v>
      </c>
      <c r="G44" s="147">
        <v>200</v>
      </c>
      <c r="H44" s="147">
        <v>200</v>
      </c>
      <c r="I44" s="147">
        <v>200</v>
      </c>
      <c r="J44" s="147">
        <v>200</v>
      </c>
      <c r="K44" s="147">
        <v>200</v>
      </c>
      <c r="L44" s="147">
        <v>200</v>
      </c>
      <c r="M44" s="147">
        <v>200</v>
      </c>
      <c r="N44" s="147">
        <v>300</v>
      </c>
      <c r="O44" s="18">
        <f t="shared" si="0"/>
        <v>2500</v>
      </c>
    </row>
    <row r="45" spans="1:20" ht="15" x14ac:dyDescent="0.2">
      <c r="A45" s="854"/>
      <c r="B45" s="27" t="s">
        <v>156</v>
      </c>
      <c r="C45" s="147">
        <v>0</v>
      </c>
      <c r="D45" s="147">
        <v>0</v>
      </c>
      <c r="E45" s="147">
        <v>0</v>
      </c>
      <c r="F45" s="147">
        <v>0</v>
      </c>
      <c r="G45" s="147">
        <v>0</v>
      </c>
      <c r="H45" s="147">
        <v>0</v>
      </c>
      <c r="I45" s="147">
        <v>0</v>
      </c>
      <c r="J45" s="147">
        <v>0</v>
      </c>
      <c r="K45" s="147">
        <v>0</v>
      </c>
      <c r="L45" s="147">
        <v>0</v>
      </c>
      <c r="M45" s="147">
        <v>0</v>
      </c>
      <c r="N45" s="147">
        <v>0</v>
      </c>
      <c r="O45" s="18">
        <f t="shared" si="0"/>
        <v>0</v>
      </c>
    </row>
    <row r="46" spans="1:20" ht="15" x14ac:dyDescent="0.2">
      <c r="A46" s="854"/>
      <c r="B46" s="27" t="s">
        <v>157</v>
      </c>
      <c r="C46" s="147">
        <v>0</v>
      </c>
      <c r="D46" s="147">
        <v>0</v>
      </c>
      <c r="E46" s="147">
        <v>0</v>
      </c>
      <c r="F46" s="147">
        <v>0</v>
      </c>
      <c r="G46" s="147">
        <v>0</v>
      </c>
      <c r="H46" s="147">
        <v>0</v>
      </c>
      <c r="I46" s="147">
        <v>0</v>
      </c>
      <c r="J46" s="147">
        <v>0</v>
      </c>
      <c r="K46" s="147">
        <v>0</v>
      </c>
      <c r="L46" s="147">
        <v>0</v>
      </c>
      <c r="M46" s="147">
        <v>0</v>
      </c>
      <c r="N46" s="147">
        <v>0</v>
      </c>
      <c r="O46" s="18">
        <f t="shared" si="0"/>
        <v>0</v>
      </c>
    </row>
    <row r="47" spans="1:20" ht="28.5" customHeight="1" x14ac:dyDescent="0.2">
      <c r="A47" s="855"/>
      <c r="B47" s="30" t="s">
        <v>158</v>
      </c>
      <c r="C47" s="147">
        <v>0</v>
      </c>
      <c r="D47" s="147">
        <v>0</v>
      </c>
      <c r="E47" s="147">
        <v>0</v>
      </c>
      <c r="F47" s="147">
        <v>0</v>
      </c>
      <c r="G47" s="147">
        <v>0</v>
      </c>
      <c r="H47" s="147">
        <v>0</v>
      </c>
      <c r="I47" s="147">
        <v>0</v>
      </c>
      <c r="J47" s="147">
        <v>0</v>
      </c>
      <c r="K47" s="147">
        <v>0</v>
      </c>
      <c r="L47" s="147">
        <v>0</v>
      </c>
      <c r="M47" s="147">
        <v>0</v>
      </c>
      <c r="N47" s="147">
        <v>0</v>
      </c>
      <c r="O47" s="31">
        <f t="shared" si="0"/>
        <v>0</v>
      </c>
    </row>
    <row r="48" spans="1:20" ht="15" x14ac:dyDescent="0.2">
      <c r="A48" s="856"/>
      <c r="B48" s="127" t="s">
        <v>479</v>
      </c>
      <c r="C48" s="147">
        <v>0</v>
      </c>
      <c r="D48" s="147">
        <v>0</v>
      </c>
      <c r="E48" s="147">
        <v>0</v>
      </c>
      <c r="F48" s="147">
        <v>0</v>
      </c>
      <c r="G48" s="147">
        <v>0</v>
      </c>
      <c r="H48" s="147">
        <v>0</v>
      </c>
      <c r="I48" s="147">
        <v>0</v>
      </c>
      <c r="J48" s="147">
        <v>0</v>
      </c>
      <c r="K48" s="147">
        <v>0</v>
      </c>
      <c r="L48" s="147">
        <v>0</v>
      </c>
      <c r="M48" s="147">
        <v>0</v>
      </c>
      <c r="N48" s="147">
        <v>120</v>
      </c>
      <c r="O48" s="31">
        <f t="shared" si="0"/>
        <v>120</v>
      </c>
    </row>
    <row r="49" spans="1:19" ht="15" x14ac:dyDescent="0.2">
      <c r="A49" s="857" t="s">
        <v>160</v>
      </c>
      <c r="B49" s="858"/>
      <c r="C49" s="33">
        <f t="shared" ref="C49:N49" si="11">SUM(C38:C48)</f>
        <v>10260</v>
      </c>
      <c r="D49" s="33">
        <f t="shared" si="11"/>
        <v>16260</v>
      </c>
      <c r="E49" s="33">
        <f t="shared" si="11"/>
        <v>16260</v>
      </c>
      <c r="F49" s="33">
        <f t="shared" si="11"/>
        <v>16260</v>
      </c>
      <c r="G49" s="33">
        <f t="shared" si="11"/>
        <v>16260</v>
      </c>
      <c r="H49" s="33">
        <f t="shared" si="11"/>
        <v>16260</v>
      </c>
      <c r="I49" s="33">
        <f t="shared" si="11"/>
        <v>16260</v>
      </c>
      <c r="J49" s="33">
        <f t="shared" si="11"/>
        <v>19260</v>
      </c>
      <c r="K49" s="33">
        <f t="shared" si="11"/>
        <v>19260</v>
      </c>
      <c r="L49" s="33">
        <f t="shared" si="11"/>
        <v>19260</v>
      </c>
      <c r="M49" s="33">
        <f t="shared" si="11"/>
        <v>26260</v>
      </c>
      <c r="N49" s="33">
        <f t="shared" si="11"/>
        <v>26186</v>
      </c>
      <c r="O49" s="34">
        <f t="shared" si="0"/>
        <v>218046</v>
      </c>
    </row>
    <row r="50" spans="1:19" ht="15.75" thickBot="1" x14ac:dyDescent="0.25">
      <c r="A50" s="859" t="s">
        <v>161</v>
      </c>
      <c r="B50" s="860"/>
      <c r="C50" s="35">
        <f t="shared" ref="C50:N50" si="12">C37-C49</f>
        <v>68470</v>
      </c>
      <c r="D50" s="35">
        <f t="shared" si="12"/>
        <v>68054</v>
      </c>
      <c r="E50" s="35">
        <f t="shared" si="12"/>
        <v>114369</v>
      </c>
      <c r="F50" s="35">
        <f t="shared" si="12"/>
        <v>63866</v>
      </c>
      <c r="G50" s="35">
        <f t="shared" si="12"/>
        <v>66202</v>
      </c>
      <c r="H50" s="35">
        <f t="shared" si="12"/>
        <v>66202</v>
      </c>
      <c r="I50" s="35">
        <f t="shared" si="12"/>
        <v>69074</v>
      </c>
      <c r="J50" s="35">
        <f t="shared" si="12"/>
        <v>70110</v>
      </c>
      <c r="K50" s="35">
        <f t="shared" si="12"/>
        <v>63202</v>
      </c>
      <c r="L50" s="35">
        <f t="shared" si="12"/>
        <v>63202</v>
      </c>
      <c r="M50" s="35">
        <f t="shared" si="12"/>
        <v>70764</v>
      </c>
      <c r="N50" s="35">
        <f t="shared" si="12"/>
        <v>70838</v>
      </c>
      <c r="O50" s="36">
        <f t="shared" si="0"/>
        <v>854353</v>
      </c>
    </row>
    <row r="51" spans="1:19" x14ac:dyDescent="0.2">
      <c r="J51" s="16">
        <f>+J37-SUM(J20:J36)</f>
        <v>82462</v>
      </c>
      <c r="Q51" s="38"/>
    </row>
    <row r="52" spans="1:19" ht="13.5" thickBot="1" x14ac:dyDescent="0.25">
      <c r="J52" s="38">
        <f>+J51-J49</f>
        <v>63202</v>
      </c>
    </row>
    <row r="53" spans="1:19" ht="13.5" thickBot="1" x14ac:dyDescent="0.25">
      <c r="B53" s="789" t="s">
        <v>162</v>
      </c>
      <c r="C53" s="861"/>
      <c r="D53" s="861"/>
      <c r="E53" s="861"/>
      <c r="F53" s="862"/>
      <c r="G53" s="863">
        <f>O37</f>
        <v>1072399</v>
      </c>
      <c r="H53" s="864"/>
    </row>
    <row r="54" spans="1:19" ht="13.5" thickBot="1" x14ac:dyDescent="0.25"/>
    <row r="55" spans="1:19" x14ac:dyDescent="0.2">
      <c r="B55" s="830" t="s">
        <v>163</v>
      </c>
      <c r="C55" s="833" t="s">
        <v>164</v>
      </c>
      <c r="D55" s="836" t="s">
        <v>229</v>
      </c>
      <c r="E55" s="837"/>
      <c r="F55" s="838"/>
      <c r="G55" s="839">
        <v>40000</v>
      </c>
      <c r="H55" s="840"/>
    </row>
    <row r="56" spans="1:19" x14ac:dyDescent="0.2">
      <c r="B56" s="831"/>
      <c r="C56" s="834"/>
      <c r="D56" s="841" t="s">
        <v>166</v>
      </c>
      <c r="E56" s="842"/>
      <c r="F56" s="843"/>
      <c r="G56" s="844">
        <f>+O44</f>
        <v>2500</v>
      </c>
      <c r="H56" s="845"/>
      <c r="I56" s="39"/>
      <c r="J56" s="846"/>
      <c r="K56" s="846"/>
      <c r="L56" s="846"/>
      <c r="M56" s="847"/>
      <c r="N56" s="847"/>
      <c r="O56" s="847"/>
    </row>
    <row r="57" spans="1:19" x14ac:dyDescent="0.2">
      <c r="B57" s="886"/>
      <c r="C57" s="887"/>
      <c r="D57" s="40" t="s">
        <v>129</v>
      </c>
      <c r="E57" s="41"/>
      <c r="F57" s="42"/>
      <c r="G57" s="43"/>
      <c r="H57" s="44">
        <v>0</v>
      </c>
      <c r="I57" s="39"/>
      <c r="J57" s="754"/>
      <c r="K57" s="754"/>
      <c r="L57" s="754"/>
      <c r="M57" s="755"/>
      <c r="N57" s="755"/>
      <c r="O57" s="755"/>
    </row>
    <row r="58" spans="1:19" ht="13.5" thickBot="1" x14ac:dyDescent="0.25">
      <c r="B58" s="832"/>
      <c r="C58" s="835"/>
      <c r="D58" s="848" t="s">
        <v>714</v>
      </c>
      <c r="E58" s="849"/>
      <c r="F58" s="850"/>
      <c r="G58" s="851">
        <v>0</v>
      </c>
      <c r="H58" s="852"/>
      <c r="J58" s="47"/>
      <c r="K58" s="47"/>
      <c r="L58" s="47"/>
      <c r="M58" s="47"/>
      <c r="N58" s="47"/>
      <c r="O58" s="47"/>
      <c r="R58" s="16">
        <v>26558</v>
      </c>
    </row>
    <row r="59" spans="1:19" ht="13.5" thickBot="1" x14ac:dyDescent="0.25">
      <c r="B59" s="48"/>
      <c r="J59" s="47"/>
      <c r="K59" s="47"/>
      <c r="L59" s="47"/>
      <c r="M59" s="47"/>
      <c r="N59" s="47"/>
      <c r="O59" s="47"/>
    </row>
    <row r="60" spans="1:19" ht="13.5" thickBot="1" x14ac:dyDescent="0.25">
      <c r="B60" s="789" t="s">
        <v>168</v>
      </c>
      <c r="C60" s="790"/>
      <c r="D60" s="790"/>
      <c r="E60" s="790"/>
      <c r="F60" s="791"/>
      <c r="G60" s="825">
        <f>+G53-SUM(G55:H58)</f>
        <v>1029899</v>
      </c>
      <c r="H60" s="826"/>
      <c r="J60" s="827" t="s">
        <v>169</v>
      </c>
      <c r="K60" s="828"/>
      <c r="L60" s="828"/>
      <c r="M60" s="828"/>
      <c r="N60" s="828"/>
      <c r="O60" s="829"/>
    </row>
    <row r="61" spans="1:19" ht="13.5" thickBot="1" x14ac:dyDescent="0.25">
      <c r="B61" s="49"/>
      <c r="C61" s="50"/>
      <c r="D61" s="50"/>
      <c r="E61" s="50"/>
      <c r="F61" s="50"/>
      <c r="G61" s="754"/>
      <c r="H61" s="50"/>
      <c r="J61" s="751"/>
      <c r="K61" s="752"/>
      <c r="L61" s="752"/>
      <c r="M61" s="752"/>
      <c r="N61" s="752"/>
      <c r="O61" s="753"/>
    </row>
    <row r="62" spans="1:19" ht="13.5" thickBot="1" x14ac:dyDescent="0.25">
      <c r="B62" s="789" t="s">
        <v>170</v>
      </c>
      <c r="C62" s="790"/>
      <c r="D62" s="790"/>
      <c r="E62" s="790"/>
      <c r="F62" s="791"/>
      <c r="G62" s="805"/>
      <c r="H62" s="791"/>
      <c r="J62" s="751"/>
      <c r="K62" s="752"/>
      <c r="L62" s="752"/>
      <c r="M62" s="752"/>
      <c r="N62" s="752"/>
      <c r="O62" s="753"/>
    </row>
    <row r="63" spans="1:19" ht="12.75" customHeight="1" x14ac:dyDescent="0.2">
      <c r="B63" s="57" t="s">
        <v>171</v>
      </c>
      <c r="C63" s="806" t="s">
        <v>172</v>
      </c>
      <c r="D63" s="807"/>
      <c r="E63" s="807"/>
      <c r="F63" s="808"/>
      <c r="G63" s="809">
        <v>30212</v>
      </c>
      <c r="H63" s="809"/>
      <c r="I63" s="58"/>
      <c r="J63" s="810" t="s">
        <v>173</v>
      </c>
      <c r="K63" s="811"/>
      <c r="L63" s="811"/>
      <c r="M63" s="811"/>
      <c r="N63" s="811"/>
      <c r="O63" s="812"/>
      <c r="Q63" s="59"/>
      <c r="R63" s="59"/>
      <c r="S63" s="59"/>
    </row>
    <row r="64" spans="1:19" ht="13.5" thickBot="1" x14ac:dyDescent="0.25">
      <c r="D64" s="37"/>
      <c r="I64" s="58"/>
      <c r="J64" s="60" t="s">
        <v>360</v>
      </c>
      <c r="K64" s="132"/>
      <c r="L64" s="132"/>
      <c r="M64" s="133"/>
      <c r="N64" s="133"/>
      <c r="O64" s="134"/>
      <c r="Q64" s="59"/>
      <c r="R64" s="59"/>
      <c r="S64" s="59"/>
    </row>
    <row r="65" spans="2:19" ht="13.5" thickBot="1" x14ac:dyDescent="0.25">
      <c r="B65" s="789" t="s">
        <v>175</v>
      </c>
      <c r="C65" s="790"/>
      <c r="D65" s="790"/>
      <c r="E65" s="790"/>
      <c r="F65" s="791"/>
      <c r="G65" s="805">
        <f>+G60-G63</f>
        <v>999687</v>
      </c>
      <c r="H65" s="791"/>
      <c r="I65" s="63"/>
      <c r="J65" s="64"/>
      <c r="K65" s="39"/>
      <c r="L65" s="39"/>
      <c r="M65" s="39"/>
      <c r="N65" s="39"/>
      <c r="O65" s="65"/>
      <c r="Q65" s="59"/>
      <c r="R65" s="59"/>
      <c r="S65" s="59"/>
    </row>
    <row r="66" spans="2:19" ht="12.75" customHeight="1" x14ac:dyDescent="0.2">
      <c r="B66" s="48"/>
      <c r="C66" s="48"/>
      <c r="I66" s="63"/>
      <c r="J66" s="64"/>
      <c r="K66" s="39"/>
      <c r="L66" s="39"/>
      <c r="M66" s="39"/>
      <c r="N66" s="39"/>
      <c r="O66" s="65"/>
      <c r="Q66" s="59"/>
      <c r="R66" s="59"/>
      <c r="S66" s="59"/>
    </row>
    <row r="67" spans="2:19" x14ac:dyDescent="0.2">
      <c r="B67" s="66" t="s">
        <v>176</v>
      </c>
      <c r="C67" s="48"/>
      <c r="I67" s="63"/>
      <c r="J67" s="758"/>
      <c r="K67" s="759"/>
      <c r="L67" s="759"/>
      <c r="M67" s="759"/>
      <c r="N67" s="759"/>
      <c r="O67" s="69"/>
      <c r="Q67" s="59"/>
      <c r="R67" s="59"/>
      <c r="S67" s="59"/>
    </row>
    <row r="68" spans="2:19" ht="26.25" customHeight="1" thickBot="1" x14ac:dyDescent="0.25">
      <c r="B68" s="66"/>
      <c r="C68" s="48"/>
      <c r="G68" s="70" t="s">
        <v>177</v>
      </c>
      <c r="H68" s="70" t="s">
        <v>178</v>
      </c>
      <c r="I68" s="63"/>
      <c r="J68" s="810" t="s">
        <v>179</v>
      </c>
      <c r="K68" s="811"/>
      <c r="L68" s="71"/>
      <c r="M68" s="71"/>
      <c r="N68" s="71"/>
      <c r="O68" s="72"/>
      <c r="Q68" s="59"/>
      <c r="R68" s="59"/>
      <c r="S68" s="59"/>
    </row>
    <row r="69" spans="2:19" ht="12.75" customHeight="1" x14ac:dyDescent="0.2">
      <c r="B69" s="802" t="s">
        <v>180</v>
      </c>
      <c r="C69" s="821" t="s">
        <v>181</v>
      </c>
      <c r="D69" s="823" t="s">
        <v>182</v>
      </c>
      <c r="E69" s="824"/>
      <c r="F69" s="824"/>
      <c r="G69" s="73">
        <f>+O43</f>
        <v>130000</v>
      </c>
      <c r="H69" s="74">
        <f t="shared" ref="H69:H77" si="13">+G69</f>
        <v>130000</v>
      </c>
      <c r="I69" s="63"/>
      <c r="J69" s="75" t="s">
        <v>183</v>
      </c>
      <c r="K69" s="58"/>
      <c r="L69" s="58"/>
      <c r="M69" s="58"/>
      <c r="N69" s="58"/>
      <c r="O69" s="76"/>
      <c r="Q69" s="59"/>
      <c r="R69" s="59"/>
      <c r="S69" s="59"/>
    </row>
    <row r="70" spans="2:19" ht="12.75" customHeight="1" x14ac:dyDescent="0.2">
      <c r="B70" s="803"/>
      <c r="C70" s="822"/>
      <c r="D70" s="782" t="s">
        <v>184</v>
      </c>
      <c r="E70" s="783"/>
      <c r="F70" s="783"/>
      <c r="G70" s="77">
        <f>+O47</f>
        <v>0</v>
      </c>
      <c r="H70" s="78">
        <f t="shared" si="13"/>
        <v>0</v>
      </c>
      <c r="I70" s="63"/>
      <c r="J70" s="79"/>
      <c r="K70" s="759"/>
      <c r="L70" s="759"/>
      <c r="M70" s="759"/>
      <c r="N70" s="759"/>
      <c r="O70" s="69"/>
      <c r="Q70" s="59"/>
      <c r="R70" s="59"/>
      <c r="S70" s="59"/>
    </row>
    <row r="71" spans="2:19" ht="12.75" customHeight="1" x14ac:dyDescent="0.2">
      <c r="B71" s="803"/>
      <c r="C71" s="822"/>
      <c r="D71" s="819" t="s">
        <v>185</v>
      </c>
      <c r="E71" s="820"/>
      <c r="F71" s="820"/>
      <c r="G71" s="750">
        <f>O40</f>
        <v>720</v>
      </c>
      <c r="H71" s="78">
        <f t="shared" si="13"/>
        <v>720</v>
      </c>
      <c r="I71" s="63"/>
      <c r="J71" s="758"/>
      <c r="K71" s="759"/>
      <c r="L71" s="759"/>
      <c r="M71" s="759"/>
      <c r="N71" s="759"/>
      <c r="O71" s="69"/>
    </row>
    <row r="72" spans="2:19" x14ac:dyDescent="0.2">
      <c r="B72" s="803"/>
      <c r="C72" s="822"/>
      <c r="D72" s="782" t="s">
        <v>186</v>
      </c>
      <c r="E72" s="783"/>
      <c r="F72" s="783"/>
      <c r="G72" s="761">
        <v>0</v>
      </c>
      <c r="H72" s="78">
        <f t="shared" si="13"/>
        <v>0</v>
      </c>
      <c r="I72" s="63"/>
      <c r="J72" s="82" t="s">
        <v>187</v>
      </c>
      <c r="K72" s="71"/>
      <c r="L72" s="71"/>
      <c r="M72" s="71"/>
      <c r="N72" s="71"/>
      <c r="O72" s="72"/>
    </row>
    <row r="73" spans="2:19" ht="12.75" customHeight="1" x14ac:dyDescent="0.2">
      <c r="B73" s="803"/>
      <c r="C73" s="822"/>
      <c r="D73" s="784" t="s">
        <v>188</v>
      </c>
      <c r="E73" s="783"/>
      <c r="F73" s="783"/>
      <c r="G73" s="750">
        <v>0</v>
      </c>
      <c r="H73" s="78">
        <f t="shared" si="13"/>
        <v>0</v>
      </c>
      <c r="I73" s="63"/>
      <c r="J73" s="75" t="s">
        <v>189</v>
      </c>
      <c r="K73" s="50"/>
      <c r="L73" s="50"/>
      <c r="M73" s="50"/>
      <c r="N73" s="50"/>
      <c r="O73" s="83">
        <f>O42</f>
        <v>0</v>
      </c>
    </row>
    <row r="74" spans="2:19" ht="14.25" customHeight="1" x14ac:dyDescent="0.2">
      <c r="B74" s="803"/>
      <c r="C74" s="822"/>
      <c r="D74" s="782" t="s">
        <v>190</v>
      </c>
      <c r="E74" s="783"/>
      <c r="F74" s="783"/>
      <c r="G74" s="84">
        <v>0</v>
      </c>
      <c r="H74" s="78">
        <f t="shared" si="13"/>
        <v>0</v>
      </c>
      <c r="I74" s="63"/>
      <c r="J74" s="75"/>
      <c r="K74" s="39"/>
      <c r="L74" s="39"/>
      <c r="M74" s="39"/>
      <c r="N74" s="39"/>
      <c r="O74" s="65"/>
    </row>
    <row r="75" spans="2:19" x14ac:dyDescent="0.2">
      <c r="B75" s="803"/>
      <c r="C75" s="822"/>
      <c r="D75" s="782" t="s">
        <v>191</v>
      </c>
      <c r="E75" s="783"/>
      <c r="F75" s="783"/>
      <c r="G75" s="761">
        <v>76821</v>
      </c>
      <c r="H75" s="78">
        <f t="shared" si="13"/>
        <v>76821</v>
      </c>
      <c r="I75" s="58"/>
      <c r="J75" s="137"/>
      <c r="K75" s="50"/>
      <c r="L75" s="50"/>
      <c r="M75" s="50"/>
      <c r="N75" s="50"/>
      <c r="O75" s="83"/>
    </row>
    <row r="76" spans="2:19" x14ac:dyDescent="0.2">
      <c r="B76" s="803"/>
      <c r="C76" s="88" t="s">
        <v>192</v>
      </c>
      <c r="D76" s="813" t="s">
        <v>193</v>
      </c>
      <c r="E76" s="814"/>
      <c r="F76" s="814"/>
      <c r="G76" s="750">
        <v>0</v>
      </c>
      <c r="H76" s="78">
        <f t="shared" si="13"/>
        <v>0</v>
      </c>
      <c r="I76" s="58"/>
      <c r="J76" s="79"/>
      <c r="K76" s="39"/>
      <c r="L76" s="39"/>
      <c r="M76" s="39"/>
      <c r="N76" s="39"/>
      <c r="O76" s="65"/>
    </row>
    <row r="77" spans="2:19" ht="13.5" customHeight="1" thickBot="1" x14ac:dyDescent="0.25">
      <c r="B77" s="803"/>
      <c r="C77" s="88" t="s">
        <v>194</v>
      </c>
      <c r="D77" s="815" t="s">
        <v>195</v>
      </c>
      <c r="E77" s="815"/>
      <c r="F77" s="815"/>
      <c r="G77" s="89">
        <v>0</v>
      </c>
      <c r="H77" s="90">
        <f t="shared" si="13"/>
        <v>0</v>
      </c>
      <c r="I77" s="63"/>
      <c r="J77" s="758"/>
      <c r="K77" s="759"/>
      <c r="L77" s="759"/>
      <c r="M77" s="91"/>
      <c r="N77" s="91"/>
      <c r="O77" s="92"/>
    </row>
    <row r="78" spans="2:19" ht="13.5" thickBot="1" x14ac:dyDescent="0.25">
      <c r="B78" s="803"/>
      <c r="C78" s="93"/>
      <c r="D78" s="94"/>
      <c r="E78" s="816" t="s">
        <v>117</v>
      </c>
      <c r="F78" s="817"/>
      <c r="G78" s="95">
        <f>SUM(G69:G77)</f>
        <v>207541</v>
      </c>
      <c r="H78" s="96">
        <f>IF(SUM(G69:G75)&lt;150000,SUM(G69:G75),150000)+IF(+G76&lt;20000,+G76,20000)</f>
        <v>150000</v>
      </c>
      <c r="I78" s="63"/>
      <c r="J78" s="140"/>
      <c r="K78" s="757"/>
      <c r="L78" s="757"/>
      <c r="M78" s="142"/>
      <c r="N78" s="142"/>
      <c r="O78" s="143"/>
    </row>
    <row r="79" spans="2:19" ht="12.75" customHeight="1" x14ac:dyDescent="0.2">
      <c r="B79" s="803"/>
      <c r="C79" s="100" t="s">
        <v>196</v>
      </c>
      <c r="D79" s="782" t="s">
        <v>187</v>
      </c>
      <c r="E79" s="783"/>
      <c r="F79" s="818"/>
      <c r="G79" s="73">
        <v>4971</v>
      </c>
      <c r="H79" s="101">
        <f>+IF(+G79&lt;25000,+G79,25000)</f>
        <v>4971</v>
      </c>
      <c r="I79" s="87"/>
    </row>
    <row r="80" spans="2:19" x14ac:dyDescent="0.2">
      <c r="B80" s="803"/>
      <c r="C80" s="100" t="s">
        <v>197</v>
      </c>
      <c r="D80" s="784" t="s">
        <v>198</v>
      </c>
      <c r="E80" s="785"/>
      <c r="F80" s="786"/>
      <c r="G80" s="102"/>
      <c r="H80" s="103">
        <f>+IF(+G80&lt;40000,+G80,40000)</f>
        <v>0</v>
      </c>
      <c r="I80" s="63"/>
    </row>
    <row r="81" spans="2:21" x14ac:dyDescent="0.2">
      <c r="B81" s="803"/>
      <c r="C81" s="100" t="s">
        <v>199</v>
      </c>
      <c r="D81" s="784" t="s">
        <v>200</v>
      </c>
      <c r="E81" s="785"/>
      <c r="F81" s="786"/>
      <c r="G81" s="761"/>
      <c r="H81" s="104">
        <v>0</v>
      </c>
      <c r="I81" s="63"/>
      <c r="J81" s="106"/>
    </row>
    <row r="82" spans="2:21" x14ac:dyDescent="0.2">
      <c r="B82" s="803"/>
      <c r="C82" s="100" t="s">
        <v>201</v>
      </c>
      <c r="D82" s="784" t="s">
        <v>202</v>
      </c>
      <c r="E82" s="785"/>
      <c r="F82" s="786"/>
      <c r="G82" s="761"/>
      <c r="H82" s="104">
        <v>0</v>
      </c>
      <c r="I82" s="63"/>
    </row>
    <row r="83" spans="2:21" ht="13.5" thickBot="1" x14ac:dyDescent="0.25">
      <c r="B83" s="804"/>
      <c r="C83" s="100" t="s">
        <v>203</v>
      </c>
      <c r="D83" s="784" t="s">
        <v>204</v>
      </c>
      <c r="E83" s="785"/>
      <c r="F83" s="786"/>
      <c r="G83" s="102"/>
      <c r="H83" s="103">
        <f>+IF(+G83&lt;100000,+G83,10000)</f>
        <v>0</v>
      </c>
      <c r="I83" s="63"/>
    </row>
    <row r="84" spans="2:21" ht="13.5" thickBot="1" x14ac:dyDescent="0.25">
      <c r="B84" s="787" t="s">
        <v>205</v>
      </c>
      <c r="C84" s="788"/>
      <c r="D84" s="788"/>
      <c r="E84" s="788"/>
      <c r="F84" s="788"/>
      <c r="G84" s="107">
        <f>SUM(G79:G83)</f>
        <v>4971</v>
      </c>
      <c r="H84" s="108">
        <f>SUM(H78:H83)</f>
        <v>154971</v>
      </c>
    </row>
    <row r="85" spans="2:21" ht="13.5" thickBot="1" x14ac:dyDescent="0.25"/>
    <row r="86" spans="2:21" ht="13.5" thickBot="1" x14ac:dyDescent="0.25">
      <c r="B86" s="789" t="s">
        <v>206</v>
      </c>
      <c r="C86" s="790"/>
      <c r="D86" s="790"/>
      <c r="E86" s="790"/>
      <c r="F86" s="791"/>
      <c r="G86" s="792">
        <f>+G65-H84</f>
        <v>844716</v>
      </c>
      <c r="H86" s="791"/>
      <c r="J86" s="109">
        <f>C37+D37+E37+F37</f>
        <v>373799</v>
      </c>
      <c r="K86" s="16" t="s">
        <v>235</v>
      </c>
      <c r="T86" s="16">
        <v>85500</v>
      </c>
    </row>
    <row r="87" spans="2:21" x14ac:dyDescent="0.2">
      <c r="B87" s="110"/>
      <c r="F87" s="105"/>
      <c r="J87" s="109">
        <f>G37+H37+I37</f>
        <v>250258</v>
      </c>
      <c r="K87" s="16" t="s">
        <v>236</v>
      </c>
    </row>
    <row r="88" spans="2:21" x14ac:dyDescent="0.2">
      <c r="C88" s="793" t="s">
        <v>207</v>
      </c>
      <c r="D88" s="794"/>
      <c r="E88" s="111" t="s">
        <v>208</v>
      </c>
      <c r="F88" s="111" t="s">
        <v>209</v>
      </c>
      <c r="G88" s="111" t="s">
        <v>210</v>
      </c>
      <c r="H88" s="111" t="s">
        <v>211</v>
      </c>
      <c r="J88" s="109">
        <f>J37+K37+L37</f>
        <v>254294</v>
      </c>
      <c r="K88" s="47" t="s">
        <v>237</v>
      </c>
    </row>
    <row r="89" spans="2:21" x14ac:dyDescent="0.2">
      <c r="C89" s="795" t="str">
        <f>IF(I6="M","0          - 250000","0          -  250000")</f>
        <v>0          - 250000</v>
      </c>
      <c r="D89" s="796"/>
      <c r="E89" s="112">
        <v>0</v>
      </c>
      <c r="F89" s="113">
        <f>IF(I6="M",(IF(G86&lt;250000,G86,250000)),(IF(G86&lt;250000,G86,250000)))</f>
        <v>250000</v>
      </c>
      <c r="G89" s="113">
        <f>G86-F89</f>
        <v>594716</v>
      </c>
      <c r="H89" s="113">
        <f>E89*F89</f>
        <v>0</v>
      </c>
      <c r="J89" s="16">
        <f>M37+N37</f>
        <v>194048</v>
      </c>
      <c r="K89" s="1" t="s">
        <v>238</v>
      </c>
      <c r="L89" s="16">
        <f>+J89/2</f>
        <v>97024</v>
      </c>
    </row>
    <row r="90" spans="2:21" x14ac:dyDescent="0.2">
      <c r="C90" s="795" t="str">
        <f>IF(I6="M","250001 - 500000","250001-500000")</f>
        <v>250001 - 500000</v>
      </c>
      <c r="D90" s="796"/>
      <c r="E90" s="112">
        <v>0.05</v>
      </c>
      <c r="F90" s="113">
        <f>IF(I6="M",(IF(G88&lt;250000,G88,250000)),(IF(G88&lt;250000,G88,250000)))</f>
        <v>250000</v>
      </c>
      <c r="G90" s="113">
        <f>G89-F90</f>
        <v>344716</v>
      </c>
      <c r="H90" s="114">
        <f>ROUND(E90*F90,0.1)</f>
        <v>12500</v>
      </c>
      <c r="J90" s="115">
        <f>SUM(J86:J89)</f>
        <v>1072399</v>
      </c>
    </row>
    <row r="91" spans="2:21" x14ac:dyDescent="0.2">
      <c r="C91" s="797" t="s">
        <v>212</v>
      </c>
      <c r="D91" s="798"/>
      <c r="E91" s="112">
        <v>0.2</v>
      </c>
      <c r="F91" s="113">
        <f>IF(G90&lt;500000,G90,500000)</f>
        <v>344716</v>
      </c>
      <c r="G91" s="113">
        <f>G90-F91</f>
        <v>0</v>
      </c>
      <c r="H91" s="114">
        <f>ROUND(E91*F91,0.1)</f>
        <v>68943</v>
      </c>
      <c r="J91" s="16">
        <f>+G86</f>
        <v>844716</v>
      </c>
    </row>
    <row r="92" spans="2:21" x14ac:dyDescent="0.2">
      <c r="C92" s="795" t="s">
        <v>213</v>
      </c>
      <c r="D92" s="796"/>
      <c r="E92" s="112">
        <v>0.3</v>
      </c>
      <c r="F92" s="113">
        <f>G91</f>
        <v>0</v>
      </c>
      <c r="G92" s="113">
        <f>G91-F92</f>
        <v>0</v>
      </c>
      <c r="H92" s="114">
        <f>ROUND(E92*F92,0.1)</f>
        <v>0</v>
      </c>
      <c r="J92" s="16">
        <f>+J90-J91</f>
        <v>227683</v>
      </c>
    </row>
    <row r="93" spans="2:21" ht="12.75" customHeight="1" thickBot="1" x14ac:dyDescent="0.25">
      <c r="B93" s="116"/>
      <c r="C93" s="117"/>
      <c r="D93" s="47"/>
      <c r="E93" s="47"/>
      <c r="F93" s="47"/>
      <c r="J93" s="87"/>
      <c r="K93" s="118"/>
      <c r="O93" s="156" t="s">
        <v>257</v>
      </c>
    </row>
    <row r="94" spans="2:21" ht="13.5" thickBot="1" x14ac:dyDescent="0.25">
      <c r="B94" s="799" t="s">
        <v>239</v>
      </c>
      <c r="C94" s="800"/>
      <c r="D94" s="800"/>
      <c r="E94" s="800"/>
      <c r="F94" s="801"/>
      <c r="G94" s="771">
        <f>H89+H90+H91+H92</f>
        <v>81443</v>
      </c>
      <c r="H94" s="772"/>
      <c r="J94" s="87"/>
      <c r="K94" s="87"/>
      <c r="O94" s="1" t="s">
        <v>347</v>
      </c>
      <c r="T94" s="16">
        <f>(O9+O10+O11)*50%</f>
        <v>445840</v>
      </c>
    </row>
    <row r="95" spans="2:21" ht="13.5" thickBot="1" x14ac:dyDescent="0.25">
      <c r="B95" s="119" t="s">
        <v>215</v>
      </c>
      <c r="C95" s="120"/>
      <c r="D95" s="120"/>
      <c r="E95" s="120"/>
      <c r="F95" s="120"/>
      <c r="G95" s="884">
        <f>IF((G65&lt;500000),5000,0)</f>
        <v>0</v>
      </c>
      <c r="H95" s="885">
        <f>IF(H93&lt;200000,0,IF(H93&lt;220000,((H93-200000)*10%),IF(H93&lt;=500000,2000,IF(H93&gt;=500000,0))))</f>
        <v>0</v>
      </c>
      <c r="J95" s="1"/>
      <c r="K95" s="121"/>
      <c r="L95" s="121"/>
      <c r="O95" s="1" t="s">
        <v>348</v>
      </c>
      <c r="T95" s="16">
        <f>O19</f>
        <v>88960</v>
      </c>
    </row>
    <row r="96" spans="2:21" ht="13.5" thickBot="1" x14ac:dyDescent="0.25">
      <c r="B96" s="762" t="s">
        <v>216</v>
      </c>
      <c r="C96" s="123"/>
      <c r="D96" s="123"/>
      <c r="E96" s="123"/>
      <c r="F96" s="123"/>
      <c r="G96" s="771">
        <f>IF((G94-G95)&lt;0,0,(G94-G95))</f>
        <v>81443</v>
      </c>
      <c r="H96" s="772"/>
      <c r="I96" s="37"/>
      <c r="O96" s="16" t="s">
        <v>261</v>
      </c>
      <c r="T96" s="16">
        <f>ROUND((150000)-(+O9+O10+O11)*10%,0.1)</f>
        <v>60832</v>
      </c>
      <c r="U96" s="1"/>
    </row>
    <row r="97" spans="2:20" ht="13.5" thickBot="1" x14ac:dyDescent="0.25">
      <c r="B97" s="773" t="s">
        <v>473</v>
      </c>
      <c r="C97" s="774"/>
      <c r="D97" s="774"/>
      <c r="E97" s="774"/>
      <c r="F97" s="775"/>
      <c r="G97" s="776">
        <f>ROUND((IF(G96&gt;0,(G96*4%),0)),0)</f>
        <v>3258</v>
      </c>
      <c r="H97" s="777"/>
      <c r="I97" s="37"/>
    </row>
    <row r="98" spans="2:20" ht="13.5" thickBot="1" x14ac:dyDescent="0.25">
      <c r="B98" s="778" t="s">
        <v>218</v>
      </c>
      <c r="C98" s="779"/>
      <c r="D98" s="779"/>
      <c r="E98" s="779"/>
      <c r="F98" s="779"/>
      <c r="G98" s="780">
        <f>G96+G97</f>
        <v>84701</v>
      </c>
      <c r="H98" s="781"/>
      <c r="I98" s="121"/>
      <c r="O98" s="157" t="s">
        <v>262</v>
      </c>
      <c r="P98" s="87"/>
      <c r="Q98" s="87"/>
      <c r="T98" s="16">
        <v>54074</v>
      </c>
    </row>
    <row r="99" spans="2:20" ht="13.5" thickBot="1" x14ac:dyDescent="0.25">
      <c r="B99" s="765" t="s">
        <v>219</v>
      </c>
      <c r="C99" s="766"/>
      <c r="D99" s="766"/>
      <c r="E99" s="766"/>
      <c r="F99" s="766"/>
      <c r="G99" s="767">
        <f>O38</f>
        <v>84706</v>
      </c>
      <c r="H99" s="768"/>
      <c r="I99" s="121"/>
    </row>
    <row r="100" spans="2:20" ht="13.5" thickBot="1" x14ac:dyDescent="0.25">
      <c r="B100" s="765" t="str">
        <f>IF(G100&gt;0,"TAX PAYABLE","TAX REFUND")</f>
        <v>TAX REFUND</v>
      </c>
      <c r="C100" s="766"/>
      <c r="D100" s="766"/>
      <c r="E100" s="766"/>
      <c r="F100" s="766"/>
      <c r="G100" s="767">
        <f>+G98-G99</f>
        <v>-5</v>
      </c>
      <c r="H100" s="768"/>
      <c r="I100" s="37"/>
      <c r="O100" s="16" t="s">
        <v>715</v>
      </c>
      <c r="Q100" s="16" t="s">
        <v>716</v>
      </c>
      <c r="R100" s="16">
        <v>11000</v>
      </c>
    </row>
    <row r="101" spans="2:20" x14ac:dyDescent="0.2">
      <c r="C101" s="124"/>
      <c r="D101" s="754"/>
      <c r="E101" s="118"/>
      <c r="F101" s="118"/>
      <c r="G101" s="118"/>
      <c r="H101" s="118"/>
      <c r="I101" s="125"/>
      <c r="O101" s="16" t="s">
        <v>717</v>
      </c>
      <c r="Q101" s="16" t="s">
        <v>718</v>
      </c>
      <c r="R101" s="16">
        <v>84000</v>
      </c>
    </row>
    <row r="102" spans="2:20" x14ac:dyDescent="0.2">
      <c r="C102" s="47"/>
      <c r="D102" s="50"/>
      <c r="E102" s="117"/>
      <c r="F102" s="47"/>
      <c r="G102" s="47"/>
      <c r="H102" s="47"/>
      <c r="I102" s="125"/>
      <c r="O102" s="16" t="s">
        <v>719</v>
      </c>
      <c r="Q102" s="16" t="s">
        <v>720</v>
      </c>
      <c r="R102" s="16">
        <v>55000</v>
      </c>
    </row>
    <row r="103" spans="2:20" x14ac:dyDescent="0.2">
      <c r="C103" s="39"/>
      <c r="D103" s="760"/>
      <c r="E103" s="760"/>
      <c r="F103" s="760"/>
      <c r="G103" s="39"/>
      <c r="H103" s="39"/>
      <c r="I103" s="37"/>
    </row>
    <row r="104" spans="2:20" x14ac:dyDescent="0.2">
      <c r="C104" s="39"/>
      <c r="D104" s="760"/>
      <c r="E104" s="760"/>
      <c r="F104" s="39"/>
      <c r="G104" s="39"/>
      <c r="H104" s="39"/>
      <c r="I104" s="37"/>
    </row>
    <row r="105" spans="2:20" x14ac:dyDescent="0.2">
      <c r="C105" s="39"/>
      <c r="D105" s="760"/>
      <c r="E105" s="760"/>
      <c r="F105" s="39"/>
      <c r="G105" s="39"/>
      <c r="H105" s="39"/>
      <c r="I105" s="37"/>
    </row>
    <row r="106" spans="2:20" x14ac:dyDescent="0.2">
      <c r="C106" s="39"/>
      <c r="D106" s="39"/>
      <c r="E106" s="39"/>
      <c r="F106" s="39"/>
      <c r="G106" s="39"/>
      <c r="H106" s="39"/>
      <c r="I106" s="37"/>
    </row>
    <row r="107" spans="2:20" x14ac:dyDescent="0.2">
      <c r="C107" s="39"/>
      <c r="D107" s="39"/>
      <c r="E107" s="39"/>
      <c r="F107" s="39"/>
      <c r="G107" s="39"/>
      <c r="H107" s="39"/>
    </row>
    <row r="108" spans="2:20" x14ac:dyDescent="0.2">
      <c r="C108" s="39"/>
      <c r="D108" s="39"/>
      <c r="E108" s="39"/>
      <c r="F108" s="39"/>
      <c r="G108" s="39"/>
      <c r="H108"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65:F65"/>
    <mergeCell ref="G65:H65"/>
    <mergeCell ref="G56:H56"/>
    <mergeCell ref="J56:L56"/>
    <mergeCell ref="M56:O56"/>
    <mergeCell ref="D58:F58"/>
    <mergeCell ref="G58:H58"/>
    <mergeCell ref="B60:F60"/>
    <mergeCell ref="G60:H60"/>
    <mergeCell ref="J60:O60"/>
    <mergeCell ref="B55:B58"/>
    <mergeCell ref="C55:C58"/>
    <mergeCell ref="D55:F55"/>
    <mergeCell ref="G55:H55"/>
    <mergeCell ref="D56:F56"/>
    <mergeCell ref="B62:F62"/>
    <mergeCell ref="G62:H62"/>
    <mergeCell ref="C63:F63"/>
    <mergeCell ref="G63:H63"/>
    <mergeCell ref="J63:O63"/>
    <mergeCell ref="D81:F81"/>
    <mergeCell ref="J68:K68"/>
    <mergeCell ref="B69:B83"/>
    <mergeCell ref="C69:C75"/>
    <mergeCell ref="D69:F69"/>
    <mergeCell ref="D70:F70"/>
    <mergeCell ref="D71:F71"/>
    <mergeCell ref="D72:F72"/>
    <mergeCell ref="D73:F73"/>
    <mergeCell ref="D74:F74"/>
    <mergeCell ref="D75:F75"/>
    <mergeCell ref="D76:F76"/>
    <mergeCell ref="D77:F77"/>
    <mergeCell ref="E78:F78"/>
    <mergeCell ref="D79:F79"/>
    <mergeCell ref="D80:F80"/>
    <mergeCell ref="G94:H94"/>
    <mergeCell ref="D82:F82"/>
    <mergeCell ref="D83:F83"/>
    <mergeCell ref="B84:F84"/>
    <mergeCell ref="B86:F86"/>
    <mergeCell ref="G86:H86"/>
    <mergeCell ref="C88:D88"/>
    <mergeCell ref="C89:D89"/>
    <mergeCell ref="C90:D90"/>
    <mergeCell ref="C91:D91"/>
    <mergeCell ref="C92:D92"/>
    <mergeCell ref="B94:F94"/>
    <mergeCell ref="B99:F99"/>
    <mergeCell ref="G99:H99"/>
    <mergeCell ref="B100:F100"/>
    <mergeCell ref="G100:H100"/>
    <mergeCell ref="G95:H95"/>
    <mergeCell ref="G96:H96"/>
    <mergeCell ref="B97:F97"/>
    <mergeCell ref="G97:H97"/>
    <mergeCell ref="B98:F98"/>
    <mergeCell ref="G98:H98"/>
  </mergeCells>
  <conditionalFormatting sqref="B100:F100 B94:F98">
    <cfRule type="cellIs" dxfId="43" priority="1" stopIfTrue="1" operator="equal">
      <formula>"TAX PAYABLE"</formula>
    </cfRule>
    <cfRule type="cellIs" dxfId="42" priority="2" stopIfTrue="1" operator="equal">
      <formula>"TAX REFUND"</formula>
    </cfRule>
  </conditionalFormatting>
  <conditionalFormatting sqref="G100:H100">
    <cfRule type="cellIs" dxfId="41" priority="3" stopIfTrue="1" operator="greaterThan">
      <formula>0</formula>
    </cfRule>
    <cfRule type="cellIs" dxfId="40" priority="4" stopIfTrue="1" operator="lessThanOrEqual">
      <formula>0</formula>
    </cfRule>
  </conditionalFormatting>
  <conditionalFormatting sqref="G95:H95">
    <cfRule type="cellIs" dxfId="39" priority="5" stopIfTrue="1" operator="lessThan">
      <formula>0</formula>
    </cfRule>
    <cfRule type="cellIs" dxfId="38" priority="6" stopIfTrue="1" operator="greaterThan">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$Q$8:$Q$9</formula1>
    </dataValidation>
  </dataValidations>
  <pageMargins left="0.75" right="0.75" top="1" bottom="1" header="0.5" footer="0.5"/>
  <headerFooter alignWithMargins="0"/>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9"/>
  <sheetViews>
    <sheetView workbookViewId="0">
      <selection sqref="A1:XFD1048576"/>
    </sheetView>
  </sheetViews>
  <sheetFormatPr defaultRowHeight="12.75" x14ac:dyDescent="0.2"/>
  <cols>
    <col min="1" max="1" width="5" style="504" customWidth="1"/>
    <col min="2" max="2" width="16.5703125" style="527" customWidth="1"/>
    <col min="3" max="3" width="8.28515625" style="504" customWidth="1"/>
    <col min="4" max="4" width="8.42578125" style="504" customWidth="1"/>
    <col min="5" max="5" width="8.5703125" style="504" bestFit="1" customWidth="1"/>
    <col min="6" max="8" width="8.7109375" style="504" customWidth="1"/>
    <col min="9" max="15" width="8" style="504" customWidth="1"/>
    <col min="16" max="20" width="9.140625" style="504"/>
    <col min="21" max="21" width="12.42578125" style="504" customWidth="1"/>
    <col min="22" max="22" width="9.140625" style="504"/>
    <col min="23" max="23" width="12" style="504" customWidth="1"/>
    <col min="24" max="256" width="9.140625" style="504"/>
    <col min="257" max="257" width="5" style="504" customWidth="1"/>
    <col min="258" max="258" width="16.5703125" style="504" customWidth="1"/>
    <col min="259" max="259" width="8.28515625" style="504" customWidth="1"/>
    <col min="260" max="260" width="8.42578125" style="504" customWidth="1"/>
    <col min="261" max="261" width="8.5703125" style="504" bestFit="1" customWidth="1"/>
    <col min="262" max="264" width="8.7109375" style="504" customWidth="1"/>
    <col min="265" max="271" width="8" style="504" customWidth="1"/>
    <col min="272" max="276" width="9.140625" style="504"/>
    <col min="277" max="277" width="12.42578125" style="504" customWidth="1"/>
    <col min="278" max="278" width="9.140625" style="504"/>
    <col min="279" max="279" width="12" style="504" customWidth="1"/>
    <col min="280" max="512" width="9.140625" style="504"/>
    <col min="513" max="513" width="5" style="504" customWidth="1"/>
    <col min="514" max="514" width="16.5703125" style="504" customWidth="1"/>
    <col min="515" max="515" width="8.28515625" style="504" customWidth="1"/>
    <col min="516" max="516" width="8.42578125" style="504" customWidth="1"/>
    <col min="517" max="517" width="8.5703125" style="504" bestFit="1" customWidth="1"/>
    <col min="518" max="520" width="8.7109375" style="504" customWidth="1"/>
    <col min="521" max="527" width="8" style="504" customWidth="1"/>
    <col min="528" max="532" width="9.140625" style="504"/>
    <col min="533" max="533" width="12.42578125" style="504" customWidth="1"/>
    <col min="534" max="534" width="9.140625" style="504"/>
    <col min="535" max="535" width="12" style="504" customWidth="1"/>
    <col min="536" max="768" width="9.140625" style="504"/>
    <col min="769" max="769" width="5" style="504" customWidth="1"/>
    <col min="770" max="770" width="16.5703125" style="504" customWidth="1"/>
    <col min="771" max="771" width="8.28515625" style="504" customWidth="1"/>
    <col min="772" max="772" width="8.42578125" style="504" customWidth="1"/>
    <col min="773" max="773" width="8.5703125" style="504" bestFit="1" customWidth="1"/>
    <col min="774" max="776" width="8.7109375" style="504" customWidth="1"/>
    <col min="777" max="783" width="8" style="504" customWidth="1"/>
    <col min="784" max="788" width="9.140625" style="504"/>
    <col min="789" max="789" width="12.42578125" style="504" customWidth="1"/>
    <col min="790" max="790" width="9.140625" style="504"/>
    <col min="791" max="791" width="12" style="504" customWidth="1"/>
    <col min="792" max="1024" width="9.140625" style="504"/>
    <col min="1025" max="1025" width="5" style="504" customWidth="1"/>
    <col min="1026" max="1026" width="16.5703125" style="504" customWidth="1"/>
    <col min="1027" max="1027" width="8.28515625" style="504" customWidth="1"/>
    <col min="1028" max="1028" width="8.42578125" style="504" customWidth="1"/>
    <col min="1029" max="1029" width="8.5703125" style="504" bestFit="1" customWidth="1"/>
    <col min="1030" max="1032" width="8.7109375" style="504" customWidth="1"/>
    <col min="1033" max="1039" width="8" style="504" customWidth="1"/>
    <col min="1040" max="1044" width="9.140625" style="504"/>
    <col min="1045" max="1045" width="12.42578125" style="504" customWidth="1"/>
    <col min="1046" max="1046" width="9.140625" style="504"/>
    <col min="1047" max="1047" width="12" style="504" customWidth="1"/>
    <col min="1048" max="1280" width="9.140625" style="504"/>
    <col min="1281" max="1281" width="5" style="504" customWidth="1"/>
    <col min="1282" max="1282" width="16.5703125" style="504" customWidth="1"/>
    <col min="1283" max="1283" width="8.28515625" style="504" customWidth="1"/>
    <col min="1284" max="1284" width="8.42578125" style="504" customWidth="1"/>
    <col min="1285" max="1285" width="8.5703125" style="504" bestFit="1" customWidth="1"/>
    <col min="1286" max="1288" width="8.7109375" style="504" customWidth="1"/>
    <col min="1289" max="1295" width="8" style="504" customWidth="1"/>
    <col min="1296" max="1300" width="9.140625" style="504"/>
    <col min="1301" max="1301" width="12.42578125" style="504" customWidth="1"/>
    <col min="1302" max="1302" width="9.140625" style="504"/>
    <col min="1303" max="1303" width="12" style="504" customWidth="1"/>
    <col min="1304" max="1536" width="9.140625" style="504"/>
    <col min="1537" max="1537" width="5" style="504" customWidth="1"/>
    <col min="1538" max="1538" width="16.5703125" style="504" customWidth="1"/>
    <col min="1539" max="1539" width="8.28515625" style="504" customWidth="1"/>
    <col min="1540" max="1540" width="8.42578125" style="504" customWidth="1"/>
    <col min="1541" max="1541" width="8.5703125" style="504" bestFit="1" customWidth="1"/>
    <col min="1542" max="1544" width="8.7109375" style="504" customWidth="1"/>
    <col min="1545" max="1551" width="8" style="504" customWidth="1"/>
    <col min="1552" max="1556" width="9.140625" style="504"/>
    <col min="1557" max="1557" width="12.42578125" style="504" customWidth="1"/>
    <col min="1558" max="1558" width="9.140625" style="504"/>
    <col min="1559" max="1559" width="12" style="504" customWidth="1"/>
    <col min="1560" max="1792" width="9.140625" style="504"/>
    <col min="1793" max="1793" width="5" style="504" customWidth="1"/>
    <col min="1794" max="1794" width="16.5703125" style="504" customWidth="1"/>
    <col min="1795" max="1795" width="8.28515625" style="504" customWidth="1"/>
    <col min="1796" max="1796" width="8.42578125" style="504" customWidth="1"/>
    <col min="1797" max="1797" width="8.5703125" style="504" bestFit="1" customWidth="1"/>
    <col min="1798" max="1800" width="8.7109375" style="504" customWidth="1"/>
    <col min="1801" max="1807" width="8" style="504" customWidth="1"/>
    <col min="1808" max="1812" width="9.140625" style="504"/>
    <col min="1813" max="1813" width="12.42578125" style="504" customWidth="1"/>
    <col min="1814" max="1814" width="9.140625" style="504"/>
    <col min="1815" max="1815" width="12" style="504" customWidth="1"/>
    <col min="1816" max="2048" width="9.140625" style="504"/>
    <col min="2049" max="2049" width="5" style="504" customWidth="1"/>
    <col min="2050" max="2050" width="16.5703125" style="504" customWidth="1"/>
    <col min="2051" max="2051" width="8.28515625" style="504" customWidth="1"/>
    <col min="2052" max="2052" width="8.42578125" style="504" customWidth="1"/>
    <col min="2053" max="2053" width="8.5703125" style="504" bestFit="1" customWidth="1"/>
    <col min="2054" max="2056" width="8.7109375" style="504" customWidth="1"/>
    <col min="2057" max="2063" width="8" style="504" customWidth="1"/>
    <col min="2064" max="2068" width="9.140625" style="504"/>
    <col min="2069" max="2069" width="12.42578125" style="504" customWidth="1"/>
    <col min="2070" max="2070" width="9.140625" style="504"/>
    <col min="2071" max="2071" width="12" style="504" customWidth="1"/>
    <col min="2072" max="2304" width="9.140625" style="504"/>
    <col min="2305" max="2305" width="5" style="504" customWidth="1"/>
    <col min="2306" max="2306" width="16.5703125" style="504" customWidth="1"/>
    <col min="2307" max="2307" width="8.28515625" style="504" customWidth="1"/>
    <col min="2308" max="2308" width="8.42578125" style="504" customWidth="1"/>
    <col min="2309" max="2309" width="8.5703125" style="504" bestFit="1" customWidth="1"/>
    <col min="2310" max="2312" width="8.7109375" style="504" customWidth="1"/>
    <col min="2313" max="2319" width="8" style="504" customWidth="1"/>
    <col min="2320" max="2324" width="9.140625" style="504"/>
    <col min="2325" max="2325" width="12.42578125" style="504" customWidth="1"/>
    <col min="2326" max="2326" width="9.140625" style="504"/>
    <col min="2327" max="2327" width="12" style="504" customWidth="1"/>
    <col min="2328" max="2560" width="9.140625" style="504"/>
    <col min="2561" max="2561" width="5" style="504" customWidth="1"/>
    <col min="2562" max="2562" width="16.5703125" style="504" customWidth="1"/>
    <col min="2563" max="2563" width="8.28515625" style="504" customWidth="1"/>
    <col min="2564" max="2564" width="8.42578125" style="504" customWidth="1"/>
    <col min="2565" max="2565" width="8.5703125" style="504" bestFit="1" customWidth="1"/>
    <col min="2566" max="2568" width="8.7109375" style="504" customWidth="1"/>
    <col min="2569" max="2575" width="8" style="504" customWidth="1"/>
    <col min="2576" max="2580" width="9.140625" style="504"/>
    <col min="2581" max="2581" width="12.42578125" style="504" customWidth="1"/>
    <col min="2582" max="2582" width="9.140625" style="504"/>
    <col min="2583" max="2583" width="12" style="504" customWidth="1"/>
    <col min="2584" max="2816" width="9.140625" style="504"/>
    <col min="2817" max="2817" width="5" style="504" customWidth="1"/>
    <col min="2818" max="2818" width="16.5703125" style="504" customWidth="1"/>
    <col min="2819" max="2819" width="8.28515625" style="504" customWidth="1"/>
    <col min="2820" max="2820" width="8.42578125" style="504" customWidth="1"/>
    <col min="2821" max="2821" width="8.5703125" style="504" bestFit="1" customWidth="1"/>
    <col min="2822" max="2824" width="8.7109375" style="504" customWidth="1"/>
    <col min="2825" max="2831" width="8" style="504" customWidth="1"/>
    <col min="2832" max="2836" width="9.140625" style="504"/>
    <col min="2837" max="2837" width="12.42578125" style="504" customWidth="1"/>
    <col min="2838" max="2838" width="9.140625" style="504"/>
    <col min="2839" max="2839" width="12" style="504" customWidth="1"/>
    <col min="2840" max="3072" width="9.140625" style="504"/>
    <col min="3073" max="3073" width="5" style="504" customWidth="1"/>
    <col min="3074" max="3074" width="16.5703125" style="504" customWidth="1"/>
    <col min="3075" max="3075" width="8.28515625" style="504" customWidth="1"/>
    <col min="3076" max="3076" width="8.42578125" style="504" customWidth="1"/>
    <col min="3077" max="3077" width="8.5703125" style="504" bestFit="1" customWidth="1"/>
    <col min="3078" max="3080" width="8.7109375" style="504" customWidth="1"/>
    <col min="3081" max="3087" width="8" style="504" customWidth="1"/>
    <col min="3088" max="3092" width="9.140625" style="504"/>
    <col min="3093" max="3093" width="12.42578125" style="504" customWidth="1"/>
    <col min="3094" max="3094" width="9.140625" style="504"/>
    <col min="3095" max="3095" width="12" style="504" customWidth="1"/>
    <col min="3096" max="3328" width="9.140625" style="504"/>
    <col min="3329" max="3329" width="5" style="504" customWidth="1"/>
    <col min="3330" max="3330" width="16.5703125" style="504" customWidth="1"/>
    <col min="3331" max="3331" width="8.28515625" style="504" customWidth="1"/>
    <col min="3332" max="3332" width="8.42578125" style="504" customWidth="1"/>
    <col min="3333" max="3333" width="8.5703125" style="504" bestFit="1" customWidth="1"/>
    <col min="3334" max="3336" width="8.7109375" style="504" customWidth="1"/>
    <col min="3337" max="3343" width="8" style="504" customWidth="1"/>
    <col min="3344" max="3348" width="9.140625" style="504"/>
    <col min="3349" max="3349" width="12.42578125" style="504" customWidth="1"/>
    <col min="3350" max="3350" width="9.140625" style="504"/>
    <col min="3351" max="3351" width="12" style="504" customWidth="1"/>
    <col min="3352" max="3584" width="9.140625" style="504"/>
    <col min="3585" max="3585" width="5" style="504" customWidth="1"/>
    <col min="3586" max="3586" width="16.5703125" style="504" customWidth="1"/>
    <col min="3587" max="3587" width="8.28515625" style="504" customWidth="1"/>
    <col min="3588" max="3588" width="8.42578125" style="504" customWidth="1"/>
    <col min="3589" max="3589" width="8.5703125" style="504" bestFit="1" customWidth="1"/>
    <col min="3590" max="3592" width="8.7109375" style="504" customWidth="1"/>
    <col min="3593" max="3599" width="8" style="504" customWidth="1"/>
    <col min="3600" max="3604" width="9.140625" style="504"/>
    <col min="3605" max="3605" width="12.42578125" style="504" customWidth="1"/>
    <col min="3606" max="3606" width="9.140625" style="504"/>
    <col min="3607" max="3607" width="12" style="504" customWidth="1"/>
    <col min="3608" max="3840" width="9.140625" style="504"/>
    <col min="3841" max="3841" width="5" style="504" customWidth="1"/>
    <col min="3842" max="3842" width="16.5703125" style="504" customWidth="1"/>
    <col min="3843" max="3843" width="8.28515625" style="504" customWidth="1"/>
    <col min="3844" max="3844" width="8.42578125" style="504" customWidth="1"/>
    <col min="3845" max="3845" width="8.5703125" style="504" bestFit="1" customWidth="1"/>
    <col min="3846" max="3848" width="8.7109375" style="504" customWidth="1"/>
    <col min="3849" max="3855" width="8" style="504" customWidth="1"/>
    <col min="3856" max="3860" width="9.140625" style="504"/>
    <col min="3861" max="3861" width="12.42578125" style="504" customWidth="1"/>
    <col min="3862" max="3862" width="9.140625" style="504"/>
    <col min="3863" max="3863" width="12" style="504" customWidth="1"/>
    <col min="3864" max="4096" width="9.140625" style="504"/>
    <col min="4097" max="4097" width="5" style="504" customWidth="1"/>
    <col min="4098" max="4098" width="16.5703125" style="504" customWidth="1"/>
    <col min="4099" max="4099" width="8.28515625" style="504" customWidth="1"/>
    <col min="4100" max="4100" width="8.42578125" style="504" customWidth="1"/>
    <col min="4101" max="4101" width="8.5703125" style="504" bestFit="1" customWidth="1"/>
    <col min="4102" max="4104" width="8.7109375" style="504" customWidth="1"/>
    <col min="4105" max="4111" width="8" style="504" customWidth="1"/>
    <col min="4112" max="4116" width="9.140625" style="504"/>
    <col min="4117" max="4117" width="12.42578125" style="504" customWidth="1"/>
    <col min="4118" max="4118" width="9.140625" style="504"/>
    <col min="4119" max="4119" width="12" style="504" customWidth="1"/>
    <col min="4120" max="4352" width="9.140625" style="504"/>
    <col min="4353" max="4353" width="5" style="504" customWidth="1"/>
    <col min="4354" max="4354" width="16.5703125" style="504" customWidth="1"/>
    <col min="4355" max="4355" width="8.28515625" style="504" customWidth="1"/>
    <col min="4356" max="4356" width="8.42578125" style="504" customWidth="1"/>
    <col min="4357" max="4357" width="8.5703125" style="504" bestFit="1" customWidth="1"/>
    <col min="4358" max="4360" width="8.7109375" style="504" customWidth="1"/>
    <col min="4361" max="4367" width="8" style="504" customWidth="1"/>
    <col min="4368" max="4372" width="9.140625" style="504"/>
    <col min="4373" max="4373" width="12.42578125" style="504" customWidth="1"/>
    <col min="4374" max="4374" width="9.140625" style="504"/>
    <col min="4375" max="4375" width="12" style="504" customWidth="1"/>
    <col min="4376" max="4608" width="9.140625" style="504"/>
    <col min="4609" max="4609" width="5" style="504" customWidth="1"/>
    <col min="4610" max="4610" width="16.5703125" style="504" customWidth="1"/>
    <col min="4611" max="4611" width="8.28515625" style="504" customWidth="1"/>
    <col min="4612" max="4612" width="8.42578125" style="504" customWidth="1"/>
    <col min="4613" max="4613" width="8.5703125" style="504" bestFit="1" customWidth="1"/>
    <col min="4614" max="4616" width="8.7109375" style="504" customWidth="1"/>
    <col min="4617" max="4623" width="8" style="504" customWidth="1"/>
    <col min="4624" max="4628" width="9.140625" style="504"/>
    <col min="4629" max="4629" width="12.42578125" style="504" customWidth="1"/>
    <col min="4630" max="4630" width="9.140625" style="504"/>
    <col min="4631" max="4631" width="12" style="504" customWidth="1"/>
    <col min="4632" max="4864" width="9.140625" style="504"/>
    <col min="4865" max="4865" width="5" style="504" customWidth="1"/>
    <col min="4866" max="4866" width="16.5703125" style="504" customWidth="1"/>
    <col min="4867" max="4867" width="8.28515625" style="504" customWidth="1"/>
    <col min="4868" max="4868" width="8.42578125" style="504" customWidth="1"/>
    <col min="4869" max="4869" width="8.5703125" style="504" bestFit="1" customWidth="1"/>
    <col min="4870" max="4872" width="8.7109375" style="504" customWidth="1"/>
    <col min="4873" max="4879" width="8" style="504" customWidth="1"/>
    <col min="4880" max="4884" width="9.140625" style="504"/>
    <col min="4885" max="4885" width="12.42578125" style="504" customWidth="1"/>
    <col min="4886" max="4886" width="9.140625" style="504"/>
    <col min="4887" max="4887" width="12" style="504" customWidth="1"/>
    <col min="4888" max="5120" width="9.140625" style="504"/>
    <col min="5121" max="5121" width="5" style="504" customWidth="1"/>
    <col min="5122" max="5122" width="16.5703125" style="504" customWidth="1"/>
    <col min="5123" max="5123" width="8.28515625" style="504" customWidth="1"/>
    <col min="5124" max="5124" width="8.42578125" style="504" customWidth="1"/>
    <col min="5125" max="5125" width="8.5703125" style="504" bestFit="1" customWidth="1"/>
    <col min="5126" max="5128" width="8.7109375" style="504" customWidth="1"/>
    <col min="5129" max="5135" width="8" style="504" customWidth="1"/>
    <col min="5136" max="5140" width="9.140625" style="504"/>
    <col min="5141" max="5141" width="12.42578125" style="504" customWidth="1"/>
    <col min="5142" max="5142" width="9.140625" style="504"/>
    <col min="5143" max="5143" width="12" style="504" customWidth="1"/>
    <col min="5144" max="5376" width="9.140625" style="504"/>
    <col min="5377" max="5377" width="5" style="504" customWidth="1"/>
    <col min="5378" max="5378" width="16.5703125" style="504" customWidth="1"/>
    <col min="5379" max="5379" width="8.28515625" style="504" customWidth="1"/>
    <col min="5380" max="5380" width="8.42578125" style="504" customWidth="1"/>
    <col min="5381" max="5381" width="8.5703125" style="504" bestFit="1" customWidth="1"/>
    <col min="5382" max="5384" width="8.7109375" style="504" customWidth="1"/>
    <col min="5385" max="5391" width="8" style="504" customWidth="1"/>
    <col min="5392" max="5396" width="9.140625" style="504"/>
    <col min="5397" max="5397" width="12.42578125" style="504" customWidth="1"/>
    <col min="5398" max="5398" width="9.140625" style="504"/>
    <col min="5399" max="5399" width="12" style="504" customWidth="1"/>
    <col min="5400" max="5632" width="9.140625" style="504"/>
    <col min="5633" max="5633" width="5" style="504" customWidth="1"/>
    <col min="5634" max="5634" width="16.5703125" style="504" customWidth="1"/>
    <col min="5635" max="5635" width="8.28515625" style="504" customWidth="1"/>
    <col min="5636" max="5636" width="8.42578125" style="504" customWidth="1"/>
    <col min="5637" max="5637" width="8.5703125" style="504" bestFit="1" customWidth="1"/>
    <col min="5638" max="5640" width="8.7109375" style="504" customWidth="1"/>
    <col min="5641" max="5647" width="8" style="504" customWidth="1"/>
    <col min="5648" max="5652" width="9.140625" style="504"/>
    <col min="5653" max="5653" width="12.42578125" style="504" customWidth="1"/>
    <col min="5654" max="5654" width="9.140625" style="504"/>
    <col min="5655" max="5655" width="12" style="504" customWidth="1"/>
    <col min="5656" max="5888" width="9.140625" style="504"/>
    <col min="5889" max="5889" width="5" style="504" customWidth="1"/>
    <col min="5890" max="5890" width="16.5703125" style="504" customWidth="1"/>
    <col min="5891" max="5891" width="8.28515625" style="504" customWidth="1"/>
    <col min="5892" max="5892" width="8.42578125" style="504" customWidth="1"/>
    <col min="5893" max="5893" width="8.5703125" style="504" bestFit="1" customWidth="1"/>
    <col min="5894" max="5896" width="8.7109375" style="504" customWidth="1"/>
    <col min="5897" max="5903" width="8" style="504" customWidth="1"/>
    <col min="5904" max="5908" width="9.140625" style="504"/>
    <col min="5909" max="5909" width="12.42578125" style="504" customWidth="1"/>
    <col min="5910" max="5910" width="9.140625" style="504"/>
    <col min="5911" max="5911" width="12" style="504" customWidth="1"/>
    <col min="5912" max="6144" width="9.140625" style="504"/>
    <col min="6145" max="6145" width="5" style="504" customWidth="1"/>
    <col min="6146" max="6146" width="16.5703125" style="504" customWidth="1"/>
    <col min="6147" max="6147" width="8.28515625" style="504" customWidth="1"/>
    <col min="6148" max="6148" width="8.42578125" style="504" customWidth="1"/>
    <col min="6149" max="6149" width="8.5703125" style="504" bestFit="1" customWidth="1"/>
    <col min="6150" max="6152" width="8.7109375" style="504" customWidth="1"/>
    <col min="6153" max="6159" width="8" style="504" customWidth="1"/>
    <col min="6160" max="6164" width="9.140625" style="504"/>
    <col min="6165" max="6165" width="12.42578125" style="504" customWidth="1"/>
    <col min="6166" max="6166" width="9.140625" style="504"/>
    <col min="6167" max="6167" width="12" style="504" customWidth="1"/>
    <col min="6168" max="6400" width="9.140625" style="504"/>
    <col min="6401" max="6401" width="5" style="504" customWidth="1"/>
    <col min="6402" max="6402" width="16.5703125" style="504" customWidth="1"/>
    <col min="6403" max="6403" width="8.28515625" style="504" customWidth="1"/>
    <col min="6404" max="6404" width="8.42578125" style="504" customWidth="1"/>
    <col min="6405" max="6405" width="8.5703125" style="504" bestFit="1" customWidth="1"/>
    <col min="6406" max="6408" width="8.7109375" style="504" customWidth="1"/>
    <col min="6409" max="6415" width="8" style="504" customWidth="1"/>
    <col min="6416" max="6420" width="9.140625" style="504"/>
    <col min="6421" max="6421" width="12.42578125" style="504" customWidth="1"/>
    <col min="6422" max="6422" width="9.140625" style="504"/>
    <col min="6423" max="6423" width="12" style="504" customWidth="1"/>
    <col min="6424" max="6656" width="9.140625" style="504"/>
    <col min="6657" max="6657" width="5" style="504" customWidth="1"/>
    <col min="6658" max="6658" width="16.5703125" style="504" customWidth="1"/>
    <col min="6659" max="6659" width="8.28515625" style="504" customWidth="1"/>
    <col min="6660" max="6660" width="8.42578125" style="504" customWidth="1"/>
    <col min="6661" max="6661" width="8.5703125" style="504" bestFit="1" customWidth="1"/>
    <col min="6662" max="6664" width="8.7109375" style="504" customWidth="1"/>
    <col min="6665" max="6671" width="8" style="504" customWidth="1"/>
    <col min="6672" max="6676" width="9.140625" style="504"/>
    <col min="6677" max="6677" width="12.42578125" style="504" customWidth="1"/>
    <col min="6678" max="6678" width="9.140625" style="504"/>
    <col min="6679" max="6679" width="12" style="504" customWidth="1"/>
    <col min="6680" max="6912" width="9.140625" style="504"/>
    <col min="6913" max="6913" width="5" style="504" customWidth="1"/>
    <col min="6914" max="6914" width="16.5703125" style="504" customWidth="1"/>
    <col min="6915" max="6915" width="8.28515625" style="504" customWidth="1"/>
    <col min="6916" max="6916" width="8.42578125" style="504" customWidth="1"/>
    <col min="6917" max="6917" width="8.5703125" style="504" bestFit="1" customWidth="1"/>
    <col min="6918" max="6920" width="8.7109375" style="504" customWidth="1"/>
    <col min="6921" max="6927" width="8" style="504" customWidth="1"/>
    <col min="6928" max="6932" width="9.140625" style="504"/>
    <col min="6933" max="6933" width="12.42578125" style="504" customWidth="1"/>
    <col min="6934" max="6934" width="9.140625" style="504"/>
    <col min="6935" max="6935" width="12" style="504" customWidth="1"/>
    <col min="6936" max="7168" width="9.140625" style="504"/>
    <col min="7169" max="7169" width="5" style="504" customWidth="1"/>
    <col min="7170" max="7170" width="16.5703125" style="504" customWidth="1"/>
    <col min="7171" max="7171" width="8.28515625" style="504" customWidth="1"/>
    <col min="7172" max="7172" width="8.42578125" style="504" customWidth="1"/>
    <col min="7173" max="7173" width="8.5703125" style="504" bestFit="1" customWidth="1"/>
    <col min="7174" max="7176" width="8.7109375" style="504" customWidth="1"/>
    <col min="7177" max="7183" width="8" style="504" customWidth="1"/>
    <col min="7184" max="7188" width="9.140625" style="504"/>
    <col min="7189" max="7189" width="12.42578125" style="504" customWidth="1"/>
    <col min="7190" max="7190" width="9.140625" style="504"/>
    <col min="7191" max="7191" width="12" style="504" customWidth="1"/>
    <col min="7192" max="7424" width="9.140625" style="504"/>
    <col min="7425" max="7425" width="5" style="504" customWidth="1"/>
    <col min="7426" max="7426" width="16.5703125" style="504" customWidth="1"/>
    <col min="7427" max="7427" width="8.28515625" style="504" customWidth="1"/>
    <col min="7428" max="7428" width="8.42578125" style="504" customWidth="1"/>
    <col min="7429" max="7429" width="8.5703125" style="504" bestFit="1" customWidth="1"/>
    <col min="7430" max="7432" width="8.7109375" style="504" customWidth="1"/>
    <col min="7433" max="7439" width="8" style="504" customWidth="1"/>
    <col min="7440" max="7444" width="9.140625" style="504"/>
    <col min="7445" max="7445" width="12.42578125" style="504" customWidth="1"/>
    <col min="7446" max="7446" width="9.140625" style="504"/>
    <col min="7447" max="7447" width="12" style="504" customWidth="1"/>
    <col min="7448" max="7680" width="9.140625" style="504"/>
    <col min="7681" max="7681" width="5" style="504" customWidth="1"/>
    <col min="7682" max="7682" width="16.5703125" style="504" customWidth="1"/>
    <col min="7683" max="7683" width="8.28515625" style="504" customWidth="1"/>
    <col min="7684" max="7684" width="8.42578125" style="504" customWidth="1"/>
    <col min="7685" max="7685" width="8.5703125" style="504" bestFit="1" customWidth="1"/>
    <col min="7686" max="7688" width="8.7109375" style="504" customWidth="1"/>
    <col min="7689" max="7695" width="8" style="504" customWidth="1"/>
    <col min="7696" max="7700" width="9.140625" style="504"/>
    <col min="7701" max="7701" width="12.42578125" style="504" customWidth="1"/>
    <col min="7702" max="7702" width="9.140625" style="504"/>
    <col min="7703" max="7703" width="12" style="504" customWidth="1"/>
    <col min="7704" max="7936" width="9.140625" style="504"/>
    <col min="7937" max="7937" width="5" style="504" customWidth="1"/>
    <col min="7938" max="7938" width="16.5703125" style="504" customWidth="1"/>
    <col min="7939" max="7939" width="8.28515625" style="504" customWidth="1"/>
    <col min="7940" max="7940" width="8.42578125" style="504" customWidth="1"/>
    <col min="7941" max="7941" width="8.5703125" style="504" bestFit="1" customWidth="1"/>
    <col min="7942" max="7944" width="8.7109375" style="504" customWidth="1"/>
    <col min="7945" max="7951" width="8" style="504" customWidth="1"/>
    <col min="7952" max="7956" width="9.140625" style="504"/>
    <col min="7957" max="7957" width="12.42578125" style="504" customWidth="1"/>
    <col min="7958" max="7958" width="9.140625" style="504"/>
    <col min="7959" max="7959" width="12" style="504" customWidth="1"/>
    <col min="7960" max="8192" width="9.140625" style="504"/>
    <col min="8193" max="8193" width="5" style="504" customWidth="1"/>
    <col min="8194" max="8194" width="16.5703125" style="504" customWidth="1"/>
    <col min="8195" max="8195" width="8.28515625" style="504" customWidth="1"/>
    <col min="8196" max="8196" width="8.42578125" style="504" customWidth="1"/>
    <col min="8197" max="8197" width="8.5703125" style="504" bestFit="1" customWidth="1"/>
    <col min="8198" max="8200" width="8.7109375" style="504" customWidth="1"/>
    <col min="8201" max="8207" width="8" style="504" customWidth="1"/>
    <col min="8208" max="8212" width="9.140625" style="504"/>
    <col min="8213" max="8213" width="12.42578125" style="504" customWidth="1"/>
    <col min="8214" max="8214" width="9.140625" style="504"/>
    <col min="8215" max="8215" width="12" style="504" customWidth="1"/>
    <col min="8216" max="8448" width="9.140625" style="504"/>
    <col min="8449" max="8449" width="5" style="504" customWidth="1"/>
    <col min="8450" max="8450" width="16.5703125" style="504" customWidth="1"/>
    <col min="8451" max="8451" width="8.28515625" style="504" customWidth="1"/>
    <col min="8452" max="8452" width="8.42578125" style="504" customWidth="1"/>
    <col min="8453" max="8453" width="8.5703125" style="504" bestFit="1" customWidth="1"/>
    <col min="8454" max="8456" width="8.7109375" style="504" customWidth="1"/>
    <col min="8457" max="8463" width="8" style="504" customWidth="1"/>
    <col min="8464" max="8468" width="9.140625" style="504"/>
    <col min="8469" max="8469" width="12.42578125" style="504" customWidth="1"/>
    <col min="8470" max="8470" width="9.140625" style="504"/>
    <col min="8471" max="8471" width="12" style="504" customWidth="1"/>
    <col min="8472" max="8704" width="9.140625" style="504"/>
    <col min="8705" max="8705" width="5" style="504" customWidth="1"/>
    <col min="8706" max="8706" width="16.5703125" style="504" customWidth="1"/>
    <col min="8707" max="8707" width="8.28515625" style="504" customWidth="1"/>
    <col min="8708" max="8708" width="8.42578125" style="504" customWidth="1"/>
    <col min="8709" max="8709" width="8.5703125" style="504" bestFit="1" customWidth="1"/>
    <col min="8710" max="8712" width="8.7109375" style="504" customWidth="1"/>
    <col min="8713" max="8719" width="8" style="504" customWidth="1"/>
    <col min="8720" max="8724" width="9.140625" style="504"/>
    <col min="8725" max="8725" width="12.42578125" style="504" customWidth="1"/>
    <col min="8726" max="8726" width="9.140625" style="504"/>
    <col min="8727" max="8727" width="12" style="504" customWidth="1"/>
    <col min="8728" max="8960" width="9.140625" style="504"/>
    <col min="8961" max="8961" width="5" style="504" customWidth="1"/>
    <col min="8962" max="8962" width="16.5703125" style="504" customWidth="1"/>
    <col min="8963" max="8963" width="8.28515625" style="504" customWidth="1"/>
    <col min="8964" max="8964" width="8.42578125" style="504" customWidth="1"/>
    <col min="8965" max="8965" width="8.5703125" style="504" bestFit="1" customWidth="1"/>
    <col min="8966" max="8968" width="8.7109375" style="504" customWidth="1"/>
    <col min="8969" max="8975" width="8" style="504" customWidth="1"/>
    <col min="8976" max="8980" width="9.140625" style="504"/>
    <col min="8981" max="8981" width="12.42578125" style="504" customWidth="1"/>
    <col min="8982" max="8982" width="9.140625" style="504"/>
    <col min="8983" max="8983" width="12" style="504" customWidth="1"/>
    <col min="8984" max="9216" width="9.140625" style="504"/>
    <col min="9217" max="9217" width="5" style="504" customWidth="1"/>
    <col min="9218" max="9218" width="16.5703125" style="504" customWidth="1"/>
    <col min="9219" max="9219" width="8.28515625" style="504" customWidth="1"/>
    <col min="9220" max="9220" width="8.42578125" style="504" customWidth="1"/>
    <col min="9221" max="9221" width="8.5703125" style="504" bestFit="1" customWidth="1"/>
    <col min="9222" max="9224" width="8.7109375" style="504" customWidth="1"/>
    <col min="9225" max="9231" width="8" style="504" customWidth="1"/>
    <col min="9232" max="9236" width="9.140625" style="504"/>
    <col min="9237" max="9237" width="12.42578125" style="504" customWidth="1"/>
    <col min="9238" max="9238" width="9.140625" style="504"/>
    <col min="9239" max="9239" width="12" style="504" customWidth="1"/>
    <col min="9240" max="9472" width="9.140625" style="504"/>
    <col min="9473" max="9473" width="5" style="504" customWidth="1"/>
    <col min="9474" max="9474" width="16.5703125" style="504" customWidth="1"/>
    <col min="9475" max="9475" width="8.28515625" style="504" customWidth="1"/>
    <col min="9476" max="9476" width="8.42578125" style="504" customWidth="1"/>
    <col min="9477" max="9477" width="8.5703125" style="504" bestFit="1" customWidth="1"/>
    <col min="9478" max="9480" width="8.7109375" style="504" customWidth="1"/>
    <col min="9481" max="9487" width="8" style="504" customWidth="1"/>
    <col min="9488" max="9492" width="9.140625" style="504"/>
    <col min="9493" max="9493" width="12.42578125" style="504" customWidth="1"/>
    <col min="9494" max="9494" width="9.140625" style="504"/>
    <col min="9495" max="9495" width="12" style="504" customWidth="1"/>
    <col min="9496" max="9728" width="9.140625" style="504"/>
    <col min="9729" max="9729" width="5" style="504" customWidth="1"/>
    <col min="9730" max="9730" width="16.5703125" style="504" customWidth="1"/>
    <col min="9731" max="9731" width="8.28515625" style="504" customWidth="1"/>
    <col min="9732" max="9732" width="8.42578125" style="504" customWidth="1"/>
    <col min="9733" max="9733" width="8.5703125" style="504" bestFit="1" customWidth="1"/>
    <col min="9734" max="9736" width="8.7109375" style="504" customWidth="1"/>
    <col min="9737" max="9743" width="8" style="504" customWidth="1"/>
    <col min="9744" max="9748" width="9.140625" style="504"/>
    <col min="9749" max="9749" width="12.42578125" style="504" customWidth="1"/>
    <col min="9750" max="9750" width="9.140625" style="504"/>
    <col min="9751" max="9751" width="12" style="504" customWidth="1"/>
    <col min="9752" max="9984" width="9.140625" style="504"/>
    <col min="9985" max="9985" width="5" style="504" customWidth="1"/>
    <col min="9986" max="9986" width="16.5703125" style="504" customWidth="1"/>
    <col min="9987" max="9987" width="8.28515625" style="504" customWidth="1"/>
    <col min="9988" max="9988" width="8.42578125" style="504" customWidth="1"/>
    <col min="9989" max="9989" width="8.5703125" style="504" bestFit="1" customWidth="1"/>
    <col min="9990" max="9992" width="8.7109375" style="504" customWidth="1"/>
    <col min="9993" max="9999" width="8" style="504" customWidth="1"/>
    <col min="10000" max="10004" width="9.140625" style="504"/>
    <col min="10005" max="10005" width="12.42578125" style="504" customWidth="1"/>
    <col min="10006" max="10006" width="9.140625" style="504"/>
    <col min="10007" max="10007" width="12" style="504" customWidth="1"/>
    <col min="10008" max="10240" width="9.140625" style="504"/>
    <col min="10241" max="10241" width="5" style="504" customWidth="1"/>
    <col min="10242" max="10242" width="16.5703125" style="504" customWidth="1"/>
    <col min="10243" max="10243" width="8.28515625" style="504" customWidth="1"/>
    <col min="10244" max="10244" width="8.42578125" style="504" customWidth="1"/>
    <col min="10245" max="10245" width="8.5703125" style="504" bestFit="1" customWidth="1"/>
    <col min="10246" max="10248" width="8.7109375" style="504" customWidth="1"/>
    <col min="10249" max="10255" width="8" style="504" customWidth="1"/>
    <col min="10256" max="10260" width="9.140625" style="504"/>
    <col min="10261" max="10261" width="12.42578125" style="504" customWidth="1"/>
    <col min="10262" max="10262" width="9.140625" style="504"/>
    <col min="10263" max="10263" width="12" style="504" customWidth="1"/>
    <col min="10264" max="10496" width="9.140625" style="504"/>
    <col min="10497" max="10497" width="5" style="504" customWidth="1"/>
    <col min="10498" max="10498" width="16.5703125" style="504" customWidth="1"/>
    <col min="10499" max="10499" width="8.28515625" style="504" customWidth="1"/>
    <col min="10500" max="10500" width="8.42578125" style="504" customWidth="1"/>
    <col min="10501" max="10501" width="8.5703125" style="504" bestFit="1" customWidth="1"/>
    <col min="10502" max="10504" width="8.7109375" style="504" customWidth="1"/>
    <col min="10505" max="10511" width="8" style="504" customWidth="1"/>
    <col min="10512" max="10516" width="9.140625" style="504"/>
    <col min="10517" max="10517" width="12.42578125" style="504" customWidth="1"/>
    <col min="10518" max="10518" width="9.140625" style="504"/>
    <col min="10519" max="10519" width="12" style="504" customWidth="1"/>
    <col min="10520" max="10752" width="9.140625" style="504"/>
    <col min="10753" max="10753" width="5" style="504" customWidth="1"/>
    <col min="10754" max="10754" width="16.5703125" style="504" customWidth="1"/>
    <col min="10755" max="10755" width="8.28515625" style="504" customWidth="1"/>
    <col min="10756" max="10756" width="8.42578125" style="504" customWidth="1"/>
    <col min="10757" max="10757" width="8.5703125" style="504" bestFit="1" customWidth="1"/>
    <col min="10758" max="10760" width="8.7109375" style="504" customWidth="1"/>
    <col min="10761" max="10767" width="8" style="504" customWidth="1"/>
    <col min="10768" max="10772" width="9.140625" style="504"/>
    <col min="10773" max="10773" width="12.42578125" style="504" customWidth="1"/>
    <col min="10774" max="10774" width="9.140625" style="504"/>
    <col min="10775" max="10775" width="12" style="504" customWidth="1"/>
    <col min="10776" max="11008" width="9.140625" style="504"/>
    <col min="11009" max="11009" width="5" style="504" customWidth="1"/>
    <col min="11010" max="11010" width="16.5703125" style="504" customWidth="1"/>
    <col min="11011" max="11011" width="8.28515625" style="504" customWidth="1"/>
    <col min="11012" max="11012" width="8.42578125" style="504" customWidth="1"/>
    <col min="11013" max="11013" width="8.5703125" style="504" bestFit="1" customWidth="1"/>
    <col min="11014" max="11016" width="8.7109375" style="504" customWidth="1"/>
    <col min="11017" max="11023" width="8" style="504" customWidth="1"/>
    <col min="11024" max="11028" width="9.140625" style="504"/>
    <col min="11029" max="11029" width="12.42578125" style="504" customWidth="1"/>
    <col min="11030" max="11030" width="9.140625" style="504"/>
    <col min="11031" max="11031" width="12" style="504" customWidth="1"/>
    <col min="11032" max="11264" width="9.140625" style="504"/>
    <col min="11265" max="11265" width="5" style="504" customWidth="1"/>
    <col min="11266" max="11266" width="16.5703125" style="504" customWidth="1"/>
    <col min="11267" max="11267" width="8.28515625" style="504" customWidth="1"/>
    <col min="11268" max="11268" width="8.42578125" style="504" customWidth="1"/>
    <col min="11269" max="11269" width="8.5703125" style="504" bestFit="1" customWidth="1"/>
    <col min="11270" max="11272" width="8.7109375" style="504" customWidth="1"/>
    <col min="11273" max="11279" width="8" style="504" customWidth="1"/>
    <col min="11280" max="11284" width="9.140625" style="504"/>
    <col min="11285" max="11285" width="12.42578125" style="504" customWidth="1"/>
    <col min="11286" max="11286" width="9.140625" style="504"/>
    <col min="11287" max="11287" width="12" style="504" customWidth="1"/>
    <col min="11288" max="11520" width="9.140625" style="504"/>
    <col min="11521" max="11521" width="5" style="504" customWidth="1"/>
    <col min="11522" max="11522" width="16.5703125" style="504" customWidth="1"/>
    <col min="11523" max="11523" width="8.28515625" style="504" customWidth="1"/>
    <col min="11524" max="11524" width="8.42578125" style="504" customWidth="1"/>
    <col min="11525" max="11525" width="8.5703125" style="504" bestFit="1" customWidth="1"/>
    <col min="11526" max="11528" width="8.7109375" style="504" customWidth="1"/>
    <col min="11529" max="11535" width="8" style="504" customWidth="1"/>
    <col min="11536" max="11540" width="9.140625" style="504"/>
    <col min="11541" max="11541" width="12.42578125" style="504" customWidth="1"/>
    <col min="11542" max="11542" width="9.140625" style="504"/>
    <col min="11543" max="11543" width="12" style="504" customWidth="1"/>
    <col min="11544" max="11776" width="9.140625" style="504"/>
    <col min="11777" max="11777" width="5" style="504" customWidth="1"/>
    <col min="11778" max="11778" width="16.5703125" style="504" customWidth="1"/>
    <col min="11779" max="11779" width="8.28515625" style="504" customWidth="1"/>
    <col min="11780" max="11780" width="8.42578125" style="504" customWidth="1"/>
    <col min="11781" max="11781" width="8.5703125" style="504" bestFit="1" customWidth="1"/>
    <col min="11782" max="11784" width="8.7109375" style="504" customWidth="1"/>
    <col min="11785" max="11791" width="8" style="504" customWidth="1"/>
    <col min="11792" max="11796" width="9.140625" style="504"/>
    <col min="11797" max="11797" width="12.42578125" style="504" customWidth="1"/>
    <col min="11798" max="11798" width="9.140625" style="504"/>
    <col min="11799" max="11799" width="12" style="504" customWidth="1"/>
    <col min="11800" max="12032" width="9.140625" style="504"/>
    <col min="12033" max="12033" width="5" style="504" customWidth="1"/>
    <col min="12034" max="12034" width="16.5703125" style="504" customWidth="1"/>
    <col min="12035" max="12035" width="8.28515625" style="504" customWidth="1"/>
    <col min="12036" max="12036" width="8.42578125" style="504" customWidth="1"/>
    <col min="12037" max="12037" width="8.5703125" style="504" bestFit="1" customWidth="1"/>
    <col min="12038" max="12040" width="8.7109375" style="504" customWidth="1"/>
    <col min="12041" max="12047" width="8" style="504" customWidth="1"/>
    <col min="12048" max="12052" width="9.140625" style="504"/>
    <col min="12053" max="12053" width="12.42578125" style="504" customWidth="1"/>
    <col min="12054" max="12054" width="9.140625" style="504"/>
    <col min="12055" max="12055" width="12" style="504" customWidth="1"/>
    <col min="12056" max="12288" width="9.140625" style="504"/>
    <col min="12289" max="12289" width="5" style="504" customWidth="1"/>
    <col min="12290" max="12290" width="16.5703125" style="504" customWidth="1"/>
    <col min="12291" max="12291" width="8.28515625" style="504" customWidth="1"/>
    <col min="12292" max="12292" width="8.42578125" style="504" customWidth="1"/>
    <col min="12293" max="12293" width="8.5703125" style="504" bestFit="1" customWidth="1"/>
    <col min="12294" max="12296" width="8.7109375" style="504" customWidth="1"/>
    <col min="12297" max="12303" width="8" style="504" customWidth="1"/>
    <col min="12304" max="12308" width="9.140625" style="504"/>
    <col min="12309" max="12309" width="12.42578125" style="504" customWidth="1"/>
    <col min="12310" max="12310" width="9.140625" style="504"/>
    <col min="12311" max="12311" width="12" style="504" customWidth="1"/>
    <col min="12312" max="12544" width="9.140625" style="504"/>
    <col min="12545" max="12545" width="5" style="504" customWidth="1"/>
    <col min="12546" max="12546" width="16.5703125" style="504" customWidth="1"/>
    <col min="12547" max="12547" width="8.28515625" style="504" customWidth="1"/>
    <col min="12548" max="12548" width="8.42578125" style="504" customWidth="1"/>
    <col min="12549" max="12549" width="8.5703125" style="504" bestFit="1" customWidth="1"/>
    <col min="12550" max="12552" width="8.7109375" style="504" customWidth="1"/>
    <col min="12553" max="12559" width="8" style="504" customWidth="1"/>
    <col min="12560" max="12564" width="9.140625" style="504"/>
    <col min="12565" max="12565" width="12.42578125" style="504" customWidth="1"/>
    <col min="12566" max="12566" width="9.140625" style="504"/>
    <col min="12567" max="12567" width="12" style="504" customWidth="1"/>
    <col min="12568" max="12800" width="9.140625" style="504"/>
    <col min="12801" max="12801" width="5" style="504" customWidth="1"/>
    <col min="12802" max="12802" width="16.5703125" style="504" customWidth="1"/>
    <col min="12803" max="12803" width="8.28515625" style="504" customWidth="1"/>
    <col min="12804" max="12804" width="8.42578125" style="504" customWidth="1"/>
    <col min="12805" max="12805" width="8.5703125" style="504" bestFit="1" customWidth="1"/>
    <col min="12806" max="12808" width="8.7109375" style="504" customWidth="1"/>
    <col min="12809" max="12815" width="8" style="504" customWidth="1"/>
    <col min="12816" max="12820" width="9.140625" style="504"/>
    <col min="12821" max="12821" width="12.42578125" style="504" customWidth="1"/>
    <col min="12822" max="12822" width="9.140625" style="504"/>
    <col min="12823" max="12823" width="12" style="504" customWidth="1"/>
    <col min="12824" max="13056" width="9.140625" style="504"/>
    <col min="13057" max="13057" width="5" style="504" customWidth="1"/>
    <col min="13058" max="13058" width="16.5703125" style="504" customWidth="1"/>
    <col min="13059" max="13059" width="8.28515625" style="504" customWidth="1"/>
    <col min="13060" max="13060" width="8.42578125" style="504" customWidth="1"/>
    <col min="13061" max="13061" width="8.5703125" style="504" bestFit="1" customWidth="1"/>
    <col min="13062" max="13064" width="8.7109375" style="504" customWidth="1"/>
    <col min="13065" max="13071" width="8" style="504" customWidth="1"/>
    <col min="13072" max="13076" width="9.140625" style="504"/>
    <col min="13077" max="13077" width="12.42578125" style="504" customWidth="1"/>
    <col min="13078" max="13078" width="9.140625" style="504"/>
    <col min="13079" max="13079" width="12" style="504" customWidth="1"/>
    <col min="13080" max="13312" width="9.140625" style="504"/>
    <col min="13313" max="13313" width="5" style="504" customWidth="1"/>
    <col min="13314" max="13314" width="16.5703125" style="504" customWidth="1"/>
    <col min="13315" max="13315" width="8.28515625" style="504" customWidth="1"/>
    <col min="13316" max="13316" width="8.42578125" style="504" customWidth="1"/>
    <col min="13317" max="13317" width="8.5703125" style="504" bestFit="1" customWidth="1"/>
    <col min="13318" max="13320" width="8.7109375" style="504" customWidth="1"/>
    <col min="13321" max="13327" width="8" style="504" customWidth="1"/>
    <col min="13328" max="13332" width="9.140625" style="504"/>
    <col min="13333" max="13333" width="12.42578125" style="504" customWidth="1"/>
    <col min="13334" max="13334" width="9.140625" style="504"/>
    <col min="13335" max="13335" width="12" style="504" customWidth="1"/>
    <col min="13336" max="13568" width="9.140625" style="504"/>
    <col min="13569" max="13569" width="5" style="504" customWidth="1"/>
    <col min="13570" max="13570" width="16.5703125" style="504" customWidth="1"/>
    <col min="13571" max="13571" width="8.28515625" style="504" customWidth="1"/>
    <col min="13572" max="13572" width="8.42578125" style="504" customWidth="1"/>
    <col min="13573" max="13573" width="8.5703125" style="504" bestFit="1" customWidth="1"/>
    <col min="13574" max="13576" width="8.7109375" style="504" customWidth="1"/>
    <col min="13577" max="13583" width="8" style="504" customWidth="1"/>
    <col min="13584" max="13588" width="9.140625" style="504"/>
    <col min="13589" max="13589" width="12.42578125" style="504" customWidth="1"/>
    <col min="13590" max="13590" width="9.140625" style="504"/>
    <col min="13591" max="13591" width="12" style="504" customWidth="1"/>
    <col min="13592" max="13824" width="9.140625" style="504"/>
    <col min="13825" max="13825" width="5" style="504" customWidth="1"/>
    <col min="13826" max="13826" width="16.5703125" style="504" customWidth="1"/>
    <col min="13827" max="13827" width="8.28515625" style="504" customWidth="1"/>
    <col min="13828" max="13828" width="8.42578125" style="504" customWidth="1"/>
    <col min="13829" max="13829" width="8.5703125" style="504" bestFit="1" customWidth="1"/>
    <col min="13830" max="13832" width="8.7109375" style="504" customWidth="1"/>
    <col min="13833" max="13839" width="8" style="504" customWidth="1"/>
    <col min="13840" max="13844" width="9.140625" style="504"/>
    <col min="13845" max="13845" width="12.42578125" style="504" customWidth="1"/>
    <col min="13846" max="13846" width="9.140625" style="504"/>
    <col min="13847" max="13847" width="12" style="504" customWidth="1"/>
    <col min="13848" max="14080" width="9.140625" style="504"/>
    <col min="14081" max="14081" width="5" style="504" customWidth="1"/>
    <col min="14082" max="14082" width="16.5703125" style="504" customWidth="1"/>
    <col min="14083" max="14083" width="8.28515625" style="504" customWidth="1"/>
    <col min="14084" max="14084" width="8.42578125" style="504" customWidth="1"/>
    <col min="14085" max="14085" width="8.5703125" style="504" bestFit="1" customWidth="1"/>
    <col min="14086" max="14088" width="8.7109375" style="504" customWidth="1"/>
    <col min="14089" max="14095" width="8" style="504" customWidth="1"/>
    <col min="14096" max="14100" width="9.140625" style="504"/>
    <col min="14101" max="14101" width="12.42578125" style="504" customWidth="1"/>
    <col min="14102" max="14102" width="9.140625" style="504"/>
    <col min="14103" max="14103" width="12" style="504" customWidth="1"/>
    <col min="14104" max="14336" width="9.140625" style="504"/>
    <col min="14337" max="14337" width="5" style="504" customWidth="1"/>
    <col min="14338" max="14338" width="16.5703125" style="504" customWidth="1"/>
    <col min="14339" max="14339" width="8.28515625" style="504" customWidth="1"/>
    <col min="14340" max="14340" width="8.42578125" style="504" customWidth="1"/>
    <col min="14341" max="14341" width="8.5703125" style="504" bestFit="1" customWidth="1"/>
    <col min="14342" max="14344" width="8.7109375" style="504" customWidth="1"/>
    <col min="14345" max="14351" width="8" style="504" customWidth="1"/>
    <col min="14352" max="14356" width="9.140625" style="504"/>
    <col min="14357" max="14357" width="12.42578125" style="504" customWidth="1"/>
    <col min="14358" max="14358" width="9.140625" style="504"/>
    <col min="14359" max="14359" width="12" style="504" customWidth="1"/>
    <col min="14360" max="14592" width="9.140625" style="504"/>
    <col min="14593" max="14593" width="5" style="504" customWidth="1"/>
    <col min="14594" max="14594" width="16.5703125" style="504" customWidth="1"/>
    <col min="14595" max="14595" width="8.28515625" style="504" customWidth="1"/>
    <col min="14596" max="14596" width="8.42578125" style="504" customWidth="1"/>
    <col min="14597" max="14597" width="8.5703125" style="504" bestFit="1" customWidth="1"/>
    <col min="14598" max="14600" width="8.7109375" style="504" customWidth="1"/>
    <col min="14601" max="14607" width="8" style="504" customWidth="1"/>
    <col min="14608" max="14612" width="9.140625" style="504"/>
    <col min="14613" max="14613" width="12.42578125" style="504" customWidth="1"/>
    <col min="14614" max="14614" width="9.140625" style="504"/>
    <col min="14615" max="14615" width="12" style="504" customWidth="1"/>
    <col min="14616" max="14848" width="9.140625" style="504"/>
    <col min="14849" max="14849" width="5" style="504" customWidth="1"/>
    <col min="14850" max="14850" width="16.5703125" style="504" customWidth="1"/>
    <col min="14851" max="14851" width="8.28515625" style="504" customWidth="1"/>
    <col min="14852" max="14852" width="8.42578125" style="504" customWidth="1"/>
    <col min="14853" max="14853" width="8.5703125" style="504" bestFit="1" customWidth="1"/>
    <col min="14854" max="14856" width="8.7109375" style="504" customWidth="1"/>
    <col min="14857" max="14863" width="8" style="504" customWidth="1"/>
    <col min="14864" max="14868" width="9.140625" style="504"/>
    <col min="14869" max="14869" width="12.42578125" style="504" customWidth="1"/>
    <col min="14870" max="14870" width="9.140625" style="504"/>
    <col min="14871" max="14871" width="12" style="504" customWidth="1"/>
    <col min="14872" max="15104" width="9.140625" style="504"/>
    <col min="15105" max="15105" width="5" style="504" customWidth="1"/>
    <col min="15106" max="15106" width="16.5703125" style="504" customWidth="1"/>
    <col min="15107" max="15107" width="8.28515625" style="504" customWidth="1"/>
    <col min="15108" max="15108" width="8.42578125" style="504" customWidth="1"/>
    <col min="15109" max="15109" width="8.5703125" style="504" bestFit="1" customWidth="1"/>
    <col min="15110" max="15112" width="8.7109375" style="504" customWidth="1"/>
    <col min="15113" max="15119" width="8" style="504" customWidth="1"/>
    <col min="15120" max="15124" width="9.140625" style="504"/>
    <col min="15125" max="15125" width="12.42578125" style="504" customWidth="1"/>
    <col min="15126" max="15126" width="9.140625" style="504"/>
    <col min="15127" max="15127" width="12" style="504" customWidth="1"/>
    <col min="15128" max="15360" width="9.140625" style="504"/>
    <col min="15361" max="15361" width="5" style="504" customWidth="1"/>
    <col min="15362" max="15362" width="16.5703125" style="504" customWidth="1"/>
    <col min="15363" max="15363" width="8.28515625" style="504" customWidth="1"/>
    <col min="15364" max="15364" width="8.42578125" style="504" customWidth="1"/>
    <col min="15365" max="15365" width="8.5703125" style="504" bestFit="1" customWidth="1"/>
    <col min="15366" max="15368" width="8.7109375" style="504" customWidth="1"/>
    <col min="15369" max="15375" width="8" style="504" customWidth="1"/>
    <col min="15376" max="15380" width="9.140625" style="504"/>
    <col min="15381" max="15381" width="12.42578125" style="504" customWidth="1"/>
    <col min="15382" max="15382" width="9.140625" style="504"/>
    <col min="15383" max="15383" width="12" style="504" customWidth="1"/>
    <col min="15384" max="15616" width="9.140625" style="504"/>
    <col min="15617" max="15617" width="5" style="504" customWidth="1"/>
    <col min="15618" max="15618" width="16.5703125" style="504" customWidth="1"/>
    <col min="15619" max="15619" width="8.28515625" style="504" customWidth="1"/>
    <col min="15620" max="15620" width="8.42578125" style="504" customWidth="1"/>
    <col min="15621" max="15621" width="8.5703125" style="504" bestFit="1" customWidth="1"/>
    <col min="15622" max="15624" width="8.7109375" style="504" customWidth="1"/>
    <col min="15625" max="15631" width="8" style="504" customWidth="1"/>
    <col min="15632" max="15636" width="9.140625" style="504"/>
    <col min="15637" max="15637" width="12.42578125" style="504" customWidth="1"/>
    <col min="15638" max="15638" width="9.140625" style="504"/>
    <col min="15639" max="15639" width="12" style="504" customWidth="1"/>
    <col min="15640" max="15872" width="9.140625" style="504"/>
    <col min="15873" max="15873" width="5" style="504" customWidth="1"/>
    <col min="15874" max="15874" width="16.5703125" style="504" customWidth="1"/>
    <col min="15875" max="15875" width="8.28515625" style="504" customWidth="1"/>
    <col min="15876" max="15876" width="8.42578125" style="504" customWidth="1"/>
    <col min="15877" max="15877" width="8.5703125" style="504" bestFit="1" customWidth="1"/>
    <col min="15878" max="15880" width="8.7109375" style="504" customWidth="1"/>
    <col min="15881" max="15887" width="8" style="504" customWidth="1"/>
    <col min="15888" max="15892" width="9.140625" style="504"/>
    <col min="15893" max="15893" width="12.42578125" style="504" customWidth="1"/>
    <col min="15894" max="15894" width="9.140625" style="504"/>
    <col min="15895" max="15895" width="12" style="504" customWidth="1"/>
    <col min="15896" max="16128" width="9.140625" style="504"/>
    <col min="16129" max="16129" width="5" style="504" customWidth="1"/>
    <col min="16130" max="16130" width="16.5703125" style="504" customWidth="1"/>
    <col min="16131" max="16131" width="8.28515625" style="504" customWidth="1"/>
    <col min="16132" max="16132" width="8.42578125" style="504" customWidth="1"/>
    <col min="16133" max="16133" width="8.5703125" style="504" bestFit="1" customWidth="1"/>
    <col min="16134" max="16136" width="8.7109375" style="504" customWidth="1"/>
    <col min="16137" max="16143" width="8" style="504" customWidth="1"/>
    <col min="16144" max="16148" width="9.140625" style="504"/>
    <col min="16149" max="16149" width="12.42578125" style="504" customWidth="1"/>
    <col min="16150" max="16150" width="9.140625" style="504"/>
    <col min="16151" max="16151" width="12" style="504" customWidth="1"/>
    <col min="16152" max="16384" width="9.140625" style="504"/>
  </cols>
  <sheetData>
    <row r="1" spans="1:17" s="490" customFormat="1" x14ac:dyDescent="0.2">
      <c r="A1" s="1045" t="s">
        <v>449</v>
      </c>
      <c r="B1" s="1039"/>
      <c r="C1" s="1039"/>
      <c r="D1" s="1038"/>
      <c r="E1" s="1039"/>
      <c r="F1" s="1039"/>
      <c r="G1" s="1045" t="s">
        <v>102</v>
      </c>
      <c r="H1" s="1038"/>
      <c r="I1" s="1038" t="s">
        <v>589</v>
      </c>
      <c r="J1" s="1039"/>
      <c r="K1" s="1039"/>
      <c r="L1" s="1040"/>
      <c r="M1" s="1040"/>
      <c r="N1" s="1040"/>
      <c r="O1" s="1040"/>
    </row>
    <row r="2" spans="1:17" s="490" customFormat="1" x14ac:dyDescent="0.2">
      <c r="A2" s="1045" t="s">
        <v>103</v>
      </c>
      <c r="B2" s="1039"/>
      <c r="C2" s="1039"/>
      <c r="D2" s="1038"/>
      <c r="E2" s="1039"/>
      <c r="F2" s="1039"/>
      <c r="G2" s="1045" t="s">
        <v>104</v>
      </c>
      <c r="H2" s="1038"/>
      <c r="I2" s="1038" t="s">
        <v>105</v>
      </c>
      <c r="J2" s="1039"/>
      <c r="K2" s="1039"/>
      <c r="L2" s="1040"/>
      <c r="M2" s="1040"/>
      <c r="N2" s="1040"/>
      <c r="O2" s="1040"/>
    </row>
    <row r="3" spans="1:17" s="490" customFormat="1" x14ac:dyDescent="0.2">
      <c r="A3" s="1045" t="s">
        <v>106</v>
      </c>
      <c r="B3" s="1039"/>
      <c r="C3" s="1039"/>
      <c r="D3" s="1046" t="s">
        <v>673</v>
      </c>
      <c r="E3" s="1039"/>
      <c r="F3" s="1039"/>
      <c r="G3" s="1045" t="s">
        <v>107</v>
      </c>
      <c r="H3" s="1038"/>
      <c r="I3" s="1038" t="s">
        <v>108</v>
      </c>
      <c r="J3" s="1039"/>
      <c r="K3" s="1039"/>
      <c r="L3" s="1040"/>
      <c r="M3" s="1040"/>
      <c r="N3" s="1040"/>
      <c r="O3" s="1040"/>
    </row>
    <row r="4" spans="1:17" s="490" customFormat="1" x14ac:dyDescent="0.2">
      <c r="A4" s="1045" t="s">
        <v>476</v>
      </c>
      <c r="B4" s="1039"/>
      <c r="C4" s="1039"/>
      <c r="D4" s="1038" t="s">
        <v>674</v>
      </c>
      <c r="E4" s="1039"/>
      <c r="F4" s="1039"/>
      <c r="G4" s="1045" t="s">
        <v>110</v>
      </c>
      <c r="H4" s="1038"/>
      <c r="I4" s="1038" t="s">
        <v>645</v>
      </c>
      <c r="J4" s="1039"/>
      <c r="K4" s="1039"/>
      <c r="L4" s="1040"/>
      <c r="M4" s="1040"/>
      <c r="N4" s="1040"/>
      <c r="O4" s="1040"/>
    </row>
    <row r="5" spans="1:17" s="490" customFormat="1" x14ac:dyDescent="0.2">
      <c r="A5" s="1045" t="s">
        <v>112</v>
      </c>
      <c r="B5" s="1039"/>
      <c r="C5" s="1039"/>
      <c r="D5" s="1038" t="s">
        <v>674</v>
      </c>
      <c r="E5" s="1039"/>
      <c r="F5" s="1039"/>
      <c r="G5" s="1045"/>
      <c r="H5" s="1039"/>
      <c r="I5" s="1038" t="s">
        <v>113</v>
      </c>
      <c r="J5" s="1039"/>
      <c r="K5" s="1039"/>
      <c r="L5" s="1040"/>
      <c r="M5" s="1040"/>
      <c r="N5" s="1040"/>
      <c r="O5" s="1040"/>
    </row>
    <row r="6" spans="1:17" s="490" customFormat="1" x14ac:dyDescent="0.2">
      <c r="A6" s="1041" t="s">
        <v>114</v>
      </c>
      <c r="B6" s="1042"/>
      <c r="C6" s="1042"/>
      <c r="D6" s="1039" t="s">
        <v>590</v>
      </c>
      <c r="E6" s="1039"/>
      <c r="F6" s="1039"/>
      <c r="G6" s="1041" t="s">
        <v>115</v>
      </c>
      <c r="H6" s="1041"/>
      <c r="I6" s="491" t="s">
        <v>116</v>
      </c>
      <c r="J6" s="1043"/>
      <c r="K6" s="1043"/>
      <c r="L6" s="1043"/>
      <c r="M6" s="1043"/>
      <c r="N6" s="1043"/>
      <c r="O6" s="1044"/>
    </row>
    <row r="7" spans="1:17" s="490" customFormat="1" ht="13.5" thickBot="1" x14ac:dyDescent="0.25">
      <c r="A7" s="492"/>
      <c r="B7" s="493"/>
      <c r="C7" s="494"/>
      <c r="D7" s="495"/>
      <c r="E7" s="495"/>
      <c r="F7" s="495"/>
      <c r="G7" s="495"/>
      <c r="H7" s="495"/>
      <c r="I7" s="495"/>
      <c r="J7" s="496"/>
      <c r="K7" s="497"/>
      <c r="L7" s="1030" t="s">
        <v>223</v>
      </c>
      <c r="M7" s="1030"/>
      <c r="N7" s="1030"/>
      <c r="O7" s="1030"/>
    </row>
    <row r="8" spans="1:17" s="499" customFormat="1" x14ac:dyDescent="0.2">
      <c r="A8" s="1031" t="str">
        <f>I1</f>
        <v>Mr.  Hemant Mangade</v>
      </c>
      <c r="B8" s="1032"/>
      <c r="C8" s="334">
        <v>43160</v>
      </c>
      <c r="D8" s="334">
        <v>43191</v>
      </c>
      <c r="E8" s="334">
        <v>43221</v>
      </c>
      <c r="F8" s="334">
        <v>43252</v>
      </c>
      <c r="G8" s="334">
        <v>43282</v>
      </c>
      <c r="H8" s="334">
        <v>43313</v>
      </c>
      <c r="I8" s="334">
        <v>43344</v>
      </c>
      <c r="J8" s="334">
        <v>43374</v>
      </c>
      <c r="K8" s="334">
        <v>43405</v>
      </c>
      <c r="L8" s="334">
        <v>43435</v>
      </c>
      <c r="M8" s="334">
        <v>43466</v>
      </c>
      <c r="N8" s="334">
        <v>43497</v>
      </c>
      <c r="O8" s="498" t="s">
        <v>117</v>
      </c>
      <c r="Q8" s="499" t="s">
        <v>116</v>
      </c>
    </row>
    <row r="9" spans="1:17" ht="15" x14ac:dyDescent="0.2">
      <c r="A9" s="500"/>
      <c r="B9" s="501" t="s">
        <v>118</v>
      </c>
      <c r="C9" s="502">
        <v>50500</v>
      </c>
      <c r="D9" s="502">
        <f t="shared" ref="D9:G24" si="0">+C9</f>
        <v>50500</v>
      </c>
      <c r="E9" s="502">
        <f t="shared" si="0"/>
        <v>50500</v>
      </c>
      <c r="F9" s="502">
        <f t="shared" si="0"/>
        <v>50500</v>
      </c>
      <c r="G9" s="502">
        <v>52000</v>
      </c>
      <c r="H9" s="502">
        <v>52000</v>
      </c>
      <c r="I9" s="502">
        <v>52000</v>
      </c>
      <c r="J9" s="502">
        <v>52000</v>
      </c>
      <c r="K9" s="502">
        <v>52000</v>
      </c>
      <c r="L9" s="502">
        <v>52000</v>
      </c>
      <c r="M9" s="502">
        <v>52000</v>
      </c>
      <c r="N9" s="502">
        <v>52000</v>
      </c>
      <c r="O9" s="503">
        <f t="shared" ref="O9:O51" si="1">SUM(C9:N9)</f>
        <v>618000</v>
      </c>
      <c r="Q9" s="504" t="s">
        <v>222</v>
      </c>
    </row>
    <row r="10" spans="1:17" ht="15" x14ac:dyDescent="0.2">
      <c r="A10" s="500"/>
      <c r="B10" s="501" t="s">
        <v>119</v>
      </c>
      <c r="C10" s="505">
        <v>0</v>
      </c>
      <c r="D10" s="505">
        <f t="shared" si="0"/>
        <v>0</v>
      </c>
      <c r="E10" s="505">
        <f t="shared" si="0"/>
        <v>0</v>
      </c>
      <c r="F10" s="505">
        <f t="shared" si="0"/>
        <v>0</v>
      </c>
      <c r="G10" s="505">
        <f>+F10</f>
        <v>0</v>
      </c>
      <c r="H10" s="505">
        <v>0</v>
      </c>
      <c r="I10" s="505">
        <f>+H10</f>
        <v>0</v>
      </c>
      <c r="J10" s="505">
        <f>+I10</f>
        <v>0</v>
      </c>
      <c r="K10" s="505">
        <f>+J10</f>
        <v>0</v>
      </c>
      <c r="L10" s="505">
        <f>+K10</f>
        <v>0</v>
      </c>
      <c r="M10" s="505">
        <v>0</v>
      </c>
      <c r="N10" s="505">
        <f>+M10</f>
        <v>0</v>
      </c>
      <c r="O10" s="506">
        <f t="shared" si="1"/>
        <v>0</v>
      </c>
    </row>
    <row r="11" spans="1:17" ht="15" x14ac:dyDescent="0.2">
      <c r="A11" s="500"/>
      <c r="B11" s="501" t="s">
        <v>120</v>
      </c>
      <c r="C11" s="505">
        <v>2525</v>
      </c>
      <c r="D11" s="505">
        <v>3535</v>
      </c>
      <c r="E11" s="505">
        <f t="shared" si="0"/>
        <v>3535</v>
      </c>
      <c r="F11" s="505">
        <f t="shared" si="0"/>
        <v>3535</v>
      </c>
      <c r="G11" s="505">
        <v>3640</v>
      </c>
      <c r="H11" s="505">
        <v>3640</v>
      </c>
      <c r="I11" s="505">
        <v>3640</v>
      </c>
      <c r="J11" s="505">
        <v>4680</v>
      </c>
      <c r="K11" s="505">
        <v>4680</v>
      </c>
      <c r="L11" s="505">
        <v>4680</v>
      </c>
      <c r="M11" s="505">
        <v>4680</v>
      </c>
      <c r="N11" s="505">
        <v>4680</v>
      </c>
      <c r="O11" s="506">
        <f t="shared" si="1"/>
        <v>47450</v>
      </c>
    </row>
    <row r="12" spans="1:17" ht="15" hidden="1" x14ac:dyDescent="0.2">
      <c r="A12" s="500"/>
      <c r="B12" s="501" t="s">
        <v>121</v>
      </c>
      <c r="C12" s="505">
        <v>0</v>
      </c>
      <c r="D12" s="505">
        <f>+C12</f>
        <v>0</v>
      </c>
      <c r="E12" s="505">
        <f t="shared" si="0"/>
        <v>0</v>
      </c>
      <c r="F12" s="505">
        <f t="shared" si="0"/>
        <v>0</v>
      </c>
      <c r="G12" s="505">
        <f t="shared" si="0"/>
        <v>0</v>
      </c>
      <c r="H12" s="505">
        <v>0</v>
      </c>
      <c r="I12" s="505">
        <f t="shared" ref="I12:L13" si="2">+H12</f>
        <v>0</v>
      </c>
      <c r="J12" s="505">
        <f t="shared" si="2"/>
        <v>0</v>
      </c>
      <c r="K12" s="505">
        <f t="shared" si="2"/>
        <v>0</v>
      </c>
      <c r="L12" s="505">
        <f t="shared" si="2"/>
        <v>0</v>
      </c>
      <c r="M12" s="505">
        <v>0</v>
      </c>
      <c r="N12" s="505">
        <f t="shared" ref="N12:N18" si="3">+M12</f>
        <v>0</v>
      </c>
      <c r="O12" s="506">
        <f t="shared" si="1"/>
        <v>0</v>
      </c>
    </row>
    <row r="13" spans="1:17" ht="15" hidden="1" x14ac:dyDescent="0.2">
      <c r="A13" s="500"/>
      <c r="B13" s="501" t="s">
        <v>122</v>
      </c>
      <c r="C13" s="505">
        <v>0</v>
      </c>
      <c r="D13" s="505">
        <f>+C13</f>
        <v>0</v>
      </c>
      <c r="E13" s="505">
        <f t="shared" si="0"/>
        <v>0</v>
      </c>
      <c r="F13" s="505">
        <f t="shared" si="0"/>
        <v>0</v>
      </c>
      <c r="G13" s="505">
        <f t="shared" si="0"/>
        <v>0</v>
      </c>
      <c r="H13" s="505">
        <v>0</v>
      </c>
      <c r="I13" s="505">
        <f t="shared" si="2"/>
        <v>0</v>
      </c>
      <c r="J13" s="505">
        <f t="shared" si="2"/>
        <v>0</v>
      </c>
      <c r="K13" s="505">
        <f t="shared" si="2"/>
        <v>0</v>
      </c>
      <c r="L13" s="505">
        <f t="shared" si="2"/>
        <v>0</v>
      </c>
      <c r="M13" s="505">
        <v>0</v>
      </c>
      <c r="N13" s="505">
        <f t="shared" si="3"/>
        <v>0</v>
      </c>
      <c r="O13" s="506">
        <f t="shared" si="1"/>
        <v>0</v>
      </c>
    </row>
    <row r="14" spans="1:17" ht="15" x14ac:dyDescent="0.2">
      <c r="A14" s="500"/>
      <c r="B14" s="501" t="s">
        <v>123</v>
      </c>
      <c r="C14" s="505">
        <v>3780</v>
      </c>
      <c r="D14" s="505">
        <v>3852</v>
      </c>
      <c r="E14" s="505">
        <f t="shared" si="0"/>
        <v>3852</v>
      </c>
      <c r="F14" s="505">
        <f t="shared" si="0"/>
        <v>3852</v>
      </c>
      <c r="G14" s="505">
        <f t="shared" si="0"/>
        <v>3852</v>
      </c>
      <c r="H14" s="505">
        <f>+G14</f>
        <v>3852</v>
      </c>
      <c r="I14" s="505">
        <f>+H14</f>
        <v>3852</v>
      </c>
      <c r="J14" s="505">
        <v>3924</v>
      </c>
      <c r="K14" s="505">
        <f>+J14</f>
        <v>3924</v>
      </c>
      <c r="L14" s="505">
        <f>+K14</f>
        <v>3924</v>
      </c>
      <c r="M14" s="505">
        <f>+L14</f>
        <v>3924</v>
      </c>
      <c r="N14" s="505">
        <f t="shared" si="3"/>
        <v>3924</v>
      </c>
      <c r="O14" s="506">
        <f t="shared" si="1"/>
        <v>46512</v>
      </c>
    </row>
    <row r="15" spans="1:17" ht="15" hidden="1" x14ac:dyDescent="0.2">
      <c r="A15" s="500"/>
      <c r="B15" s="501" t="s">
        <v>124</v>
      </c>
      <c r="C15" s="505">
        <v>0</v>
      </c>
      <c r="D15" s="505">
        <f t="shared" ref="D15:G35" si="4">+C15</f>
        <v>0</v>
      </c>
      <c r="E15" s="505">
        <f t="shared" si="0"/>
        <v>0</v>
      </c>
      <c r="F15" s="505">
        <f t="shared" si="0"/>
        <v>0</v>
      </c>
      <c r="G15" s="505">
        <f t="shared" si="0"/>
        <v>0</v>
      </c>
      <c r="H15" s="505">
        <v>0</v>
      </c>
      <c r="I15" s="505">
        <f t="shared" ref="I15:L18" si="5">+H15</f>
        <v>0</v>
      </c>
      <c r="J15" s="505">
        <f t="shared" si="5"/>
        <v>0</v>
      </c>
      <c r="K15" s="505">
        <f t="shared" si="5"/>
        <v>0</v>
      </c>
      <c r="L15" s="505">
        <f t="shared" si="5"/>
        <v>0</v>
      </c>
      <c r="M15" s="505">
        <v>0</v>
      </c>
      <c r="N15" s="505">
        <f t="shared" si="3"/>
        <v>0</v>
      </c>
      <c r="O15" s="506">
        <f t="shared" si="1"/>
        <v>0</v>
      </c>
    </row>
    <row r="16" spans="1:17" ht="15" hidden="1" x14ac:dyDescent="0.2">
      <c r="A16" s="500"/>
      <c r="B16" s="501" t="s">
        <v>405</v>
      </c>
      <c r="C16" s="505">
        <v>0</v>
      </c>
      <c r="D16" s="505">
        <f t="shared" si="4"/>
        <v>0</v>
      </c>
      <c r="E16" s="505">
        <f t="shared" si="0"/>
        <v>0</v>
      </c>
      <c r="F16" s="505">
        <f t="shared" si="0"/>
        <v>0</v>
      </c>
      <c r="G16" s="505">
        <f t="shared" si="0"/>
        <v>0</v>
      </c>
      <c r="H16" s="505">
        <v>0</v>
      </c>
      <c r="I16" s="505">
        <f t="shared" si="5"/>
        <v>0</v>
      </c>
      <c r="J16" s="505">
        <f t="shared" si="5"/>
        <v>0</v>
      </c>
      <c r="K16" s="505">
        <f t="shared" si="5"/>
        <v>0</v>
      </c>
      <c r="L16" s="505">
        <f t="shared" si="5"/>
        <v>0</v>
      </c>
      <c r="M16" s="505">
        <v>0</v>
      </c>
      <c r="N16" s="505">
        <f t="shared" si="3"/>
        <v>0</v>
      </c>
      <c r="O16" s="506">
        <f t="shared" si="1"/>
        <v>0</v>
      </c>
    </row>
    <row r="17" spans="1:15" ht="15" hidden="1" x14ac:dyDescent="0.2">
      <c r="A17" s="500"/>
      <c r="B17" s="501" t="s">
        <v>126</v>
      </c>
      <c r="C17" s="505">
        <v>0</v>
      </c>
      <c r="D17" s="505">
        <f t="shared" si="4"/>
        <v>0</v>
      </c>
      <c r="E17" s="505">
        <f t="shared" si="0"/>
        <v>0</v>
      </c>
      <c r="F17" s="505">
        <f t="shared" si="0"/>
        <v>0</v>
      </c>
      <c r="G17" s="505">
        <f t="shared" si="0"/>
        <v>0</v>
      </c>
      <c r="H17" s="505">
        <v>0</v>
      </c>
      <c r="I17" s="505">
        <f t="shared" si="5"/>
        <v>0</v>
      </c>
      <c r="J17" s="505">
        <f t="shared" si="5"/>
        <v>0</v>
      </c>
      <c r="K17" s="505">
        <f t="shared" si="5"/>
        <v>0</v>
      </c>
      <c r="L17" s="505">
        <f t="shared" si="5"/>
        <v>0</v>
      </c>
      <c r="M17" s="505">
        <v>0</v>
      </c>
      <c r="N17" s="505">
        <f t="shared" si="3"/>
        <v>0</v>
      </c>
      <c r="O17" s="506">
        <f t="shared" si="1"/>
        <v>0</v>
      </c>
    </row>
    <row r="18" spans="1:15" ht="15" x14ac:dyDescent="0.2">
      <c r="A18" s="500"/>
      <c r="B18" s="501" t="s">
        <v>224</v>
      </c>
      <c r="C18" s="505">
        <v>0</v>
      </c>
      <c r="D18" s="505">
        <f t="shared" si="4"/>
        <v>0</v>
      </c>
      <c r="E18" s="505">
        <f t="shared" si="0"/>
        <v>0</v>
      </c>
      <c r="F18" s="505">
        <f t="shared" si="0"/>
        <v>0</v>
      </c>
      <c r="G18" s="505">
        <f t="shared" si="0"/>
        <v>0</v>
      </c>
      <c r="H18" s="505">
        <v>0</v>
      </c>
      <c r="I18" s="505">
        <f t="shared" si="5"/>
        <v>0</v>
      </c>
      <c r="J18" s="505">
        <f t="shared" si="5"/>
        <v>0</v>
      </c>
      <c r="K18" s="505">
        <f t="shared" si="5"/>
        <v>0</v>
      </c>
      <c r="L18" s="505">
        <f t="shared" si="5"/>
        <v>0</v>
      </c>
      <c r="M18" s="505">
        <v>0</v>
      </c>
      <c r="N18" s="505">
        <f t="shared" si="3"/>
        <v>0</v>
      </c>
      <c r="O18" s="506">
        <f t="shared" si="1"/>
        <v>0</v>
      </c>
    </row>
    <row r="19" spans="1:15" ht="15" x14ac:dyDescent="0.2">
      <c r="A19" s="500"/>
      <c r="B19" s="501" t="s">
        <v>128</v>
      </c>
      <c r="C19" s="505">
        <v>12120</v>
      </c>
      <c r="D19" s="505">
        <f t="shared" si="4"/>
        <v>12120</v>
      </c>
      <c r="E19" s="505">
        <f t="shared" si="0"/>
        <v>12120</v>
      </c>
      <c r="F19" s="505">
        <f t="shared" si="0"/>
        <v>12120</v>
      </c>
      <c r="G19" s="505">
        <v>12480</v>
      </c>
      <c r="H19" s="505">
        <v>12480</v>
      </c>
      <c r="I19" s="505">
        <v>12480</v>
      </c>
      <c r="J19" s="505">
        <v>12480</v>
      </c>
      <c r="K19" s="505">
        <v>12480</v>
      </c>
      <c r="L19" s="505">
        <v>12480</v>
      </c>
      <c r="M19" s="505">
        <v>12480</v>
      </c>
      <c r="N19" s="505">
        <v>12480</v>
      </c>
      <c r="O19" s="506">
        <f t="shared" si="1"/>
        <v>148320</v>
      </c>
    </row>
    <row r="20" spans="1:15" ht="15" customHeight="1" x14ac:dyDescent="0.2">
      <c r="A20" s="500"/>
      <c r="B20" s="501" t="s">
        <v>129</v>
      </c>
      <c r="C20" s="505">
        <v>0</v>
      </c>
      <c r="D20" s="505">
        <f t="shared" si="4"/>
        <v>0</v>
      </c>
      <c r="E20" s="505">
        <f t="shared" si="0"/>
        <v>0</v>
      </c>
      <c r="F20" s="505">
        <v>26250</v>
      </c>
      <c r="G20" s="505">
        <v>0</v>
      </c>
      <c r="H20" s="505">
        <v>0</v>
      </c>
      <c r="I20" s="505">
        <f t="shared" ref="I20:L33" si="6">+H20</f>
        <v>0</v>
      </c>
      <c r="J20" s="505">
        <f t="shared" si="6"/>
        <v>0</v>
      </c>
      <c r="K20" s="505">
        <f t="shared" si="6"/>
        <v>0</v>
      </c>
      <c r="L20" s="505">
        <f t="shared" si="6"/>
        <v>0</v>
      </c>
      <c r="M20" s="505">
        <v>0</v>
      </c>
      <c r="N20" s="505">
        <f t="shared" ref="N20:N37" si="7">+M20</f>
        <v>0</v>
      </c>
      <c r="O20" s="506">
        <f t="shared" si="1"/>
        <v>26250</v>
      </c>
    </row>
    <row r="21" spans="1:15" ht="15" hidden="1" customHeight="1" x14ac:dyDescent="0.2">
      <c r="A21" s="1033" t="s">
        <v>130</v>
      </c>
      <c r="B21" s="507" t="s">
        <v>131</v>
      </c>
      <c r="C21" s="505">
        <v>0</v>
      </c>
      <c r="D21" s="505">
        <f t="shared" si="4"/>
        <v>0</v>
      </c>
      <c r="E21" s="505">
        <f t="shared" si="0"/>
        <v>0</v>
      </c>
      <c r="F21" s="505">
        <f t="shared" si="0"/>
        <v>0</v>
      </c>
      <c r="G21" s="505">
        <f t="shared" si="0"/>
        <v>0</v>
      </c>
      <c r="H21" s="505">
        <v>0</v>
      </c>
      <c r="I21" s="505">
        <f t="shared" si="6"/>
        <v>0</v>
      </c>
      <c r="J21" s="505">
        <f t="shared" si="6"/>
        <v>0</v>
      </c>
      <c r="K21" s="505">
        <f t="shared" si="6"/>
        <v>0</v>
      </c>
      <c r="L21" s="505">
        <f t="shared" si="6"/>
        <v>0</v>
      </c>
      <c r="M21" s="505">
        <v>0</v>
      </c>
      <c r="N21" s="505">
        <f t="shared" si="7"/>
        <v>0</v>
      </c>
      <c r="O21" s="506">
        <f t="shared" si="1"/>
        <v>0</v>
      </c>
    </row>
    <row r="22" spans="1:15" ht="15" hidden="1" customHeight="1" x14ac:dyDescent="0.2">
      <c r="A22" s="1034"/>
      <c r="B22" s="507" t="s">
        <v>132</v>
      </c>
      <c r="C22" s="505">
        <v>0</v>
      </c>
      <c r="D22" s="505">
        <f t="shared" si="4"/>
        <v>0</v>
      </c>
      <c r="E22" s="505">
        <f t="shared" si="0"/>
        <v>0</v>
      </c>
      <c r="F22" s="505">
        <f t="shared" si="0"/>
        <v>0</v>
      </c>
      <c r="G22" s="505">
        <f t="shared" si="0"/>
        <v>0</v>
      </c>
      <c r="H22" s="505">
        <v>0</v>
      </c>
      <c r="I22" s="505">
        <f t="shared" si="6"/>
        <v>0</v>
      </c>
      <c r="J22" s="505">
        <f t="shared" si="6"/>
        <v>0</v>
      </c>
      <c r="K22" s="505">
        <f t="shared" si="6"/>
        <v>0</v>
      </c>
      <c r="L22" s="505">
        <f t="shared" si="6"/>
        <v>0</v>
      </c>
      <c r="M22" s="505">
        <v>0</v>
      </c>
      <c r="N22" s="505">
        <f t="shared" si="7"/>
        <v>0</v>
      </c>
      <c r="O22" s="506">
        <f t="shared" si="1"/>
        <v>0</v>
      </c>
    </row>
    <row r="23" spans="1:15" ht="15" hidden="1" customHeight="1" x14ac:dyDescent="0.2">
      <c r="A23" s="1034"/>
      <c r="B23" s="507" t="s">
        <v>133</v>
      </c>
      <c r="C23" s="505">
        <v>0</v>
      </c>
      <c r="D23" s="505">
        <f t="shared" si="4"/>
        <v>0</v>
      </c>
      <c r="E23" s="505">
        <f t="shared" si="0"/>
        <v>0</v>
      </c>
      <c r="F23" s="505">
        <f t="shared" si="0"/>
        <v>0</v>
      </c>
      <c r="G23" s="505">
        <f t="shared" si="0"/>
        <v>0</v>
      </c>
      <c r="H23" s="505">
        <v>0</v>
      </c>
      <c r="I23" s="505">
        <f t="shared" si="6"/>
        <v>0</v>
      </c>
      <c r="J23" s="505">
        <f t="shared" si="6"/>
        <v>0</v>
      </c>
      <c r="K23" s="505">
        <f t="shared" si="6"/>
        <v>0</v>
      </c>
      <c r="L23" s="505">
        <f t="shared" si="6"/>
        <v>0</v>
      </c>
      <c r="M23" s="505">
        <v>0</v>
      </c>
      <c r="N23" s="505">
        <f t="shared" si="7"/>
        <v>0</v>
      </c>
      <c r="O23" s="506">
        <f t="shared" si="1"/>
        <v>0</v>
      </c>
    </row>
    <row r="24" spans="1:15" ht="15" hidden="1" customHeight="1" x14ac:dyDescent="0.2">
      <c r="A24" s="1034"/>
      <c r="B24" s="507" t="s">
        <v>134</v>
      </c>
      <c r="C24" s="505">
        <v>0</v>
      </c>
      <c r="D24" s="505">
        <f t="shared" si="4"/>
        <v>0</v>
      </c>
      <c r="E24" s="505">
        <f t="shared" si="0"/>
        <v>0</v>
      </c>
      <c r="F24" s="505">
        <f t="shared" si="0"/>
        <v>0</v>
      </c>
      <c r="G24" s="505">
        <f t="shared" si="0"/>
        <v>0</v>
      </c>
      <c r="H24" s="505">
        <v>0</v>
      </c>
      <c r="I24" s="505">
        <f t="shared" si="6"/>
        <v>0</v>
      </c>
      <c r="J24" s="505">
        <f t="shared" si="6"/>
        <v>0</v>
      </c>
      <c r="K24" s="505">
        <f t="shared" si="6"/>
        <v>0</v>
      </c>
      <c r="L24" s="505">
        <f t="shared" si="6"/>
        <v>0</v>
      </c>
      <c r="M24" s="505">
        <v>0</v>
      </c>
      <c r="N24" s="505">
        <f t="shared" si="7"/>
        <v>0</v>
      </c>
      <c r="O24" s="506">
        <f t="shared" si="1"/>
        <v>0</v>
      </c>
    </row>
    <row r="25" spans="1:15" ht="15" hidden="1" customHeight="1" x14ac:dyDescent="0.2">
      <c r="A25" s="1034"/>
      <c r="B25" s="507" t="s">
        <v>135</v>
      </c>
      <c r="C25" s="505">
        <v>0</v>
      </c>
      <c r="D25" s="505">
        <f t="shared" si="4"/>
        <v>0</v>
      </c>
      <c r="E25" s="505">
        <f t="shared" si="4"/>
        <v>0</v>
      </c>
      <c r="F25" s="505">
        <f t="shared" si="4"/>
        <v>0</v>
      </c>
      <c r="G25" s="505">
        <f t="shared" si="4"/>
        <v>0</v>
      </c>
      <c r="H25" s="505">
        <v>0</v>
      </c>
      <c r="I25" s="505">
        <f t="shared" si="6"/>
        <v>0</v>
      </c>
      <c r="J25" s="505">
        <f t="shared" si="6"/>
        <v>0</v>
      </c>
      <c r="K25" s="505">
        <f t="shared" si="6"/>
        <v>0</v>
      </c>
      <c r="L25" s="505">
        <f t="shared" si="6"/>
        <v>0</v>
      </c>
      <c r="M25" s="505">
        <v>0</v>
      </c>
      <c r="N25" s="505">
        <f t="shared" si="7"/>
        <v>0</v>
      </c>
      <c r="O25" s="506">
        <f t="shared" si="1"/>
        <v>0</v>
      </c>
    </row>
    <row r="26" spans="1:15" ht="15" hidden="1" customHeight="1" x14ac:dyDescent="0.2">
      <c r="A26" s="1034"/>
      <c r="B26" s="507" t="s">
        <v>136</v>
      </c>
      <c r="C26" s="505">
        <v>0</v>
      </c>
      <c r="D26" s="505">
        <f t="shared" si="4"/>
        <v>0</v>
      </c>
      <c r="E26" s="505">
        <f t="shared" si="4"/>
        <v>0</v>
      </c>
      <c r="F26" s="505">
        <f t="shared" si="4"/>
        <v>0</v>
      </c>
      <c r="G26" s="505">
        <f t="shared" si="4"/>
        <v>0</v>
      </c>
      <c r="H26" s="505">
        <v>0</v>
      </c>
      <c r="I26" s="505">
        <f t="shared" si="6"/>
        <v>0</v>
      </c>
      <c r="J26" s="505">
        <f t="shared" si="6"/>
        <v>0</v>
      </c>
      <c r="K26" s="505">
        <f t="shared" si="6"/>
        <v>0</v>
      </c>
      <c r="L26" s="505">
        <f t="shared" si="6"/>
        <v>0</v>
      </c>
      <c r="M26" s="505">
        <v>0</v>
      </c>
      <c r="N26" s="505">
        <f t="shared" si="7"/>
        <v>0</v>
      </c>
      <c r="O26" s="506">
        <f t="shared" si="1"/>
        <v>0</v>
      </c>
    </row>
    <row r="27" spans="1:15" ht="15" hidden="1" customHeight="1" x14ac:dyDescent="0.2">
      <c r="A27" s="1034"/>
      <c r="B27" s="507" t="s">
        <v>137</v>
      </c>
      <c r="C27" s="505">
        <v>0</v>
      </c>
      <c r="D27" s="505">
        <f t="shared" si="4"/>
        <v>0</v>
      </c>
      <c r="E27" s="505">
        <f t="shared" si="4"/>
        <v>0</v>
      </c>
      <c r="F27" s="505">
        <f t="shared" si="4"/>
        <v>0</v>
      </c>
      <c r="G27" s="505">
        <f t="shared" si="4"/>
        <v>0</v>
      </c>
      <c r="H27" s="505">
        <v>0</v>
      </c>
      <c r="I27" s="505">
        <f t="shared" si="6"/>
        <v>0</v>
      </c>
      <c r="J27" s="505">
        <f t="shared" si="6"/>
        <v>0</v>
      </c>
      <c r="K27" s="505">
        <f t="shared" si="6"/>
        <v>0</v>
      </c>
      <c r="L27" s="505">
        <f t="shared" si="6"/>
        <v>0</v>
      </c>
      <c r="M27" s="505">
        <v>0</v>
      </c>
      <c r="N27" s="505">
        <f t="shared" si="7"/>
        <v>0</v>
      </c>
      <c r="O27" s="506">
        <f t="shared" si="1"/>
        <v>0</v>
      </c>
    </row>
    <row r="28" spans="1:15" ht="15" hidden="1" customHeight="1" x14ac:dyDescent="0.2">
      <c r="A28" s="1034"/>
      <c r="B28" s="507" t="s">
        <v>138</v>
      </c>
      <c r="C28" s="505">
        <v>0</v>
      </c>
      <c r="D28" s="505">
        <f t="shared" si="4"/>
        <v>0</v>
      </c>
      <c r="E28" s="505">
        <f t="shared" si="4"/>
        <v>0</v>
      </c>
      <c r="F28" s="505">
        <f t="shared" si="4"/>
        <v>0</v>
      </c>
      <c r="G28" s="505">
        <f t="shared" si="4"/>
        <v>0</v>
      </c>
      <c r="H28" s="505">
        <v>0</v>
      </c>
      <c r="I28" s="505">
        <f t="shared" si="6"/>
        <v>0</v>
      </c>
      <c r="J28" s="505">
        <f t="shared" si="6"/>
        <v>0</v>
      </c>
      <c r="K28" s="505">
        <f t="shared" si="6"/>
        <v>0</v>
      </c>
      <c r="L28" s="505">
        <f t="shared" si="6"/>
        <v>0</v>
      </c>
      <c r="M28" s="505">
        <v>0</v>
      </c>
      <c r="N28" s="505">
        <f t="shared" si="7"/>
        <v>0</v>
      </c>
      <c r="O28" s="506">
        <f t="shared" si="1"/>
        <v>0</v>
      </c>
    </row>
    <row r="29" spans="1:15" ht="15" hidden="1" customHeight="1" x14ac:dyDescent="0.2">
      <c r="A29" s="1034"/>
      <c r="B29" s="507" t="s">
        <v>139</v>
      </c>
      <c r="C29" s="505">
        <v>0</v>
      </c>
      <c r="D29" s="505">
        <f t="shared" si="4"/>
        <v>0</v>
      </c>
      <c r="E29" s="505">
        <f t="shared" si="4"/>
        <v>0</v>
      </c>
      <c r="F29" s="505">
        <f t="shared" si="4"/>
        <v>0</v>
      </c>
      <c r="G29" s="505">
        <f t="shared" si="4"/>
        <v>0</v>
      </c>
      <c r="H29" s="505">
        <v>0</v>
      </c>
      <c r="I29" s="505">
        <f t="shared" si="6"/>
        <v>0</v>
      </c>
      <c r="J29" s="505">
        <f t="shared" si="6"/>
        <v>0</v>
      </c>
      <c r="K29" s="505">
        <f t="shared" si="6"/>
        <v>0</v>
      </c>
      <c r="L29" s="505">
        <f t="shared" si="6"/>
        <v>0</v>
      </c>
      <c r="M29" s="505">
        <v>0</v>
      </c>
      <c r="N29" s="505">
        <f t="shared" si="7"/>
        <v>0</v>
      </c>
      <c r="O29" s="506">
        <f t="shared" si="1"/>
        <v>0</v>
      </c>
    </row>
    <row r="30" spans="1:15" ht="15" hidden="1" customHeight="1" x14ac:dyDescent="0.2">
      <c r="A30" s="1034"/>
      <c r="B30" s="507" t="s">
        <v>140</v>
      </c>
      <c r="C30" s="505">
        <v>0</v>
      </c>
      <c r="D30" s="505">
        <f t="shared" si="4"/>
        <v>0</v>
      </c>
      <c r="E30" s="505">
        <f t="shared" si="4"/>
        <v>0</v>
      </c>
      <c r="F30" s="505">
        <f t="shared" si="4"/>
        <v>0</v>
      </c>
      <c r="G30" s="505">
        <f t="shared" si="4"/>
        <v>0</v>
      </c>
      <c r="H30" s="505">
        <v>0</v>
      </c>
      <c r="I30" s="505">
        <f t="shared" si="6"/>
        <v>0</v>
      </c>
      <c r="J30" s="505">
        <f t="shared" si="6"/>
        <v>0</v>
      </c>
      <c r="K30" s="505">
        <f t="shared" si="6"/>
        <v>0</v>
      </c>
      <c r="L30" s="505">
        <f t="shared" si="6"/>
        <v>0</v>
      </c>
      <c r="M30" s="505">
        <v>0</v>
      </c>
      <c r="N30" s="505">
        <f t="shared" si="7"/>
        <v>0</v>
      </c>
      <c r="O30" s="506">
        <f t="shared" si="1"/>
        <v>0</v>
      </c>
    </row>
    <row r="31" spans="1:15" ht="15" hidden="1" customHeight="1" x14ac:dyDescent="0.2">
      <c r="A31" s="1034"/>
      <c r="B31" s="507" t="s">
        <v>225</v>
      </c>
      <c r="C31" s="505">
        <v>0</v>
      </c>
      <c r="D31" s="505">
        <f t="shared" si="4"/>
        <v>0</v>
      </c>
      <c r="E31" s="505">
        <f t="shared" si="4"/>
        <v>0</v>
      </c>
      <c r="F31" s="505">
        <f t="shared" si="4"/>
        <v>0</v>
      </c>
      <c r="G31" s="505">
        <f t="shared" si="4"/>
        <v>0</v>
      </c>
      <c r="H31" s="505">
        <v>0</v>
      </c>
      <c r="I31" s="505">
        <f t="shared" si="6"/>
        <v>0</v>
      </c>
      <c r="J31" s="505">
        <f t="shared" si="6"/>
        <v>0</v>
      </c>
      <c r="K31" s="505">
        <f t="shared" si="6"/>
        <v>0</v>
      </c>
      <c r="L31" s="505">
        <f t="shared" si="6"/>
        <v>0</v>
      </c>
      <c r="M31" s="505">
        <v>0</v>
      </c>
      <c r="N31" s="505">
        <f t="shared" si="7"/>
        <v>0</v>
      </c>
      <c r="O31" s="506">
        <f t="shared" si="1"/>
        <v>0</v>
      </c>
    </row>
    <row r="32" spans="1:15" ht="15" customHeight="1" x14ac:dyDescent="0.2">
      <c r="A32" s="1034"/>
      <c r="B32" s="511" t="s">
        <v>142</v>
      </c>
      <c r="C32" s="505">
        <v>0</v>
      </c>
      <c r="D32" s="505">
        <f t="shared" si="4"/>
        <v>0</v>
      </c>
      <c r="E32" s="505">
        <v>687687</v>
      </c>
      <c r="F32" s="505">
        <v>0</v>
      </c>
      <c r="G32" s="505">
        <f t="shared" si="4"/>
        <v>0</v>
      </c>
      <c r="H32" s="505">
        <v>0</v>
      </c>
      <c r="I32" s="505">
        <f t="shared" si="6"/>
        <v>0</v>
      </c>
      <c r="J32" s="505">
        <f t="shared" si="6"/>
        <v>0</v>
      </c>
      <c r="K32" s="505">
        <f t="shared" si="6"/>
        <v>0</v>
      </c>
      <c r="L32" s="505">
        <f t="shared" si="6"/>
        <v>0</v>
      </c>
      <c r="M32" s="505">
        <v>0</v>
      </c>
      <c r="N32" s="505">
        <f t="shared" si="7"/>
        <v>0</v>
      </c>
      <c r="O32" s="506">
        <f t="shared" si="1"/>
        <v>687687</v>
      </c>
    </row>
    <row r="33" spans="1:18" ht="15" customHeight="1" x14ac:dyDescent="0.2">
      <c r="A33" s="1035"/>
      <c r="B33" s="507" t="s">
        <v>141</v>
      </c>
      <c r="C33" s="505">
        <v>0</v>
      </c>
      <c r="D33" s="505">
        <f t="shared" si="4"/>
        <v>0</v>
      </c>
      <c r="E33" s="505">
        <f t="shared" si="4"/>
        <v>0</v>
      </c>
      <c r="F33" s="505">
        <f t="shared" si="4"/>
        <v>0</v>
      </c>
      <c r="G33" s="505">
        <f t="shared" si="4"/>
        <v>0</v>
      </c>
      <c r="H33" s="505">
        <v>0</v>
      </c>
      <c r="I33" s="505">
        <f t="shared" si="6"/>
        <v>0</v>
      </c>
      <c r="J33" s="505">
        <f t="shared" si="6"/>
        <v>0</v>
      </c>
      <c r="K33" s="505">
        <f t="shared" si="6"/>
        <v>0</v>
      </c>
      <c r="L33" s="505">
        <f t="shared" si="6"/>
        <v>0</v>
      </c>
      <c r="M33" s="505">
        <v>0</v>
      </c>
      <c r="N33" s="505">
        <f t="shared" si="7"/>
        <v>0</v>
      </c>
      <c r="O33" s="506">
        <f t="shared" si="1"/>
        <v>0</v>
      </c>
    </row>
    <row r="34" spans="1:18" ht="15" customHeight="1" x14ac:dyDescent="0.2">
      <c r="A34" s="624"/>
      <c r="B34" s="625" t="s">
        <v>637</v>
      </c>
      <c r="C34" s="505">
        <v>0</v>
      </c>
      <c r="D34" s="505">
        <f t="shared" si="4"/>
        <v>0</v>
      </c>
      <c r="E34" s="505">
        <f t="shared" si="4"/>
        <v>0</v>
      </c>
      <c r="F34" s="505">
        <f t="shared" si="4"/>
        <v>0</v>
      </c>
      <c r="G34" s="505">
        <f t="shared" si="4"/>
        <v>0</v>
      </c>
      <c r="H34" s="505">
        <v>0</v>
      </c>
      <c r="I34" s="505">
        <f>+H34</f>
        <v>0</v>
      </c>
      <c r="J34" s="505">
        <v>6908</v>
      </c>
      <c r="K34" s="505">
        <v>0</v>
      </c>
      <c r="L34" s="505">
        <f>+K34</f>
        <v>0</v>
      </c>
      <c r="M34" s="505">
        <v>0</v>
      </c>
      <c r="N34" s="505">
        <f t="shared" si="7"/>
        <v>0</v>
      </c>
      <c r="O34" s="506">
        <f t="shared" si="1"/>
        <v>6908</v>
      </c>
    </row>
    <row r="35" spans="1:18" ht="15" customHeight="1" x14ac:dyDescent="0.2">
      <c r="A35" s="1036" t="s">
        <v>143</v>
      </c>
      <c r="B35" s="1037"/>
      <c r="C35" s="505">
        <v>0</v>
      </c>
      <c r="D35" s="505">
        <f t="shared" si="4"/>
        <v>0</v>
      </c>
      <c r="E35" s="505">
        <f t="shared" si="4"/>
        <v>0</v>
      </c>
      <c r="F35" s="505">
        <f t="shared" si="4"/>
        <v>0</v>
      </c>
      <c r="G35" s="505">
        <f t="shared" si="4"/>
        <v>0</v>
      </c>
      <c r="H35" s="505">
        <v>0</v>
      </c>
      <c r="I35" s="505">
        <f>+H35</f>
        <v>0</v>
      </c>
      <c r="J35" s="505">
        <f>+I35</f>
        <v>0</v>
      </c>
      <c r="K35" s="505">
        <f>+J35</f>
        <v>0</v>
      </c>
      <c r="L35" s="505">
        <f>+K35</f>
        <v>0</v>
      </c>
      <c r="M35" s="505">
        <v>0</v>
      </c>
      <c r="N35" s="505">
        <f t="shared" si="7"/>
        <v>0</v>
      </c>
      <c r="O35" s="506">
        <f t="shared" si="1"/>
        <v>0</v>
      </c>
    </row>
    <row r="36" spans="1:18" ht="15" customHeight="1" x14ac:dyDescent="0.2">
      <c r="A36" s="1036" t="s">
        <v>145</v>
      </c>
      <c r="B36" s="1037"/>
      <c r="C36" s="505">
        <v>0</v>
      </c>
      <c r="D36" s="505">
        <v>216</v>
      </c>
      <c r="E36" s="505">
        <v>0</v>
      </c>
      <c r="F36" s="505">
        <f>+E36</f>
        <v>0</v>
      </c>
      <c r="G36" s="505">
        <f t="shared" ref="G36:G37" si="8">+F36</f>
        <v>0</v>
      </c>
      <c r="H36" s="505">
        <v>0</v>
      </c>
      <c r="I36" s="505">
        <f>+H36</f>
        <v>0</v>
      </c>
      <c r="J36" s="505">
        <v>216</v>
      </c>
      <c r="K36" s="505">
        <v>0</v>
      </c>
      <c r="L36" s="505">
        <f>+K36</f>
        <v>0</v>
      </c>
      <c r="M36" s="505">
        <v>0</v>
      </c>
      <c r="N36" s="505">
        <f t="shared" si="7"/>
        <v>0</v>
      </c>
      <c r="O36" s="506">
        <f t="shared" si="1"/>
        <v>432</v>
      </c>
    </row>
    <row r="37" spans="1:18" ht="15" customHeight="1" x14ac:dyDescent="0.2">
      <c r="A37" s="1036" t="s">
        <v>146</v>
      </c>
      <c r="B37" s="1037"/>
      <c r="C37" s="505">
        <v>0</v>
      </c>
      <c r="D37" s="505">
        <v>3030</v>
      </c>
      <c r="E37" s="505">
        <v>0</v>
      </c>
      <c r="F37" s="505">
        <f>+E37</f>
        <v>0</v>
      </c>
      <c r="G37" s="505">
        <f t="shared" si="8"/>
        <v>0</v>
      </c>
      <c r="H37" s="505">
        <v>0</v>
      </c>
      <c r="I37" s="505">
        <f>+H37</f>
        <v>0</v>
      </c>
      <c r="J37" s="505">
        <v>3120</v>
      </c>
      <c r="K37" s="505">
        <v>0</v>
      </c>
      <c r="L37" s="505">
        <f>+K37</f>
        <v>0</v>
      </c>
      <c r="M37" s="505">
        <v>0</v>
      </c>
      <c r="N37" s="505">
        <f t="shared" si="7"/>
        <v>0</v>
      </c>
      <c r="O37" s="506">
        <f t="shared" si="1"/>
        <v>6150</v>
      </c>
    </row>
    <row r="38" spans="1:18" ht="15" customHeight="1" x14ac:dyDescent="0.2">
      <c r="A38" s="513"/>
      <c r="B38" s="514" t="s">
        <v>147</v>
      </c>
      <c r="C38" s="515">
        <f>SUM(C9:C37)</f>
        <v>68925</v>
      </c>
      <c r="D38" s="515">
        <f>SUM(D9:D37)</f>
        <v>73253</v>
      </c>
      <c r="E38" s="515">
        <f>SUM(E9:E37)</f>
        <v>757694</v>
      </c>
      <c r="F38" s="515">
        <v>5022</v>
      </c>
      <c r="G38" s="515">
        <f t="shared" ref="G38:N38" si="9">SUM(G9:G37)</f>
        <v>71972</v>
      </c>
      <c r="H38" s="515">
        <f t="shared" si="9"/>
        <v>71972</v>
      </c>
      <c r="I38" s="515">
        <f t="shared" si="9"/>
        <v>71972</v>
      </c>
      <c r="J38" s="515">
        <f t="shared" si="9"/>
        <v>83328</v>
      </c>
      <c r="K38" s="515">
        <f t="shared" si="9"/>
        <v>73084</v>
      </c>
      <c r="L38" s="515">
        <f t="shared" si="9"/>
        <v>73084</v>
      </c>
      <c r="M38" s="515">
        <f t="shared" si="9"/>
        <v>73084</v>
      </c>
      <c r="N38" s="515">
        <f t="shared" si="9"/>
        <v>73084</v>
      </c>
      <c r="O38" s="516">
        <f t="shared" si="1"/>
        <v>1496474</v>
      </c>
    </row>
    <row r="39" spans="1:18" ht="15" customHeight="1" x14ac:dyDescent="0.2">
      <c r="A39" s="995" t="s">
        <v>148</v>
      </c>
      <c r="B39" s="517" t="s">
        <v>149</v>
      </c>
      <c r="C39" s="508">
        <v>300</v>
      </c>
      <c r="D39" s="508">
        <v>500</v>
      </c>
      <c r="E39" s="508">
        <v>69269</v>
      </c>
      <c r="F39" s="508">
        <v>500</v>
      </c>
      <c r="G39" s="508">
        <v>500</v>
      </c>
      <c r="H39" s="508">
        <v>500</v>
      </c>
      <c r="I39" s="508">
        <v>500</v>
      </c>
      <c r="J39" s="508">
        <v>1000</v>
      </c>
      <c r="K39" s="508">
        <v>0</v>
      </c>
      <c r="L39" s="508">
        <v>0</v>
      </c>
      <c r="M39" s="508">
        <v>0</v>
      </c>
      <c r="N39" s="508">
        <v>0</v>
      </c>
      <c r="O39" s="506">
        <f t="shared" si="1"/>
        <v>73069</v>
      </c>
      <c r="P39" s="518"/>
    </row>
    <row r="40" spans="1:18" ht="15" x14ac:dyDescent="0.2">
      <c r="A40" s="996"/>
      <c r="B40" s="517" t="s">
        <v>150</v>
      </c>
      <c r="C40" s="508">
        <v>0</v>
      </c>
      <c r="D40" s="508">
        <v>0</v>
      </c>
      <c r="E40" s="508">
        <v>0</v>
      </c>
      <c r="F40" s="508">
        <v>0</v>
      </c>
      <c r="G40" s="508">
        <v>0</v>
      </c>
      <c r="H40" s="508">
        <v>0</v>
      </c>
      <c r="I40" s="508">
        <v>0</v>
      </c>
      <c r="J40" s="508">
        <v>0</v>
      </c>
      <c r="K40" s="508">
        <v>0</v>
      </c>
      <c r="L40" s="508">
        <v>0</v>
      </c>
      <c r="M40" s="508">
        <v>0</v>
      </c>
      <c r="N40" s="508">
        <v>0</v>
      </c>
      <c r="O40" s="506">
        <f t="shared" si="1"/>
        <v>0</v>
      </c>
      <c r="R40" s="490"/>
    </row>
    <row r="41" spans="1:18" ht="15" x14ac:dyDescent="0.2">
      <c r="A41" s="996"/>
      <c r="B41" s="517" t="s">
        <v>151</v>
      </c>
      <c r="C41" s="508">
        <v>30</v>
      </c>
      <c r="D41" s="508">
        <v>30</v>
      </c>
      <c r="E41" s="508">
        <v>30</v>
      </c>
      <c r="F41" s="508">
        <v>30</v>
      </c>
      <c r="G41" s="508">
        <v>30</v>
      </c>
      <c r="H41" s="508">
        <v>30</v>
      </c>
      <c r="I41" s="508">
        <v>30</v>
      </c>
      <c r="J41" s="508">
        <v>30</v>
      </c>
      <c r="K41" s="508">
        <v>30</v>
      </c>
      <c r="L41" s="508">
        <v>30</v>
      </c>
      <c r="M41" s="508">
        <v>30</v>
      </c>
      <c r="N41" s="508">
        <v>30</v>
      </c>
      <c r="O41" s="506">
        <f t="shared" si="1"/>
        <v>360</v>
      </c>
    </row>
    <row r="42" spans="1:18" ht="15" x14ac:dyDescent="0.2">
      <c r="A42" s="996"/>
      <c r="B42" s="517" t="s">
        <v>152</v>
      </c>
      <c r="C42" s="508">
        <v>0</v>
      </c>
      <c r="D42" s="508">
        <v>0</v>
      </c>
      <c r="E42" s="508">
        <v>0</v>
      </c>
      <c r="F42" s="508">
        <v>0</v>
      </c>
      <c r="G42" s="508">
        <v>0</v>
      </c>
      <c r="H42" s="508">
        <v>0</v>
      </c>
      <c r="I42" s="508">
        <v>0</v>
      </c>
      <c r="J42" s="508">
        <v>0</v>
      </c>
      <c r="K42" s="508">
        <v>0</v>
      </c>
      <c r="L42" s="508">
        <v>0</v>
      </c>
      <c r="M42" s="508">
        <v>0</v>
      </c>
      <c r="N42" s="508">
        <v>0</v>
      </c>
      <c r="O42" s="506">
        <f t="shared" si="1"/>
        <v>0</v>
      </c>
    </row>
    <row r="43" spans="1:18" ht="15" x14ac:dyDescent="0.2">
      <c r="A43" s="996"/>
      <c r="B43" s="517" t="s">
        <v>153</v>
      </c>
      <c r="C43" s="508">
        <v>250</v>
      </c>
      <c r="D43" s="508">
        <v>250</v>
      </c>
      <c r="E43" s="508">
        <v>250</v>
      </c>
      <c r="F43" s="508">
        <v>250</v>
      </c>
      <c r="G43" s="508">
        <v>450</v>
      </c>
      <c r="H43" s="508">
        <v>450</v>
      </c>
      <c r="I43" s="508">
        <v>450</v>
      </c>
      <c r="J43" s="508">
        <v>450</v>
      </c>
      <c r="K43" s="508">
        <v>450</v>
      </c>
      <c r="L43" s="508">
        <v>450</v>
      </c>
      <c r="M43" s="508">
        <v>450</v>
      </c>
      <c r="N43" s="508">
        <v>450</v>
      </c>
      <c r="O43" s="506">
        <f t="shared" si="1"/>
        <v>4600</v>
      </c>
    </row>
    <row r="44" spans="1:18" ht="15" x14ac:dyDescent="0.2">
      <c r="A44" s="996"/>
      <c r="B44" s="517" t="s">
        <v>154</v>
      </c>
      <c r="C44" s="508">
        <v>4000</v>
      </c>
      <c r="D44" s="508">
        <v>4000</v>
      </c>
      <c r="E44" s="508">
        <v>4000</v>
      </c>
      <c r="F44" s="508">
        <v>4000</v>
      </c>
      <c r="G44" s="508">
        <v>4000</v>
      </c>
      <c r="H44" s="508">
        <v>4000</v>
      </c>
      <c r="I44" s="508">
        <v>4000</v>
      </c>
      <c r="J44" s="508">
        <v>4000</v>
      </c>
      <c r="K44" s="508">
        <v>4000</v>
      </c>
      <c r="L44" s="508">
        <v>10000</v>
      </c>
      <c r="M44" s="508">
        <v>10000</v>
      </c>
      <c r="N44" s="508">
        <v>10000</v>
      </c>
      <c r="O44" s="506">
        <f t="shared" si="1"/>
        <v>66000</v>
      </c>
    </row>
    <row r="45" spans="1:18" ht="15" x14ac:dyDescent="0.2">
      <c r="A45" s="996"/>
      <c r="B45" s="517" t="s">
        <v>155</v>
      </c>
      <c r="C45" s="508">
        <v>200</v>
      </c>
      <c r="D45" s="508">
        <v>200</v>
      </c>
      <c r="E45" s="508">
        <v>200</v>
      </c>
      <c r="F45" s="508">
        <v>200</v>
      </c>
      <c r="G45" s="508">
        <v>200</v>
      </c>
      <c r="H45" s="508">
        <v>200</v>
      </c>
      <c r="I45" s="508">
        <v>200</v>
      </c>
      <c r="J45" s="508">
        <v>200</v>
      </c>
      <c r="K45" s="508">
        <v>200</v>
      </c>
      <c r="L45" s="508">
        <v>200</v>
      </c>
      <c r="M45" s="508">
        <v>200</v>
      </c>
      <c r="N45" s="508">
        <v>300</v>
      </c>
      <c r="O45" s="506">
        <f t="shared" si="1"/>
        <v>2500</v>
      </c>
    </row>
    <row r="46" spans="1:18" ht="15" x14ac:dyDescent="0.2">
      <c r="A46" s="996"/>
      <c r="B46" s="517" t="s">
        <v>156</v>
      </c>
      <c r="C46" s="508">
        <v>0</v>
      </c>
      <c r="D46" s="508">
        <v>0</v>
      </c>
      <c r="E46" s="508">
        <v>0</v>
      </c>
      <c r="F46" s="508">
        <v>0</v>
      </c>
      <c r="G46" s="508">
        <v>0</v>
      </c>
      <c r="H46" s="508">
        <v>0</v>
      </c>
      <c r="I46" s="508">
        <v>0</v>
      </c>
      <c r="J46" s="508">
        <v>0</v>
      </c>
      <c r="K46" s="508">
        <v>0</v>
      </c>
      <c r="L46" s="508">
        <v>0</v>
      </c>
      <c r="M46" s="508">
        <v>0</v>
      </c>
      <c r="N46" s="508">
        <v>0</v>
      </c>
      <c r="O46" s="506">
        <f t="shared" si="1"/>
        <v>0</v>
      </c>
    </row>
    <row r="47" spans="1:18" ht="15" x14ac:dyDescent="0.2">
      <c r="A47" s="996"/>
      <c r="B47" s="517" t="s">
        <v>157</v>
      </c>
      <c r="C47" s="508">
        <v>0</v>
      </c>
      <c r="D47" s="508">
        <v>0</v>
      </c>
      <c r="E47" s="508">
        <v>0</v>
      </c>
      <c r="F47" s="508">
        <v>0</v>
      </c>
      <c r="G47" s="508">
        <v>0</v>
      </c>
      <c r="H47" s="508">
        <v>0</v>
      </c>
      <c r="I47" s="508">
        <v>0</v>
      </c>
      <c r="J47" s="508">
        <v>0</v>
      </c>
      <c r="K47" s="508">
        <v>0</v>
      </c>
      <c r="L47" s="508">
        <v>0</v>
      </c>
      <c r="M47" s="508">
        <v>0</v>
      </c>
      <c r="N47" s="508">
        <v>0</v>
      </c>
      <c r="O47" s="506">
        <f t="shared" si="1"/>
        <v>0</v>
      </c>
    </row>
    <row r="48" spans="1:18" ht="28.5" customHeight="1" x14ac:dyDescent="0.2">
      <c r="A48" s="997"/>
      <c r="B48" s="520" t="s">
        <v>158</v>
      </c>
      <c r="C48" s="508">
        <v>3903</v>
      </c>
      <c r="D48" s="508">
        <v>3903</v>
      </c>
      <c r="E48" s="508">
        <v>3903</v>
      </c>
      <c r="F48" s="508">
        <v>3903</v>
      </c>
      <c r="G48" s="508">
        <v>3903</v>
      </c>
      <c r="H48" s="508">
        <v>3903</v>
      </c>
      <c r="I48" s="508">
        <v>3903</v>
      </c>
      <c r="J48" s="508">
        <v>3903</v>
      </c>
      <c r="K48" s="508">
        <v>3903</v>
      </c>
      <c r="L48" s="508">
        <v>3903</v>
      </c>
      <c r="M48" s="508">
        <v>3903</v>
      </c>
      <c r="N48" s="508">
        <v>3903</v>
      </c>
      <c r="O48" s="521">
        <f t="shared" si="1"/>
        <v>46836</v>
      </c>
    </row>
    <row r="49" spans="1:19" ht="45" x14ac:dyDescent="0.2">
      <c r="A49" s="998"/>
      <c r="B49" s="522" t="s">
        <v>675</v>
      </c>
      <c r="C49" s="508">
        <v>0</v>
      </c>
      <c r="D49" s="508">
        <v>0</v>
      </c>
      <c r="E49" s="508">
        <v>0</v>
      </c>
      <c r="F49" s="508">
        <v>0</v>
      </c>
      <c r="G49" s="508">
        <v>0</v>
      </c>
      <c r="H49" s="508">
        <v>0</v>
      </c>
      <c r="I49" s="508">
        <v>0</v>
      </c>
      <c r="J49" s="508">
        <v>0</v>
      </c>
      <c r="K49" s="508">
        <v>0</v>
      </c>
      <c r="L49" s="508">
        <v>0</v>
      </c>
      <c r="M49" s="508">
        <v>0</v>
      </c>
      <c r="N49" s="508">
        <v>0</v>
      </c>
      <c r="O49" s="521">
        <f t="shared" si="1"/>
        <v>0</v>
      </c>
    </row>
    <row r="50" spans="1:19" ht="15" x14ac:dyDescent="0.2">
      <c r="A50" s="999" t="s">
        <v>160</v>
      </c>
      <c r="B50" s="1000"/>
      <c r="C50" s="523">
        <f t="shared" ref="C50:N50" si="10">SUM(C39:C49)</f>
        <v>8683</v>
      </c>
      <c r="D50" s="523">
        <f t="shared" si="10"/>
        <v>8883</v>
      </c>
      <c r="E50" s="523">
        <f t="shared" si="10"/>
        <v>77652</v>
      </c>
      <c r="F50" s="523">
        <f t="shared" si="10"/>
        <v>8883</v>
      </c>
      <c r="G50" s="523">
        <f t="shared" si="10"/>
        <v>9083</v>
      </c>
      <c r="H50" s="523">
        <f t="shared" si="10"/>
        <v>9083</v>
      </c>
      <c r="I50" s="523">
        <f t="shared" si="10"/>
        <v>9083</v>
      </c>
      <c r="J50" s="523">
        <f t="shared" si="10"/>
        <v>9583</v>
      </c>
      <c r="K50" s="523">
        <f t="shared" si="10"/>
        <v>8583</v>
      </c>
      <c r="L50" s="523">
        <f t="shared" si="10"/>
        <v>14583</v>
      </c>
      <c r="M50" s="523">
        <f t="shared" si="10"/>
        <v>14583</v>
      </c>
      <c r="N50" s="523">
        <f t="shared" si="10"/>
        <v>14683</v>
      </c>
      <c r="O50" s="524">
        <f t="shared" si="1"/>
        <v>193365</v>
      </c>
    </row>
    <row r="51" spans="1:19" ht="15.75" thickBot="1" x14ac:dyDescent="0.25">
      <c r="A51" s="1001" t="s">
        <v>161</v>
      </c>
      <c r="B51" s="1002"/>
      <c r="C51" s="525">
        <f t="shared" ref="C51:N51" si="11">C38-C50</f>
        <v>60242</v>
      </c>
      <c r="D51" s="525">
        <f t="shared" si="11"/>
        <v>64370</v>
      </c>
      <c r="E51" s="525">
        <f t="shared" si="11"/>
        <v>680042</v>
      </c>
      <c r="F51" s="525">
        <f t="shared" si="11"/>
        <v>-3861</v>
      </c>
      <c r="G51" s="525">
        <f t="shared" si="11"/>
        <v>62889</v>
      </c>
      <c r="H51" s="525">
        <f t="shared" si="11"/>
        <v>62889</v>
      </c>
      <c r="I51" s="525">
        <f t="shared" si="11"/>
        <v>62889</v>
      </c>
      <c r="J51" s="525">
        <f t="shared" si="11"/>
        <v>73745</v>
      </c>
      <c r="K51" s="525">
        <f t="shared" si="11"/>
        <v>64501</v>
      </c>
      <c r="L51" s="525">
        <f t="shared" si="11"/>
        <v>58501</v>
      </c>
      <c r="M51" s="525">
        <f t="shared" si="11"/>
        <v>58501</v>
      </c>
      <c r="N51" s="525">
        <f t="shared" si="11"/>
        <v>58401</v>
      </c>
      <c r="O51" s="526">
        <f t="shared" si="1"/>
        <v>1303109</v>
      </c>
    </row>
    <row r="52" spans="1:19" x14ac:dyDescent="0.2">
      <c r="E52" s="528"/>
      <c r="J52" s="504">
        <f>+J38-SUM(J20:J37)</f>
        <v>73084</v>
      </c>
      <c r="M52" s="504">
        <f>20305+20467</f>
        <v>40772</v>
      </c>
      <c r="Q52" s="528"/>
    </row>
    <row r="53" spans="1:19" ht="13.5" thickBot="1" x14ac:dyDescent="0.25">
      <c r="J53" s="528">
        <f>+J52-J50</f>
        <v>63501</v>
      </c>
    </row>
    <row r="54" spans="1:19" ht="13.5" thickBot="1" x14ac:dyDescent="0.25">
      <c r="B54" s="955" t="s">
        <v>162</v>
      </c>
      <c r="C54" s="1003"/>
      <c r="D54" s="1003"/>
      <c r="E54" s="1003"/>
      <c r="F54" s="1004"/>
      <c r="G54" s="1005">
        <f>O38</f>
        <v>1496474</v>
      </c>
      <c r="H54" s="1006"/>
    </row>
    <row r="55" spans="1:19" ht="13.5" thickBot="1" x14ac:dyDescent="0.25"/>
    <row r="56" spans="1:19" x14ac:dyDescent="0.2">
      <c r="B56" s="1007" t="s">
        <v>163</v>
      </c>
      <c r="C56" s="1010" t="s">
        <v>164</v>
      </c>
      <c r="D56" s="1013" t="s">
        <v>229</v>
      </c>
      <c r="E56" s="1014"/>
      <c r="F56" s="1015"/>
      <c r="G56" s="1016">
        <v>40000</v>
      </c>
      <c r="H56" s="1017"/>
    </row>
    <row r="57" spans="1:19" x14ac:dyDescent="0.2">
      <c r="B57" s="1008"/>
      <c r="C57" s="1011"/>
      <c r="D57" s="1018" t="s">
        <v>166</v>
      </c>
      <c r="E57" s="1019"/>
      <c r="F57" s="1020"/>
      <c r="G57" s="1021">
        <f>+O45</f>
        <v>2500</v>
      </c>
      <c r="H57" s="1022"/>
      <c r="I57" s="529"/>
      <c r="J57" s="1090"/>
      <c r="K57" s="1090"/>
      <c r="L57" s="1090"/>
      <c r="M57" s="1091"/>
      <c r="N57" s="1091"/>
      <c r="O57" s="1091"/>
    </row>
    <row r="58" spans="1:19" ht="13.5" thickBot="1" x14ac:dyDescent="0.25">
      <c r="B58" s="1009"/>
      <c r="C58" s="1012"/>
      <c r="D58" s="1023" t="s">
        <v>243</v>
      </c>
      <c r="E58" s="1024"/>
      <c r="F58" s="1025"/>
      <c r="G58" s="1026">
        <f>IF(O18&gt;15000,15000,+O18)</f>
        <v>0</v>
      </c>
      <c r="H58" s="1027"/>
      <c r="J58" s="531"/>
      <c r="K58" s="531"/>
      <c r="L58" s="531"/>
      <c r="M58" s="531"/>
      <c r="N58" s="531"/>
      <c r="O58" s="531"/>
    </row>
    <row r="59" spans="1:19" ht="13.5" thickBot="1" x14ac:dyDescent="0.25">
      <c r="B59" s="532"/>
      <c r="J59" s="531"/>
      <c r="K59" s="531"/>
      <c r="L59" s="531"/>
      <c r="M59" s="531"/>
      <c r="N59" s="531"/>
      <c r="O59" s="531"/>
    </row>
    <row r="60" spans="1:19" ht="13.5" thickBot="1" x14ac:dyDescent="0.25">
      <c r="B60" s="955" t="s">
        <v>168</v>
      </c>
      <c r="C60" s="956"/>
      <c r="D60" s="956"/>
      <c r="E60" s="956"/>
      <c r="F60" s="957"/>
      <c r="G60" s="1028">
        <f>+G54-SUM(G56:H58)</f>
        <v>1453974</v>
      </c>
      <c r="H60" s="1029"/>
      <c r="J60" s="992" t="s">
        <v>169</v>
      </c>
      <c r="K60" s="993"/>
      <c r="L60" s="993"/>
      <c r="M60" s="993"/>
      <c r="N60" s="993"/>
      <c r="O60" s="994"/>
    </row>
    <row r="61" spans="1:19" ht="13.5" thickBot="1" x14ac:dyDescent="0.25">
      <c r="B61" s="533"/>
      <c r="C61" s="534"/>
      <c r="D61" s="534"/>
      <c r="E61" s="534"/>
      <c r="F61" s="534"/>
      <c r="G61" s="530"/>
      <c r="H61" s="534"/>
      <c r="J61" s="535"/>
      <c r="K61" s="536"/>
      <c r="L61" s="536"/>
      <c r="M61" s="536"/>
      <c r="N61" s="536"/>
      <c r="O61" s="537"/>
    </row>
    <row r="62" spans="1:19" ht="13.5" thickBot="1" x14ac:dyDescent="0.25">
      <c r="B62" s="955" t="s">
        <v>170</v>
      </c>
      <c r="C62" s="956"/>
      <c r="D62" s="956"/>
      <c r="E62" s="956"/>
      <c r="F62" s="957"/>
      <c r="G62" s="1047"/>
      <c r="H62" s="957"/>
      <c r="J62" s="535"/>
      <c r="K62" s="536"/>
      <c r="L62" s="536"/>
      <c r="M62" s="536"/>
      <c r="N62" s="536"/>
      <c r="O62" s="537"/>
    </row>
    <row r="63" spans="1:19" ht="12.75" customHeight="1" x14ac:dyDescent="0.2">
      <c r="B63" s="538" t="s">
        <v>171</v>
      </c>
      <c r="C63" s="977" t="s">
        <v>172</v>
      </c>
      <c r="D63" s="978"/>
      <c r="E63" s="978"/>
      <c r="F63" s="979"/>
      <c r="G63" s="980">
        <v>316233</v>
      </c>
      <c r="H63" s="980"/>
      <c r="I63" s="539"/>
      <c r="J63" s="981" t="s">
        <v>173</v>
      </c>
      <c r="K63" s="982"/>
      <c r="L63" s="982"/>
      <c r="M63" s="982"/>
      <c r="N63" s="982"/>
      <c r="O63" s="983"/>
      <c r="Q63" s="540"/>
      <c r="R63" s="540"/>
      <c r="S63" s="540"/>
    </row>
    <row r="64" spans="1:19" ht="13.5" thickBot="1" x14ac:dyDescent="0.25">
      <c r="D64" s="527"/>
      <c r="I64" s="539"/>
      <c r="J64" s="541" t="s">
        <v>254</v>
      </c>
      <c r="K64" s="631"/>
      <c r="L64" s="631"/>
      <c r="M64" s="632"/>
      <c r="N64" s="632"/>
      <c r="O64" s="633"/>
      <c r="Q64" s="540"/>
      <c r="R64" s="540"/>
      <c r="S64" s="540"/>
    </row>
    <row r="65" spans="2:19" ht="13.5" thickBot="1" x14ac:dyDescent="0.25">
      <c r="B65" s="955" t="s">
        <v>175</v>
      </c>
      <c r="C65" s="956"/>
      <c r="D65" s="956"/>
      <c r="E65" s="956"/>
      <c r="F65" s="957"/>
      <c r="G65" s="1047">
        <f>+G60-G63</f>
        <v>1137741</v>
      </c>
      <c r="H65" s="957"/>
      <c r="I65" s="544"/>
      <c r="J65" s="545"/>
      <c r="K65" s="529"/>
      <c r="L65" s="529"/>
      <c r="M65" s="529"/>
      <c r="N65" s="529"/>
      <c r="O65" s="546"/>
      <c r="Q65" s="540"/>
      <c r="R65" s="540"/>
      <c r="S65" s="540"/>
    </row>
    <row r="66" spans="2:19" ht="12.75" customHeight="1" x14ac:dyDescent="0.2">
      <c r="B66" s="532"/>
      <c r="C66" s="532"/>
      <c r="I66" s="544"/>
      <c r="J66" s="547"/>
      <c r="K66" s="529"/>
      <c r="L66" s="529"/>
      <c r="M66" s="529"/>
      <c r="N66" s="529"/>
      <c r="O66" s="546"/>
      <c r="Q66" s="540"/>
      <c r="R66" s="540"/>
      <c r="S66" s="540"/>
    </row>
    <row r="67" spans="2:19" x14ac:dyDescent="0.2">
      <c r="B67" s="548" t="s">
        <v>669</v>
      </c>
      <c r="C67" s="532"/>
      <c r="I67" s="544"/>
      <c r="J67" s="549"/>
      <c r="K67" s="550"/>
      <c r="L67" s="550"/>
      <c r="M67" s="550"/>
      <c r="N67" s="550"/>
      <c r="O67" s="551"/>
      <c r="Q67" s="540"/>
      <c r="R67" s="540"/>
      <c r="S67" s="540"/>
    </row>
    <row r="68" spans="2:19" ht="26.25" customHeight="1" thickBot="1" x14ac:dyDescent="0.25">
      <c r="B68" s="548"/>
      <c r="C68" s="532"/>
      <c r="G68" s="552" t="s">
        <v>177</v>
      </c>
      <c r="H68" s="552" t="s">
        <v>178</v>
      </c>
      <c r="I68" s="544"/>
      <c r="J68" s="981" t="s">
        <v>179</v>
      </c>
      <c r="K68" s="982"/>
      <c r="L68" s="553"/>
      <c r="M68" s="553"/>
      <c r="N68" s="553"/>
      <c r="O68" s="634" t="s">
        <v>267</v>
      </c>
      <c r="Q68" s="540"/>
      <c r="R68" s="540"/>
      <c r="S68" s="540"/>
    </row>
    <row r="69" spans="2:19" ht="12.75" customHeight="1" x14ac:dyDescent="0.2">
      <c r="B69" s="968" t="s">
        <v>180</v>
      </c>
      <c r="C69" s="971" t="s">
        <v>181</v>
      </c>
      <c r="D69" s="973" t="s">
        <v>182</v>
      </c>
      <c r="E69" s="974"/>
      <c r="F69" s="974"/>
      <c r="G69" s="555">
        <f>+O44</f>
        <v>66000</v>
      </c>
      <c r="H69" s="556">
        <f t="shared" ref="H69:H77" si="12">+G69</f>
        <v>66000</v>
      </c>
      <c r="I69" s="544"/>
      <c r="J69" s="545" t="s">
        <v>231</v>
      </c>
      <c r="K69" s="539"/>
      <c r="L69" s="539"/>
      <c r="M69" s="539"/>
      <c r="N69" s="539"/>
      <c r="O69" s="558">
        <v>46836</v>
      </c>
      <c r="Q69" s="540"/>
      <c r="R69" s="540"/>
      <c r="S69" s="540"/>
    </row>
    <row r="70" spans="2:19" ht="12.75" customHeight="1" x14ac:dyDescent="0.2">
      <c r="B70" s="969"/>
      <c r="C70" s="972"/>
      <c r="D70" s="975" t="s">
        <v>184</v>
      </c>
      <c r="E70" s="976"/>
      <c r="F70" s="976"/>
      <c r="G70" s="559">
        <f>+O48</f>
        <v>46836</v>
      </c>
      <c r="H70" s="560">
        <f t="shared" si="12"/>
        <v>46836</v>
      </c>
      <c r="I70" s="544"/>
      <c r="J70" s="561"/>
      <c r="K70" s="539"/>
      <c r="L70" s="539"/>
      <c r="M70" s="566"/>
      <c r="N70" s="550"/>
      <c r="O70" s="562"/>
      <c r="Q70" s="540"/>
      <c r="R70" s="540"/>
      <c r="S70" s="540"/>
    </row>
    <row r="71" spans="2:19" ht="12.75" customHeight="1" x14ac:dyDescent="0.2">
      <c r="B71" s="969"/>
      <c r="C71" s="972"/>
      <c r="D71" s="990" t="s">
        <v>185</v>
      </c>
      <c r="E71" s="991"/>
      <c r="F71" s="991"/>
      <c r="G71" s="563">
        <f>O41</f>
        <v>360</v>
      </c>
      <c r="H71" s="560">
        <f t="shared" si="12"/>
        <v>360</v>
      </c>
      <c r="I71" s="544"/>
      <c r="J71" s="545"/>
      <c r="K71" s="550"/>
      <c r="L71" s="550"/>
      <c r="M71" s="550"/>
      <c r="N71" s="550"/>
      <c r="O71" s="551"/>
    </row>
    <row r="72" spans="2:19" x14ac:dyDescent="0.2">
      <c r="B72" s="969"/>
      <c r="C72" s="972"/>
      <c r="D72" s="975" t="s">
        <v>186</v>
      </c>
      <c r="E72" s="976"/>
      <c r="F72" s="976"/>
      <c r="G72" s="565">
        <v>0</v>
      </c>
      <c r="H72" s="560">
        <f t="shared" si="12"/>
        <v>0</v>
      </c>
      <c r="I72" s="544"/>
      <c r="J72" s="561"/>
      <c r="K72" s="539"/>
      <c r="L72" s="539"/>
      <c r="M72" s="566"/>
      <c r="N72" s="539"/>
      <c r="O72" s="558"/>
    </row>
    <row r="73" spans="2:19" ht="12.75" customHeight="1" x14ac:dyDescent="0.2">
      <c r="B73" s="969"/>
      <c r="C73" s="972"/>
      <c r="D73" s="950" t="s">
        <v>188</v>
      </c>
      <c r="E73" s="976"/>
      <c r="F73" s="976"/>
      <c r="G73" s="563">
        <v>0</v>
      </c>
      <c r="H73" s="560">
        <f t="shared" si="12"/>
        <v>0</v>
      </c>
      <c r="I73" s="544"/>
      <c r="J73" s="547"/>
      <c r="K73" s="534"/>
      <c r="L73" s="534"/>
      <c r="M73" s="566"/>
      <c r="N73" s="534"/>
      <c r="O73" s="570"/>
    </row>
    <row r="74" spans="2:19" ht="14.25" customHeight="1" x14ac:dyDescent="0.2">
      <c r="B74" s="969"/>
      <c r="C74" s="972"/>
      <c r="D74" s="975" t="s">
        <v>190</v>
      </c>
      <c r="E74" s="976"/>
      <c r="F74" s="976"/>
      <c r="G74" s="568">
        <v>0</v>
      </c>
      <c r="H74" s="560">
        <f t="shared" si="12"/>
        <v>0</v>
      </c>
      <c r="I74" s="544"/>
      <c r="J74" s="547"/>
      <c r="K74" s="529"/>
      <c r="L74" s="529"/>
      <c r="M74" s="529"/>
      <c r="N74" s="529"/>
      <c r="O74" s="546"/>
    </row>
    <row r="75" spans="2:19" x14ac:dyDescent="0.2">
      <c r="B75" s="969"/>
      <c r="C75" s="972"/>
      <c r="D75" s="975" t="s">
        <v>191</v>
      </c>
      <c r="E75" s="976"/>
      <c r="F75" s="976"/>
      <c r="G75" s="565">
        <v>31443</v>
      </c>
      <c r="H75" s="560">
        <f t="shared" si="12"/>
        <v>31443</v>
      </c>
      <c r="I75" s="539"/>
      <c r="J75" s="572" t="s">
        <v>187</v>
      </c>
      <c r="K75" s="553"/>
      <c r="L75" s="553"/>
      <c r="M75" s="553"/>
      <c r="N75" s="553"/>
      <c r="O75" s="554"/>
    </row>
    <row r="76" spans="2:19" x14ac:dyDescent="0.2">
      <c r="B76" s="969"/>
      <c r="C76" s="571" t="s">
        <v>192</v>
      </c>
      <c r="D76" s="984" t="s">
        <v>193</v>
      </c>
      <c r="E76" s="985"/>
      <c r="F76" s="985"/>
      <c r="G76" s="563">
        <v>0</v>
      </c>
      <c r="H76" s="560">
        <f t="shared" si="12"/>
        <v>0</v>
      </c>
      <c r="I76" s="539"/>
      <c r="J76" s="545" t="s">
        <v>189</v>
      </c>
      <c r="K76" s="534"/>
      <c r="L76" s="534"/>
      <c r="M76" s="534"/>
      <c r="N76" s="534"/>
      <c r="O76" s="570">
        <f>O43</f>
        <v>4600</v>
      </c>
    </row>
    <row r="77" spans="2:19" ht="13.5" customHeight="1" thickBot="1" x14ac:dyDescent="0.25">
      <c r="B77" s="969"/>
      <c r="C77" s="571" t="s">
        <v>194</v>
      </c>
      <c r="D77" s="986" t="s">
        <v>195</v>
      </c>
      <c r="E77" s="986"/>
      <c r="F77" s="986"/>
      <c r="G77" s="573">
        <v>0</v>
      </c>
      <c r="H77" s="574">
        <f t="shared" si="12"/>
        <v>0</v>
      </c>
      <c r="I77" s="544"/>
      <c r="J77" s="644"/>
      <c r="K77" s="645"/>
      <c r="L77" s="645"/>
      <c r="M77" s="620"/>
      <c r="N77" s="620"/>
      <c r="O77" s="621"/>
    </row>
    <row r="78" spans="2:19" ht="13.5" thickBot="1" x14ac:dyDescent="0.25">
      <c r="B78" s="969"/>
      <c r="C78" s="575"/>
      <c r="D78" s="576"/>
      <c r="E78" s="987" t="s">
        <v>117</v>
      </c>
      <c r="F78" s="988"/>
      <c r="G78" s="577">
        <f>SUM(G69:G77)</f>
        <v>144639</v>
      </c>
      <c r="H78" s="578">
        <f>IF(SUM(G69:G75)&lt;150000,SUM(G69:G75),150000)+IF(+G76&lt;20000,+G76,20000)</f>
        <v>144639</v>
      </c>
      <c r="I78" s="544"/>
      <c r="J78" s="579"/>
      <c r="K78" s="580"/>
      <c r="L78" s="580"/>
      <c r="M78" s="581"/>
      <c r="N78" s="581"/>
      <c r="O78" s="582"/>
    </row>
    <row r="79" spans="2:19" ht="12.75" customHeight="1" x14ac:dyDescent="0.2">
      <c r="B79" s="969"/>
      <c r="C79" s="583" t="s">
        <v>196</v>
      </c>
      <c r="D79" s="975" t="s">
        <v>187</v>
      </c>
      <c r="E79" s="976"/>
      <c r="F79" s="989"/>
      <c r="G79" s="555">
        <v>16600</v>
      </c>
      <c r="H79" s="584">
        <f>+IF(+G79&lt;25000,+G79,25000)</f>
        <v>16600</v>
      </c>
      <c r="I79" s="585"/>
    </row>
    <row r="80" spans="2:19" x14ac:dyDescent="0.2">
      <c r="B80" s="969"/>
      <c r="C80" s="583" t="s">
        <v>197</v>
      </c>
      <c r="D80" s="950" t="s">
        <v>198</v>
      </c>
      <c r="E80" s="951"/>
      <c r="F80" s="952"/>
      <c r="G80" s="586"/>
      <c r="H80" s="587">
        <f>+IF(+G80&lt;40000,+G80,40000)</f>
        <v>0</v>
      </c>
      <c r="I80" s="544"/>
    </row>
    <row r="81" spans="2:19" x14ac:dyDescent="0.2">
      <c r="B81" s="969"/>
      <c r="C81" s="583" t="s">
        <v>199</v>
      </c>
      <c r="D81" s="950" t="s">
        <v>200</v>
      </c>
      <c r="E81" s="951"/>
      <c r="F81" s="952"/>
      <c r="G81" s="565"/>
      <c r="H81" s="588">
        <v>0</v>
      </c>
      <c r="I81" s="544"/>
      <c r="J81" s="590"/>
    </row>
    <row r="82" spans="2:19" x14ac:dyDescent="0.2">
      <c r="B82" s="969"/>
      <c r="C82" s="583" t="s">
        <v>201</v>
      </c>
      <c r="D82" s="950" t="s">
        <v>202</v>
      </c>
      <c r="E82" s="951"/>
      <c r="F82" s="952"/>
      <c r="G82" s="565"/>
      <c r="H82" s="588">
        <v>0</v>
      </c>
      <c r="I82" s="544"/>
    </row>
    <row r="83" spans="2:19" ht="13.5" thickBot="1" x14ac:dyDescent="0.25">
      <c r="B83" s="970"/>
      <c r="C83" s="583" t="s">
        <v>203</v>
      </c>
      <c r="D83" s="950" t="s">
        <v>204</v>
      </c>
      <c r="E83" s="951"/>
      <c r="F83" s="952"/>
      <c r="G83" s="586"/>
      <c r="H83" s="587">
        <f>+IF(+G83&lt;100000,+G83,10000)</f>
        <v>0</v>
      </c>
      <c r="I83" s="544"/>
    </row>
    <row r="84" spans="2:19" ht="13.5" thickBot="1" x14ac:dyDescent="0.25">
      <c r="B84" s="953" t="s">
        <v>205</v>
      </c>
      <c r="C84" s="954"/>
      <c r="D84" s="954"/>
      <c r="E84" s="954"/>
      <c r="F84" s="954"/>
      <c r="G84" s="591">
        <f>SUM(G79:G83)</f>
        <v>16600</v>
      </c>
      <c r="H84" s="592">
        <f>SUM(H78:H83)</f>
        <v>161239</v>
      </c>
    </row>
    <row r="85" spans="2:19" ht="13.5" thickBot="1" x14ac:dyDescent="0.25"/>
    <row r="86" spans="2:19" ht="13.5" thickBot="1" x14ac:dyDescent="0.25">
      <c r="B86" s="955" t="s">
        <v>206</v>
      </c>
      <c r="C86" s="956"/>
      <c r="D86" s="956"/>
      <c r="E86" s="956"/>
      <c r="F86" s="957"/>
      <c r="G86" s="958">
        <f>+G65-H84</f>
        <v>976502</v>
      </c>
      <c r="H86" s="957"/>
      <c r="J86" s="605">
        <f>C38+D38+E38+F38</f>
        <v>904894</v>
      </c>
      <c r="K86" s="504" t="s">
        <v>235</v>
      </c>
      <c r="P86" s="605"/>
      <c r="Q86" s="605"/>
      <c r="R86" s="605"/>
      <c r="S86" s="605"/>
    </row>
    <row r="87" spans="2:19" x14ac:dyDescent="0.2">
      <c r="B87" s="594"/>
      <c r="F87" s="593"/>
      <c r="J87" s="605">
        <f>G38+H38+I38</f>
        <v>215916</v>
      </c>
      <c r="K87" s="504" t="s">
        <v>236</v>
      </c>
    </row>
    <row r="88" spans="2:19" x14ac:dyDescent="0.2">
      <c r="C88" s="959" t="s">
        <v>207</v>
      </c>
      <c r="D88" s="960"/>
      <c r="E88" s="595" t="s">
        <v>208</v>
      </c>
      <c r="F88" s="595" t="s">
        <v>209</v>
      </c>
      <c r="G88" s="595" t="s">
        <v>210</v>
      </c>
      <c r="H88" s="595" t="s">
        <v>211</v>
      </c>
      <c r="J88" s="605">
        <f>J38+K38+L38</f>
        <v>229496</v>
      </c>
      <c r="K88" s="531" t="s">
        <v>237</v>
      </c>
    </row>
    <row r="89" spans="2:19" x14ac:dyDescent="0.2">
      <c r="C89" s="961" t="str">
        <f>IF(I6="M","0          - 250000","0          -  250000")</f>
        <v>0          - 250000</v>
      </c>
      <c r="D89" s="962"/>
      <c r="E89" s="597">
        <v>0</v>
      </c>
      <c r="F89" s="598">
        <f>IF(I6="M",(IF(G86&lt;250000,G86,250000)),(IF(G86&lt;250000,G86,250000)))</f>
        <v>250000</v>
      </c>
      <c r="G89" s="598">
        <f>G86-F89</f>
        <v>726502</v>
      </c>
      <c r="H89" s="598">
        <f>E89*F89</f>
        <v>0</v>
      </c>
      <c r="J89" s="504">
        <f>M38+N38</f>
        <v>146168</v>
      </c>
      <c r="K89" s="490" t="s">
        <v>238</v>
      </c>
    </row>
    <row r="90" spans="2:19" x14ac:dyDescent="0.2">
      <c r="C90" s="961" t="str">
        <f>IF(I6="M","250001 - 500000","250001-500000")</f>
        <v>250001 - 500000</v>
      </c>
      <c r="D90" s="962"/>
      <c r="E90" s="597">
        <v>0.05</v>
      </c>
      <c r="F90" s="598">
        <f>IF(I6="M",(IF(G89&lt;250000,G89,250000)),(IF(G89&lt;250000,G89,250000)))</f>
        <v>250000</v>
      </c>
      <c r="G90" s="598">
        <f>G89-F90</f>
        <v>476502</v>
      </c>
      <c r="H90" s="600">
        <f>ROUND(E90*F90,0.1)</f>
        <v>12500</v>
      </c>
      <c r="J90" s="601">
        <f>SUM(J86:J89)</f>
        <v>1496474</v>
      </c>
    </row>
    <row r="91" spans="2:19" x14ac:dyDescent="0.2">
      <c r="C91" s="963" t="s">
        <v>212</v>
      </c>
      <c r="D91" s="964"/>
      <c r="E91" s="597">
        <v>0.2</v>
      </c>
      <c r="F91" s="598">
        <f>IF(G90&lt;500000,G90,500000)</f>
        <v>476502</v>
      </c>
      <c r="G91" s="598">
        <f>G90-F91</f>
        <v>0</v>
      </c>
      <c r="H91" s="600">
        <f>ROUND(E91*F91,0.1)</f>
        <v>95300</v>
      </c>
      <c r="J91" s="504">
        <f>+G86</f>
        <v>976502</v>
      </c>
    </row>
    <row r="92" spans="2:19" x14ac:dyDescent="0.2">
      <c r="C92" s="961" t="s">
        <v>213</v>
      </c>
      <c r="D92" s="962"/>
      <c r="E92" s="597">
        <v>0.3</v>
      </c>
      <c r="F92" s="598">
        <f>G91</f>
        <v>0</v>
      </c>
      <c r="G92" s="598">
        <f>G91-F92</f>
        <v>0</v>
      </c>
      <c r="H92" s="600">
        <f>ROUND(E92*F92,0.1)</f>
        <v>0</v>
      </c>
      <c r="J92" s="504">
        <f>+J90-J91</f>
        <v>519972</v>
      </c>
    </row>
    <row r="93" spans="2:19" ht="12.75" customHeight="1" thickBot="1" x14ac:dyDescent="0.25">
      <c r="B93" s="602"/>
      <c r="C93" s="603"/>
      <c r="D93" s="531"/>
      <c r="E93" s="531"/>
      <c r="F93" s="531"/>
      <c r="K93" s="623"/>
    </row>
    <row r="94" spans="2:19" ht="13.5" thickBot="1" x14ac:dyDescent="0.25">
      <c r="B94" s="965" t="s">
        <v>239</v>
      </c>
      <c r="C94" s="966"/>
      <c r="D94" s="966"/>
      <c r="E94" s="966"/>
      <c r="F94" s="967"/>
      <c r="G94" s="1088">
        <f>H89+H90+H91+H92</f>
        <v>107800</v>
      </c>
      <c r="H94" s="1089"/>
    </row>
    <row r="95" spans="2:19" ht="13.5" thickBot="1" x14ac:dyDescent="0.25">
      <c r="B95" s="606" t="s">
        <v>1354</v>
      </c>
      <c r="C95" s="607"/>
      <c r="D95" s="607"/>
      <c r="E95" s="607"/>
      <c r="F95" s="607"/>
      <c r="G95" s="1080">
        <v>100191</v>
      </c>
      <c r="H95" s="1081"/>
    </row>
    <row r="96" spans="2:19" ht="13.5" thickBot="1" x14ac:dyDescent="0.25">
      <c r="B96" s="606" t="s">
        <v>215</v>
      </c>
      <c r="C96" s="607"/>
      <c r="D96" s="607"/>
      <c r="E96" s="607"/>
      <c r="F96" s="607"/>
      <c r="G96" s="1082">
        <f>IF((G65&lt;500000),5000,0)</f>
        <v>0</v>
      </c>
      <c r="H96" s="1083">
        <f>IF(H93&lt;200000,0,IF(H93&lt;220000,((H93-200000)*10%),IF(H93&lt;=500000,2000,IF(H93&gt;=500000,0))))</f>
        <v>0</v>
      </c>
      <c r="J96" s="490"/>
      <c r="K96" s="610"/>
      <c r="L96" s="610"/>
    </row>
    <row r="97" spans="2:9" ht="13.5" thickBot="1" x14ac:dyDescent="0.25">
      <c r="B97" s="611" t="s">
        <v>216</v>
      </c>
      <c r="C97" s="612"/>
      <c r="D97" s="612"/>
      <c r="E97" s="612"/>
      <c r="F97" s="612"/>
      <c r="G97" s="943">
        <f>IF((G94-G95-G96)&lt;0,0,(G94-G95-G96))</f>
        <v>7609</v>
      </c>
      <c r="H97" s="944"/>
      <c r="I97" s="527"/>
    </row>
    <row r="98" spans="2:9" ht="13.5" thickBot="1" x14ac:dyDescent="0.25">
      <c r="B98" s="945" t="s">
        <v>240</v>
      </c>
      <c r="C98" s="946"/>
      <c r="D98" s="946"/>
      <c r="E98" s="946"/>
      <c r="F98" s="947"/>
      <c r="G98" s="1084">
        <f>ROUND((IF(G97&gt;0,(G97*4%),0)),0)</f>
        <v>304</v>
      </c>
      <c r="H98" s="1085"/>
      <c r="I98" s="527"/>
    </row>
    <row r="99" spans="2:9" ht="13.5" thickBot="1" x14ac:dyDescent="0.25">
      <c r="B99" s="933" t="s">
        <v>218</v>
      </c>
      <c r="C99" s="934"/>
      <c r="D99" s="934"/>
      <c r="E99" s="934"/>
      <c r="F99" s="934"/>
      <c r="G99" s="1086">
        <f>G97+G98</f>
        <v>7913</v>
      </c>
      <c r="H99" s="1087"/>
      <c r="I99" s="610"/>
    </row>
    <row r="100" spans="2:9" ht="13.5" thickBot="1" x14ac:dyDescent="0.25">
      <c r="B100" s="937" t="s">
        <v>219</v>
      </c>
      <c r="C100" s="938"/>
      <c r="D100" s="938"/>
      <c r="E100" s="938"/>
      <c r="F100" s="938"/>
      <c r="G100" s="1078">
        <f>O39</f>
        <v>73069</v>
      </c>
      <c r="H100" s="1079"/>
      <c r="I100" s="610"/>
    </row>
    <row r="101" spans="2:9" ht="13.5" thickBot="1" x14ac:dyDescent="0.25">
      <c r="B101" s="937" t="str">
        <f>IF(G101&gt;0,"TAX PAYABLE","TAX REFUND")</f>
        <v>TAX REFUND</v>
      </c>
      <c r="C101" s="938"/>
      <c r="D101" s="938"/>
      <c r="E101" s="938"/>
      <c r="F101" s="938"/>
      <c r="G101" s="1078">
        <f>+G99-G100</f>
        <v>-65156</v>
      </c>
      <c r="H101" s="1079"/>
      <c r="I101" s="527"/>
    </row>
    <row r="102" spans="2:9" x14ac:dyDescent="0.2">
      <c r="C102" s="613"/>
      <c r="D102" s="530"/>
      <c r="E102" s="604"/>
      <c r="F102" s="604"/>
      <c r="G102" s="604"/>
      <c r="H102" s="604"/>
      <c r="I102" s="614"/>
    </row>
    <row r="103" spans="2:9" x14ac:dyDescent="0.2">
      <c r="C103" s="531"/>
      <c r="D103" s="534"/>
      <c r="E103" s="603"/>
      <c r="F103" s="531"/>
      <c r="G103" s="531"/>
      <c r="H103" s="531"/>
      <c r="I103" s="614"/>
    </row>
    <row r="104" spans="2:9" x14ac:dyDescent="0.2">
      <c r="C104" s="529"/>
      <c r="D104" s="615"/>
      <c r="E104" s="615"/>
      <c r="F104" s="615"/>
      <c r="G104" s="529"/>
      <c r="H104" s="529"/>
      <c r="I104" s="527"/>
    </row>
    <row r="105" spans="2:9" x14ac:dyDescent="0.2">
      <c r="C105" s="529"/>
      <c r="D105" s="615"/>
      <c r="E105" s="615"/>
      <c r="F105" s="529"/>
      <c r="G105" s="529"/>
      <c r="H105" s="529"/>
      <c r="I105" s="527"/>
    </row>
    <row r="106" spans="2:9" x14ac:dyDescent="0.2">
      <c r="C106" s="529"/>
      <c r="D106" s="615"/>
      <c r="E106" s="615"/>
      <c r="F106" s="529"/>
      <c r="G106" s="529"/>
      <c r="H106" s="529"/>
      <c r="I106" s="527"/>
    </row>
    <row r="107" spans="2:9" x14ac:dyDescent="0.2">
      <c r="C107" s="529"/>
      <c r="D107" s="529"/>
      <c r="E107" s="529"/>
      <c r="F107" s="529"/>
      <c r="G107" s="529"/>
      <c r="H107" s="529"/>
      <c r="I107" s="527"/>
    </row>
    <row r="108" spans="2:9" x14ac:dyDescent="0.2">
      <c r="C108" s="529"/>
      <c r="D108" s="529"/>
      <c r="E108" s="529"/>
      <c r="F108" s="529"/>
      <c r="G108" s="529"/>
      <c r="H108" s="529"/>
      <c r="I108" s="610"/>
    </row>
    <row r="109" spans="2:9" x14ac:dyDescent="0.2">
      <c r="C109" s="529"/>
      <c r="D109" s="529"/>
      <c r="E109" s="529"/>
      <c r="F109" s="529"/>
      <c r="G109" s="529"/>
      <c r="H109" s="529"/>
    </row>
  </sheetData>
  <mergeCells count="94">
    <mergeCell ref="B101:F101"/>
    <mergeCell ref="G101:H101"/>
    <mergeCell ref="G95:H95"/>
    <mergeCell ref="G96:H96"/>
    <mergeCell ref="G97:H97"/>
    <mergeCell ref="B98:F98"/>
    <mergeCell ref="G98:H98"/>
    <mergeCell ref="B99:F99"/>
    <mergeCell ref="G99:H99"/>
    <mergeCell ref="B100:F100"/>
    <mergeCell ref="G100:H100"/>
    <mergeCell ref="D75:F75"/>
    <mergeCell ref="G94:H94"/>
    <mergeCell ref="D82:F82"/>
    <mergeCell ref="D83:F83"/>
    <mergeCell ref="B84:F84"/>
    <mergeCell ref="B86:F86"/>
    <mergeCell ref="G86:H86"/>
    <mergeCell ref="C88:D88"/>
    <mergeCell ref="C89:D89"/>
    <mergeCell ref="C90:D90"/>
    <mergeCell ref="C91:D91"/>
    <mergeCell ref="C92:D92"/>
    <mergeCell ref="B94:F94"/>
    <mergeCell ref="B69:B83"/>
    <mergeCell ref="G62:H62"/>
    <mergeCell ref="C63:F63"/>
    <mergeCell ref="G63:H63"/>
    <mergeCell ref="B62:F62"/>
    <mergeCell ref="D73:F73"/>
    <mergeCell ref="J63:O63"/>
    <mergeCell ref="D81:F81"/>
    <mergeCell ref="J68:K68"/>
    <mergeCell ref="B65:F65"/>
    <mergeCell ref="G65:H65"/>
    <mergeCell ref="D76:F76"/>
    <mergeCell ref="D77:F77"/>
    <mergeCell ref="E78:F78"/>
    <mergeCell ref="D79:F79"/>
    <mergeCell ref="D80:F80"/>
    <mergeCell ref="D71:F71"/>
    <mergeCell ref="D72:F72"/>
    <mergeCell ref="C69:C75"/>
    <mergeCell ref="D69:F69"/>
    <mergeCell ref="D70:F70"/>
    <mergeCell ref="D74:F74"/>
    <mergeCell ref="B60:F60"/>
    <mergeCell ref="G60:H60"/>
    <mergeCell ref="J60:O60"/>
    <mergeCell ref="B56:B58"/>
    <mergeCell ref="C56:C58"/>
    <mergeCell ref="D56:F56"/>
    <mergeCell ref="G56:H56"/>
    <mergeCell ref="D57:F57"/>
    <mergeCell ref="G57:H57"/>
    <mergeCell ref="J57:L57"/>
    <mergeCell ref="M57:O57"/>
    <mergeCell ref="D58:F58"/>
    <mergeCell ref="G58:H58"/>
    <mergeCell ref="A39:A49"/>
    <mergeCell ref="A50:B50"/>
    <mergeCell ref="A51:B51"/>
    <mergeCell ref="B54:F54"/>
    <mergeCell ref="G54:H54"/>
    <mergeCell ref="A37:B37"/>
    <mergeCell ref="A5:C5"/>
    <mergeCell ref="D5:F5"/>
    <mergeCell ref="G5:H5"/>
    <mergeCell ref="I5:O5"/>
    <mergeCell ref="A6:C6"/>
    <mergeCell ref="D6:F6"/>
    <mergeCell ref="G6:H6"/>
    <mergeCell ref="J6:O6"/>
    <mergeCell ref="L7:O7"/>
    <mergeCell ref="A8:B8"/>
    <mergeCell ref="A21:A33"/>
    <mergeCell ref="A35:B35"/>
    <mergeCell ref="A36:B36"/>
    <mergeCell ref="A3:C3"/>
    <mergeCell ref="D3:F3"/>
    <mergeCell ref="G3:H3"/>
    <mergeCell ref="I3:O3"/>
    <mergeCell ref="A4:C4"/>
    <mergeCell ref="D4:F4"/>
    <mergeCell ref="G4:H4"/>
    <mergeCell ref="I4:O4"/>
    <mergeCell ref="A1:C1"/>
    <mergeCell ref="D1:F1"/>
    <mergeCell ref="G1:H1"/>
    <mergeCell ref="I1:O1"/>
    <mergeCell ref="A2:C2"/>
    <mergeCell ref="D2:F2"/>
    <mergeCell ref="G2:H2"/>
    <mergeCell ref="I2:O2"/>
  </mergeCells>
  <conditionalFormatting sqref="B101:F101 B91:F91 B94:F99">
    <cfRule type="cellIs" dxfId="37" priority="1" stopIfTrue="1" operator="equal">
      <formula>"TAX PAYABLE"</formula>
    </cfRule>
    <cfRule type="cellIs" dxfId="36" priority="2" stopIfTrue="1" operator="equal">
      <formula>"TAX REFUND"</formula>
    </cfRule>
  </conditionalFormatting>
  <conditionalFormatting sqref="G101:H101">
    <cfRule type="cellIs" dxfId="35" priority="3" stopIfTrue="1" operator="greaterThan">
      <formula>0</formula>
    </cfRule>
    <cfRule type="cellIs" dxfId="34" priority="4" stopIfTrue="1" operator="lessThanOrEqual">
      <formula>0</formula>
    </cfRule>
  </conditionalFormatting>
  <conditionalFormatting sqref="G91:H91">
    <cfRule type="cellIs" dxfId="33" priority="5" stopIfTrue="1" operator="lessThan">
      <formula>0</formula>
    </cfRule>
    <cfRule type="cellIs" dxfId="32" priority="6" stopIfTrue="1" operator="greaterThan">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$Q$8:$Q$9</formula1>
    </dataValidation>
  </dataValidations>
  <pageMargins left="0.7" right="0.7" top="0.75" bottom="0.75" header="0.3" footer="0.3"/>
  <pageSetup paperSize="5" orientation="landscape" horizontalDpi="300" verticalDpi="300" r:id="rId1"/>
  <headerFooter alignWithMargins="0"/>
</worksheet>
</file>

<file path=xl/worksheets/sheet1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111"/>
  <sheetViews>
    <sheetView workbookViewId="0">
      <selection sqref="A1:XFD1048576"/>
    </sheetView>
  </sheetViews>
  <sheetFormatPr defaultRowHeight="12.75" x14ac:dyDescent="0.2"/>
  <cols>
    <col min="1" max="1" width="5" style="504" customWidth="1"/>
    <col min="2" max="2" width="18.5703125" style="527" customWidth="1"/>
    <col min="3" max="4" width="8.42578125" style="504" customWidth="1"/>
    <col min="5" max="5" width="7.7109375" style="504" customWidth="1"/>
    <col min="6" max="6" width="8.140625" style="504" customWidth="1"/>
    <col min="7" max="8" width="8.5703125" style="504" customWidth="1"/>
    <col min="9" max="14" width="8.42578125" style="504" customWidth="1"/>
    <col min="15" max="20" width="9.140625" style="504"/>
    <col min="21" max="21" width="12.42578125" style="504" customWidth="1"/>
    <col min="22" max="22" width="9.140625" style="504"/>
    <col min="23" max="23" width="12" style="504" customWidth="1"/>
    <col min="24" max="256" width="9.140625" style="504"/>
    <col min="257" max="257" width="5" style="504" customWidth="1"/>
    <col min="258" max="258" width="18.5703125" style="504" customWidth="1"/>
    <col min="259" max="260" width="8.42578125" style="504" customWidth="1"/>
    <col min="261" max="261" width="7.7109375" style="504" customWidth="1"/>
    <col min="262" max="262" width="8.140625" style="504" customWidth="1"/>
    <col min="263" max="264" width="8.5703125" style="504" customWidth="1"/>
    <col min="265" max="270" width="8.42578125" style="504" customWidth="1"/>
    <col min="271" max="276" width="9.140625" style="504"/>
    <col min="277" max="277" width="12.42578125" style="504" customWidth="1"/>
    <col min="278" max="278" width="9.140625" style="504"/>
    <col min="279" max="279" width="12" style="504" customWidth="1"/>
    <col min="280" max="512" width="9.140625" style="504"/>
    <col min="513" max="513" width="5" style="504" customWidth="1"/>
    <col min="514" max="514" width="18.5703125" style="504" customWidth="1"/>
    <col min="515" max="516" width="8.42578125" style="504" customWidth="1"/>
    <col min="517" max="517" width="7.7109375" style="504" customWidth="1"/>
    <col min="518" max="518" width="8.140625" style="504" customWidth="1"/>
    <col min="519" max="520" width="8.5703125" style="504" customWidth="1"/>
    <col min="521" max="526" width="8.42578125" style="504" customWidth="1"/>
    <col min="527" max="532" width="9.140625" style="504"/>
    <col min="533" max="533" width="12.42578125" style="504" customWidth="1"/>
    <col min="534" max="534" width="9.140625" style="504"/>
    <col min="535" max="535" width="12" style="504" customWidth="1"/>
    <col min="536" max="768" width="9.140625" style="504"/>
    <col min="769" max="769" width="5" style="504" customWidth="1"/>
    <col min="770" max="770" width="18.5703125" style="504" customWidth="1"/>
    <col min="771" max="772" width="8.42578125" style="504" customWidth="1"/>
    <col min="773" max="773" width="7.7109375" style="504" customWidth="1"/>
    <col min="774" max="774" width="8.140625" style="504" customWidth="1"/>
    <col min="775" max="776" width="8.5703125" style="504" customWidth="1"/>
    <col min="777" max="782" width="8.42578125" style="504" customWidth="1"/>
    <col min="783" max="788" width="9.140625" style="504"/>
    <col min="789" max="789" width="12.42578125" style="504" customWidth="1"/>
    <col min="790" max="790" width="9.140625" style="504"/>
    <col min="791" max="791" width="12" style="504" customWidth="1"/>
    <col min="792" max="1024" width="9.140625" style="504"/>
    <col min="1025" max="1025" width="5" style="504" customWidth="1"/>
    <col min="1026" max="1026" width="18.5703125" style="504" customWidth="1"/>
    <col min="1027" max="1028" width="8.42578125" style="504" customWidth="1"/>
    <col min="1029" max="1029" width="7.7109375" style="504" customWidth="1"/>
    <col min="1030" max="1030" width="8.140625" style="504" customWidth="1"/>
    <col min="1031" max="1032" width="8.5703125" style="504" customWidth="1"/>
    <col min="1033" max="1038" width="8.42578125" style="504" customWidth="1"/>
    <col min="1039" max="1044" width="9.140625" style="504"/>
    <col min="1045" max="1045" width="12.42578125" style="504" customWidth="1"/>
    <col min="1046" max="1046" width="9.140625" style="504"/>
    <col min="1047" max="1047" width="12" style="504" customWidth="1"/>
    <col min="1048" max="1280" width="9.140625" style="504"/>
    <col min="1281" max="1281" width="5" style="504" customWidth="1"/>
    <col min="1282" max="1282" width="18.5703125" style="504" customWidth="1"/>
    <col min="1283" max="1284" width="8.42578125" style="504" customWidth="1"/>
    <col min="1285" max="1285" width="7.7109375" style="504" customWidth="1"/>
    <col min="1286" max="1286" width="8.140625" style="504" customWidth="1"/>
    <col min="1287" max="1288" width="8.5703125" style="504" customWidth="1"/>
    <col min="1289" max="1294" width="8.42578125" style="504" customWidth="1"/>
    <col min="1295" max="1300" width="9.140625" style="504"/>
    <col min="1301" max="1301" width="12.42578125" style="504" customWidth="1"/>
    <col min="1302" max="1302" width="9.140625" style="504"/>
    <col min="1303" max="1303" width="12" style="504" customWidth="1"/>
    <col min="1304" max="1536" width="9.140625" style="504"/>
    <col min="1537" max="1537" width="5" style="504" customWidth="1"/>
    <col min="1538" max="1538" width="18.5703125" style="504" customWidth="1"/>
    <col min="1539" max="1540" width="8.42578125" style="504" customWidth="1"/>
    <col min="1541" max="1541" width="7.7109375" style="504" customWidth="1"/>
    <col min="1542" max="1542" width="8.140625" style="504" customWidth="1"/>
    <col min="1543" max="1544" width="8.5703125" style="504" customWidth="1"/>
    <col min="1545" max="1550" width="8.42578125" style="504" customWidth="1"/>
    <col min="1551" max="1556" width="9.140625" style="504"/>
    <col min="1557" max="1557" width="12.42578125" style="504" customWidth="1"/>
    <col min="1558" max="1558" width="9.140625" style="504"/>
    <col min="1559" max="1559" width="12" style="504" customWidth="1"/>
    <col min="1560" max="1792" width="9.140625" style="504"/>
    <col min="1793" max="1793" width="5" style="504" customWidth="1"/>
    <col min="1794" max="1794" width="18.5703125" style="504" customWidth="1"/>
    <col min="1795" max="1796" width="8.42578125" style="504" customWidth="1"/>
    <col min="1797" max="1797" width="7.7109375" style="504" customWidth="1"/>
    <col min="1798" max="1798" width="8.140625" style="504" customWidth="1"/>
    <col min="1799" max="1800" width="8.5703125" style="504" customWidth="1"/>
    <col min="1801" max="1806" width="8.42578125" style="504" customWidth="1"/>
    <col min="1807" max="1812" width="9.140625" style="504"/>
    <col min="1813" max="1813" width="12.42578125" style="504" customWidth="1"/>
    <col min="1814" max="1814" width="9.140625" style="504"/>
    <col min="1815" max="1815" width="12" style="504" customWidth="1"/>
    <col min="1816" max="2048" width="9.140625" style="504"/>
    <col min="2049" max="2049" width="5" style="504" customWidth="1"/>
    <col min="2050" max="2050" width="18.5703125" style="504" customWidth="1"/>
    <col min="2051" max="2052" width="8.42578125" style="504" customWidth="1"/>
    <col min="2053" max="2053" width="7.7109375" style="504" customWidth="1"/>
    <col min="2054" max="2054" width="8.140625" style="504" customWidth="1"/>
    <col min="2055" max="2056" width="8.5703125" style="504" customWidth="1"/>
    <col min="2057" max="2062" width="8.42578125" style="504" customWidth="1"/>
    <col min="2063" max="2068" width="9.140625" style="504"/>
    <col min="2069" max="2069" width="12.42578125" style="504" customWidth="1"/>
    <col min="2070" max="2070" width="9.140625" style="504"/>
    <col min="2071" max="2071" width="12" style="504" customWidth="1"/>
    <col min="2072" max="2304" width="9.140625" style="504"/>
    <col min="2305" max="2305" width="5" style="504" customWidth="1"/>
    <col min="2306" max="2306" width="18.5703125" style="504" customWidth="1"/>
    <col min="2307" max="2308" width="8.42578125" style="504" customWidth="1"/>
    <col min="2309" max="2309" width="7.7109375" style="504" customWidth="1"/>
    <col min="2310" max="2310" width="8.140625" style="504" customWidth="1"/>
    <col min="2311" max="2312" width="8.5703125" style="504" customWidth="1"/>
    <col min="2313" max="2318" width="8.42578125" style="504" customWidth="1"/>
    <col min="2319" max="2324" width="9.140625" style="504"/>
    <col min="2325" max="2325" width="12.42578125" style="504" customWidth="1"/>
    <col min="2326" max="2326" width="9.140625" style="504"/>
    <col min="2327" max="2327" width="12" style="504" customWidth="1"/>
    <col min="2328" max="2560" width="9.140625" style="504"/>
    <col min="2561" max="2561" width="5" style="504" customWidth="1"/>
    <col min="2562" max="2562" width="18.5703125" style="504" customWidth="1"/>
    <col min="2563" max="2564" width="8.42578125" style="504" customWidth="1"/>
    <col min="2565" max="2565" width="7.7109375" style="504" customWidth="1"/>
    <col min="2566" max="2566" width="8.140625" style="504" customWidth="1"/>
    <col min="2567" max="2568" width="8.5703125" style="504" customWidth="1"/>
    <col min="2569" max="2574" width="8.42578125" style="504" customWidth="1"/>
    <col min="2575" max="2580" width="9.140625" style="504"/>
    <col min="2581" max="2581" width="12.42578125" style="504" customWidth="1"/>
    <col min="2582" max="2582" width="9.140625" style="504"/>
    <col min="2583" max="2583" width="12" style="504" customWidth="1"/>
    <col min="2584" max="2816" width="9.140625" style="504"/>
    <col min="2817" max="2817" width="5" style="504" customWidth="1"/>
    <col min="2818" max="2818" width="18.5703125" style="504" customWidth="1"/>
    <col min="2819" max="2820" width="8.42578125" style="504" customWidth="1"/>
    <col min="2821" max="2821" width="7.7109375" style="504" customWidth="1"/>
    <col min="2822" max="2822" width="8.140625" style="504" customWidth="1"/>
    <col min="2823" max="2824" width="8.5703125" style="504" customWidth="1"/>
    <col min="2825" max="2830" width="8.42578125" style="504" customWidth="1"/>
    <col min="2831" max="2836" width="9.140625" style="504"/>
    <col min="2837" max="2837" width="12.42578125" style="504" customWidth="1"/>
    <col min="2838" max="2838" width="9.140625" style="504"/>
    <col min="2839" max="2839" width="12" style="504" customWidth="1"/>
    <col min="2840" max="3072" width="9.140625" style="504"/>
    <col min="3073" max="3073" width="5" style="504" customWidth="1"/>
    <col min="3074" max="3074" width="18.5703125" style="504" customWidth="1"/>
    <col min="3075" max="3076" width="8.42578125" style="504" customWidth="1"/>
    <col min="3077" max="3077" width="7.7109375" style="504" customWidth="1"/>
    <col min="3078" max="3078" width="8.140625" style="504" customWidth="1"/>
    <col min="3079" max="3080" width="8.5703125" style="504" customWidth="1"/>
    <col min="3081" max="3086" width="8.42578125" style="504" customWidth="1"/>
    <col min="3087" max="3092" width="9.140625" style="504"/>
    <col min="3093" max="3093" width="12.42578125" style="504" customWidth="1"/>
    <col min="3094" max="3094" width="9.140625" style="504"/>
    <col min="3095" max="3095" width="12" style="504" customWidth="1"/>
    <col min="3096" max="3328" width="9.140625" style="504"/>
    <col min="3329" max="3329" width="5" style="504" customWidth="1"/>
    <col min="3330" max="3330" width="18.5703125" style="504" customWidth="1"/>
    <col min="3331" max="3332" width="8.42578125" style="504" customWidth="1"/>
    <col min="3333" max="3333" width="7.7109375" style="504" customWidth="1"/>
    <col min="3334" max="3334" width="8.140625" style="504" customWidth="1"/>
    <col min="3335" max="3336" width="8.5703125" style="504" customWidth="1"/>
    <col min="3337" max="3342" width="8.42578125" style="504" customWidth="1"/>
    <col min="3343" max="3348" width="9.140625" style="504"/>
    <col min="3349" max="3349" width="12.42578125" style="504" customWidth="1"/>
    <col min="3350" max="3350" width="9.140625" style="504"/>
    <col min="3351" max="3351" width="12" style="504" customWidth="1"/>
    <col min="3352" max="3584" width="9.140625" style="504"/>
    <col min="3585" max="3585" width="5" style="504" customWidth="1"/>
    <col min="3586" max="3586" width="18.5703125" style="504" customWidth="1"/>
    <col min="3587" max="3588" width="8.42578125" style="504" customWidth="1"/>
    <col min="3589" max="3589" width="7.7109375" style="504" customWidth="1"/>
    <col min="3590" max="3590" width="8.140625" style="504" customWidth="1"/>
    <col min="3591" max="3592" width="8.5703125" style="504" customWidth="1"/>
    <col min="3593" max="3598" width="8.42578125" style="504" customWidth="1"/>
    <col min="3599" max="3604" width="9.140625" style="504"/>
    <col min="3605" max="3605" width="12.42578125" style="504" customWidth="1"/>
    <col min="3606" max="3606" width="9.140625" style="504"/>
    <col min="3607" max="3607" width="12" style="504" customWidth="1"/>
    <col min="3608" max="3840" width="9.140625" style="504"/>
    <col min="3841" max="3841" width="5" style="504" customWidth="1"/>
    <col min="3842" max="3842" width="18.5703125" style="504" customWidth="1"/>
    <col min="3843" max="3844" width="8.42578125" style="504" customWidth="1"/>
    <col min="3845" max="3845" width="7.7109375" style="504" customWidth="1"/>
    <col min="3846" max="3846" width="8.140625" style="504" customWidth="1"/>
    <col min="3847" max="3848" width="8.5703125" style="504" customWidth="1"/>
    <col min="3849" max="3854" width="8.42578125" style="504" customWidth="1"/>
    <col min="3855" max="3860" width="9.140625" style="504"/>
    <col min="3861" max="3861" width="12.42578125" style="504" customWidth="1"/>
    <col min="3862" max="3862" width="9.140625" style="504"/>
    <col min="3863" max="3863" width="12" style="504" customWidth="1"/>
    <col min="3864" max="4096" width="9.140625" style="504"/>
    <col min="4097" max="4097" width="5" style="504" customWidth="1"/>
    <col min="4098" max="4098" width="18.5703125" style="504" customWidth="1"/>
    <col min="4099" max="4100" width="8.42578125" style="504" customWidth="1"/>
    <col min="4101" max="4101" width="7.7109375" style="504" customWidth="1"/>
    <col min="4102" max="4102" width="8.140625" style="504" customWidth="1"/>
    <col min="4103" max="4104" width="8.5703125" style="504" customWidth="1"/>
    <col min="4105" max="4110" width="8.42578125" style="504" customWidth="1"/>
    <col min="4111" max="4116" width="9.140625" style="504"/>
    <col min="4117" max="4117" width="12.42578125" style="504" customWidth="1"/>
    <col min="4118" max="4118" width="9.140625" style="504"/>
    <col min="4119" max="4119" width="12" style="504" customWidth="1"/>
    <col min="4120" max="4352" width="9.140625" style="504"/>
    <col min="4353" max="4353" width="5" style="504" customWidth="1"/>
    <col min="4354" max="4354" width="18.5703125" style="504" customWidth="1"/>
    <col min="4355" max="4356" width="8.42578125" style="504" customWidth="1"/>
    <col min="4357" max="4357" width="7.7109375" style="504" customWidth="1"/>
    <col min="4358" max="4358" width="8.140625" style="504" customWidth="1"/>
    <col min="4359" max="4360" width="8.5703125" style="504" customWidth="1"/>
    <col min="4361" max="4366" width="8.42578125" style="504" customWidth="1"/>
    <col min="4367" max="4372" width="9.140625" style="504"/>
    <col min="4373" max="4373" width="12.42578125" style="504" customWidth="1"/>
    <col min="4374" max="4374" width="9.140625" style="504"/>
    <col min="4375" max="4375" width="12" style="504" customWidth="1"/>
    <col min="4376" max="4608" width="9.140625" style="504"/>
    <col min="4609" max="4609" width="5" style="504" customWidth="1"/>
    <col min="4610" max="4610" width="18.5703125" style="504" customWidth="1"/>
    <col min="4611" max="4612" width="8.42578125" style="504" customWidth="1"/>
    <col min="4613" max="4613" width="7.7109375" style="504" customWidth="1"/>
    <col min="4614" max="4614" width="8.140625" style="504" customWidth="1"/>
    <col min="4615" max="4616" width="8.5703125" style="504" customWidth="1"/>
    <col min="4617" max="4622" width="8.42578125" style="504" customWidth="1"/>
    <col min="4623" max="4628" width="9.140625" style="504"/>
    <col min="4629" max="4629" width="12.42578125" style="504" customWidth="1"/>
    <col min="4630" max="4630" width="9.140625" style="504"/>
    <col min="4631" max="4631" width="12" style="504" customWidth="1"/>
    <col min="4632" max="4864" width="9.140625" style="504"/>
    <col min="4865" max="4865" width="5" style="504" customWidth="1"/>
    <col min="4866" max="4866" width="18.5703125" style="504" customWidth="1"/>
    <col min="4867" max="4868" width="8.42578125" style="504" customWidth="1"/>
    <col min="4869" max="4869" width="7.7109375" style="504" customWidth="1"/>
    <col min="4870" max="4870" width="8.140625" style="504" customWidth="1"/>
    <col min="4871" max="4872" width="8.5703125" style="504" customWidth="1"/>
    <col min="4873" max="4878" width="8.42578125" style="504" customWidth="1"/>
    <col min="4879" max="4884" width="9.140625" style="504"/>
    <col min="4885" max="4885" width="12.42578125" style="504" customWidth="1"/>
    <col min="4886" max="4886" width="9.140625" style="504"/>
    <col min="4887" max="4887" width="12" style="504" customWidth="1"/>
    <col min="4888" max="5120" width="9.140625" style="504"/>
    <col min="5121" max="5121" width="5" style="504" customWidth="1"/>
    <col min="5122" max="5122" width="18.5703125" style="504" customWidth="1"/>
    <col min="5123" max="5124" width="8.42578125" style="504" customWidth="1"/>
    <col min="5125" max="5125" width="7.7109375" style="504" customWidth="1"/>
    <col min="5126" max="5126" width="8.140625" style="504" customWidth="1"/>
    <col min="5127" max="5128" width="8.5703125" style="504" customWidth="1"/>
    <col min="5129" max="5134" width="8.42578125" style="504" customWidth="1"/>
    <col min="5135" max="5140" width="9.140625" style="504"/>
    <col min="5141" max="5141" width="12.42578125" style="504" customWidth="1"/>
    <col min="5142" max="5142" width="9.140625" style="504"/>
    <col min="5143" max="5143" width="12" style="504" customWidth="1"/>
    <col min="5144" max="5376" width="9.140625" style="504"/>
    <col min="5377" max="5377" width="5" style="504" customWidth="1"/>
    <col min="5378" max="5378" width="18.5703125" style="504" customWidth="1"/>
    <col min="5379" max="5380" width="8.42578125" style="504" customWidth="1"/>
    <col min="5381" max="5381" width="7.7109375" style="504" customWidth="1"/>
    <col min="5382" max="5382" width="8.140625" style="504" customWidth="1"/>
    <col min="5383" max="5384" width="8.5703125" style="504" customWidth="1"/>
    <col min="5385" max="5390" width="8.42578125" style="504" customWidth="1"/>
    <col min="5391" max="5396" width="9.140625" style="504"/>
    <col min="5397" max="5397" width="12.42578125" style="504" customWidth="1"/>
    <col min="5398" max="5398" width="9.140625" style="504"/>
    <col min="5399" max="5399" width="12" style="504" customWidth="1"/>
    <col min="5400" max="5632" width="9.140625" style="504"/>
    <col min="5633" max="5633" width="5" style="504" customWidth="1"/>
    <col min="5634" max="5634" width="18.5703125" style="504" customWidth="1"/>
    <col min="5635" max="5636" width="8.42578125" style="504" customWidth="1"/>
    <col min="5637" max="5637" width="7.7109375" style="504" customWidth="1"/>
    <col min="5638" max="5638" width="8.140625" style="504" customWidth="1"/>
    <col min="5639" max="5640" width="8.5703125" style="504" customWidth="1"/>
    <col min="5641" max="5646" width="8.42578125" style="504" customWidth="1"/>
    <col min="5647" max="5652" width="9.140625" style="504"/>
    <col min="5653" max="5653" width="12.42578125" style="504" customWidth="1"/>
    <col min="5654" max="5654" width="9.140625" style="504"/>
    <col min="5655" max="5655" width="12" style="504" customWidth="1"/>
    <col min="5656" max="5888" width="9.140625" style="504"/>
    <col min="5889" max="5889" width="5" style="504" customWidth="1"/>
    <col min="5890" max="5890" width="18.5703125" style="504" customWidth="1"/>
    <col min="5891" max="5892" width="8.42578125" style="504" customWidth="1"/>
    <col min="5893" max="5893" width="7.7109375" style="504" customWidth="1"/>
    <col min="5894" max="5894" width="8.140625" style="504" customWidth="1"/>
    <col min="5895" max="5896" width="8.5703125" style="504" customWidth="1"/>
    <col min="5897" max="5902" width="8.42578125" style="504" customWidth="1"/>
    <col min="5903" max="5908" width="9.140625" style="504"/>
    <col min="5909" max="5909" width="12.42578125" style="504" customWidth="1"/>
    <col min="5910" max="5910" width="9.140625" style="504"/>
    <col min="5911" max="5911" width="12" style="504" customWidth="1"/>
    <col min="5912" max="6144" width="9.140625" style="504"/>
    <col min="6145" max="6145" width="5" style="504" customWidth="1"/>
    <col min="6146" max="6146" width="18.5703125" style="504" customWidth="1"/>
    <col min="6147" max="6148" width="8.42578125" style="504" customWidth="1"/>
    <col min="6149" max="6149" width="7.7109375" style="504" customWidth="1"/>
    <col min="6150" max="6150" width="8.140625" style="504" customWidth="1"/>
    <col min="6151" max="6152" width="8.5703125" style="504" customWidth="1"/>
    <col min="6153" max="6158" width="8.42578125" style="504" customWidth="1"/>
    <col min="6159" max="6164" width="9.140625" style="504"/>
    <col min="6165" max="6165" width="12.42578125" style="504" customWidth="1"/>
    <col min="6166" max="6166" width="9.140625" style="504"/>
    <col min="6167" max="6167" width="12" style="504" customWidth="1"/>
    <col min="6168" max="6400" width="9.140625" style="504"/>
    <col min="6401" max="6401" width="5" style="504" customWidth="1"/>
    <col min="6402" max="6402" width="18.5703125" style="504" customWidth="1"/>
    <col min="6403" max="6404" width="8.42578125" style="504" customWidth="1"/>
    <col min="6405" max="6405" width="7.7109375" style="504" customWidth="1"/>
    <col min="6406" max="6406" width="8.140625" style="504" customWidth="1"/>
    <col min="6407" max="6408" width="8.5703125" style="504" customWidth="1"/>
    <col min="6409" max="6414" width="8.42578125" style="504" customWidth="1"/>
    <col min="6415" max="6420" width="9.140625" style="504"/>
    <col min="6421" max="6421" width="12.42578125" style="504" customWidth="1"/>
    <col min="6422" max="6422" width="9.140625" style="504"/>
    <col min="6423" max="6423" width="12" style="504" customWidth="1"/>
    <col min="6424" max="6656" width="9.140625" style="504"/>
    <col min="6657" max="6657" width="5" style="504" customWidth="1"/>
    <col min="6658" max="6658" width="18.5703125" style="504" customWidth="1"/>
    <col min="6659" max="6660" width="8.42578125" style="504" customWidth="1"/>
    <col min="6661" max="6661" width="7.7109375" style="504" customWidth="1"/>
    <col min="6662" max="6662" width="8.140625" style="504" customWidth="1"/>
    <col min="6663" max="6664" width="8.5703125" style="504" customWidth="1"/>
    <col min="6665" max="6670" width="8.42578125" style="504" customWidth="1"/>
    <col min="6671" max="6676" width="9.140625" style="504"/>
    <col min="6677" max="6677" width="12.42578125" style="504" customWidth="1"/>
    <col min="6678" max="6678" width="9.140625" style="504"/>
    <col min="6679" max="6679" width="12" style="504" customWidth="1"/>
    <col min="6680" max="6912" width="9.140625" style="504"/>
    <col min="6913" max="6913" width="5" style="504" customWidth="1"/>
    <col min="6914" max="6914" width="18.5703125" style="504" customWidth="1"/>
    <col min="6915" max="6916" width="8.42578125" style="504" customWidth="1"/>
    <col min="6917" max="6917" width="7.7109375" style="504" customWidth="1"/>
    <col min="6918" max="6918" width="8.140625" style="504" customWidth="1"/>
    <col min="6919" max="6920" width="8.5703125" style="504" customWidth="1"/>
    <col min="6921" max="6926" width="8.42578125" style="504" customWidth="1"/>
    <col min="6927" max="6932" width="9.140625" style="504"/>
    <col min="6933" max="6933" width="12.42578125" style="504" customWidth="1"/>
    <col min="6934" max="6934" width="9.140625" style="504"/>
    <col min="6935" max="6935" width="12" style="504" customWidth="1"/>
    <col min="6936" max="7168" width="9.140625" style="504"/>
    <col min="7169" max="7169" width="5" style="504" customWidth="1"/>
    <col min="7170" max="7170" width="18.5703125" style="504" customWidth="1"/>
    <col min="7171" max="7172" width="8.42578125" style="504" customWidth="1"/>
    <col min="7173" max="7173" width="7.7109375" style="504" customWidth="1"/>
    <col min="7174" max="7174" width="8.140625" style="504" customWidth="1"/>
    <col min="7175" max="7176" width="8.5703125" style="504" customWidth="1"/>
    <col min="7177" max="7182" width="8.42578125" style="504" customWidth="1"/>
    <col min="7183" max="7188" width="9.140625" style="504"/>
    <col min="7189" max="7189" width="12.42578125" style="504" customWidth="1"/>
    <col min="7190" max="7190" width="9.140625" style="504"/>
    <col min="7191" max="7191" width="12" style="504" customWidth="1"/>
    <col min="7192" max="7424" width="9.140625" style="504"/>
    <col min="7425" max="7425" width="5" style="504" customWidth="1"/>
    <col min="7426" max="7426" width="18.5703125" style="504" customWidth="1"/>
    <col min="7427" max="7428" width="8.42578125" style="504" customWidth="1"/>
    <col min="7429" max="7429" width="7.7109375" style="504" customWidth="1"/>
    <col min="7430" max="7430" width="8.140625" style="504" customWidth="1"/>
    <col min="7431" max="7432" width="8.5703125" style="504" customWidth="1"/>
    <col min="7433" max="7438" width="8.42578125" style="504" customWidth="1"/>
    <col min="7439" max="7444" width="9.140625" style="504"/>
    <col min="7445" max="7445" width="12.42578125" style="504" customWidth="1"/>
    <col min="7446" max="7446" width="9.140625" style="504"/>
    <col min="7447" max="7447" width="12" style="504" customWidth="1"/>
    <col min="7448" max="7680" width="9.140625" style="504"/>
    <col min="7681" max="7681" width="5" style="504" customWidth="1"/>
    <col min="7682" max="7682" width="18.5703125" style="504" customWidth="1"/>
    <col min="7683" max="7684" width="8.42578125" style="504" customWidth="1"/>
    <col min="7685" max="7685" width="7.7109375" style="504" customWidth="1"/>
    <col min="7686" max="7686" width="8.140625" style="504" customWidth="1"/>
    <col min="7687" max="7688" width="8.5703125" style="504" customWidth="1"/>
    <col min="7689" max="7694" width="8.42578125" style="504" customWidth="1"/>
    <col min="7695" max="7700" width="9.140625" style="504"/>
    <col min="7701" max="7701" width="12.42578125" style="504" customWidth="1"/>
    <col min="7702" max="7702" width="9.140625" style="504"/>
    <col min="7703" max="7703" width="12" style="504" customWidth="1"/>
    <col min="7704" max="7936" width="9.140625" style="504"/>
    <col min="7937" max="7937" width="5" style="504" customWidth="1"/>
    <col min="7938" max="7938" width="18.5703125" style="504" customWidth="1"/>
    <col min="7939" max="7940" width="8.42578125" style="504" customWidth="1"/>
    <col min="7941" max="7941" width="7.7109375" style="504" customWidth="1"/>
    <col min="7942" max="7942" width="8.140625" style="504" customWidth="1"/>
    <col min="7943" max="7944" width="8.5703125" style="504" customWidth="1"/>
    <col min="7945" max="7950" width="8.42578125" style="504" customWidth="1"/>
    <col min="7951" max="7956" width="9.140625" style="504"/>
    <col min="7957" max="7957" width="12.42578125" style="504" customWidth="1"/>
    <col min="7958" max="7958" width="9.140625" style="504"/>
    <col min="7959" max="7959" width="12" style="504" customWidth="1"/>
    <col min="7960" max="8192" width="9.140625" style="504"/>
    <col min="8193" max="8193" width="5" style="504" customWidth="1"/>
    <col min="8194" max="8194" width="18.5703125" style="504" customWidth="1"/>
    <col min="8195" max="8196" width="8.42578125" style="504" customWidth="1"/>
    <col min="8197" max="8197" width="7.7109375" style="504" customWidth="1"/>
    <col min="8198" max="8198" width="8.140625" style="504" customWidth="1"/>
    <col min="8199" max="8200" width="8.5703125" style="504" customWidth="1"/>
    <col min="8201" max="8206" width="8.42578125" style="504" customWidth="1"/>
    <col min="8207" max="8212" width="9.140625" style="504"/>
    <col min="8213" max="8213" width="12.42578125" style="504" customWidth="1"/>
    <col min="8214" max="8214" width="9.140625" style="504"/>
    <col min="8215" max="8215" width="12" style="504" customWidth="1"/>
    <col min="8216" max="8448" width="9.140625" style="504"/>
    <col min="8449" max="8449" width="5" style="504" customWidth="1"/>
    <col min="8450" max="8450" width="18.5703125" style="504" customWidth="1"/>
    <col min="8451" max="8452" width="8.42578125" style="504" customWidth="1"/>
    <col min="8453" max="8453" width="7.7109375" style="504" customWidth="1"/>
    <col min="8454" max="8454" width="8.140625" style="504" customWidth="1"/>
    <col min="8455" max="8456" width="8.5703125" style="504" customWidth="1"/>
    <col min="8457" max="8462" width="8.42578125" style="504" customWidth="1"/>
    <col min="8463" max="8468" width="9.140625" style="504"/>
    <col min="8469" max="8469" width="12.42578125" style="504" customWidth="1"/>
    <col min="8470" max="8470" width="9.140625" style="504"/>
    <col min="8471" max="8471" width="12" style="504" customWidth="1"/>
    <col min="8472" max="8704" width="9.140625" style="504"/>
    <col min="8705" max="8705" width="5" style="504" customWidth="1"/>
    <col min="8706" max="8706" width="18.5703125" style="504" customWidth="1"/>
    <col min="8707" max="8708" width="8.42578125" style="504" customWidth="1"/>
    <col min="8709" max="8709" width="7.7109375" style="504" customWidth="1"/>
    <col min="8710" max="8710" width="8.140625" style="504" customWidth="1"/>
    <col min="8711" max="8712" width="8.5703125" style="504" customWidth="1"/>
    <col min="8713" max="8718" width="8.42578125" style="504" customWidth="1"/>
    <col min="8719" max="8724" width="9.140625" style="504"/>
    <col min="8725" max="8725" width="12.42578125" style="504" customWidth="1"/>
    <col min="8726" max="8726" width="9.140625" style="504"/>
    <col min="8727" max="8727" width="12" style="504" customWidth="1"/>
    <col min="8728" max="8960" width="9.140625" style="504"/>
    <col min="8961" max="8961" width="5" style="504" customWidth="1"/>
    <col min="8962" max="8962" width="18.5703125" style="504" customWidth="1"/>
    <col min="8963" max="8964" width="8.42578125" style="504" customWidth="1"/>
    <col min="8965" max="8965" width="7.7109375" style="504" customWidth="1"/>
    <col min="8966" max="8966" width="8.140625" style="504" customWidth="1"/>
    <col min="8967" max="8968" width="8.5703125" style="504" customWidth="1"/>
    <col min="8969" max="8974" width="8.42578125" style="504" customWidth="1"/>
    <col min="8975" max="8980" width="9.140625" style="504"/>
    <col min="8981" max="8981" width="12.42578125" style="504" customWidth="1"/>
    <col min="8982" max="8982" width="9.140625" style="504"/>
    <col min="8983" max="8983" width="12" style="504" customWidth="1"/>
    <col min="8984" max="9216" width="9.140625" style="504"/>
    <col min="9217" max="9217" width="5" style="504" customWidth="1"/>
    <col min="9218" max="9218" width="18.5703125" style="504" customWidth="1"/>
    <col min="9219" max="9220" width="8.42578125" style="504" customWidth="1"/>
    <col min="9221" max="9221" width="7.7109375" style="504" customWidth="1"/>
    <col min="9222" max="9222" width="8.140625" style="504" customWidth="1"/>
    <col min="9223" max="9224" width="8.5703125" style="504" customWidth="1"/>
    <col min="9225" max="9230" width="8.42578125" style="504" customWidth="1"/>
    <col min="9231" max="9236" width="9.140625" style="504"/>
    <col min="9237" max="9237" width="12.42578125" style="504" customWidth="1"/>
    <col min="9238" max="9238" width="9.140625" style="504"/>
    <col min="9239" max="9239" width="12" style="504" customWidth="1"/>
    <col min="9240" max="9472" width="9.140625" style="504"/>
    <col min="9473" max="9473" width="5" style="504" customWidth="1"/>
    <col min="9474" max="9474" width="18.5703125" style="504" customWidth="1"/>
    <col min="9475" max="9476" width="8.42578125" style="504" customWidth="1"/>
    <col min="9477" max="9477" width="7.7109375" style="504" customWidth="1"/>
    <col min="9478" max="9478" width="8.140625" style="504" customWidth="1"/>
    <col min="9479" max="9480" width="8.5703125" style="504" customWidth="1"/>
    <col min="9481" max="9486" width="8.42578125" style="504" customWidth="1"/>
    <col min="9487" max="9492" width="9.140625" style="504"/>
    <col min="9493" max="9493" width="12.42578125" style="504" customWidth="1"/>
    <col min="9494" max="9494" width="9.140625" style="504"/>
    <col min="9495" max="9495" width="12" style="504" customWidth="1"/>
    <col min="9496" max="9728" width="9.140625" style="504"/>
    <col min="9729" max="9729" width="5" style="504" customWidth="1"/>
    <col min="9730" max="9730" width="18.5703125" style="504" customWidth="1"/>
    <col min="9731" max="9732" width="8.42578125" style="504" customWidth="1"/>
    <col min="9733" max="9733" width="7.7109375" style="504" customWidth="1"/>
    <col min="9734" max="9734" width="8.140625" style="504" customWidth="1"/>
    <col min="9735" max="9736" width="8.5703125" style="504" customWidth="1"/>
    <col min="9737" max="9742" width="8.42578125" style="504" customWidth="1"/>
    <col min="9743" max="9748" width="9.140625" style="504"/>
    <col min="9749" max="9749" width="12.42578125" style="504" customWidth="1"/>
    <col min="9750" max="9750" width="9.140625" style="504"/>
    <col min="9751" max="9751" width="12" style="504" customWidth="1"/>
    <col min="9752" max="9984" width="9.140625" style="504"/>
    <col min="9985" max="9985" width="5" style="504" customWidth="1"/>
    <col min="9986" max="9986" width="18.5703125" style="504" customWidth="1"/>
    <col min="9987" max="9988" width="8.42578125" style="504" customWidth="1"/>
    <col min="9989" max="9989" width="7.7109375" style="504" customWidth="1"/>
    <col min="9990" max="9990" width="8.140625" style="504" customWidth="1"/>
    <col min="9991" max="9992" width="8.5703125" style="504" customWidth="1"/>
    <col min="9993" max="9998" width="8.42578125" style="504" customWidth="1"/>
    <col min="9999" max="10004" width="9.140625" style="504"/>
    <col min="10005" max="10005" width="12.42578125" style="504" customWidth="1"/>
    <col min="10006" max="10006" width="9.140625" style="504"/>
    <col min="10007" max="10007" width="12" style="504" customWidth="1"/>
    <col min="10008" max="10240" width="9.140625" style="504"/>
    <col min="10241" max="10241" width="5" style="504" customWidth="1"/>
    <col min="10242" max="10242" width="18.5703125" style="504" customWidth="1"/>
    <col min="10243" max="10244" width="8.42578125" style="504" customWidth="1"/>
    <col min="10245" max="10245" width="7.7109375" style="504" customWidth="1"/>
    <col min="10246" max="10246" width="8.140625" style="504" customWidth="1"/>
    <col min="10247" max="10248" width="8.5703125" style="504" customWidth="1"/>
    <col min="10249" max="10254" width="8.42578125" style="504" customWidth="1"/>
    <col min="10255" max="10260" width="9.140625" style="504"/>
    <col min="10261" max="10261" width="12.42578125" style="504" customWidth="1"/>
    <col min="10262" max="10262" width="9.140625" style="504"/>
    <col min="10263" max="10263" width="12" style="504" customWidth="1"/>
    <col min="10264" max="10496" width="9.140625" style="504"/>
    <col min="10497" max="10497" width="5" style="504" customWidth="1"/>
    <col min="10498" max="10498" width="18.5703125" style="504" customWidth="1"/>
    <col min="10499" max="10500" width="8.42578125" style="504" customWidth="1"/>
    <col min="10501" max="10501" width="7.7109375" style="504" customWidth="1"/>
    <col min="10502" max="10502" width="8.140625" style="504" customWidth="1"/>
    <col min="10503" max="10504" width="8.5703125" style="504" customWidth="1"/>
    <col min="10505" max="10510" width="8.42578125" style="504" customWidth="1"/>
    <col min="10511" max="10516" width="9.140625" style="504"/>
    <col min="10517" max="10517" width="12.42578125" style="504" customWidth="1"/>
    <col min="10518" max="10518" width="9.140625" style="504"/>
    <col min="10519" max="10519" width="12" style="504" customWidth="1"/>
    <col min="10520" max="10752" width="9.140625" style="504"/>
    <col min="10753" max="10753" width="5" style="504" customWidth="1"/>
    <col min="10754" max="10754" width="18.5703125" style="504" customWidth="1"/>
    <col min="10755" max="10756" width="8.42578125" style="504" customWidth="1"/>
    <col min="10757" max="10757" width="7.7109375" style="504" customWidth="1"/>
    <col min="10758" max="10758" width="8.140625" style="504" customWidth="1"/>
    <col min="10759" max="10760" width="8.5703125" style="504" customWidth="1"/>
    <col min="10761" max="10766" width="8.42578125" style="504" customWidth="1"/>
    <col min="10767" max="10772" width="9.140625" style="504"/>
    <col min="10773" max="10773" width="12.42578125" style="504" customWidth="1"/>
    <col min="10774" max="10774" width="9.140625" style="504"/>
    <col min="10775" max="10775" width="12" style="504" customWidth="1"/>
    <col min="10776" max="11008" width="9.140625" style="504"/>
    <col min="11009" max="11009" width="5" style="504" customWidth="1"/>
    <col min="11010" max="11010" width="18.5703125" style="504" customWidth="1"/>
    <col min="11011" max="11012" width="8.42578125" style="504" customWidth="1"/>
    <col min="11013" max="11013" width="7.7109375" style="504" customWidth="1"/>
    <col min="11014" max="11014" width="8.140625" style="504" customWidth="1"/>
    <col min="11015" max="11016" width="8.5703125" style="504" customWidth="1"/>
    <col min="11017" max="11022" width="8.42578125" style="504" customWidth="1"/>
    <col min="11023" max="11028" width="9.140625" style="504"/>
    <col min="11029" max="11029" width="12.42578125" style="504" customWidth="1"/>
    <col min="11030" max="11030" width="9.140625" style="504"/>
    <col min="11031" max="11031" width="12" style="504" customWidth="1"/>
    <col min="11032" max="11264" width="9.140625" style="504"/>
    <col min="11265" max="11265" width="5" style="504" customWidth="1"/>
    <col min="11266" max="11266" width="18.5703125" style="504" customWidth="1"/>
    <col min="11267" max="11268" width="8.42578125" style="504" customWidth="1"/>
    <col min="11269" max="11269" width="7.7109375" style="504" customWidth="1"/>
    <col min="11270" max="11270" width="8.140625" style="504" customWidth="1"/>
    <col min="11271" max="11272" width="8.5703125" style="504" customWidth="1"/>
    <col min="11273" max="11278" width="8.42578125" style="504" customWidth="1"/>
    <col min="11279" max="11284" width="9.140625" style="504"/>
    <col min="11285" max="11285" width="12.42578125" style="504" customWidth="1"/>
    <col min="11286" max="11286" width="9.140625" style="504"/>
    <col min="11287" max="11287" width="12" style="504" customWidth="1"/>
    <col min="11288" max="11520" width="9.140625" style="504"/>
    <col min="11521" max="11521" width="5" style="504" customWidth="1"/>
    <col min="11522" max="11522" width="18.5703125" style="504" customWidth="1"/>
    <col min="11523" max="11524" width="8.42578125" style="504" customWidth="1"/>
    <col min="11525" max="11525" width="7.7109375" style="504" customWidth="1"/>
    <col min="11526" max="11526" width="8.140625" style="504" customWidth="1"/>
    <col min="11527" max="11528" width="8.5703125" style="504" customWidth="1"/>
    <col min="11529" max="11534" width="8.42578125" style="504" customWidth="1"/>
    <col min="11535" max="11540" width="9.140625" style="504"/>
    <col min="11541" max="11541" width="12.42578125" style="504" customWidth="1"/>
    <col min="11542" max="11542" width="9.140625" style="504"/>
    <col min="11543" max="11543" width="12" style="504" customWidth="1"/>
    <col min="11544" max="11776" width="9.140625" style="504"/>
    <col min="11777" max="11777" width="5" style="504" customWidth="1"/>
    <col min="11778" max="11778" width="18.5703125" style="504" customWidth="1"/>
    <col min="11779" max="11780" width="8.42578125" style="504" customWidth="1"/>
    <col min="11781" max="11781" width="7.7109375" style="504" customWidth="1"/>
    <col min="11782" max="11782" width="8.140625" style="504" customWidth="1"/>
    <col min="11783" max="11784" width="8.5703125" style="504" customWidth="1"/>
    <col min="11785" max="11790" width="8.42578125" style="504" customWidth="1"/>
    <col min="11791" max="11796" width="9.140625" style="504"/>
    <col min="11797" max="11797" width="12.42578125" style="504" customWidth="1"/>
    <col min="11798" max="11798" width="9.140625" style="504"/>
    <col min="11799" max="11799" width="12" style="504" customWidth="1"/>
    <col min="11800" max="12032" width="9.140625" style="504"/>
    <col min="12033" max="12033" width="5" style="504" customWidth="1"/>
    <col min="12034" max="12034" width="18.5703125" style="504" customWidth="1"/>
    <col min="12035" max="12036" width="8.42578125" style="504" customWidth="1"/>
    <col min="12037" max="12037" width="7.7109375" style="504" customWidth="1"/>
    <col min="12038" max="12038" width="8.140625" style="504" customWidth="1"/>
    <col min="12039" max="12040" width="8.5703125" style="504" customWidth="1"/>
    <col min="12041" max="12046" width="8.42578125" style="504" customWidth="1"/>
    <col min="12047" max="12052" width="9.140625" style="504"/>
    <col min="12053" max="12053" width="12.42578125" style="504" customWidth="1"/>
    <col min="12054" max="12054" width="9.140625" style="504"/>
    <col min="12055" max="12055" width="12" style="504" customWidth="1"/>
    <col min="12056" max="12288" width="9.140625" style="504"/>
    <col min="12289" max="12289" width="5" style="504" customWidth="1"/>
    <col min="12290" max="12290" width="18.5703125" style="504" customWidth="1"/>
    <col min="12291" max="12292" width="8.42578125" style="504" customWidth="1"/>
    <col min="12293" max="12293" width="7.7109375" style="504" customWidth="1"/>
    <col min="12294" max="12294" width="8.140625" style="504" customWidth="1"/>
    <col min="12295" max="12296" width="8.5703125" style="504" customWidth="1"/>
    <col min="12297" max="12302" width="8.42578125" style="504" customWidth="1"/>
    <col min="12303" max="12308" width="9.140625" style="504"/>
    <col min="12309" max="12309" width="12.42578125" style="504" customWidth="1"/>
    <col min="12310" max="12310" width="9.140625" style="504"/>
    <col min="12311" max="12311" width="12" style="504" customWidth="1"/>
    <col min="12312" max="12544" width="9.140625" style="504"/>
    <col min="12545" max="12545" width="5" style="504" customWidth="1"/>
    <col min="12546" max="12546" width="18.5703125" style="504" customWidth="1"/>
    <col min="12547" max="12548" width="8.42578125" style="504" customWidth="1"/>
    <col min="12549" max="12549" width="7.7109375" style="504" customWidth="1"/>
    <col min="12550" max="12550" width="8.140625" style="504" customWidth="1"/>
    <col min="12551" max="12552" width="8.5703125" style="504" customWidth="1"/>
    <col min="12553" max="12558" width="8.42578125" style="504" customWidth="1"/>
    <col min="12559" max="12564" width="9.140625" style="504"/>
    <col min="12565" max="12565" width="12.42578125" style="504" customWidth="1"/>
    <col min="12566" max="12566" width="9.140625" style="504"/>
    <col min="12567" max="12567" width="12" style="504" customWidth="1"/>
    <col min="12568" max="12800" width="9.140625" style="504"/>
    <col min="12801" max="12801" width="5" style="504" customWidth="1"/>
    <col min="12802" max="12802" width="18.5703125" style="504" customWidth="1"/>
    <col min="12803" max="12804" width="8.42578125" style="504" customWidth="1"/>
    <col min="12805" max="12805" width="7.7109375" style="504" customWidth="1"/>
    <col min="12806" max="12806" width="8.140625" style="504" customWidth="1"/>
    <col min="12807" max="12808" width="8.5703125" style="504" customWidth="1"/>
    <col min="12809" max="12814" width="8.42578125" style="504" customWidth="1"/>
    <col min="12815" max="12820" width="9.140625" style="504"/>
    <col min="12821" max="12821" width="12.42578125" style="504" customWidth="1"/>
    <col min="12822" max="12822" width="9.140625" style="504"/>
    <col min="12823" max="12823" width="12" style="504" customWidth="1"/>
    <col min="12824" max="13056" width="9.140625" style="504"/>
    <col min="13057" max="13057" width="5" style="504" customWidth="1"/>
    <col min="13058" max="13058" width="18.5703125" style="504" customWidth="1"/>
    <col min="13059" max="13060" width="8.42578125" style="504" customWidth="1"/>
    <col min="13061" max="13061" width="7.7109375" style="504" customWidth="1"/>
    <col min="13062" max="13062" width="8.140625" style="504" customWidth="1"/>
    <col min="13063" max="13064" width="8.5703125" style="504" customWidth="1"/>
    <col min="13065" max="13070" width="8.42578125" style="504" customWidth="1"/>
    <col min="13071" max="13076" width="9.140625" style="504"/>
    <col min="13077" max="13077" width="12.42578125" style="504" customWidth="1"/>
    <col min="13078" max="13078" width="9.140625" style="504"/>
    <col min="13079" max="13079" width="12" style="504" customWidth="1"/>
    <col min="13080" max="13312" width="9.140625" style="504"/>
    <col min="13313" max="13313" width="5" style="504" customWidth="1"/>
    <col min="13314" max="13314" width="18.5703125" style="504" customWidth="1"/>
    <col min="13315" max="13316" width="8.42578125" style="504" customWidth="1"/>
    <col min="13317" max="13317" width="7.7109375" style="504" customWidth="1"/>
    <col min="13318" max="13318" width="8.140625" style="504" customWidth="1"/>
    <col min="13319" max="13320" width="8.5703125" style="504" customWidth="1"/>
    <col min="13321" max="13326" width="8.42578125" style="504" customWidth="1"/>
    <col min="13327" max="13332" width="9.140625" style="504"/>
    <col min="13333" max="13333" width="12.42578125" style="504" customWidth="1"/>
    <col min="13334" max="13334" width="9.140625" style="504"/>
    <col min="13335" max="13335" width="12" style="504" customWidth="1"/>
    <col min="13336" max="13568" width="9.140625" style="504"/>
    <col min="13569" max="13569" width="5" style="504" customWidth="1"/>
    <col min="13570" max="13570" width="18.5703125" style="504" customWidth="1"/>
    <col min="13571" max="13572" width="8.42578125" style="504" customWidth="1"/>
    <col min="13573" max="13573" width="7.7109375" style="504" customWidth="1"/>
    <col min="13574" max="13574" width="8.140625" style="504" customWidth="1"/>
    <col min="13575" max="13576" width="8.5703125" style="504" customWidth="1"/>
    <col min="13577" max="13582" width="8.42578125" style="504" customWidth="1"/>
    <col min="13583" max="13588" width="9.140625" style="504"/>
    <col min="13589" max="13589" width="12.42578125" style="504" customWidth="1"/>
    <col min="13590" max="13590" width="9.140625" style="504"/>
    <col min="13591" max="13591" width="12" style="504" customWidth="1"/>
    <col min="13592" max="13824" width="9.140625" style="504"/>
    <col min="13825" max="13825" width="5" style="504" customWidth="1"/>
    <col min="13826" max="13826" width="18.5703125" style="504" customWidth="1"/>
    <col min="13827" max="13828" width="8.42578125" style="504" customWidth="1"/>
    <col min="13829" max="13829" width="7.7109375" style="504" customWidth="1"/>
    <col min="13830" max="13830" width="8.140625" style="504" customWidth="1"/>
    <col min="13831" max="13832" width="8.5703125" style="504" customWidth="1"/>
    <col min="13833" max="13838" width="8.42578125" style="504" customWidth="1"/>
    <col min="13839" max="13844" width="9.140625" style="504"/>
    <col min="13845" max="13845" width="12.42578125" style="504" customWidth="1"/>
    <col min="13846" max="13846" width="9.140625" style="504"/>
    <col min="13847" max="13847" width="12" style="504" customWidth="1"/>
    <col min="13848" max="14080" width="9.140625" style="504"/>
    <col min="14081" max="14081" width="5" style="504" customWidth="1"/>
    <col min="14082" max="14082" width="18.5703125" style="504" customWidth="1"/>
    <col min="14083" max="14084" width="8.42578125" style="504" customWidth="1"/>
    <col min="14085" max="14085" width="7.7109375" style="504" customWidth="1"/>
    <col min="14086" max="14086" width="8.140625" style="504" customWidth="1"/>
    <col min="14087" max="14088" width="8.5703125" style="504" customWidth="1"/>
    <col min="14089" max="14094" width="8.42578125" style="504" customWidth="1"/>
    <col min="14095" max="14100" width="9.140625" style="504"/>
    <col min="14101" max="14101" width="12.42578125" style="504" customWidth="1"/>
    <col min="14102" max="14102" width="9.140625" style="504"/>
    <col min="14103" max="14103" width="12" style="504" customWidth="1"/>
    <col min="14104" max="14336" width="9.140625" style="504"/>
    <col min="14337" max="14337" width="5" style="504" customWidth="1"/>
    <col min="14338" max="14338" width="18.5703125" style="504" customWidth="1"/>
    <col min="14339" max="14340" width="8.42578125" style="504" customWidth="1"/>
    <col min="14341" max="14341" width="7.7109375" style="504" customWidth="1"/>
    <col min="14342" max="14342" width="8.140625" style="504" customWidth="1"/>
    <col min="14343" max="14344" width="8.5703125" style="504" customWidth="1"/>
    <col min="14345" max="14350" width="8.42578125" style="504" customWidth="1"/>
    <col min="14351" max="14356" width="9.140625" style="504"/>
    <col min="14357" max="14357" width="12.42578125" style="504" customWidth="1"/>
    <col min="14358" max="14358" width="9.140625" style="504"/>
    <col min="14359" max="14359" width="12" style="504" customWidth="1"/>
    <col min="14360" max="14592" width="9.140625" style="504"/>
    <col min="14593" max="14593" width="5" style="504" customWidth="1"/>
    <col min="14594" max="14594" width="18.5703125" style="504" customWidth="1"/>
    <col min="14595" max="14596" width="8.42578125" style="504" customWidth="1"/>
    <col min="14597" max="14597" width="7.7109375" style="504" customWidth="1"/>
    <col min="14598" max="14598" width="8.140625" style="504" customWidth="1"/>
    <col min="14599" max="14600" width="8.5703125" style="504" customWidth="1"/>
    <col min="14601" max="14606" width="8.42578125" style="504" customWidth="1"/>
    <col min="14607" max="14612" width="9.140625" style="504"/>
    <col min="14613" max="14613" width="12.42578125" style="504" customWidth="1"/>
    <col min="14614" max="14614" width="9.140625" style="504"/>
    <col min="14615" max="14615" width="12" style="504" customWidth="1"/>
    <col min="14616" max="14848" width="9.140625" style="504"/>
    <col min="14849" max="14849" width="5" style="504" customWidth="1"/>
    <col min="14850" max="14850" width="18.5703125" style="504" customWidth="1"/>
    <col min="14851" max="14852" width="8.42578125" style="504" customWidth="1"/>
    <col min="14853" max="14853" width="7.7109375" style="504" customWidth="1"/>
    <col min="14854" max="14854" width="8.140625" style="504" customWidth="1"/>
    <col min="14855" max="14856" width="8.5703125" style="504" customWidth="1"/>
    <col min="14857" max="14862" width="8.42578125" style="504" customWidth="1"/>
    <col min="14863" max="14868" width="9.140625" style="504"/>
    <col min="14869" max="14869" width="12.42578125" style="504" customWidth="1"/>
    <col min="14870" max="14870" width="9.140625" style="504"/>
    <col min="14871" max="14871" width="12" style="504" customWidth="1"/>
    <col min="14872" max="15104" width="9.140625" style="504"/>
    <col min="15105" max="15105" width="5" style="504" customWidth="1"/>
    <col min="15106" max="15106" width="18.5703125" style="504" customWidth="1"/>
    <col min="15107" max="15108" width="8.42578125" style="504" customWidth="1"/>
    <col min="15109" max="15109" width="7.7109375" style="504" customWidth="1"/>
    <col min="15110" max="15110" width="8.140625" style="504" customWidth="1"/>
    <col min="15111" max="15112" width="8.5703125" style="504" customWidth="1"/>
    <col min="15113" max="15118" width="8.42578125" style="504" customWidth="1"/>
    <col min="15119" max="15124" width="9.140625" style="504"/>
    <col min="15125" max="15125" width="12.42578125" style="504" customWidth="1"/>
    <col min="15126" max="15126" width="9.140625" style="504"/>
    <col min="15127" max="15127" width="12" style="504" customWidth="1"/>
    <col min="15128" max="15360" width="9.140625" style="504"/>
    <col min="15361" max="15361" width="5" style="504" customWidth="1"/>
    <col min="15362" max="15362" width="18.5703125" style="504" customWidth="1"/>
    <col min="15363" max="15364" width="8.42578125" style="504" customWidth="1"/>
    <col min="15365" max="15365" width="7.7109375" style="504" customWidth="1"/>
    <col min="15366" max="15366" width="8.140625" style="504" customWidth="1"/>
    <col min="15367" max="15368" width="8.5703125" style="504" customWidth="1"/>
    <col min="15369" max="15374" width="8.42578125" style="504" customWidth="1"/>
    <col min="15375" max="15380" width="9.140625" style="504"/>
    <col min="15381" max="15381" width="12.42578125" style="504" customWidth="1"/>
    <col min="15382" max="15382" width="9.140625" style="504"/>
    <col min="15383" max="15383" width="12" style="504" customWidth="1"/>
    <col min="15384" max="15616" width="9.140625" style="504"/>
    <col min="15617" max="15617" width="5" style="504" customWidth="1"/>
    <col min="15618" max="15618" width="18.5703125" style="504" customWidth="1"/>
    <col min="15619" max="15620" width="8.42578125" style="504" customWidth="1"/>
    <col min="15621" max="15621" width="7.7109375" style="504" customWidth="1"/>
    <col min="15622" max="15622" width="8.140625" style="504" customWidth="1"/>
    <col min="15623" max="15624" width="8.5703125" style="504" customWidth="1"/>
    <col min="15625" max="15630" width="8.42578125" style="504" customWidth="1"/>
    <col min="15631" max="15636" width="9.140625" style="504"/>
    <col min="15637" max="15637" width="12.42578125" style="504" customWidth="1"/>
    <col min="15638" max="15638" width="9.140625" style="504"/>
    <col min="15639" max="15639" width="12" style="504" customWidth="1"/>
    <col min="15640" max="15872" width="9.140625" style="504"/>
    <col min="15873" max="15873" width="5" style="504" customWidth="1"/>
    <col min="15874" max="15874" width="18.5703125" style="504" customWidth="1"/>
    <col min="15875" max="15876" width="8.42578125" style="504" customWidth="1"/>
    <col min="15877" max="15877" width="7.7109375" style="504" customWidth="1"/>
    <col min="15878" max="15878" width="8.140625" style="504" customWidth="1"/>
    <col min="15879" max="15880" width="8.5703125" style="504" customWidth="1"/>
    <col min="15881" max="15886" width="8.42578125" style="504" customWidth="1"/>
    <col min="15887" max="15892" width="9.140625" style="504"/>
    <col min="15893" max="15893" width="12.42578125" style="504" customWidth="1"/>
    <col min="15894" max="15894" width="9.140625" style="504"/>
    <col min="15895" max="15895" width="12" style="504" customWidth="1"/>
    <col min="15896" max="16128" width="9.140625" style="504"/>
    <col min="16129" max="16129" width="5" style="504" customWidth="1"/>
    <col min="16130" max="16130" width="18.5703125" style="504" customWidth="1"/>
    <col min="16131" max="16132" width="8.42578125" style="504" customWidth="1"/>
    <col min="16133" max="16133" width="7.7109375" style="504" customWidth="1"/>
    <col min="16134" max="16134" width="8.140625" style="504" customWidth="1"/>
    <col min="16135" max="16136" width="8.5703125" style="504" customWidth="1"/>
    <col min="16137" max="16142" width="8.42578125" style="504" customWidth="1"/>
    <col min="16143" max="16148" width="9.140625" style="504"/>
    <col min="16149" max="16149" width="12.42578125" style="504" customWidth="1"/>
    <col min="16150" max="16150" width="9.140625" style="504"/>
    <col min="16151" max="16151" width="12" style="504" customWidth="1"/>
    <col min="16152" max="16384" width="9.140625" style="504"/>
  </cols>
  <sheetData>
    <row r="1" spans="1:17" s="490" customFormat="1" x14ac:dyDescent="0.2">
      <c r="A1" s="1045" t="s">
        <v>449</v>
      </c>
      <c r="B1" s="1039"/>
      <c r="C1" s="1039"/>
      <c r="D1" s="1038"/>
      <c r="E1" s="1039"/>
      <c r="F1" s="1039"/>
      <c r="G1" s="1045" t="s">
        <v>102</v>
      </c>
      <c r="H1" s="1038"/>
      <c r="I1" s="1038" t="s">
        <v>591</v>
      </c>
      <c r="J1" s="1039"/>
      <c r="K1" s="1039"/>
      <c r="L1" s="1040"/>
      <c r="M1" s="1040"/>
      <c r="N1" s="1040"/>
      <c r="O1" s="1040"/>
    </row>
    <row r="2" spans="1:17" s="490" customFormat="1" x14ac:dyDescent="0.2">
      <c r="A2" s="1045" t="s">
        <v>103</v>
      </c>
      <c r="B2" s="1039"/>
      <c r="C2" s="1039"/>
      <c r="D2" s="1038"/>
      <c r="E2" s="1039"/>
      <c r="F2" s="1039"/>
      <c r="G2" s="1045" t="s">
        <v>104</v>
      </c>
      <c r="H2" s="1038"/>
      <c r="I2" s="1038" t="s">
        <v>105</v>
      </c>
      <c r="J2" s="1039"/>
      <c r="K2" s="1039"/>
      <c r="L2" s="1040"/>
      <c r="M2" s="1040"/>
      <c r="N2" s="1040"/>
      <c r="O2" s="1040"/>
    </row>
    <row r="3" spans="1:17" s="490" customFormat="1" x14ac:dyDescent="0.2">
      <c r="A3" s="1045" t="s">
        <v>106</v>
      </c>
      <c r="B3" s="1039"/>
      <c r="C3" s="1039"/>
      <c r="D3" s="1046" t="s">
        <v>663</v>
      </c>
      <c r="E3" s="1039"/>
      <c r="F3" s="1039"/>
      <c r="G3" s="1045" t="s">
        <v>107</v>
      </c>
      <c r="H3" s="1038"/>
      <c r="I3" s="1038" t="s">
        <v>108</v>
      </c>
      <c r="J3" s="1039"/>
      <c r="K3" s="1039"/>
      <c r="L3" s="1040"/>
      <c r="M3" s="1040"/>
      <c r="N3" s="1040"/>
      <c r="O3" s="1040"/>
    </row>
    <row r="4" spans="1:17" s="490" customFormat="1" x14ac:dyDescent="0.2">
      <c r="A4" s="1045" t="s">
        <v>109</v>
      </c>
      <c r="B4" s="1039"/>
      <c r="C4" s="1039"/>
      <c r="D4" s="1038"/>
      <c r="E4" s="1039"/>
      <c r="F4" s="1039"/>
      <c r="G4" s="1045" t="s">
        <v>110</v>
      </c>
      <c r="H4" s="1038"/>
      <c r="I4" s="1038" t="s">
        <v>645</v>
      </c>
      <c r="J4" s="1039"/>
      <c r="K4" s="1039"/>
      <c r="L4" s="1040"/>
      <c r="M4" s="1040"/>
      <c r="N4" s="1040"/>
      <c r="O4" s="1040"/>
    </row>
    <row r="5" spans="1:17" s="490" customFormat="1" x14ac:dyDescent="0.2">
      <c r="A5" s="1045" t="s">
        <v>112</v>
      </c>
      <c r="B5" s="1039"/>
      <c r="C5" s="1039"/>
      <c r="D5" s="1038" t="s">
        <v>644</v>
      </c>
      <c r="E5" s="1039"/>
      <c r="F5" s="1039"/>
      <c r="G5" s="1045"/>
      <c r="H5" s="1039"/>
      <c r="I5" s="1038" t="s">
        <v>113</v>
      </c>
      <c r="J5" s="1039"/>
      <c r="K5" s="1039"/>
      <c r="L5" s="1040"/>
      <c r="M5" s="1040"/>
      <c r="N5" s="1040"/>
      <c r="O5" s="1040"/>
    </row>
    <row r="6" spans="1:17" s="490" customFormat="1" x14ac:dyDescent="0.2">
      <c r="A6" s="1041" t="s">
        <v>114</v>
      </c>
      <c r="B6" s="1042"/>
      <c r="C6" s="1042"/>
      <c r="D6" s="1039" t="s">
        <v>592</v>
      </c>
      <c r="E6" s="1039"/>
      <c r="F6" s="1039"/>
      <c r="G6" s="1041" t="s">
        <v>115</v>
      </c>
      <c r="H6" s="1041"/>
      <c r="I6" s="491" t="s">
        <v>116</v>
      </c>
      <c r="J6" s="1043"/>
      <c r="K6" s="1043"/>
      <c r="L6" s="1043"/>
      <c r="M6" s="1043"/>
      <c r="N6" s="1043"/>
      <c r="O6" s="1044"/>
    </row>
    <row r="7" spans="1:17" s="490" customFormat="1" ht="13.5" thickBot="1" x14ac:dyDescent="0.25">
      <c r="A7" s="492"/>
      <c r="B7" s="493"/>
      <c r="C7" s="494"/>
      <c r="D7" s="495"/>
      <c r="E7" s="495"/>
      <c r="F7" s="495"/>
      <c r="G7" s="495"/>
      <c r="H7" s="495"/>
      <c r="I7" s="495"/>
      <c r="J7" s="496"/>
      <c r="K7" s="497"/>
      <c r="L7" s="1030" t="s">
        <v>223</v>
      </c>
      <c r="M7" s="1030"/>
      <c r="N7" s="1030"/>
      <c r="O7" s="1030"/>
    </row>
    <row r="8" spans="1:17" s="499" customFormat="1" x14ac:dyDescent="0.2">
      <c r="A8" s="1031" t="str">
        <f>I1</f>
        <v>Mr. Prashant P. Sawant</v>
      </c>
      <c r="B8" s="1032"/>
      <c r="C8" s="334">
        <v>43160</v>
      </c>
      <c r="D8" s="334">
        <v>43191</v>
      </c>
      <c r="E8" s="334">
        <v>43221</v>
      </c>
      <c r="F8" s="334">
        <v>43252</v>
      </c>
      <c r="G8" s="334">
        <v>43282</v>
      </c>
      <c r="H8" s="334">
        <v>43313</v>
      </c>
      <c r="I8" s="334">
        <v>43344</v>
      </c>
      <c r="J8" s="334">
        <v>43374</v>
      </c>
      <c r="K8" s="334">
        <v>43405</v>
      </c>
      <c r="L8" s="334">
        <v>43435</v>
      </c>
      <c r="M8" s="334">
        <v>43466</v>
      </c>
      <c r="N8" s="334">
        <v>43497</v>
      </c>
      <c r="O8" s="498" t="s">
        <v>117</v>
      </c>
      <c r="Q8" s="499" t="s">
        <v>116</v>
      </c>
    </row>
    <row r="9" spans="1:17" ht="15" x14ac:dyDescent="0.2">
      <c r="A9" s="500"/>
      <c r="B9" s="501" t="s">
        <v>118</v>
      </c>
      <c r="C9" s="502">
        <v>50500</v>
      </c>
      <c r="D9" s="502">
        <f t="shared" ref="D9:G24" si="0">+C9</f>
        <v>50500</v>
      </c>
      <c r="E9" s="502">
        <f t="shared" si="0"/>
        <v>50500</v>
      </c>
      <c r="F9" s="502">
        <f t="shared" si="0"/>
        <v>50500</v>
      </c>
      <c r="G9" s="502">
        <v>52000</v>
      </c>
      <c r="H9" s="502">
        <v>52000</v>
      </c>
      <c r="I9" s="502">
        <v>52000</v>
      </c>
      <c r="J9" s="502">
        <v>52000</v>
      </c>
      <c r="K9" s="502">
        <v>52000</v>
      </c>
      <c r="L9" s="502">
        <v>52000</v>
      </c>
      <c r="M9" s="502">
        <v>52000</v>
      </c>
      <c r="N9" s="502">
        <v>52000</v>
      </c>
      <c r="O9" s="503">
        <f t="shared" ref="O9:O52" si="1">SUM(C9:N9)</f>
        <v>618000</v>
      </c>
      <c r="Q9" s="504" t="s">
        <v>222</v>
      </c>
    </row>
    <row r="10" spans="1:17" ht="15" x14ac:dyDescent="0.2">
      <c r="A10" s="500"/>
      <c r="B10" s="501" t="s">
        <v>119</v>
      </c>
      <c r="C10" s="505">
        <v>0</v>
      </c>
      <c r="D10" s="505">
        <f t="shared" si="0"/>
        <v>0</v>
      </c>
      <c r="E10" s="505">
        <f t="shared" si="0"/>
        <v>0</v>
      </c>
      <c r="F10" s="505">
        <f t="shared" si="0"/>
        <v>0</v>
      </c>
      <c r="G10" s="505">
        <f>+F10</f>
        <v>0</v>
      </c>
      <c r="H10" s="505">
        <v>0</v>
      </c>
      <c r="I10" s="505">
        <f>+H10</f>
        <v>0</v>
      </c>
      <c r="J10" s="505">
        <f>+I10</f>
        <v>0</v>
      </c>
      <c r="K10" s="505">
        <f>+J10</f>
        <v>0</v>
      </c>
      <c r="L10" s="505">
        <f>+K10</f>
        <v>0</v>
      </c>
      <c r="M10" s="505">
        <f>L10</f>
        <v>0</v>
      </c>
      <c r="N10" s="505">
        <f>+M10</f>
        <v>0</v>
      </c>
      <c r="O10" s="506">
        <f t="shared" si="1"/>
        <v>0</v>
      </c>
    </row>
    <row r="11" spans="1:17" ht="15" x14ac:dyDescent="0.2">
      <c r="A11" s="500"/>
      <c r="B11" s="501" t="s">
        <v>120</v>
      </c>
      <c r="C11" s="505">
        <v>2525</v>
      </c>
      <c r="D11" s="505">
        <v>3535</v>
      </c>
      <c r="E11" s="505">
        <f t="shared" si="0"/>
        <v>3535</v>
      </c>
      <c r="F11" s="505">
        <f t="shared" si="0"/>
        <v>3535</v>
      </c>
      <c r="G11" s="505">
        <v>3640</v>
      </c>
      <c r="H11" s="505">
        <v>3640</v>
      </c>
      <c r="I11" s="505">
        <v>3640</v>
      </c>
      <c r="J11" s="505">
        <v>4680</v>
      </c>
      <c r="K11" s="505">
        <v>4680</v>
      </c>
      <c r="L11" s="505">
        <v>4680</v>
      </c>
      <c r="M11" s="505">
        <v>4680</v>
      </c>
      <c r="N11" s="505">
        <v>4680</v>
      </c>
      <c r="O11" s="506">
        <f t="shared" si="1"/>
        <v>47450</v>
      </c>
    </row>
    <row r="12" spans="1:17" ht="15" hidden="1" x14ac:dyDescent="0.2">
      <c r="A12" s="500"/>
      <c r="B12" s="501" t="s">
        <v>121</v>
      </c>
      <c r="C12" s="505">
        <v>0</v>
      </c>
      <c r="D12" s="505">
        <f>+C12</f>
        <v>0</v>
      </c>
      <c r="E12" s="505">
        <f t="shared" si="0"/>
        <v>0</v>
      </c>
      <c r="F12" s="505">
        <f t="shared" si="0"/>
        <v>0</v>
      </c>
      <c r="G12" s="505">
        <f t="shared" si="0"/>
        <v>0</v>
      </c>
      <c r="H12" s="505">
        <v>0</v>
      </c>
      <c r="I12" s="505">
        <f t="shared" ref="I12:L18" si="2">+H12</f>
        <v>0</v>
      </c>
      <c r="J12" s="505">
        <f t="shared" si="2"/>
        <v>0</v>
      </c>
      <c r="K12" s="505">
        <f t="shared" si="2"/>
        <v>0</v>
      </c>
      <c r="L12" s="505">
        <f t="shared" si="2"/>
        <v>0</v>
      </c>
      <c r="M12" s="505">
        <f t="shared" ref="M12:M18" si="3">L12</f>
        <v>0</v>
      </c>
      <c r="N12" s="505">
        <f t="shared" ref="N12:N18" si="4">+M12</f>
        <v>0</v>
      </c>
      <c r="O12" s="506">
        <f t="shared" si="1"/>
        <v>0</v>
      </c>
    </row>
    <row r="13" spans="1:17" ht="15" hidden="1" x14ac:dyDescent="0.2">
      <c r="A13" s="500"/>
      <c r="B13" s="501" t="s">
        <v>122</v>
      </c>
      <c r="C13" s="505">
        <v>0</v>
      </c>
      <c r="D13" s="505">
        <f>+C13</f>
        <v>0</v>
      </c>
      <c r="E13" s="505">
        <f t="shared" si="0"/>
        <v>0</v>
      </c>
      <c r="F13" s="505">
        <f t="shared" si="0"/>
        <v>0</v>
      </c>
      <c r="G13" s="505">
        <f t="shared" si="0"/>
        <v>0</v>
      </c>
      <c r="H13" s="505">
        <v>0</v>
      </c>
      <c r="I13" s="505">
        <f t="shared" si="2"/>
        <v>0</v>
      </c>
      <c r="J13" s="505">
        <f t="shared" si="2"/>
        <v>0</v>
      </c>
      <c r="K13" s="505">
        <f t="shared" si="2"/>
        <v>0</v>
      </c>
      <c r="L13" s="505">
        <f t="shared" si="2"/>
        <v>0</v>
      </c>
      <c r="M13" s="505">
        <f t="shared" si="3"/>
        <v>0</v>
      </c>
      <c r="N13" s="505">
        <f t="shared" si="4"/>
        <v>0</v>
      </c>
      <c r="O13" s="506">
        <f t="shared" si="1"/>
        <v>0</v>
      </c>
    </row>
    <row r="14" spans="1:17" ht="15" x14ac:dyDescent="0.2">
      <c r="A14" s="500"/>
      <c r="B14" s="501" t="s">
        <v>123</v>
      </c>
      <c r="C14" s="505">
        <v>3780</v>
      </c>
      <c r="D14" s="505">
        <v>3852</v>
      </c>
      <c r="E14" s="505">
        <f t="shared" si="0"/>
        <v>3852</v>
      </c>
      <c r="F14" s="505">
        <f t="shared" si="0"/>
        <v>3852</v>
      </c>
      <c r="G14" s="505">
        <f t="shared" si="0"/>
        <v>3852</v>
      </c>
      <c r="H14" s="505">
        <f>+G14</f>
        <v>3852</v>
      </c>
      <c r="I14" s="505">
        <f>+H14</f>
        <v>3852</v>
      </c>
      <c r="J14" s="505">
        <v>3924</v>
      </c>
      <c r="K14" s="505">
        <f t="shared" si="2"/>
        <v>3924</v>
      </c>
      <c r="L14" s="505">
        <f t="shared" si="2"/>
        <v>3924</v>
      </c>
      <c r="M14" s="505">
        <f t="shared" si="3"/>
        <v>3924</v>
      </c>
      <c r="N14" s="505">
        <f t="shared" si="4"/>
        <v>3924</v>
      </c>
      <c r="O14" s="506">
        <f t="shared" si="1"/>
        <v>46512</v>
      </c>
    </row>
    <row r="15" spans="1:17" ht="15" hidden="1" x14ac:dyDescent="0.2">
      <c r="A15" s="500"/>
      <c r="B15" s="501" t="s">
        <v>124</v>
      </c>
      <c r="C15" s="505">
        <v>0</v>
      </c>
      <c r="D15" s="505">
        <f t="shared" ref="D15:G30" si="5">+C15</f>
        <v>0</v>
      </c>
      <c r="E15" s="505">
        <f t="shared" si="0"/>
        <v>0</v>
      </c>
      <c r="F15" s="505">
        <f t="shared" si="0"/>
        <v>0</v>
      </c>
      <c r="G15" s="505">
        <f t="shared" si="0"/>
        <v>0</v>
      </c>
      <c r="H15" s="505">
        <v>0</v>
      </c>
      <c r="I15" s="505">
        <f t="shared" ref="I15:J18" si="6">+H15</f>
        <v>0</v>
      </c>
      <c r="J15" s="505">
        <f t="shared" si="6"/>
        <v>0</v>
      </c>
      <c r="K15" s="505">
        <f t="shared" si="2"/>
        <v>0</v>
      </c>
      <c r="L15" s="505">
        <f t="shared" si="2"/>
        <v>0</v>
      </c>
      <c r="M15" s="505">
        <f t="shared" si="3"/>
        <v>0</v>
      </c>
      <c r="N15" s="505">
        <f t="shared" si="4"/>
        <v>0</v>
      </c>
      <c r="O15" s="506">
        <f t="shared" si="1"/>
        <v>0</v>
      </c>
    </row>
    <row r="16" spans="1:17" ht="15" hidden="1" x14ac:dyDescent="0.2">
      <c r="A16" s="500"/>
      <c r="B16" s="501" t="s">
        <v>405</v>
      </c>
      <c r="C16" s="505">
        <v>0</v>
      </c>
      <c r="D16" s="505">
        <f t="shared" si="5"/>
        <v>0</v>
      </c>
      <c r="E16" s="505">
        <f t="shared" si="0"/>
        <v>0</v>
      </c>
      <c r="F16" s="505">
        <f t="shared" si="0"/>
        <v>0</v>
      </c>
      <c r="G16" s="505">
        <f t="shared" si="0"/>
        <v>0</v>
      </c>
      <c r="H16" s="505">
        <v>0</v>
      </c>
      <c r="I16" s="505">
        <f t="shared" si="6"/>
        <v>0</v>
      </c>
      <c r="J16" s="505">
        <f t="shared" si="6"/>
        <v>0</v>
      </c>
      <c r="K16" s="505">
        <f t="shared" si="2"/>
        <v>0</v>
      </c>
      <c r="L16" s="505">
        <f t="shared" si="2"/>
        <v>0</v>
      </c>
      <c r="M16" s="505">
        <f t="shared" si="3"/>
        <v>0</v>
      </c>
      <c r="N16" s="505">
        <f t="shared" si="4"/>
        <v>0</v>
      </c>
      <c r="O16" s="506">
        <f t="shared" si="1"/>
        <v>0</v>
      </c>
    </row>
    <row r="17" spans="1:15" ht="15" hidden="1" x14ac:dyDescent="0.2">
      <c r="A17" s="500"/>
      <c r="B17" s="501" t="s">
        <v>126</v>
      </c>
      <c r="C17" s="505">
        <v>0</v>
      </c>
      <c r="D17" s="505">
        <f t="shared" si="5"/>
        <v>0</v>
      </c>
      <c r="E17" s="505">
        <f t="shared" si="0"/>
        <v>0</v>
      </c>
      <c r="F17" s="505">
        <f t="shared" si="0"/>
        <v>0</v>
      </c>
      <c r="G17" s="505">
        <f t="shared" si="0"/>
        <v>0</v>
      </c>
      <c r="H17" s="505">
        <v>0</v>
      </c>
      <c r="I17" s="505">
        <f t="shared" si="6"/>
        <v>0</v>
      </c>
      <c r="J17" s="505">
        <f t="shared" si="6"/>
        <v>0</v>
      </c>
      <c r="K17" s="505">
        <f t="shared" si="2"/>
        <v>0</v>
      </c>
      <c r="L17" s="505">
        <f t="shared" si="2"/>
        <v>0</v>
      </c>
      <c r="M17" s="505">
        <f t="shared" si="3"/>
        <v>0</v>
      </c>
      <c r="N17" s="505">
        <f t="shared" si="4"/>
        <v>0</v>
      </c>
      <c r="O17" s="506">
        <f t="shared" si="1"/>
        <v>0</v>
      </c>
    </row>
    <row r="18" spans="1:15" ht="15" x14ac:dyDescent="0.2">
      <c r="A18" s="500"/>
      <c r="B18" s="501" t="s">
        <v>224</v>
      </c>
      <c r="C18" s="505">
        <v>0</v>
      </c>
      <c r="D18" s="505">
        <f t="shared" si="5"/>
        <v>0</v>
      </c>
      <c r="E18" s="505">
        <f t="shared" si="0"/>
        <v>0</v>
      </c>
      <c r="F18" s="505">
        <f t="shared" si="0"/>
        <v>0</v>
      </c>
      <c r="G18" s="505">
        <f t="shared" si="0"/>
        <v>0</v>
      </c>
      <c r="H18" s="505">
        <v>0</v>
      </c>
      <c r="I18" s="505">
        <f t="shared" si="6"/>
        <v>0</v>
      </c>
      <c r="J18" s="505">
        <f t="shared" si="6"/>
        <v>0</v>
      </c>
      <c r="K18" s="505">
        <f t="shared" si="2"/>
        <v>0</v>
      </c>
      <c r="L18" s="505">
        <f t="shared" si="2"/>
        <v>0</v>
      </c>
      <c r="M18" s="505">
        <f t="shared" si="3"/>
        <v>0</v>
      </c>
      <c r="N18" s="505">
        <f t="shared" si="4"/>
        <v>0</v>
      </c>
      <c r="O18" s="506">
        <f t="shared" si="1"/>
        <v>0</v>
      </c>
    </row>
    <row r="19" spans="1:15" ht="15" x14ac:dyDescent="0.2">
      <c r="A19" s="500"/>
      <c r="B19" s="501" t="s">
        <v>128</v>
      </c>
      <c r="C19" s="505">
        <v>12120</v>
      </c>
      <c r="D19" s="505">
        <f t="shared" si="5"/>
        <v>12120</v>
      </c>
      <c r="E19" s="505">
        <f t="shared" si="0"/>
        <v>12120</v>
      </c>
      <c r="F19" s="505">
        <f t="shared" si="0"/>
        <v>12120</v>
      </c>
      <c r="G19" s="505">
        <v>12480</v>
      </c>
      <c r="H19" s="505">
        <v>12480</v>
      </c>
      <c r="I19" s="505">
        <v>12480</v>
      </c>
      <c r="J19" s="505">
        <v>12480</v>
      </c>
      <c r="K19" s="505">
        <v>12480</v>
      </c>
      <c r="L19" s="505">
        <v>12480</v>
      </c>
      <c r="M19" s="505">
        <v>12480</v>
      </c>
      <c r="N19" s="505">
        <v>12480</v>
      </c>
      <c r="O19" s="506">
        <f t="shared" si="1"/>
        <v>148320</v>
      </c>
    </row>
    <row r="20" spans="1:15" ht="15" x14ac:dyDescent="0.2">
      <c r="A20" s="500"/>
      <c r="B20" s="501" t="s">
        <v>664</v>
      </c>
      <c r="C20" s="505">
        <v>0</v>
      </c>
      <c r="D20" s="505">
        <f t="shared" si="5"/>
        <v>0</v>
      </c>
      <c r="E20" s="505">
        <f t="shared" si="0"/>
        <v>0</v>
      </c>
      <c r="F20" s="505">
        <f t="shared" si="0"/>
        <v>0</v>
      </c>
      <c r="G20" s="505">
        <f>+F20</f>
        <v>0</v>
      </c>
      <c r="H20" s="505">
        <v>0</v>
      </c>
      <c r="I20" s="505">
        <f t="shared" ref="I20:L35" si="7">+H20</f>
        <v>0</v>
      </c>
      <c r="J20" s="505">
        <f t="shared" si="7"/>
        <v>0</v>
      </c>
      <c r="K20" s="505">
        <f t="shared" si="7"/>
        <v>0</v>
      </c>
      <c r="L20" s="505">
        <f t="shared" si="7"/>
        <v>0</v>
      </c>
      <c r="M20" s="505">
        <f t="shared" ref="M20:M38" si="8">L20</f>
        <v>0</v>
      </c>
      <c r="N20" s="505">
        <f t="shared" ref="N20:N38" si="9">+M20</f>
        <v>0</v>
      </c>
      <c r="O20" s="506">
        <f t="shared" si="1"/>
        <v>0</v>
      </c>
    </row>
    <row r="21" spans="1:15" ht="15" customHeight="1" x14ac:dyDescent="0.2">
      <c r="A21" s="500"/>
      <c r="B21" s="501" t="s">
        <v>129</v>
      </c>
      <c r="C21" s="505">
        <v>0</v>
      </c>
      <c r="D21" s="505">
        <f t="shared" si="5"/>
        <v>0</v>
      </c>
      <c r="E21" s="505">
        <f t="shared" si="0"/>
        <v>0</v>
      </c>
      <c r="F21" s="505">
        <v>24750</v>
      </c>
      <c r="G21" s="505">
        <v>0</v>
      </c>
      <c r="H21" s="505">
        <v>0</v>
      </c>
      <c r="I21" s="505">
        <f t="shared" si="7"/>
        <v>0</v>
      </c>
      <c r="J21" s="505">
        <f t="shared" si="7"/>
        <v>0</v>
      </c>
      <c r="K21" s="505">
        <f t="shared" si="7"/>
        <v>0</v>
      </c>
      <c r="L21" s="505">
        <f t="shared" si="7"/>
        <v>0</v>
      </c>
      <c r="M21" s="505">
        <f t="shared" si="8"/>
        <v>0</v>
      </c>
      <c r="N21" s="505">
        <f t="shared" si="9"/>
        <v>0</v>
      </c>
      <c r="O21" s="506">
        <f t="shared" si="1"/>
        <v>24750</v>
      </c>
    </row>
    <row r="22" spans="1:15" ht="15" hidden="1" customHeight="1" x14ac:dyDescent="0.2">
      <c r="A22" s="1033" t="s">
        <v>130</v>
      </c>
      <c r="B22" s="507" t="s">
        <v>131</v>
      </c>
      <c r="C22" s="505">
        <v>0</v>
      </c>
      <c r="D22" s="505">
        <f t="shared" si="5"/>
        <v>0</v>
      </c>
      <c r="E22" s="505">
        <f t="shared" si="0"/>
        <v>0</v>
      </c>
      <c r="F22" s="505">
        <f t="shared" si="0"/>
        <v>0</v>
      </c>
      <c r="G22" s="505">
        <f t="shared" si="0"/>
        <v>0</v>
      </c>
      <c r="H22" s="505">
        <v>0</v>
      </c>
      <c r="I22" s="505">
        <f t="shared" si="7"/>
        <v>0</v>
      </c>
      <c r="J22" s="505">
        <f t="shared" si="7"/>
        <v>0</v>
      </c>
      <c r="K22" s="505">
        <f t="shared" si="7"/>
        <v>0</v>
      </c>
      <c r="L22" s="505">
        <f t="shared" si="7"/>
        <v>0</v>
      </c>
      <c r="M22" s="505">
        <f t="shared" si="8"/>
        <v>0</v>
      </c>
      <c r="N22" s="505">
        <f t="shared" si="9"/>
        <v>0</v>
      </c>
      <c r="O22" s="506">
        <f t="shared" si="1"/>
        <v>0</v>
      </c>
    </row>
    <row r="23" spans="1:15" ht="15" customHeight="1" x14ac:dyDescent="0.2">
      <c r="A23" s="1034"/>
      <c r="B23" s="507" t="s">
        <v>132</v>
      </c>
      <c r="C23" s="505">
        <v>0</v>
      </c>
      <c r="D23" s="505">
        <f t="shared" si="5"/>
        <v>0</v>
      </c>
      <c r="E23" s="505">
        <f t="shared" si="0"/>
        <v>0</v>
      </c>
      <c r="F23" s="505">
        <f t="shared" si="0"/>
        <v>0</v>
      </c>
      <c r="G23" s="505">
        <f t="shared" si="0"/>
        <v>0</v>
      </c>
      <c r="H23" s="505">
        <v>0</v>
      </c>
      <c r="I23" s="505">
        <f t="shared" si="7"/>
        <v>0</v>
      </c>
      <c r="J23" s="505">
        <f t="shared" si="7"/>
        <v>0</v>
      </c>
      <c r="K23" s="505">
        <f t="shared" si="7"/>
        <v>0</v>
      </c>
      <c r="L23" s="505">
        <f t="shared" si="7"/>
        <v>0</v>
      </c>
      <c r="M23" s="505">
        <f t="shared" si="8"/>
        <v>0</v>
      </c>
      <c r="N23" s="505">
        <f t="shared" si="9"/>
        <v>0</v>
      </c>
      <c r="O23" s="506">
        <f t="shared" si="1"/>
        <v>0</v>
      </c>
    </row>
    <row r="24" spans="1:15" ht="15" hidden="1" customHeight="1" x14ac:dyDescent="0.2">
      <c r="A24" s="1034"/>
      <c r="B24" s="507" t="s">
        <v>133</v>
      </c>
      <c r="C24" s="505">
        <v>0</v>
      </c>
      <c r="D24" s="505">
        <f t="shared" si="5"/>
        <v>0</v>
      </c>
      <c r="E24" s="505">
        <f t="shared" si="0"/>
        <v>0</v>
      </c>
      <c r="F24" s="505">
        <f t="shared" si="0"/>
        <v>0</v>
      </c>
      <c r="G24" s="505">
        <f t="shared" si="0"/>
        <v>0</v>
      </c>
      <c r="H24" s="505">
        <v>0</v>
      </c>
      <c r="I24" s="505">
        <f t="shared" si="7"/>
        <v>0</v>
      </c>
      <c r="J24" s="505">
        <f t="shared" si="7"/>
        <v>0</v>
      </c>
      <c r="K24" s="505">
        <f t="shared" si="7"/>
        <v>0</v>
      </c>
      <c r="L24" s="505">
        <f t="shared" si="7"/>
        <v>0</v>
      </c>
      <c r="M24" s="505">
        <f t="shared" si="8"/>
        <v>0</v>
      </c>
      <c r="N24" s="505">
        <f t="shared" si="9"/>
        <v>0</v>
      </c>
      <c r="O24" s="506">
        <f t="shared" si="1"/>
        <v>0</v>
      </c>
    </row>
    <row r="25" spans="1:15" ht="15" hidden="1" customHeight="1" x14ac:dyDescent="0.2">
      <c r="A25" s="1034"/>
      <c r="B25" s="507" t="s">
        <v>134</v>
      </c>
      <c r="C25" s="505">
        <v>0</v>
      </c>
      <c r="D25" s="505">
        <f t="shared" si="5"/>
        <v>0</v>
      </c>
      <c r="E25" s="505">
        <f t="shared" si="5"/>
        <v>0</v>
      </c>
      <c r="F25" s="505">
        <f t="shared" si="5"/>
        <v>0</v>
      </c>
      <c r="G25" s="505">
        <f t="shared" si="5"/>
        <v>0</v>
      </c>
      <c r="H25" s="505">
        <v>0</v>
      </c>
      <c r="I25" s="505">
        <f t="shared" si="7"/>
        <v>0</v>
      </c>
      <c r="J25" s="505">
        <f t="shared" si="7"/>
        <v>0</v>
      </c>
      <c r="K25" s="505">
        <f t="shared" si="7"/>
        <v>0</v>
      </c>
      <c r="L25" s="505">
        <f t="shared" si="7"/>
        <v>0</v>
      </c>
      <c r="M25" s="505">
        <f t="shared" si="8"/>
        <v>0</v>
      </c>
      <c r="N25" s="505">
        <f t="shared" si="9"/>
        <v>0</v>
      </c>
      <c r="O25" s="506">
        <f t="shared" si="1"/>
        <v>0</v>
      </c>
    </row>
    <row r="26" spans="1:15" ht="15" hidden="1" customHeight="1" x14ac:dyDescent="0.2">
      <c r="A26" s="1034"/>
      <c r="B26" s="507" t="s">
        <v>135</v>
      </c>
      <c r="C26" s="505">
        <v>0</v>
      </c>
      <c r="D26" s="505">
        <f t="shared" si="5"/>
        <v>0</v>
      </c>
      <c r="E26" s="505">
        <f t="shared" si="5"/>
        <v>0</v>
      </c>
      <c r="F26" s="505">
        <f t="shared" si="5"/>
        <v>0</v>
      </c>
      <c r="G26" s="505">
        <f t="shared" si="5"/>
        <v>0</v>
      </c>
      <c r="H26" s="505">
        <v>0</v>
      </c>
      <c r="I26" s="505">
        <f t="shared" si="7"/>
        <v>0</v>
      </c>
      <c r="J26" s="505">
        <f t="shared" si="7"/>
        <v>0</v>
      </c>
      <c r="K26" s="505">
        <f t="shared" si="7"/>
        <v>0</v>
      </c>
      <c r="L26" s="505">
        <f t="shared" si="7"/>
        <v>0</v>
      </c>
      <c r="M26" s="505">
        <f t="shared" si="8"/>
        <v>0</v>
      </c>
      <c r="N26" s="505">
        <f t="shared" si="9"/>
        <v>0</v>
      </c>
      <c r="O26" s="506">
        <f t="shared" si="1"/>
        <v>0</v>
      </c>
    </row>
    <row r="27" spans="1:15" ht="15" hidden="1" customHeight="1" x14ac:dyDescent="0.2">
      <c r="A27" s="1034"/>
      <c r="B27" s="507" t="s">
        <v>136</v>
      </c>
      <c r="C27" s="505">
        <v>0</v>
      </c>
      <c r="D27" s="505">
        <f t="shared" si="5"/>
        <v>0</v>
      </c>
      <c r="E27" s="505">
        <f t="shared" si="5"/>
        <v>0</v>
      </c>
      <c r="F27" s="505">
        <f t="shared" si="5"/>
        <v>0</v>
      </c>
      <c r="G27" s="505">
        <f t="shared" si="5"/>
        <v>0</v>
      </c>
      <c r="H27" s="505">
        <v>0</v>
      </c>
      <c r="I27" s="505">
        <f t="shared" si="7"/>
        <v>0</v>
      </c>
      <c r="J27" s="505">
        <f t="shared" si="7"/>
        <v>0</v>
      </c>
      <c r="K27" s="505">
        <f t="shared" si="7"/>
        <v>0</v>
      </c>
      <c r="L27" s="505">
        <f t="shared" si="7"/>
        <v>0</v>
      </c>
      <c r="M27" s="505">
        <f t="shared" si="8"/>
        <v>0</v>
      </c>
      <c r="N27" s="505">
        <f t="shared" si="9"/>
        <v>0</v>
      </c>
      <c r="O27" s="506">
        <f t="shared" si="1"/>
        <v>0</v>
      </c>
    </row>
    <row r="28" spans="1:15" ht="15" hidden="1" customHeight="1" x14ac:dyDescent="0.2">
      <c r="A28" s="1034"/>
      <c r="B28" s="507" t="s">
        <v>137</v>
      </c>
      <c r="C28" s="505">
        <v>0</v>
      </c>
      <c r="D28" s="505">
        <f t="shared" si="5"/>
        <v>0</v>
      </c>
      <c r="E28" s="505">
        <f t="shared" si="5"/>
        <v>0</v>
      </c>
      <c r="F28" s="505">
        <f t="shared" si="5"/>
        <v>0</v>
      </c>
      <c r="G28" s="505">
        <f t="shared" si="5"/>
        <v>0</v>
      </c>
      <c r="H28" s="505">
        <v>0</v>
      </c>
      <c r="I28" s="505">
        <f t="shared" si="7"/>
        <v>0</v>
      </c>
      <c r="J28" s="505">
        <f t="shared" si="7"/>
        <v>0</v>
      </c>
      <c r="K28" s="505">
        <f t="shared" si="7"/>
        <v>0</v>
      </c>
      <c r="L28" s="505">
        <f t="shared" si="7"/>
        <v>0</v>
      </c>
      <c r="M28" s="505">
        <f t="shared" si="8"/>
        <v>0</v>
      </c>
      <c r="N28" s="505">
        <f t="shared" si="9"/>
        <v>0</v>
      </c>
      <c r="O28" s="506">
        <f t="shared" si="1"/>
        <v>0</v>
      </c>
    </row>
    <row r="29" spans="1:15" ht="15" hidden="1" customHeight="1" x14ac:dyDescent="0.2">
      <c r="A29" s="1034"/>
      <c r="B29" s="507" t="s">
        <v>138</v>
      </c>
      <c r="C29" s="505">
        <v>0</v>
      </c>
      <c r="D29" s="505">
        <f t="shared" si="5"/>
        <v>0</v>
      </c>
      <c r="E29" s="505">
        <f t="shared" si="5"/>
        <v>0</v>
      </c>
      <c r="F29" s="505">
        <f t="shared" si="5"/>
        <v>0</v>
      </c>
      <c r="G29" s="505">
        <f t="shared" si="5"/>
        <v>0</v>
      </c>
      <c r="H29" s="505">
        <v>0</v>
      </c>
      <c r="I29" s="505">
        <f t="shared" si="7"/>
        <v>0</v>
      </c>
      <c r="J29" s="505">
        <f t="shared" si="7"/>
        <v>0</v>
      </c>
      <c r="K29" s="505">
        <f t="shared" si="7"/>
        <v>0</v>
      </c>
      <c r="L29" s="505">
        <f t="shared" si="7"/>
        <v>0</v>
      </c>
      <c r="M29" s="505">
        <f t="shared" si="8"/>
        <v>0</v>
      </c>
      <c r="N29" s="505">
        <f t="shared" si="9"/>
        <v>0</v>
      </c>
      <c r="O29" s="506">
        <f t="shared" si="1"/>
        <v>0</v>
      </c>
    </row>
    <row r="30" spans="1:15" ht="15" hidden="1" customHeight="1" x14ac:dyDescent="0.2">
      <c r="A30" s="1034"/>
      <c r="B30" s="507" t="s">
        <v>139</v>
      </c>
      <c r="C30" s="505">
        <v>0</v>
      </c>
      <c r="D30" s="505">
        <f t="shared" si="5"/>
        <v>0</v>
      </c>
      <c r="E30" s="505">
        <f t="shared" si="5"/>
        <v>0</v>
      </c>
      <c r="F30" s="505">
        <f t="shared" si="5"/>
        <v>0</v>
      </c>
      <c r="G30" s="505">
        <f t="shared" si="5"/>
        <v>0</v>
      </c>
      <c r="H30" s="505">
        <v>0</v>
      </c>
      <c r="I30" s="505">
        <f t="shared" si="7"/>
        <v>0</v>
      </c>
      <c r="J30" s="505">
        <f t="shared" si="7"/>
        <v>0</v>
      </c>
      <c r="K30" s="505">
        <f t="shared" si="7"/>
        <v>0</v>
      </c>
      <c r="L30" s="505">
        <f t="shared" si="7"/>
        <v>0</v>
      </c>
      <c r="M30" s="505">
        <f t="shared" si="8"/>
        <v>0</v>
      </c>
      <c r="N30" s="505">
        <f t="shared" si="9"/>
        <v>0</v>
      </c>
      <c r="O30" s="506">
        <f t="shared" si="1"/>
        <v>0</v>
      </c>
    </row>
    <row r="31" spans="1:15" ht="15" hidden="1" customHeight="1" x14ac:dyDescent="0.2">
      <c r="A31" s="1034"/>
      <c r="B31" s="507" t="s">
        <v>140</v>
      </c>
      <c r="C31" s="505">
        <v>0</v>
      </c>
      <c r="D31" s="505">
        <f t="shared" ref="D31:G38" si="10">+C31</f>
        <v>0</v>
      </c>
      <c r="E31" s="505">
        <f t="shared" si="10"/>
        <v>0</v>
      </c>
      <c r="F31" s="505">
        <f t="shared" si="10"/>
        <v>0</v>
      </c>
      <c r="G31" s="505">
        <f t="shared" si="10"/>
        <v>0</v>
      </c>
      <c r="H31" s="505">
        <v>0</v>
      </c>
      <c r="I31" s="505">
        <f t="shared" si="7"/>
        <v>0</v>
      </c>
      <c r="J31" s="505">
        <f t="shared" si="7"/>
        <v>0</v>
      </c>
      <c r="K31" s="505">
        <f t="shared" si="7"/>
        <v>0</v>
      </c>
      <c r="L31" s="505">
        <f t="shared" si="7"/>
        <v>0</v>
      </c>
      <c r="M31" s="505">
        <f t="shared" si="8"/>
        <v>0</v>
      </c>
      <c r="N31" s="505">
        <f t="shared" si="9"/>
        <v>0</v>
      </c>
      <c r="O31" s="506">
        <f t="shared" si="1"/>
        <v>0</v>
      </c>
    </row>
    <row r="32" spans="1:15" ht="15" hidden="1" customHeight="1" x14ac:dyDescent="0.2">
      <c r="A32" s="1034"/>
      <c r="B32" s="507" t="s">
        <v>225</v>
      </c>
      <c r="C32" s="505">
        <v>0</v>
      </c>
      <c r="D32" s="505">
        <f t="shared" si="10"/>
        <v>0</v>
      </c>
      <c r="E32" s="505">
        <f t="shared" si="10"/>
        <v>0</v>
      </c>
      <c r="F32" s="505">
        <f t="shared" si="10"/>
        <v>0</v>
      </c>
      <c r="G32" s="505">
        <f t="shared" si="10"/>
        <v>0</v>
      </c>
      <c r="H32" s="505">
        <v>0</v>
      </c>
      <c r="I32" s="505">
        <f t="shared" si="7"/>
        <v>0</v>
      </c>
      <c r="J32" s="505">
        <f t="shared" si="7"/>
        <v>0</v>
      </c>
      <c r="K32" s="505">
        <f t="shared" si="7"/>
        <v>0</v>
      </c>
      <c r="L32" s="505">
        <f t="shared" si="7"/>
        <v>0</v>
      </c>
      <c r="M32" s="505">
        <f t="shared" si="8"/>
        <v>0</v>
      </c>
      <c r="N32" s="505">
        <f t="shared" si="9"/>
        <v>0</v>
      </c>
      <c r="O32" s="506">
        <f t="shared" si="1"/>
        <v>0</v>
      </c>
    </row>
    <row r="33" spans="1:18" ht="15" customHeight="1" x14ac:dyDescent="0.2">
      <c r="A33" s="1034"/>
      <c r="B33" s="511" t="s">
        <v>142</v>
      </c>
      <c r="C33" s="505">
        <v>0</v>
      </c>
      <c r="D33" s="505">
        <f t="shared" si="10"/>
        <v>0</v>
      </c>
      <c r="E33" s="505">
        <v>689400</v>
      </c>
      <c r="F33" s="505">
        <v>0</v>
      </c>
      <c r="G33" s="505">
        <f t="shared" si="10"/>
        <v>0</v>
      </c>
      <c r="H33" s="505">
        <v>0</v>
      </c>
      <c r="I33" s="505">
        <f t="shared" si="7"/>
        <v>0</v>
      </c>
      <c r="J33" s="505">
        <f t="shared" si="7"/>
        <v>0</v>
      </c>
      <c r="K33" s="505">
        <f t="shared" si="7"/>
        <v>0</v>
      </c>
      <c r="L33" s="505">
        <f t="shared" si="7"/>
        <v>0</v>
      </c>
      <c r="M33" s="505">
        <f t="shared" si="8"/>
        <v>0</v>
      </c>
      <c r="N33" s="505">
        <f t="shared" si="9"/>
        <v>0</v>
      </c>
      <c r="O33" s="506">
        <f t="shared" si="1"/>
        <v>689400</v>
      </c>
    </row>
    <row r="34" spans="1:18" ht="15" hidden="1" customHeight="1" x14ac:dyDescent="0.2">
      <c r="A34" s="1035"/>
      <c r="B34" s="507" t="s">
        <v>226</v>
      </c>
      <c r="C34" s="505">
        <v>0</v>
      </c>
      <c r="D34" s="505">
        <f t="shared" si="10"/>
        <v>0</v>
      </c>
      <c r="E34" s="505">
        <f t="shared" si="10"/>
        <v>0</v>
      </c>
      <c r="F34" s="505">
        <f t="shared" si="10"/>
        <v>0</v>
      </c>
      <c r="G34" s="505">
        <f t="shared" si="10"/>
        <v>0</v>
      </c>
      <c r="H34" s="505">
        <v>0</v>
      </c>
      <c r="I34" s="505">
        <f t="shared" si="7"/>
        <v>0</v>
      </c>
      <c r="J34" s="505">
        <f t="shared" si="7"/>
        <v>0</v>
      </c>
      <c r="K34" s="505">
        <f t="shared" si="7"/>
        <v>0</v>
      </c>
      <c r="L34" s="505">
        <f t="shared" si="7"/>
        <v>0</v>
      </c>
      <c r="M34" s="505">
        <f t="shared" si="8"/>
        <v>0</v>
      </c>
      <c r="N34" s="505">
        <f t="shared" si="9"/>
        <v>0</v>
      </c>
      <c r="O34" s="506">
        <f t="shared" si="1"/>
        <v>0</v>
      </c>
    </row>
    <row r="35" spans="1:18" ht="15" customHeight="1" x14ac:dyDescent="0.2">
      <c r="A35" s="624"/>
      <c r="B35" s="625" t="s">
        <v>665</v>
      </c>
      <c r="C35" s="505">
        <v>0</v>
      </c>
      <c r="D35" s="505">
        <f t="shared" si="10"/>
        <v>0</v>
      </c>
      <c r="E35" s="505">
        <f t="shared" si="10"/>
        <v>0</v>
      </c>
      <c r="F35" s="505">
        <f t="shared" si="10"/>
        <v>0</v>
      </c>
      <c r="G35" s="505">
        <f t="shared" si="10"/>
        <v>0</v>
      </c>
      <c r="H35" s="505">
        <v>0</v>
      </c>
      <c r="I35" s="505">
        <f t="shared" si="7"/>
        <v>0</v>
      </c>
      <c r="J35" s="505">
        <f t="shared" si="7"/>
        <v>0</v>
      </c>
      <c r="K35" s="505">
        <f t="shared" si="7"/>
        <v>0</v>
      </c>
      <c r="L35" s="505">
        <f t="shared" si="7"/>
        <v>0</v>
      </c>
      <c r="M35" s="505">
        <f t="shared" si="8"/>
        <v>0</v>
      </c>
      <c r="N35" s="505">
        <f t="shared" si="9"/>
        <v>0</v>
      </c>
      <c r="O35" s="506">
        <f t="shared" si="1"/>
        <v>0</v>
      </c>
    </row>
    <row r="36" spans="1:18" ht="15" customHeight="1" x14ac:dyDescent="0.2">
      <c r="A36" s="1036" t="s">
        <v>143</v>
      </c>
      <c r="B36" s="1037"/>
      <c r="C36" s="505">
        <v>0</v>
      </c>
      <c r="D36" s="505">
        <f t="shared" si="10"/>
        <v>0</v>
      </c>
      <c r="E36" s="505">
        <f t="shared" si="10"/>
        <v>0</v>
      </c>
      <c r="F36" s="505">
        <f t="shared" si="10"/>
        <v>0</v>
      </c>
      <c r="G36" s="505">
        <f t="shared" si="10"/>
        <v>0</v>
      </c>
      <c r="H36" s="505">
        <v>0</v>
      </c>
      <c r="I36" s="505">
        <f>+H36</f>
        <v>0</v>
      </c>
      <c r="J36" s="505">
        <f>+I36</f>
        <v>0</v>
      </c>
      <c r="K36" s="505">
        <f>+J36</f>
        <v>0</v>
      </c>
      <c r="L36" s="505">
        <f>+K36</f>
        <v>0</v>
      </c>
      <c r="M36" s="505">
        <f t="shared" si="8"/>
        <v>0</v>
      </c>
      <c r="N36" s="505">
        <f t="shared" si="9"/>
        <v>0</v>
      </c>
      <c r="O36" s="506">
        <f t="shared" si="1"/>
        <v>0</v>
      </c>
    </row>
    <row r="37" spans="1:18" ht="15" customHeight="1" x14ac:dyDescent="0.2">
      <c r="A37" s="1036" t="s">
        <v>145</v>
      </c>
      <c r="B37" s="1037"/>
      <c r="C37" s="505">
        <v>0</v>
      </c>
      <c r="D37" s="505">
        <v>216</v>
      </c>
      <c r="E37" s="505">
        <v>0</v>
      </c>
      <c r="F37" s="505">
        <f>+E37</f>
        <v>0</v>
      </c>
      <c r="G37" s="505">
        <f t="shared" si="10"/>
        <v>0</v>
      </c>
      <c r="H37" s="505">
        <v>0</v>
      </c>
      <c r="I37" s="505">
        <f>+H37</f>
        <v>0</v>
      </c>
      <c r="J37" s="505">
        <v>216</v>
      </c>
      <c r="K37" s="505">
        <v>0</v>
      </c>
      <c r="L37" s="505">
        <f>+K37</f>
        <v>0</v>
      </c>
      <c r="M37" s="505">
        <f t="shared" si="8"/>
        <v>0</v>
      </c>
      <c r="N37" s="505">
        <f t="shared" si="9"/>
        <v>0</v>
      </c>
      <c r="O37" s="506">
        <f t="shared" si="1"/>
        <v>432</v>
      </c>
    </row>
    <row r="38" spans="1:18" ht="15" customHeight="1" x14ac:dyDescent="0.2">
      <c r="A38" s="1036" t="s">
        <v>146</v>
      </c>
      <c r="B38" s="1037"/>
      <c r="C38" s="505">
        <v>0</v>
      </c>
      <c r="D38" s="505">
        <v>3030</v>
      </c>
      <c r="E38" s="505">
        <v>0</v>
      </c>
      <c r="F38" s="505">
        <f>+E38</f>
        <v>0</v>
      </c>
      <c r="G38" s="505">
        <f t="shared" si="10"/>
        <v>0</v>
      </c>
      <c r="H38" s="505">
        <v>0</v>
      </c>
      <c r="I38" s="505">
        <f>+H38</f>
        <v>0</v>
      </c>
      <c r="J38" s="505">
        <v>3120</v>
      </c>
      <c r="K38" s="505">
        <v>0</v>
      </c>
      <c r="L38" s="505">
        <f>+K38</f>
        <v>0</v>
      </c>
      <c r="M38" s="505">
        <f t="shared" si="8"/>
        <v>0</v>
      </c>
      <c r="N38" s="505">
        <f t="shared" si="9"/>
        <v>0</v>
      </c>
      <c r="O38" s="506">
        <f t="shared" si="1"/>
        <v>6150</v>
      </c>
    </row>
    <row r="39" spans="1:18" ht="15" customHeight="1" x14ac:dyDescent="0.2">
      <c r="A39" s="513"/>
      <c r="B39" s="514" t="s">
        <v>147</v>
      </c>
      <c r="C39" s="515">
        <f t="shared" ref="C39:N39" si="11">SUM(C9:C38)</f>
        <v>68925</v>
      </c>
      <c r="D39" s="515">
        <f t="shared" si="11"/>
        <v>73253</v>
      </c>
      <c r="E39" s="515">
        <f t="shared" si="11"/>
        <v>759407</v>
      </c>
      <c r="F39" s="515">
        <f t="shared" si="11"/>
        <v>94757</v>
      </c>
      <c r="G39" s="515">
        <f t="shared" si="11"/>
        <v>71972</v>
      </c>
      <c r="H39" s="515">
        <f t="shared" si="11"/>
        <v>71972</v>
      </c>
      <c r="I39" s="515">
        <f t="shared" si="11"/>
        <v>71972</v>
      </c>
      <c r="J39" s="515">
        <f t="shared" si="11"/>
        <v>76420</v>
      </c>
      <c r="K39" s="515">
        <f t="shared" si="11"/>
        <v>73084</v>
      </c>
      <c r="L39" s="515">
        <f t="shared" si="11"/>
        <v>73084</v>
      </c>
      <c r="M39" s="515">
        <f t="shared" si="11"/>
        <v>73084</v>
      </c>
      <c r="N39" s="515">
        <f t="shared" si="11"/>
        <v>73084</v>
      </c>
      <c r="O39" s="516">
        <f t="shared" si="1"/>
        <v>1581014</v>
      </c>
      <c r="P39" s="626">
        <f>O39-O33</f>
        <v>891614</v>
      </c>
    </row>
    <row r="40" spans="1:18" ht="15" customHeight="1" x14ac:dyDescent="0.2">
      <c r="A40" s="995" t="s">
        <v>148</v>
      </c>
      <c r="B40" s="517" t="s">
        <v>149</v>
      </c>
      <c r="C40" s="508">
        <v>2800</v>
      </c>
      <c r="D40" s="508">
        <v>2500</v>
      </c>
      <c r="E40" s="508">
        <v>71440</v>
      </c>
      <c r="F40" s="508">
        <v>2500</v>
      </c>
      <c r="G40" s="508">
        <v>2500</v>
      </c>
      <c r="H40" s="508">
        <v>2500</v>
      </c>
      <c r="I40" s="508">
        <v>2500</v>
      </c>
      <c r="J40" s="508">
        <v>2500</v>
      </c>
      <c r="K40" s="508">
        <v>0</v>
      </c>
      <c r="L40" s="508">
        <v>11680</v>
      </c>
      <c r="M40" s="508">
        <v>11600</v>
      </c>
      <c r="N40" s="508">
        <v>0</v>
      </c>
      <c r="O40" s="506">
        <f t="shared" si="1"/>
        <v>112520</v>
      </c>
      <c r="P40" s="518"/>
    </row>
    <row r="41" spans="1:18" ht="15" x14ac:dyDescent="0.2">
      <c r="A41" s="996"/>
      <c r="B41" s="517" t="s">
        <v>150</v>
      </c>
      <c r="C41" s="508">
        <v>0</v>
      </c>
      <c r="D41" s="508">
        <v>0</v>
      </c>
      <c r="E41" s="508">
        <v>0</v>
      </c>
      <c r="F41" s="508">
        <v>0</v>
      </c>
      <c r="G41" s="508">
        <v>0</v>
      </c>
      <c r="H41" s="508">
        <v>0</v>
      </c>
      <c r="I41" s="508">
        <v>0</v>
      </c>
      <c r="J41" s="508">
        <v>0</v>
      </c>
      <c r="K41" s="508">
        <v>0</v>
      </c>
      <c r="L41" s="508">
        <v>0</v>
      </c>
      <c r="M41" s="508">
        <v>0</v>
      </c>
      <c r="N41" s="508">
        <v>0</v>
      </c>
      <c r="O41" s="506">
        <f t="shared" si="1"/>
        <v>0</v>
      </c>
      <c r="R41" s="490"/>
    </row>
    <row r="42" spans="1:18" ht="15" x14ac:dyDescent="0.2">
      <c r="A42" s="996"/>
      <c r="B42" s="517" t="s">
        <v>151</v>
      </c>
      <c r="C42" s="508">
        <v>30</v>
      </c>
      <c r="D42" s="508">
        <v>30</v>
      </c>
      <c r="E42" s="508">
        <v>30</v>
      </c>
      <c r="F42" s="508">
        <v>30</v>
      </c>
      <c r="G42" s="508">
        <v>30</v>
      </c>
      <c r="H42" s="508">
        <v>30</v>
      </c>
      <c r="I42" s="508">
        <v>30</v>
      </c>
      <c r="J42" s="508">
        <v>30</v>
      </c>
      <c r="K42" s="508">
        <v>30</v>
      </c>
      <c r="L42" s="508">
        <v>30</v>
      </c>
      <c r="M42" s="508">
        <v>30</v>
      </c>
      <c r="N42" s="508">
        <v>30</v>
      </c>
      <c r="O42" s="506">
        <f t="shared" si="1"/>
        <v>360</v>
      </c>
    </row>
    <row r="43" spans="1:18" ht="15" x14ac:dyDescent="0.2">
      <c r="A43" s="996"/>
      <c r="B43" s="517" t="s">
        <v>152</v>
      </c>
      <c r="C43" s="508">
        <v>0</v>
      </c>
      <c r="D43" s="508">
        <v>0</v>
      </c>
      <c r="E43" s="508">
        <v>0</v>
      </c>
      <c r="F43" s="508">
        <v>0</v>
      </c>
      <c r="G43" s="508">
        <v>0</v>
      </c>
      <c r="H43" s="508">
        <v>0</v>
      </c>
      <c r="I43" s="508">
        <v>0</v>
      </c>
      <c r="J43" s="508">
        <v>0</v>
      </c>
      <c r="K43" s="508">
        <v>0</v>
      </c>
      <c r="L43" s="508">
        <v>0</v>
      </c>
      <c r="M43" s="508">
        <v>0</v>
      </c>
      <c r="N43" s="508">
        <v>0</v>
      </c>
      <c r="O43" s="506">
        <f t="shared" si="1"/>
        <v>0</v>
      </c>
    </row>
    <row r="44" spans="1:18" ht="15" x14ac:dyDescent="0.2">
      <c r="A44" s="996"/>
      <c r="B44" s="517" t="s">
        <v>153</v>
      </c>
      <c r="C44" s="508">
        <v>250</v>
      </c>
      <c r="D44" s="508">
        <v>250</v>
      </c>
      <c r="E44" s="508">
        <v>250</v>
      </c>
      <c r="F44" s="508">
        <v>250</v>
      </c>
      <c r="G44" s="508">
        <v>450</v>
      </c>
      <c r="H44" s="508">
        <v>450</v>
      </c>
      <c r="I44" s="508">
        <v>450</v>
      </c>
      <c r="J44" s="508">
        <v>450</v>
      </c>
      <c r="K44" s="508">
        <v>450</v>
      </c>
      <c r="L44" s="508">
        <v>450</v>
      </c>
      <c r="M44" s="508">
        <v>450</v>
      </c>
      <c r="N44" s="508">
        <v>450</v>
      </c>
      <c r="O44" s="506">
        <f t="shared" si="1"/>
        <v>4600</v>
      </c>
    </row>
    <row r="45" spans="1:18" ht="15" x14ac:dyDescent="0.2">
      <c r="A45" s="996"/>
      <c r="B45" s="517" t="s">
        <v>154</v>
      </c>
      <c r="C45" s="508">
        <v>10000</v>
      </c>
      <c r="D45" s="508">
        <v>10000</v>
      </c>
      <c r="E45" s="508">
        <v>10000</v>
      </c>
      <c r="F45" s="508">
        <v>10000</v>
      </c>
      <c r="G45" s="508">
        <v>10000</v>
      </c>
      <c r="H45" s="508">
        <v>10000</v>
      </c>
      <c r="I45" s="508">
        <v>10000</v>
      </c>
      <c r="J45" s="508">
        <v>10000</v>
      </c>
      <c r="K45" s="508">
        <v>10000</v>
      </c>
      <c r="L45" s="508">
        <v>10000</v>
      </c>
      <c r="M45" s="508">
        <v>10000</v>
      </c>
      <c r="N45" s="508">
        <v>10000</v>
      </c>
      <c r="O45" s="506">
        <f t="shared" si="1"/>
        <v>120000</v>
      </c>
      <c r="P45" s="519"/>
    </row>
    <row r="46" spans="1:18" ht="15" x14ac:dyDescent="0.2">
      <c r="A46" s="996"/>
      <c r="B46" s="517" t="s">
        <v>155</v>
      </c>
      <c r="C46" s="508">
        <v>200</v>
      </c>
      <c r="D46" s="508">
        <v>200</v>
      </c>
      <c r="E46" s="508">
        <v>200</v>
      </c>
      <c r="F46" s="508">
        <v>200</v>
      </c>
      <c r="G46" s="508">
        <v>200</v>
      </c>
      <c r="H46" s="508">
        <v>200</v>
      </c>
      <c r="I46" s="508">
        <v>200</v>
      </c>
      <c r="J46" s="508">
        <v>200</v>
      </c>
      <c r="K46" s="508">
        <v>200</v>
      </c>
      <c r="L46" s="508">
        <v>200</v>
      </c>
      <c r="M46" s="508">
        <v>200</v>
      </c>
      <c r="N46" s="508">
        <v>300</v>
      </c>
      <c r="O46" s="506">
        <f t="shared" si="1"/>
        <v>2500</v>
      </c>
    </row>
    <row r="47" spans="1:18" ht="15" x14ac:dyDescent="0.2">
      <c r="A47" s="996"/>
      <c r="B47" s="517" t="s">
        <v>156</v>
      </c>
      <c r="C47" s="508">
        <v>0</v>
      </c>
      <c r="D47" s="508">
        <v>0</v>
      </c>
      <c r="E47" s="508">
        <v>0</v>
      </c>
      <c r="F47" s="508">
        <v>0</v>
      </c>
      <c r="G47" s="508">
        <v>0</v>
      </c>
      <c r="H47" s="508">
        <v>0</v>
      </c>
      <c r="I47" s="508">
        <v>0</v>
      </c>
      <c r="J47" s="508">
        <v>0</v>
      </c>
      <c r="K47" s="508">
        <v>0</v>
      </c>
      <c r="L47" s="508">
        <v>0</v>
      </c>
      <c r="M47" s="508">
        <v>0</v>
      </c>
      <c r="N47" s="508">
        <v>0</v>
      </c>
      <c r="O47" s="506">
        <f t="shared" si="1"/>
        <v>0</v>
      </c>
    </row>
    <row r="48" spans="1:18" ht="15" x14ac:dyDescent="0.2">
      <c r="A48" s="996"/>
      <c r="B48" s="517" t="s">
        <v>157</v>
      </c>
      <c r="C48" s="508">
        <v>0</v>
      </c>
      <c r="D48" s="508">
        <v>0</v>
      </c>
      <c r="E48" s="508">
        <v>0</v>
      </c>
      <c r="F48" s="508">
        <v>0</v>
      </c>
      <c r="G48" s="508">
        <v>0</v>
      </c>
      <c r="H48" s="508">
        <v>0</v>
      </c>
      <c r="I48" s="508">
        <v>0</v>
      </c>
      <c r="J48" s="508">
        <v>0</v>
      </c>
      <c r="K48" s="508">
        <v>0</v>
      </c>
      <c r="L48" s="508">
        <v>0</v>
      </c>
      <c r="M48" s="508">
        <v>0</v>
      </c>
      <c r="N48" s="508">
        <v>0</v>
      </c>
      <c r="O48" s="506">
        <f t="shared" si="1"/>
        <v>0</v>
      </c>
    </row>
    <row r="49" spans="1:17" ht="28.5" customHeight="1" x14ac:dyDescent="0.2">
      <c r="A49" s="997"/>
      <c r="B49" s="520" t="s">
        <v>158</v>
      </c>
      <c r="C49" s="508">
        <v>0</v>
      </c>
      <c r="D49" s="508">
        <v>0</v>
      </c>
      <c r="E49" s="508">
        <v>0</v>
      </c>
      <c r="F49" s="508">
        <v>0</v>
      </c>
      <c r="G49" s="508">
        <v>0</v>
      </c>
      <c r="H49" s="508">
        <v>0</v>
      </c>
      <c r="I49" s="508">
        <v>0</v>
      </c>
      <c r="J49" s="508">
        <v>0</v>
      </c>
      <c r="K49" s="508">
        <v>0</v>
      </c>
      <c r="L49" s="508">
        <v>0</v>
      </c>
      <c r="M49" s="508">
        <v>0</v>
      </c>
      <c r="N49" s="508">
        <v>0</v>
      </c>
      <c r="O49" s="521">
        <f t="shared" si="1"/>
        <v>0</v>
      </c>
    </row>
    <row r="50" spans="1:17" ht="15" x14ac:dyDescent="0.2">
      <c r="A50" s="998"/>
      <c r="B50" s="522" t="s">
        <v>479</v>
      </c>
      <c r="C50" s="508">
        <v>0</v>
      </c>
      <c r="D50" s="508">
        <v>0</v>
      </c>
      <c r="E50" s="508">
        <v>0</v>
      </c>
      <c r="F50" s="508">
        <v>0</v>
      </c>
      <c r="G50" s="508">
        <v>0</v>
      </c>
      <c r="H50" s="508">
        <v>0</v>
      </c>
      <c r="I50" s="508">
        <v>0</v>
      </c>
      <c r="J50" s="508">
        <v>0</v>
      </c>
      <c r="K50" s="508">
        <v>0</v>
      </c>
      <c r="L50" s="508">
        <v>0</v>
      </c>
      <c r="M50" s="508">
        <v>0</v>
      </c>
      <c r="N50" s="508">
        <v>0</v>
      </c>
      <c r="O50" s="521">
        <f t="shared" si="1"/>
        <v>0</v>
      </c>
    </row>
    <row r="51" spans="1:17" ht="15" x14ac:dyDescent="0.2">
      <c r="A51" s="999" t="s">
        <v>160</v>
      </c>
      <c r="B51" s="1000"/>
      <c r="C51" s="523">
        <f t="shared" ref="C51:N51" si="12">SUM(C40:C50)</f>
        <v>13280</v>
      </c>
      <c r="D51" s="523">
        <f t="shared" si="12"/>
        <v>12980</v>
      </c>
      <c r="E51" s="523">
        <f t="shared" si="12"/>
        <v>81920</v>
      </c>
      <c r="F51" s="523">
        <f t="shared" si="12"/>
        <v>12980</v>
      </c>
      <c r="G51" s="523">
        <f t="shared" si="12"/>
        <v>13180</v>
      </c>
      <c r="H51" s="523">
        <f t="shared" si="12"/>
        <v>13180</v>
      </c>
      <c r="I51" s="523">
        <f t="shared" si="12"/>
        <v>13180</v>
      </c>
      <c r="J51" s="523">
        <f t="shared" si="12"/>
        <v>13180</v>
      </c>
      <c r="K51" s="523">
        <f t="shared" si="12"/>
        <v>10680</v>
      </c>
      <c r="L51" s="523">
        <f t="shared" si="12"/>
        <v>22360</v>
      </c>
      <c r="M51" s="523">
        <f t="shared" si="12"/>
        <v>22280</v>
      </c>
      <c r="N51" s="523">
        <f t="shared" si="12"/>
        <v>10780</v>
      </c>
      <c r="O51" s="524">
        <f t="shared" si="1"/>
        <v>239980</v>
      </c>
    </row>
    <row r="52" spans="1:17" ht="15.75" thickBot="1" x14ac:dyDescent="0.25">
      <c r="A52" s="1001" t="s">
        <v>161</v>
      </c>
      <c r="B52" s="1002"/>
      <c r="C52" s="525">
        <f t="shared" ref="C52:N52" si="13">C39-C51</f>
        <v>55645</v>
      </c>
      <c r="D52" s="525">
        <f t="shared" si="13"/>
        <v>60273</v>
      </c>
      <c r="E52" s="525">
        <f t="shared" si="13"/>
        <v>677487</v>
      </c>
      <c r="F52" s="525">
        <f t="shared" si="13"/>
        <v>81777</v>
      </c>
      <c r="G52" s="525">
        <f t="shared" si="13"/>
        <v>58792</v>
      </c>
      <c r="H52" s="525">
        <f t="shared" si="13"/>
        <v>58792</v>
      </c>
      <c r="I52" s="525">
        <f t="shared" si="13"/>
        <v>58792</v>
      </c>
      <c r="J52" s="525">
        <f t="shared" si="13"/>
        <v>63240</v>
      </c>
      <c r="K52" s="525">
        <f t="shared" si="13"/>
        <v>62404</v>
      </c>
      <c r="L52" s="525">
        <f t="shared" si="13"/>
        <v>50724</v>
      </c>
      <c r="M52" s="525">
        <f t="shared" si="13"/>
        <v>50804</v>
      </c>
      <c r="N52" s="525">
        <f t="shared" si="13"/>
        <v>62304</v>
      </c>
      <c r="O52" s="526">
        <f t="shared" si="1"/>
        <v>1341034</v>
      </c>
      <c r="Q52" s="504">
        <f>23344+23344+4624+24390+24510+25329*3+4452+3454+26813*3+24919+24395+24305</f>
        <v>338163</v>
      </c>
    </row>
    <row r="53" spans="1:17" x14ac:dyDescent="0.2">
      <c r="J53" s="504">
        <f>+J39-SUM(J21:J38)</f>
        <v>73084</v>
      </c>
      <c r="Q53" s="528"/>
    </row>
    <row r="54" spans="1:17" ht="13.5" thickBot="1" x14ac:dyDescent="0.25">
      <c r="J54" s="528">
        <f>+J53-J51</f>
        <v>59904</v>
      </c>
    </row>
    <row r="55" spans="1:17" ht="13.5" thickBot="1" x14ac:dyDescent="0.25">
      <c r="B55" s="955" t="s">
        <v>162</v>
      </c>
      <c r="C55" s="1003"/>
      <c r="D55" s="1003"/>
      <c r="E55" s="1003"/>
      <c r="F55" s="1004"/>
      <c r="G55" s="1005">
        <f>O39</f>
        <v>1581014</v>
      </c>
      <c r="H55" s="1006"/>
    </row>
    <row r="56" spans="1:17" ht="13.5" thickBot="1" x14ac:dyDescent="0.25"/>
    <row r="57" spans="1:17" x14ac:dyDescent="0.2">
      <c r="B57" s="1007" t="s">
        <v>163</v>
      </c>
      <c r="C57" s="1010" t="s">
        <v>164</v>
      </c>
      <c r="D57" s="1013" t="s">
        <v>229</v>
      </c>
      <c r="E57" s="1014"/>
      <c r="F57" s="1015"/>
      <c r="G57" s="1016">
        <v>40000</v>
      </c>
      <c r="H57" s="1017"/>
    </row>
    <row r="58" spans="1:17" x14ac:dyDescent="0.2">
      <c r="B58" s="1008"/>
      <c r="C58" s="1011"/>
      <c r="D58" s="1018" t="s">
        <v>166</v>
      </c>
      <c r="E58" s="1019"/>
      <c r="F58" s="1020"/>
      <c r="G58" s="1021">
        <f>+O46</f>
        <v>2500</v>
      </c>
      <c r="H58" s="1022"/>
      <c r="I58" s="529"/>
      <c r="J58" s="1090"/>
      <c r="K58" s="1090"/>
      <c r="L58" s="1090"/>
      <c r="M58" s="1091"/>
      <c r="N58" s="1091"/>
      <c r="O58" s="1091"/>
    </row>
    <row r="59" spans="1:17" ht="13.5" thickBot="1" x14ac:dyDescent="0.25">
      <c r="B59" s="1094"/>
      <c r="C59" s="1092"/>
      <c r="D59" s="627" t="s">
        <v>666</v>
      </c>
      <c r="E59" s="628"/>
      <c r="F59" s="629"/>
      <c r="G59" s="1026">
        <f>IF(O18&gt;15000,15000,+O18)</f>
        <v>0</v>
      </c>
      <c r="H59" s="1027"/>
      <c r="I59" s="529"/>
      <c r="J59" s="530"/>
      <c r="K59" s="530"/>
      <c r="L59" s="530"/>
      <c r="M59" s="630"/>
      <c r="N59" s="630"/>
      <c r="O59" s="630"/>
    </row>
    <row r="60" spans="1:17" ht="13.5" thickBot="1" x14ac:dyDescent="0.25">
      <c r="B60" s="1009"/>
      <c r="C60" s="1012"/>
      <c r="D60" s="1093" t="s">
        <v>129</v>
      </c>
      <c r="E60" s="1024"/>
      <c r="F60" s="1025"/>
      <c r="G60" s="1026">
        <v>0</v>
      </c>
      <c r="H60" s="1027"/>
      <c r="J60" s="531"/>
      <c r="K60" s="531"/>
      <c r="L60" s="531"/>
      <c r="M60" s="531"/>
      <c r="N60" s="531"/>
      <c r="O60" s="531"/>
    </row>
    <row r="61" spans="1:17" ht="13.5" thickBot="1" x14ac:dyDescent="0.25">
      <c r="B61" s="532"/>
      <c r="J61" s="531"/>
      <c r="K61" s="531"/>
      <c r="L61" s="531"/>
      <c r="M61" s="531"/>
      <c r="N61" s="531"/>
      <c r="O61" s="531"/>
    </row>
    <row r="62" spans="1:17" ht="13.5" thickBot="1" x14ac:dyDescent="0.25">
      <c r="B62" s="955" t="s">
        <v>168</v>
      </c>
      <c r="C62" s="956"/>
      <c r="D62" s="956"/>
      <c r="E62" s="956"/>
      <c r="F62" s="957"/>
      <c r="G62" s="1028">
        <f>+G55-SUM(G57:H60)</f>
        <v>1538514</v>
      </c>
      <c r="H62" s="1029"/>
      <c r="J62" s="992" t="s">
        <v>169</v>
      </c>
      <c r="K62" s="993"/>
      <c r="L62" s="993"/>
      <c r="M62" s="993"/>
      <c r="N62" s="993"/>
      <c r="O62" s="994"/>
    </row>
    <row r="63" spans="1:17" ht="13.5" thickBot="1" x14ac:dyDescent="0.25">
      <c r="B63" s="533"/>
      <c r="C63" s="534"/>
      <c r="D63" s="534"/>
      <c r="E63" s="534"/>
      <c r="F63" s="534"/>
      <c r="G63" s="530"/>
      <c r="H63" s="534"/>
      <c r="J63" s="535"/>
      <c r="K63" s="536"/>
      <c r="L63" s="536"/>
      <c r="M63" s="536"/>
      <c r="N63" s="536"/>
      <c r="O63" s="537"/>
    </row>
    <row r="64" spans="1:17" ht="13.5" thickBot="1" x14ac:dyDescent="0.25">
      <c r="B64" s="955" t="s">
        <v>170</v>
      </c>
      <c r="C64" s="956"/>
      <c r="D64" s="956"/>
      <c r="E64" s="956"/>
      <c r="F64" s="957"/>
      <c r="G64" s="1047"/>
      <c r="H64" s="957"/>
      <c r="J64" s="535"/>
      <c r="K64" s="536"/>
      <c r="L64" s="536"/>
      <c r="M64" s="536"/>
      <c r="N64" s="536"/>
      <c r="O64" s="537"/>
    </row>
    <row r="65" spans="2:19" ht="12.75" customHeight="1" x14ac:dyDescent="0.2">
      <c r="B65" s="538" t="s">
        <v>171</v>
      </c>
      <c r="C65" s="977" t="s">
        <v>172</v>
      </c>
      <c r="D65" s="978"/>
      <c r="E65" s="978"/>
      <c r="F65" s="979"/>
      <c r="G65" s="980">
        <v>0</v>
      </c>
      <c r="H65" s="980"/>
      <c r="I65" s="539"/>
      <c r="J65" s="981" t="s">
        <v>173</v>
      </c>
      <c r="K65" s="982"/>
      <c r="L65" s="982"/>
      <c r="M65" s="982"/>
      <c r="N65" s="982"/>
      <c r="O65" s="983"/>
      <c r="Q65" s="540"/>
      <c r="R65" s="540"/>
      <c r="S65" s="540"/>
    </row>
    <row r="66" spans="2:19" ht="13.5" thickBot="1" x14ac:dyDescent="0.25">
      <c r="D66" s="527"/>
      <c r="I66" s="539"/>
      <c r="J66" s="541" t="s">
        <v>667</v>
      </c>
      <c r="K66" s="631"/>
      <c r="L66" s="631"/>
      <c r="M66" s="632"/>
      <c r="N66" s="632"/>
      <c r="O66" s="633"/>
      <c r="Q66" s="540"/>
      <c r="R66" s="540"/>
      <c r="S66" s="540"/>
    </row>
    <row r="67" spans="2:19" ht="13.5" thickBot="1" x14ac:dyDescent="0.25">
      <c r="B67" s="955" t="s">
        <v>175</v>
      </c>
      <c r="C67" s="956"/>
      <c r="D67" s="956"/>
      <c r="E67" s="956"/>
      <c r="F67" s="957"/>
      <c r="G67" s="1047">
        <f>+G62-G65</f>
        <v>1538514</v>
      </c>
      <c r="H67" s="957"/>
      <c r="I67" s="544"/>
      <c r="J67" s="545" t="s">
        <v>668</v>
      </c>
      <c r="K67" s="529"/>
      <c r="L67" s="529"/>
      <c r="M67" s="529"/>
      <c r="N67" s="529"/>
      <c r="O67" s="546"/>
      <c r="Q67" s="540"/>
      <c r="R67" s="540"/>
      <c r="S67" s="540"/>
    </row>
    <row r="68" spans="2:19" ht="12.75" customHeight="1" x14ac:dyDescent="0.2">
      <c r="B68" s="532"/>
      <c r="C68" s="532"/>
      <c r="I68" s="544"/>
      <c r="J68" s="547"/>
      <c r="K68" s="529"/>
      <c r="L68" s="529"/>
      <c r="M68" s="529"/>
      <c r="N68" s="529"/>
      <c r="O68" s="546"/>
      <c r="Q68" s="540"/>
      <c r="R68" s="540"/>
      <c r="S68" s="540"/>
    </row>
    <row r="69" spans="2:19" x14ac:dyDescent="0.2">
      <c r="B69" s="548" t="s">
        <v>669</v>
      </c>
      <c r="C69" s="532"/>
      <c r="I69" s="544"/>
      <c r="J69" s="549"/>
      <c r="K69" s="550"/>
      <c r="L69" s="550"/>
      <c r="M69" s="550"/>
      <c r="N69" s="550"/>
      <c r="O69" s="551"/>
      <c r="Q69" s="540"/>
      <c r="R69" s="540"/>
      <c r="S69" s="540"/>
    </row>
    <row r="70" spans="2:19" ht="26.25" customHeight="1" thickBot="1" x14ac:dyDescent="0.25">
      <c r="B70" s="548"/>
      <c r="C70" s="532"/>
      <c r="G70" s="552" t="s">
        <v>177</v>
      </c>
      <c r="H70" s="552" t="s">
        <v>178</v>
      </c>
      <c r="I70" s="544"/>
      <c r="J70" s="981" t="s">
        <v>179</v>
      </c>
      <c r="K70" s="982"/>
      <c r="L70" s="553"/>
      <c r="M70" s="553"/>
      <c r="N70" s="553"/>
      <c r="O70" s="634" t="s">
        <v>267</v>
      </c>
      <c r="Q70" s="540"/>
      <c r="R70" s="540"/>
      <c r="S70" s="540"/>
    </row>
    <row r="71" spans="2:19" ht="12.75" customHeight="1" x14ac:dyDescent="0.2">
      <c r="B71" s="968" t="s">
        <v>180</v>
      </c>
      <c r="C71" s="971" t="s">
        <v>181</v>
      </c>
      <c r="D71" s="973" t="s">
        <v>182</v>
      </c>
      <c r="E71" s="974"/>
      <c r="F71" s="974"/>
      <c r="G71" s="555">
        <f>+O45</f>
        <v>120000</v>
      </c>
      <c r="H71" s="556">
        <f t="shared" ref="H71:H79" si="14">+G71</f>
        <v>120000</v>
      </c>
      <c r="I71" s="544"/>
      <c r="J71" s="561">
        <v>926489244</v>
      </c>
      <c r="K71" s="539"/>
      <c r="L71" s="539"/>
      <c r="M71" s="539" t="s">
        <v>232</v>
      </c>
      <c r="N71" s="539" t="s">
        <v>670</v>
      </c>
      <c r="O71" s="558"/>
      <c r="Q71" s="540"/>
      <c r="R71" s="540"/>
      <c r="S71" s="540"/>
    </row>
    <row r="72" spans="2:19" ht="12.75" customHeight="1" x14ac:dyDescent="0.2">
      <c r="B72" s="969"/>
      <c r="C72" s="972"/>
      <c r="D72" s="975" t="s">
        <v>184</v>
      </c>
      <c r="E72" s="976"/>
      <c r="F72" s="976"/>
      <c r="G72" s="559">
        <v>32749</v>
      </c>
      <c r="H72" s="560">
        <f t="shared" si="14"/>
        <v>32749</v>
      </c>
      <c r="I72" s="544"/>
      <c r="J72" s="619">
        <v>880768890</v>
      </c>
      <c r="K72" s="550"/>
      <c r="L72" s="550"/>
      <c r="M72" s="557" t="s">
        <v>232</v>
      </c>
      <c r="N72" s="550"/>
      <c r="O72" s="562"/>
      <c r="Q72" s="540"/>
      <c r="R72" s="540"/>
      <c r="S72" s="540"/>
    </row>
    <row r="73" spans="2:19" ht="12.75" customHeight="1" x14ac:dyDescent="0.2">
      <c r="B73" s="969"/>
      <c r="C73" s="972"/>
      <c r="D73" s="990" t="s">
        <v>185</v>
      </c>
      <c r="E73" s="991"/>
      <c r="F73" s="991"/>
      <c r="G73" s="563">
        <f>+O42</f>
        <v>360</v>
      </c>
      <c r="H73" s="560">
        <f t="shared" si="14"/>
        <v>360</v>
      </c>
      <c r="I73" s="544"/>
      <c r="J73" s="635"/>
      <c r="K73" s="539"/>
      <c r="L73" s="539"/>
      <c r="M73" s="539"/>
      <c r="N73" s="539"/>
      <c r="O73" s="558"/>
    </row>
    <row r="74" spans="2:19" ht="12.75" customHeight="1" x14ac:dyDescent="0.2">
      <c r="B74" s="969"/>
      <c r="C74" s="972"/>
      <c r="D74" s="975" t="s">
        <v>186</v>
      </c>
      <c r="E74" s="976"/>
      <c r="F74" s="976"/>
      <c r="G74" s="565">
        <v>0</v>
      </c>
      <c r="H74" s="560">
        <f t="shared" si="14"/>
        <v>0</v>
      </c>
      <c r="I74" s="544"/>
      <c r="J74" s="541"/>
      <c r="K74" s="534"/>
      <c r="L74" s="534"/>
      <c r="M74" s="534"/>
      <c r="N74" s="534"/>
      <c r="O74" s="570"/>
    </row>
    <row r="75" spans="2:19" ht="14.25" customHeight="1" x14ac:dyDescent="0.2">
      <c r="B75" s="969"/>
      <c r="C75" s="972"/>
      <c r="D75" s="950" t="s">
        <v>188</v>
      </c>
      <c r="E75" s="976"/>
      <c r="F75" s="976"/>
      <c r="G75" s="563">
        <v>0</v>
      </c>
      <c r="H75" s="560">
        <f t="shared" si="14"/>
        <v>0</v>
      </c>
      <c r="I75" s="544"/>
      <c r="J75" s="545"/>
      <c r="K75" s="529"/>
      <c r="L75" s="529"/>
      <c r="M75" s="529"/>
      <c r="N75" s="529"/>
      <c r="O75" s="546"/>
    </row>
    <row r="76" spans="2:19" x14ac:dyDescent="0.2">
      <c r="B76" s="969"/>
      <c r="C76" s="972"/>
      <c r="D76" s="975" t="s">
        <v>190</v>
      </c>
      <c r="E76" s="976"/>
      <c r="F76" s="976"/>
      <c r="G76" s="568">
        <v>0</v>
      </c>
      <c r="H76" s="560">
        <f t="shared" si="14"/>
        <v>0</v>
      </c>
      <c r="I76" s="544"/>
      <c r="J76" s="545"/>
      <c r="K76" s="529"/>
      <c r="L76" s="529"/>
      <c r="M76" s="529"/>
      <c r="N76" s="529"/>
      <c r="O76" s="546"/>
    </row>
    <row r="77" spans="2:19" x14ac:dyDescent="0.2">
      <c r="B77" s="969"/>
      <c r="C77" s="972"/>
      <c r="D77" s="975" t="s">
        <v>191</v>
      </c>
      <c r="E77" s="976"/>
      <c r="F77" s="976"/>
      <c r="G77" s="565">
        <v>0</v>
      </c>
      <c r="H77" s="560">
        <f t="shared" si="14"/>
        <v>0</v>
      </c>
      <c r="I77" s="539"/>
      <c r="J77" s="572" t="s">
        <v>187</v>
      </c>
      <c r="K77" s="553"/>
      <c r="L77" s="553"/>
      <c r="M77" s="553"/>
      <c r="N77" s="553"/>
      <c r="O77" s="554"/>
    </row>
    <row r="78" spans="2:19" ht="12.75" customHeight="1" x14ac:dyDescent="0.2">
      <c r="B78" s="969"/>
      <c r="C78" s="571" t="s">
        <v>192</v>
      </c>
      <c r="D78" s="984" t="s">
        <v>193</v>
      </c>
      <c r="E78" s="985"/>
      <c r="F78" s="985"/>
      <c r="G78" s="563">
        <v>0</v>
      </c>
      <c r="H78" s="560">
        <f t="shared" si="14"/>
        <v>0</v>
      </c>
      <c r="I78" s="539"/>
      <c r="J78" s="545" t="s">
        <v>189</v>
      </c>
      <c r="K78" s="534"/>
      <c r="L78" s="534"/>
      <c r="M78" s="534"/>
      <c r="N78" s="534"/>
      <c r="O78" s="570">
        <f>O44</f>
        <v>4600</v>
      </c>
    </row>
    <row r="79" spans="2:19" ht="13.5" thickBot="1" x14ac:dyDescent="0.25">
      <c r="B79" s="969"/>
      <c r="C79" s="571" t="s">
        <v>194</v>
      </c>
      <c r="D79" s="986" t="s">
        <v>195</v>
      </c>
      <c r="E79" s="986"/>
      <c r="F79" s="986"/>
      <c r="G79" s="573">
        <v>0</v>
      </c>
      <c r="H79" s="574">
        <f t="shared" si="14"/>
        <v>0</v>
      </c>
      <c r="I79" s="544"/>
      <c r="J79" s="545" t="s">
        <v>671</v>
      </c>
      <c r="K79" s="550"/>
      <c r="L79" s="550"/>
      <c r="M79" s="620"/>
      <c r="N79" s="620"/>
      <c r="O79" s="621">
        <v>8032</v>
      </c>
    </row>
    <row r="80" spans="2:19" ht="12.75" customHeight="1" thickBot="1" x14ac:dyDescent="0.25">
      <c r="B80" s="969"/>
      <c r="C80" s="575"/>
      <c r="D80" s="576"/>
      <c r="E80" s="987" t="s">
        <v>117</v>
      </c>
      <c r="F80" s="988"/>
      <c r="G80" s="577">
        <f>SUM(G71:G79)</f>
        <v>153109</v>
      </c>
      <c r="H80" s="578">
        <f>IF(SUM(G71:G77)&lt;150000,SUM(G71:G77),150000)+IF(+G78&lt;20000,+G78,20000)</f>
        <v>150000</v>
      </c>
      <c r="I80" s="544"/>
      <c r="J80" s="636" t="s">
        <v>672</v>
      </c>
      <c r="K80" s="580"/>
      <c r="L80" s="580"/>
      <c r="M80" s="581"/>
      <c r="N80" s="581"/>
      <c r="O80" s="582"/>
    </row>
    <row r="81" spans="2:11" x14ac:dyDescent="0.2">
      <c r="B81" s="969"/>
      <c r="C81" s="583" t="s">
        <v>196</v>
      </c>
      <c r="D81" s="975" t="s">
        <v>187</v>
      </c>
      <c r="E81" s="976"/>
      <c r="F81" s="989"/>
      <c r="G81" s="555">
        <f>+O44+O79</f>
        <v>12632</v>
      </c>
      <c r="H81" s="584">
        <f>+IF(+G81&lt;25000,+G81,25000)</f>
        <v>12632</v>
      </c>
      <c r="I81" s="544"/>
    </row>
    <row r="82" spans="2:11" x14ac:dyDescent="0.2">
      <c r="B82" s="969"/>
      <c r="C82" s="583" t="s">
        <v>197</v>
      </c>
      <c r="D82" s="950" t="s">
        <v>198</v>
      </c>
      <c r="E82" s="951"/>
      <c r="F82" s="952"/>
      <c r="G82" s="586"/>
      <c r="H82" s="587">
        <f>+IF(+G82&lt;40000,+G82,40000)</f>
        <v>0</v>
      </c>
      <c r="I82" s="544"/>
    </row>
    <row r="83" spans="2:11" x14ac:dyDescent="0.2">
      <c r="B83" s="969"/>
      <c r="C83" s="583" t="s">
        <v>199</v>
      </c>
      <c r="D83" s="950" t="s">
        <v>200</v>
      </c>
      <c r="E83" s="951"/>
      <c r="F83" s="952"/>
      <c r="G83" s="565"/>
      <c r="H83" s="588">
        <v>0</v>
      </c>
      <c r="I83" s="544"/>
      <c r="J83" s="590"/>
    </row>
    <row r="84" spans="2:11" x14ac:dyDescent="0.2">
      <c r="B84" s="969"/>
      <c r="C84" s="583" t="s">
        <v>201</v>
      </c>
      <c r="D84" s="950" t="s">
        <v>202</v>
      </c>
      <c r="E84" s="951"/>
      <c r="F84" s="952"/>
      <c r="G84" s="565"/>
      <c r="H84" s="588">
        <v>0</v>
      </c>
      <c r="I84" s="544"/>
    </row>
    <row r="85" spans="2:11" ht="13.5" thickBot="1" x14ac:dyDescent="0.25">
      <c r="B85" s="970"/>
      <c r="C85" s="583" t="s">
        <v>203</v>
      </c>
      <c r="D85" s="950" t="s">
        <v>204</v>
      </c>
      <c r="E85" s="951"/>
      <c r="F85" s="952"/>
      <c r="G85" s="586"/>
      <c r="H85" s="587">
        <f>+IF(+G85&lt;100000,+G85,10000)</f>
        <v>0</v>
      </c>
    </row>
    <row r="86" spans="2:11" ht="13.5" thickBot="1" x14ac:dyDescent="0.25">
      <c r="B86" s="953" t="s">
        <v>205</v>
      </c>
      <c r="C86" s="954"/>
      <c r="D86" s="954"/>
      <c r="E86" s="954"/>
      <c r="F86" s="954"/>
      <c r="G86" s="591">
        <f>SUM(G81:G85)</f>
        <v>12632</v>
      </c>
      <c r="H86" s="592">
        <f>SUM(H80:H85)</f>
        <v>162632</v>
      </c>
    </row>
    <row r="87" spans="2:11" ht="13.5" thickBot="1" x14ac:dyDescent="0.25"/>
    <row r="88" spans="2:11" ht="13.5" thickBot="1" x14ac:dyDescent="0.25">
      <c r="B88" s="955" t="s">
        <v>206</v>
      </c>
      <c r="C88" s="956"/>
      <c r="D88" s="956"/>
      <c r="E88" s="956"/>
      <c r="F88" s="957"/>
      <c r="G88" s="958">
        <f>+G67-H86</f>
        <v>1375882</v>
      </c>
      <c r="H88" s="957"/>
      <c r="J88" s="504">
        <f>C39+D39+E39+F39</f>
        <v>996342</v>
      </c>
      <c r="K88" s="504" t="s">
        <v>235</v>
      </c>
    </row>
    <row r="89" spans="2:11" x14ac:dyDescent="0.2">
      <c r="B89" s="594"/>
      <c r="F89" s="593"/>
      <c r="J89" s="504">
        <f>G39+H39+I39</f>
        <v>215916</v>
      </c>
      <c r="K89" s="504" t="s">
        <v>236</v>
      </c>
    </row>
    <row r="90" spans="2:11" x14ac:dyDescent="0.2">
      <c r="C90" s="959" t="s">
        <v>207</v>
      </c>
      <c r="D90" s="960"/>
      <c r="E90" s="595" t="s">
        <v>208</v>
      </c>
      <c r="F90" s="595" t="s">
        <v>209</v>
      </c>
      <c r="G90" s="595" t="s">
        <v>210</v>
      </c>
      <c r="H90" s="595" t="s">
        <v>211</v>
      </c>
      <c r="J90" s="504">
        <f>J39+K39+L39</f>
        <v>222588</v>
      </c>
      <c r="K90" s="531" t="s">
        <v>237</v>
      </c>
    </row>
    <row r="91" spans="2:11" x14ac:dyDescent="0.2">
      <c r="C91" s="961" t="str">
        <f>IF(I6="M","0          - 250000","0          -  250000")</f>
        <v>0          - 250000</v>
      </c>
      <c r="D91" s="962"/>
      <c r="E91" s="597">
        <v>0</v>
      </c>
      <c r="F91" s="598">
        <f>IF(I6="M",(IF(G88&lt;250000,G88,250000)),(IF(G88&lt;250000,G88,250000)))</f>
        <v>250000</v>
      </c>
      <c r="G91" s="598">
        <f>G88-F91</f>
        <v>1125882</v>
      </c>
      <c r="H91" s="598">
        <f>E91*F91</f>
        <v>0</v>
      </c>
      <c r="J91" s="504">
        <f>M39+N39</f>
        <v>146168</v>
      </c>
      <c r="K91" s="490" t="s">
        <v>238</v>
      </c>
    </row>
    <row r="92" spans="2:11" x14ac:dyDescent="0.2">
      <c r="C92" s="961" t="str">
        <f>IF(I6="M","250001 - 500000","250001-500000")</f>
        <v>250001 - 500000</v>
      </c>
      <c r="D92" s="962"/>
      <c r="E92" s="597">
        <v>0.05</v>
      </c>
      <c r="F92" s="598">
        <f>IF(I6="M",(IF(G91&lt;250000,G91,250000)),(IF(G91&lt;250000,G91,250000)))</f>
        <v>250000</v>
      </c>
      <c r="G92" s="598">
        <f>G91-F92</f>
        <v>875882</v>
      </c>
      <c r="H92" s="600">
        <f>ROUND(E92*F92,0.1)</f>
        <v>12500</v>
      </c>
      <c r="J92" s="601">
        <f>SUM(J88:J91)</f>
        <v>1581014</v>
      </c>
    </row>
    <row r="93" spans="2:11" x14ac:dyDescent="0.2">
      <c r="C93" s="963" t="s">
        <v>212</v>
      </c>
      <c r="D93" s="964"/>
      <c r="E93" s="597">
        <v>0.2</v>
      </c>
      <c r="F93" s="598">
        <f>IF(G92&lt;500000,G92,500000)</f>
        <v>500000</v>
      </c>
      <c r="G93" s="598">
        <f>G92-F93</f>
        <v>375882</v>
      </c>
      <c r="H93" s="600">
        <f>ROUND(E93*F93,0.1)</f>
        <v>100000</v>
      </c>
      <c r="J93" s="504">
        <f>+G88</f>
        <v>1375882</v>
      </c>
    </row>
    <row r="94" spans="2:11" x14ac:dyDescent="0.2">
      <c r="C94" s="961" t="s">
        <v>213</v>
      </c>
      <c r="D94" s="962"/>
      <c r="E94" s="597">
        <v>0.3</v>
      </c>
      <c r="F94" s="598">
        <f>G93</f>
        <v>375882</v>
      </c>
      <c r="G94" s="598">
        <f>G93-F94</f>
        <v>0</v>
      </c>
      <c r="H94" s="600">
        <f>ROUND(E94*F94,0.1)</f>
        <v>112765</v>
      </c>
      <c r="J94" s="504">
        <f>+J92-J93</f>
        <v>205132</v>
      </c>
    </row>
    <row r="95" spans="2:11" ht="12.75" customHeight="1" thickBot="1" x14ac:dyDescent="0.25">
      <c r="B95" s="602"/>
      <c r="C95" s="603"/>
      <c r="D95" s="531"/>
      <c r="E95" s="531"/>
      <c r="F95" s="531"/>
      <c r="J95" s="504">
        <f>ROUND(+G88/12,0.1)</f>
        <v>114657</v>
      </c>
      <c r="K95" s="623" t="s">
        <v>416</v>
      </c>
    </row>
    <row r="96" spans="2:11" ht="13.5" thickBot="1" x14ac:dyDescent="0.25">
      <c r="B96" s="965" t="s">
        <v>239</v>
      </c>
      <c r="C96" s="966"/>
      <c r="D96" s="966"/>
      <c r="E96" s="966"/>
      <c r="F96" s="967"/>
      <c r="G96" s="943">
        <f>H91+H92+H93+H94</f>
        <v>225265</v>
      </c>
      <c r="H96" s="944"/>
      <c r="J96" s="504">
        <f>+J94/3</f>
        <v>68377.333333333328</v>
      </c>
    </row>
    <row r="97" spans="2:12" ht="13.5" thickBot="1" x14ac:dyDescent="0.25">
      <c r="B97" s="606" t="s">
        <v>1354</v>
      </c>
      <c r="C97" s="607"/>
      <c r="D97" s="607"/>
      <c r="E97" s="607"/>
      <c r="F97" s="607"/>
      <c r="G97" s="608"/>
      <c r="H97" s="609">
        <v>120149</v>
      </c>
    </row>
    <row r="98" spans="2:12" ht="13.5" thickBot="1" x14ac:dyDescent="0.25">
      <c r="B98" s="606" t="s">
        <v>215</v>
      </c>
      <c r="C98" s="607"/>
      <c r="D98" s="607"/>
      <c r="E98" s="607"/>
      <c r="F98" s="607"/>
      <c r="G98" s="941">
        <f>IF((G67&lt;500000),5000,0)</f>
        <v>0</v>
      </c>
      <c r="H98" s="942">
        <f>IF(H95&lt;200000,0,IF(H95&lt;220000,((H95-200000)*10%),IF(H95&lt;=500000,2000,IF(H95&gt;=500000,0))))</f>
        <v>0</v>
      </c>
      <c r="J98" s="490"/>
      <c r="K98" s="610"/>
      <c r="L98" s="610"/>
    </row>
    <row r="99" spans="2:12" ht="13.5" thickBot="1" x14ac:dyDescent="0.25">
      <c r="B99" s="611" t="s">
        <v>216</v>
      </c>
      <c r="C99" s="612"/>
      <c r="D99" s="612"/>
      <c r="E99" s="612"/>
      <c r="F99" s="612"/>
      <c r="G99" s="943">
        <f>IF((G96-H97-G98)&lt;0,0,(G96-H97-G98))</f>
        <v>105116</v>
      </c>
      <c r="H99" s="944"/>
      <c r="I99" s="527"/>
    </row>
    <row r="100" spans="2:12" ht="13.5" thickBot="1" x14ac:dyDescent="0.25">
      <c r="B100" s="945" t="s">
        <v>240</v>
      </c>
      <c r="C100" s="946"/>
      <c r="D100" s="946"/>
      <c r="E100" s="946"/>
      <c r="F100" s="947"/>
      <c r="G100" s="948">
        <f>ROUND((IF(G99&gt;0,(G99*4%),0)),0)</f>
        <v>4205</v>
      </c>
      <c r="H100" s="949"/>
      <c r="I100" s="527"/>
    </row>
    <row r="101" spans="2:12" ht="13.5" thickBot="1" x14ac:dyDescent="0.25">
      <c r="B101" s="933" t="s">
        <v>218</v>
      </c>
      <c r="C101" s="934"/>
      <c r="D101" s="934"/>
      <c r="E101" s="934"/>
      <c r="F101" s="934"/>
      <c r="G101" s="935">
        <f>G99+G100</f>
        <v>109321</v>
      </c>
      <c r="H101" s="936"/>
      <c r="I101" s="610"/>
    </row>
    <row r="102" spans="2:12" ht="13.5" thickBot="1" x14ac:dyDescent="0.25">
      <c r="B102" s="937" t="s">
        <v>219</v>
      </c>
      <c r="C102" s="938"/>
      <c r="D102" s="938"/>
      <c r="E102" s="938"/>
      <c r="F102" s="938"/>
      <c r="G102" s="939">
        <f>O40</f>
        <v>112520</v>
      </c>
      <c r="H102" s="940"/>
      <c r="I102" s="610"/>
    </row>
    <row r="103" spans="2:12" ht="13.5" thickBot="1" x14ac:dyDescent="0.25">
      <c r="B103" s="937" t="str">
        <f>IF(G103&gt;0,"TAX PAYABLE","TAX REFUND")</f>
        <v>TAX REFUND</v>
      </c>
      <c r="C103" s="938"/>
      <c r="D103" s="938"/>
      <c r="E103" s="938"/>
      <c r="F103" s="938"/>
      <c r="G103" s="939">
        <f>+G101-G102</f>
        <v>-3199</v>
      </c>
      <c r="H103" s="940"/>
      <c r="I103" s="527"/>
    </row>
    <row r="104" spans="2:12" x14ac:dyDescent="0.2">
      <c r="C104" s="613"/>
      <c r="D104" s="530"/>
      <c r="E104" s="604"/>
      <c r="F104" s="604"/>
      <c r="G104" s="604"/>
      <c r="H104" s="604"/>
      <c r="I104" s="614"/>
    </row>
    <row r="105" spans="2:12" x14ac:dyDescent="0.2">
      <c r="C105" s="531"/>
      <c r="D105" s="534"/>
      <c r="E105" s="603"/>
      <c r="F105" s="531"/>
      <c r="G105" s="531"/>
      <c r="H105" s="531"/>
      <c r="I105" s="614"/>
    </row>
    <row r="106" spans="2:12" x14ac:dyDescent="0.2">
      <c r="C106" s="529"/>
      <c r="D106" s="615"/>
      <c r="E106" s="615"/>
      <c r="F106" s="615"/>
      <c r="G106" s="529"/>
      <c r="H106" s="529"/>
      <c r="I106" s="527"/>
    </row>
    <row r="107" spans="2:12" x14ac:dyDescent="0.2">
      <c r="C107" s="529"/>
      <c r="D107" s="615"/>
      <c r="E107" s="615"/>
      <c r="F107" s="529"/>
      <c r="G107" s="529"/>
      <c r="H107" s="529"/>
      <c r="I107" s="527"/>
    </row>
    <row r="108" spans="2:12" x14ac:dyDescent="0.2">
      <c r="C108" s="529"/>
      <c r="D108" s="615"/>
      <c r="E108" s="615"/>
      <c r="F108" s="529"/>
      <c r="G108" s="529"/>
      <c r="H108" s="529"/>
      <c r="I108" s="527"/>
    </row>
    <row r="109" spans="2:12" x14ac:dyDescent="0.2">
      <c r="C109" s="529"/>
      <c r="D109" s="529"/>
      <c r="E109" s="529"/>
      <c r="F109" s="529"/>
      <c r="G109" s="529"/>
      <c r="H109" s="529"/>
      <c r="I109" s="527"/>
    </row>
    <row r="110" spans="2:12" x14ac:dyDescent="0.2">
      <c r="C110" s="529"/>
      <c r="D110" s="529"/>
      <c r="E110" s="529"/>
      <c r="F110" s="529"/>
      <c r="G110" s="529"/>
      <c r="H110" s="529"/>
      <c r="I110" s="610"/>
    </row>
    <row r="111" spans="2:12" x14ac:dyDescent="0.2">
      <c r="C111" s="529"/>
      <c r="D111" s="529"/>
      <c r="E111" s="529"/>
      <c r="F111" s="529"/>
      <c r="G111" s="529"/>
      <c r="H111" s="529"/>
    </row>
  </sheetData>
  <mergeCells count="94">
    <mergeCell ref="B101:F101"/>
    <mergeCell ref="G101:H101"/>
    <mergeCell ref="B102:F102"/>
    <mergeCell ref="G102:H102"/>
    <mergeCell ref="B103:F103"/>
    <mergeCell ref="G103:H103"/>
    <mergeCell ref="B96:F96"/>
    <mergeCell ref="G96:H96"/>
    <mergeCell ref="G98:H98"/>
    <mergeCell ref="G99:H99"/>
    <mergeCell ref="B100:F100"/>
    <mergeCell ref="G100:H100"/>
    <mergeCell ref="G88:H88"/>
    <mergeCell ref="C90:D90"/>
    <mergeCell ref="C91:D91"/>
    <mergeCell ref="C92:D92"/>
    <mergeCell ref="C93:D93"/>
    <mergeCell ref="C94:D94"/>
    <mergeCell ref="D82:F82"/>
    <mergeCell ref="D83:F83"/>
    <mergeCell ref="D84:F84"/>
    <mergeCell ref="D85:F85"/>
    <mergeCell ref="B86:F86"/>
    <mergeCell ref="B88:F88"/>
    <mergeCell ref="D81:F81"/>
    <mergeCell ref="B67:F67"/>
    <mergeCell ref="G67:H67"/>
    <mergeCell ref="J70:K70"/>
    <mergeCell ref="B71:B85"/>
    <mergeCell ref="C71:C77"/>
    <mergeCell ref="D71:F71"/>
    <mergeCell ref="D72:F72"/>
    <mergeCell ref="D73:F73"/>
    <mergeCell ref="D74:F74"/>
    <mergeCell ref="D75:F75"/>
    <mergeCell ref="D76:F76"/>
    <mergeCell ref="D77:F77"/>
    <mergeCell ref="D78:F78"/>
    <mergeCell ref="D79:F79"/>
    <mergeCell ref="E80:F80"/>
    <mergeCell ref="C65:F65"/>
    <mergeCell ref="G65:H65"/>
    <mergeCell ref="J65:O65"/>
    <mergeCell ref="G58:H58"/>
    <mergeCell ref="J58:L58"/>
    <mergeCell ref="M58:O58"/>
    <mergeCell ref="G59:H59"/>
    <mergeCell ref="D60:F60"/>
    <mergeCell ref="G60:H60"/>
    <mergeCell ref="B62:F62"/>
    <mergeCell ref="G62:H62"/>
    <mergeCell ref="J62:O62"/>
    <mergeCell ref="B64:F64"/>
    <mergeCell ref="G64:H64"/>
    <mergeCell ref="B57:B60"/>
    <mergeCell ref="C57:C60"/>
    <mergeCell ref="D57:F57"/>
    <mergeCell ref="G57:H57"/>
    <mergeCell ref="D58:F58"/>
    <mergeCell ref="A38:B38"/>
    <mergeCell ref="A5:C5"/>
    <mergeCell ref="D5:F5"/>
    <mergeCell ref="G5:H5"/>
    <mergeCell ref="A40:A50"/>
    <mergeCell ref="A51:B51"/>
    <mergeCell ref="A52:B52"/>
    <mergeCell ref="B55:F55"/>
    <mergeCell ref="G55:H55"/>
    <mergeCell ref="I5:O5"/>
    <mergeCell ref="A6:C6"/>
    <mergeCell ref="D6:F6"/>
    <mergeCell ref="G6:H6"/>
    <mergeCell ref="J6:O6"/>
    <mergeCell ref="L7:O7"/>
    <mergeCell ref="A8:B8"/>
    <mergeCell ref="A22:A34"/>
    <mergeCell ref="A36:B36"/>
    <mergeCell ref="A37:B37"/>
    <mergeCell ref="A3:C3"/>
    <mergeCell ref="D3:F3"/>
    <mergeCell ref="G3:H3"/>
    <mergeCell ref="I3:O3"/>
    <mergeCell ref="A4:C4"/>
    <mergeCell ref="D4:F4"/>
    <mergeCell ref="G4:H4"/>
    <mergeCell ref="I4:O4"/>
    <mergeCell ref="A1:C1"/>
    <mergeCell ref="D1:F1"/>
    <mergeCell ref="G1:H1"/>
    <mergeCell ref="I1:O1"/>
    <mergeCell ref="A2:C2"/>
    <mergeCell ref="D2:F2"/>
    <mergeCell ref="G2:H2"/>
    <mergeCell ref="I2:O2"/>
  </mergeCells>
  <conditionalFormatting sqref="B93:F93 B103:F103 B96:F101">
    <cfRule type="cellIs" dxfId="31" priority="1" stopIfTrue="1" operator="equal">
      <formula>"TAX PAYABLE"</formula>
    </cfRule>
    <cfRule type="cellIs" dxfId="30" priority="2" stopIfTrue="1" operator="equal">
      <formula>"TAX REFUND"</formula>
    </cfRule>
  </conditionalFormatting>
  <conditionalFormatting sqref="G93:H93">
    <cfRule type="cellIs" dxfId="29" priority="3" stopIfTrue="1" operator="lessThan">
      <formula>0</formula>
    </cfRule>
    <cfRule type="cellIs" dxfId="28" priority="4" stopIfTrue="1" operator="greaterThan">
      <formula>0</formula>
    </cfRule>
  </conditionalFormatting>
  <conditionalFormatting sqref="G103:H103">
    <cfRule type="cellIs" dxfId="27" priority="5" stopIfTrue="1" operator="greaterThan">
      <formula>0</formula>
    </cfRule>
    <cfRule type="cellIs" dxfId="26" priority="6"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$Q$8:$Q$9</formula1>
    </dataValidation>
  </dataValidations>
  <pageMargins left="0.75" right="0.75" top="1" bottom="1" header="0.5" footer="0.5"/>
  <headerFooter alignWithMargins="0"/>
  <legacyDrawing r:id="rId1"/>
</worksheet>
</file>

<file path=xl/worksheets/sheet1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indexed="60"/>
  </sheetPr>
  <dimension ref="A1:S106"/>
  <sheetViews>
    <sheetView workbookViewId="0">
      <selection sqref="A1:XFD1048576"/>
    </sheetView>
  </sheetViews>
  <sheetFormatPr defaultRowHeight="12.75" x14ac:dyDescent="0.2"/>
  <cols>
    <col min="1" max="1" width="5" style="504" customWidth="1"/>
    <col min="2" max="2" width="20.85546875" style="527" customWidth="1"/>
    <col min="3" max="3" width="9" style="504" customWidth="1"/>
    <col min="4" max="4" width="8.140625" style="504" customWidth="1"/>
    <col min="5" max="5" width="8.5703125" style="504" bestFit="1" customWidth="1"/>
    <col min="6" max="8" width="8.28515625" style="504" customWidth="1"/>
    <col min="9" max="15" width="8.140625" style="504" customWidth="1"/>
    <col min="16" max="20" width="9.140625" style="504"/>
    <col min="21" max="21" width="12.42578125" style="504" customWidth="1"/>
    <col min="22" max="22" width="9.140625" style="504"/>
    <col min="23" max="23" width="12" style="504" customWidth="1"/>
    <col min="24" max="256" width="9.140625" style="504"/>
    <col min="257" max="257" width="5" style="504" customWidth="1"/>
    <col min="258" max="258" width="20.85546875" style="504" customWidth="1"/>
    <col min="259" max="259" width="9" style="504" customWidth="1"/>
    <col min="260" max="260" width="8.140625" style="504" customWidth="1"/>
    <col min="261" max="261" width="8.5703125" style="504" bestFit="1" customWidth="1"/>
    <col min="262" max="264" width="8.28515625" style="504" customWidth="1"/>
    <col min="265" max="271" width="8.140625" style="504" customWidth="1"/>
    <col min="272" max="276" width="9.140625" style="504"/>
    <col min="277" max="277" width="12.42578125" style="504" customWidth="1"/>
    <col min="278" max="278" width="9.140625" style="504"/>
    <col min="279" max="279" width="12" style="504" customWidth="1"/>
    <col min="280" max="512" width="9.140625" style="504"/>
    <col min="513" max="513" width="5" style="504" customWidth="1"/>
    <col min="514" max="514" width="20.85546875" style="504" customWidth="1"/>
    <col min="515" max="515" width="9" style="504" customWidth="1"/>
    <col min="516" max="516" width="8.140625" style="504" customWidth="1"/>
    <col min="517" max="517" width="8.5703125" style="504" bestFit="1" customWidth="1"/>
    <col min="518" max="520" width="8.28515625" style="504" customWidth="1"/>
    <col min="521" max="527" width="8.140625" style="504" customWidth="1"/>
    <col min="528" max="532" width="9.140625" style="504"/>
    <col min="533" max="533" width="12.42578125" style="504" customWidth="1"/>
    <col min="534" max="534" width="9.140625" style="504"/>
    <col min="535" max="535" width="12" style="504" customWidth="1"/>
    <col min="536" max="768" width="9.140625" style="504"/>
    <col min="769" max="769" width="5" style="504" customWidth="1"/>
    <col min="770" max="770" width="20.85546875" style="504" customWidth="1"/>
    <col min="771" max="771" width="9" style="504" customWidth="1"/>
    <col min="772" max="772" width="8.140625" style="504" customWidth="1"/>
    <col min="773" max="773" width="8.5703125" style="504" bestFit="1" customWidth="1"/>
    <col min="774" max="776" width="8.28515625" style="504" customWidth="1"/>
    <col min="777" max="783" width="8.140625" style="504" customWidth="1"/>
    <col min="784" max="788" width="9.140625" style="504"/>
    <col min="789" max="789" width="12.42578125" style="504" customWidth="1"/>
    <col min="790" max="790" width="9.140625" style="504"/>
    <col min="791" max="791" width="12" style="504" customWidth="1"/>
    <col min="792" max="1024" width="9.140625" style="504"/>
    <col min="1025" max="1025" width="5" style="504" customWidth="1"/>
    <col min="1026" max="1026" width="20.85546875" style="504" customWidth="1"/>
    <col min="1027" max="1027" width="9" style="504" customWidth="1"/>
    <col min="1028" max="1028" width="8.140625" style="504" customWidth="1"/>
    <col min="1029" max="1029" width="8.5703125" style="504" bestFit="1" customWidth="1"/>
    <col min="1030" max="1032" width="8.28515625" style="504" customWidth="1"/>
    <col min="1033" max="1039" width="8.140625" style="504" customWidth="1"/>
    <col min="1040" max="1044" width="9.140625" style="504"/>
    <col min="1045" max="1045" width="12.42578125" style="504" customWidth="1"/>
    <col min="1046" max="1046" width="9.140625" style="504"/>
    <col min="1047" max="1047" width="12" style="504" customWidth="1"/>
    <col min="1048" max="1280" width="9.140625" style="504"/>
    <col min="1281" max="1281" width="5" style="504" customWidth="1"/>
    <col min="1282" max="1282" width="20.85546875" style="504" customWidth="1"/>
    <col min="1283" max="1283" width="9" style="504" customWidth="1"/>
    <col min="1284" max="1284" width="8.140625" style="504" customWidth="1"/>
    <col min="1285" max="1285" width="8.5703125" style="504" bestFit="1" customWidth="1"/>
    <col min="1286" max="1288" width="8.28515625" style="504" customWidth="1"/>
    <col min="1289" max="1295" width="8.140625" style="504" customWidth="1"/>
    <col min="1296" max="1300" width="9.140625" style="504"/>
    <col min="1301" max="1301" width="12.42578125" style="504" customWidth="1"/>
    <col min="1302" max="1302" width="9.140625" style="504"/>
    <col min="1303" max="1303" width="12" style="504" customWidth="1"/>
    <col min="1304" max="1536" width="9.140625" style="504"/>
    <col min="1537" max="1537" width="5" style="504" customWidth="1"/>
    <col min="1538" max="1538" width="20.85546875" style="504" customWidth="1"/>
    <col min="1539" max="1539" width="9" style="504" customWidth="1"/>
    <col min="1540" max="1540" width="8.140625" style="504" customWidth="1"/>
    <col min="1541" max="1541" width="8.5703125" style="504" bestFit="1" customWidth="1"/>
    <col min="1542" max="1544" width="8.28515625" style="504" customWidth="1"/>
    <col min="1545" max="1551" width="8.140625" style="504" customWidth="1"/>
    <col min="1552" max="1556" width="9.140625" style="504"/>
    <col min="1557" max="1557" width="12.42578125" style="504" customWidth="1"/>
    <col min="1558" max="1558" width="9.140625" style="504"/>
    <col min="1559" max="1559" width="12" style="504" customWidth="1"/>
    <col min="1560" max="1792" width="9.140625" style="504"/>
    <col min="1793" max="1793" width="5" style="504" customWidth="1"/>
    <col min="1794" max="1794" width="20.85546875" style="504" customWidth="1"/>
    <col min="1795" max="1795" width="9" style="504" customWidth="1"/>
    <col min="1796" max="1796" width="8.140625" style="504" customWidth="1"/>
    <col min="1797" max="1797" width="8.5703125" style="504" bestFit="1" customWidth="1"/>
    <col min="1798" max="1800" width="8.28515625" style="504" customWidth="1"/>
    <col min="1801" max="1807" width="8.140625" style="504" customWidth="1"/>
    <col min="1808" max="1812" width="9.140625" style="504"/>
    <col min="1813" max="1813" width="12.42578125" style="504" customWidth="1"/>
    <col min="1814" max="1814" width="9.140625" style="504"/>
    <col min="1815" max="1815" width="12" style="504" customWidth="1"/>
    <col min="1816" max="2048" width="9.140625" style="504"/>
    <col min="2049" max="2049" width="5" style="504" customWidth="1"/>
    <col min="2050" max="2050" width="20.85546875" style="504" customWidth="1"/>
    <col min="2051" max="2051" width="9" style="504" customWidth="1"/>
    <col min="2052" max="2052" width="8.140625" style="504" customWidth="1"/>
    <col min="2053" max="2053" width="8.5703125" style="504" bestFit="1" customWidth="1"/>
    <col min="2054" max="2056" width="8.28515625" style="504" customWidth="1"/>
    <col min="2057" max="2063" width="8.140625" style="504" customWidth="1"/>
    <col min="2064" max="2068" width="9.140625" style="504"/>
    <col min="2069" max="2069" width="12.42578125" style="504" customWidth="1"/>
    <col min="2070" max="2070" width="9.140625" style="504"/>
    <col min="2071" max="2071" width="12" style="504" customWidth="1"/>
    <col min="2072" max="2304" width="9.140625" style="504"/>
    <col min="2305" max="2305" width="5" style="504" customWidth="1"/>
    <col min="2306" max="2306" width="20.85546875" style="504" customWidth="1"/>
    <col min="2307" max="2307" width="9" style="504" customWidth="1"/>
    <col min="2308" max="2308" width="8.140625" style="504" customWidth="1"/>
    <col min="2309" max="2309" width="8.5703125" style="504" bestFit="1" customWidth="1"/>
    <col min="2310" max="2312" width="8.28515625" style="504" customWidth="1"/>
    <col min="2313" max="2319" width="8.140625" style="504" customWidth="1"/>
    <col min="2320" max="2324" width="9.140625" style="504"/>
    <col min="2325" max="2325" width="12.42578125" style="504" customWidth="1"/>
    <col min="2326" max="2326" width="9.140625" style="504"/>
    <col min="2327" max="2327" width="12" style="504" customWidth="1"/>
    <col min="2328" max="2560" width="9.140625" style="504"/>
    <col min="2561" max="2561" width="5" style="504" customWidth="1"/>
    <col min="2562" max="2562" width="20.85546875" style="504" customWidth="1"/>
    <col min="2563" max="2563" width="9" style="504" customWidth="1"/>
    <col min="2564" max="2564" width="8.140625" style="504" customWidth="1"/>
    <col min="2565" max="2565" width="8.5703125" style="504" bestFit="1" customWidth="1"/>
    <col min="2566" max="2568" width="8.28515625" style="504" customWidth="1"/>
    <col min="2569" max="2575" width="8.140625" style="504" customWidth="1"/>
    <col min="2576" max="2580" width="9.140625" style="504"/>
    <col min="2581" max="2581" width="12.42578125" style="504" customWidth="1"/>
    <col min="2582" max="2582" width="9.140625" style="504"/>
    <col min="2583" max="2583" width="12" style="504" customWidth="1"/>
    <col min="2584" max="2816" width="9.140625" style="504"/>
    <col min="2817" max="2817" width="5" style="504" customWidth="1"/>
    <col min="2818" max="2818" width="20.85546875" style="504" customWidth="1"/>
    <col min="2819" max="2819" width="9" style="504" customWidth="1"/>
    <col min="2820" max="2820" width="8.140625" style="504" customWidth="1"/>
    <col min="2821" max="2821" width="8.5703125" style="504" bestFit="1" customWidth="1"/>
    <col min="2822" max="2824" width="8.28515625" style="504" customWidth="1"/>
    <col min="2825" max="2831" width="8.140625" style="504" customWidth="1"/>
    <col min="2832" max="2836" width="9.140625" style="504"/>
    <col min="2837" max="2837" width="12.42578125" style="504" customWidth="1"/>
    <col min="2838" max="2838" width="9.140625" style="504"/>
    <col min="2839" max="2839" width="12" style="504" customWidth="1"/>
    <col min="2840" max="3072" width="9.140625" style="504"/>
    <col min="3073" max="3073" width="5" style="504" customWidth="1"/>
    <col min="3074" max="3074" width="20.85546875" style="504" customWidth="1"/>
    <col min="3075" max="3075" width="9" style="504" customWidth="1"/>
    <col min="3076" max="3076" width="8.140625" style="504" customWidth="1"/>
    <col min="3077" max="3077" width="8.5703125" style="504" bestFit="1" customWidth="1"/>
    <col min="3078" max="3080" width="8.28515625" style="504" customWidth="1"/>
    <col min="3081" max="3087" width="8.140625" style="504" customWidth="1"/>
    <col min="3088" max="3092" width="9.140625" style="504"/>
    <col min="3093" max="3093" width="12.42578125" style="504" customWidth="1"/>
    <col min="3094" max="3094" width="9.140625" style="504"/>
    <col min="3095" max="3095" width="12" style="504" customWidth="1"/>
    <col min="3096" max="3328" width="9.140625" style="504"/>
    <col min="3329" max="3329" width="5" style="504" customWidth="1"/>
    <col min="3330" max="3330" width="20.85546875" style="504" customWidth="1"/>
    <col min="3331" max="3331" width="9" style="504" customWidth="1"/>
    <col min="3332" max="3332" width="8.140625" style="504" customWidth="1"/>
    <col min="3333" max="3333" width="8.5703125" style="504" bestFit="1" customWidth="1"/>
    <col min="3334" max="3336" width="8.28515625" style="504" customWidth="1"/>
    <col min="3337" max="3343" width="8.140625" style="504" customWidth="1"/>
    <col min="3344" max="3348" width="9.140625" style="504"/>
    <col min="3349" max="3349" width="12.42578125" style="504" customWidth="1"/>
    <col min="3350" max="3350" width="9.140625" style="504"/>
    <col min="3351" max="3351" width="12" style="504" customWidth="1"/>
    <col min="3352" max="3584" width="9.140625" style="504"/>
    <col min="3585" max="3585" width="5" style="504" customWidth="1"/>
    <col min="3586" max="3586" width="20.85546875" style="504" customWidth="1"/>
    <col min="3587" max="3587" width="9" style="504" customWidth="1"/>
    <col min="3588" max="3588" width="8.140625" style="504" customWidth="1"/>
    <col min="3589" max="3589" width="8.5703125" style="504" bestFit="1" customWidth="1"/>
    <col min="3590" max="3592" width="8.28515625" style="504" customWidth="1"/>
    <col min="3593" max="3599" width="8.140625" style="504" customWidth="1"/>
    <col min="3600" max="3604" width="9.140625" style="504"/>
    <col min="3605" max="3605" width="12.42578125" style="504" customWidth="1"/>
    <col min="3606" max="3606" width="9.140625" style="504"/>
    <col min="3607" max="3607" width="12" style="504" customWidth="1"/>
    <col min="3608" max="3840" width="9.140625" style="504"/>
    <col min="3841" max="3841" width="5" style="504" customWidth="1"/>
    <col min="3842" max="3842" width="20.85546875" style="504" customWidth="1"/>
    <col min="3843" max="3843" width="9" style="504" customWidth="1"/>
    <col min="3844" max="3844" width="8.140625" style="504" customWidth="1"/>
    <col min="3845" max="3845" width="8.5703125" style="504" bestFit="1" customWidth="1"/>
    <col min="3846" max="3848" width="8.28515625" style="504" customWidth="1"/>
    <col min="3849" max="3855" width="8.140625" style="504" customWidth="1"/>
    <col min="3856" max="3860" width="9.140625" style="504"/>
    <col min="3861" max="3861" width="12.42578125" style="504" customWidth="1"/>
    <col min="3862" max="3862" width="9.140625" style="504"/>
    <col min="3863" max="3863" width="12" style="504" customWidth="1"/>
    <col min="3864" max="4096" width="9.140625" style="504"/>
    <col min="4097" max="4097" width="5" style="504" customWidth="1"/>
    <col min="4098" max="4098" width="20.85546875" style="504" customWidth="1"/>
    <col min="4099" max="4099" width="9" style="504" customWidth="1"/>
    <col min="4100" max="4100" width="8.140625" style="504" customWidth="1"/>
    <col min="4101" max="4101" width="8.5703125" style="504" bestFit="1" customWidth="1"/>
    <col min="4102" max="4104" width="8.28515625" style="504" customWidth="1"/>
    <col min="4105" max="4111" width="8.140625" style="504" customWidth="1"/>
    <col min="4112" max="4116" width="9.140625" style="504"/>
    <col min="4117" max="4117" width="12.42578125" style="504" customWidth="1"/>
    <col min="4118" max="4118" width="9.140625" style="504"/>
    <col min="4119" max="4119" width="12" style="504" customWidth="1"/>
    <col min="4120" max="4352" width="9.140625" style="504"/>
    <col min="4353" max="4353" width="5" style="504" customWidth="1"/>
    <col min="4354" max="4354" width="20.85546875" style="504" customWidth="1"/>
    <col min="4355" max="4355" width="9" style="504" customWidth="1"/>
    <col min="4356" max="4356" width="8.140625" style="504" customWidth="1"/>
    <col min="4357" max="4357" width="8.5703125" style="504" bestFit="1" customWidth="1"/>
    <col min="4358" max="4360" width="8.28515625" style="504" customWidth="1"/>
    <col min="4361" max="4367" width="8.140625" style="504" customWidth="1"/>
    <col min="4368" max="4372" width="9.140625" style="504"/>
    <col min="4373" max="4373" width="12.42578125" style="504" customWidth="1"/>
    <col min="4374" max="4374" width="9.140625" style="504"/>
    <col min="4375" max="4375" width="12" style="504" customWidth="1"/>
    <col min="4376" max="4608" width="9.140625" style="504"/>
    <col min="4609" max="4609" width="5" style="504" customWidth="1"/>
    <col min="4610" max="4610" width="20.85546875" style="504" customWidth="1"/>
    <col min="4611" max="4611" width="9" style="504" customWidth="1"/>
    <col min="4612" max="4612" width="8.140625" style="504" customWidth="1"/>
    <col min="4613" max="4613" width="8.5703125" style="504" bestFit="1" customWidth="1"/>
    <col min="4614" max="4616" width="8.28515625" style="504" customWidth="1"/>
    <col min="4617" max="4623" width="8.140625" style="504" customWidth="1"/>
    <col min="4624" max="4628" width="9.140625" style="504"/>
    <col min="4629" max="4629" width="12.42578125" style="504" customWidth="1"/>
    <col min="4630" max="4630" width="9.140625" style="504"/>
    <col min="4631" max="4631" width="12" style="504" customWidth="1"/>
    <col min="4632" max="4864" width="9.140625" style="504"/>
    <col min="4865" max="4865" width="5" style="504" customWidth="1"/>
    <col min="4866" max="4866" width="20.85546875" style="504" customWidth="1"/>
    <col min="4867" max="4867" width="9" style="504" customWidth="1"/>
    <col min="4868" max="4868" width="8.140625" style="504" customWidth="1"/>
    <col min="4869" max="4869" width="8.5703125" style="504" bestFit="1" customWidth="1"/>
    <col min="4870" max="4872" width="8.28515625" style="504" customWidth="1"/>
    <col min="4873" max="4879" width="8.140625" style="504" customWidth="1"/>
    <col min="4880" max="4884" width="9.140625" style="504"/>
    <col min="4885" max="4885" width="12.42578125" style="504" customWidth="1"/>
    <col min="4886" max="4886" width="9.140625" style="504"/>
    <col min="4887" max="4887" width="12" style="504" customWidth="1"/>
    <col min="4888" max="5120" width="9.140625" style="504"/>
    <col min="5121" max="5121" width="5" style="504" customWidth="1"/>
    <col min="5122" max="5122" width="20.85546875" style="504" customWidth="1"/>
    <col min="5123" max="5123" width="9" style="504" customWidth="1"/>
    <col min="5124" max="5124" width="8.140625" style="504" customWidth="1"/>
    <col min="5125" max="5125" width="8.5703125" style="504" bestFit="1" customWidth="1"/>
    <col min="5126" max="5128" width="8.28515625" style="504" customWidth="1"/>
    <col min="5129" max="5135" width="8.140625" style="504" customWidth="1"/>
    <col min="5136" max="5140" width="9.140625" style="504"/>
    <col min="5141" max="5141" width="12.42578125" style="504" customWidth="1"/>
    <col min="5142" max="5142" width="9.140625" style="504"/>
    <col min="5143" max="5143" width="12" style="504" customWidth="1"/>
    <col min="5144" max="5376" width="9.140625" style="504"/>
    <col min="5377" max="5377" width="5" style="504" customWidth="1"/>
    <col min="5378" max="5378" width="20.85546875" style="504" customWidth="1"/>
    <col min="5379" max="5379" width="9" style="504" customWidth="1"/>
    <col min="5380" max="5380" width="8.140625" style="504" customWidth="1"/>
    <col min="5381" max="5381" width="8.5703125" style="504" bestFit="1" customWidth="1"/>
    <col min="5382" max="5384" width="8.28515625" style="504" customWidth="1"/>
    <col min="5385" max="5391" width="8.140625" style="504" customWidth="1"/>
    <col min="5392" max="5396" width="9.140625" style="504"/>
    <col min="5397" max="5397" width="12.42578125" style="504" customWidth="1"/>
    <col min="5398" max="5398" width="9.140625" style="504"/>
    <col min="5399" max="5399" width="12" style="504" customWidth="1"/>
    <col min="5400" max="5632" width="9.140625" style="504"/>
    <col min="5633" max="5633" width="5" style="504" customWidth="1"/>
    <col min="5634" max="5634" width="20.85546875" style="504" customWidth="1"/>
    <col min="5635" max="5635" width="9" style="504" customWidth="1"/>
    <col min="5636" max="5636" width="8.140625" style="504" customWidth="1"/>
    <col min="5637" max="5637" width="8.5703125" style="504" bestFit="1" customWidth="1"/>
    <col min="5638" max="5640" width="8.28515625" style="504" customWidth="1"/>
    <col min="5641" max="5647" width="8.140625" style="504" customWidth="1"/>
    <col min="5648" max="5652" width="9.140625" style="504"/>
    <col min="5653" max="5653" width="12.42578125" style="504" customWidth="1"/>
    <col min="5654" max="5654" width="9.140625" style="504"/>
    <col min="5655" max="5655" width="12" style="504" customWidth="1"/>
    <col min="5656" max="5888" width="9.140625" style="504"/>
    <col min="5889" max="5889" width="5" style="504" customWidth="1"/>
    <col min="5890" max="5890" width="20.85546875" style="504" customWidth="1"/>
    <col min="5891" max="5891" width="9" style="504" customWidth="1"/>
    <col min="5892" max="5892" width="8.140625" style="504" customWidth="1"/>
    <col min="5893" max="5893" width="8.5703125" style="504" bestFit="1" customWidth="1"/>
    <col min="5894" max="5896" width="8.28515625" style="504" customWidth="1"/>
    <col min="5897" max="5903" width="8.140625" style="504" customWidth="1"/>
    <col min="5904" max="5908" width="9.140625" style="504"/>
    <col min="5909" max="5909" width="12.42578125" style="504" customWidth="1"/>
    <col min="5910" max="5910" width="9.140625" style="504"/>
    <col min="5911" max="5911" width="12" style="504" customWidth="1"/>
    <col min="5912" max="6144" width="9.140625" style="504"/>
    <col min="6145" max="6145" width="5" style="504" customWidth="1"/>
    <col min="6146" max="6146" width="20.85546875" style="504" customWidth="1"/>
    <col min="6147" max="6147" width="9" style="504" customWidth="1"/>
    <col min="6148" max="6148" width="8.140625" style="504" customWidth="1"/>
    <col min="6149" max="6149" width="8.5703125" style="504" bestFit="1" customWidth="1"/>
    <col min="6150" max="6152" width="8.28515625" style="504" customWidth="1"/>
    <col min="6153" max="6159" width="8.140625" style="504" customWidth="1"/>
    <col min="6160" max="6164" width="9.140625" style="504"/>
    <col min="6165" max="6165" width="12.42578125" style="504" customWidth="1"/>
    <col min="6166" max="6166" width="9.140625" style="504"/>
    <col min="6167" max="6167" width="12" style="504" customWidth="1"/>
    <col min="6168" max="6400" width="9.140625" style="504"/>
    <col min="6401" max="6401" width="5" style="504" customWidth="1"/>
    <col min="6402" max="6402" width="20.85546875" style="504" customWidth="1"/>
    <col min="6403" max="6403" width="9" style="504" customWidth="1"/>
    <col min="6404" max="6404" width="8.140625" style="504" customWidth="1"/>
    <col min="6405" max="6405" width="8.5703125" style="504" bestFit="1" customWidth="1"/>
    <col min="6406" max="6408" width="8.28515625" style="504" customWidth="1"/>
    <col min="6409" max="6415" width="8.140625" style="504" customWidth="1"/>
    <col min="6416" max="6420" width="9.140625" style="504"/>
    <col min="6421" max="6421" width="12.42578125" style="504" customWidth="1"/>
    <col min="6422" max="6422" width="9.140625" style="504"/>
    <col min="6423" max="6423" width="12" style="504" customWidth="1"/>
    <col min="6424" max="6656" width="9.140625" style="504"/>
    <col min="6657" max="6657" width="5" style="504" customWidth="1"/>
    <col min="6658" max="6658" width="20.85546875" style="504" customWidth="1"/>
    <col min="6659" max="6659" width="9" style="504" customWidth="1"/>
    <col min="6660" max="6660" width="8.140625" style="504" customWidth="1"/>
    <col min="6661" max="6661" width="8.5703125" style="504" bestFit="1" customWidth="1"/>
    <col min="6662" max="6664" width="8.28515625" style="504" customWidth="1"/>
    <col min="6665" max="6671" width="8.140625" style="504" customWidth="1"/>
    <col min="6672" max="6676" width="9.140625" style="504"/>
    <col min="6677" max="6677" width="12.42578125" style="504" customWidth="1"/>
    <col min="6678" max="6678" width="9.140625" style="504"/>
    <col min="6679" max="6679" width="12" style="504" customWidth="1"/>
    <col min="6680" max="6912" width="9.140625" style="504"/>
    <col min="6913" max="6913" width="5" style="504" customWidth="1"/>
    <col min="6914" max="6914" width="20.85546875" style="504" customWidth="1"/>
    <col min="6915" max="6915" width="9" style="504" customWidth="1"/>
    <col min="6916" max="6916" width="8.140625" style="504" customWidth="1"/>
    <col min="6917" max="6917" width="8.5703125" style="504" bestFit="1" customWidth="1"/>
    <col min="6918" max="6920" width="8.28515625" style="504" customWidth="1"/>
    <col min="6921" max="6927" width="8.140625" style="504" customWidth="1"/>
    <col min="6928" max="6932" width="9.140625" style="504"/>
    <col min="6933" max="6933" width="12.42578125" style="504" customWidth="1"/>
    <col min="6934" max="6934" width="9.140625" style="504"/>
    <col min="6935" max="6935" width="12" style="504" customWidth="1"/>
    <col min="6936" max="7168" width="9.140625" style="504"/>
    <col min="7169" max="7169" width="5" style="504" customWidth="1"/>
    <col min="7170" max="7170" width="20.85546875" style="504" customWidth="1"/>
    <col min="7171" max="7171" width="9" style="504" customWidth="1"/>
    <col min="7172" max="7172" width="8.140625" style="504" customWidth="1"/>
    <col min="7173" max="7173" width="8.5703125" style="504" bestFit="1" customWidth="1"/>
    <col min="7174" max="7176" width="8.28515625" style="504" customWidth="1"/>
    <col min="7177" max="7183" width="8.140625" style="504" customWidth="1"/>
    <col min="7184" max="7188" width="9.140625" style="504"/>
    <col min="7189" max="7189" width="12.42578125" style="504" customWidth="1"/>
    <col min="7190" max="7190" width="9.140625" style="504"/>
    <col min="7191" max="7191" width="12" style="504" customWidth="1"/>
    <col min="7192" max="7424" width="9.140625" style="504"/>
    <col min="7425" max="7425" width="5" style="504" customWidth="1"/>
    <col min="7426" max="7426" width="20.85546875" style="504" customWidth="1"/>
    <col min="7427" max="7427" width="9" style="504" customWidth="1"/>
    <col min="7428" max="7428" width="8.140625" style="504" customWidth="1"/>
    <col min="7429" max="7429" width="8.5703125" style="504" bestFit="1" customWidth="1"/>
    <col min="7430" max="7432" width="8.28515625" style="504" customWidth="1"/>
    <col min="7433" max="7439" width="8.140625" style="504" customWidth="1"/>
    <col min="7440" max="7444" width="9.140625" style="504"/>
    <col min="7445" max="7445" width="12.42578125" style="504" customWidth="1"/>
    <col min="7446" max="7446" width="9.140625" style="504"/>
    <col min="7447" max="7447" width="12" style="504" customWidth="1"/>
    <col min="7448" max="7680" width="9.140625" style="504"/>
    <col min="7681" max="7681" width="5" style="504" customWidth="1"/>
    <col min="7682" max="7682" width="20.85546875" style="504" customWidth="1"/>
    <col min="7683" max="7683" width="9" style="504" customWidth="1"/>
    <col min="7684" max="7684" width="8.140625" style="504" customWidth="1"/>
    <col min="7685" max="7685" width="8.5703125" style="504" bestFit="1" customWidth="1"/>
    <col min="7686" max="7688" width="8.28515625" style="504" customWidth="1"/>
    <col min="7689" max="7695" width="8.140625" style="504" customWidth="1"/>
    <col min="7696" max="7700" width="9.140625" style="504"/>
    <col min="7701" max="7701" width="12.42578125" style="504" customWidth="1"/>
    <col min="7702" max="7702" width="9.140625" style="504"/>
    <col min="7703" max="7703" width="12" style="504" customWidth="1"/>
    <col min="7704" max="7936" width="9.140625" style="504"/>
    <col min="7937" max="7937" width="5" style="504" customWidth="1"/>
    <col min="7938" max="7938" width="20.85546875" style="504" customWidth="1"/>
    <col min="7939" max="7939" width="9" style="504" customWidth="1"/>
    <col min="7940" max="7940" width="8.140625" style="504" customWidth="1"/>
    <col min="7941" max="7941" width="8.5703125" style="504" bestFit="1" customWidth="1"/>
    <col min="7942" max="7944" width="8.28515625" style="504" customWidth="1"/>
    <col min="7945" max="7951" width="8.140625" style="504" customWidth="1"/>
    <col min="7952" max="7956" width="9.140625" style="504"/>
    <col min="7957" max="7957" width="12.42578125" style="504" customWidth="1"/>
    <col min="7958" max="7958" width="9.140625" style="504"/>
    <col min="7959" max="7959" width="12" style="504" customWidth="1"/>
    <col min="7960" max="8192" width="9.140625" style="504"/>
    <col min="8193" max="8193" width="5" style="504" customWidth="1"/>
    <col min="8194" max="8194" width="20.85546875" style="504" customWidth="1"/>
    <col min="8195" max="8195" width="9" style="504" customWidth="1"/>
    <col min="8196" max="8196" width="8.140625" style="504" customWidth="1"/>
    <col min="8197" max="8197" width="8.5703125" style="504" bestFit="1" customWidth="1"/>
    <col min="8198" max="8200" width="8.28515625" style="504" customWidth="1"/>
    <col min="8201" max="8207" width="8.140625" style="504" customWidth="1"/>
    <col min="8208" max="8212" width="9.140625" style="504"/>
    <col min="8213" max="8213" width="12.42578125" style="504" customWidth="1"/>
    <col min="8214" max="8214" width="9.140625" style="504"/>
    <col min="8215" max="8215" width="12" style="504" customWidth="1"/>
    <col min="8216" max="8448" width="9.140625" style="504"/>
    <col min="8449" max="8449" width="5" style="504" customWidth="1"/>
    <col min="8450" max="8450" width="20.85546875" style="504" customWidth="1"/>
    <col min="8451" max="8451" width="9" style="504" customWidth="1"/>
    <col min="8452" max="8452" width="8.140625" style="504" customWidth="1"/>
    <col min="8453" max="8453" width="8.5703125" style="504" bestFit="1" customWidth="1"/>
    <col min="8454" max="8456" width="8.28515625" style="504" customWidth="1"/>
    <col min="8457" max="8463" width="8.140625" style="504" customWidth="1"/>
    <col min="8464" max="8468" width="9.140625" style="504"/>
    <col min="8469" max="8469" width="12.42578125" style="504" customWidth="1"/>
    <col min="8470" max="8470" width="9.140625" style="504"/>
    <col min="8471" max="8471" width="12" style="504" customWidth="1"/>
    <col min="8472" max="8704" width="9.140625" style="504"/>
    <col min="8705" max="8705" width="5" style="504" customWidth="1"/>
    <col min="8706" max="8706" width="20.85546875" style="504" customWidth="1"/>
    <col min="8707" max="8707" width="9" style="504" customWidth="1"/>
    <col min="8708" max="8708" width="8.140625" style="504" customWidth="1"/>
    <col min="8709" max="8709" width="8.5703125" style="504" bestFit="1" customWidth="1"/>
    <col min="8710" max="8712" width="8.28515625" style="504" customWidth="1"/>
    <col min="8713" max="8719" width="8.140625" style="504" customWidth="1"/>
    <col min="8720" max="8724" width="9.140625" style="504"/>
    <col min="8725" max="8725" width="12.42578125" style="504" customWidth="1"/>
    <col min="8726" max="8726" width="9.140625" style="504"/>
    <col min="8727" max="8727" width="12" style="504" customWidth="1"/>
    <col min="8728" max="8960" width="9.140625" style="504"/>
    <col min="8961" max="8961" width="5" style="504" customWidth="1"/>
    <col min="8962" max="8962" width="20.85546875" style="504" customWidth="1"/>
    <col min="8963" max="8963" width="9" style="504" customWidth="1"/>
    <col min="8964" max="8964" width="8.140625" style="504" customWidth="1"/>
    <col min="8965" max="8965" width="8.5703125" style="504" bestFit="1" customWidth="1"/>
    <col min="8966" max="8968" width="8.28515625" style="504" customWidth="1"/>
    <col min="8969" max="8975" width="8.140625" style="504" customWidth="1"/>
    <col min="8976" max="8980" width="9.140625" style="504"/>
    <col min="8981" max="8981" width="12.42578125" style="504" customWidth="1"/>
    <col min="8982" max="8982" width="9.140625" style="504"/>
    <col min="8983" max="8983" width="12" style="504" customWidth="1"/>
    <col min="8984" max="9216" width="9.140625" style="504"/>
    <col min="9217" max="9217" width="5" style="504" customWidth="1"/>
    <col min="9218" max="9218" width="20.85546875" style="504" customWidth="1"/>
    <col min="9219" max="9219" width="9" style="504" customWidth="1"/>
    <col min="9220" max="9220" width="8.140625" style="504" customWidth="1"/>
    <col min="9221" max="9221" width="8.5703125" style="504" bestFit="1" customWidth="1"/>
    <col min="9222" max="9224" width="8.28515625" style="504" customWidth="1"/>
    <col min="9225" max="9231" width="8.140625" style="504" customWidth="1"/>
    <col min="9232" max="9236" width="9.140625" style="504"/>
    <col min="9237" max="9237" width="12.42578125" style="504" customWidth="1"/>
    <col min="9238" max="9238" width="9.140625" style="504"/>
    <col min="9239" max="9239" width="12" style="504" customWidth="1"/>
    <col min="9240" max="9472" width="9.140625" style="504"/>
    <col min="9473" max="9473" width="5" style="504" customWidth="1"/>
    <col min="9474" max="9474" width="20.85546875" style="504" customWidth="1"/>
    <col min="9475" max="9475" width="9" style="504" customWidth="1"/>
    <col min="9476" max="9476" width="8.140625" style="504" customWidth="1"/>
    <col min="9477" max="9477" width="8.5703125" style="504" bestFit="1" customWidth="1"/>
    <col min="9478" max="9480" width="8.28515625" style="504" customWidth="1"/>
    <col min="9481" max="9487" width="8.140625" style="504" customWidth="1"/>
    <col min="9488" max="9492" width="9.140625" style="504"/>
    <col min="9493" max="9493" width="12.42578125" style="504" customWidth="1"/>
    <col min="9494" max="9494" width="9.140625" style="504"/>
    <col min="9495" max="9495" width="12" style="504" customWidth="1"/>
    <col min="9496" max="9728" width="9.140625" style="504"/>
    <col min="9729" max="9729" width="5" style="504" customWidth="1"/>
    <col min="9730" max="9730" width="20.85546875" style="504" customWidth="1"/>
    <col min="9731" max="9731" width="9" style="504" customWidth="1"/>
    <col min="9732" max="9732" width="8.140625" style="504" customWidth="1"/>
    <col min="9733" max="9733" width="8.5703125" style="504" bestFit="1" customWidth="1"/>
    <col min="9734" max="9736" width="8.28515625" style="504" customWidth="1"/>
    <col min="9737" max="9743" width="8.140625" style="504" customWidth="1"/>
    <col min="9744" max="9748" width="9.140625" style="504"/>
    <col min="9749" max="9749" width="12.42578125" style="504" customWidth="1"/>
    <col min="9750" max="9750" width="9.140625" style="504"/>
    <col min="9751" max="9751" width="12" style="504" customWidth="1"/>
    <col min="9752" max="9984" width="9.140625" style="504"/>
    <col min="9985" max="9985" width="5" style="504" customWidth="1"/>
    <col min="9986" max="9986" width="20.85546875" style="504" customWidth="1"/>
    <col min="9987" max="9987" width="9" style="504" customWidth="1"/>
    <col min="9988" max="9988" width="8.140625" style="504" customWidth="1"/>
    <col min="9989" max="9989" width="8.5703125" style="504" bestFit="1" customWidth="1"/>
    <col min="9990" max="9992" width="8.28515625" style="504" customWidth="1"/>
    <col min="9993" max="9999" width="8.140625" style="504" customWidth="1"/>
    <col min="10000" max="10004" width="9.140625" style="504"/>
    <col min="10005" max="10005" width="12.42578125" style="504" customWidth="1"/>
    <col min="10006" max="10006" width="9.140625" style="504"/>
    <col min="10007" max="10007" width="12" style="504" customWidth="1"/>
    <col min="10008" max="10240" width="9.140625" style="504"/>
    <col min="10241" max="10241" width="5" style="504" customWidth="1"/>
    <col min="10242" max="10242" width="20.85546875" style="504" customWidth="1"/>
    <col min="10243" max="10243" width="9" style="504" customWidth="1"/>
    <col min="10244" max="10244" width="8.140625" style="504" customWidth="1"/>
    <col min="10245" max="10245" width="8.5703125" style="504" bestFit="1" customWidth="1"/>
    <col min="10246" max="10248" width="8.28515625" style="504" customWidth="1"/>
    <col min="10249" max="10255" width="8.140625" style="504" customWidth="1"/>
    <col min="10256" max="10260" width="9.140625" style="504"/>
    <col min="10261" max="10261" width="12.42578125" style="504" customWidth="1"/>
    <col min="10262" max="10262" width="9.140625" style="504"/>
    <col min="10263" max="10263" width="12" style="504" customWidth="1"/>
    <col min="10264" max="10496" width="9.140625" style="504"/>
    <col min="10497" max="10497" width="5" style="504" customWidth="1"/>
    <col min="10498" max="10498" width="20.85546875" style="504" customWidth="1"/>
    <col min="10499" max="10499" width="9" style="504" customWidth="1"/>
    <col min="10500" max="10500" width="8.140625" style="504" customWidth="1"/>
    <col min="10501" max="10501" width="8.5703125" style="504" bestFit="1" customWidth="1"/>
    <col min="10502" max="10504" width="8.28515625" style="504" customWidth="1"/>
    <col min="10505" max="10511" width="8.140625" style="504" customWidth="1"/>
    <col min="10512" max="10516" width="9.140625" style="504"/>
    <col min="10517" max="10517" width="12.42578125" style="504" customWidth="1"/>
    <col min="10518" max="10518" width="9.140625" style="504"/>
    <col min="10519" max="10519" width="12" style="504" customWidth="1"/>
    <col min="10520" max="10752" width="9.140625" style="504"/>
    <col min="10753" max="10753" width="5" style="504" customWidth="1"/>
    <col min="10754" max="10754" width="20.85546875" style="504" customWidth="1"/>
    <col min="10755" max="10755" width="9" style="504" customWidth="1"/>
    <col min="10756" max="10756" width="8.140625" style="504" customWidth="1"/>
    <col min="10757" max="10757" width="8.5703125" style="504" bestFit="1" customWidth="1"/>
    <col min="10758" max="10760" width="8.28515625" style="504" customWidth="1"/>
    <col min="10761" max="10767" width="8.140625" style="504" customWidth="1"/>
    <col min="10768" max="10772" width="9.140625" style="504"/>
    <col min="10773" max="10773" width="12.42578125" style="504" customWidth="1"/>
    <col min="10774" max="10774" width="9.140625" style="504"/>
    <col min="10775" max="10775" width="12" style="504" customWidth="1"/>
    <col min="10776" max="11008" width="9.140625" style="504"/>
    <col min="11009" max="11009" width="5" style="504" customWidth="1"/>
    <col min="11010" max="11010" width="20.85546875" style="504" customWidth="1"/>
    <col min="11011" max="11011" width="9" style="504" customWidth="1"/>
    <col min="11012" max="11012" width="8.140625" style="504" customWidth="1"/>
    <col min="11013" max="11013" width="8.5703125" style="504" bestFit="1" customWidth="1"/>
    <col min="11014" max="11016" width="8.28515625" style="504" customWidth="1"/>
    <col min="11017" max="11023" width="8.140625" style="504" customWidth="1"/>
    <col min="11024" max="11028" width="9.140625" style="504"/>
    <col min="11029" max="11029" width="12.42578125" style="504" customWidth="1"/>
    <col min="11030" max="11030" width="9.140625" style="504"/>
    <col min="11031" max="11031" width="12" style="504" customWidth="1"/>
    <col min="11032" max="11264" width="9.140625" style="504"/>
    <col min="11265" max="11265" width="5" style="504" customWidth="1"/>
    <col min="11266" max="11266" width="20.85546875" style="504" customWidth="1"/>
    <col min="11267" max="11267" width="9" style="504" customWidth="1"/>
    <col min="11268" max="11268" width="8.140625" style="504" customWidth="1"/>
    <col min="11269" max="11269" width="8.5703125" style="504" bestFit="1" customWidth="1"/>
    <col min="11270" max="11272" width="8.28515625" style="504" customWidth="1"/>
    <col min="11273" max="11279" width="8.140625" style="504" customWidth="1"/>
    <col min="11280" max="11284" width="9.140625" style="504"/>
    <col min="11285" max="11285" width="12.42578125" style="504" customWidth="1"/>
    <col min="11286" max="11286" width="9.140625" style="504"/>
    <col min="11287" max="11287" width="12" style="504" customWidth="1"/>
    <col min="11288" max="11520" width="9.140625" style="504"/>
    <col min="11521" max="11521" width="5" style="504" customWidth="1"/>
    <col min="11522" max="11522" width="20.85546875" style="504" customWidth="1"/>
    <col min="11523" max="11523" width="9" style="504" customWidth="1"/>
    <col min="11524" max="11524" width="8.140625" style="504" customWidth="1"/>
    <col min="11525" max="11525" width="8.5703125" style="504" bestFit="1" customWidth="1"/>
    <col min="11526" max="11528" width="8.28515625" style="504" customWidth="1"/>
    <col min="11529" max="11535" width="8.140625" style="504" customWidth="1"/>
    <col min="11536" max="11540" width="9.140625" style="504"/>
    <col min="11541" max="11541" width="12.42578125" style="504" customWidth="1"/>
    <col min="11542" max="11542" width="9.140625" style="504"/>
    <col min="11543" max="11543" width="12" style="504" customWidth="1"/>
    <col min="11544" max="11776" width="9.140625" style="504"/>
    <col min="11777" max="11777" width="5" style="504" customWidth="1"/>
    <col min="11778" max="11778" width="20.85546875" style="504" customWidth="1"/>
    <col min="11779" max="11779" width="9" style="504" customWidth="1"/>
    <col min="11780" max="11780" width="8.140625" style="504" customWidth="1"/>
    <col min="11781" max="11781" width="8.5703125" style="504" bestFit="1" customWidth="1"/>
    <col min="11782" max="11784" width="8.28515625" style="504" customWidth="1"/>
    <col min="11785" max="11791" width="8.140625" style="504" customWidth="1"/>
    <col min="11792" max="11796" width="9.140625" style="504"/>
    <col min="11797" max="11797" width="12.42578125" style="504" customWidth="1"/>
    <col min="11798" max="11798" width="9.140625" style="504"/>
    <col min="11799" max="11799" width="12" style="504" customWidth="1"/>
    <col min="11800" max="12032" width="9.140625" style="504"/>
    <col min="12033" max="12033" width="5" style="504" customWidth="1"/>
    <col min="12034" max="12034" width="20.85546875" style="504" customWidth="1"/>
    <col min="12035" max="12035" width="9" style="504" customWidth="1"/>
    <col min="12036" max="12036" width="8.140625" style="504" customWidth="1"/>
    <col min="12037" max="12037" width="8.5703125" style="504" bestFit="1" customWidth="1"/>
    <col min="12038" max="12040" width="8.28515625" style="504" customWidth="1"/>
    <col min="12041" max="12047" width="8.140625" style="504" customWidth="1"/>
    <col min="12048" max="12052" width="9.140625" style="504"/>
    <col min="12053" max="12053" width="12.42578125" style="504" customWidth="1"/>
    <col min="12054" max="12054" width="9.140625" style="504"/>
    <col min="12055" max="12055" width="12" style="504" customWidth="1"/>
    <col min="12056" max="12288" width="9.140625" style="504"/>
    <col min="12289" max="12289" width="5" style="504" customWidth="1"/>
    <col min="12290" max="12290" width="20.85546875" style="504" customWidth="1"/>
    <col min="12291" max="12291" width="9" style="504" customWidth="1"/>
    <col min="12292" max="12292" width="8.140625" style="504" customWidth="1"/>
    <col min="12293" max="12293" width="8.5703125" style="504" bestFit="1" customWidth="1"/>
    <col min="12294" max="12296" width="8.28515625" style="504" customWidth="1"/>
    <col min="12297" max="12303" width="8.140625" style="504" customWidth="1"/>
    <col min="12304" max="12308" width="9.140625" style="504"/>
    <col min="12309" max="12309" width="12.42578125" style="504" customWidth="1"/>
    <col min="12310" max="12310" width="9.140625" style="504"/>
    <col min="12311" max="12311" width="12" style="504" customWidth="1"/>
    <col min="12312" max="12544" width="9.140625" style="504"/>
    <col min="12545" max="12545" width="5" style="504" customWidth="1"/>
    <col min="12546" max="12546" width="20.85546875" style="504" customWidth="1"/>
    <col min="12547" max="12547" width="9" style="504" customWidth="1"/>
    <col min="12548" max="12548" width="8.140625" style="504" customWidth="1"/>
    <col min="12549" max="12549" width="8.5703125" style="504" bestFit="1" customWidth="1"/>
    <col min="12550" max="12552" width="8.28515625" style="504" customWidth="1"/>
    <col min="12553" max="12559" width="8.140625" style="504" customWidth="1"/>
    <col min="12560" max="12564" width="9.140625" style="504"/>
    <col min="12565" max="12565" width="12.42578125" style="504" customWidth="1"/>
    <col min="12566" max="12566" width="9.140625" style="504"/>
    <col min="12567" max="12567" width="12" style="504" customWidth="1"/>
    <col min="12568" max="12800" width="9.140625" style="504"/>
    <col min="12801" max="12801" width="5" style="504" customWidth="1"/>
    <col min="12802" max="12802" width="20.85546875" style="504" customWidth="1"/>
    <col min="12803" max="12803" width="9" style="504" customWidth="1"/>
    <col min="12804" max="12804" width="8.140625" style="504" customWidth="1"/>
    <col min="12805" max="12805" width="8.5703125" style="504" bestFit="1" customWidth="1"/>
    <col min="12806" max="12808" width="8.28515625" style="504" customWidth="1"/>
    <col min="12809" max="12815" width="8.140625" style="504" customWidth="1"/>
    <col min="12816" max="12820" width="9.140625" style="504"/>
    <col min="12821" max="12821" width="12.42578125" style="504" customWidth="1"/>
    <col min="12822" max="12822" width="9.140625" style="504"/>
    <col min="12823" max="12823" width="12" style="504" customWidth="1"/>
    <col min="12824" max="13056" width="9.140625" style="504"/>
    <col min="13057" max="13057" width="5" style="504" customWidth="1"/>
    <col min="13058" max="13058" width="20.85546875" style="504" customWidth="1"/>
    <col min="13059" max="13059" width="9" style="504" customWidth="1"/>
    <col min="13060" max="13060" width="8.140625" style="504" customWidth="1"/>
    <col min="13061" max="13061" width="8.5703125" style="504" bestFit="1" customWidth="1"/>
    <col min="13062" max="13064" width="8.28515625" style="504" customWidth="1"/>
    <col min="13065" max="13071" width="8.140625" style="504" customWidth="1"/>
    <col min="13072" max="13076" width="9.140625" style="504"/>
    <col min="13077" max="13077" width="12.42578125" style="504" customWidth="1"/>
    <col min="13078" max="13078" width="9.140625" style="504"/>
    <col min="13079" max="13079" width="12" style="504" customWidth="1"/>
    <col min="13080" max="13312" width="9.140625" style="504"/>
    <col min="13313" max="13313" width="5" style="504" customWidth="1"/>
    <col min="13314" max="13314" width="20.85546875" style="504" customWidth="1"/>
    <col min="13315" max="13315" width="9" style="504" customWidth="1"/>
    <col min="13316" max="13316" width="8.140625" style="504" customWidth="1"/>
    <col min="13317" max="13317" width="8.5703125" style="504" bestFit="1" customWidth="1"/>
    <col min="13318" max="13320" width="8.28515625" style="504" customWidth="1"/>
    <col min="13321" max="13327" width="8.140625" style="504" customWidth="1"/>
    <col min="13328" max="13332" width="9.140625" style="504"/>
    <col min="13333" max="13333" width="12.42578125" style="504" customWidth="1"/>
    <col min="13334" max="13334" width="9.140625" style="504"/>
    <col min="13335" max="13335" width="12" style="504" customWidth="1"/>
    <col min="13336" max="13568" width="9.140625" style="504"/>
    <col min="13569" max="13569" width="5" style="504" customWidth="1"/>
    <col min="13570" max="13570" width="20.85546875" style="504" customWidth="1"/>
    <col min="13571" max="13571" width="9" style="504" customWidth="1"/>
    <col min="13572" max="13572" width="8.140625" style="504" customWidth="1"/>
    <col min="13573" max="13573" width="8.5703125" style="504" bestFit="1" customWidth="1"/>
    <col min="13574" max="13576" width="8.28515625" style="504" customWidth="1"/>
    <col min="13577" max="13583" width="8.140625" style="504" customWidth="1"/>
    <col min="13584" max="13588" width="9.140625" style="504"/>
    <col min="13589" max="13589" width="12.42578125" style="504" customWidth="1"/>
    <col min="13590" max="13590" width="9.140625" style="504"/>
    <col min="13591" max="13591" width="12" style="504" customWidth="1"/>
    <col min="13592" max="13824" width="9.140625" style="504"/>
    <col min="13825" max="13825" width="5" style="504" customWidth="1"/>
    <col min="13826" max="13826" width="20.85546875" style="504" customWidth="1"/>
    <col min="13827" max="13827" width="9" style="504" customWidth="1"/>
    <col min="13828" max="13828" width="8.140625" style="504" customWidth="1"/>
    <col min="13829" max="13829" width="8.5703125" style="504" bestFit="1" customWidth="1"/>
    <col min="13830" max="13832" width="8.28515625" style="504" customWidth="1"/>
    <col min="13833" max="13839" width="8.140625" style="504" customWidth="1"/>
    <col min="13840" max="13844" width="9.140625" style="504"/>
    <col min="13845" max="13845" width="12.42578125" style="504" customWidth="1"/>
    <col min="13846" max="13846" width="9.140625" style="504"/>
    <col min="13847" max="13847" width="12" style="504" customWidth="1"/>
    <col min="13848" max="14080" width="9.140625" style="504"/>
    <col min="14081" max="14081" width="5" style="504" customWidth="1"/>
    <col min="14082" max="14082" width="20.85546875" style="504" customWidth="1"/>
    <col min="14083" max="14083" width="9" style="504" customWidth="1"/>
    <col min="14084" max="14084" width="8.140625" style="504" customWidth="1"/>
    <col min="14085" max="14085" width="8.5703125" style="504" bestFit="1" customWidth="1"/>
    <col min="14086" max="14088" width="8.28515625" style="504" customWidth="1"/>
    <col min="14089" max="14095" width="8.140625" style="504" customWidth="1"/>
    <col min="14096" max="14100" width="9.140625" style="504"/>
    <col min="14101" max="14101" width="12.42578125" style="504" customWidth="1"/>
    <col min="14102" max="14102" width="9.140625" style="504"/>
    <col min="14103" max="14103" width="12" style="504" customWidth="1"/>
    <col min="14104" max="14336" width="9.140625" style="504"/>
    <col min="14337" max="14337" width="5" style="504" customWidth="1"/>
    <col min="14338" max="14338" width="20.85546875" style="504" customWidth="1"/>
    <col min="14339" max="14339" width="9" style="504" customWidth="1"/>
    <col min="14340" max="14340" width="8.140625" style="504" customWidth="1"/>
    <col min="14341" max="14341" width="8.5703125" style="504" bestFit="1" customWidth="1"/>
    <col min="14342" max="14344" width="8.28515625" style="504" customWidth="1"/>
    <col min="14345" max="14351" width="8.140625" style="504" customWidth="1"/>
    <col min="14352" max="14356" width="9.140625" style="504"/>
    <col min="14357" max="14357" width="12.42578125" style="504" customWidth="1"/>
    <col min="14358" max="14358" width="9.140625" style="504"/>
    <col min="14359" max="14359" width="12" style="504" customWidth="1"/>
    <col min="14360" max="14592" width="9.140625" style="504"/>
    <col min="14593" max="14593" width="5" style="504" customWidth="1"/>
    <col min="14594" max="14594" width="20.85546875" style="504" customWidth="1"/>
    <col min="14595" max="14595" width="9" style="504" customWidth="1"/>
    <col min="14596" max="14596" width="8.140625" style="504" customWidth="1"/>
    <col min="14597" max="14597" width="8.5703125" style="504" bestFit="1" customWidth="1"/>
    <col min="14598" max="14600" width="8.28515625" style="504" customWidth="1"/>
    <col min="14601" max="14607" width="8.140625" style="504" customWidth="1"/>
    <col min="14608" max="14612" width="9.140625" style="504"/>
    <col min="14613" max="14613" width="12.42578125" style="504" customWidth="1"/>
    <col min="14614" max="14614" width="9.140625" style="504"/>
    <col min="14615" max="14615" width="12" style="504" customWidth="1"/>
    <col min="14616" max="14848" width="9.140625" style="504"/>
    <col min="14849" max="14849" width="5" style="504" customWidth="1"/>
    <col min="14850" max="14850" width="20.85546875" style="504" customWidth="1"/>
    <col min="14851" max="14851" width="9" style="504" customWidth="1"/>
    <col min="14852" max="14852" width="8.140625" style="504" customWidth="1"/>
    <col min="14853" max="14853" width="8.5703125" style="504" bestFit="1" customWidth="1"/>
    <col min="14854" max="14856" width="8.28515625" style="504" customWidth="1"/>
    <col min="14857" max="14863" width="8.140625" style="504" customWidth="1"/>
    <col min="14864" max="14868" width="9.140625" style="504"/>
    <col min="14869" max="14869" width="12.42578125" style="504" customWidth="1"/>
    <col min="14870" max="14870" width="9.140625" style="504"/>
    <col min="14871" max="14871" width="12" style="504" customWidth="1"/>
    <col min="14872" max="15104" width="9.140625" style="504"/>
    <col min="15105" max="15105" width="5" style="504" customWidth="1"/>
    <col min="15106" max="15106" width="20.85546875" style="504" customWidth="1"/>
    <col min="15107" max="15107" width="9" style="504" customWidth="1"/>
    <col min="15108" max="15108" width="8.140625" style="504" customWidth="1"/>
    <col min="15109" max="15109" width="8.5703125" style="504" bestFit="1" customWidth="1"/>
    <col min="15110" max="15112" width="8.28515625" style="504" customWidth="1"/>
    <col min="15113" max="15119" width="8.140625" style="504" customWidth="1"/>
    <col min="15120" max="15124" width="9.140625" style="504"/>
    <col min="15125" max="15125" width="12.42578125" style="504" customWidth="1"/>
    <col min="15126" max="15126" width="9.140625" style="504"/>
    <col min="15127" max="15127" width="12" style="504" customWidth="1"/>
    <col min="15128" max="15360" width="9.140625" style="504"/>
    <col min="15361" max="15361" width="5" style="504" customWidth="1"/>
    <col min="15362" max="15362" width="20.85546875" style="504" customWidth="1"/>
    <col min="15363" max="15363" width="9" style="504" customWidth="1"/>
    <col min="15364" max="15364" width="8.140625" style="504" customWidth="1"/>
    <col min="15365" max="15365" width="8.5703125" style="504" bestFit="1" customWidth="1"/>
    <col min="15366" max="15368" width="8.28515625" style="504" customWidth="1"/>
    <col min="15369" max="15375" width="8.140625" style="504" customWidth="1"/>
    <col min="15376" max="15380" width="9.140625" style="504"/>
    <col min="15381" max="15381" width="12.42578125" style="504" customWidth="1"/>
    <col min="15382" max="15382" width="9.140625" style="504"/>
    <col min="15383" max="15383" width="12" style="504" customWidth="1"/>
    <col min="15384" max="15616" width="9.140625" style="504"/>
    <col min="15617" max="15617" width="5" style="504" customWidth="1"/>
    <col min="15618" max="15618" width="20.85546875" style="504" customWidth="1"/>
    <col min="15619" max="15619" width="9" style="504" customWidth="1"/>
    <col min="15620" max="15620" width="8.140625" style="504" customWidth="1"/>
    <col min="15621" max="15621" width="8.5703125" style="504" bestFit="1" customWidth="1"/>
    <col min="15622" max="15624" width="8.28515625" style="504" customWidth="1"/>
    <col min="15625" max="15631" width="8.140625" style="504" customWidth="1"/>
    <col min="15632" max="15636" width="9.140625" style="504"/>
    <col min="15637" max="15637" width="12.42578125" style="504" customWidth="1"/>
    <col min="15638" max="15638" width="9.140625" style="504"/>
    <col min="15639" max="15639" width="12" style="504" customWidth="1"/>
    <col min="15640" max="15872" width="9.140625" style="504"/>
    <col min="15873" max="15873" width="5" style="504" customWidth="1"/>
    <col min="15874" max="15874" width="20.85546875" style="504" customWidth="1"/>
    <col min="15875" max="15875" width="9" style="504" customWidth="1"/>
    <col min="15876" max="15876" width="8.140625" style="504" customWidth="1"/>
    <col min="15877" max="15877" width="8.5703125" style="504" bestFit="1" customWidth="1"/>
    <col min="15878" max="15880" width="8.28515625" style="504" customWidth="1"/>
    <col min="15881" max="15887" width="8.140625" style="504" customWidth="1"/>
    <col min="15888" max="15892" width="9.140625" style="504"/>
    <col min="15893" max="15893" width="12.42578125" style="504" customWidth="1"/>
    <col min="15894" max="15894" width="9.140625" style="504"/>
    <col min="15895" max="15895" width="12" style="504" customWidth="1"/>
    <col min="15896" max="16128" width="9.140625" style="504"/>
    <col min="16129" max="16129" width="5" style="504" customWidth="1"/>
    <col min="16130" max="16130" width="20.85546875" style="504" customWidth="1"/>
    <col min="16131" max="16131" width="9" style="504" customWidth="1"/>
    <col min="16132" max="16132" width="8.140625" style="504" customWidth="1"/>
    <col min="16133" max="16133" width="8.5703125" style="504" bestFit="1" customWidth="1"/>
    <col min="16134" max="16136" width="8.28515625" style="504" customWidth="1"/>
    <col min="16137" max="16143" width="8.140625" style="504" customWidth="1"/>
    <col min="16144" max="16148" width="9.140625" style="504"/>
    <col min="16149" max="16149" width="12.42578125" style="504" customWidth="1"/>
    <col min="16150" max="16150" width="9.140625" style="504"/>
    <col min="16151" max="16151" width="12" style="504" customWidth="1"/>
    <col min="16152" max="16384" width="9.140625" style="504"/>
  </cols>
  <sheetData>
    <row r="1" spans="1:17" s="490" customFormat="1" x14ac:dyDescent="0.2">
      <c r="A1" s="1045" t="s">
        <v>449</v>
      </c>
      <c r="B1" s="1039"/>
      <c r="C1" s="1039"/>
      <c r="D1" s="1038"/>
      <c r="E1" s="1039"/>
      <c r="F1" s="1039"/>
      <c r="G1" s="1045" t="s">
        <v>102</v>
      </c>
      <c r="H1" s="1038"/>
      <c r="I1" s="1038" t="s">
        <v>593</v>
      </c>
      <c r="J1" s="1039"/>
      <c r="K1" s="1039"/>
      <c r="L1" s="1040"/>
      <c r="M1" s="1040"/>
      <c r="N1" s="1040"/>
      <c r="O1" s="1040"/>
    </row>
    <row r="2" spans="1:17" s="490" customFormat="1" x14ac:dyDescent="0.2">
      <c r="A2" s="1045" t="s">
        <v>103</v>
      </c>
      <c r="B2" s="1039"/>
      <c r="C2" s="1039"/>
      <c r="D2" s="1038"/>
      <c r="E2" s="1039"/>
      <c r="F2" s="1039"/>
      <c r="G2" s="1045" t="s">
        <v>104</v>
      </c>
      <c r="H2" s="1038"/>
      <c r="I2" s="1038" t="s">
        <v>105</v>
      </c>
      <c r="J2" s="1039"/>
      <c r="K2" s="1039"/>
      <c r="L2" s="1040"/>
      <c r="M2" s="1040"/>
      <c r="N2" s="1040"/>
      <c r="O2" s="1040"/>
    </row>
    <row r="3" spans="1:17" s="490" customFormat="1" x14ac:dyDescent="0.2">
      <c r="A3" s="1045" t="s">
        <v>106</v>
      </c>
      <c r="B3" s="1039"/>
      <c r="C3" s="1039"/>
      <c r="D3" s="1046" t="s">
        <v>657</v>
      </c>
      <c r="E3" s="1039"/>
      <c r="F3" s="1039"/>
      <c r="G3" s="1045" t="s">
        <v>107</v>
      </c>
      <c r="H3" s="1038"/>
      <c r="I3" s="1038" t="s">
        <v>108</v>
      </c>
      <c r="J3" s="1039"/>
      <c r="K3" s="1039"/>
      <c r="L3" s="1040"/>
      <c r="M3" s="1040"/>
      <c r="N3" s="1040"/>
      <c r="O3" s="1040"/>
    </row>
    <row r="4" spans="1:17" s="490" customFormat="1" x14ac:dyDescent="0.2">
      <c r="A4" s="1045" t="s">
        <v>658</v>
      </c>
      <c r="B4" s="1039"/>
      <c r="C4" s="1039"/>
      <c r="D4" s="1038" t="s">
        <v>659</v>
      </c>
      <c r="E4" s="1039"/>
      <c r="F4" s="1039"/>
      <c r="G4" s="1045" t="s">
        <v>110</v>
      </c>
      <c r="H4" s="1038"/>
      <c r="I4" s="1038" t="s">
        <v>645</v>
      </c>
      <c r="J4" s="1039"/>
      <c r="K4" s="1039"/>
      <c r="L4" s="1040"/>
      <c r="M4" s="1040"/>
      <c r="N4" s="1040"/>
      <c r="O4" s="1040"/>
    </row>
    <row r="5" spans="1:17" s="490" customFormat="1" x14ac:dyDescent="0.2">
      <c r="A5" s="1045" t="s">
        <v>112</v>
      </c>
      <c r="B5" s="1039"/>
      <c r="C5" s="1039"/>
      <c r="D5" s="1038"/>
      <c r="E5" s="1039"/>
      <c r="F5" s="1039"/>
      <c r="G5" s="1045"/>
      <c r="H5" s="1039"/>
      <c r="I5" s="1038" t="s">
        <v>113</v>
      </c>
      <c r="J5" s="1039"/>
      <c r="K5" s="1039"/>
      <c r="L5" s="1040"/>
      <c r="M5" s="1040"/>
      <c r="N5" s="1040"/>
      <c r="O5" s="1040"/>
    </row>
    <row r="6" spans="1:17" s="490" customFormat="1" x14ac:dyDescent="0.2">
      <c r="A6" s="1041" t="s">
        <v>114</v>
      </c>
      <c r="B6" s="1042"/>
      <c r="C6" s="1042"/>
      <c r="D6" s="1039" t="s">
        <v>594</v>
      </c>
      <c r="E6" s="1039"/>
      <c r="F6" s="1039"/>
      <c r="G6" s="1041" t="s">
        <v>115</v>
      </c>
      <c r="H6" s="1041"/>
      <c r="I6" s="491" t="s">
        <v>116</v>
      </c>
      <c r="J6" s="1043"/>
      <c r="K6" s="1043"/>
      <c r="L6" s="1043"/>
      <c r="M6" s="1043"/>
      <c r="N6" s="1043"/>
      <c r="O6" s="1044"/>
    </row>
    <row r="7" spans="1:17" s="490" customFormat="1" ht="13.5" thickBot="1" x14ac:dyDescent="0.25">
      <c r="A7" s="492"/>
      <c r="B7" s="493"/>
      <c r="C7" s="494"/>
      <c r="D7" s="495"/>
      <c r="E7" s="495"/>
      <c r="F7" s="495"/>
      <c r="G7" s="495"/>
      <c r="H7" s="495"/>
      <c r="I7" s="495"/>
      <c r="J7" s="496"/>
      <c r="K7" s="497"/>
      <c r="L7" s="1030" t="s">
        <v>223</v>
      </c>
      <c r="M7" s="1030"/>
      <c r="N7" s="1030"/>
      <c r="O7" s="1030"/>
    </row>
    <row r="8" spans="1:17" s="499" customFormat="1" x14ac:dyDescent="0.2">
      <c r="A8" s="1031" t="str">
        <f>I1</f>
        <v>Mr. Nilesh A Parab</v>
      </c>
      <c r="B8" s="1032"/>
      <c r="C8" s="334">
        <v>43160</v>
      </c>
      <c r="D8" s="334">
        <v>43191</v>
      </c>
      <c r="E8" s="334">
        <v>43221</v>
      </c>
      <c r="F8" s="334">
        <v>43252</v>
      </c>
      <c r="G8" s="334">
        <v>43282</v>
      </c>
      <c r="H8" s="334">
        <v>43313</v>
      </c>
      <c r="I8" s="334">
        <v>43344</v>
      </c>
      <c r="J8" s="334">
        <v>43374</v>
      </c>
      <c r="K8" s="334">
        <v>43405</v>
      </c>
      <c r="L8" s="334">
        <v>43435</v>
      </c>
      <c r="M8" s="334">
        <v>43466</v>
      </c>
      <c r="N8" s="334">
        <v>43497</v>
      </c>
      <c r="O8" s="498" t="s">
        <v>117</v>
      </c>
      <c r="Q8" s="499" t="s">
        <v>116</v>
      </c>
    </row>
    <row r="9" spans="1:17" ht="15" x14ac:dyDescent="0.2">
      <c r="A9" s="500"/>
      <c r="B9" s="501" t="s">
        <v>118</v>
      </c>
      <c r="C9" s="502">
        <v>50500</v>
      </c>
      <c r="D9" s="502">
        <f t="shared" ref="D9:G24" si="0">+C9</f>
        <v>50500</v>
      </c>
      <c r="E9" s="502">
        <f t="shared" si="0"/>
        <v>50500</v>
      </c>
      <c r="F9" s="502">
        <f t="shared" si="0"/>
        <v>50500</v>
      </c>
      <c r="G9" s="502">
        <v>52000</v>
      </c>
      <c r="H9" s="502">
        <v>52000</v>
      </c>
      <c r="I9" s="502">
        <v>52000</v>
      </c>
      <c r="J9" s="502">
        <v>52000</v>
      </c>
      <c r="K9" s="502">
        <v>52000</v>
      </c>
      <c r="L9" s="502">
        <v>52000</v>
      </c>
      <c r="M9" s="502">
        <v>52000</v>
      </c>
      <c r="N9" s="502">
        <v>52000</v>
      </c>
      <c r="O9" s="503">
        <f t="shared" ref="O9:O52" si="1">SUM(C9:N9)</f>
        <v>618000</v>
      </c>
      <c r="Q9" s="504" t="s">
        <v>222</v>
      </c>
    </row>
    <row r="10" spans="1:17" ht="15" customHeight="1" x14ac:dyDescent="0.2">
      <c r="A10" s="500"/>
      <c r="B10" s="501" t="s">
        <v>119</v>
      </c>
      <c r="C10" s="505">
        <v>0</v>
      </c>
      <c r="D10" s="505">
        <f t="shared" si="0"/>
        <v>0</v>
      </c>
      <c r="E10" s="505">
        <f t="shared" si="0"/>
        <v>0</v>
      </c>
      <c r="F10" s="505">
        <f t="shared" si="0"/>
        <v>0</v>
      </c>
      <c r="G10" s="505">
        <f>+F10</f>
        <v>0</v>
      </c>
      <c r="H10" s="505">
        <v>0</v>
      </c>
      <c r="I10" s="505">
        <f t="shared" ref="I10:N18" si="2">+H10</f>
        <v>0</v>
      </c>
      <c r="J10" s="505">
        <f t="shared" si="2"/>
        <v>0</v>
      </c>
      <c r="K10" s="505">
        <f t="shared" si="2"/>
        <v>0</v>
      </c>
      <c r="L10" s="505">
        <f t="shared" si="2"/>
        <v>0</v>
      </c>
      <c r="M10" s="505">
        <f t="shared" si="2"/>
        <v>0</v>
      </c>
      <c r="N10" s="505">
        <f t="shared" si="2"/>
        <v>0</v>
      </c>
      <c r="O10" s="506">
        <f t="shared" si="1"/>
        <v>0</v>
      </c>
    </row>
    <row r="11" spans="1:17" ht="15" x14ac:dyDescent="0.2">
      <c r="A11" s="500"/>
      <c r="B11" s="501" t="s">
        <v>120</v>
      </c>
      <c r="C11" s="505">
        <v>2525</v>
      </c>
      <c r="D11" s="505">
        <v>3535</v>
      </c>
      <c r="E11" s="505">
        <f t="shared" si="0"/>
        <v>3535</v>
      </c>
      <c r="F11" s="505">
        <f t="shared" si="0"/>
        <v>3535</v>
      </c>
      <c r="G11" s="505">
        <v>3640</v>
      </c>
      <c r="H11" s="505">
        <v>3640</v>
      </c>
      <c r="I11" s="505">
        <v>3640</v>
      </c>
      <c r="J11" s="505">
        <v>4680</v>
      </c>
      <c r="K11" s="505">
        <f t="shared" si="2"/>
        <v>4680</v>
      </c>
      <c r="L11" s="505">
        <f t="shared" si="2"/>
        <v>4680</v>
      </c>
      <c r="M11" s="505">
        <f t="shared" si="2"/>
        <v>4680</v>
      </c>
      <c r="N11" s="505">
        <f t="shared" si="2"/>
        <v>4680</v>
      </c>
      <c r="O11" s="506">
        <f t="shared" si="1"/>
        <v>47450</v>
      </c>
    </row>
    <row r="12" spans="1:17" ht="15" hidden="1" customHeight="1" x14ac:dyDescent="0.2">
      <c r="A12" s="500"/>
      <c r="B12" s="501" t="s">
        <v>121</v>
      </c>
      <c r="C12" s="505">
        <v>0</v>
      </c>
      <c r="D12" s="505">
        <f>+C12</f>
        <v>0</v>
      </c>
      <c r="E12" s="505">
        <f t="shared" si="0"/>
        <v>0</v>
      </c>
      <c r="F12" s="505">
        <f t="shared" si="0"/>
        <v>0</v>
      </c>
      <c r="G12" s="505">
        <f t="shared" si="0"/>
        <v>0</v>
      </c>
      <c r="H12" s="505">
        <v>0</v>
      </c>
      <c r="I12" s="505">
        <f>+H12</f>
        <v>0</v>
      </c>
      <c r="J12" s="505">
        <f>+I12</f>
        <v>0</v>
      </c>
      <c r="K12" s="505">
        <f t="shared" si="2"/>
        <v>0</v>
      </c>
      <c r="L12" s="505">
        <f t="shared" si="2"/>
        <v>0</v>
      </c>
      <c r="M12" s="505">
        <f t="shared" si="2"/>
        <v>0</v>
      </c>
      <c r="N12" s="505">
        <f t="shared" si="2"/>
        <v>0</v>
      </c>
      <c r="O12" s="506">
        <f t="shared" si="1"/>
        <v>0</v>
      </c>
    </row>
    <row r="13" spans="1:17" ht="15" hidden="1" customHeight="1" x14ac:dyDescent="0.2">
      <c r="A13" s="500"/>
      <c r="B13" s="501" t="s">
        <v>122</v>
      </c>
      <c r="C13" s="505">
        <v>0</v>
      </c>
      <c r="D13" s="505">
        <f>+C13</f>
        <v>0</v>
      </c>
      <c r="E13" s="505">
        <f t="shared" si="0"/>
        <v>0</v>
      </c>
      <c r="F13" s="505">
        <f t="shared" si="0"/>
        <v>0</v>
      </c>
      <c r="G13" s="505">
        <f t="shared" si="0"/>
        <v>0</v>
      </c>
      <c r="H13" s="505">
        <v>0</v>
      </c>
      <c r="I13" s="505">
        <f>+H13</f>
        <v>0</v>
      </c>
      <c r="J13" s="505">
        <f>+I13</f>
        <v>0</v>
      </c>
      <c r="K13" s="505">
        <f t="shared" si="2"/>
        <v>0</v>
      </c>
      <c r="L13" s="505">
        <f t="shared" si="2"/>
        <v>0</v>
      </c>
      <c r="M13" s="505">
        <f t="shared" si="2"/>
        <v>0</v>
      </c>
      <c r="N13" s="505">
        <f t="shared" si="2"/>
        <v>0</v>
      </c>
      <c r="O13" s="506">
        <f t="shared" si="1"/>
        <v>0</v>
      </c>
    </row>
    <row r="14" spans="1:17" ht="15" customHeight="1" x14ac:dyDescent="0.2">
      <c r="A14" s="500"/>
      <c r="B14" s="501" t="s">
        <v>123</v>
      </c>
      <c r="C14" s="505">
        <v>3780</v>
      </c>
      <c r="D14" s="505">
        <v>3752</v>
      </c>
      <c r="E14" s="505">
        <f t="shared" si="0"/>
        <v>3752</v>
      </c>
      <c r="F14" s="505">
        <f t="shared" si="0"/>
        <v>3752</v>
      </c>
      <c r="G14" s="505">
        <f t="shared" si="0"/>
        <v>3752</v>
      </c>
      <c r="H14" s="505">
        <f>+G14</f>
        <v>3752</v>
      </c>
      <c r="I14" s="505">
        <f>+H14</f>
        <v>3752</v>
      </c>
      <c r="J14" s="505">
        <v>3924</v>
      </c>
      <c r="K14" s="505">
        <f t="shared" si="2"/>
        <v>3924</v>
      </c>
      <c r="L14" s="505">
        <f t="shared" si="2"/>
        <v>3924</v>
      </c>
      <c r="M14" s="505">
        <f t="shared" si="2"/>
        <v>3924</v>
      </c>
      <c r="N14" s="505">
        <f t="shared" si="2"/>
        <v>3924</v>
      </c>
      <c r="O14" s="506">
        <f t="shared" si="1"/>
        <v>45912</v>
      </c>
    </row>
    <row r="15" spans="1:17" ht="15" hidden="1" customHeight="1" x14ac:dyDescent="0.2">
      <c r="A15" s="500"/>
      <c r="B15" s="501" t="s">
        <v>124</v>
      </c>
      <c r="C15" s="505">
        <v>0</v>
      </c>
      <c r="D15" s="505">
        <f t="shared" ref="D15:G33" si="3">+C15</f>
        <v>0</v>
      </c>
      <c r="E15" s="505">
        <f t="shared" si="0"/>
        <v>0</v>
      </c>
      <c r="F15" s="505">
        <f t="shared" si="0"/>
        <v>0</v>
      </c>
      <c r="G15" s="505">
        <f t="shared" si="0"/>
        <v>0</v>
      </c>
      <c r="H15" s="505">
        <v>0</v>
      </c>
      <c r="I15" s="505">
        <f t="shared" ref="I15:J18" si="4">+H15</f>
        <v>0</v>
      </c>
      <c r="J15" s="505">
        <f t="shared" si="4"/>
        <v>0</v>
      </c>
      <c r="K15" s="505">
        <f t="shared" si="2"/>
        <v>0</v>
      </c>
      <c r="L15" s="505">
        <f t="shared" si="2"/>
        <v>0</v>
      </c>
      <c r="M15" s="505">
        <f t="shared" si="2"/>
        <v>0</v>
      </c>
      <c r="N15" s="505">
        <f t="shared" si="2"/>
        <v>0</v>
      </c>
      <c r="O15" s="506">
        <f t="shared" si="1"/>
        <v>0</v>
      </c>
    </row>
    <row r="16" spans="1:17" ht="15" hidden="1" customHeight="1" x14ac:dyDescent="0.2">
      <c r="A16" s="500"/>
      <c r="B16" s="501" t="s">
        <v>405</v>
      </c>
      <c r="C16" s="505">
        <v>0</v>
      </c>
      <c r="D16" s="505">
        <f t="shared" si="3"/>
        <v>0</v>
      </c>
      <c r="E16" s="505">
        <f t="shared" si="0"/>
        <v>0</v>
      </c>
      <c r="F16" s="505">
        <f t="shared" si="0"/>
        <v>0</v>
      </c>
      <c r="G16" s="505">
        <f t="shared" si="0"/>
        <v>0</v>
      </c>
      <c r="H16" s="505">
        <v>0</v>
      </c>
      <c r="I16" s="505">
        <f t="shared" si="4"/>
        <v>0</v>
      </c>
      <c r="J16" s="505">
        <f t="shared" si="4"/>
        <v>0</v>
      </c>
      <c r="K16" s="505">
        <f t="shared" si="2"/>
        <v>0</v>
      </c>
      <c r="L16" s="505">
        <f t="shared" si="2"/>
        <v>0</v>
      </c>
      <c r="M16" s="505">
        <f t="shared" si="2"/>
        <v>0</v>
      </c>
      <c r="N16" s="505">
        <f t="shared" si="2"/>
        <v>0</v>
      </c>
      <c r="O16" s="506">
        <f t="shared" si="1"/>
        <v>0</v>
      </c>
    </row>
    <row r="17" spans="1:15" ht="15" hidden="1" customHeight="1" x14ac:dyDescent="0.2">
      <c r="A17" s="500"/>
      <c r="B17" s="501" t="s">
        <v>126</v>
      </c>
      <c r="C17" s="505">
        <v>0</v>
      </c>
      <c r="D17" s="505">
        <f t="shared" si="3"/>
        <v>0</v>
      </c>
      <c r="E17" s="505">
        <f t="shared" si="0"/>
        <v>0</v>
      </c>
      <c r="F17" s="505">
        <f t="shared" si="0"/>
        <v>0</v>
      </c>
      <c r="G17" s="505">
        <f t="shared" si="0"/>
        <v>0</v>
      </c>
      <c r="H17" s="505">
        <v>0</v>
      </c>
      <c r="I17" s="505">
        <f t="shared" si="4"/>
        <v>0</v>
      </c>
      <c r="J17" s="505">
        <f t="shared" si="4"/>
        <v>0</v>
      </c>
      <c r="K17" s="505">
        <f t="shared" si="2"/>
        <v>0</v>
      </c>
      <c r="L17" s="505">
        <f t="shared" si="2"/>
        <v>0</v>
      </c>
      <c r="M17" s="505">
        <f t="shared" si="2"/>
        <v>0</v>
      </c>
      <c r="N17" s="505">
        <f t="shared" si="2"/>
        <v>0</v>
      </c>
      <c r="O17" s="506">
        <f t="shared" si="1"/>
        <v>0</v>
      </c>
    </row>
    <row r="18" spans="1:15" ht="15" customHeight="1" x14ac:dyDescent="0.2">
      <c r="A18" s="500"/>
      <c r="B18" s="501" t="s">
        <v>224</v>
      </c>
      <c r="C18" s="505">
        <v>0</v>
      </c>
      <c r="D18" s="505">
        <f t="shared" si="3"/>
        <v>0</v>
      </c>
      <c r="E18" s="505">
        <f t="shared" si="0"/>
        <v>0</v>
      </c>
      <c r="F18" s="505">
        <f t="shared" si="0"/>
        <v>0</v>
      </c>
      <c r="G18" s="505">
        <f t="shared" si="0"/>
        <v>0</v>
      </c>
      <c r="H18" s="505">
        <v>0</v>
      </c>
      <c r="I18" s="505">
        <f t="shared" si="4"/>
        <v>0</v>
      </c>
      <c r="J18" s="505">
        <f t="shared" si="4"/>
        <v>0</v>
      </c>
      <c r="K18" s="505">
        <f t="shared" si="2"/>
        <v>0</v>
      </c>
      <c r="L18" s="505">
        <f t="shared" si="2"/>
        <v>0</v>
      </c>
      <c r="M18" s="505">
        <f t="shared" si="2"/>
        <v>0</v>
      </c>
      <c r="N18" s="505">
        <f t="shared" si="2"/>
        <v>0</v>
      </c>
      <c r="O18" s="506">
        <f t="shared" si="1"/>
        <v>0</v>
      </c>
    </row>
    <row r="19" spans="1:15" ht="15" customHeight="1" x14ac:dyDescent="0.2">
      <c r="A19" s="500"/>
      <c r="B19" s="501" t="s">
        <v>128</v>
      </c>
      <c r="C19" s="505">
        <v>12120</v>
      </c>
      <c r="D19" s="505">
        <f t="shared" si="3"/>
        <v>12120</v>
      </c>
      <c r="E19" s="505">
        <f t="shared" si="0"/>
        <v>12120</v>
      </c>
      <c r="F19" s="505">
        <f t="shared" si="0"/>
        <v>12120</v>
      </c>
      <c r="G19" s="505">
        <v>12480</v>
      </c>
      <c r="H19" s="505">
        <v>12480</v>
      </c>
      <c r="I19" s="505">
        <v>12480</v>
      </c>
      <c r="J19" s="505">
        <v>12480</v>
      </c>
      <c r="K19" s="505">
        <v>12480</v>
      </c>
      <c r="L19" s="505">
        <v>12480</v>
      </c>
      <c r="M19" s="505">
        <v>12480</v>
      </c>
      <c r="N19" s="505">
        <v>12480</v>
      </c>
      <c r="O19" s="506">
        <f t="shared" si="1"/>
        <v>148320</v>
      </c>
    </row>
    <row r="20" spans="1:15" ht="15" customHeight="1" x14ac:dyDescent="0.2">
      <c r="A20" s="500"/>
      <c r="B20" s="501" t="s">
        <v>280</v>
      </c>
      <c r="C20" s="505">
        <v>0</v>
      </c>
      <c r="D20" s="505">
        <f t="shared" si="3"/>
        <v>0</v>
      </c>
      <c r="E20" s="505">
        <f t="shared" si="0"/>
        <v>0</v>
      </c>
      <c r="F20" s="505">
        <f t="shared" si="0"/>
        <v>0</v>
      </c>
      <c r="G20" s="505">
        <f t="shared" si="0"/>
        <v>0</v>
      </c>
      <c r="H20" s="505">
        <v>0</v>
      </c>
      <c r="I20" s="505">
        <f t="shared" ref="I20:N35" si="5">+H20</f>
        <v>0</v>
      </c>
      <c r="J20" s="505">
        <f t="shared" si="5"/>
        <v>0</v>
      </c>
      <c r="K20" s="505">
        <f t="shared" si="5"/>
        <v>0</v>
      </c>
      <c r="L20" s="505">
        <f t="shared" si="5"/>
        <v>0</v>
      </c>
      <c r="M20" s="505">
        <f t="shared" si="5"/>
        <v>0</v>
      </c>
      <c r="N20" s="505">
        <f t="shared" si="5"/>
        <v>0</v>
      </c>
      <c r="O20" s="506">
        <f t="shared" si="1"/>
        <v>0</v>
      </c>
    </row>
    <row r="21" spans="1:15" ht="15" customHeight="1" x14ac:dyDescent="0.2">
      <c r="A21" s="500"/>
      <c r="B21" s="501" t="s">
        <v>129</v>
      </c>
      <c r="C21" s="505">
        <v>0</v>
      </c>
      <c r="D21" s="505">
        <f t="shared" si="3"/>
        <v>0</v>
      </c>
      <c r="E21" s="505">
        <f t="shared" si="0"/>
        <v>0</v>
      </c>
      <c r="F21" s="505">
        <f t="shared" si="0"/>
        <v>0</v>
      </c>
      <c r="G21" s="505">
        <f t="shared" si="0"/>
        <v>0</v>
      </c>
      <c r="H21" s="505">
        <v>0</v>
      </c>
      <c r="I21" s="505">
        <f t="shared" si="5"/>
        <v>0</v>
      </c>
      <c r="J21" s="505">
        <f t="shared" si="5"/>
        <v>0</v>
      </c>
      <c r="K21" s="505">
        <f t="shared" si="5"/>
        <v>0</v>
      </c>
      <c r="L21" s="505">
        <f t="shared" si="5"/>
        <v>0</v>
      </c>
      <c r="M21" s="505">
        <f t="shared" si="5"/>
        <v>0</v>
      </c>
      <c r="N21" s="505">
        <f t="shared" si="5"/>
        <v>0</v>
      </c>
      <c r="O21" s="506">
        <f t="shared" si="1"/>
        <v>0</v>
      </c>
    </row>
    <row r="22" spans="1:15" ht="15" hidden="1" customHeight="1" x14ac:dyDescent="0.2">
      <c r="A22" s="1033" t="s">
        <v>130</v>
      </c>
      <c r="B22" s="507" t="s">
        <v>131</v>
      </c>
      <c r="C22" s="505">
        <v>0</v>
      </c>
      <c r="D22" s="505">
        <f t="shared" si="3"/>
        <v>0</v>
      </c>
      <c r="E22" s="505">
        <f t="shared" si="0"/>
        <v>0</v>
      </c>
      <c r="F22" s="505">
        <f t="shared" si="0"/>
        <v>0</v>
      </c>
      <c r="G22" s="505">
        <f t="shared" si="0"/>
        <v>0</v>
      </c>
      <c r="H22" s="505">
        <v>0</v>
      </c>
      <c r="I22" s="505">
        <f t="shared" si="5"/>
        <v>0</v>
      </c>
      <c r="J22" s="505">
        <f t="shared" si="5"/>
        <v>0</v>
      </c>
      <c r="K22" s="505">
        <f t="shared" si="5"/>
        <v>0</v>
      </c>
      <c r="L22" s="505">
        <f t="shared" si="5"/>
        <v>0</v>
      </c>
      <c r="M22" s="505">
        <f t="shared" si="5"/>
        <v>0</v>
      </c>
      <c r="N22" s="505">
        <f t="shared" si="5"/>
        <v>0</v>
      </c>
      <c r="O22" s="506">
        <f t="shared" si="1"/>
        <v>0</v>
      </c>
    </row>
    <row r="23" spans="1:15" ht="15" customHeight="1" x14ac:dyDescent="0.2">
      <c r="A23" s="1034"/>
      <c r="B23" s="507" t="s">
        <v>660</v>
      </c>
      <c r="C23" s="505">
        <v>0</v>
      </c>
      <c r="D23" s="505">
        <f t="shared" si="3"/>
        <v>0</v>
      </c>
      <c r="E23" s="505">
        <f t="shared" si="0"/>
        <v>0</v>
      </c>
      <c r="F23" s="505">
        <f t="shared" si="0"/>
        <v>0</v>
      </c>
      <c r="G23" s="505">
        <f t="shared" si="0"/>
        <v>0</v>
      </c>
      <c r="H23" s="505">
        <v>0</v>
      </c>
      <c r="I23" s="505">
        <f t="shared" si="5"/>
        <v>0</v>
      </c>
      <c r="J23" s="505">
        <f t="shared" si="5"/>
        <v>0</v>
      </c>
      <c r="K23" s="505">
        <f t="shared" si="5"/>
        <v>0</v>
      </c>
      <c r="L23" s="505">
        <f t="shared" si="5"/>
        <v>0</v>
      </c>
      <c r="M23" s="505">
        <f t="shared" si="5"/>
        <v>0</v>
      </c>
      <c r="N23" s="505">
        <f t="shared" si="5"/>
        <v>0</v>
      </c>
      <c r="O23" s="506">
        <f t="shared" si="1"/>
        <v>0</v>
      </c>
    </row>
    <row r="24" spans="1:15" ht="15" customHeight="1" x14ac:dyDescent="0.2">
      <c r="A24" s="1034"/>
      <c r="B24" s="507" t="s">
        <v>132</v>
      </c>
      <c r="C24" s="505">
        <v>0</v>
      </c>
      <c r="D24" s="505">
        <f t="shared" si="3"/>
        <v>0</v>
      </c>
      <c r="E24" s="505">
        <f t="shared" si="0"/>
        <v>0</v>
      </c>
      <c r="F24" s="505">
        <f t="shared" si="0"/>
        <v>0</v>
      </c>
      <c r="G24" s="505">
        <f t="shared" si="0"/>
        <v>0</v>
      </c>
      <c r="H24" s="505">
        <v>0</v>
      </c>
      <c r="I24" s="505">
        <f t="shared" si="5"/>
        <v>0</v>
      </c>
      <c r="J24" s="505">
        <v>6908</v>
      </c>
      <c r="K24" s="505">
        <v>0</v>
      </c>
      <c r="L24" s="505">
        <f t="shared" si="5"/>
        <v>0</v>
      </c>
      <c r="M24" s="505">
        <f t="shared" si="5"/>
        <v>0</v>
      </c>
      <c r="N24" s="505">
        <f t="shared" si="5"/>
        <v>0</v>
      </c>
      <c r="O24" s="506">
        <f t="shared" si="1"/>
        <v>6908</v>
      </c>
    </row>
    <row r="25" spans="1:15" ht="15" hidden="1" customHeight="1" x14ac:dyDescent="0.2">
      <c r="A25" s="1034"/>
      <c r="B25" s="507" t="s">
        <v>133</v>
      </c>
      <c r="C25" s="505">
        <v>0</v>
      </c>
      <c r="D25" s="505">
        <f t="shared" si="3"/>
        <v>0</v>
      </c>
      <c r="E25" s="505">
        <f t="shared" si="3"/>
        <v>0</v>
      </c>
      <c r="F25" s="505">
        <f t="shared" si="3"/>
        <v>0</v>
      </c>
      <c r="G25" s="505">
        <f t="shared" si="3"/>
        <v>0</v>
      </c>
      <c r="H25" s="505">
        <v>0</v>
      </c>
      <c r="I25" s="505">
        <f t="shared" si="5"/>
        <v>0</v>
      </c>
      <c r="J25" s="505">
        <f t="shared" si="5"/>
        <v>0</v>
      </c>
      <c r="K25" s="505">
        <f t="shared" si="5"/>
        <v>0</v>
      </c>
      <c r="L25" s="505">
        <f t="shared" si="5"/>
        <v>0</v>
      </c>
      <c r="M25" s="505">
        <f t="shared" si="5"/>
        <v>0</v>
      </c>
      <c r="N25" s="505">
        <f t="shared" si="5"/>
        <v>0</v>
      </c>
      <c r="O25" s="506">
        <f t="shared" si="1"/>
        <v>0</v>
      </c>
    </row>
    <row r="26" spans="1:15" ht="15" hidden="1" customHeight="1" x14ac:dyDescent="0.2">
      <c r="A26" s="1034"/>
      <c r="B26" s="507" t="s">
        <v>134</v>
      </c>
      <c r="C26" s="505">
        <v>0</v>
      </c>
      <c r="D26" s="505">
        <f t="shared" si="3"/>
        <v>0</v>
      </c>
      <c r="E26" s="505">
        <f t="shared" si="3"/>
        <v>0</v>
      </c>
      <c r="F26" s="505">
        <f t="shared" si="3"/>
        <v>0</v>
      </c>
      <c r="G26" s="505">
        <f t="shared" si="3"/>
        <v>0</v>
      </c>
      <c r="H26" s="505">
        <v>0</v>
      </c>
      <c r="I26" s="505">
        <f t="shared" si="5"/>
        <v>0</v>
      </c>
      <c r="J26" s="505">
        <f t="shared" si="5"/>
        <v>0</v>
      </c>
      <c r="K26" s="505">
        <f t="shared" si="5"/>
        <v>0</v>
      </c>
      <c r="L26" s="505">
        <f t="shared" si="5"/>
        <v>0</v>
      </c>
      <c r="M26" s="505">
        <f t="shared" si="5"/>
        <v>0</v>
      </c>
      <c r="N26" s="505">
        <f t="shared" si="5"/>
        <v>0</v>
      </c>
      <c r="O26" s="506">
        <f t="shared" si="1"/>
        <v>0</v>
      </c>
    </row>
    <row r="27" spans="1:15" ht="15" hidden="1" customHeight="1" x14ac:dyDescent="0.2">
      <c r="A27" s="1034"/>
      <c r="B27" s="507" t="s">
        <v>135</v>
      </c>
      <c r="C27" s="505">
        <v>0</v>
      </c>
      <c r="D27" s="505">
        <f t="shared" si="3"/>
        <v>0</v>
      </c>
      <c r="E27" s="505">
        <f t="shared" si="3"/>
        <v>0</v>
      </c>
      <c r="F27" s="505">
        <f t="shared" si="3"/>
        <v>0</v>
      </c>
      <c r="G27" s="505">
        <f t="shared" si="3"/>
        <v>0</v>
      </c>
      <c r="H27" s="505">
        <v>0</v>
      </c>
      <c r="I27" s="505">
        <f t="shared" si="5"/>
        <v>0</v>
      </c>
      <c r="J27" s="505">
        <f t="shared" si="5"/>
        <v>0</v>
      </c>
      <c r="K27" s="505">
        <f t="shared" si="5"/>
        <v>0</v>
      </c>
      <c r="L27" s="505">
        <f t="shared" si="5"/>
        <v>0</v>
      </c>
      <c r="M27" s="505">
        <f t="shared" si="5"/>
        <v>0</v>
      </c>
      <c r="N27" s="505">
        <f t="shared" si="5"/>
        <v>0</v>
      </c>
      <c r="O27" s="506">
        <f t="shared" si="1"/>
        <v>0</v>
      </c>
    </row>
    <row r="28" spans="1:15" ht="15" hidden="1" customHeight="1" x14ac:dyDescent="0.2">
      <c r="A28" s="1034"/>
      <c r="B28" s="507" t="s">
        <v>136</v>
      </c>
      <c r="C28" s="505">
        <v>0</v>
      </c>
      <c r="D28" s="505">
        <f t="shared" si="3"/>
        <v>0</v>
      </c>
      <c r="E28" s="505">
        <f t="shared" si="3"/>
        <v>0</v>
      </c>
      <c r="F28" s="505">
        <f t="shared" si="3"/>
        <v>0</v>
      </c>
      <c r="G28" s="505">
        <f t="shared" si="3"/>
        <v>0</v>
      </c>
      <c r="H28" s="505">
        <v>0</v>
      </c>
      <c r="I28" s="505">
        <f t="shared" si="5"/>
        <v>0</v>
      </c>
      <c r="J28" s="505">
        <f t="shared" si="5"/>
        <v>0</v>
      </c>
      <c r="K28" s="505">
        <f t="shared" si="5"/>
        <v>0</v>
      </c>
      <c r="L28" s="505">
        <f t="shared" si="5"/>
        <v>0</v>
      </c>
      <c r="M28" s="505">
        <f t="shared" si="5"/>
        <v>0</v>
      </c>
      <c r="N28" s="505">
        <f t="shared" si="5"/>
        <v>0</v>
      </c>
      <c r="O28" s="506">
        <f t="shared" si="1"/>
        <v>0</v>
      </c>
    </row>
    <row r="29" spans="1:15" ht="15" hidden="1" customHeight="1" x14ac:dyDescent="0.2">
      <c r="A29" s="1034"/>
      <c r="B29" s="507" t="s">
        <v>137</v>
      </c>
      <c r="C29" s="505">
        <v>0</v>
      </c>
      <c r="D29" s="505">
        <f t="shared" si="3"/>
        <v>0</v>
      </c>
      <c r="E29" s="505">
        <f t="shared" si="3"/>
        <v>0</v>
      </c>
      <c r="F29" s="505">
        <f t="shared" si="3"/>
        <v>0</v>
      </c>
      <c r="G29" s="505">
        <f t="shared" si="3"/>
        <v>0</v>
      </c>
      <c r="H29" s="505">
        <v>0</v>
      </c>
      <c r="I29" s="505">
        <f t="shared" si="5"/>
        <v>0</v>
      </c>
      <c r="J29" s="505">
        <f t="shared" si="5"/>
        <v>0</v>
      </c>
      <c r="K29" s="505">
        <f t="shared" si="5"/>
        <v>0</v>
      </c>
      <c r="L29" s="505">
        <f t="shared" si="5"/>
        <v>0</v>
      </c>
      <c r="M29" s="505">
        <f t="shared" si="5"/>
        <v>0</v>
      </c>
      <c r="N29" s="505">
        <f t="shared" si="5"/>
        <v>0</v>
      </c>
      <c r="O29" s="506">
        <f t="shared" si="1"/>
        <v>0</v>
      </c>
    </row>
    <row r="30" spans="1:15" ht="15" hidden="1" customHeight="1" x14ac:dyDescent="0.2">
      <c r="A30" s="1034"/>
      <c r="B30" s="507" t="s">
        <v>138</v>
      </c>
      <c r="C30" s="505">
        <v>0</v>
      </c>
      <c r="D30" s="505">
        <f t="shared" si="3"/>
        <v>0</v>
      </c>
      <c r="E30" s="505">
        <f t="shared" si="3"/>
        <v>0</v>
      </c>
      <c r="F30" s="505">
        <f t="shared" si="3"/>
        <v>0</v>
      </c>
      <c r="G30" s="505">
        <f t="shared" si="3"/>
        <v>0</v>
      </c>
      <c r="H30" s="505">
        <v>0</v>
      </c>
      <c r="I30" s="505">
        <f t="shared" si="5"/>
        <v>0</v>
      </c>
      <c r="J30" s="505">
        <f t="shared" si="5"/>
        <v>0</v>
      </c>
      <c r="K30" s="505">
        <f t="shared" si="5"/>
        <v>0</v>
      </c>
      <c r="L30" s="505">
        <f t="shared" si="5"/>
        <v>0</v>
      </c>
      <c r="M30" s="505">
        <f t="shared" si="5"/>
        <v>0</v>
      </c>
      <c r="N30" s="505">
        <f t="shared" si="5"/>
        <v>0</v>
      </c>
      <c r="O30" s="506">
        <f t="shared" si="1"/>
        <v>0</v>
      </c>
    </row>
    <row r="31" spans="1:15" ht="15" hidden="1" customHeight="1" x14ac:dyDescent="0.2">
      <c r="A31" s="1034"/>
      <c r="B31" s="507" t="s">
        <v>139</v>
      </c>
      <c r="C31" s="505">
        <v>0</v>
      </c>
      <c r="D31" s="505">
        <f t="shared" si="3"/>
        <v>0</v>
      </c>
      <c r="E31" s="505">
        <f t="shared" si="3"/>
        <v>0</v>
      </c>
      <c r="F31" s="505">
        <f t="shared" si="3"/>
        <v>0</v>
      </c>
      <c r="G31" s="505">
        <f t="shared" si="3"/>
        <v>0</v>
      </c>
      <c r="H31" s="505">
        <v>0</v>
      </c>
      <c r="I31" s="505">
        <f t="shared" si="5"/>
        <v>0</v>
      </c>
      <c r="J31" s="505">
        <f t="shared" si="5"/>
        <v>0</v>
      </c>
      <c r="K31" s="505">
        <f t="shared" si="5"/>
        <v>0</v>
      </c>
      <c r="L31" s="505">
        <f t="shared" si="5"/>
        <v>0</v>
      </c>
      <c r="M31" s="505">
        <f t="shared" si="5"/>
        <v>0</v>
      </c>
      <c r="N31" s="505">
        <f t="shared" si="5"/>
        <v>0</v>
      </c>
      <c r="O31" s="506">
        <f t="shared" si="1"/>
        <v>0</v>
      </c>
    </row>
    <row r="32" spans="1:15" ht="15" hidden="1" customHeight="1" x14ac:dyDescent="0.2">
      <c r="A32" s="1034"/>
      <c r="B32" s="507" t="s">
        <v>140</v>
      </c>
      <c r="C32" s="505">
        <v>0</v>
      </c>
      <c r="D32" s="505">
        <f t="shared" si="3"/>
        <v>0</v>
      </c>
      <c r="E32" s="505">
        <f t="shared" si="3"/>
        <v>0</v>
      </c>
      <c r="F32" s="505">
        <f t="shared" si="3"/>
        <v>0</v>
      </c>
      <c r="G32" s="505">
        <f t="shared" si="3"/>
        <v>0</v>
      </c>
      <c r="H32" s="505">
        <v>0</v>
      </c>
      <c r="I32" s="505">
        <f t="shared" si="5"/>
        <v>0</v>
      </c>
      <c r="J32" s="505">
        <f t="shared" si="5"/>
        <v>0</v>
      </c>
      <c r="K32" s="505">
        <f t="shared" si="5"/>
        <v>0</v>
      </c>
      <c r="L32" s="505">
        <f t="shared" si="5"/>
        <v>0</v>
      </c>
      <c r="M32" s="505">
        <f t="shared" si="5"/>
        <v>0</v>
      </c>
      <c r="N32" s="505">
        <f t="shared" si="5"/>
        <v>0</v>
      </c>
      <c r="O32" s="506">
        <f t="shared" si="1"/>
        <v>0</v>
      </c>
    </row>
    <row r="33" spans="1:18" ht="15" hidden="1" customHeight="1" x14ac:dyDescent="0.2">
      <c r="A33" s="1034"/>
      <c r="B33" s="507" t="s">
        <v>225</v>
      </c>
      <c r="C33" s="505">
        <v>0</v>
      </c>
      <c r="D33" s="505">
        <f t="shared" si="3"/>
        <v>0</v>
      </c>
      <c r="E33" s="505">
        <f t="shared" si="3"/>
        <v>0</v>
      </c>
      <c r="F33" s="505">
        <f t="shared" si="3"/>
        <v>0</v>
      </c>
      <c r="G33" s="505">
        <f t="shared" si="3"/>
        <v>0</v>
      </c>
      <c r="H33" s="505">
        <v>0</v>
      </c>
      <c r="I33" s="505">
        <f t="shared" si="5"/>
        <v>0</v>
      </c>
      <c r="J33" s="505">
        <f t="shared" si="5"/>
        <v>0</v>
      </c>
      <c r="K33" s="505">
        <f t="shared" si="5"/>
        <v>0</v>
      </c>
      <c r="L33" s="505">
        <f t="shared" si="5"/>
        <v>0</v>
      </c>
      <c r="M33" s="505">
        <f t="shared" si="5"/>
        <v>0</v>
      </c>
      <c r="N33" s="505">
        <f t="shared" si="5"/>
        <v>0</v>
      </c>
      <c r="O33" s="506">
        <f t="shared" si="1"/>
        <v>0</v>
      </c>
    </row>
    <row r="34" spans="1:18" ht="15" customHeight="1" x14ac:dyDescent="0.2">
      <c r="A34" s="1034"/>
      <c r="B34" s="511" t="s">
        <v>142</v>
      </c>
      <c r="C34" s="505">
        <v>0</v>
      </c>
      <c r="D34" s="505">
        <v>731518</v>
      </c>
      <c r="E34" s="505">
        <v>0</v>
      </c>
      <c r="F34" s="505">
        <f>+E34</f>
        <v>0</v>
      </c>
      <c r="G34" s="505">
        <f t="shared" ref="G34:G38" si="6">+F34</f>
        <v>0</v>
      </c>
      <c r="H34" s="505">
        <v>0</v>
      </c>
      <c r="I34" s="505">
        <f t="shared" si="5"/>
        <v>0</v>
      </c>
      <c r="J34" s="505">
        <f t="shared" si="5"/>
        <v>0</v>
      </c>
      <c r="K34" s="505">
        <f t="shared" si="5"/>
        <v>0</v>
      </c>
      <c r="L34" s="505">
        <f t="shared" si="5"/>
        <v>0</v>
      </c>
      <c r="M34" s="505">
        <f t="shared" si="5"/>
        <v>0</v>
      </c>
      <c r="N34" s="505">
        <f t="shared" si="5"/>
        <v>0</v>
      </c>
      <c r="O34" s="506">
        <f t="shared" si="1"/>
        <v>731518</v>
      </c>
    </row>
    <row r="35" spans="1:18" ht="15" hidden="1" customHeight="1" x14ac:dyDescent="0.2">
      <c r="A35" s="1035"/>
      <c r="B35" s="507" t="s">
        <v>226</v>
      </c>
      <c r="C35" s="505">
        <v>0</v>
      </c>
      <c r="D35" s="505">
        <f>+C35</f>
        <v>0</v>
      </c>
      <c r="E35" s="505">
        <f>+D35</f>
        <v>0</v>
      </c>
      <c r="F35" s="505">
        <f>+E35</f>
        <v>0</v>
      </c>
      <c r="G35" s="505">
        <f t="shared" si="6"/>
        <v>0</v>
      </c>
      <c r="H35" s="505">
        <v>0</v>
      </c>
      <c r="I35" s="505">
        <f t="shared" si="5"/>
        <v>0</v>
      </c>
      <c r="J35" s="505">
        <f t="shared" si="5"/>
        <v>0</v>
      </c>
      <c r="K35" s="505">
        <f t="shared" si="5"/>
        <v>0</v>
      </c>
      <c r="L35" s="505">
        <f t="shared" si="5"/>
        <v>0</v>
      </c>
      <c r="M35" s="505">
        <f t="shared" si="5"/>
        <v>0</v>
      </c>
      <c r="N35" s="505">
        <f t="shared" si="5"/>
        <v>0</v>
      </c>
      <c r="O35" s="506">
        <f t="shared" si="1"/>
        <v>0</v>
      </c>
    </row>
    <row r="36" spans="1:18" ht="15" customHeight="1" x14ac:dyDescent="0.2">
      <c r="A36" s="616"/>
      <c r="B36" s="617" t="s">
        <v>144</v>
      </c>
      <c r="C36" s="505">
        <v>0</v>
      </c>
      <c r="D36" s="505">
        <f>+C36</f>
        <v>0</v>
      </c>
      <c r="E36" s="505">
        <f>+D36</f>
        <v>0</v>
      </c>
      <c r="F36" s="505">
        <f>+E36</f>
        <v>0</v>
      </c>
      <c r="G36" s="505">
        <f t="shared" si="6"/>
        <v>0</v>
      </c>
      <c r="H36" s="505">
        <v>0</v>
      </c>
      <c r="I36" s="505">
        <f t="shared" ref="I36:N38" si="7">+H36</f>
        <v>0</v>
      </c>
      <c r="J36" s="505">
        <f t="shared" si="7"/>
        <v>0</v>
      </c>
      <c r="K36" s="505">
        <f t="shared" si="7"/>
        <v>0</v>
      </c>
      <c r="L36" s="505">
        <f t="shared" si="7"/>
        <v>0</v>
      </c>
      <c r="M36" s="505">
        <f t="shared" si="7"/>
        <v>0</v>
      </c>
      <c r="N36" s="505">
        <f t="shared" si="7"/>
        <v>0</v>
      </c>
      <c r="O36" s="506">
        <f t="shared" si="1"/>
        <v>0</v>
      </c>
    </row>
    <row r="37" spans="1:18" ht="15" customHeight="1" x14ac:dyDescent="0.2">
      <c r="A37" s="1036" t="s">
        <v>145</v>
      </c>
      <c r="B37" s="1037"/>
      <c r="C37" s="505">
        <v>0</v>
      </c>
      <c r="D37" s="505">
        <v>216</v>
      </c>
      <c r="E37" s="505">
        <v>0</v>
      </c>
      <c r="F37" s="505">
        <f>+E37</f>
        <v>0</v>
      </c>
      <c r="G37" s="505">
        <f t="shared" si="6"/>
        <v>0</v>
      </c>
      <c r="H37" s="505">
        <v>0</v>
      </c>
      <c r="I37" s="505">
        <f t="shared" si="7"/>
        <v>0</v>
      </c>
      <c r="J37" s="505">
        <v>216</v>
      </c>
      <c r="K37" s="505">
        <v>0</v>
      </c>
      <c r="L37" s="505">
        <f t="shared" si="7"/>
        <v>0</v>
      </c>
      <c r="M37" s="505">
        <f t="shared" si="7"/>
        <v>0</v>
      </c>
      <c r="N37" s="505">
        <f t="shared" si="7"/>
        <v>0</v>
      </c>
      <c r="O37" s="506">
        <f t="shared" si="1"/>
        <v>432</v>
      </c>
    </row>
    <row r="38" spans="1:18" ht="15" customHeight="1" x14ac:dyDescent="0.2">
      <c r="A38" s="1036" t="s">
        <v>146</v>
      </c>
      <c r="B38" s="1037"/>
      <c r="C38" s="505">
        <v>0</v>
      </c>
      <c r="D38" s="505">
        <v>3030</v>
      </c>
      <c r="E38" s="505">
        <v>0</v>
      </c>
      <c r="F38" s="505">
        <f>+E38</f>
        <v>0</v>
      </c>
      <c r="G38" s="505">
        <f t="shared" si="6"/>
        <v>0</v>
      </c>
      <c r="H38" s="505">
        <v>0</v>
      </c>
      <c r="I38" s="505">
        <f t="shared" si="7"/>
        <v>0</v>
      </c>
      <c r="J38" s="505">
        <v>3120</v>
      </c>
      <c r="K38" s="505">
        <v>0</v>
      </c>
      <c r="L38" s="505">
        <f t="shared" si="7"/>
        <v>0</v>
      </c>
      <c r="M38" s="505">
        <f t="shared" si="7"/>
        <v>0</v>
      </c>
      <c r="N38" s="505">
        <f t="shared" si="7"/>
        <v>0</v>
      </c>
      <c r="O38" s="506">
        <f t="shared" si="1"/>
        <v>6150</v>
      </c>
    </row>
    <row r="39" spans="1:18" ht="15" customHeight="1" x14ac:dyDescent="0.2">
      <c r="A39" s="513"/>
      <c r="B39" s="514" t="s">
        <v>147</v>
      </c>
      <c r="C39" s="515">
        <f t="shared" ref="C39:N39" si="8">SUM(C9:C38)</f>
        <v>68925</v>
      </c>
      <c r="D39" s="515">
        <f t="shared" si="8"/>
        <v>804671</v>
      </c>
      <c r="E39" s="515">
        <f t="shared" si="8"/>
        <v>69907</v>
      </c>
      <c r="F39" s="515">
        <f t="shared" si="8"/>
        <v>69907</v>
      </c>
      <c r="G39" s="515">
        <f t="shared" si="8"/>
        <v>71872</v>
      </c>
      <c r="H39" s="515">
        <f t="shared" si="8"/>
        <v>71872</v>
      </c>
      <c r="I39" s="515">
        <f t="shared" si="8"/>
        <v>71872</v>
      </c>
      <c r="J39" s="515">
        <f t="shared" si="8"/>
        <v>83328</v>
      </c>
      <c r="K39" s="515">
        <f t="shared" si="8"/>
        <v>73084</v>
      </c>
      <c r="L39" s="515">
        <f t="shared" si="8"/>
        <v>73084</v>
      </c>
      <c r="M39" s="515">
        <f t="shared" si="8"/>
        <v>73084</v>
      </c>
      <c r="N39" s="515">
        <f t="shared" si="8"/>
        <v>73084</v>
      </c>
      <c r="O39" s="516">
        <f t="shared" si="1"/>
        <v>1604690</v>
      </c>
    </row>
    <row r="40" spans="1:18" ht="15" customHeight="1" x14ac:dyDescent="0.2">
      <c r="A40" s="995" t="s">
        <v>148</v>
      </c>
      <c r="B40" s="517" t="s">
        <v>149</v>
      </c>
      <c r="C40" s="508">
        <v>2200</v>
      </c>
      <c r="D40" s="508">
        <v>75152</v>
      </c>
      <c r="E40" s="508">
        <v>2000</v>
      </c>
      <c r="F40" s="508">
        <v>2000</v>
      </c>
      <c r="G40" s="508">
        <v>2000</v>
      </c>
      <c r="H40" s="508">
        <v>2000</v>
      </c>
      <c r="I40" s="508">
        <v>2000</v>
      </c>
      <c r="J40" s="508">
        <v>2000</v>
      </c>
      <c r="K40" s="508">
        <v>0</v>
      </c>
      <c r="L40" s="508">
        <v>11000</v>
      </c>
      <c r="M40" s="508">
        <v>11000</v>
      </c>
      <c r="N40" s="508">
        <v>0</v>
      </c>
      <c r="O40" s="506">
        <f t="shared" si="1"/>
        <v>111352</v>
      </c>
      <c r="Q40" s="504">
        <f>+O18</f>
        <v>0</v>
      </c>
    </row>
    <row r="41" spans="1:18" ht="15" customHeight="1" x14ac:dyDescent="0.2">
      <c r="A41" s="996"/>
      <c r="B41" s="517" t="s">
        <v>150</v>
      </c>
      <c r="C41" s="508">
        <v>0</v>
      </c>
      <c r="D41" s="508">
        <v>0</v>
      </c>
      <c r="E41" s="508">
        <v>0</v>
      </c>
      <c r="F41" s="508">
        <v>0</v>
      </c>
      <c r="G41" s="508">
        <v>0</v>
      </c>
      <c r="H41" s="508">
        <v>0</v>
      </c>
      <c r="I41" s="508">
        <v>0</v>
      </c>
      <c r="J41" s="508">
        <v>0</v>
      </c>
      <c r="K41" s="508">
        <v>0</v>
      </c>
      <c r="L41" s="508">
        <v>0</v>
      </c>
      <c r="M41" s="508">
        <v>0</v>
      </c>
      <c r="N41" s="508">
        <v>0</v>
      </c>
      <c r="O41" s="506">
        <f t="shared" si="1"/>
        <v>0</v>
      </c>
      <c r="Q41" s="504">
        <f>+Q39+Q40</f>
        <v>0</v>
      </c>
      <c r="R41" s="490"/>
    </row>
    <row r="42" spans="1:18" ht="15" customHeight="1" x14ac:dyDescent="0.2">
      <c r="A42" s="996"/>
      <c r="B42" s="517" t="s">
        <v>151</v>
      </c>
      <c r="C42" s="508">
        <v>30</v>
      </c>
      <c r="D42" s="508">
        <v>30</v>
      </c>
      <c r="E42" s="508">
        <v>30</v>
      </c>
      <c r="F42" s="508">
        <v>30</v>
      </c>
      <c r="G42" s="508">
        <v>30</v>
      </c>
      <c r="H42" s="508">
        <v>30</v>
      </c>
      <c r="I42" s="508">
        <v>30</v>
      </c>
      <c r="J42" s="508">
        <v>30</v>
      </c>
      <c r="K42" s="508">
        <v>30</v>
      </c>
      <c r="L42" s="508">
        <v>30</v>
      </c>
      <c r="M42" s="508">
        <v>30</v>
      </c>
      <c r="N42" s="508">
        <v>30</v>
      </c>
      <c r="O42" s="506">
        <f t="shared" si="1"/>
        <v>360</v>
      </c>
    </row>
    <row r="43" spans="1:18" ht="15" customHeight="1" x14ac:dyDescent="0.2">
      <c r="A43" s="996"/>
      <c r="B43" s="517" t="s">
        <v>152</v>
      </c>
      <c r="C43" s="508">
        <v>0</v>
      </c>
      <c r="D43" s="508">
        <v>0</v>
      </c>
      <c r="E43" s="508">
        <v>0</v>
      </c>
      <c r="F43" s="508">
        <v>0</v>
      </c>
      <c r="G43" s="508">
        <v>0</v>
      </c>
      <c r="H43" s="508">
        <v>0</v>
      </c>
      <c r="I43" s="508">
        <v>0</v>
      </c>
      <c r="J43" s="508">
        <v>0</v>
      </c>
      <c r="K43" s="508">
        <v>0</v>
      </c>
      <c r="L43" s="508">
        <v>0</v>
      </c>
      <c r="M43" s="508">
        <v>0</v>
      </c>
      <c r="N43" s="508">
        <v>0</v>
      </c>
      <c r="O43" s="506">
        <f t="shared" si="1"/>
        <v>0</v>
      </c>
    </row>
    <row r="44" spans="1:18" ht="15" customHeight="1" x14ac:dyDescent="0.2">
      <c r="A44" s="996"/>
      <c r="B44" s="517" t="s">
        <v>153</v>
      </c>
      <c r="C44" s="508">
        <v>250</v>
      </c>
      <c r="D44" s="508">
        <v>250</v>
      </c>
      <c r="E44" s="508">
        <v>250</v>
      </c>
      <c r="F44" s="508">
        <v>250</v>
      </c>
      <c r="G44" s="508">
        <v>450</v>
      </c>
      <c r="H44" s="508">
        <v>450</v>
      </c>
      <c r="I44" s="508">
        <v>450</v>
      </c>
      <c r="J44" s="508">
        <v>450</v>
      </c>
      <c r="K44" s="508">
        <v>450</v>
      </c>
      <c r="L44" s="508">
        <v>450</v>
      </c>
      <c r="M44" s="508">
        <v>450</v>
      </c>
      <c r="N44" s="508">
        <v>450</v>
      </c>
      <c r="O44" s="506">
        <f t="shared" si="1"/>
        <v>4600</v>
      </c>
    </row>
    <row r="45" spans="1:18" ht="15" customHeight="1" x14ac:dyDescent="0.2">
      <c r="A45" s="996"/>
      <c r="B45" s="517" t="s">
        <v>154</v>
      </c>
      <c r="C45" s="508">
        <v>10000</v>
      </c>
      <c r="D45" s="508">
        <v>10000</v>
      </c>
      <c r="E45" s="508">
        <v>10000</v>
      </c>
      <c r="F45" s="508">
        <v>10000</v>
      </c>
      <c r="G45" s="508">
        <v>10000</v>
      </c>
      <c r="H45" s="508">
        <v>10000</v>
      </c>
      <c r="I45" s="508">
        <v>10000</v>
      </c>
      <c r="J45" s="508">
        <v>10000</v>
      </c>
      <c r="K45" s="508">
        <v>10000</v>
      </c>
      <c r="L45" s="508">
        <v>10000</v>
      </c>
      <c r="M45" s="508">
        <v>10000</v>
      </c>
      <c r="N45" s="508">
        <v>10000</v>
      </c>
      <c r="O45" s="506">
        <f t="shared" si="1"/>
        <v>120000</v>
      </c>
    </row>
    <row r="46" spans="1:18" ht="15" customHeight="1" x14ac:dyDescent="0.2">
      <c r="A46" s="996"/>
      <c r="B46" s="517" t="s">
        <v>155</v>
      </c>
      <c r="C46" s="508">
        <v>200</v>
      </c>
      <c r="D46" s="508">
        <v>200</v>
      </c>
      <c r="E46" s="508">
        <v>200</v>
      </c>
      <c r="F46" s="508">
        <v>200</v>
      </c>
      <c r="G46" s="508">
        <v>200</v>
      </c>
      <c r="H46" s="508">
        <v>200</v>
      </c>
      <c r="I46" s="508">
        <v>200</v>
      </c>
      <c r="J46" s="508">
        <v>200</v>
      </c>
      <c r="K46" s="508">
        <v>200</v>
      </c>
      <c r="L46" s="508">
        <v>200</v>
      </c>
      <c r="M46" s="508">
        <v>200</v>
      </c>
      <c r="N46" s="508">
        <v>300</v>
      </c>
      <c r="O46" s="506">
        <f t="shared" si="1"/>
        <v>2500</v>
      </c>
    </row>
    <row r="47" spans="1:18" ht="15" customHeight="1" x14ac:dyDescent="0.2">
      <c r="A47" s="996"/>
      <c r="B47" s="517" t="s">
        <v>156</v>
      </c>
      <c r="C47" s="508">
        <v>0</v>
      </c>
      <c r="D47" s="508">
        <v>0</v>
      </c>
      <c r="E47" s="508">
        <v>0</v>
      </c>
      <c r="F47" s="508">
        <v>0</v>
      </c>
      <c r="G47" s="508">
        <v>0</v>
      </c>
      <c r="H47" s="508">
        <v>0</v>
      </c>
      <c r="I47" s="508">
        <v>0</v>
      </c>
      <c r="J47" s="508">
        <v>0</v>
      </c>
      <c r="K47" s="508">
        <v>0</v>
      </c>
      <c r="L47" s="508">
        <v>0</v>
      </c>
      <c r="M47" s="508">
        <v>0</v>
      </c>
      <c r="N47" s="508">
        <v>0</v>
      </c>
      <c r="O47" s="506">
        <f t="shared" si="1"/>
        <v>0</v>
      </c>
    </row>
    <row r="48" spans="1:18" ht="15" customHeight="1" x14ac:dyDescent="0.2">
      <c r="A48" s="996"/>
      <c r="B48" s="517" t="s">
        <v>157</v>
      </c>
      <c r="C48" s="508">
        <v>0</v>
      </c>
      <c r="D48" s="508">
        <v>0</v>
      </c>
      <c r="E48" s="508">
        <v>0</v>
      </c>
      <c r="F48" s="508">
        <v>0</v>
      </c>
      <c r="G48" s="508">
        <v>0</v>
      </c>
      <c r="H48" s="508">
        <v>0</v>
      </c>
      <c r="I48" s="508">
        <v>0</v>
      </c>
      <c r="J48" s="508">
        <v>0</v>
      </c>
      <c r="K48" s="508">
        <v>0</v>
      </c>
      <c r="L48" s="508">
        <v>0</v>
      </c>
      <c r="M48" s="508">
        <v>0</v>
      </c>
      <c r="N48" s="508">
        <v>0</v>
      </c>
      <c r="O48" s="506">
        <f t="shared" si="1"/>
        <v>0</v>
      </c>
    </row>
    <row r="49" spans="1:19" ht="28.5" customHeight="1" x14ac:dyDescent="0.2">
      <c r="A49" s="997"/>
      <c r="B49" s="520" t="s">
        <v>158</v>
      </c>
      <c r="C49" s="508">
        <v>2561</v>
      </c>
      <c r="D49" s="508">
        <v>2561</v>
      </c>
      <c r="E49" s="508">
        <v>2561</v>
      </c>
      <c r="F49" s="508">
        <v>2561</v>
      </c>
      <c r="G49" s="508">
        <v>2561</v>
      </c>
      <c r="H49" s="508">
        <v>2561</v>
      </c>
      <c r="I49" s="508">
        <v>2561</v>
      </c>
      <c r="J49" s="508">
        <v>2561</v>
      </c>
      <c r="K49" s="508">
        <v>2561</v>
      </c>
      <c r="L49" s="508">
        <v>2561</v>
      </c>
      <c r="M49" s="508">
        <v>2561</v>
      </c>
      <c r="N49" s="508">
        <v>2561</v>
      </c>
      <c r="O49" s="521">
        <f t="shared" si="1"/>
        <v>30732</v>
      </c>
    </row>
    <row r="50" spans="1:19" ht="28.5" x14ac:dyDescent="0.2">
      <c r="A50" s="998"/>
      <c r="B50" s="618" t="s">
        <v>661</v>
      </c>
      <c r="C50" s="508">
        <v>0</v>
      </c>
      <c r="D50" s="508">
        <v>0</v>
      </c>
      <c r="E50" s="508">
        <v>0</v>
      </c>
      <c r="F50" s="508">
        <v>0</v>
      </c>
      <c r="G50" s="508">
        <v>0</v>
      </c>
      <c r="H50" s="508">
        <v>0</v>
      </c>
      <c r="I50" s="508">
        <v>0</v>
      </c>
      <c r="J50" s="508">
        <v>0</v>
      </c>
      <c r="K50" s="508">
        <v>0</v>
      </c>
      <c r="L50" s="508">
        <v>0</v>
      </c>
      <c r="M50" s="508">
        <v>0</v>
      </c>
      <c r="N50" s="508">
        <v>0</v>
      </c>
      <c r="O50" s="521">
        <f t="shared" si="1"/>
        <v>0</v>
      </c>
    </row>
    <row r="51" spans="1:19" ht="15" x14ac:dyDescent="0.2">
      <c r="A51" s="999" t="s">
        <v>160</v>
      </c>
      <c r="B51" s="1000"/>
      <c r="C51" s="523">
        <f t="shared" ref="C51:N51" si="9">SUM(C40:C50)</f>
        <v>15241</v>
      </c>
      <c r="D51" s="523">
        <f t="shared" si="9"/>
        <v>88193</v>
      </c>
      <c r="E51" s="523">
        <f t="shared" si="9"/>
        <v>15041</v>
      </c>
      <c r="F51" s="523">
        <f t="shared" si="9"/>
        <v>15041</v>
      </c>
      <c r="G51" s="523">
        <f t="shared" si="9"/>
        <v>15241</v>
      </c>
      <c r="H51" s="523">
        <f t="shared" si="9"/>
        <v>15241</v>
      </c>
      <c r="I51" s="523">
        <f t="shared" si="9"/>
        <v>15241</v>
      </c>
      <c r="J51" s="523">
        <f t="shared" si="9"/>
        <v>15241</v>
      </c>
      <c r="K51" s="523">
        <f t="shared" si="9"/>
        <v>13241</v>
      </c>
      <c r="L51" s="523">
        <f t="shared" si="9"/>
        <v>24241</v>
      </c>
      <c r="M51" s="523">
        <f t="shared" si="9"/>
        <v>24241</v>
      </c>
      <c r="N51" s="523">
        <f t="shared" si="9"/>
        <v>13341</v>
      </c>
      <c r="O51" s="524">
        <f t="shared" si="1"/>
        <v>269544</v>
      </c>
    </row>
    <row r="52" spans="1:19" ht="15.75" thickBot="1" x14ac:dyDescent="0.25">
      <c r="A52" s="1001" t="s">
        <v>161</v>
      </c>
      <c r="B52" s="1002"/>
      <c r="C52" s="525">
        <f t="shared" ref="C52:N52" si="10">C39-C51</f>
        <v>53684</v>
      </c>
      <c r="D52" s="525">
        <f t="shared" si="10"/>
        <v>716478</v>
      </c>
      <c r="E52" s="525">
        <f t="shared" si="10"/>
        <v>54866</v>
      </c>
      <c r="F52" s="525">
        <f t="shared" si="10"/>
        <v>54866</v>
      </c>
      <c r="G52" s="525">
        <f t="shared" si="10"/>
        <v>56631</v>
      </c>
      <c r="H52" s="525">
        <f t="shared" si="10"/>
        <v>56631</v>
      </c>
      <c r="I52" s="525">
        <f t="shared" si="10"/>
        <v>56631</v>
      </c>
      <c r="J52" s="525">
        <f t="shared" si="10"/>
        <v>68087</v>
      </c>
      <c r="K52" s="525">
        <f t="shared" si="10"/>
        <v>59843</v>
      </c>
      <c r="L52" s="525">
        <f t="shared" si="10"/>
        <v>48843</v>
      </c>
      <c r="M52" s="525">
        <f t="shared" si="10"/>
        <v>48843</v>
      </c>
      <c r="N52" s="525">
        <f t="shared" si="10"/>
        <v>59743</v>
      </c>
      <c r="O52" s="526">
        <f t="shared" si="1"/>
        <v>1335146</v>
      </c>
    </row>
    <row r="53" spans="1:19" x14ac:dyDescent="0.2">
      <c r="J53" s="504">
        <f>+J39-SUM(J21:J38)</f>
        <v>73084</v>
      </c>
      <c r="Q53" s="504">
        <f>+O18</f>
        <v>0</v>
      </c>
    </row>
    <row r="54" spans="1:19" ht="13.5" thickBot="1" x14ac:dyDescent="0.25">
      <c r="J54" s="528">
        <f>+J53-J51</f>
        <v>57843</v>
      </c>
      <c r="Q54" s="504">
        <f>+Q52+Q53</f>
        <v>0</v>
      </c>
    </row>
    <row r="55" spans="1:19" ht="13.5" thickBot="1" x14ac:dyDescent="0.25">
      <c r="B55" s="955" t="s">
        <v>162</v>
      </c>
      <c r="C55" s="1003"/>
      <c r="D55" s="1003"/>
      <c r="E55" s="1003"/>
      <c r="F55" s="1004"/>
      <c r="G55" s="1005">
        <f>O39</f>
        <v>1604690</v>
      </c>
      <c r="H55" s="1006"/>
    </row>
    <row r="56" spans="1:19" ht="13.5" thickBot="1" x14ac:dyDescent="0.25"/>
    <row r="57" spans="1:19" x14ac:dyDescent="0.2">
      <c r="B57" s="1007" t="s">
        <v>163</v>
      </c>
      <c r="C57" s="1010" t="s">
        <v>164</v>
      </c>
      <c r="D57" s="1013" t="s">
        <v>229</v>
      </c>
      <c r="E57" s="1014"/>
      <c r="F57" s="1015"/>
      <c r="G57" s="1016">
        <v>40000</v>
      </c>
      <c r="H57" s="1017"/>
    </row>
    <row r="58" spans="1:19" x14ac:dyDescent="0.2">
      <c r="B58" s="1008"/>
      <c r="C58" s="1011"/>
      <c r="D58" s="1018" t="s">
        <v>166</v>
      </c>
      <c r="E58" s="1019"/>
      <c r="F58" s="1020"/>
      <c r="G58" s="1021">
        <f>+O46</f>
        <v>2500</v>
      </c>
      <c r="H58" s="1022"/>
      <c r="I58" s="529"/>
      <c r="J58" s="1090"/>
      <c r="K58" s="1090"/>
      <c r="L58" s="1090"/>
      <c r="M58" s="1091"/>
      <c r="N58" s="1091"/>
      <c r="O58" s="1091"/>
    </row>
    <row r="59" spans="1:19" ht="13.5" thickBot="1" x14ac:dyDescent="0.25">
      <c r="B59" s="1009"/>
      <c r="C59" s="1012"/>
      <c r="D59" s="1023" t="s">
        <v>243</v>
      </c>
      <c r="E59" s="1024"/>
      <c r="F59" s="1025"/>
      <c r="G59" s="1026">
        <f>IF(O18&gt;15000,15000,+O18)</f>
        <v>0</v>
      </c>
      <c r="H59" s="1027"/>
      <c r="J59" s="531"/>
      <c r="K59" s="531"/>
      <c r="L59" s="531"/>
      <c r="M59" s="531"/>
      <c r="N59" s="531"/>
      <c r="O59" s="531"/>
    </row>
    <row r="60" spans="1:19" ht="13.5" thickBot="1" x14ac:dyDescent="0.25">
      <c r="B60" s="532"/>
      <c r="J60" s="531"/>
      <c r="K60" s="531"/>
      <c r="L60" s="531"/>
      <c r="M60" s="531"/>
      <c r="N60" s="531"/>
      <c r="O60" s="531"/>
    </row>
    <row r="61" spans="1:19" ht="13.5" thickBot="1" x14ac:dyDescent="0.25">
      <c r="B61" s="955" t="s">
        <v>168</v>
      </c>
      <c r="C61" s="956"/>
      <c r="D61" s="956"/>
      <c r="E61" s="956"/>
      <c r="F61" s="957"/>
      <c r="G61" s="1028">
        <f>+G55-SUM(G57:H59)</f>
        <v>1562190</v>
      </c>
      <c r="H61" s="1029"/>
      <c r="J61" s="992" t="s">
        <v>169</v>
      </c>
      <c r="K61" s="993"/>
      <c r="L61" s="993"/>
      <c r="M61" s="993"/>
      <c r="N61" s="993"/>
      <c r="O61" s="994"/>
    </row>
    <row r="62" spans="1:19" ht="13.5" thickBot="1" x14ac:dyDescent="0.25">
      <c r="B62" s="533"/>
      <c r="C62" s="534"/>
      <c r="D62" s="534"/>
      <c r="E62" s="534"/>
      <c r="F62" s="534"/>
      <c r="G62" s="530"/>
      <c r="H62" s="534"/>
      <c r="J62" s="535"/>
      <c r="K62" s="536"/>
      <c r="L62" s="536"/>
      <c r="M62" s="536"/>
      <c r="N62" s="536"/>
      <c r="O62" s="537"/>
    </row>
    <row r="63" spans="1:19" ht="13.5" thickBot="1" x14ac:dyDescent="0.25">
      <c r="B63" s="955" t="s">
        <v>170</v>
      </c>
      <c r="C63" s="956"/>
      <c r="D63" s="956"/>
      <c r="E63" s="956"/>
      <c r="F63" s="957"/>
      <c r="G63" s="1047"/>
      <c r="H63" s="957"/>
      <c r="J63" s="535"/>
      <c r="K63" s="536"/>
      <c r="L63" s="536"/>
      <c r="M63" s="536"/>
      <c r="N63" s="536"/>
      <c r="O63" s="537"/>
    </row>
    <row r="64" spans="1:19" ht="12.75" customHeight="1" x14ac:dyDescent="0.2">
      <c r="B64" s="538" t="s">
        <v>171</v>
      </c>
      <c r="C64" s="977" t="s">
        <v>172</v>
      </c>
      <c r="D64" s="978"/>
      <c r="E64" s="978"/>
      <c r="F64" s="979"/>
      <c r="G64" s="980">
        <v>29284</v>
      </c>
      <c r="H64" s="980"/>
      <c r="I64" s="539"/>
      <c r="J64" s="981" t="s">
        <v>173</v>
      </c>
      <c r="K64" s="982"/>
      <c r="L64" s="982"/>
      <c r="M64" s="982"/>
      <c r="N64" s="982"/>
      <c r="O64" s="983"/>
      <c r="Q64" s="540"/>
      <c r="R64" s="540"/>
      <c r="S64" s="540"/>
    </row>
    <row r="65" spans="2:19" ht="13.5" thickBot="1" x14ac:dyDescent="0.25">
      <c r="D65" s="527"/>
      <c r="I65" s="539"/>
      <c r="J65" s="541" t="s">
        <v>662</v>
      </c>
      <c r="K65" s="542"/>
      <c r="L65" s="542"/>
      <c r="M65" s="542"/>
      <c r="N65" s="542"/>
      <c r="O65" s="543"/>
      <c r="Q65" s="540"/>
      <c r="R65" s="540"/>
      <c r="S65" s="540"/>
    </row>
    <row r="66" spans="2:19" ht="13.5" thickBot="1" x14ac:dyDescent="0.25">
      <c r="B66" s="955" t="s">
        <v>175</v>
      </c>
      <c r="C66" s="956"/>
      <c r="D66" s="956"/>
      <c r="E66" s="956"/>
      <c r="F66" s="957"/>
      <c r="G66" s="1047">
        <f>+G61-G64</f>
        <v>1532906</v>
      </c>
      <c r="H66" s="957"/>
      <c r="I66" s="544"/>
      <c r="J66" s="547"/>
      <c r="K66" s="529"/>
      <c r="L66" s="529"/>
      <c r="M66" s="529"/>
      <c r="N66" s="529"/>
      <c r="O66" s="546"/>
      <c r="Q66" s="540"/>
      <c r="R66" s="540"/>
      <c r="S66" s="540"/>
    </row>
    <row r="67" spans="2:19" ht="12.75" customHeight="1" x14ac:dyDescent="0.2">
      <c r="B67" s="532"/>
      <c r="C67" s="532"/>
      <c r="I67" s="544"/>
      <c r="J67" s="547"/>
      <c r="K67" s="529"/>
      <c r="L67" s="529"/>
      <c r="M67" s="529"/>
      <c r="N67" s="529"/>
      <c r="O67" s="546"/>
      <c r="Q67" s="540"/>
      <c r="R67" s="540"/>
      <c r="S67" s="540"/>
    </row>
    <row r="68" spans="2:19" x14ac:dyDescent="0.2">
      <c r="B68" s="548" t="s">
        <v>176</v>
      </c>
      <c r="C68" s="532"/>
      <c r="I68" s="544"/>
      <c r="J68" s="549"/>
      <c r="K68" s="550"/>
      <c r="L68" s="550"/>
      <c r="M68" s="550"/>
      <c r="N68" s="550"/>
      <c r="O68" s="551"/>
      <c r="Q68" s="540"/>
      <c r="R68" s="540"/>
      <c r="S68" s="540"/>
    </row>
    <row r="69" spans="2:19" ht="27" customHeight="1" thickBot="1" x14ac:dyDescent="0.25">
      <c r="B69" s="548"/>
      <c r="C69" s="532"/>
      <c r="G69" s="552" t="s">
        <v>177</v>
      </c>
      <c r="H69" s="552" t="s">
        <v>178</v>
      </c>
      <c r="I69" s="544"/>
      <c r="J69" s="981" t="s">
        <v>179</v>
      </c>
      <c r="K69" s="982"/>
      <c r="L69" s="553"/>
      <c r="M69" s="553"/>
      <c r="N69" s="553"/>
      <c r="O69" s="554"/>
      <c r="Q69" s="540"/>
      <c r="R69" s="540"/>
      <c r="S69" s="540"/>
    </row>
    <row r="70" spans="2:19" ht="12.75" customHeight="1" x14ac:dyDescent="0.2">
      <c r="B70" s="968" t="s">
        <v>180</v>
      </c>
      <c r="C70" s="971" t="s">
        <v>181</v>
      </c>
      <c r="D70" s="973" t="s">
        <v>182</v>
      </c>
      <c r="E70" s="974"/>
      <c r="F70" s="974"/>
      <c r="G70" s="555">
        <f>+O45</f>
        <v>120000</v>
      </c>
      <c r="H70" s="556">
        <f t="shared" ref="H70:H78" si="11">+G70</f>
        <v>120000</v>
      </c>
      <c r="I70" s="544"/>
      <c r="J70" s="545" t="s">
        <v>231</v>
      </c>
      <c r="K70" s="539"/>
      <c r="L70" s="539"/>
      <c r="M70" s="539" t="s">
        <v>232</v>
      </c>
      <c r="N70" s="539" t="s">
        <v>233</v>
      </c>
      <c r="O70" s="558"/>
      <c r="Q70" s="540"/>
      <c r="R70" s="540"/>
      <c r="S70" s="540"/>
    </row>
    <row r="71" spans="2:19" ht="12.75" customHeight="1" x14ac:dyDescent="0.2">
      <c r="B71" s="969"/>
      <c r="C71" s="972"/>
      <c r="D71" s="975" t="s">
        <v>184</v>
      </c>
      <c r="E71" s="976"/>
      <c r="F71" s="976"/>
      <c r="G71" s="559">
        <f>+O49+O71</f>
        <v>30732</v>
      </c>
      <c r="H71" s="560">
        <f t="shared" si="11"/>
        <v>30732</v>
      </c>
      <c r="I71" s="544"/>
      <c r="J71" s="619"/>
      <c r="K71" s="550"/>
      <c r="L71" s="550"/>
      <c r="M71" s="550"/>
      <c r="N71" s="550"/>
      <c r="O71" s="551"/>
      <c r="Q71" s="540"/>
      <c r="R71" s="540"/>
      <c r="S71" s="540"/>
    </row>
    <row r="72" spans="2:19" ht="12.75" customHeight="1" x14ac:dyDescent="0.2">
      <c r="B72" s="969"/>
      <c r="C72" s="972"/>
      <c r="D72" s="990" t="s">
        <v>185</v>
      </c>
      <c r="E72" s="991"/>
      <c r="F72" s="991"/>
      <c r="G72" s="563">
        <f>O42</f>
        <v>360</v>
      </c>
      <c r="H72" s="560">
        <f t="shared" si="11"/>
        <v>360</v>
      </c>
      <c r="I72" s="544"/>
      <c r="J72" s="549"/>
      <c r="K72" s="550"/>
      <c r="L72" s="550"/>
      <c r="M72" s="550"/>
      <c r="N72" s="550"/>
      <c r="O72" s="551"/>
    </row>
    <row r="73" spans="2:19" x14ac:dyDescent="0.2">
      <c r="B73" s="969"/>
      <c r="C73" s="972"/>
      <c r="D73" s="975" t="s">
        <v>186</v>
      </c>
      <c r="E73" s="976"/>
      <c r="F73" s="976"/>
      <c r="G73" s="565">
        <v>0</v>
      </c>
      <c r="H73" s="560">
        <f t="shared" si="11"/>
        <v>0</v>
      </c>
      <c r="I73" s="544"/>
      <c r="J73" s="572" t="s">
        <v>187</v>
      </c>
      <c r="K73" s="553"/>
      <c r="L73" s="553"/>
      <c r="M73" s="553"/>
      <c r="N73" s="553"/>
      <c r="O73" s="554"/>
    </row>
    <row r="74" spans="2:19" ht="12.75" customHeight="1" x14ac:dyDescent="0.2">
      <c r="B74" s="969"/>
      <c r="C74" s="972"/>
      <c r="D74" s="950" t="s">
        <v>188</v>
      </c>
      <c r="E74" s="976"/>
      <c r="F74" s="976"/>
      <c r="G74" s="563">
        <v>0</v>
      </c>
      <c r="H74" s="560">
        <f t="shared" si="11"/>
        <v>0</v>
      </c>
      <c r="I74" s="544"/>
      <c r="J74" s="545" t="s">
        <v>189</v>
      </c>
      <c r="K74" s="534"/>
      <c r="L74" s="534"/>
      <c r="M74" s="534"/>
      <c r="N74" s="534"/>
      <c r="O74" s="570">
        <f>O44</f>
        <v>4600</v>
      </c>
    </row>
    <row r="75" spans="2:19" ht="14.25" customHeight="1" x14ac:dyDescent="0.2">
      <c r="B75" s="969"/>
      <c r="C75" s="972"/>
      <c r="D75" s="975" t="s">
        <v>190</v>
      </c>
      <c r="E75" s="976"/>
      <c r="F75" s="976"/>
      <c r="G75" s="568">
        <v>0</v>
      </c>
      <c r="H75" s="560">
        <f t="shared" si="11"/>
        <v>0</v>
      </c>
      <c r="I75" s="544"/>
      <c r="J75" s="545"/>
      <c r="K75" s="529"/>
      <c r="L75" s="529"/>
      <c r="M75" s="529"/>
      <c r="N75" s="529"/>
      <c r="O75" s="546"/>
    </row>
    <row r="76" spans="2:19" x14ac:dyDescent="0.2">
      <c r="B76" s="969"/>
      <c r="C76" s="972"/>
      <c r="D76" s="975" t="s">
        <v>191</v>
      </c>
      <c r="E76" s="976"/>
      <c r="F76" s="976"/>
      <c r="G76" s="565">
        <v>224388</v>
      </c>
      <c r="H76" s="560">
        <f t="shared" si="11"/>
        <v>224388</v>
      </c>
      <c r="I76" s="539"/>
      <c r="J76" s="569"/>
      <c r="K76" s="534"/>
      <c r="L76" s="534"/>
      <c r="M76" s="534"/>
      <c r="N76" s="534"/>
      <c r="O76" s="570"/>
    </row>
    <row r="77" spans="2:19" x14ac:dyDescent="0.2">
      <c r="B77" s="969"/>
      <c r="C77" s="571" t="s">
        <v>192</v>
      </c>
      <c r="D77" s="984" t="s">
        <v>193</v>
      </c>
      <c r="E77" s="985"/>
      <c r="F77" s="985"/>
      <c r="G77" s="563">
        <v>0</v>
      </c>
      <c r="H77" s="560">
        <f t="shared" si="11"/>
        <v>0</v>
      </c>
      <c r="I77" s="539"/>
      <c r="J77" s="619"/>
      <c r="K77" s="529"/>
      <c r="L77" s="529"/>
      <c r="M77" s="529"/>
      <c r="N77" s="529"/>
      <c r="O77" s="546"/>
    </row>
    <row r="78" spans="2:19" ht="13.5" customHeight="1" thickBot="1" x14ac:dyDescent="0.25">
      <c r="B78" s="969"/>
      <c r="C78" s="571" t="s">
        <v>194</v>
      </c>
      <c r="D78" s="986" t="s">
        <v>195</v>
      </c>
      <c r="E78" s="986"/>
      <c r="F78" s="986"/>
      <c r="G78" s="573">
        <v>0</v>
      </c>
      <c r="H78" s="574">
        <f t="shared" si="11"/>
        <v>0</v>
      </c>
      <c r="I78" s="544"/>
      <c r="J78" s="549"/>
      <c r="K78" s="550"/>
      <c r="L78" s="550"/>
      <c r="M78" s="620"/>
      <c r="N78" s="620"/>
      <c r="O78" s="621"/>
    </row>
    <row r="79" spans="2:19" ht="13.5" thickBot="1" x14ac:dyDescent="0.25">
      <c r="B79" s="969"/>
      <c r="C79" s="575"/>
      <c r="D79" s="576"/>
      <c r="E79" s="987" t="s">
        <v>117</v>
      </c>
      <c r="F79" s="988"/>
      <c r="G79" s="577">
        <f>SUM(G70:G78)</f>
        <v>375480</v>
      </c>
      <c r="H79" s="578">
        <f>IF(SUM(G70:G76)&lt;150000,SUM(G70:G76),150000)+IF(+G77&lt;20000,+G77,20000)</f>
        <v>150000</v>
      </c>
      <c r="I79" s="544"/>
      <c r="J79" s="579"/>
      <c r="K79" s="580"/>
      <c r="L79" s="580"/>
      <c r="M79" s="581"/>
      <c r="N79" s="581"/>
      <c r="O79" s="582"/>
    </row>
    <row r="80" spans="2:19" ht="12.75" customHeight="1" x14ac:dyDescent="0.2">
      <c r="B80" s="969"/>
      <c r="C80" s="583" t="s">
        <v>196</v>
      </c>
      <c r="D80" s="975" t="s">
        <v>187</v>
      </c>
      <c r="E80" s="976"/>
      <c r="F80" s="989"/>
      <c r="G80" s="555">
        <f>+O44</f>
        <v>4600</v>
      </c>
      <c r="H80" s="584">
        <f>+IF(+G80&lt;25000,+G80,25000)</f>
        <v>4600</v>
      </c>
      <c r="I80" s="585"/>
    </row>
    <row r="81" spans="2:12" x14ac:dyDescent="0.2">
      <c r="B81" s="969"/>
      <c r="C81" s="583" t="s">
        <v>197</v>
      </c>
      <c r="D81" s="950" t="s">
        <v>198</v>
      </c>
      <c r="E81" s="951"/>
      <c r="F81" s="952"/>
      <c r="G81" s="586"/>
      <c r="H81" s="587">
        <f>+IF(+G81&lt;40000,+G81,40000)</f>
        <v>0</v>
      </c>
      <c r="I81" s="544"/>
    </row>
    <row r="82" spans="2:12" x14ac:dyDescent="0.2">
      <c r="B82" s="969"/>
      <c r="C82" s="583" t="s">
        <v>199</v>
      </c>
      <c r="D82" s="950" t="s">
        <v>200</v>
      </c>
      <c r="E82" s="951"/>
      <c r="F82" s="952"/>
      <c r="G82" s="565"/>
      <c r="H82" s="588">
        <v>0</v>
      </c>
      <c r="I82" s="544"/>
      <c r="J82" s="622"/>
      <c r="K82" s="622"/>
      <c r="L82" s="622"/>
    </row>
    <row r="83" spans="2:12" x14ac:dyDescent="0.2">
      <c r="B83" s="969"/>
      <c r="C83" s="583" t="s">
        <v>201</v>
      </c>
      <c r="D83" s="950" t="s">
        <v>202</v>
      </c>
      <c r="E83" s="951"/>
      <c r="F83" s="952"/>
      <c r="G83" s="565"/>
      <c r="H83" s="588">
        <v>0</v>
      </c>
      <c r="I83" s="544"/>
    </row>
    <row r="84" spans="2:12" ht="13.5" thickBot="1" x14ac:dyDescent="0.25">
      <c r="B84" s="970"/>
      <c r="C84" s="583" t="s">
        <v>203</v>
      </c>
      <c r="D84" s="950" t="s">
        <v>204</v>
      </c>
      <c r="E84" s="951"/>
      <c r="F84" s="952"/>
      <c r="G84" s="586"/>
      <c r="H84" s="587">
        <f>+IF(+G84&lt;100000,+G84,10000)</f>
        <v>0</v>
      </c>
      <c r="I84" s="544"/>
      <c r="J84" s="590"/>
    </row>
    <row r="85" spans="2:12" ht="13.5" thickBot="1" x14ac:dyDescent="0.25">
      <c r="B85" s="953" t="s">
        <v>205</v>
      </c>
      <c r="C85" s="954"/>
      <c r="D85" s="954"/>
      <c r="E85" s="954"/>
      <c r="F85" s="954"/>
      <c r="G85" s="591">
        <f>SUM(G80:G84)</f>
        <v>4600</v>
      </c>
      <c r="H85" s="592">
        <f>SUM(H79:H84)</f>
        <v>154600</v>
      </c>
    </row>
    <row r="86" spans="2:12" ht="13.5" thickBot="1" x14ac:dyDescent="0.25"/>
    <row r="87" spans="2:12" ht="13.5" thickBot="1" x14ac:dyDescent="0.25">
      <c r="B87" s="955" t="s">
        <v>206</v>
      </c>
      <c r="C87" s="956"/>
      <c r="D87" s="956"/>
      <c r="E87" s="956"/>
      <c r="F87" s="957"/>
      <c r="G87" s="958">
        <f>+G66-H85</f>
        <v>1378306</v>
      </c>
      <c r="H87" s="957"/>
      <c r="J87" s="605">
        <f>C39+D39+E39+F39</f>
        <v>1013410</v>
      </c>
      <c r="K87" s="504" t="s">
        <v>235</v>
      </c>
    </row>
    <row r="88" spans="2:12" x14ac:dyDescent="0.2">
      <c r="B88" s="594"/>
      <c r="F88" s="593"/>
      <c r="J88" s="605">
        <f>G39+H39+I39</f>
        <v>215616</v>
      </c>
      <c r="K88" s="504" t="s">
        <v>236</v>
      </c>
    </row>
    <row r="89" spans="2:12" x14ac:dyDescent="0.2">
      <c r="C89" s="959" t="s">
        <v>207</v>
      </c>
      <c r="D89" s="960"/>
      <c r="E89" s="595" t="s">
        <v>208</v>
      </c>
      <c r="F89" s="595" t="s">
        <v>209</v>
      </c>
      <c r="G89" s="595" t="s">
        <v>210</v>
      </c>
      <c r="H89" s="595" t="s">
        <v>211</v>
      </c>
      <c r="J89" s="605">
        <f>J39+K39+L39</f>
        <v>229496</v>
      </c>
      <c r="K89" s="531" t="s">
        <v>237</v>
      </c>
    </row>
    <row r="90" spans="2:12" x14ac:dyDescent="0.2">
      <c r="C90" s="961" t="str">
        <f>IF(I6="M","0          - 250000","0          -  250000")</f>
        <v>0          - 250000</v>
      </c>
      <c r="D90" s="962"/>
      <c r="E90" s="597">
        <v>0</v>
      </c>
      <c r="F90" s="598">
        <f>IF(I6="M",(IF(G87&lt;250000,G87,250000)),(IF(G87&lt;250000,G87,250000)))</f>
        <v>250000</v>
      </c>
      <c r="G90" s="598">
        <f>G87-F90</f>
        <v>1128306</v>
      </c>
      <c r="H90" s="598">
        <f>E90*F90</f>
        <v>0</v>
      </c>
      <c r="J90" s="504">
        <f>M39+N39</f>
        <v>146168</v>
      </c>
      <c r="K90" s="490" t="s">
        <v>238</v>
      </c>
    </row>
    <row r="91" spans="2:12" x14ac:dyDescent="0.2">
      <c r="C91" s="961" t="str">
        <f>IF(I6="M","250001 - 500000","250001-500000")</f>
        <v>250001 - 500000</v>
      </c>
      <c r="D91" s="962"/>
      <c r="E91" s="597">
        <v>0.05</v>
      </c>
      <c r="F91" s="598">
        <f>IF(I6="M",(IF(G90&lt;250000,G90,250000)),(IF(G90&lt;250000,G90,250000)))</f>
        <v>250000</v>
      </c>
      <c r="G91" s="598">
        <f>G90-F91</f>
        <v>878306</v>
      </c>
      <c r="H91" s="600">
        <f>ROUND(E91*F91,0.1)</f>
        <v>12500</v>
      </c>
      <c r="J91" s="601">
        <f>SUM(J87:J90)</f>
        <v>1604690</v>
      </c>
    </row>
    <row r="92" spans="2:12" x14ac:dyDescent="0.2">
      <c r="C92" s="963" t="s">
        <v>212</v>
      </c>
      <c r="D92" s="964"/>
      <c r="E92" s="597">
        <v>0.2</v>
      </c>
      <c r="F92" s="598">
        <f>IF(G91&lt;500000,G91,500000)</f>
        <v>500000</v>
      </c>
      <c r="G92" s="598">
        <f>G91-F92</f>
        <v>378306</v>
      </c>
      <c r="H92" s="600">
        <f>ROUND(E92*F92,0.1)</f>
        <v>100000</v>
      </c>
      <c r="J92" s="504">
        <f>+G87</f>
        <v>1378306</v>
      </c>
    </row>
    <row r="93" spans="2:12" x14ac:dyDescent="0.2">
      <c r="C93" s="961" t="s">
        <v>213</v>
      </c>
      <c r="D93" s="962"/>
      <c r="E93" s="597">
        <v>0.3</v>
      </c>
      <c r="F93" s="598">
        <f>G92</f>
        <v>378306</v>
      </c>
      <c r="G93" s="598">
        <f>G92-F93</f>
        <v>0</v>
      </c>
      <c r="H93" s="600">
        <f>ROUND(E93*F93,0.1)</f>
        <v>113492</v>
      </c>
      <c r="J93" s="504">
        <f>+J92-J91</f>
        <v>-226384</v>
      </c>
    </row>
    <row r="94" spans="2:12" ht="12.75" customHeight="1" thickBot="1" x14ac:dyDescent="0.25">
      <c r="B94" s="602"/>
      <c r="C94" s="603"/>
      <c r="D94" s="531"/>
      <c r="E94" s="531"/>
      <c r="F94" s="531"/>
      <c r="J94" s="504">
        <f>+J93/4</f>
        <v>-56596</v>
      </c>
      <c r="K94" s="623"/>
    </row>
    <row r="95" spans="2:12" ht="13.5" thickBot="1" x14ac:dyDescent="0.25">
      <c r="B95" s="965" t="s">
        <v>239</v>
      </c>
      <c r="C95" s="966"/>
      <c r="D95" s="966"/>
      <c r="E95" s="966"/>
      <c r="F95" s="967"/>
      <c r="G95" s="943">
        <f>H90+H91+H92+H93</f>
        <v>225992</v>
      </c>
      <c r="H95" s="944"/>
    </row>
    <row r="96" spans="2:12" ht="13.5" thickBot="1" x14ac:dyDescent="0.25">
      <c r="B96" s="606" t="s">
        <v>1354</v>
      </c>
      <c r="C96" s="607"/>
      <c r="D96" s="607"/>
      <c r="E96" s="607"/>
      <c r="F96" s="607"/>
      <c r="G96" s="1080">
        <v>118695</v>
      </c>
      <c r="H96" s="1081"/>
      <c r="I96" s="504" t="s">
        <v>1355</v>
      </c>
    </row>
    <row r="97" spans="2:12" ht="13.5" thickBot="1" x14ac:dyDescent="0.25">
      <c r="B97" s="606" t="s">
        <v>215</v>
      </c>
      <c r="C97" s="607"/>
      <c r="D97" s="607"/>
      <c r="E97" s="607"/>
      <c r="F97" s="607"/>
      <c r="G97" s="1082">
        <f>IF((G66&lt;500000),5000,0)</f>
        <v>0</v>
      </c>
      <c r="H97" s="1083">
        <f>IF(H94&lt;200000,0,IF(H94&lt;220000,((H94-200000)*10%),IF(H94&lt;=500000,2000,IF(H94&gt;=500000,0))))</f>
        <v>0</v>
      </c>
      <c r="J97" s="490"/>
      <c r="K97" s="610"/>
      <c r="L97" s="610"/>
    </row>
    <row r="98" spans="2:12" ht="13.5" thickBot="1" x14ac:dyDescent="0.25">
      <c r="B98" s="611" t="s">
        <v>216</v>
      </c>
      <c r="C98" s="612"/>
      <c r="D98" s="612"/>
      <c r="E98" s="612"/>
      <c r="F98" s="612"/>
      <c r="G98" s="943">
        <f>IF((G95-G96-G97)&lt;0,0,(G95-G96-G97))</f>
        <v>107297</v>
      </c>
      <c r="H98" s="944"/>
      <c r="I98" s="527"/>
    </row>
    <row r="99" spans="2:12" ht="13.5" thickBot="1" x14ac:dyDescent="0.25">
      <c r="B99" s="945" t="s">
        <v>217</v>
      </c>
      <c r="C99" s="946"/>
      <c r="D99" s="946"/>
      <c r="E99" s="946"/>
      <c r="F99" s="947"/>
      <c r="G99" s="948">
        <f>ROUND((IF(G98&gt;0,(G98*3%),0)),0)</f>
        <v>3219</v>
      </c>
      <c r="H99" s="949"/>
      <c r="I99" s="527"/>
    </row>
    <row r="100" spans="2:12" ht="13.5" thickBot="1" x14ac:dyDescent="0.25">
      <c r="B100" s="933" t="s">
        <v>218</v>
      </c>
      <c r="C100" s="934"/>
      <c r="D100" s="934"/>
      <c r="E100" s="934"/>
      <c r="F100" s="934"/>
      <c r="G100" s="935">
        <f>G98+G99</f>
        <v>110516</v>
      </c>
      <c r="H100" s="936"/>
      <c r="I100" s="610"/>
    </row>
    <row r="101" spans="2:12" ht="13.5" thickBot="1" x14ac:dyDescent="0.25">
      <c r="B101" s="937" t="s">
        <v>219</v>
      </c>
      <c r="C101" s="938"/>
      <c r="D101" s="938"/>
      <c r="E101" s="938"/>
      <c r="F101" s="938"/>
      <c r="G101" s="939">
        <f>O40</f>
        <v>111352</v>
      </c>
      <c r="H101" s="940"/>
      <c r="I101" s="610"/>
    </row>
    <row r="102" spans="2:12" ht="13.5" thickBot="1" x14ac:dyDescent="0.25">
      <c r="B102" s="937" t="str">
        <f>IF(G102&gt;0,"TAX PAYABLE","TAX REFUND")</f>
        <v>TAX REFUND</v>
      </c>
      <c r="C102" s="938"/>
      <c r="D102" s="938"/>
      <c r="E102" s="938"/>
      <c r="F102" s="938"/>
      <c r="G102" s="939">
        <f>+G100-G101</f>
        <v>-836</v>
      </c>
      <c r="H102" s="940"/>
      <c r="I102" s="527"/>
    </row>
    <row r="103" spans="2:12" x14ac:dyDescent="0.2">
      <c r="C103" s="529"/>
      <c r="D103" s="615"/>
      <c r="E103" s="615"/>
      <c r="F103" s="529"/>
      <c r="G103" s="529"/>
      <c r="H103" s="529"/>
    </row>
    <row r="104" spans="2:12" x14ac:dyDescent="0.2">
      <c r="C104" s="529"/>
      <c r="D104" s="529"/>
      <c r="E104" s="529"/>
      <c r="F104" s="529"/>
      <c r="G104" s="529"/>
      <c r="H104" s="529"/>
    </row>
    <row r="105" spans="2:12" x14ac:dyDescent="0.2">
      <c r="C105" s="529"/>
      <c r="D105" s="529"/>
      <c r="E105" s="529"/>
      <c r="F105" s="529"/>
      <c r="G105" s="529"/>
      <c r="H105" s="529"/>
    </row>
    <row r="106" spans="2:12" x14ac:dyDescent="0.2">
      <c r="C106" s="529"/>
      <c r="D106" s="529"/>
      <c r="E106" s="529"/>
      <c r="F106" s="529"/>
      <c r="G106" s="529"/>
      <c r="H106" s="529"/>
    </row>
  </sheetData>
  <mergeCells count="93">
    <mergeCell ref="B101:F101"/>
    <mergeCell ref="G101:H101"/>
    <mergeCell ref="B102:F102"/>
    <mergeCell ref="G102:H102"/>
    <mergeCell ref="G96:H96"/>
    <mergeCell ref="G97:H97"/>
    <mergeCell ref="G98:H98"/>
    <mergeCell ref="B99:F99"/>
    <mergeCell ref="G99:H99"/>
    <mergeCell ref="B100:F100"/>
    <mergeCell ref="G100:H100"/>
    <mergeCell ref="G95:H95"/>
    <mergeCell ref="D83:F83"/>
    <mergeCell ref="D84:F84"/>
    <mergeCell ref="B85:F85"/>
    <mergeCell ref="B87:F87"/>
    <mergeCell ref="G87:H87"/>
    <mergeCell ref="C89:D89"/>
    <mergeCell ref="C90:D90"/>
    <mergeCell ref="C91:D91"/>
    <mergeCell ref="C92:D92"/>
    <mergeCell ref="C93:D93"/>
    <mergeCell ref="B95:F95"/>
    <mergeCell ref="D82:F82"/>
    <mergeCell ref="J69:K69"/>
    <mergeCell ref="B70:B84"/>
    <mergeCell ref="C70:C76"/>
    <mergeCell ref="D70:F70"/>
    <mergeCell ref="D71:F71"/>
    <mergeCell ref="D72:F72"/>
    <mergeCell ref="D73:F73"/>
    <mergeCell ref="D74:F74"/>
    <mergeCell ref="D75:F75"/>
    <mergeCell ref="D76:F76"/>
    <mergeCell ref="D77:F77"/>
    <mergeCell ref="D78:F78"/>
    <mergeCell ref="E79:F79"/>
    <mergeCell ref="D80:F80"/>
    <mergeCell ref="D81:F81"/>
    <mergeCell ref="B66:F66"/>
    <mergeCell ref="G66:H66"/>
    <mergeCell ref="J58:L58"/>
    <mergeCell ref="M58:O58"/>
    <mergeCell ref="D59:F59"/>
    <mergeCell ref="G59:H59"/>
    <mergeCell ref="B61:F61"/>
    <mergeCell ref="G61:H61"/>
    <mergeCell ref="J61:O61"/>
    <mergeCell ref="B63:F63"/>
    <mergeCell ref="G63:H63"/>
    <mergeCell ref="C64:F64"/>
    <mergeCell ref="G64:H64"/>
    <mergeCell ref="J64:O64"/>
    <mergeCell ref="A51:B51"/>
    <mergeCell ref="A52:B52"/>
    <mergeCell ref="B55:F55"/>
    <mergeCell ref="G55:H55"/>
    <mergeCell ref="B57:B59"/>
    <mergeCell ref="C57:C59"/>
    <mergeCell ref="D57:F57"/>
    <mergeCell ref="G57:H57"/>
    <mergeCell ref="D58:F58"/>
    <mergeCell ref="G58:H58"/>
    <mergeCell ref="A40:A50"/>
    <mergeCell ref="A5:C5"/>
    <mergeCell ref="D5:F5"/>
    <mergeCell ref="G5:H5"/>
    <mergeCell ref="I5:O5"/>
    <mergeCell ref="A6:C6"/>
    <mergeCell ref="D6:F6"/>
    <mergeCell ref="G6:H6"/>
    <mergeCell ref="J6:O6"/>
    <mergeCell ref="L7:O7"/>
    <mergeCell ref="A8:B8"/>
    <mergeCell ref="A22:A35"/>
    <mergeCell ref="A37:B37"/>
    <mergeCell ref="A38:B38"/>
    <mergeCell ref="A3:C3"/>
    <mergeCell ref="D3:F3"/>
    <mergeCell ref="G3:H3"/>
    <mergeCell ref="I3:O3"/>
    <mergeCell ref="A4:C4"/>
    <mergeCell ref="D4:F4"/>
    <mergeCell ref="G4:H4"/>
    <mergeCell ref="I4:O4"/>
    <mergeCell ref="A1:C1"/>
    <mergeCell ref="D1:F1"/>
    <mergeCell ref="G1:H1"/>
    <mergeCell ref="I1:O1"/>
    <mergeCell ref="A2:C2"/>
    <mergeCell ref="D2:F2"/>
    <mergeCell ref="G2:H2"/>
    <mergeCell ref="I2:O2"/>
  </mergeCells>
  <conditionalFormatting sqref="B92:F92 B102:F102 B95:F100">
    <cfRule type="cellIs" dxfId="25" priority="1" stopIfTrue="1" operator="equal">
      <formula>"TAX PAYABLE"</formula>
    </cfRule>
    <cfRule type="cellIs" dxfId="24" priority="2" stopIfTrue="1" operator="equal">
      <formula>"TAX REFUND"</formula>
    </cfRule>
  </conditionalFormatting>
  <conditionalFormatting sqref="G92:H92">
    <cfRule type="cellIs" dxfId="23" priority="3" stopIfTrue="1" operator="lessThan">
      <formula>0</formula>
    </cfRule>
    <cfRule type="cellIs" dxfId="22" priority="4" stopIfTrue="1" operator="greaterThan">
      <formula>0</formula>
    </cfRule>
  </conditionalFormatting>
  <conditionalFormatting sqref="G102:H102">
    <cfRule type="cellIs" dxfId="21" priority="5" stopIfTrue="1" operator="greaterThan">
      <formula>0</formula>
    </cfRule>
    <cfRule type="cellIs" dxfId="20" priority="6"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$Q$8:$Q$9</formula1>
    </dataValidation>
  </dataValidations>
  <pageMargins left="0.7" right="0.7" top="0.75" bottom="0.75" header="0.3" footer="0.3"/>
  <pageSetup paperSize="5" orientation="landscape" horizontalDpi="300" verticalDpi="300" r:id="rId1"/>
  <headerFooter alignWithMargins="0"/>
  <legacyDrawing r:id="rId2"/>
</worksheet>
</file>

<file path=xl/worksheets/sheet1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08"/>
  <sheetViews>
    <sheetView workbookViewId="0">
      <selection sqref="A1:XFD1048576"/>
    </sheetView>
  </sheetViews>
  <sheetFormatPr defaultRowHeight="12.75" x14ac:dyDescent="0.2"/>
  <cols>
    <col min="1" max="1" width="5" style="504" customWidth="1"/>
    <col min="2" max="2" width="19.42578125" style="527" customWidth="1"/>
    <col min="3" max="3" width="10.7109375" style="504" bestFit="1" customWidth="1"/>
    <col min="4" max="4" width="7" style="504" bestFit="1" customWidth="1"/>
    <col min="5" max="5" width="8.5703125" style="504" bestFit="1" customWidth="1"/>
    <col min="6" max="6" width="9.28515625" style="504" bestFit="1" customWidth="1"/>
    <col min="7" max="7" width="10.42578125" style="504" bestFit="1" customWidth="1"/>
    <col min="8" max="8" width="10.28515625" style="504" bestFit="1" customWidth="1"/>
    <col min="9" max="9" width="7.140625" style="504" bestFit="1" customWidth="1"/>
    <col min="10" max="10" width="7" style="504" customWidth="1"/>
    <col min="11" max="11" width="8" style="504" bestFit="1" customWidth="1"/>
    <col min="12" max="12" width="7" style="504" bestFit="1" customWidth="1"/>
    <col min="13" max="13" width="6.85546875" style="504" bestFit="1" customWidth="1"/>
    <col min="14" max="14" width="7" style="504" bestFit="1" customWidth="1"/>
    <col min="15" max="15" width="8.85546875" style="504" customWidth="1"/>
    <col min="16" max="19" width="9.140625" style="504"/>
    <col min="20" max="20" width="12.42578125" style="504" customWidth="1"/>
    <col min="21" max="21" width="9.140625" style="504"/>
    <col min="22" max="22" width="12" style="504" customWidth="1"/>
    <col min="23" max="256" width="9.140625" style="504"/>
    <col min="257" max="257" width="5" style="504" customWidth="1"/>
    <col min="258" max="258" width="19.42578125" style="504" customWidth="1"/>
    <col min="259" max="259" width="10.7109375" style="504" bestFit="1" customWidth="1"/>
    <col min="260" max="260" width="7" style="504" bestFit="1" customWidth="1"/>
    <col min="261" max="261" width="8.5703125" style="504" bestFit="1" customWidth="1"/>
    <col min="262" max="262" width="9.28515625" style="504" bestFit="1" customWidth="1"/>
    <col min="263" max="263" width="10.42578125" style="504" bestFit="1" customWidth="1"/>
    <col min="264" max="264" width="10.28515625" style="504" bestFit="1" customWidth="1"/>
    <col min="265" max="265" width="7.140625" style="504" bestFit="1" customWidth="1"/>
    <col min="266" max="266" width="7" style="504" customWidth="1"/>
    <col min="267" max="267" width="8" style="504" bestFit="1" customWidth="1"/>
    <col min="268" max="268" width="7" style="504" bestFit="1" customWidth="1"/>
    <col min="269" max="269" width="6.85546875" style="504" bestFit="1" customWidth="1"/>
    <col min="270" max="270" width="7" style="504" bestFit="1" customWidth="1"/>
    <col min="271" max="271" width="8.85546875" style="504" customWidth="1"/>
    <col min="272" max="275" width="9.140625" style="504"/>
    <col min="276" max="276" width="12.42578125" style="504" customWidth="1"/>
    <col min="277" max="277" width="9.140625" style="504"/>
    <col min="278" max="278" width="12" style="504" customWidth="1"/>
    <col min="279" max="512" width="9.140625" style="504"/>
    <col min="513" max="513" width="5" style="504" customWidth="1"/>
    <col min="514" max="514" width="19.42578125" style="504" customWidth="1"/>
    <col min="515" max="515" width="10.7109375" style="504" bestFit="1" customWidth="1"/>
    <col min="516" max="516" width="7" style="504" bestFit="1" customWidth="1"/>
    <col min="517" max="517" width="8.5703125" style="504" bestFit="1" customWidth="1"/>
    <col min="518" max="518" width="9.28515625" style="504" bestFit="1" customWidth="1"/>
    <col min="519" max="519" width="10.42578125" style="504" bestFit="1" customWidth="1"/>
    <col min="520" max="520" width="10.28515625" style="504" bestFit="1" customWidth="1"/>
    <col min="521" max="521" width="7.140625" style="504" bestFit="1" customWidth="1"/>
    <col min="522" max="522" width="7" style="504" customWidth="1"/>
    <col min="523" max="523" width="8" style="504" bestFit="1" customWidth="1"/>
    <col min="524" max="524" width="7" style="504" bestFit="1" customWidth="1"/>
    <col min="525" max="525" width="6.85546875" style="504" bestFit="1" customWidth="1"/>
    <col min="526" max="526" width="7" style="504" bestFit="1" customWidth="1"/>
    <col min="527" max="527" width="8.85546875" style="504" customWidth="1"/>
    <col min="528" max="531" width="9.140625" style="504"/>
    <col min="532" max="532" width="12.42578125" style="504" customWidth="1"/>
    <col min="533" max="533" width="9.140625" style="504"/>
    <col min="534" max="534" width="12" style="504" customWidth="1"/>
    <col min="535" max="768" width="9.140625" style="504"/>
    <col min="769" max="769" width="5" style="504" customWidth="1"/>
    <col min="770" max="770" width="19.42578125" style="504" customWidth="1"/>
    <col min="771" max="771" width="10.7109375" style="504" bestFit="1" customWidth="1"/>
    <col min="772" max="772" width="7" style="504" bestFit="1" customWidth="1"/>
    <col min="773" max="773" width="8.5703125" style="504" bestFit="1" customWidth="1"/>
    <col min="774" max="774" width="9.28515625" style="504" bestFit="1" customWidth="1"/>
    <col min="775" max="775" width="10.42578125" style="504" bestFit="1" customWidth="1"/>
    <col min="776" max="776" width="10.28515625" style="504" bestFit="1" customWidth="1"/>
    <col min="777" max="777" width="7.140625" style="504" bestFit="1" customWidth="1"/>
    <col min="778" max="778" width="7" style="504" customWidth="1"/>
    <col min="779" max="779" width="8" style="504" bestFit="1" customWidth="1"/>
    <col min="780" max="780" width="7" style="504" bestFit="1" customWidth="1"/>
    <col min="781" max="781" width="6.85546875" style="504" bestFit="1" customWidth="1"/>
    <col min="782" max="782" width="7" style="504" bestFit="1" customWidth="1"/>
    <col min="783" max="783" width="8.85546875" style="504" customWidth="1"/>
    <col min="784" max="787" width="9.140625" style="504"/>
    <col min="788" max="788" width="12.42578125" style="504" customWidth="1"/>
    <col min="789" max="789" width="9.140625" style="504"/>
    <col min="790" max="790" width="12" style="504" customWidth="1"/>
    <col min="791" max="1024" width="9.140625" style="504"/>
    <col min="1025" max="1025" width="5" style="504" customWidth="1"/>
    <col min="1026" max="1026" width="19.42578125" style="504" customWidth="1"/>
    <col min="1027" max="1027" width="10.7109375" style="504" bestFit="1" customWidth="1"/>
    <col min="1028" max="1028" width="7" style="504" bestFit="1" customWidth="1"/>
    <col min="1029" max="1029" width="8.5703125" style="504" bestFit="1" customWidth="1"/>
    <col min="1030" max="1030" width="9.28515625" style="504" bestFit="1" customWidth="1"/>
    <col min="1031" max="1031" width="10.42578125" style="504" bestFit="1" customWidth="1"/>
    <col min="1032" max="1032" width="10.28515625" style="504" bestFit="1" customWidth="1"/>
    <col min="1033" max="1033" width="7.140625" style="504" bestFit="1" customWidth="1"/>
    <col min="1034" max="1034" width="7" style="504" customWidth="1"/>
    <col min="1035" max="1035" width="8" style="504" bestFit="1" customWidth="1"/>
    <col min="1036" max="1036" width="7" style="504" bestFit="1" customWidth="1"/>
    <col min="1037" max="1037" width="6.85546875" style="504" bestFit="1" customWidth="1"/>
    <col min="1038" max="1038" width="7" style="504" bestFit="1" customWidth="1"/>
    <col min="1039" max="1039" width="8.85546875" style="504" customWidth="1"/>
    <col min="1040" max="1043" width="9.140625" style="504"/>
    <col min="1044" max="1044" width="12.42578125" style="504" customWidth="1"/>
    <col min="1045" max="1045" width="9.140625" style="504"/>
    <col min="1046" max="1046" width="12" style="504" customWidth="1"/>
    <col min="1047" max="1280" width="9.140625" style="504"/>
    <col min="1281" max="1281" width="5" style="504" customWidth="1"/>
    <col min="1282" max="1282" width="19.42578125" style="504" customWidth="1"/>
    <col min="1283" max="1283" width="10.7109375" style="504" bestFit="1" customWidth="1"/>
    <col min="1284" max="1284" width="7" style="504" bestFit="1" customWidth="1"/>
    <col min="1285" max="1285" width="8.5703125" style="504" bestFit="1" customWidth="1"/>
    <col min="1286" max="1286" width="9.28515625" style="504" bestFit="1" customWidth="1"/>
    <col min="1287" max="1287" width="10.42578125" style="504" bestFit="1" customWidth="1"/>
    <col min="1288" max="1288" width="10.28515625" style="504" bestFit="1" customWidth="1"/>
    <col min="1289" max="1289" width="7.140625" style="504" bestFit="1" customWidth="1"/>
    <col min="1290" max="1290" width="7" style="504" customWidth="1"/>
    <col min="1291" max="1291" width="8" style="504" bestFit="1" customWidth="1"/>
    <col min="1292" max="1292" width="7" style="504" bestFit="1" customWidth="1"/>
    <col min="1293" max="1293" width="6.85546875" style="504" bestFit="1" customWidth="1"/>
    <col min="1294" max="1294" width="7" style="504" bestFit="1" customWidth="1"/>
    <col min="1295" max="1295" width="8.85546875" style="504" customWidth="1"/>
    <col min="1296" max="1299" width="9.140625" style="504"/>
    <col min="1300" max="1300" width="12.42578125" style="504" customWidth="1"/>
    <col min="1301" max="1301" width="9.140625" style="504"/>
    <col min="1302" max="1302" width="12" style="504" customWidth="1"/>
    <col min="1303" max="1536" width="9.140625" style="504"/>
    <col min="1537" max="1537" width="5" style="504" customWidth="1"/>
    <col min="1538" max="1538" width="19.42578125" style="504" customWidth="1"/>
    <col min="1539" max="1539" width="10.7109375" style="504" bestFit="1" customWidth="1"/>
    <col min="1540" max="1540" width="7" style="504" bestFit="1" customWidth="1"/>
    <col min="1541" max="1541" width="8.5703125" style="504" bestFit="1" customWidth="1"/>
    <col min="1542" max="1542" width="9.28515625" style="504" bestFit="1" customWidth="1"/>
    <col min="1543" max="1543" width="10.42578125" style="504" bestFit="1" customWidth="1"/>
    <col min="1544" max="1544" width="10.28515625" style="504" bestFit="1" customWidth="1"/>
    <col min="1545" max="1545" width="7.140625" style="504" bestFit="1" customWidth="1"/>
    <col min="1546" max="1546" width="7" style="504" customWidth="1"/>
    <col min="1547" max="1547" width="8" style="504" bestFit="1" customWidth="1"/>
    <col min="1548" max="1548" width="7" style="504" bestFit="1" customWidth="1"/>
    <col min="1549" max="1549" width="6.85546875" style="504" bestFit="1" customWidth="1"/>
    <col min="1550" max="1550" width="7" style="504" bestFit="1" customWidth="1"/>
    <col min="1551" max="1551" width="8.85546875" style="504" customWidth="1"/>
    <col min="1552" max="1555" width="9.140625" style="504"/>
    <col min="1556" max="1556" width="12.42578125" style="504" customWidth="1"/>
    <col min="1557" max="1557" width="9.140625" style="504"/>
    <col min="1558" max="1558" width="12" style="504" customWidth="1"/>
    <col min="1559" max="1792" width="9.140625" style="504"/>
    <col min="1793" max="1793" width="5" style="504" customWidth="1"/>
    <col min="1794" max="1794" width="19.42578125" style="504" customWidth="1"/>
    <col min="1795" max="1795" width="10.7109375" style="504" bestFit="1" customWidth="1"/>
    <col min="1796" max="1796" width="7" style="504" bestFit="1" customWidth="1"/>
    <col min="1797" max="1797" width="8.5703125" style="504" bestFit="1" customWidth="1"/>
    <col min="1798" max="1798" width="9.28515625" style="504" bestFit="1" customWidth="1"/>
    <col min="1799" max="1799" width="10.42578125" style="504" bestFit="1" customWidth="1"/>
    <col min="1800" max="1800" width="10.28515625" style="504" bestFit="1" customWidth="1"/>
    <col min="1801" max="1801" width="7.140625" style="504" bestFit="1" customWidth="1"/>
    <col min="1802" max="1802" width="7" style="504" customWidth="1"/>
    <col min="1803" max="1803" width="8" style="504" bestFit="1" customWidth="1"/>
    <col min="1804" max="1804" width="7" style="504" bestFit="1" customWidth="1"/>
    <col min="1805" max="1805" width="6.85546875" style="504" bestFit="1" customWidth="1"/>
    <col min="1806" max="1806" width="7" style="504" bestFit="1" customWidth="1"/>
    <col min="1807" max="1807" width="8.85546875" style="504" customWidth="1"/>
    <col min="1808" max="1811" width="9.140625" style="504"/>
    <col min="1812" max="1812" width="12.42578125" style="504" customWidth="1"/>
    <col min="1813" max="1813" width="9.140625" style="504"/>
    <col min="1814" max="1814" width="12" style="504" customWidth="1"/>
    <col min="1815" max="2048" width="9.140625" style="504"/>
    <col min="2049" max="2049" width="5" style="504" customWidth="1"/>
    <col min="2050" max="2050" width="19.42578125" style="504" customWidth="1"/>
    <col min="2051" max="2051" width="10.7109375" style="504" bestFit="1" customWidth="1"/>
    <col min="2052" max="2052" width="7" style="504" bestFit="1" customWidth="1"/>
    <col min="2053" max="2053" width="8.5703125" style="504" bestFit="1" customWidth="1"/>
    <col min="2054" max="2054" width="9.28515625" style="504" bestFit="1" customWidth="1"/>
    <col min="2055" max="2055" width="10.42578125" style="504" bestFit="1" customWidth="1"/>
    <col min="2056" max="2056" width="10.28515625" style="504" bestFit="1" customWidth="1"/>
    <col min="2057" max="2057" width="7.140625" style="504" bestFit="1" customWidth="1"/>
    <col min="2058" max="2058" width="7" style="504" customWidth="1"/>
    <col min="2059" max="2059" width="8" style="504" bestFit="1" customWidth="1"/>
    <col min="2060" max="2060" width="7" style="504" bestFit="1" customWidth="1"/>
    <col min="2061" max="2061" width="6.85546875" style="504" bestFit="1" customWidth="1"/>
    <col min="2062" max="2062" width="7" style="504" bestFit="1" customWidth="1"/>
    <col min="2063" max="2063" width="8.85546875" style="504" customWidth="1"/>
    <col min="2064" max="2067" width="9.140625" style="504"/>
    <col min="2068" max="2068" width="12.42578125" style="504" customWidth="1"/>
    <col min="2069" max="2069" width="9.140625" style="504"/>
    <col min="2070" max="2070" width="12" style="504" customWidth="1"/>
    <col min="2071" max="2304" width="9.140625" style="504"/>
    <col min="2305" max="2305" width="5" style="504" customWidth="1"/>
    <col min="2306" max="2306" width="19.42578125" style="504" customWidth="1"/>
    <col min="2307" max="2307" width="10.7109375" style="504" bestFit="1" customWidth="1"/>
    <col min="2308" max="2308" width="7" style="504" bestFit="1" customWidth="1"/>
    <col min="2309" max="2309" width="8.5703125" style="504" bestFit="1" customWidth="1"/>
    <col min="2310" max="2310" width="9.28515625" style="504" bestFit="1" customWidth="1"/>
    <col min="2311" max="2311" width="10.42578125" style="504" bestFit="1" customWidth="1"/>
    <col min="2312" max="2312" width="10.28515625" style="504" bestFit="1" customWidth="1"/>
    <col min="2313" max="2313" width="7.140625" style="504" bestFit="1" customWidth="1"/>
    <col min="2314" max="2314" width="7" style="504" customWidth="1"/>
    <col min="2315" max="2315" width="8" style="504" bestFit="1" customWidth="1"/>
    <col min="2316" max="2316" width="7" style="504" bestFit="1" customWidth="1"/>
    <col min="2317" max="2317" width="6.85546875" style="504" bestFit="1" customWidth="1"/>
    <col min="2318" max="2318" width="7" style="504" bestFit="1" customWidth="1"/>
    <col min="2319" max="2319" width="8.85546875" style="504" customWidth="1"/>
    <col min="2320" max="2323" width="9.140625" style="504"/>
    <col min="2324" max="2324" width="12.42578125" style="504" customWidth="1"/>
    <col min="2325" max="2325" width="9.140625" style="504"/>
    <col min="2326" max="2326" width="12" style="504" customWidth="1"/>
    <col min="2327" max="2560" width="9.140625" style="504"/>
    <col min="2561" max="2561" width="5" style="504" customWidth="1"/>
    <col min="2562" max="2562" width="19.42578125" style="504" customWidth="1"/>
    <col min="2563" max="2563" width="10.7109375" style="504" bestFit="1" customWidth="1"/>
    <col min="2564" max="2564" width="7" style="504" bestFit="1" customWidth="1"/>
    <col min="2565" max="2565" width="8.5703125" style="504" bestFit="1" customWidth="1"/>
    <col min="2566" max="2566" width="9.28515625" style="504" bestFit="1" customWidth="1"/>
    <col min="2567" max="2567" width="10.42578125" style="504" bestFit="1" customWidth="1"/>
    <col min="2568" max="2568" width="10.28515625" style="504" bestFit="1" customWidth="1"/>
    <col min="2569" max="2569" width="7.140625" style="504" bestFit="1" customWidth="1"/>
    <col min="2570" max="2570" width="7" style="504" customWidth="1"/>
    <col min="2571" max="2571" width="8" style="504" bestFit="1" customWidth="1"/>
    <col min="2572" max="2572" width="7" style="504" bestFit="1" customWidth="1"/>
    <col min="2573" max="2573" width="6.85546875" style="504" bestFit="1" customWidth="1"/>
    <col min="2574" max="2574" width="7" style="504" bestFit="1" customWidth="1"/>
    <col min="2575" max="2575" width="8.85546875" style="504" customWidth="1"/>
    <col min="2576" max="2579" width="9.140625" style="504"/>
    <col min="2580" max="2580" width="12.42578125" style="504" customWidth="1"/>
    <col min="2581" max="2581" width="9.140625" style="504"/>
    <col min="2582" max="2582" width="12" style="504" customWidth="1"/>
    <col min="2583" max="2816" width="9.140625" style="504"/>
    <col min="2817" max="2817" width="5" style="504" customWidth="1"/>
    <col min="2818" max="2818" width="19.42578125" style="504" customWidth="1"/>
    <col min="2819" max="2819" width="10.7109375" style="504" bestFit="1" customWidth="1"/>
    <col min="2820" max="2820" width="7" style="504" bestFit="1" customWidth="1"/>
    <col min="2821" max="2821" width="8.5703125" style="504" bestFit="1" customWidth="1"/>
    <col min="2822" max="2822" width="9.28515625" style="504" bestFit="1" customWidth="1"/>
    <col min="2823" max="2823" width="10.42578125" style="504" bestFit="1" customWidth="1"/>
    <col min="2824" max="2824" width="10.28515625" style="504" bestFit="1" customWidth="1"/>
    <col min="2825" max="2825" width="7.140625" style="504" bestFit="1" customWidth="1"/>
    <col min="2826" max="2826" width="7" style="504" customWidth="1"/>
    <col min="2827" max="2827" width="8" style="504" bestFit="1" customWidth="1"/>
    <col min="2828" max="2828" width="7" style="504" bestFit="1" customWidth="1"/>
    <col min="2829" max="2829" width="6.85546875" style="504" bestFit="1" customWidth="1"/>
    <col min="2830" max="2830" width="7" style="504" bestFit="1" customWidth="1"/>
    <col min="2831" max="2831" width="8.85546875" style="504" customWidth="1"/>
    <col min="2832" max="2835" width="9.140625" style="504"/>
    <col min="2836" max="2836" width="12.42578125" style="504" customWidth="1"/>
    <col min="2837" max="2837" width="9.140625" style="504"/>
    <col min="2838" max="2838" width="12" style="504" customWidth="1"/>
    <col min="2839" max="3072" width="9.140625" style="504"/>
    <col min="3073" max="3073" width="5" style="504" customWidth="1"/>
    <col min="3074" max="3074" width="19.42578125" style="504" customWidth="1"/>
    <col min="3075" max="3075" width="10.7109375" style="504" bestFit="1" customWidth="1"/>
    <col min="3076" max="3076" width="7" style="504" bestFit="1" customWidth="1"/>
    <col min="3077" max="3077" width="8.5703125" style="504" bestFit="1" customWidth="1"/>
    <col min="3078" max="3078" width="9.28515625" style="504" bestFit="1" customWidth="1"/>
    <col min="3079" max="3079" width="10.42578125" style="504" bestFit="1" customWidth="1"/>
    <col min="3080" max="3080" width="10.28515625" style="504" bestFit="1" customWidth="1"/>
    <col min="3081" max="3081" width="7.140625" style="504" bestFit="1" customWidth="1"/>
    <col min="3082" max="3082" width="7" style="504" customWidth="1"/>
    <col min="3083" max="3083" width="8" style="504" bestFit="1" customWidth="1"/>
    <col min="3084" max="3084" width="7" style="504" bestFit="1" customWidth="1"/>
    <col min="3085" max="3085" width="6.85546875" style="504" bestFit="1" customWidth="1"/>
    <col min="3086" max="3086" width="7" style="504" bestFit="1" customWidth="1"/>
    <col min="3087" max="3087" width="8.85546875" style="504" customWidth="1"/>
    <col min="3088" max="3091" width="9.140625" style="504"/>
    <col min="3092" max="3092" width="12.42578125" style="504" customWidth="1"/>
    <col min="3093" max="3093" width="9.140625" style="504"/>
    <col min="3094" max="3094" width="12" style="504" customWidth="1"/>
    <col min="3095" max="3328" width="9.140625" style="504"/>
    <col min="3329" max="3329" width="5" style="504" customWidth="1"/>
    <col min="3330" max="3330" width="19.42578125" style="504" customWidth="1"/>
    <col min="3331" max="3331" width="10.7109375" style="504" bestFit="1" customWidth="1"/>
    <col min="3332" max="3332" width="7" style="504" bestFit="1" customWidth="1"/>
    <col min="3333" max="3333" width="8.5703125" style="504" bestFit="1" customWidth="1"/>
    <col min="3334" max="3334" width="9.28515625" style="504" bestFit="1" customWidth="1"/>
    <col min="3335" max="3335" width="10.42578125" style="504" bestFit="1" customWidth="1"/>
    <col min="3336" max="3336" width="10.28515625" style="504" bestFit="1" customWidth="1"/>
    <col min="3337" max="3337" width="7.140625" style="504" bestFit="1" customWidth="1"/>
    <col min="3338" max="3338" width="7" style="504" customWidth="1"/>
    <col min="3339" max="3339" width="8" style="504" bestFit="1" customWidth="1"/>
    <col min="3340" max="3340" width="7" style="504" bestFit="1" customWidth="1"/>
    <col min="3341" max="3341" width="6.85546875" style="504" bestFit="1" customWidth="1"/>
    <col min="3342" max="3342" width="7" style="504" bestFit="1" customWidth="1"/>
    <col min="3343" max="3343" width="8.85546875" style="504" customWidth="1"/>
    <col min="3344" max="3347" width="9.140625" style="504"/>
    <col min="3348" max="3348" width="12.42578125" style="504" customWidth="1"/>
    <col min="3349" max="3349" width="9.140625" style="504"/>
    <col min="3350" max="3350" width="12" style="504" customWidth="1"/>
    <col min="3351" max="3584" width="9.140625" style="504"/>
    <col min="3585" max="3585" width="5" style="504" customWidth="1"/>
    <col min="3586" max="3586" width="19.42578125" style="504" customWidth="1"/>
    <col min="3587" max="3587" width="10.7109375" style="504" bestFit="1" customWidth="1"/>
    <col min="3588" max="3588" width="7" style="504" bestFit="1" customWidth="1"/>
    <col min="3589" max="3589" width="8.5703125" style="504" bestFit="1" customWidth="1"/>
    <col min="3590" max="3590" width="9.28515625" style="504" bestFit="1" customWidth="1"/>
    <col min="3591" max="3591" width="10.42578125" style="504" bestFit="1" customWidth="1"/>
    <col min="3592" max="3592" width="10.28515625" style="504" bestFit="1" customWidth="1"/>
    <col min="3593" max="3593" width="7.140625" style="504" bestFit="1" customWidth="1"/>
    <col min="3594" max="3594" width="7" style="504" customWidth="1"/>
    <col min="3595" max="3595" width="8" style="504" bestFit="1" customWidth="1"/>
    <col min="3596" max="3596" width="7" style="504" bestFit="1" customWidth="1"/>
    <col min="3597" max="3597" width="6.85546875" style="504" bestFit="1" customWidth="1"/>
    <col min="3598" max="3598" width="7" style="504" bestFit="1" customWidth="1"/>
    <col min="3599" max="3599" width="8.85546875" style="504" customWidth="1"/>
    <col min="3600" max="3603" width="9.140625" style="504"/>
    <col min="3604" max="3604" width="12.42578125" style="504" customWidth="1"/>
    <col min="3605" max="3605" width="9.140625" style="504"/>
    <col min="3606" max="3606" width="12" style="504" customWidth="1"/>
    <col min="3607" max="3840" width="9.140625" style="504"/>
    <col min="3841" max="3841" width="5" style="504" customWidth="1"/>
    <col min="3842" max="3842" width="19.42578125" style="504" customWidth="1"/>
    <col min="3843" max="3843" width="10.7109375" style="504" bestFit="1" customWidth="1"/>
    <col min="3844" max="3844" width="7" style="504" bestFit="1" customWidth="1"/>
    <col min="3845" max="3845" width="8.5703125" style="504" bestFit="1" customWidth="1"/>
    <col min="3846" max="3846" width="9.28515625" style="504" bestFit="1" customWidth="1"/>
    <col min="3847" max="3847" width="10.42578125" style="504" bestFit="1" customWidth="1"/>
    <col min="3848" max="3848" width="10.28515625" style="504" bestFit="1" customWidth="1"/>
    <col min="3849" max="3849" width="7.140625" style="504" bestFit="1" customWidth="1"/>
    <col min="3850" max="3850" width="7" style="504" customWidth="1"/>
    <col min="3851" max="3851" width="8" style="504" bestFit="1" customWidth="1"/>
    <col min="3852" max="3852" width="7" style="504" bestFit="1" customWidth="1"/>
    <col min="3853" max="3853" width="6.85546875" style="504" bestFit="1" customWidth="1"/>
    <col min="3854" max="3854" width="7" style="504" bestFit="1" customWidth="1"/>
    <col min="3855" max="3855" width="8.85546875" style="504" customWidth="1"/>
    <col min="3856" max="3859" width="9.140625" style="504"/>
    <col min="3860" max="3860" width="12.42578125" style="504" customWidth="1"/>
    <col min="3861" max="3861" width="9.140625" style="504"/>
    <col min="3862" max="3862" width="12" style="504" customWidth="1"/>
    <col min="3863" max="4096" width="9.140625" style="504"/>
    <col min="4097" max="4097" width="5" style="504" customWidth="1"/>
    <col min="4098" max="4098" width="19.42578125" style="504" customWidth="1"/>
    <col min="4099" max="4099" width="10.7109375" style="504" bestFit="1" customWidth="1"/>
    <col min="4100" max="4100" width="7" style="504" bestFit="1" customWidth="1"/>
    <col min="4101" max="4101" width="8.5703125" style="504" bestFit="1" customWidth="1"/>
    <col min="4102" max="4102" width="9.28515625" style="504" bestFit="1" customWidth="1"/>
    <col min="4103" max="4103" width="10.42578125" style="504" bestFit="1" customWidth="1"/>
    <col min="4104" max="4104" width="10.28515625" style="504" bestFit="1" customWidth="1"/>
    <col min="4105" max="4105" width="7.140625" style="504" bestFit="1" customWidth="1"/>
    <col min="4106" max="4106" width="7" style="504" customWidth="1"/>
    <col min="4107" max="4107" width="8" style="504" bestFit="1" customWidth="1"/>
    <col min="4108" max="4108" width="7" style="504" bestFit="1" customWidth="1"/>
    <col min="4109" max="4109" width="6.85546875" style="504" bestFit="1" customWidth="1"/>
    <col min="4110" max="4110" width="7" style="504" bestFit="1" customWidth="1"/>
    <col min="4111" max="4111" width="8.85546875" style="504" customWidth="1"/>
    <col min="4112" max="4115" width="9.140625" style="504"/>
    <col min="4116" max="4116" width="12.42578125" style="504" customWidth="1"/>
    <col min="4117" max="4117" width="9.140625" style="504"/>
    <col min="4118" max="4118" width="12" style="504" customWidth="1"/>
    <col min="4119" max="4352" width="9.140625" style="504"/>
    <col min="4353" max="4353" width="5" style="504" customWidth="1"/>
    <col min="4354" max="4354" width="19.42578125" style="504" customWidth="1"/>
    <col min="4355" max="4355" width="10.7109375" style="504" bestFit="1" customWidth="1"/>
    <col min="4356" max="4356" width="7" style="504" bestFit="1" customWidth="1"/>
    <col min="4357" max="4357" width="8.5703125" style="504" bestFit="1" customWidth="1"/>
    <col min="4358" max="4358" width="9.28515625" style="504" bestFit="1" customWidth="1"/>
    <col min="4359" max="4359" width="10.42578125" style="504" bestFit="1" customWidth="1"/>
    <col min="4360" max="4360" width="10.28515625" style="504" bestFit="1" customWidth="1"/>
    <col min="4361" max="4361" width="7.140625" style="504" bestFit="1" customWidth="1"/>
    <col min="4362" max="4362" width="7" style="504" customWidth="1"/>
    <col min="4363" max="4363" width="8" style="504" bestFit="1" customWidth="1"/>
    <col min="4364" max="4364" width="7" style="504" bestFit="1" customWidth="1"/>
    <col min="4365" max="4365" width="6.85546875" style="504" bestFit="1" customWidth="1"/>
    <col min="4366" max="4366" width="7" style="504" bestFit="1" customWidth="1"/>
    <col min="4367" max="4367" width="8.85546875" style="504" customWidth="1"/>
    <col min="4368" max="4371" width="9.140625" style="504"/>
    <col min="4372" max="4372" width="12.42578125" style="504" customWidth="1"/>
    <col min="4373" max="4373" width="9.140625" style="504"/>
    <col min="4374" max="4374" width="12" style="504" customWidth="1"/>
    <col min="4375" max="4608" width="9.140625" style="504"/>
    <col min="4609" max="4609" width="5" style="504" customWidth="1"/>
    <col min="4610" max="4610" width="19.42578125" style="504" customWidth="1"/>
    <col min="4611" max="4611" width="10.7109375" style="504" bestFit="1" customWidth="1"/>
    <col min="4612" max="4612" width="7" style="504" bestFit="1" customWidth="1"/>
    <col min="4613" max="4613" width="8.5703125" style="504" bestFit="1" customWidth="1"/>
    <col min="4614" max="4614" width="9.28515625" style="504" bestFit="1" customWidth="1"/>
    <col min="4615" max="4615" width="10.42578125" style="504" bestFit="1" customWidth="1"/>
    <col min="4616" max="4616" width="10.28515625" style="504" bestFit="1" customWidth="1"/>
    <col min="4617" max="4617" width="7.140625" style="504" bestFit="1" customWidth="1"/>
    <col min="4618" max="4618" width="7" style="504" customWidth="1"/>
    <col min="4619" max="4619" width="8" style="504" bestFit="1" customWidth="1"/>
    <col min="4620" max="4620" width="7" style="504" bestFit="1" customWidth="1"/>
    <col min="4621" max="4621" width="6.85546875" style="504" bestFit="1" customWidth="1"/>
    <col min="4622" max="4622" width="7" style="504" bestFit="1" customWidth="1"/>
    <col min="4623" max="4623" width="8.85546875" style="504" customWidth="1"/>
    <col min="4624" max="4627" width="9.140625" style="504"/>
    <col min="4628" max="4628" width="12.42578125" style="504" customWidth="1"/>
    <col min="4629" max="4629" width="9.140625" style="504"/>
    <col min="4630" max="4630" width="12" style="504" customWidth="1"/>
    <col min="4631" max="4864" width="9.140625" style="504"/>
    <col min="4865" max="4865" width="5" style="504" customWidth="1"/>
    <col min="4866" max="4866" width="19.42578125" style="504" customWidth="1"/>
    <col min="4867" max="4867" width="10.7109375" style="504" bestFit="1" customWidth="1"/>
    <col min="4868" max="4868" width="7" style="504" bestFit="1" customWidth="1"/>
    <col min="4869" max="4869" width="8.5703125" style="504" bestFit="1" customWidth="1"/>
    <col min="4870" max="4870" width="9.28515625" style="504" bestFit="1" customWidth="1"/>
    <col min="4871" max="4871" width="10.42578125" style="504" bestFit="1" customWidth="1"/>
    <col min="4872" max="4872" width="10.28515625" style="504" bestFit="1" customWidth="1"/>
    <col min="4873" max="4873" width="7.140625" style="504" bestFit="1" customWidth="1"/>
    <col min="4874" max="4874" width="7" style="504" customWidth="1"/>
    <col min="4875" max="4875" width="8" style="504" bestFit="1" customWidth="1"/>
    <col min="4876" max="4876" width="7" style="504" bestFit="1" customWidth="1"/>
    <col min="4877" max="4877" width="6.85546875" style="504" bestFit="1" customWidth="1"/>
    <col min="4878" max="4878" width="7" style="504" bestFit="1" customWidth="1"/>
    <col min="4879" max="4879" width="8.85546875" style="504" customWidth="1"/>
    <col min="4880" max="4883" width="9.140625" style="504"/>
    <col min="4884" max="4884" width="12.42578125" style="504" customWidth="1"/>
    <col min="4885" max="4885" width="9.140625" style="504"/>
    <col min="4886" max="4886" width="12" style="504" customWidth="1"/>
    <col min="4887" max="5120" width="9.140625" style="504"/>
    <col min="5121" max="5121" width="5" style="504" customWidth="1"/>
    <col min="5122" max="5122" width="19.42578125" style="504" customWidth="1"/>
    <col min="5123" max="5123" width="10.7109375" style="504" bestFit="1" customWidth="1"/>
    <col min="5124" max="5124" width="7" style="504" bestFit="1" customWidth="1"/>
    <col min="5125" max="5125" width="8.5703125" style="504" bestFit="1" customWidth="1"/>
    <col min="5126" max="5126" width="9.28515625" style="504" bestFit="1" customWidth="1"/>
    <col min="5127" max="5127" width="10.42578125" style="504" bestFit="1" customWidth="1"/>
    <col min="5128" max="5128" width="10.28515625" style="504" bestFit="1" customWidth="1"/>
    <col min="5129" max="5129" width="7.140625" style="504" bestFit="1" customWidth="1"/>
    <col min="5130" max="5130" width="7" style="504" customWidth="1"/>
    <col min="5131" max="5131" width="8" style="504" bestFit="1" customWidth="1"/>
    <col min="5132" max="5132" width="7" style="504" bestFit="1" customWidth="1"/>
    <col min="5133" max="5133" width="6.85546875" style="504" bestFit="1" customWidth="1"/>
    <col min="5134" max="5134" width="7" style="504" bestFit="1" customWidth="1"/>
    <col min="5135" max="5135" width="8.85546875" style="504" customWidth="1"/>
    <col min="5136" max="5139" width="9.140625" style="504"/>
    <col min="5140" max="5140" width="12.42578125" style="504" customWidth="1"/>
    <col min="5141" max="5141" width="9.140625" style="504"/>
    <col min="5142" max="5142" width="12" style="504" customWidth="1"/>
    <col min="5143" max="5376" width="9.140625" style="504"/>
    <col min="5377" max="5377" width="5" style="504" customWidth="1"/>
    <col min="5378" max="5378" width="19.42578125" style="504" customWidth="1"/>
    <col min="5379" max="5379" width="10.7109375" style="504" bestFit="1" customWidth="1"/>
    <col min="5380" max="5380" width="7" style="504" bestFit="1" customWidth="1"/>
    <col min="5381" max="5381" width="8.5703125" style="504" bestFit="1" customWidth="1"/>
    <col min="5382" max="5382" width="9.28515625" style="504" bestFit="1" customWidth="1"/>
    <col min="5383" max="5383" width="10.42578125" style="504" bestFit="1" customWidth="1"/>
    <col min="5384" max="5384" width="10.28515625" style="504" bestFit="1" customWidth="1"/>
    <col min="5385" max="5385" width="7.140625" style="504" bestFit="1" customWidth="1"/>
    <col min="5386" max="5386" width="7" style="504" customWidth="1"/>
    <col min="5387" max="5387" width="8" style="504" bestFit="1" customWidth="1"/>
    <col min="5388" max="5388" width="7" style="504" bestFit="1" customWidth="1"/>
    <col min="5389" max="5389" width="6.85546875" style="504" bestFit="1" customWidth="1"/>
    <col min="5390" max="5390" width="7" style="504" bestFit="1" customWidth="1"/>
    <col min="5391" max="5391" width="8.85546875" style="504" customWidth="1"/>
    <col min="5392" max="5395" width="9.140625" style="504"/>
    <col min="5396" max="5396" width="12.42578125" style="504" customWidth="1"/>
    <col min="5397" max="5397" width="9.140625" style="504"/>
    <col min="5398" max="5398" width="12" style="504" customWidth="1"/>
    <col min="5399" max="5632" width="9.140625" style="504"/>
    <col min="5633" max="5633" width="5" style="504" customWidth="1"/>
    <col min="5634" max="5634" width="19.42578125" style="504" customWidth="1"/>
    <col min="5635" max="5635" width="10.7109375" style="504" bestFit="1" customWidth="1"/>
    <col min="5636" max="5636" width="7" style="504" bestFit="1" customWidth="1"/>
    <col min="5637" max="5637" width="8.5703125" style="504" bestFit="1" customWidth="1"/>
    <col min="5638" max="5638" width="9.28515625" style="504" bestFit="1" customWidth="1"/>
    <col min="5639" max="5639" width="10.42578125" style="504" bestFit="1" customWidth="1"/>
    <col min="5640" max="5640" width="10.28515625" style="504" bestFit="1" customWidth="1"/>
    <col min="5641" max="5641" width="7.140625" style="504" bestFit="1" customWidth="1"/>
    <col min="5642" max="5642" width="7" style="504" customWidth="1"/>
    <col min="5643" max="5643" width="8" style="504" bestFit="1" customWidth="1"/>
    <col min="5644" max="5644" width="7" style="504" bestFit="1" customWidth="1"/>
    <col min="5645" max="5645" width="6.85546875" style="504" bestFit="1" customWidth="1"/>
    <col min="5646" max="5646" width="7" style="504" bestFit="1" customWidth="1"/>
    <col min="5647" max="5647" width="8.85546875" style="504" customWidth="1"/>
    <col min="5648" max="5651" width="9.140625" style="504"/>
    <col min="5652" max="5652" width="12.42578125" style="504" customWidth="1"/>
    <col min="5653" max="5653" width="9.140625" style="504"/>
    <col min="5654" max="5654" width="12" style="504" customWidth="1"/>
    <col min="5655" max="5888" width="9.140625" style="504"/>
    <col min="5889" max="5889" width="5" style="504" customWidth="1"/>
    <col min="5890" max="5890" width="19.42578125" style="504" customWidth="1"/>
    <col min="5891" max="5891" width="10.7109375" style="504" bestFit="1" customWidth="1"/>
    <col min="5892" max="5892" width="7" style="504" bestFit="1" customWidth="1"/>
    <col min="5893" max="5893" width="8.5703125" style="504" bestFit="1" customWidth="1"/>
    <col min="5894" max="5894" width="9.28515625" style="504" bestFit="1" customWidth="1"/>
    <col min="5895" max="5895" width="10.42578125" style="504" bestFit="1" customWidth="1"/>
    <col min="5896" max="5896" width="10.28515625" style="504" bestFit="1" customWidth="1"/>
    <col min="5897" max="5897" width="7.140625" style="504" bestFit="1" customWidth="1"/>
    <col min="5898" max="5898" width="7" style="504" customWidth="1"/>
    <col min="5899" max="5899" width="8" style="504" bestFit="1" customWidth="1"/>
    <col min="5900" max="5900" width="7" style="504" bestFit="1" customWidth="1"/>
    <col min="5901" max="5901" width="6.85546875" style="504" bestFit="1" customWidth="1"/>
    <col min="5902" max="5902" width="7" style="504" bestFit="1" customWidth="1"/>
    <col min="5903" max="5903" width="8.85546875" style="504" customWidth="1"/>
    <col min="5904" max="5907" width="9.140625" style="504"/>
    <col min="5908" max="5908" width="12.42578125" style="504" customWidth="1"/>
    <col min="5909" max="5909" width="9.140625" style="504"/>
    <col min="5910" max="5910" width="12" style="504" customWidth="1"/>
    <col min="5911" max="6144" width="9.140625" style="504"/>
    <col min="6145" max="6145" width="5" style="504" customWidth="1"/>
    <col min="6146" max="6146" width="19.42578125" style="504" customWidth="1"/>
    <col min="6147" max="6147" width="10.7109375" style="504" bestFit="1" customWidth="1"/>
    <col min="6148" max="6148" width="7" style="504" bestFit="1" customWidth="1"/>
    <col min="6149" max="6149" width="8.5703125" style="504" bestFit="1" customWidth="1"/>
    <col min="6150" max="6150" width="9.28515625" style="504" bestFit="1" customWidth="1"/>
    <col min="6151" max="6151" width="10.42578125" style="504" bestFit="1" customWidth="1"/>
    <col min="6152" max="6152" width="10.28515625" style="504" bestFit="1" customWidth="1"/>
    <col min="6153" max="6153" width="7.140625" style="504" bestFit="1" customWidth="1"/>
    <col min="6154" max="6154" width="7" style="504" customWidth="1"/>
    <col min="6155" max="6155" width="8" style="504" bestFit="1" customWidth="1"/>
    <col min="6156" max="6156" width="7" style="504" bestFit="1" customWidth="1"/>
    <col min="6157" max="6157" width="6.85546875" style="504" bestFit="1" customWidth="1"/>
    <col min="6158" max="6158" width="7" style="504" bestFit="1" customWidth="1"/>
    <col min="6159" max="6159" width="8.85546875" style="504" customWidth="1"/>
    <col min="6160" max="6163" width="9.140625" style="504"/>
    <col min="6164" max="6164" width="12.42578125" style="504" customWidth="1"/>
    <col min="6165" max="6165" width="9.140625" style="504"/>
    <col min="6166" max="6166" width="12" style="504" customWidth="1"/>
    <col min="6167" max="6400" width="9.140625" style="504"/>
    <col min="6401" max="6401" width="5" style="504" customWidth="1"/>
    <col min="6402" max="6402" width="19.42578125" style="504" customWidth="1"/>
    <col min="6403" max="6403" width="10.7109375" style="504" bestFit="1" customWidth="1"/>
    <col min="6404" max="6404" width="7" style="504" bestFit="1" customWidth="1"/>
    <col min="6405" max="6405" width="8.5703125" style="504" bestFit="1" customWidth="1"/>
    <col min="6406" max="6406" width="9.28515625" style="504" bestFit="1" customWidth="1"/>
    <col min="6407" max="6407" width="10.42578125" style="504" bestFit="1" customWidth="1"/>
    <col min="6408" max="6408" width="10.28515625" style="504" bestFit="1" customWidth="1"/>
    <col min="6409" max="6409" width="7.140625" style="504" bestFit="1" customWidth="1"/>
    <col min="6410" max="6410" width="7" style="504" customWidth="1"/>
    <col min="6411" max="6411" width="8" style="504" bestFit="1" customWidth="1"/>
    <col min="6412" max="6412" width="7" style="504" bestFit="1" customWidth="1"/>
    <col min="6413" max="6413" width="6.85546875" style="504" bestFit="1" customWidth="1"/>
    <col min="6414" max="6414" width="7" style="504" bestFit="1" customWidth="1"/>
    <col min="6415" max="6415" width="8.85546875" style="504" customWidth="1"/>
    <col min="6416" max="6419" width="9.140625" style="504"/>
    <col min="6420" max="6420" width="12.42578125" style="504" customWidth="1"/>
    <col min="6421" max="6421" width="9.140625" style="504"/>
    <col min="6422" max="6422" width="12" style="504" customWidth="1"/>
    <col min="6423" max="6656" width="9.140625" style="504"/>
    <col min="6657" max="6657" width="5" style="504" customWidth="1"/>
    <col min="6658" max="6658" width="19.42578125" style="504" customWidth="1"/>
    <col min="6659" max="6659" width="10.7109375" style="504" bestFit="1" customWidth="1"/>
    <col min="6660" max="6660" width="7" style="504" bestFit="1" customWidth="1"/>
    <col min="6661" max="6661" width="8.5703125" style="504" bestFit="1" customWidth="1"/>
    <col min="6662" max="6662" width="9.28515625" style="504" bestFit="1" customWidth="1"/>
    <col min="6663" max="6663" width="10.42578125" style="504" bestFit="1" customWidth="1"/>
    <col min="6664" max="6664" width="10.28515625" style="504" bestFit="1" customWidth="1"/>
    <col min="6665" max="6665" width="7.140625" style="504" bestFit="1" customWidth="1"/>
    <col min="6666" max="6666" width="7" style="504" customWidth="1"/>
    <col min="6667" max="6667" width="8" style="504" bestFit="1" customWidth="1"/>
    <col min="6668" max="6668" width="7" style="504" bestFit="1" customWidth="1"/>
    <col min="6669" max="6669" width="6.85546875" style="504" bestFit="1" customWidth="1"/>
    <col min="6670" max="6670" width="7" style="504" bestFit="1" customWidth="1"/>
    <col min="6671" max="6671" width="8.85546875" style="504" customWidth="1"/>
    <col min="6672" max="6675" width="9.140625" style="504"/>
    <col min="6676" max="6676" width="12.42578125" style="504" customWidth="1"/>
    <col min="6677" max="6677" width="9.140625" style="504"/>
    <col min="6678" max="6678" width="12" style="504" customWidth="1"/>
    <col min="6679" max="6912" width="9.140625" style="504"/>
    <col min="6913" max="6913" width="5" style="504" customWidth="1"/>
    <col min="6914" max="6914" width="19.42578125" style="504" customWidth="1"/>
    <col min="6915" max="6915" width="10.7109375" style="504" bestFit="1" customWidth="1"/>
    <col min="6916" max="6916" width="7" style="504" bestFit="1" customWidth="1"/>
    <col min="6917" max="6917" width="8.5703125" style="504" bestFit="1" customWidth="1"/>
    <col min="6918" max="6918" width="9.28515625" style="504" bestFit="1" customWidth="1"/>
    <col min="6919" max="6919" width="10.42578125" style="504" bestFit="1" customWidth="1"/>
    <col min="6920" max="6920" width="10.28515625" style="504" bestFit="1" customWidth="1"/>
    <col min="6921" max="6921" width="7.140625" style="504" bestFit="1" customWidth="1"/>
    <col min="6922" max="6922" width="7" style="504" customWidth="1"/>
    <col min="6923" max="6923" width="8" style="504" bestFit="1" customWidth="1"/>
    <col min="6924" max="6924" width="7" style="504" bestFit="1" customWidth="1"/>
    <col min="6925" max="6925" width="6.85546875" style="504" bestFit="1" customWidth="1"/>
    <col min="6926" max="6926" width="7" style="504" bestFit="1" customWidth="1"/>
    <col min="6927" max="6927" width="8.85546875" style="504" customWidth="1"/>
    <col min="6928" max="6931" width="9.140625" style="504"/>
    <col min="6932" max="6932" width="12.42578125" style="504" customWidth="1"/>
    <col min="6933" max="6933" width="9.140625" style="504"/>
    <col min="6934" max="6934" width="12" style="504" customWidth="1"/>
    <col min="6935" max="7168" width="9.140625" style="504"/>
    <col min="7169" max="7169" width="5" style="504" customWidth="1"/>
    <col min="7170" max="7170" width="19.42578125" style="504" customWidth="1"/>
    <col min="7171" max="7171" width="10.7109375" style="504" bestFit="1" customWidth="1"/>
    <col min="7172" max="7172" width="7" style="504" bestFit="1" customWidth="1"/>
    <col min="7173" max="7173" width="8.5703125" style="504" bestFit="1" customWidth="1"/>
    <col min="7174" max="7174" width="9.28515625" style="504" bestFit="1" customWidth="1"/>
    <col min="7175" max="7175" width="10.42578125" style="504" bestFit="1" customWidth="1"/>
    <col min="7176" max="7176" width="10.28515625" style="504" bestFit="1" customWidth="1"/>
    <col min="7177" max="7177" width="7.140625" style="504" bestFit="1" customWidth="1"/>
    <col min="7178" max="7178" width="7" style="504" customWidth="1"/>
    <col min="7179" max="7179" width="8" style="504" bestFit="1" customWidth="1"/>
    <col min="7180" max="7180" width="7" style="504" bestFit="1" customWidth="1"/>
    <col min="7181" max="7181" width="6.85546875" style="504" bestFit="1" customWidth="1"/>
    <col min="7182" max="7182" width="7" style="504" bestFit="1" customWidth="1"/>
    <col min="7183" max="7183" width="8.85546875" style="504" customWidth="1"/>
    <col min="7184" max="7187" width="9.140625" style="504"/>
    <col min="7188" max="7188" width="12.42578125" style="504" customWidth="1"/>
    <col min="7189" max="7189" width="9.140625" style="504"/>
    <col min="7190" max="7190" width="12" style="504" customWidth="1"/>
    <col min="7191" max="7424" width="9.140625" style="504"/>
    <col min="7425" max="7425" width="5" style="504" customWidth="1"/>
    <col min="7426" max="7426" width="19.42578125" style="504" customWidth="1"/>
    <col min="7427" max="7427" width="10.7109375" style="504" bestFit="1" customWidth="1"/>
    <col min="7428" max="7428" width="7" style="504" bestFit="1" customWidth="1"/>
    <col min="7429" max="7429" width="8.5703125" style="504" bestFit="1" customWidth="1"/>
    <col min="7430" max="7430" width="9.28515625" style="504" bestFit="1" customWidth="1"/>
    <col min="7431" max="7431" width="10.42578125" style="504" bestFit="1" customWidth="1"/>
    <col min="7432" max="7432" width="10.28515625" style="504" bestFit="1" customWidth="1"/>
    <col min="7433" max="7433" width="7.140625" style="504" bestFit="1" customWidth="1"/>
    <col min="7434" max="7434" width="7" style="504" customWidth="1"/>
    <col min="7435" max="7435" width="8" style="504" bestFit="1" customWidth="1"/>
    <col min="7436" max="7436" width="7" style="504" bestFit="1" customWidth="1"/>
    <col min="7437" max="7437" width="6.85546875" style="504" bestFit="1" customWidth="1"/>
    <col min="7438" max="7438" width="7" style="504" bestFit="1" customWidth="1"/>
    <col min="7439" max="7439" width="8.85546875" style="504" customWidth="1"/>
    <col min="7440" max="7443" width="9.140625" style="504"/>
    <col min="7444" max="7444" width="12.42578125" style="504" customWidth="1"/>
    <col min="7445" max="7445" width="9.140625" style="504"/>
    <col min="7446" max="7446" width="12" style="504" customWidth="1"/>
    <col min="7447" max="7680" width="9.140625" style="504"/>
    <col min="7681" max="7681" width="5" style="504" customWidth="1"/>
    <col min="7682" max="7682" width="19.42578125" style="504" customWidth="1"/>
    <col min="7683" max="7683" width="10.7109375" style="504" bestFit="1" customWidth="1"/>
    <col min="7684" max="7684" width="7" style="504" bestFit="1" customWidth="1"/>
    <col min="7685" max="7685" width="8.5703125" style="504" bestFit="1" customWidth="1"/>
    <col min="7686" max="7686" width="9.28515625" style="504" bestFit="1" customWidth="1"/>
    <col min="7687" max="7687" width="10.42578125" style="504" bestFit="1" customWidth="1"/>
    <col min="7688" max="7688" width="10.28515625" style="504" bestFit="1" customWidth="1"/>
    <col min="7689" max="7689" width="7.140625" style="504" bestFit="1" customWidth="1"/>
    <col min="7690" max="7690" width="7" style="504" customWidth="1"/>
    <col min="7691" max="7691" width="8" style="504" bestFit="1" customWidth="1"/>
    <col min="7692" max="7692" width="7" style="504" bestFit="1" customWidth="1"/>
    <col min="7693" max="7693" width="6.85546875" style="504" bestFit="1" customWidth="1"/>
    <col min="7694" max="7694" width="7" style="504" bestFit="1" customWidth="1"/>
    <col min="7695" max="7695" width="8.85546875" style="504" customWidth="1"/>
    <col min="7696" max="7699" width="9.140625" style="504"/>
    <col min="7700" max="7700" width="12.42578125" style="504" customWidth="1"/>
    <col min="7701" max="7701" width="9.140625" style="504"/>
    <col min="7702" max="7702" width="12" style="504" customWidth="1"/>
    <col min="7703" max="7936" width="9.140625" style="504"/>
    <col min="7937" max="7937" width="5" style="504" customWidth="1"/>
    <col min="7938" max="7938" width="19.42578125" style="504" customWidth="1"/>
    <col min="7939" max="7939" width="10.7109375" style="504" bestFit="1" customWidth="1"/>
    <col min="7940" max="7940" width="7" style="504" bestFit="1" customWidth="1"/>
    <col min="7941" max="7941" width="8.5703125" style="504" bestFit="1" customWidth="1"/>
    <col min="7942" max="7942" width="9.28515625" style="504" bestFit="1" customWidth="1"/>
    <col min="7943" max="7943" width="10.42578125" style="504" bestFit="1" customWidth="1"/>
    <col min="7944" max="7944" width="10.28515625" style="504" bestFit="1" customWidth="1"/>
    <col min="7945" max="7945" width="7.140625" style="504" bestFit="1" customWidth="1"/>
    <col min="7946" max="7946" width="7" style="504" customWidth="1"/>
    <col min="7947" max="7947" width="8" style="504" bestFit="1" customWidth="1"/>
    <col min="7948" max="7948" width="7" style="504" bestFit="1" customWidth="1"/>
    <col min="7949" max="7949" width="6.85546875" style="504" bestFit="1" customWidth="1"/>
    <col min="7950" max="7950" width="7" style="504" bestFit="1" customWidth="1"/>
    <col min="7951" max="7951" width="8.85546875" style="504" customWidth="1"/>
    <col min="7952" max="7955" width="9.140625" style="504"/>
    <col min="7956" max="7956" width="12.42578125" style="504" customWidth="1"/>
    <col min="7957" max="7957" width="9.140625" style="504"/>
    <col min="7958" max="7958" width="12" style="504" customWidth="1"/>
    <col min="7959" max="8192" width="9.140625" style="504"/>
    <col min="8193" max="8193" width="5" style="504" customWidth="1"/>
    <col min="8194" max="8194" width="19.42578125" style="504" customWidth="1"/>
    <col min="8195" max="8195" width="10.7109375" style="504" bestFit="1" customWidth="1"/>
    <col min="8196" max="8196" width="7" style="504" bestFit="1" customWidth="1"/>
    <col min="8197" max="8197" width="8.5703125" style="504" bestFit="1" customWidth="1"/>
    <col min="8198" max="8198" width="9.28515625" style="504" bestFit="1" customWidth="1"/>
    <col min="8199" max="8199" width="10.42578125" style="504" bestFit="1" customWidth="1"/>
    <col min="8200" max="8200" width="10.28515625" style="504" bestFit="1" customWidth="1"/>
    <col min="8201" max="8201" width="7.140625" style="504" bestFit="1" customWidth="1"/>
    <col min="8202" max="8202" width="7" style="504" customWidth="1"/>
    <col min="8203" max="8203" width="8" style="504" bestFit="1" customWidth="1"/>
    <col min="8204" max="8204" width="7" style="504" bestFit="1" customWidth="1"/>
    <col min="8205" max="8205" width="6.85546875" style="504" bestFit="1" customWidth="1"/>
    <col min="8206" max="8206" width="7" style="504" bestFit="1" customWidth="1"/>
    <col min="8207" max="8207" width="8.85546875" style="504" customWidth="1"/>
    <col min="8208" max="8211" width="9.140625" style="504"/>
    <col min="8212" max="8212" width="12.42578125" style="504" customWidth="1"/>
    <col min="8213" max="8213" width="9.140625" style="504"/>
    <col min="8214" max="8214" width="12" style="504" customWidth="1"/>
    <col min="8215" max="8448" width="9.140625" style="504"/>
    <col min="8449" max="8449" width="5" style="504" customWidth="1"/>
    <col min="8450" max="8450" width="19.42578125" style="504" customWidth="1"/>
    <col min="8451" max="8451" width="10.7109375" style="504" bestFit="1" customWidth="1"/>
    <col min="8452" max="8452" width="7" style="504" bestFit="1" customWidth="1"/>
    <col min="8453" max="8453" width="8.5703125" style="504" bestFit="1" customWidth="1"/>
    <col min="8454" max="8454" width="9.28515625" style="504" bestFit="1" customWidth="1"/>
    <col min="8455" max="8455" width="10.42578125" style="504" bestFit="1" customWidth="1"/>
    <col min="8456" max="8456" width="10.28515625" style="504" bestFit="1" customWidth="1"/>
    <col min="8457" max="8457" width="7.140625" style="504" bestFit="1" customWidth="1"/>
    <col min="8458" max="8458" width="7" style="504" customWidth="1"/>
    <col min="8459" max="8459" width="8" style="504" bestFit="1" customWidth="1"/>
    <col min="8460" max="8460" width="7" style="504" bestFit="1" customWidth="1"/>
    <col min="8461" max="8461" width="6.85546875" style="504" bestFit="1" customWidth="1"/>
    <col min="8462" max="8462" width="7" style="504" bestFit="1" customWidth="1"/>
    <col min="8463" max="8463" width="8.85546875" style="504" customWidth="1"/>
    <col min="8464" max="8467" width="9.140625" style="504"/>
    <col min="8468" max="8468" width="12.42578125" style="504" customWidth="1"/>
    <col min="8469" max="8469" width="9.140625" style="504"/>
    <col min="8470" max="8470" width="12" style="504" customWidth="1"/>
    <col min="8471" max="8704" width="9.140625" style="504"/>
    <col min="8705" max="8705" width="5" style="504" customWidth="1"/>
    <col min="8706" max="8706" width="19.42578125" style="504" customWidth="1"/>
    <col min="8707" max="8707" width="10.7109375" style="504" bestFit="1" customWidth="1"/>
    <col min="8708" max="8708" width="7" style="504" bestFit="1" customWidth="1"/>
    <col min="8709" max="8709" width="8.5703125" style="504" bestFit="1" customWidth="1"/>
    <col min="8710" max="8710" width="9.28515625" style="504" bestFit="1" customWidth="1"/>
    <col min="8711" max="8711" width="10.42578125" style="504" bestFit="1" customWidth="1"/>
    <col min="8712" max="8712" width="10.28515625" style="504" bestFit="1" customWidth="1"/>
    <col min="8713" max="8713" width="7.140625" style="504" bestFit="1" customWidth="1"/>
    <col min="8714" max="8714" width="7" style="504" customWidth="1"/>
    <col min="8715" max="8715" width="8" style="504" bestFit="1" customWidth="1"/>
    <col min="8716" max="8716" width="7" style="504" bestFit="1" customWidth="1"/>
    <col min="8717" max="8717" width="6.85546875" style="504" bestFit="1" customWidth="1"/>
    <col min="8718" max="8718" width="7" style="504" bestFit="1" customWidth="1"/>
    <col min="8719" max="8719" width="8.85546875" style="504" customWidth="1"/>
    <col min="8720" max="8723" width="9.140625" style="504"/>
    <col min="8724" max="8724" width="12.42578125" style="504" customWidth="1"/>
    <col min="8725" max="8725" width="9.140625" style="504"/>
    <col min="8726" max="8726" width="12" style="504" customWidth="1"/>
    <col min="8727" max="8960" width="9.140625" style="504"/>
    <col min="8961" max="8961" width="5" style="504" customWidth="1"/>
    <col min="8962" max="8962" width="19.42578125" style="504" customWidth="1"/>
    <col min="8963" max="8963" width="10.7109375" style="504" bestFit="1" customWidth="1"/>
    <col min="8964" max="8964" width="7" style="504" bestFit="1" customWidth="1"/>
    <col min="8965" max="8965" width="8.5703125" style="504" bestFit="1" customWidth="1"/>
    <col min="8966" max="8966" width="9.28515625" style="504" bestFit="1" customWidth="1"/>
    <col min="8967" max="8967" width="10.42578125" style="504" bestFit="1" customWidth="1"/>
    <col min="8968" max="8968" width="10.28515625" style="504" bestFit="1" customWidth="1"/>
    <col min="8969" max="8969" width="7.140625" style="504" bestFit="1" customWidth="1"/>
    <col min="8970" max="8970" width="7" style="504" customWidth="1"/>
    <col min="8971" max="8971" width="8" style="504" bestFit="1" customWidth="1"/>
    <col min="8972" max="8972" width="7" style="504" bestFit="1" customWidth="1"/>
    <col min="8973" max="8973" width="6.85546875" style="504" bestFit="1" customWidth="1"/>
    <col min="8974" max="8974" width="7" style="504" bestFit="1" customWidth="1"/>
    <col min="8975" max="8975" width="8.85546875" style="504" customWidth="1"/>
    <col min="8976" max="8979" width="9.140625" style="504"/>
    <col min="8980" max="8980" width="12.42578125" style="504" customWidth="1"/>
    <col min="8981" max="8981" width="9.140625" style="504"/>
    <col min="8982" max="8982" width="12" style="504" customWidth="1"/>
    <col min="8983" max="9216" width="9.140625" style="504"/>
    <col min="9217" max="9217" width="5" style="504" customWidth="1"/>
    <col min="9218" max="9218" width="19.42578125" style="504" customWidth="1"/>
    <col min="9219" max="9219" width="10.7109375" style="504" bestFit="1" customWidth="1"/>
    <col min="9220" max="9220" width="7" style="504" bestFit="1" customWidth="1"/>
    <col min="9221" max="9221" width="8.5703125" style="504" bestFit="1" customWidth="1"/>
    <col min="9222" max="9222" width="9.28515625" style="504" bestFit="1" customWidth="1"/>
    <col min="9223" max="9223" width="10.42578125" style="504" bestFit="1" customWidth="1"/>
    <col min="9224" max="9224" width="10.28515625" style="504" bestFit="1" customWidth="1"/>
    <col min="9225" max="9225" width="7.140625" style="504" bestFit="1" customWidth="1"/>
    <col min="9226" max="9226" width="7" style="504" customWidth="1"/>
    <col min="9227" max="9227" width="8" style="504" bestFit="1" customWidth="1"/>
    <col min="9228" max="9228" width="7" style="504" bestFit="1" customWidth="1"/>
    <col min="9229" max="9229" width="6.85546875" style="504" bestFit="1" customWidth="1"/>
    <col min="9230" max="9230" width="7" style="504" bestFit="1" customWidth="1"/>
    <col min="9231" max="9231" width="8.85546875" style="504" customWidth="1"/>
    <col min="9232" max="9235" width="9.140625" style="504"/>
    <col min="9236" max="9236" width="12.42578125" style="504" customWidth="1"/>
    <col min="9237" max="9237" width="9.140625" style="504"/>
    <col min="9238" max="9238" width="12" style="504" customWidth="1"/>
    <col min="9239" max="9472" width="9.140625" style="504"/>
    <col min="9473" max="9473" width="5" style="504" customWidth="1"/>
    <col min="9474" max="9474" width="19.42578125" style="504" customWidth="1"/>
    <col min="9475" max="9475" width="10.7109375" style="504" bestFit="1" customWidth="1"/>
    <col min="9476" max="9476" width="7" style="504" bestFit="1" customWidth="1"/>
    <col min="9477" max="9477" width="8.5703125" style="504" bestFit="1" customWidth="1"/>
    <col min="9478" max="9478" width="9.28515625" style="504" bestFit="1" customWidth="1"/>
    <col min="9479" max="9479" width="10.42578125" style="504" bestFit="1" customWidth="1"/>
    <col min="9480" max="9480" width="10.28515625" style="504" bestFit="1" customWidth="1"/>
    <col min="9481" max="9481" width="7.140625" style="504" bestFit="1" customWidth="1"/>
    <col min="9482" max="9482" width="7" style="504" customWidth="1"/>
    <col min="9483" max="9483" width="8" style="504" bestFit="1" customWidth="1"/>
    <col min="9484" max="9484" width="7" style="504" bestFit="1" customWidth="1"/>
    <col min="9485" max="9485" width="6.85546875" style="504" bestFit="1" customWidth="1"/>
    <col min="9486" max="9486" width="7" style="504" bestFit="1" customWidth="1"/>
    <col min="9487" max="9487" width="8.85546875" style="504" customWidth="1"/>
    <col min="9488" max="9491" width="9.140625" style="504"/>
    <col min="9492" max="9492" width="12.42578125" style="504" customWidth="1"/>
    <col min="9493" max="9493" width="9.140625" style="504"/>
    <col min="9494" max="9494" width="12" style="504" customWidth="1"/>
    <col min="9495" max="9728" width="9.140625" style="504"/>
    <col min="9729" max="9729" width="5" style="504" customWidth="1"/>
    <col min="9730" max="9730" width="19.42578125" style="504" customWidth="1"/>
    <col min="9731" max="9731" width="10.7109375" style="504" bestFit="1" customWidth="1"/>
    <col min="9732" max="9732" width="7" style="504" bestFit="1" customWidth="1"/>
    <col min="9733" max="9733" width="8.5703125" style="504" bestFit="1" customWidth="1"/>
    <col min="9734" max="9734" width="9.28515625" style="504" bestFit="1" customWidth="1"/>
    <col min="9735" max="9735" width="10.42578125" style="504" bestFit="1" customWidth="1"/>
    <col min="9736" max="9736" width="10.28515625" style="504" bestFit="1" customWidth="1"/>
    <col min="9737" max="9737" width="7.140625" style="504" bestFit="1" customWidth="1"/>
    <col min="9738" max="9738" width="7" style="504" customWidth="1"/>
    <col min="9739" max="9739" width="8" style="504" bestFit="1" customWidth="1"/>
    <col min="9740" max="9740" width="7" style="504" bestFit="1" customWidth="1"/>
    <col min="9741" max="9741" width="6.85546875" style="504" bestFit="1" customWidth="1"/>
    <col min="9742" max="9742" width="7" style="504" bestFit="1" customWidth="1"/>
    <col min="9743" max="9743" width="8.85546875" style="504" customWidth="1"/>
    <col min="9744" max="9747" width="9.140625" style="504"/>
    <col min="9748" max="9748" width="12.42578125" style="504" customWidth="1"/>
    <col min="9749" max="9749" width="9.140625" style="504"/>
    <col min="9750" max="9750" width="12" style="504" customWidth="1"/>
    <col min="9751" max="9984" width="9.140625" style="504"/>
    <col min="9985" max="9985" width="5" style="504" customWidth="1"/>
    <col min="9986" max="9986" width="19.42578125" style="504" customWidth="1"/>
    <col min="9987" max="9987" width="10.7109375" style="504" bestFit="1" customWidth="1"/>
    <col min="9988" max="9988" width="7" style="504" bestFit="1" customWidth="1"/>
    <col min="9989" max="9989" width="8.5703125" style="504" bestFit="1" customWidth="1"/>
    <col min="9990" max="9990" width="9.28515625" style="504" bestFit="1" customWidth="1"/>
    <col min="9991" max="9991" width="10.42578125" style="504" bestFit="1" customWidth="1"/>
    <col min="9992" max="9992" width="10.28515625" style="504" bestFit="1" customWidth="1"/>
    <col min="9993" max="9993" width="7.140625" style="504" bestFit="1" customWidth="1"/>
    <col min="9994" max="9994" width="7" style="504" customWidth="1"/>
    <col min="9995" max="9995" width="8" style="504" bestFit="1" customWidth="1"/>
    <col min="9996" max="9996" width="7" style="504" bestFit="1" customWidth="1"/>
    <col min="9997" max="9997" width="6.85546875" style="504" bestFit="1" customWidth="1"/>
    <col min="9998" max="9998" width="7" style="504" bestFit="1" customWidth="1"/>
    <col min="9999" max="9999" width="8.85546875" style="504" customWidth="1"/>
    <col min="10000" max="10003" width="9.140625" style="504"/>
    <col min="10004" max="10004" width="12.42578125" style="504" customWidth="1"/>
    <col min="10005" max="10005" width="9.140625" style="504"/>
    <col min="10006" max="10006" width="12" style="504" customWidth="1"/>
    <col min="10007" max="10240" width="9.140625" style="504"/>
    <col min="10241" max="10241" width="5" style="504" customWidth="1"/>
    <col min="10242" max="10242" width="19.42578125" style="504" customWidth="1"/>
    <col min="10243" max="10243" width="10.7109375" style="504" bestFit="1" customWidth="1"/>
    <col min="10244" max="10244" width="7" style="504" bestFit="1" customWidth="1"/>
    <col min="10245" max="10245" width="8.5703125" style="504" bestFit="1" customWidth="1"/>
    <col min="10246" max="10246" width="9.28515625" style="504" bestFit="1" customWidth="1"/>
    <col min="10247" max="10247" width="10.42578125" style="504" bestFit="1" customWidth="1"/>
    <col min="10248" max="10248" width="10.28515625" style="504" bestFit="1" customWidth="1"/>
    <col min="10249" max="10249" width="7.140625" style="504" bestFit="1" customWidth="1"/>
    <col min="10250" max="10250" width="7" style="504" customWidth="1"/>
    <col min="10251" max="10251" width="8" style="504" bestFit="1" customWidth="1"/>
    <col min="10252" max="10252" width="7" style="504" bestFit="1" customWidth="1"/>
    <col min="10253" max="10253" width="6.85546875" style="504" bestFit="1" customWidth="1"/>
    <col min="10254" max="10254" width="7" style="504" bestFit="1" customWidth="1"/>
    <col min="10255" max="10255" width="8.85546875" style="504" customWidth="1"/>
    <col min="10256" max="10259" width="9.140625" style="504"/>
    <col min="10260" max="10260" width="12.42578125" style="504" customWidth="1"/>
    <col min="10261" max="10261" width="9.140625" style="504"/>
    <col min="10262" max="10262" width="12" style="504" customWidth="1"/>
    <col min="10263" max="10496" width="9.140625" style="504"/>
    <col min="10497" max="10497" width="5" style="504" customWidth="1"/>
    <col min="10498" max="10498" width="19.42578125" style="504" customWidth="1"/>
    <col min="10499" max="10499" width="10.7109375" style="504" bestFit="1" customWidth="1"/>
    <col min="10500" max="10500" width="7" style="504" bestFit="1" customWidth="1"/>
    <col min="10501" max="10501" width="8.5703125" style="504" bestFit="1" customWidth="1"/>
    <col min="10502" max="10502" width="9.28515625" style="504" bestFit="1" customWidth="1"/>
    <col min="10503" max="10503" width="10.42578125" style="504" bestFit="1" customWidth="1"/>
    <col min="10504" max="10504" width="10.28515625" style="504" bestFit="1" customWidth="1"/>
    <col min="10505" max="10505" width="7.140625" style="504" bestFit="1" customWidth="1"/>
    <col min="10506" max="10506" width="7" style="504" customWidth="1"/>
    <col min="10507" max="10507" width="8" style="504" bestFit="1" customWidth="1"/>
    <col min="10508" max="10508" width="7" style="504" bestFit="1" customWidth="1"/>
    <col min="10509" max="10509" width="6.85546875" style="504" bestFit="1" customWidth="1"/>
    <col min="10510" max="10510" width="7" style="504" bestFit="1" customWidth="1"/>
    <col min="10511" max="10511" width="8.85546875" style="504" customWidth="1"/>
    <col min="10512" max="10515" width="9.140625" style="504"/>
    <col min="10516" max="10516" width="12.42578125" style="504" customWidth="1"/>
    <col min="10517" max="10517" width="9.140625" style="504"/>
    <col min="10518" max="10518" width="12" style="504" customWidth="1"/>
    <col min="10519" max="10752" width="9.140625" style="504"/>
    <col min="10753" max="10753" width="5" style="504" customWidth="1"/>
    <col min="10754" max="10754" width="19.42578125" style="504" customWidth="1"/>
    <col min="10755" max="10755" width="10.7109375" style="504" bestFit="1" customWidth="1"/>
    <col min="10756" max="10756" width="7" style="504" bestFit="1" customWidth="1"/>
    <col min="10757" max="10757" width="8.5703125" style="504" bestFit="1" customWidth="1"/>
    <col min="10758" max="10758" width="9.28515625" style="504" bestFit="1" customWidth="1"/>
    <col min="10759" max="10759" width="10.42578125" style="504" bestFit="1" customWidth="1"/>
    <col min="10760" max="10760" width="10.28515625" style="504" bestFit="1" customWidth="1"/>
    <col min="10761" max="10761" width="7.140625" style="504" bestFit="1" customWidth="1"/>
    <col min="10762" max="10762" width="7" style="504" customWidth="1"/>
    <col min="10763" max="10763" width="8" style="504" bestFit="1" customWidth="1"/>
    <col min="10764" max="10764" width="7" style="504" bestFit="1" customWidth="1"/>
    <col min="10765" max="10765" width="6.85546875" style="504" bestFit="1" customWidth="1"/>
    <col min="10766" max="10766" width="7" style="504" bestFit="1" customWidth="1"/>
    <col min="10767" max="10767" width="8.85546875" style="504" customWidth="1"/>
    <col min="10768" max="10771" width="9.140625" style="504"/>
    <col min="10772" max="10772" width="12.42578125" style="504" customWidth="1"/>
    <col min="10773" max="10773" width="9.140625" style="504"/>
    <col min="10774" max="10774" width="12" style="504" customWidth="1"/>
    <col min="10775" max="11008" width="9.140625" style="504"/>
    <col min="11009" max="11009" width="5" style="504" customWidth="1"/>
    <col min="11010" max="11010" width="19.42578125" style="504" customWidth="1"/>
    <col min="11011" max="11011" width="10.7109375" style="504" bestFit="1" customWidth="1"/>
    <col min="11012" max="11012" width="7" style="504" bestFit="1" customWidth="1"/>
    <col min="11013" max="11013" width="8.5703125" style="504" bestFit="1" customWidth="1"/>
    <col min="11014" max="11014" width="9.28515625" style="504" bestFit="1" customWidth="1"/>
    <col min="11015" max="11015" width="10.42578125" style="504" bestFit="1" customWidth="1"/>
    <col min="11016" max="11016" width="10.28515625" style="504" bestFit="1" customWidth="1"/>
    <col min="11017" max="11017" width="7.140625" style="504" bestFit="1" customWidth="1"/>
    <col min="11018" max="11018" width="7" style="504" customWidth="1"/>
    <col min="11019" max="11019" width="8" style="504" bestFit="1" customWidth="1"/>
    <col min="11020" max="11020" width="7" style="504" bestFit="1" customWidth="1"/>
    <col min="11021" max="11021" width="6.85546875" style="504" bestFit="1" customWidth="1"/>
    <col min="11022" max="11022" width="7" style="504" bestFit="1" customWidth="1"/>
    <col min="11023" max="11023" width="8.85546875" style="504" customWidth="1"/>
    <col min="11024" max="11027" width="9.140625" style="504"/>
    <col min="11028" max="11028" width="12.42578125" style="504" customWidth="1"/>
    <col min="11029" max="11029" width="9.140625" style="504"/>
    <col min="11030" max="11030" width="12" style="504" customWidth="1"/>
    <col min="11031" max="11264" width="9.140625" style="504"/>
    <col min="11265" max="11265" width="5" style="504" customWidth="1"/>
    <col min="11266" max="11266" width="19.42578125" style="504" customWidth="1"/>
    <col min="11267" max="11267" width="10.7109375" style="504" bestFit="1" customWidth="1"/>
    <col min="11268" max="11268" width="7" style="504" bestFit="1" customWidth="1"/>
    <col min="11269" max="11269" width="8.5703125" style="504" bestFit="1" customWidth="1"/>
    <col min="11270" max="11270" width="9.28515625" style="504" bestFit="1" customWidth="1"/>
    <col min="11271" max="11271" width="10.42578125" style="504" bestFit="1" customWidth="1"/>
    <col min="11272" max="11272" width="10.28515625" style="504" bestFit="1" customWidth="1"/>
    <col min="11273" max="11273" width="7.140625" style="504" bestFit="1" customWidth="1"/>
    <col min="11274" max="11274" width="7" style="504" customWidth="1"/>
    <col min="11275" max="11275" width="8" style="504" bestFit="1" customWidth="1"/>
    <col min="11276" max="11276" width="7" style="504" bestFit="1" customWidth="1"/>
    <col min="11277" max="11277" width="6.85546875" style="504" bestFit="1" customWidth="1"/>
    <col min="11278" max="11278" width="7" style="504" bestFit="1" customWidth="1"/>
    <col min="11279" max="11279" width="8.85546875" style="504" customWidth="1"/>
    <col min="11280" max="11283" width="9.140625" style="504"/>
    <col min="11284" max="11284" width="12.42578125" style="504" customWidth="1"/>
    <col min="11285" max="11285" width="9.140625" style="504"/>
    <col min="11286" max="11286" width="12" style="504" customWidth="1"/>
    <col min="11287" max="11520" width="9.140625" style="504"/>
    <col min="11521" max="11521" width="5" style="504" customWidth="1"/>
    <col min="11522" max="11522" width="19.42578125" style="504" customWidth="1"/>
    <col min="11523" max="11523" width="10.7109375" style="504" bestFit="1" customWidth="1"/>
    <col min="11524" max="11524" width="7" style="504" bestFit="1" customWidth="1"/>
    <col min="11525" max="11525" width="8.5703125" style="504" bestFit="1" customWidth="1"/>
    <col min="11526" max="11526" width="9.28515625" style="504" bestFit="1" customWidth="1"/>
    <col min="11527" max="11527" width="10.42578125" style="504" bestFit="1" customWidth="1"/>
    <col min="11528" max="11528" width="10.28515625" style="504" bestFit="1" customWidth="1"/>
    <col min="11529" max="11529" width="7.140625" style="504" bestFit="1" customWidth="1"/>
    <col min="11530" max="11530" width="7" style="504" customWidth="1"/>
    <col min="11531" max="11531" width="8" style="504" bestFit="1" customWidth="1"/>
    <col min="11532" max="11532" width="7" style="504" bestFit="1" customWidth="1"/>
    <col min="11533" max="11533" width="6.85546875" style="504" bestFit="1" customWidth="1"/>
    <col min="11534" max="11534" width="7" style="504" bestFit="1" customWidth="1"/>
    <col min="11535" max="11535" width="8.85546875" style="504" customWidth="1"/>
    <col min="11536" max="11539" width="9.140625" style="504"/>
    <col min="11540" max="11540" width="12.42578125" style="504" customWidth="1"/>
    <col min="11541" max="11541" width="9.140625" style="504"/>
    <col min="11542" max="11542" width="12" style="504" customWidth="1"/>
    <col min="11543" max="11776" width="9.140625" style="504"/>
    <col min="11777" max="11777" width="5" style="504" customWidth="1"/>
    <col min="11778" max="11778" width="19.42578125" style="504" customWidth="1"/>
    <col min="11779" max="11779" width="10.7109375" style="504" bestFit="1" customWidth="1"/>
    <col min="11780" max="11780" width="7" style="504" bestFit="1" customWidth="1"/>
    <col min="11781" max="11781" width="8.5703125" style="504" bestFit="1" customWidth="1"/>
    <col min="11782" max="11782" width="9.28515625" style="504" bestFit="1" customWidth="1"/>
    <col min="11783" max="11783" width="10.42578125" style="504" bestFit="1" customWidth="1"/>
    <col min="11784" max="11784" width="10.28515625" style="504" bestFit="1" customWidth="1"/>
    <col min="11785" max="11785" width="7.140625" style="504" bestFit="1" customWidth="1"/>
    <col min="11786" max="11786" width="7" style="504" customWidth="1"/>
    <col min="11787" max="11787" width="8" style="504" bestFit="1" customWidth="1"/>
    <col min="11788" max="11788" width="7" style="504" bestFit="1" customWidth="1"/>
    <col min="11789" max="11789" width="6.85546875" style="504" bestFit="1" customWidth="1"/>
    <col min="11790" max="11790" width="7" style="504" bestFit="1" customWidth="1"/>
    <col min="11791" max="11791" width="8.85546875" style="504" customWidth="1"/>
    <col min="11792" max="11795" width="9.140625" style="504"/>
    <col min="11796" max="11796" width="12.42578125" style="504" customWidth="1"/>
    <col min="11797" max="11797" width="9.140625" style="504"/>
    <col min="11798" max="11798" width="12" style="504" customWidth="1"/>
    <col min="11799" max="12032" width="9.140625" style="504"/>
    <col min="12033" max="12033" width="5" style="504" customWidth="1"/>
    <col min="12034" max="12034" width="19.42578125" style="504" customWidth="1"/>
    <col min="12035" max="12035" width="10.7109375" style="504" bestFit="1" customWidth="1"/>
    <col min="12036" max="12036" width="7" style="504" bestFit="1" customWidth="1"/>
    <col min="12037" max="12037" width="8.5703125" style="504" bestFit="1" customWidth="1"/>
    <col min="12038" max="12038" width="9.28515625" style="504" bestFit="1" customWidth="1"/>
    <col min="12039" max="12039" width="10.42578125" style="504" bestFit="1" customWidth="1"/>
    <col min="12040" max="12040" width="10.28515625" style="504" bestFit="1" customWidth="1"/>
    <col min="12041" max="12041" width="7.140625" style="504" bestFit="1" customWidth="1"/>
    <col min="12042" max="12042" width="7" style="504" customWidth="1"/>
    <col min="12043" max="12043" width="8" style="504" bestFit="1" customWidth="1"/>
    <col min="12044" max="12044" width="7" style="504" bestFit="1" customWidth="1"/>
    <col min="12045" max="12045" width="6.85546875" style="504" bestFit="1" customWidth="1"/>
    <col min="12046" max="12046" width="7" style="504" bestFit="1" customWidth="1"/>
    <col min="12047" max="12047" width="8.85546875" style="504" customWidth="1"/>
    <col min="12048" max="12051" width="9.140625" style="504"/>
    <col min="12052" max="12052" width="12.42578125" style="504" customWidth="1"/>
    <col min="12053" max="12053" width="9.140625" style="504"/>
    <col min="12054" max="12054" width="12" style="504" customWidth="1"/>
    <col min="12055" max="12288" width="9.140625" style="504"/>
    <col min="12289" max="12289" width="5" style="504" customWidth="1"/>
    <col min="12290" max="12290" width="19.42578125" style="504" customWidth="1"/>
    <col min="12291" max="12291" width="10.7109375" style="504" bestFit="1" customWidth="1"/>
    <col min="12292" max="12292" width="7" style="504" bestFit="1" customWidth="1"/>
    <col min="12293" max="12293" width="8.5703125" style="504" bestFit="1" customWidth="1"/>
    <col min="12294" max="12294" width="9.28515625" style="504" bestFit="1" customWidth="1"/>
    <col min="12295" max="12295" width="10.42578125" style="504" bestFit="1" customWidth="1"/>
    <col min="12296" max="12296" width="10.28515625" style="504" bestFit="1" customWidth="1"/>
    <col min="12297" max="12297" width="7.140625" style="504" bestFit="1" customWidth="1"/>
    <col min="12298" max="12298" width="7" style="504" customWidth="1"/>
    <col min="12299" max="12299" width="8" style="504" bestFit="1" customWidth="1"/>
    <col min="12300" max="12300" width="7" style="504" bestFit="1" customWidth="1"/>
    <col min="12301" max="12301" width="6.85546875" style="504" bestFit="1" customWidth="1"/>
    <col min="12302" max="12302" width="7" style="504" bestFit="1" customWidth="1"/>
    <col min="12303" max="12303" width="8.85546875" style="504" customWidth="1"/>
    <col min="12304" max="12307" width="9.140625" style="504"/>
    <col min="12308" max="12308" width="12.42578125" style="504" customWidth="1"/>
    <col min="12309" max="12309" width="9.140625" style="504"/>
    <col min="12310" max="12310" width="12" style="504" customWidth="1"/>
    <col min="12311" max="12544" width="9.140625" style="504"/>
    <col min="12545" max="12545" width="5" style="504" customWidth="1"/>
    <col min="12546" max="12546" width="19.42578125" style="504" customWidth="1"/>
    <col min="12547" max="12547" width="10.7109375" style="504" bestFit="1" customWidth="1"/>
    <col min="12548" max="12548" width="7" style="504" bestFit="1" customWidth="1"/>
    <col min="12549" max="12549" width="8.5703125" style="504" bestFit="1" customWidth="1"/>
    <col min="12550" max="12550" width="9.28515625" style="504" bestFit="1" customWidth="1"/>
    <col min="12551" max="12551" width="10.42578125" style="504" bestFit="1" customWidth="1"/>
    <col min="12552" max="12552" width="10.28515625" style="504" bestFit="1" customWidth="1"/>
    <col min="12553" max="12553" width="7.140625" style="504" bestFit="1" customWidth="1"/>
    <col min="12554" max="12554" width="7" style="504" customWidth="1"/>
    <col min="12555" max="12555" width="8" style="504" bestFit="1" customWidth="1"/>
    <col min="12556" max="12556" width="7" style="504" bestFit="1" customWidth="1"/>
    <col min="12557" max="12557" width="6.85546875" style="504" bestFit="1" customWidth="1"/>
    <col min="12558" max="12558" width="7" style="504" bestFit="1" customWidth="1"/>
    <col min="12559" max="12559" width="8.85546875" style="504" customWidth="1"/>
    <col min="12560" max="12563" width="9.140625" style="504"/>
    <col min="12564" max="12564" width="12.42578125" style="504" customWidth="1"/>
    <col min="12565" max="12565" width="9.140625" style="504"/>
    <col min="12566" max="12566" width="12" style="504" customWidth="1"/>
    <col min="12567" max="12800" width="9.140625" style="504"/>
    <col min="12801" max="12801" width="5" style="504" customWidth="1"/>
    <col min="12802" max="12802" width="19.42578125" style="504" customWidth="1"/>
    <col min="12803" max="12803" width="10.7109375" style="504" bestFit="1" customWidth="1"/>
    <col min="12804" max="12804" width="7" style="504" bestFit="1" customWidth="1"/>
    <col min="12805" max="12805" width="8.5703125" style="504" bestFit="1" customWidth="1"/>
    <col min="12806" max="12806" width="9.28515625" style="504" bestFit="1" customWidth="1"/>
    <col min="12807" max="12807" width="10.42578125" style="504" bestFit="1" customWidth="1"/>
    <col min="12808" max="12808" width="10.28515625" style="504" bestFit="1" customWidth="1"/>
    <col min="12809" max="12809" width="7.140625" style="504" bestFit="1" customWidth="1"/>
    <col min="12810" max="12810" width="7" style="504" customWidth="1"/>
    <col min="12811" max="12811" width="8" style="504" bestFit="1" customWidth="1"/>
    <col min="12812" max="12812" width="7" style="504" bestFit="1" customWidth="1"/>
    <col min="12813" max="12813" width="6.85546875" style="504" bestFit="1" customWidth="1"/>
    <col min="12814" max="12814" width="7" style="504" bestFit="1" customWidth="1"/>
    <col min="12815" max="12815" width="8.85546875" style="504" customWidth="1"/>
    <col min="12816" max="12819" width="9.140625" style="504"/>
    <col min="12820" max="12820" width="12.42578125" style="504" customWidth="1"/>
    <col min="12821" max="12821" width="9.140625" style="504"/>
    <col min="12822" max="12822" width="12" style="504" customWidth="1"/>
    <col min="12823" max="13056" width="9.140625" style="504"/>
    <col min="13057" max="13057" width="5" style="504" customWidth="1"/>
    <col min="13058" max="13058" width="19.42578125" style="504" customWidth="1"/>
    <col min="13059" max="13059" width="10.7109375" style="504" bestFit="1" customWidth="1"/>
    <col min="13060" max="13060" width="7" style="504" bestFit="1" customWidth="1"/>
    <col min="13061" max="13061" width="8.5703125" style="504" bestFit="1" customWidth="1"/>
    <col min="13062" max="13062" width="9.28515625" style="504" bestFit="1" customWidth="1"/>
    <col min="13063" max="13063" width="10.42578125" style="504" bestFit="1" customWidth="1"/>
    <col min="13064" max="13064" width="10.28515625" style="504" bestFit="1" customWidth="1"/>
    <col min="13065" max="13065" width="7.140625" style="504" bestFit="1" customWidth="1"/>
    <col min="13066" max="13066" width="7" style="504" customWidth="1"/>
    <col min="13067" max="13067" width="8" style="504" bestFit="1" customWidth="1"/>
    <col min="13068" max="13068" width="7" style="504" bestFit="1" customWidth="1"/>
    <col min="13069" max="13069" width="6.85546875" style="504" bestFit="1" customWidth="1"/>
    <col min="13070" max="13070" width="7" style="504" bestFit="1" customWidth="1"/>
    <col min="13071" max="13071" width="8.85546875" style="504" customWidth="1"/>
    <col min="13072" max="13075" width="9.140625" style="504"/>
    <col min="13076" max="13076" width="12.42578125" style="504" customWidth="1"/>
    <col min="13077" max="13077" width="9.140625" style="504"/>
    <col min="13078" max="13078" width="12" style="504" customWidth="1"/>
    <col min="13079" max="13312" width="9.140625" style="504"/>
    <col min="13313" max="13313" width="5" style="504" customWidth="1"/>
    <col min="13314" max="13314" width="19.42578125" style="504" customWidth="1"/>
    <col min="13315" max="13315" width="10.7109375" style="504" bestFit="1" customWidth="1"/>
    <col min="13316" max="13316" width="7" style="504" bestFit="1" customWidth="1"/>
    <col min="13317" max="13317" width="8.5703125" style="504" bestFit="1" customWidth="1"/>
    <col min="13318" max="13318" width="9.28515625" style="504" bestFit="1" customWidth="1"/>
    <col min="13319" max="13319" width="10.42578125" style="504" bestFit="1" customWidth="1"/>
    <col min="13320" max="13320" width="10.28515625" style="504" bestFit="1" customWidth="1"/>
    <col min="13321" max="13321" width="7.140625" style="504" bestFit="1" customWidth="1"/>
    <col min="13322" max="13322" width="7" style="504" customWidth="1"/>
    <col min="13323" max="13323" width="8" style="504" bestFit="1" customWidth="1"/>
    <col min="13324" max="13324" width="7" style="504" bestFit="1" customWidth="1"/>
    <col min="13325" max="13325" width="6.85546875" style="504" bestFit="1" customWidth="1"/>
    <col min="13326" max="13326" width="7" style="504" bestFit="1" customWidth="1"/>
    <col min="13327" max="13327" width="8.85546875" style="504" customWidth="1"/>
    <col min="13328" max="13331" width="9.140625" style="504"/>
    <col min="13332" max="13332" width="12.42578125" style="504" customWidth="1"/>
    <col min="13333" max="13333" width="9.140625" style="504"/>
    <col min="13334" max="13334" width="12" style="504" customWidth="1"/>
    <col min="13335" max="13568" width="9.140625" style="504"/>
    <col min="13569" max="13569" width="5" style="504" customWidth="1"/>
    <col min="13570" max="13570" width="19.42578125" style="504" customWidth="1"/>
    <col min="13571" max="13571" width="10.7109375" style="504" bestFit="1" customWidth="1"/>
    <col min="13572" max="13572" width="7" style="504" bestFit="1" customWidth="1"/>
    <col min="13573" max="13573" width="8.5703125" style="504" bestFit="1" customWidth="1"/>
    <col min="13574" max="13574" width="9.28515625" style="504" bestFit="1" customWidth="1"/>
    <col min="13575" max="13575" width="10.42578125" style="504" bestFit="1" customWidth="1"/>
    <col min="13576" max="13576" width="10.28515625" style="504" bestFit="1" customWidth="1"/>
    <col min="13577" max="13577" width="7.140625" style="504" bestFit="1" customWidth="1"/>
    <col min="13578" max="13578" width="7" style="504" customWidth="1"/>
    <col min="13579" max="13579" width="8" style="504" bestFit="1" customWidth="1"/>
    <col min="13580" max="13580" width="7" style="504" bestFit="1" customWidth="1"/>
    <col min="13581" max="13581" width="6.85546875" style="504" bestFit="1" customWidth="1"/>
    <col min="13582" max="13582" width="7" style="504" bestFit="1" customWidth="1"/>
    <col min="13583" max="13583" width="8.85546875" style="504" customWidth="1"/>
    <col min="13584" max="13587" width="9.140625" style="504"/>
    <col min="13588" max="13588" width="12.42578125" style="504" customWidth="1"/>
    <col min="13589" max="13589" width="9.140625" style="504"/>
    <col min="13590" max="13590" width="12" style="504" customWidth="1"/>
    <col min="13591" max="13824" width="9.140625" style="504"/>
    <col min="13825" max="13825" width="5" style="504" customWidth="1"/>
    <col min="13826" max="13826" width="19.42578125" style="504" customWidth="1"/>
    <col min="13827" max="13827" width="10.7109375" style="504" bestFit="1" customWidth="1"/>
    <col min="13828" max="13828" width="7" style="504" bestFit="1" customWidth="1"/>
    <col min="13829" max="13829" width="8.5703125" style="504" bestFit="1" customWidth="1"/>
    <col min="13830" max="13830" width="9.28515625" style="504" bestFit="1" customWidth="1"/>
    <col min="13831" max="13831" width="10.42578125" style="504" bestFit="1" customWidth="1"/>
    <col min="13832" max="13832" width="10.28515625" style="504" bestFit="1" customWidth="1"/>
    <col min="13833" max="13833" width="7.140625" style="504" bestFit="1" customWidth="1"/>
    <col min="13834" max="13834" width="7" style="504" customWidth="1"/>
    <col min="13835" max="13835" width="8" style="504" bestFit="1" customWidth="1"/>
    <col min="13836" max="13836" width="7" style="504" bestFit="1" customWidth="1"/>
    <col min="13837" max="13837" width="6.85546875" style="504" bestFit="1" customWidth="1"/>
    <col min="13838" max="13838" width="7" style="504" bestFit="1" customWidth="1"/>
    <col min="13839" max="13839" width="8.85546875" style="504" customWidth="1"/>
    <col min="13840" max="13843" width="9.140625" style="504"/>
    <col min="13844" max="13844" width="12.42578125" style="504" customWidth="1"/>
    <col min="13845" max="13845" width="9.140625" style="504"/>
    <col min="13846" max="13846" width="12" style="504" customWidth="1"/>
    <col min="13847" max="14080" width="9.140625" style="504"/>
    <col min="14081" max="14081" width="5" style="504" customWidth="1"/>
    <col min="14082" max="14082" width="19.42578125" style="504" customWidth="1"/>
    <col min="14083" max="14083" width="10.7109375" style="504" bestFit="1" customWidth="1"/>
    <col min="14084" max="14084" width="7" style="504" bestFit="1" customWidth="1"/>
    <col min="14085" max="14085" width="8.5703125" style="504" bestFit="1" customWidth="1"/>
    <col min="14086" max="14086" width="9.28515625" style="504" bestFit="1" customWidth="1"/>
    <col min="14087" max="14087" width="10.42578125" style="504" bestFit="1" customWidth="1"/>
    <col min="14088" max="14088" width="10.28515625" style="504" bestFit="1" customWidth="1"/>
    <col min="14089" max="14089" width="7.140625" style="504" bestFit="1" customWidth="1"/>
    <col min="14090" max="14090" width="7" style="504" customWidth="1"/>
    <col min="14091" max="14091" width="8" style="504" bestFit="1" customWidth="1"/>
    <col min="14092" max="14092" width="7" style="504" bestFit="1" customWidth="1"/>
    <col min="14093" max="14093" width="6.85546875" style="504" bestFit="1" customWidth="1"/>
    <col min="14094" max="14094" width="7" style="504" bestFit="1" customWidth="1"/>
    <col min="14095" max="14095" width="8.85546875" style="504" customWidth="1"/>
    <col min="14096" max="14099" width="9.140625" style="504"/>
    <col min="14100" max="14100" width="12.42578125" style="504" customWidth="1"/>
    <col min="14101" max="14101" width="9.140625" style="504"/>
    <col min="14102" max="14102" width="12" style="504" customWidth="1"/>
    <col min="14103" max="14336" width="9.140625" style="504"/>
    <col min="14337" max="14337" width="5" style="504" customWidth="1"/>
    <col min="14338" max="14338" width="19.42578125" style="504" customWidth="1"/>
    <col min="14339" max="14339" width="10.7109375" style="504" bestFit="1" customWidth="1"/>
    <col min="14340" max="14340" width="7" style="504" bestFit="1" customWidth="1"/>
    <col min="14341" max="14341" width="8.5703125" style="504" bestFit="1" customWidth="1"/>
    <col min="14342" max="14342" width="9.28515625" style="504" bestFit="1" customWidth="1"/>
    <col min="14343" max="14343" width="10.42578125" style="504" bestFit="1" customWidth="1"/>
    <col min="14344" max="14344" width="10.28515625" style="504" bestFit="1" customWidth="1"/>
    <col min="14345" max="14345" width="7.140625" style="504" bestFit="1" customWidth="1"/>
    <col min="14346" max="14346" width="7" style="504" customWidth="1"/>
    <col min="14347" max="14347" width="8" style="504" bestFit="1" customWidth="1"/>
    <col min="14348" max="14348" width="7" style="504" bestFit="1" customWidth="1"/>
    <col min="14349" max="14349" width="6.85546875" style="504" bestFit="1" customWidth="1"/>
    <col min="14350" max="14350" width="7" style="504" bestFit="1" customWidth="1"/>
    <col min="14351" max="14351" width="8.85546875" style="504" customWidth="1"/>
    <col min="14352" max="14355" width="9.140625" style="504"/>
    <col min="14356" max="14356" width="12.42578125" style="504" customWidth="1"/>
    <col min="14357" max="14357" width="9.140625" style="504"/>
    <col min="14358" max="14358" width="12" style="504" customWidth="1"/>
    <col min="14359" max="14592" width="9.140625" style="504"/>
    <col min="14593" max="14593" width="5" style="504" customWidth="1"/>
    <col min="14594" max="14594" width="19.42578125" style="504" customWidth="1"/>
    <col min="14595" max="14595" width="10.7109375" style="504" bestFit="1" customWidth="1"/>
    <col min="14596" max="14596" width="7" style="504" bestFit="1" customWidth="1"/>
    <col min="14597" max="14597" width="8.5703125" style="504" bestFit="1" customWidth="1"/>
    <col min="14598" max="14598" width="9.28515625" style="504" bestFit="1" customWidth="1"/>
    <col min="14599" max="14599" width="10.42578125" style="504" bestFit="1" customWidth="1"/>
    <col min="14600" max="14600" width="10.28515625" style="504" bestFit="1" customWidth="1"/>
    <col min="14601" max="14601" width="7.140625" style="504" bestFit="1" customWidth="1"/>
    <col min="14602" max="14602" width="7" style="504" customWidth="1"/>
    <col min="14603" max="14603" width="8" style="504" bestFit="1" customWidth="1"/>
    <col min="14604" max="14604" width="7" style="504" bestFit="1" customWidth="1"/>
    <col min="14605" max="14605" width="6.85546875" style="504" bestFit="1" customWidth="1"/>
    <col min="14606" max="14606" width="7" style="504" bestFit="1" customWidth="1"/>
    <col min="14607" max="14607" width="8.85546875" style="504" customWidth="1"/>
    <col min="14608" max="14611" width="9.140625" style="504"/>
    <col min="14612" max="14612" width="12.42578125" style="504" customWidth="1"/>
    <col min="14613" max="14613" width="9.140625" style="504"/>
    <col min="14614" max="14614" width="12" style="504" customWidth="1"/>
    <col min="14615" max="14848" width="9.140625" style="504"/>
    <col min="14849" max="14849" width="5" style="504" customWidth="1"/>
    <col min="14850" max="14850" width="19.42578125" style="504" customWidth="1"/>
    <col min="14851" max="14851" width="10.7109375" style="504" bestFit="1" customWidth="1"/>
    <col min="14852" max="14852" width="7" style="504" bestFit="1" customWidth="1"/>
    <col min="14853" max="14853" width="8.5703125" style="504" bestFit="1" customWidth="1"/>
    <col min="14854" max="14854" width="9.28515625" style="504" bestFit="1" customWidth="1"/>
    <col min="14855" max="14855" width="10.42578125" style="504" bestFit="1" customWidth="1"/>
    <col min="14856" max="14856" width="10.28515625" style="504" bestFit="1" customWidth="1"/>
    <col min="14857" max="14857" width="7.140625" style="504" bestFit="1" customWidth="1"/>
    <col min="14858" max="14858" width="7" style="504" customWidth="1"/>
    <col min="14859" max="14859" width="8" style="504" bestFit="1" customWidth="1"/>
    <col min="14860" max="14860" width="7" style="504" bestFit="1" customWidth="1"/>
    <col min="14861" max="14861" width="6.85546875" style="504" bestFit="1" customWidth="1"/>
    <col min="14862" max="14862" width="7" style="504" bestFit="1" customWidth="1"/>
    <col min="14863" max="14863" width="8.85546875" style="504" customWidth="1"/>
    <col min="14864" max="14867" width="9.140625" style="504"/>
    <col min="14868" max="14868" width="12.42578125" style="504" customWidth="1"/>
    <col min="14869" max="14869" width="9.140625" style="504"/>
    <col min="14870" max="14870" width="12" style="504" customWidth="1"/>
    <col min="14871" max="15104" width="9.140625" style="504"/>
    <col min="15105" max="15105" width="5" style="504" customWidth="1"/>
    <col min="15106" max="15106" width="19.42578125" style="504" customWidth="1"/>
    <col min="15107" max="15107" width="10.7109375" style="504" bestFit="1" customWidth="1"/>
    <col min="15108" max="15108" width="7" style="504" bestFit="1" customWidth="1"/>
    <col min="15109" max="15109" width="8.5703125" style="504" bestFit="1" customWidth="1"/>
    <col min="15110" max="15110" width="9.28515625" style="504" bestFit="1" customWidth="1"/>
    <col min="15111" max="15111" width="10.42578125" style="504" bestFit="1" customWidth="1"/>
    <col min="15112" max="15112" width="10.28515625" style="504" bestFit="1" customWidth="1"/>
    <col min="15113" max="15113" width="7.140625" style="504" bestFit="1" customWidth="1"/>
    <col min="15114" max="15114" width="7" style="504" customWidth="1"/>
    <col min="15115" max="15115" width="8" style="504" bestFit="1" customWidth="1"/>
    <col min="15116" max="15116" width="7" style="504" bestFit="1" customWidth="1"/>
    <col min="15117" max="15117" width="6.85546875" style="504" bestFit="1" customWidth="1"/>
    <col min="15118" max="15118" width="7" style="504" bestFit="1" customWidth="1"/>
    <col min="15119" max="15119" width="8.85546875" style="504" customWidth="1"/>
    <col min="15120" max="15123" width="9.140625" style="504"/>
    <col min="15124" max="15124" width="12.42578125" style="504" customWidth="1"/>
    <col min="15125" max="15125" width="9.140625" style="504"/>
    <col min="15126" max="15126" width="12" style="504" customWidth="1"/>
    <col min="15127" max="15360" width="9.140625" style="504"/>
    <col min="15361" max="15361" width="5" style="504" customWidth="1"/>
    <col min="15362" max="15362" width="19.42578125" style="504" customWidth="1"/>
    <col min="15363" max="15363" width="10.7109375" style="504" bestFit="1" customWidth="1"/>
    <col min="15364" max="15364" width="7" style="504" bestFit="1" customWidth="1"/>
    <col min="15365" max="15365" width="8.5703125" style="504" bestFit="1" customWidth="1"/>
    <col min="15366" max="15366" width="9.28515625" style="504" bestFit="1" customWidth="1"/>
    <col min="15367" max="15367" width="10.42578125" style="504" bestFit="1" customWidth="1"/>
    <col min="15368" max="15368" width="10.28515625" style="504" bestFit="1" customWidth="1"/>
    <col min="15369" max="15369" width="7.140625" style="504" bestFit="1" customWidth="1"/>
    <col min="15370" max="15370" width="7" style="504" customWidth="1"/>
    <col min="15371" max="15371" width="8" style="504" bestFit="1" customWidth="1"/>
    <col min="15372" max="15372" width="7" style="504" bestFit="1" customWidth="1"/>
    <col min="15373" max="15373" width="6.85546875" style="504" bestFit="1" customWidth="1"/>
    <col min="15374" max="15374" width="7" style="504" bestFit="1" customWidth="1"/>
    <col min="15375" max="15375" width="8.85546875" style="504" customWidth="1"/>
    <col min="15376" max="15379" width="9.140625" style="504"/>
    <col min="15380" max="15380" width="12.42578125" style="504" customWidth="1"/>
    <col min="15381" max="15381" width="9.140625" style="504"/>
    <col min="15382" max="15382" width="12" style="504" customWidth="1"/>
    <col min="15383" max="15616" width="9.140625" style="504"/>
    <col min="15617" max="15617" width="5" style="504" customWidth="1"/>
    <col min="15618" max="15618" width="19.42578125" style="504" customWidth="1"/>
    <col min="15619" max="15619" width="10.7109375" style="504" bestFit="1" customWidth="1"/>
    <col min="15620" max="15620" width="7" style="504" bestFit="1" customWidth="1"/>
    <col min="15621" max="15621" width="8.5703125" style="504" bestFit="1" customWidth="1"/>
    <col min="15622" max="15622" width="9.28515625" style="504" bestFit="1" customWidth="1"/>
    <col min="15623" max="15623" width="10.42578125" style="504" bestFit="1" customWidth="1"/>
    <col min="15624" max="15624" width="10.28515625" style="504" bestFit="1" customWidth="1"/>
    <col min="15625" max="15625" width="7.140625" style="504" bestFit="1" customWidth="1"/>
    <col min="15626" max="15626" width="7" style="504" customWidth="1"/>
    <col min="15627" max="15627" width="8" style="504" bestFit="1" customWidth="1"/>
    <col min="15628" max="15628" width="7" style="504" bestFit="1" customWidth="1"/>
    <col min="15629" max="15629" width="6.85546875" style="504" bestFit="1" customWidth="1"/>
    <col min="15630" max="15630" width="7" style="504" bestFit="1" customWidth="1"/>
    <col min="15631" max="15631" width="8.85546875" style="504" customWidth="1"/>
    <col min="15632" max="15635" width="9.140625" style="504"/>
    <col min="15636" max="15636" width="12.42578125" style="504" customWidth="1"/>
    <col min="15637" max="15637" width="9.140625" style="504"/>
    <col min="15638" max="15638" width="12" style="504" customWidth="1"/>
    <col min="15639" max="15872" width="9.140625" style="504"/>
    <col min="15873" max="15873" width="5" style="504" customWidth="1"/>
    <col min="15874" max="15874" width="19.42578125" style="504" customWidth="1"/>
    <col min="15875" max="15875" width="10.7109375" style="504" bestFit="1" customWidth="1"/>
    <col min="15876" max="15876" width="7" style="504" bestFit="1" customWidth="1"/>
    <col min="15877" max="15877" width="8.5703125" style="504" bestFit="1" customWidth="1"/>
    <col min="15878" max="15878" width="9.28515625" style="504" bestFit="1" customWidth="1"/>
    <col min="15879" max="15879" width="10.42578125" style="504" bestFit="1" customWidth="1"/>
    <col min="15880" max="15880" width="10.28515625" style="504" bestFit="1" customWidth="1"/>
    <col min="15881" max="15881" width="7.140625" style="504" bestFit="1" customWidth="1"/>
    <col min="15882" max="15882" width="7" style="504" customWidth="1"/>
    <col min="15883" max="15883" width="8" style="504" bestFit="1" customWidth="1"/>
    <col min="15884" max="15884" width="7" style="504" bestFit="1" customWidth="1"/>
    <col min="15885" max="15885" width="6.85546875" style="504" bestFit="1" customWidth="1"/>
    <col min="15886" max="15886" width="7" style="504" bestFit="1" customWidth="1"/>
    <col min="15887" max="15887" width="8.85546875" style="504" customWidth="1"/>
    <col min="15888" max="15891" width="9.140625" style="504"/>
    <col min="15892" max="15892" width="12.42578125" style="504" customWidth="1"/>
    <col min="15893" max="15893" width="9.140625" style="504"/>
    <col min="15894" max="15894" width="12" style="504" customWidth="1"/>
    <col min="15895" max="16128" width="9.140625" style="504"/>
    <col min="16129" max="16129" width="5" style="504" customWidth="1"/>
    <col min="16130" max="16130" width="19.42578125" style="504" customWidth="1"/>
    <col min="16131" max="16131" width="10.7109375" style="504" bestFit="1" customWidth="1"/>
    <col min="16132" max="16132" width="7" style="504" bestFit="1" customWidth="1"/>
    <col min="16133" max="16133" width="8.5703125" style="504" bestFit="1" customWidth="1"/>
    <col min="16134" max="16134" width="9.28515625" style="504" bestFit="1" customWidth="1"/>
    <col min="16135" max="16135" width="10.42578125" style="504" bestFit="1" customWidth="1"/>
    <col min="16136" max="16136" width="10.28515625" style="504" bestFit="1" customWidth="1"/>
    <col min="16137" max="16137" width="7.140625" style="504" bestFit="1" customWidth="1"/>
    <col min="16138" max="16138" width="7" style="504" customWidth="1"/>
    <col min="16139" max="16139" width="8" style="504" bestFit="1" customWidth="1"/>
    <col min="16140" max="16140" width="7" style="504" bestFit="1" customWidth="1"/>
    <col min="16141" max="16141" width="6.85546875" style="504" bestFit="1" customWidth="1"/>
    <col min="16142" max="16142" width="7" style="504" bestFit="1" customWidth="1"/>
    <col min="16143" max="16143" width="8.85546875" style="504" customWidth="1"/>
    <col min="16144" max="16147" width="9.140625" style="504"/>
    <col min="16148" max="16148" width="12.42578125" style="504" customWidth="1"/>
    <col min="16149" max="16149" width="9.140625" style="504"/>
    <col min="16150" max="16150" width="12" style="504" customWidth="1"/>
    <col min="16151" max="16384" width="9.140625" style="504"/>
  </cols>
  <sheetData>
    <row r="1" spans="1:15" s="490" customFormat="1" x14ac:dyDescent="0.2">
      <c r="A1" s="1045" t="s">
        <v>100</v>
      </c>
      <c r="B1" s="1039"/>
      <c r="C1" s="1039"/>
      <c r="D1" s="1038"/>
      <c r="E1" s="1039"/>
      <c r="F1" s="1039"/>
      <c r="G1" s="1045" t="s">
        <v>102</v>
      </c>
      <c r="H1" s="1038"/>
      <c r="I1" s="1038" t="s">
        <v>558</v>
      </c>
      <c r="J1" s="1039"/>
      <c r="K1" s="1039"/>
      <c r="L1" s="1040"/>
      <c r="M1" s="1040"/>
      <c r="N1" s="1040"/>
      <c r="O1" s="1040"/>
    </row>
    <row r="2" spans="1:15" s="490" customFormat="1" x14ac:dyDescent="0.2">
      <c r="A2" s="1045" t="s">
        <v>103</v>
      </c>
      <c r="B2" s="1039"/>
      <c r="C2" s="1039"/>
      <c r="D2" s="1038" t="s">
        <v>798</v>
      </c>
      <c r="E2" s="1039"/>
      <c r="F2" s="1039"/>
      <c r="G2" s="1045" t="s">
        <v>104</v>
      </c>
      <c r="H2" s="1038"/>
      <c r="I2" s="1038" t="s">
        <v>105</v>
      </c>
      <c r="J2" s="1039"/>
      <c r="K2" s="1039"/>
      <c r="L2" s="1040"/>
      <c r="M2" s="1040"/>
      <c r="N2" s="1040"/>
      <c r="O2" s="1040"/>
    </row>
    <row r="3" spans="1:15" s="490" customFormat="1" x14ac:dyDescent="0.2">
      <c r="A3" s="1045" t="s">
        <v>106</v>
      </c>
      <c r="B3" s="1039"/>
      <c r="C3" s="1039"/>
      <c r="D3" s="1046" t="s">
        <v>799</v>
      </c>
      <c r="E3" s="1039"/>
      <c r="F3" s="1039"/>
      <c r="G3" s="1045" t="s">
        <v>107</v>
      </c>
      <c r="H3" s="1038"/>
      <c r="I3" s="1038" t="s">
        <v>108</v>
      </c>
      <c r="J3" s="1039"/>
      <c r="K3" s="1039"/>
      <c r="L3" s="1040"/>
      <c r="M3" s="1040"/>
      <c r="N3" s="1040"/>
      <c r="O3" s="1040"/>
    </row>
    <row r="4" spans="1:15" s="490" customFormat="1" x14ac:dyDescent="0.2">
      <c r="A4" s="1045" t="s">
        <v>476</v>
      </c>
      <c r="B4" s="1039"/>
      <c r="C4" s="1039"/>
      <c r="D4" s="1038" t="s">
        <v>800</v>
      </c>
      <c r="E4" s="1039"/>
      <c r="F4" s="1039"/>
      <c r="G4" s="1045" t="s">
        <v>110</v>
      </c>
      <c r="H4" s="1038"/>
      <c r="I4" s="1038" t="s">
        <v>645</v>
      </c>
      <c r="J4" s="1039"/>
      <c r="K4" s="1039"/>
      <c r="L4" s="1040"/>
      <c r="M4" s="1040"/>
      <c r="N4" s="1040"/>
      <c r="O4" s="1040"/>
    </row>
    <row r="5" spans="1:15" s="490" customFormat="1" x14ac:dyDescent="0.2">
      <c r="A5" s="1045" t="s">
        <v>112</v>
      </c>
      <c r="B5" s="1039"/>
      <c r="C5" s="1039"/>
      <c r="D5" s="1038"/>
      <c r="E5" s="1039"/>
      <c r="F5" s="1039"/>
      <c r="G5" s="1045"/>
      <c r="H5" s="1039"/>
      <c r="I5" s="1038" t="s">
        <v>113</v>
      </c>
      <c r="J5" s="1039"/>
      <c r="K5" s="1039"/>
      <c r="L5" s="1040"/>
      <c r="M5" s="1040"/>
      <c r="N5" s="1040"/>
      <c r="O5" s="1040"/>
    </row>
    <row r="6" spans="1:15" s="490" customFormat="1" x14ac:dyDescent="0.2">
      <c r="A6" s="1041" t="s">
        <v>114</v>
      </c>
      <c r="B6" s="1042"/>
      <c r="C6" s="1042"/>
      <c r="D6" s="1039" t="s">
        <v>559</v>
      </c>
      <c r="E6" s="1039"/>
      <c r="F6" s="1039"/>
      <c r="G6" s="1041" t="s">
        <v>115</v>
      </c>
      <c r="H6" s="1041"/>
      <c r="I6" s="491" t="s">
        <v>116</v>
      </c>
      <c r="J6" s="1043"/>
      <c r="K6" s="1043"/>
      <c r="L6" s="1043"/>
      <c r="M6" s="1043"/>
      <c r="N6" s="1043"/>
      <c r="O6" s="1044"/>
    </row>
    <row r="7" spans="1:15" s="490" customFormat="1" ht="13.5" thickBot="1" x14ac:dyDescent="0.25">
      <c r="A7" s="492"/>
      <c r="B7" s="493"/>
      <c r="C7" s="494"/>
      <c r="D7" s="495"/>
      <c r="E7" s="495"/>
      <c r="F7" s="495"/>
      <c r="G7" s="495"/>
      <c r="H7" s="495"/>
      <c r="I7" s="495"/>
      <c r="J7" s="496"/>
      <c r="K7" s="497"/>
      <c r="L7" s="1030" t="s">
        <v>223</v>
      </c>
      <c r="M7" s="1030"/>
      <c r="N7" s="1030"/>
      <c r="O7" s="1030"/>
    </row>
    <row r="8" spans="1:15" s="499" customFormat="1" x14ac:dyDescent="0.2">
      <c r="A8" s="1031" t="str">
        <f>I1</f>
        <v>Mr. K.A. Baikar</v>
      </c>
      <c r="B8" s="1032"/>
      <c r="C8" s="334">
        <v>43160</v>
      </c>
      <c r="D8" s="334">
        <v>43191</v>
      </c>
      <c r="E8" s="334">
        <v>43221</v>
      </c>
      <c r="F8" s="334">
        <v>43252</v>
      </c>
      <c r="G8" s="334">
        <v>43282</v>
      </c>
      <c r="H8" s="334">
        <v>43313</v>
      </c>
      <c r="I8" s="334">
        <v>43344</v>
      </c>
      <c r="J8" s="334">
        <v>43374</v>
      </c>
      <c r="K8" s="334">
        <v>43405</v>
      </c>
      <c r="L8" s="334">
        <v>43435</v>
      </c>
      <c r="M8" s="334">
        <v>43466</v>
      </c>
      <c r="N8" s="334">
        <v>43497</v>
      </c>
      <c r="O8" s="498" t="s">
        <v>117</v>
      </c>
    </row>
    <row r="9" spans="1:15" ht="15" x14ac:dyDescent="0.2">
      <c r="A9" s="500"/>
      <c r="B9" s="501" t="s">
        <v>118</v>
      </c>
      <c r="C9" s="502">
        <v>50500</v>
      </c>
      <c r="D9" s="502">
        <f t="shared" ref="D9:F10" si="0">+C9</f>
        <v>50500</v>
      </c>
      <c r="E9" s="502">
        <f t="shared" si="0"/>
        <v>50500</v>
      </c>
      <c r="F9" s="502">
        <f t="shared" si="0"/>
        <v>50500</v>
      </c>
      <c r="G9" s="502">
        <v>52000</v>
      </c>
      <c r="H9" s="502">
        <v>52000</v>
      </c>
      <c r="I9" s="502">
        <v>52000</v>
      </c>
      <c r="J9" s="502">
        <v>52000</v>
      </c>
      <c r="K9" s="502">
        <v>52000</v>
      </c>
      <c r="L9" s="502">
        <v>52000</v>
      </c>
      <c r="M9" s="502">
        <v>52000</v>
      </c>
      <c r="N9" s="502">
        <v>52000</v>
      </c>
      <c r="O9" s="503">
        <f t="shared" ref="O9:O50" si="1">SUM(C9:N9)</f>
        <v>618000</v>
      </c>
    </row>
    <row r="10" spans="1:15" ht="15" x14ac:dyDescent="0.2">
      <c r="A10" s="500"/>
      <c r="B10" s="501" t="s">
        <v>119</v>
      </c>
      <c r="C10" s="505">
        <v>0</v>
      </c>
      <c r="D10" s="505">
        <f t="shared" si="0"/>
        <v>0</v>
      </c>
      <c r="E10" s="505">
        <f t="shared" si="0"/>
        <v>0</v>
      </c>
      <c r="F10" s="505">
        <f t="shared" si="0"/>
        <v>0</v>
      </c>
      <c r="G10" s="505">
        <v>0</v>
      </c>
      <c r="H10" s="505">
        <v>0</v>
      </c>
      <c r="I10" s="505">
        <f>+H10</f>
        <v>0</v>
      </c>
      <c r="J10" s="505">
        <f>+I10</f>
        <v>0</v>
      </c>
      <c r="K10" s="505">
        <f>+J10</f>
        <v>0</v>
      </c>
      <c r="L10" s="505">
        <f>+K10</f>
        <v>0</v>
      </c>
      <c r="M10" s="505">
        <v>0</v>
      </c>
      <c r="N10" s="505">
        <f>+M10</f>
        <v>0</v>
      </c>
      <c r="O10" s="506">
        <f t="shared" si="1"/>
        <v>0</v>
      </c>
    </row>
    <row r="11" spans="1:15" ht="15" x14ac:dyDescent="0.2">
      <c r="A11" s="500"/>
      <c r="B11" s="501" t="s">
        <v>120</v>
      </c>
      <c r="C11" s="508">
        <v>2525</v>
      </c>
      <c r="D11" s="508">
        <v>3535</v>
      </c>
      <c r="E11" s="508">
        <v>3535</v>
      </c>
      <c r="F11" s="508">
        <v>3535</v>
      </c>
      <c r="G11" s="508">
        <v>3640</v>
      </c>
      <c r="H11" s="508">
        <v>3640</v>
      </c>
      <c r="I11" s="508">
        <v>3640</v>
      </c>
      <c r="J11" s="508">
        <v>4680</v>
      </c>
      <c r="K11" s="508">
        <v>4680</v>
      </c>
      <c r="L11" s="508">
        <v>4680</v>
      </c>
      <c r="M11" s="508">
        <v>4680</v>
      </c>
      <c r="N11" s="508">
        <v>4680</v>
      </c>
      <c r="O11" s="506">
        <f t="shared" si="1"/>
        <v>47450</v>
      </c>
    </row>
    <row r="12" spans="1:15" ht="15" hidden="1" x14ac:dyDescent="0.2">
      <c r="A12" s="500"/>
      <c r="B12" s="501" t="s">
        <v>121</v>
      </c>
      <c r="C12" s="508">
        <v>0</v>
      </c>
      <c r="D12" s="505">
        <v>0</v>
      </c>
      <c r="E12" s="505">
        <v>0</v>
      </c>
      <c r="F12" s="505">
        <v>0</v>
      </c>
      <c r="G12" s="505">
        <v>0</v>
      </c>
      <c r="H12" s="505">
        <v>0</v>
      </c>
      <c r="I12" s="505">
        <v>0</v>
      </c>
      <c r="J12" s="505">
        <v>0</v>
      </c>
      <c r="K12" s="505">
        <v>0</v>
      </c>
      <c r="L12" s="505">
        <v>0</v>
      </c>
      <c r="M12" s="505">
        <v>0</v>
      </c>
      <c r="N12" s="505">
        <v>0</v>
      </c>
      <c r="O12" s="506">
        <f t="shared" si="1"/>
        <v>0</v>
      </c>
    </row>
    <row r="13" spans="1:15" ht="15" hidden="1" x14ac:dyDescent="0.2">
      <c r="A13" s="500"/>
      <c r="B13" s="501" t="s">
        <v>122</v>
      </c>
      <c r="C13" s="505">
        <v>0</v>
      </c>
      <c r="D13" s="505">
        <v>0</v>
      </c>
      <c r="E13" s="505">
        <v>0</v>
      </c>
      <c r="F13" s="505">
        <v>0</v>
      </c>
      <c r="G13" s="505">
        <v>0</v>
      </c>
      <c r="H13" s="505">
        <v>0</v>
      </c>
      <c r="I13" s="505">
        <v>0</v>
      </c>
      <c r="J13" s="505">
        <v>0</v>
      </c>
      <c r="K13" s="505">
        <v>0</v>
      </c>
      <c r="L13" s="505">
        <v>0</v>
      </c>
      <c r="M13" s="505">
        <v>0</v>
      </c>
      <c r="N13" s="505">
        <v>0</v>
      </c>
      <c r="O13" s="506">
        <f t="shared" si="1"/>
        <v>0</v>
      </c>
    </row>
    <row r="14" spans="1:15" ht="15" x14ac:dyDescent="0.2">
      <c r="A14" s="500"/>
      <c r="B14" s="501" t="s">
        <v>123</v>
      </c>
      <c r="C14" s="508">
        <v>3780</v>
      </c>
      <c r="D14" s="508">
        <v>3852</v>
      </c>
      <c r="E14" s="508">
        <v>3852</v>
      </c>
      <c r="F14" s="508">
        <v>3852</v>
      </c>
      <c r="G14" s="508">
        <v>3852</v>
      </c>
      <c r="H14" s="508">
        <v>3852</v>
      </c>
      <c r="I14" s="508">
        <v>3852</v>
      </c>
      <c r="J14" s="508">
        <v>3924</v>
      </c>
      <c r="K14" s="508">
        <v>3924</v>
      </c>
      <c r="L14" s="508">
        <v>3924</v>
      </c>
      <c r="M14" s="508">
        <v>3924</v>
      </c>
      <c r="N14" s="508">
        <v>3924</v>
      </c>
      <c r="O14" s="506">
        <f t="shared" si="1"/>
        <v>46512</v>
      </c>
    </row>
    <row r="15" spans="1:15" ht="15" hidden="1" x14ac:dyDescent="0.2">
      <c r="A15" s="500"/>
      <c r="B15" s="501" t="s">
        <v>124</v>
      </c>
      <c r="C15" s="505">
        <v>0</v>
      </c>
      <c r="D15" s="505">
        <v>0</v>
      </c>
      <c r="E15" s="505">
        <v>0</v>
      </c>
      <c r="F15" s="505">
        <v>0</v>
      </c>
      <c r="G15" s="505">
        <v>0</v>
      </c>
      <c r="H15" s="505">
        <v>0</v>
      </c>
      <c r="I15" s="505">
        <v>0</v>
      </c>
      <c r="J15" s="508">
        <v>0</v>
      </c>
      <c r="K15" s="508">
        <v>0</v>
      </c>
      <c r="L15" s="508">
        <v>0</v>
      </c>
      <c r="M15" s="508">
        <v>0</v>
      </c>
      <c r="N15" s="508">
        <v>0</v>
      </c>
      <c r="O15" s="506">
        <f t="shared" si="1"/>
        <v>0</v>
      </c>
    </row>
    <row r="16" spans="1:15" ht="15" hidden="1" x14ac:dyDescent="0.2">
      <c r="A16" s="500"/>
      <c r="B16" s="501" t="s">
        <v>125</v>
      </c>
      <c r="C16" s="505">
        <v>0</v>
      </c>
      <c r="D16" s="505">
        <f t="shared" ref="D16:N16" si="2">+C16</f>
        <v>0</v>
      </c>
      <c r="E16" s="505">
        <f t="shared" si="2"/>
        <v>0</v>
      </c>
      <c r="F16" s="505">
        <f t="shared" si="2"/>
        <v>0</v>
      </c>
      <c r="G16" s="505">
        <f t="shared" si="2"/>
        <v>0</v>
      </c>
      <c r="H16" s="505">
        <f t="shared" si="2"/>
        <v>0</v>
      </c>
      <c r="I16" s="505">
        <f t="shared" si="2"/>
        <v>0</v>
      </c>
      <c r="J16" s="505">
        <f t="shared" si="2"/>
        <v>0</v>
      </c>
      <c r="K16" s="505">
        <f t="shared" si="2"/>
        <v>0</v>
      </c>
      <c r="L16" s="505">
        <f t="shared" si="2"/>
        <v>0</v>
      </c>
      <c r="M16" s="505">
        <f t="shared" si="2"/>
        <v>0</v>
      </c>
      <c r="N16" s="505">
        <f t="shared" si="2"/>
        <v>0</v>
      </c>
      <c r="O16" s="506">
        <f t="shared" si="1"/>
        <v>0</v>
      </c>
    </row>
    <row r="17" spans="1:15" ht="15" customHeight="1" x14ac:dyDescent="0.2">
      <c r="A17" s="500"/>
      <c r="B17" s="646" t="s">
        <v>280</v>
      </c>
      <c r="C17" s="505">
        <v>0</v>
      </c>
      <c r="D17" s="505">
        <v>0</v>
      </c>
      <c r="E17" s="505">
        <v>0</v>
      </c>
      <c r="F17" s="505">
        <v>0</v>
      </c>
      <c r="G17" s="505">
        <v>0</v>
      </c>
      <c r="H17" s="505">
        <v>0</v>
      </c>
      <c r="I17" s="505">
        <v>0</v>
      </c>
      <c r="J17" s="508">
        <v>0</v>
      </c>
      <c r="K17" s="508">
        <v>0</v>
      </c>
      <c r="L17" s="508">
        <v>0</v>
      </c>
      <c r="M17" s="508">
        <v>0</v>
      </c>
      <c r="N17" s="508">
        <v>0</v>
      </c>
      <c r="O17" s="506">
        <f t="shared" si="1"/>
        <v>0</v>
      </c>
    </row>
    <row r="18" spans="1:15" ht="15" x14ac:dyDescent="0.2">
      <c r="A18" s="500"/>
      <c r="B18" s="501" t="s">
        <v>458</v>
      </c>
      <c r="C18" s="505">
        <v>0</v>
      </c>
      <c r="D18" s="505">
        <v>0</v>
      </c>
      <c r="E18" s="505">
        <v>0</v>
      </c>
      <c r="F18" s="505">
        <v>0</v>
      </c>
      <c r="G18" s="505">
        <v>0</v>
      </c>
      <c r="H18" s="505">
        <v>0</v>
      </c>
      <c r="I18" s="505">
        <v>0</v>
      </c>
      <c r="J18" s="508">
        <v>0</v>
      </c>
      <c r="K18" s="508">
        <v>0</v>
      </c>
      <c r="L18" s="508">
        <v>0</v>
      </c>
      <c r="M18" s="508">
        <v>0</v>
      </c>
      <c r="N18" s="508">
        <v>0</v>
      </c>
      <c r="O18" s="506">
        <f t="shared" si="1"/>
        <v>0</v>
      </c>
    </row>
    <row r="19" spans="1:15" ht="15" x14ac:dyDescent="0.2">
      <c r="A19" s="500"/>
      <c r="B19" s="501" t="s">
        <v>128</v>
      </c>
      <c r="C19" s="508">
        <v>12120</v>
      </c>
      <c r="D19" s="508">
        <v>12120</v>
      </c>
      <c r="E19" s="508">
        <v>12120</v>
      </c>
      <c r="F19" s="508">
        <v>12120</v>
      </c>
      <c r="G19" s="508">
        <v>12480</v>
      </c>
      <c r="H19" s="508">
        <v>12480</v>
      </c>
      <c r="I19" s="508">
        <v>12480</v>
      </c>
      <c r="J19" s="508">
        <v>12480</v>
      </c>
      <c r="K19" s="508">
        <v>12480</v>
      </c>
      <c r="L19" s="508">
        <v>12480</v>
      </c>
      <c r="M19" s="508">
        <v>12480</v>
      </c>
      <c r="N19" s="508">
        <v>12480</v>
      </c>
      <c r="O19" s="506">
        <f t="shared" si="1"/>
        <v>148320</v>
      </c>
    </row>
    <row r="20" spans="1:15" ht="15" customHeight="1" x14ac:dyDescent="0.2">
      <c r="A20" s="500"/>
      <c r="B20" s="501" t="s">
        <v>129</v>
      </c>
      <c r="C20" s="512">
        <v>0</v>
      </c>
      <c r="D20" s="512">
        <v>0</v>
      </c>
      <c r="E20" s="512">
        <v>0</v>
      </c>
      <c r="F20" s="512">
        <v>0</v>
      </c>
      <c r="G20" s="512">
        <v>0</v>
      </c>
      <c r="H20" s="512">
        <v>0</v>
      </c>
      <c r="I20" s="512">
        <v>0</v>
      </c>
      <c r="J20" s="508">
        <v>0</v>
      </c>
      <c r="K20" s="508">
        <v>0</v>
      </c>
      <c r="L20" s="508">
        <v>0</v>
      </c>
      <c r="M20" s="508">
        <v>0</v>
      </c>
      <c r="N20" s="508">
        <v>0</v>
      </c>
      <c r="O20" s="506">
        <f t="shared" si="1"/>
        <v>0</v>
      </c>
    </row>
    <row r="21" spans="1:15" ht="15" hidden="1" customHeight="1" x14ac:dyDescent="0.2">
      <c r="A21" s="1033" t="s">
        <v>130</v>
      </c>
      <c r="B21" s="507" t="s">
        <v>131</v>
      </c>
      <c r="C21" s="508">
        <v>0</v>
      </c>
      <c r="D21" s="508">
        <v>0</v>
      </c>
      <c r="E21" s="508">
        <v>0</v>
      </c>
      <c r="F21" s="508">
        <v>0</v>
      </c>
      <c r="G21" s="508">
        <v>0</v>
      </c>
      <c r="H21" s="508">
        <v>0</v>
      </c>
      <c r="I21" s="508">
        <v>0</v>
      </c>
      <c r="J21" s="508">
        <v>0</v>
      </c>
      <c r="K21" s="508">
        <v>0</v>
      </c>
      <c r="L21" s="508">
        <v>0</v>
      </c>
      <c r="M21" s="508">
        <v>0</v>
      </c>
      <c r="N21" s="508">
        <v>0</v>
      </c>
      <c r="O21" s="506">
        <f t="shared" si="1"/>
        <v>0</v>
      </c>
    </row>
    <row r="22" spans="1:15" ht="15" customHeight="1" x14ac:dyDescent="0.2">
      <c r="A22" s="1034"/>
      <c r="B22" s="507" t="s">
        <v>132</v>
      </c>
      <c r="C22" s="512">
        <v>0</v>
      </c>
      <c r="D22" s="512">
        <v>0</v>
      </c>
      <c r="E22" s="512">
        <v>0</v>
      </c>
      <c r="F22" s="512">
        <v>0</v>
      </c>
      <c r="G22" s="512">
        <v>0</v>
      </c>
      <c r="H22" s="512">
        <v>0</v>
      </c>
      <c r="I22" s="512">
        <v>0</v>
      </c>
      <c r="J22" s="512">
        <v>6908</v>
      </c>
      <c r="K22" s="512">
        <v>0</v>
      </c>
      <c r="L22" s="512">
        <v>0</v>
      </c>
      <c r="M22" s="512">
        <v>0</v>
      </c>
      <c r="N22" s="512">
        <v>0</v>
      </c>
      <c r="O22" s="506">
        <f t="shared" si="1"/>
        <v>6908</v>
      </c>
    </row>
    <row r="23" spans="1:15" ht="15" hidden="1" customHeight="1" x14ac:dyDescent="0.2">
      <c r="A23" s="1034"/>
      <c r="B23" s="507" t="s">
        <v>133</v>
      </c>
      <c r="C23" s="512">
        <v>0</v>
      </c>
      <c r="D23" s="512">
        <v>0</v>
      </c>
      <c r="E23" s="512">
        <v>0</v>
      </c>
      <c r="F23" s="512">
        <v>0</v>
      </c>
      <c r="G23" s="512">
        <v>0</v>
      </c>
      <c r="H23" s="512">
        <v>0</v>
      </c>
      <c r="I23" s="512">
        <v>0</v>
      </c>
      <c r="J23" s="512">
        <v>0</v>
      </c>
      <c r="K23" s="512">
        <v>0</v>
      </c>
      <c r="L23" s="512">
        <v>0</v>
      </c>
      <c r="M23" s="512">
        <v>0</v>
      </c>
      <c r="N23" s="512">
        <v>0</v>
      </c>
      <c r="O23" s="506">
        <f t="shared" si="1"/>
        <v>0</v>
      </c>
    </row>
    <row r="24" spans="1:15" ht="15" hidden="1" customHeight="1" x14ac:dyDescent="0.2">
      <c r="A24" s="1034"/>
      <c r="B24" s="507" t="s">
        <v>134</v>
      </c>
      <c r="C24" s="512">
        <v>0</v>
      </c>
      <c r="D24" s="512">
        <v>0</v>
      </c>
      <c r="E24" s="512">
        <v>0</v>
      </c>
      <c r="F24" s="512">
        <v>0</v>
      </c>
      <c r="G24" s="512">
        <v>0</v>
      </c>
      <c r="H24" s="512">
        <v>0</v>
      </c>
      <c r="I24" s="512">
        <v>0</v>
      </c>
      <c r="J24" s="512">
        <v>0</v>
      </c>
      <c r="K24" s="512">
        <v>0</v>
      </c>
      <c r="L24" s="512">
        <v>0</v>
      </c>
      <c r="M24" s="512">
        <v>0</v>
      </c>
      <c r="N24" s="512">
        <v>0</v>
      </c>
      <c r="O24" s="506">
        <f t="shared" si="1"/>
        <v>0</v>
      </c>
    </row>
    <row r="25" spans="1:15" ht="15" hidden="1" customHeight="1" x14ac:dyDescent="0.2">
      <c r="A25" s="1034"/>
      <c r="B25" s="507" t="s">
        <v>135</v>
      </c>
      <c r="C25" s="512">
        <v>0</v>
      </c>
      <c r="D25" s="512">
        <v>0</v>
      </c>
      <c r="E25" s="512">
        <v>0</v>
      </c>
      <c r="F25" s="512">
        <v>0</v>
      </c>
      <c r="G25" s="512">
        <v>0</v>
      </c>
      <c r="H25" s="512">
        <v>0</v>
      </c>
      <c r="I25" s="512">
        <v>0</v>
      </c>
      <c r="J25" s="512">
        <v>0</v>
      </c>
      <c r="K25" s="512">
        <v>0</v>
      </c>
      <c r="L25" s="512">
        <v>0</v>
      </c>
      <c r="M25" s="512">
        <v>0</v>
      </c>
      <c r="N25" s="512">
        <v>0</v>
      </c>
      <c r="O25" s="506">
        <f t="shared" si="1"/>
        <v>0</v>
      </c>
    </row>
    <row r="26" spans="1:15" ht="15" hidden="1" customHeight="1" x14ac:dyDescent="0.2">
      <c r="A26" s="1034"/>
      <c r="B26" s="507" t="s">
        <v>136</v>
      </c>
      <c r="C26" s="512">
        <v>0</v>
      </c>
      <c r="D26" s="512">
        <v>0</v>
      </c>
      <c r="E26" s="512">
        <v>0</v>
      </c>
      <c r="F26" s="512">
        <v>0</v>
      </c>
      <c r="G26" s="512">
        <v>0</v>
      </c>
      <c r="H26" s="512">
        <v>0</v>
      </c>
      <c r="I26" s="512">
        <v>0</v>
      </c>
      <c r="J26" s="512">
        <v>0</v>
      </c>
      <c r="K26" s="512">
        <v>0</v>
      </c>
      <c r="L26" s="512">
        <v>0</v>
      </c>
      <c r="M26" s="512">
        <v>0</v>
      </c>
      <c r="N26" s="512">
        <v>0</v>
      </c>
      <c r="O26" s="506">
        <f t="shared" si="1"/>
        <v>0</v>
      </c>
    </row>
    <row r="27" spans="1:15" ht="15" hidden="1" customHeight="1" x14ac:dyDescent="0.2">
      <c r="A27" s="1034"/>
      <c r="B27" s="507" t="s">
        <v>137</v>
      </c>
      <c r="C27" s="512">
        <v>0</v>
      </c>
      <c r="D27" s="512">
        <v>0</v>
      </c>
      <c r="E27" s="512">
        <v>0</v>
      </c>
      <c r="F27" s="512">
        <v>0</v>
      </c>
      <c r="G27" s="512">
        <v>0</v>
      </c>
      <c r="H27" s="512">
        <v>0</v>
      </c>
      <c r="I27" s="512">
        <v>0</v>
      </c>
      <c r="J27" s="512">
        <v>0</v>
      </c>
      <c r="K27" s="512">
        <v>0</v>
      </c>
      <c r="L27" s="512">
        <v>0</v>
      </c>
      <c r="M27" s="512">
        <v>0</v>
      </c>
      <c r="N27" s="512">
        <v>0</v>
      </c>
      <c r="O27" s="506">
        <f t="shared" si="1"/>
        <v>0</v>
      </c>
    </row>
    <row r="28" spans="1:15" ht="15" hidden="1" customHeight="1" x14ac:dyDescent="0.2">
      <c r="A28" s="1034"/>
      <c r="B28" s="507" t="s">
        <v>138</v>
      </c>
      <c r="C28" s="512">
        <v>0</v>
      </c>
      <c r="D28" s="512">
        <v>0</v>
      </c>
      <c r="E28" s="512">
        <v>0</v>
      </c>
      <c r="F28" s="512">
        <v>0</v>
      </c>
      <c r="G28" s="512">
        <v>0</v>
      </c>
      <c r="H28" s="512">
        <v>0</v>
      </c>
      <c r="I28" s="512">
        <v>0</v>
      </c>
      <c r="J28" s="512">
        <v>0</v>
      </c>
      <c r="K28" s="512">
        <v>0</v>
      </c>
      <c r="L28" s="512">
        <v>0</v>
      </c>
      <c r="M28" s="512">
        <v>0</v>
      </c>
      <c r="N28" s="512">
        <v>0</v>
      </c>
      <c r="O28" s="506">
        <f t="shared" si="1"/>
        <v>0</v>
      </c>
    </row>
    <row r="29" spans="1:15" ht="15" hidden="1" customHeight="1" x14ac:dyDescent="0.2">
      <c r="A29" s="1034"/>
      <c r="B29" s="507" t="s">
        <v>139</v>
      </c>
      <c r="C29" s="512">
        <v>0</v>
      </c>
      <c r="D29" s="512">
        <v>0</v>
      </c>
      <c r="E29" s="512">
        <v>0</v>
      </c>
      <c r="F29" s="512">
        <v>0</v>
      </c>
      <c r="G29" s="512">
        <v>0</v>
      </c>
      <c r="H29" s="512">
        <v>0</v>
      </c>
      <c r="I29" s="512">
        <v>0</v>
      </c>
      <c r="J29" s="512">
        <v>0</v>
      </c>
      <c r="K29" s="512">
        <v>0</v>
      </c>
      <c r="L29" s="512">
        <v>0</v>
      </c>
      <c r="M29" s="512">
        <v>0</v>
      </c>
      <c r="N29" s="512">
        <v>0</v>
      </c>
      <c r="O29" s="506">
        <f t="shared" si="1"/>
        <v>0</v>
      </c>
    </row>
    <row r="30" spans="1:15" ht="15" hidden="1" customHeight="1" x14ac:dyDescent="0.2">
      <c r="A30" s="1034"/>
      <c r="B30" s="507" t="s">
        <v>140</v>
      </c>
      <c r="C30" s="512">
        <v>0</v>
      </c>
      <c r="D30" s="512">
        <v>0</v>
      </c>
      <c r="E30" s="512">
        <v>0</v>
      </c>
      <c r="F30" s="512">
        <v>0</v>
      </c>
      <c r="G30" s="512">
        <v>0</v>
      </c>
      <c r="H30" s="512">
        <v>0</v>
      </c>
      <c r="I30" s="512">
        <v>0</v>
      </c>
      <c r="J30" s="512">
        <v>0</v>
      </c>
      <c r="K30" s="512">
        <v>0</v>
      </c>
      <c r="L30" s="512">
        <v>0</v>
      </c>
      <c r="M30" s="512">
        <v>0</v>
      </c>
      <c r="N30" s="512">
        <v>0</v>
      </c>
      <c r="O30" s="506">
        <f t="shared" si="1"/>
        <v>0</v>
      </c>
    </row>
    <row r="31" spans="1:15" ht="15" hidden="1" customHeight="1" x14ac:dyDescent="0.2">
      <c r="A31" s="1034"/>
      <c r="B31" s="507" t="s">
        <v>225</v>
      </c>
      <c r="C31" s="512">
        <v>0</v>
      </c>
      <c r="D31" s="512">
        <v>0</v>
      </c>
      <c r="E31" s="512">
        <v>0</v>
      </c>
      <c r="F31" s="512">
        <v>0</v>
      </c>
      <c r="G31" s="512">
        <v>0</v>
      </c>
      <c r="H31" s="512">
        <v>0</v>
      </c>
      <c r="I31" s="512">
        <v>0</v>
      </c>
      <c r="J31" s="512">
        <v>0</v>
      </c>
      <c r="K31" s="512">
        <v>0</v>
      </c>
      <c r="L31" s="512">
        <v>0</v>
      </c>
      <c r="M31" s="512">
        <v>0</v>
      </c>
      <c r="N31" s="512">
        <v>0</v>
      </c>
      <c r="O31" s="506">
        <f t="shared" si="1"/>
        <v>0</v>
      </c>
    </row>
    <row r="32" spans="1:15" ht="15" customHeight="1" x14ac:dyDescent="0.2">
      <c r="A32" s="1034"/>
      <c r="B32" s="511" t="s">
        <v>142</v>
      </c>
      <c r="C32" s="512">
        <v>0</v>
      </c>
      <c r="D32" s="512">
        <v>689434</v>
      </c>
      <c r="E32" s="512">
        <v>0</v>
      </c>
      <c r="F32" s="512">
        <v>0</v>
      </c>
      <c r="G32" s="512">
        <v>0</v>
      </c>
      <c r="H32" s="512">
        <v>0</v>
      </c>
      <c r="I32" s="512">
        <v>0</v>
      </c>
      <c r="J32" s="512">
        <v>0</v>
      </c>
      <c r="K32" s="512">
        <v>0</v>
      </c>
      <c r="L32" s="512">
        <v>0</v>
      </c>
      <c r="M32" s="512">
        <v>0</v>
      </c>
      <c r="N32" s="512">
        <v>0</v>
      </c>
      <c r="O32" s="506">
        <f t="shared" si="1"/>
        <v>689434</v>
      </c>
    </row>
    <row r="33" spans="1:17" ht="15" hidden="1" customHeight="1" x14ac:dyDescent="0.2">
      <c r="A33" s="1035"/>
      <c r="B33" s="507" t="s">
        <v>226</v>
      </c>
      <c r="C33" s="512">
        <v>0</v>
      </c>
      <c r="D33" s="512">
        <v>0</v>
      </c>
      <c r="E33" s="512">
        <v>0</v>
      </c>
      <c r="F33" s="512">
        <v>0</v>
      </c>
      <c r="G33" s="512">
        <v>0</v>
      </c>
      <c r="H33" s="512">
        <v>0</v>
      </c>
      <c r="I33" s="512">
        <v>0</v>
      </c>
      <c r="J33" s="512">
        <v>0</v>
      </c>
      <c r="K33" s="512">
        <v>0</v>
      </c>
      <c r="L33" s="512">
        <v>0</v>
      </c>
      <c r="M33" s="512">
        <v>0</v>
      </c>
      <c r="N33" s="512">
        <v>0</v>
      </c>
      <c r="O33" s="506">
        <f t="shared" si="1"/>
        <v>0</v>
      </c>
    </row>
    <row r="34" spans="1:17" ht="15" customHeight="1" x14ac:dyDescent="0.2">
      <c r="A34" s="1036" t="s">
        <v>144</v>
      </c>
      <c r="B34" s="1037"/>
      <c r="C34" s="512">
        <v>0</v>
      </c>
      <c r="D34" s="512">
        <v>0</v>
      </c>
      <c r="E34" s="512">
        <v>0</v>
      </c>
      <c r="F34" s="512">
        <v>0</v>
      </c>
      <c r="G34" s="512">
        <v>0</v>
      </c>
      <c r="H34" s="512">
        <v>0</v>
      </c>
      <c r="I34" s="512">
        <v>0</v>
      </c>
      <c r="J34" s="512">
        <v>0</v>
      </c>
      <c r="K34" s="512">
        <v>0</v>
      </c>
      <c r="L34" s="512">
        <v>0</v>
      </c>
      <c r="M34" s="512">
        <v>0</v>
      </c>
      <c r="N34" s="512">
        <v>0</v>
      </c>
      <c r="O34" s="506">
        <f t="shared" si="1"/>
        <v>0</v>
      </c>
    </row>
    <row r="35" spans="1:17" ht="15" customHeight="1" x14ac:dyDescent="0.2">
      <c r="A35" s="1036" t="s">
        <v>145</v>
      </c>
      <c r="B35" s="1037"/>
      <c r="C35" s="512">
        <v>0</v>
      </c>
      <c r="D35" s="512">
        <v>216</v>
      </c>
      <c r="E35" s="512">
        <v>0</v>
      </c>
      <c r="F35" s="512">
        <v>0</v>
      </c>
      <c r="G35" s="512">
        <v>0</v>
      </c>
      <c r="H35" s="512">
        <v>0</v>
      </c>
      <c r="I35" s="512">
        <v>0</v>
      </c>
      <c r="J35" s="512">
        <v>216</v>
      </c>
      <c r="K35" s="512">
        <v>0</v>
      </c>
      <c r="L35" s="512">
        <v>0</v>
      </c>
      <c r="M35" s="512">
        <v>0</v>
      </c>
      <c r="N35" s="512">
        <v>0</v>
      </c>
      <c r="O35" s="506">
        <f t="shared" si="1"/>
        <v>432</v>
      </c>
    </row>
    <row r="36" spans="1:17" ht="15" customHeight="1" x14ac:dyDescent="0.2">
      <c r="A36" s="1036" t="s">
        <v>146</v>
      </c>
      <c r="B36" s="1037"/>
      <c r="C36" s="512">
        <v>0</v>
      </c>
      <c r="D36" s="512">
        <v>3030</v>
      </c>
      <c r="E36" s="512">
        <v>0</v>
      </c>
      <c r="F36" s="512">
        <v>0</v>
      </c>
      <c r="G36" s="512">
        <v>0</v>
      </c>
      <c r="H36" s="512">
        <v>0</v>
      </c>
      <c r="I36" s="512">
        <v>0</v>
      </c>
      <c r="J36" s="512">
        <v>3120</v>
      </c>
      <c r="K36" s="512">
        <v>0</v>
      </c>
      <c r="L36" s="512">
        <v>0</v>
      </c>
      <c r="M36" s="512">
        <v>0</v>
      </c>
      <c r="N36" s="512">
        <v>0</v>
      </c>
      <c r="O36" s="506">
        <f t="shared" si="1"/>
        <v>6150</v>
      </c>
    </row>
    <row r="37" spans="1:17" ht="15" customHeight="1" x14ac:dyDescent="0.2">
      <c r="A37" s="513"/>
      <c r="B37" s="514" t="s">
        <v>147</v>
      </c>
      <c r="C37" s="515">
        <f t="shared" ref="C37:N37" si="3">SUM(C9:C36)</f>
        <v>68925</v>
      </c>
      <c r="D37" s="515">
        <f t="shared" si="3"/>
        <v>762687</v>
      </c>
      <c r="E37" s="515">
        <f t="shared" si="3"/>
        <v>70007</v>
      </c>
      <c r="F37" s="515">
        <f t="shared" si="3"/>
        <v>70007</v>
      </c>
      <c r="G37" s="515">
        <f t="shared" si="3"/>
        <v>71972</v>
      </c>
      <c r="H37" s="515">
        <f t="shared" si="3"/>
        <v>71972</v>
      </c>
      <c r="I37" s="515">
        <f t="shared" si="3"/>
        <v>71972</v>
      </c>
      <c r="J37" s="515">
        <f t="shared" si="3"/>
        <v>83328</v>
      </c>
      <c r="K37" s="515">
        <f t="shared" si="3"/>
        <v>73084</v>
      </c>
      <c r="L37" s="515">
        <f t="shared" si="3"/>
        <v>73084</v>
      </c>
      <c r="M37" s="515">
        <f t="shared" si="3"/>
        <v>73084</v>
      </c>
      <c r="N37" s="515">
        <f t="shared" si="3"/>
        <v>73084</v>
      </c>
      <c r="O37" s="516">
        <f t="shared" si="1"/>
        <v>1563206</v>
      </c>
      <c r="Q37" s="504">
        <f>28709*2+4624+29865*2+30684*3+4452+3454+32168*3+24971+33950*2</f>
        <v>411105</v>
      </c>
    </row>
    <row r="38" spans="1:17" ht="15" customHeight="1" x14ac:dyDescent="0.2">
      <c r="A38" s="995" t="s">
        <v>148</v>
      </c>
      <c r="B38" s="517" t="s">
        <v>149</v>
      </c>
      <c r="C38" s="508">
        <v>2400</v>
      </c>
      <c r="D38" s="508">
        <v>71943</v>
      </c>
      <c r="E38" s="508">
        <v>2500</v>
      </c>
      <c r="F38" s="508">
        <v>2500</v>
      </c>
      <c r="G38" s="508">
        <v>2500</v>
      </c>
      <c r="H38" s="508">
        <v>2500</v>
      </c>
      <c r="I38" s="508">
        <v>2500</v>
      </c>
      <c r="J38" s="508">
        <v>2500</v>
      </c>
      <c r="K38" s="508">
        <v>0</v>
      </c>
      <c r="L38" s="508">
        <v>5000</v>
      </c>
      <c r="M38" s="508">
        <v>0</v>
      </c>
      <c r="N38" s="508">
        <v>0</v>
      </c>
      <c r="O38" s="506">
        <f t="shared" si="1"/>
        <v>94343</v>
      </c>
      <c r="P38" s="518"/>
    </row>
    <row r="39" spans="1:17" ht="15" x14ac:dyDescent="0.2">
      <c r="A39" s="996"/>
      <c r="B39" s="517" t="s">
        <v>150</v>
      </c>
      <c r="C39" s="508">
        <v>0</v>
      </c>
      <c r="D39" s="508">
        <v>0</v>
      </c>
      <c r="E39" s="508">
        <v>0</v>
      </c>
      <c r="F39" s="508">
        <v>0</v>
      </c>
      <c r="G39" s="508">
        <v>0</v>
      </c>
      <c r="H39" s="508">
        <v>0</v>
      </c>
      <c r="I39" s="508">
        <v>0</v>
      </c>
      <c r="J39" s="508">
        <v>0</v>
      </c>
      <c r="K39" s="508">
        <v>0</v>
      </c>
      <c r="L39" s="508">
        <v>0</v>
      </c>
      <c r="M39" s="508">
        <v>0</v>
      </c>
      <c r="N39" s="508">
        <v>0</v>
      </c>
      <c r="O39" s="506">
        <f t="shared" si="1"/>
        <v>0</v>
      </c>
    </row>
    <row r="40" spans="1:17" ht="15" x14ac:dyDescent="0.2">
      <c r="A40" s="996"/>
      <c r="B40" s="517" t="s">
        <v>151</v>
      </c>
      <c r="C40" s="508">
        <v>30</v>
      </c>
      <c r="D40" s="508">
        <f t="shared" ref="D40:N41" si="4">C40</f>
        <v>30</v>
      </c>
      <c r="E40" s="508">
        <f t="shared" si="4"/>
        <v>30</v>
      </c>
      <c r="F40" s="508">
        <f t="shared" si="4"/>
        <v>30</v>
      </c>
      <c r="G40" s="508">
        <f t="shared" si="4"/>
        <v>30</v>
      </c>
      <c r="H40" s="508">
        <f t="shared" si="4"/>
        <v>30</v>
      </c>
      <c r="I40" s="508">
        <f t="shared" si="4"/>
        <v>30</v>
      </c>
      <c r="J40" s="508">
        <f t="shared" si="4"/>
        <v>30</v>
      </c>
      <c r="K40" s="508">
        <f t="shared" si="4"/>
        <v>30</v>
      </c>
      <c r="L40" s="508">
        <f t="shared" si="4"/>
        <v>30</v>
      </c>
      <c r="M40" s="508">
        <f t="shared" si="4"/>
        <v>30</v>
      </c>
      <c r="N40" s="508">
        <f t="shared" si="4"/>
        <v>30</v>
      </c>
      <c r="O40" s="506">
        <f t="shared" si="1"/>
        <v>360</v>
      </c>
    </row>
    <row r="41" spans="1:17" ht="15" x14ac:dyDescent="0.2">
      <c r="A41" s="996"/>
      <c r="B41" s="517" t="s">
        <v>152</v>
      </c>
      <c r="C41" s="508">
        <v>0</v>
      </c>
      <c r="D41" s="508">
        <f t="shared" si="4"/>
        <v>0</v>
      </c>
      <c r="E41" s="508">
        <f t="shared" si="4"/>
        <v>0</v>
      </c>
      <c r="F41" s="508">
        <f t="shared" si="4"/>
        <v>0</v>
      </c>
      <c r="G41" s="508">
        <f t="shared" si="4"/>
        <v>0</v>
      </c>
      <c r="H41" s="508">
        <f t="shared" si="4"/>
        <v>0</v>
      </c>
      <c r="I41" s="508">
        <f t="shared" si="4"/>
        <v>0</v>
      </c>
      <c r="J41" s="508">
        <f t="shared" si="4"/>
        <v>0</v>
      </c>
      <c r="K41" s="508">
        <f t="shared" si="4"/>
        <v>0</v>
      </c>
      <c r="L41" s="508">
        <f t="shared" si="4"/>
        <v>0</v>
      </c>
      <c r="M41" s="508">
        <f t="shared" si="4"/>
        <v>0</v>
      </c>
      <c r="N41" s="508">
        <f t="shared" si="4"/>
        <v>0</v>
      </c>
      <c r="O41" s="506">
        <f t="shared" si="1"/>
        <v>0</v>
      </c>
    </row>
    <row r="42" spans="1:17" ht="15" x14ac:dyDescent="0.2">
      <c r="A42" s="996"/>
      <c r="B42" s="517" t="s">
        <v>153</v>
      </c>
      <c r="C42" s="512">
        <v>250</v>
      </c>
      <c r="D42" s="512">
        <v>250</v>
      </c>
      <c r="E42" s="512">
        <v>250</v>
      </c>
      <c r="F42" s="512">
        <v>250</v>
      </c>
      <c r="G42" s="512">
        <v>250</v>
      </c>
      <c r="H42" s="512">
        <v>450</v>
      </c>
      <c r="I42" s="512">
        <v>450</v>
      </c>
      <c r="J42" s="512">
        <v>450</v>
      </c>
      <c r="K42" s="512">
        <v>450</v>
      </c>
      <c r="L42" s="512">
        <v>450</v>
      </c>
      <c r="M42" s="512">
        <v>450</v>
      </c>
      <c r="N42" s="512">
        <v>450</v>
      </c>
      <c r="O42" s="506">
        <f t="shared" si="1"/>
        <v>4400</v>
      </c>
    </row>
    <row r="43" spans="1:17" ht="15" x14ac:dyDescent="0.2">
      <c r="A43" s="996"/>
      <c r="B43" s="517" t="s">
        <v>154</v>
      </c>
      <c r="C43" s="512">
        <v>14500</v>
      </c>
      <c r="D43" s="512">
        <f t="shared" ref="D43:L47" si="5">C43</f>
        <v>14500</v>
      </c>
      <c r="E43" s="512">
        <f t="shared" si="5"/>
        <v>14500</v>
      </c>
      <c r="F43" s="512">
        <f t="shared" si="5"/>
        <v>14500</v>
      </c>
      <c r="G43" s="512">
        <f t="shared" si="5"/>
        <v>14500</v>
      </c>
      <c r="H43" s="512">
        <f t="shared" si="5"/>
        <v>14500</v>
      </c>
      <c r="I43" s="512">
        <f t="shared" si="5"/>
        <v>14500</v>
      </c>
      <c r="J43" s="512">
        <f t="shared" si="5"/>
        <v>14500</v>
      </c>
      <c r="K43" s="512">
        <f t="shared" si="5"/>
        <v>14500</v>
      </c>
      <c r="L43" s="512">
        <f t="shared" si="5"/>
        <v>14500</v>
      </c>
      <c r="M43" s="512">
        <v>14500</v>
      </c>
      <c r="N43" s="512">
        <f>M43</f>
        <v>14500</v>
      </c>
      <c r="O43" s="506">
        <f t="shared" si="1"/>
        <v>174000</v>
      </c>
    </row>
    <row r="44" spans="1:17" ht="15" x14ac:dyDescent="0.2">
      <c r="A44" s="996"/>
      <c r="B44" s="517" t="s">
        <v>155</v>
      </c>
      <c r="C44" s="512">
        <v>200</v>
      </c>
      <c r="D44" s="512">
        <f t="shared" si="5"/>
        <v>200</v>
      </c>
      <c r="E44" s="512">
        <f t="shared" si="5"/>
        <v>200</v>
      </c>
      <c r="F44" s="512">
        <f t="shared" si="5"/>
        <v>200</v>
      </c>
      <c r="G44" s="512">
        <f t="shared" si="5"/>
        <v>200</v>
      </c>
      <c r="H44" s="512">
        <f t="shared" si="5"/>
        <v>200</v>
      </c>
      <c r="I44" s="512">
        <f t="shared" si="5"/>
        <v>200</v>
      </c>
      <c r="J44" s="512">
        <f t="shared" si="5"/>
        <v>200</v>
      </c>
      <c r="K44" s="512">
        <f t="shared" si="5"/>
        <v>200</v>
      </c>
      <c r="L44" s="512">
        <f t="shared" si="5"/>
        <v>200</v>
      </c>
      <c r="M44" s="512">
        <f>L44</f>
        <v>200</v>
      </c>
      <c r="N44" s="512">
        <v>300</v>
      </c>
      <c r="O44" s="506">
        <f t="shared" si="1"/>
        <v>2500</v>
      </c>
    </row>
    <row r="45" spans="1:17" ht="15" x14ac:dyDescent="0.2">
      <c r="A45" s="996"/>
      <c r="B45" s="517" t="s">
        <v>156</v>
      </c>
      <c r="C45" s="512">
        <v>0</v>
      </c>
      <c r="D45" s="512">
        <f t="shared" si="5"/>
        <v>0</v>
      </c>
      <c r="E45" s="512">
        <f t="shared" si="5"/>
        <v>0</v>
      </c>
      <c r="F45" s="512">
        <f t="shared" si="5"/>
        <v>0</v>
      </c>
      <c r="G45" s="512">
        <f t="shared" si="5"/>
        <v>0</v>
      </c>
      <c r="H45" s="512">
        <f t="shared" si="5"/>
        <v>0</v>
      </c>
      <c r="I45" s="512">
        <f t="shared" si="5"/>
        <v>0</v>
      </c>
      <c r="J45" s="512">
        <f t="shared" si="5"/>
        <v>0</v>
      </c>
      <c r="K45" s="512">
        <f t="shared" si="5"/>
        <v>0</v>
      </c>
      <c r="L45" s="512">
        <f t="shared" si="5"/>
        <v>0</v>
      </c>
      <c r="M45" s="512">
        <f>L45</f>
        <v>0</v>
      </c>
      <c r="N45" s="512">
        <f>M45</f>
        <v>0</v>
      </c>
      <c r="O45" s="506">
        <f t="shared" si="1"/>
        <v>0</v>
      </c>
    </row>
    <row r="46" spans="1:17" ht="15" x14ac:dyDescent="0.2">
      <c r="A46" s="996"/>
      <c r="B46" s="517" t="s">
        <v>157</v>
      </c>
      <c r="C46" s="512">
        <v>0</v>
      </c>
      <c r="D46" s="512">
        <f t="shared" si="5"/>
        <v>0</v>
      </c>
      <c r="E46" s="512">
        <f t="shared" si="5"/>
        <v>0</v>
      </c>
      <c r="F46" s="512">
        <f t="shared" si="5"/>
        <v>0</v>
      </c>
      <c r="G46" s="512">
        <f t="shared" si="5"/>
        <v>0</v>
      </c>
      <c r="H46" s="512">
        <f t="shared" si="5"/>
        <v>0</v>
      </c>
      <c r="I46" s="512">
        <f t="shared" si="5"/>
        <v>0</v>
      </c>
      <c r="J46" s="512">
        <f t="shared" si="5"/>
        <v>0</v>
      </c>
      <c r="K46" s="512">
        <f t="shared" si="5"/>
        <v>0</v>
      </c>
      <c r="L46" s="512">
        <f t="shared" si="5"/>
        <v>0</v>
      </c>
      <c r="M46" s="512">
        <f>L46</f>
        <v>0</v>
      </c>
      <c r="N46" s="512">
        <f>M46</f>
        <v>0</v>
      </c>
      <c r="O46" s="506">
        <f t="shared" si="1"/>
        <v>0</v>
      </c>
    </row>
    <row r="47" spans="1:17" ht="28.5" customHeight="1" x14ac:dyDescent="0.2">
      <c r="A47" s="997"/>
      <c r="B47" s="520" t="s">
        <v>158</v>
      </c>
      <c r="C47" s="647">
        <v>0</v>
      </c>
      <c r="D47" s="647">
        <f t="shared" si="5"/>
        <v>0</v>
      </c>
      <c r="E47" s="647">
        <f t="shared" si="5"/>
        <v>0</v>
      </c>
      <c r="F47" s="647">
        <f t="shared" si="5"/>
        <v>0</v>
      </c>
      <c r="G47" s="647">
        <f t="shared" si="5"/>
        <v>0</v>
      </c>
      <c r="H47" s="647">
        <f t="shared" si="5"/>
        <v>0</v>
      </c>
      <c r="I47" s="647">
        <f t="shared" si="5"/>
        <v>0</v>
      </c>
      <c r="J47" s="647">
        <f t="shared" si="5"/>
        <v>0</v>
      </c>
      <c r="K47" s="647">
        <f t="shared" si="5"/>
        <v>0</v>
      </c>
      <c r="L47" s="647">
        <f t="shared" si="5"/>
        <v>0</v>
      </c>
      <c r="M47" s="647">
        <f>L47</f>
        <v>0</v>
      </c>
      <c r="N47" s="647">
        <f>M47</f>
        <v>0</v>
      </c>
      <c r="O47" s="521">
        <f t="shared" si="1"/>
        <v>0</v>
      </c>
    </row>
    <row r="48" spans="1:17" ht="15" x14ac:dyDescent="0.2">
      <c r="A48" s="998"/>
      <c r="B48" s="522" t="s">
        <v>801</v>
      </c>
      <c r="C48" s="648">
        <v>0</v>
      </c>
      <c r="D48" s="648">
        <f>C48</f>
        <v>0</v>
      </c>
      <c r="E48" s="648">
        <v>0</v>
      </c>
      <c r="F48" s="648">
        <v>0</v>
      </c>
      <c r="G48" s="648">
        <f>F48</f>
        <v>0</v>
      </c>
      <c r="H48" s="648">
        <v>0</v>
      </c>
      <c r="I48" s="648">
        <v>0</v>
      </c>
      <c r="J48" s="648">
        <v>0</v>
      </c>
      <c r="K48" s="648">
        <v>0</v>
      </c>
      <c r="L48" s="648">
        <v>0</v>
      </c>
      <c r="M48" s="648">
        <f>L48</f>
        <v>0</v>
      </c>
      <c r="N48" s="648">
        <f>M48</f>
        <v>0</v>
      </c>
      <c r="O48" s="521">
        <f t="shared" si="1"/>
        <v>0</v>
      </c>
    </row>
    <row r="49" spans="1:18" ht="15" x14ac:dyDescent="0.2">
      <c r="A49" s="999" t="s">
        <v>160</v>
      </c>
      <c r="B49" s="1000"/>
      <c r="C49" s="523">
        <f t="shared" ref="C49:N49" si="6">SUM(C38:C48)</f>
        <v>17380</v>
      </c>
      <c r="D49" s="523">
        <f t="shared" si="6"/>
        <v>86923</v>
      </c>
      <c r="E49" s="523">
        <f t="shared" si="6"/>
        <v>17480</v>
      </c>
      <c r="F49" s="523">
        <f t="shared" si="6"/>
        <v>17480</v>
      </c>
      <c r="G49" s="523">
        <f t="shared" si="6"/>
        <v>17480</v>
      </c>
      <c r="H49" s="523">
        <f t="shared" si="6"/>
        <v>17680</v>
      </c>
      <c r="I49" s="523">
        <f t="shared" si="6"/>
        <v>17680</v>
      </c>
      <c r="J49" s="523">
        <f t="shared" si="6"/>
        <v>17680</v>
      </c>
      <c r="K49" s="523">
        <f t="shared" si="6"/>
        <v>15180</v>
      </c>
      <c r="L49" s="523">
        <f t="shared" si="6"/>
        <v>20180</v>
      </c>
      <c r="M49" s="523">
        <f t="shared" si="6"/>
        <v>15180</v>
      </c>
      <c r="N49" s="523">
        <f t="shared" si="6"/>
        <v>15280</v>
      </c>
      <c r="O49" s="524">
        <f t="shared" si="1"/>
        <v>275603</v>
      </c>
    </row>
    <row r="50" spans="1:18" ht="15.75" thickBot="1" x14ac:dyDescent="0.25">
      <c r="A50" s="1001" t="s">
        <v>161</v>
      </c>
      <c r="B50" s="1002"/>
      <c r="C50" s="525">
        <f t="shared" ref="C50:N50" si="7">C37-C49</f>
        <v>51545</v>
      </c>
      <c r="D50" s="525">
        <f t="shared" si="7"/>
        <v>675764</v>
      </c>
      <c r="E50" s="525">
        <f t="shared" si="7"/>
        <v>52527</v>
      </c>
      <c r="F50" s="525">
        <f t="shared" si="7"/>
        <v>52527</v>
      </c>
      <c r="G50" s="525">
        <f t="shared" si="7"/>
        <v>54492</v>
      </c>
      <c r="H50" s="525">
        <f t="shared" si="7"/>
        <v>54292</v>
      </c>
      <c r="I50" s="525">
        <f t="shared" si="7"/>
        <v>54292</v>
      </c>
      <c r="J50" s="525">
        <f t="shared" si="7"/>
        <v>65648</v>
      </c>
      <c r="K50" s="525">
        <f t="shared" si="7"/>
        <v>57904</v>
      </c>
      <c r="L50" s="525">
        <f t="shared" si="7"/>
        <v>52904</v>
      </c>
      <c r="M50" s="525">
        <f t="shared" si="7"/>
        <v>57904</v>
      </c>
      <c r="N50" s="525">
        <f t="shared" si="7"/>
        <v>57804</v>
      </c>
      <c r="O50" s="526">
        <f t="shared" si="1"/>
        <v>1287603</v>
      </c>
      <c r="Q50" s="504">
        <f>21469*2+4624+22515+22635+23454*3+4452+3454+24938*3+24971+26720+26520</f>
        <v>324005</v>
      </c>
    </row>
    <row r="51" spans="1:18" x14ac:dyDescent="0.2">
      <c r="J51" s="128">
        <f>+J37-SUM(J22:J36)</f>
        <v>73084</v>
      </c>
      <c r="M51" s="504">
        <f>24971+26720</f>
        <v>51691</v>
      </c>
      <c r="Q51" s="528">
        <f>+Q50-O50</f>
        <v>-963598</v>
      </c>
    </row>
    <row r="52" spans="1:18" ht="13.5" thickBot="1" x14ac:dyDescent="0.25">
      <c r="J52" s="528">
        <f>+J51-J49</f>
        <v>55404</v>
      </c>
    </row>
    <row r="53" spans="1:18" ht="13.5" thickBot="1" x14ac:dyDescent="0.25">
      <c r="B53" s="955" t="s">
        <v>162</v>
      </c>
      <c r="C53" s="1003"/>
      <c r="D53" s="1003"/>
      <c r="E53" s="1003"/>
      <c r="F53" s="1004"/>
      <c r="G53" s="1005">
        <f>O37</f>
        <v>1563206</v>
      </c>
      <c r="H53" s="1006"/>
    </row>
    <row r="54" spans="1:18" ht="13.5" thickBot="1" x14ac:dyDescent="0.25"/>
    <row r="55" spans="1:18" x14ac:dyDescent="0.2">
      <c r="B55" s="1007" t="s">
        <v>163</v>
      </c>
      <c r="C55" s="1010" t="s">
        <v>164</v>
      </c>
      <c r="D55" s="1013" t="s">
        <v>425</v>
      </c>
      <c r="E55" s="1014"/>
      <c r="F55" s="1015"/>
      <c r="G55" s="1016">
        <v>40000</v>
      </c>
      <c r="H55" s="1017"/>
    </row>
    <row r="56" spans="1:18" x14ac:dyDescent="0.2">
      <c r="B56" s="1008"/>
      <c r="C56" s="1011"/>
      <c r="D56" s="1018" t="s">
        <v>166</v>
      </c>
      <c r="E56" s="1019"/>
      <c r="F56" s="1020"/>
      <c r="G56" s="1021">
        <f>+O44</f>
        <v>2500</v>
      </c>
      <c r="H56" s="1022"/>
      <c r="I56" s="529"/>
      <c r="J56" s="1090"/>
      <c r="K56" s="1090"/>
      <c r="L56" s="1090"/>
      <c r="M56" s="1091"/>
      <c r="N56" s="1091"/>
      <c r="O56" s="1091"/>
    </row>
    <row r="57" spans="1:18" ht="13.5" thickBot="1" x14ac:dyDescent="0.25">
      <c r="B57" s="1009"/>
      <c r="C57" s="1012"/>
      <c r="D57" s="1023" t="s">
        <v>266</v>
      </c>
      <c r="E57" s="1024"/>
      <c r="F57" s="1025"/>
      <c r="G57" s="1026">
        <v>0</v>
      </c>
      <c r="H57" s="1027"/>
      <c r="J57" s="531"/>
      <c r="K57" s="531"/>
      <c r="L57" s="531"/>
      <c r="M57" s="531"/>
      <c r="N57" s="531"/>
      <c r="O57" s="531"/>
    </row>
    <row r="58" spans="1:18" ht="13.5" thickBot="1" x14ac:dyDescent="0.25">
      <c r="B58" s="532"/>
      <c r="J58" s="531"/>
      <c r="K58" s="531"/>
      <c r="L58" s="531"/>
      <c r="M58" s="531"/>
      <c r="N58" s="531"/>
      <c r="O58" s="531"/>
    </row>
    <row r="59" spans="1:18" ht="13.5" thickBot="1" x14ac:dyDescent="0.25">
      <c r="B59" s="955" t="s">
        <v>168</v>
      </c>
      <c r="C59" s="956"/>
      <c r="D59" s="956"/>
      <c r="E59" s="956"/>
      <c r="F59" s="957"/>
      <c r="G59" s="1028">
        <f>+G53-SUM(G55:H57)</f>
        <v>1520706</v>
      </c>
      <c r="H59" s="1029"/>
      <c r="J59" s="992" t="s">
        <v>169</v>
      </c>
      <c r="K59" s="993"/>
      <c r="L59" s="993"/>
      <c r="M59" s="993"/>
      <c r="N59" s="993"/>
      <c r="O59" s="994"/>
    </row>
    <row r="60" spans="1:18" ht="13.5" thickBot="1" x14ac:dyDescent="0.25">
      <c r="B60" s="533"/>
      <c r="C60" s="534"/>
      <c r="D60" s="534"/>
      <c r="E60" s="534"/>
      <c r="F60" s="534"/>
      <c r="G60" s="530"/>
      <c r="H60" s="534"/>
      <c r="J60" s="535"/>
      <c r="K60" s="536"/>
      <c r="L60" s="536"/>
      <c r="M60" s="536"/>
      <c r="N60" s="536"/>
      <c r="O60" s="537"/>
    </row>
    <row r="61" spans="1:18" ht="13.5" thickBot="1" x14ac:dyDescent="0.25">
      <c r="B61" s="955" t="s">
        <v>170</v>
      </c>
      <c r="C61" s="956"/>
      <c r="D61" s="956"/>
      <c r="E61" s="956"/>
      <c r="F61" s="957"/>
      <c r="G61" s="1047"/>
      <c r="H61" s="957"/>
      <c r="J61" s="535"/>
      <c r="K61" s="536"/>
      <c r="L61" s="536"/>
      <c r="M61" s="536"/>
      <c r="N61" s="536"/>
      <c r="O61" s="537"/>
    </row>
    <row r="62" spans="1:18" ht="12.75" customHeight="1" x14ac:dyDescent="0.2">
      <c r="B62" s="538" t="s">
        <v>171</v>
      </c>
      <c r="C62" s="977" t="s">
        <v>172</v>
      </c>
      <c r="D62" s="978"/>
      <c r="E62" s="978"/>
      <c r="F62" s="979"/>
      <c r="G62" s="980">
        <v>69634</v>
      </c>
      <c r="H62" s="980"/>
      <c r="I62" s="539"/>
      <c r="J62" s="981" t="s">
        <v>173</v>
      </c>
      <c r="K62" s="982"/>
      <c r="L62" s="982"/>
      <c r="M62" s="982"/>
      <c r="N62" s="982"/>
      <c r="O62" s="983"/>
      <c r="Q62" s="540"/>
      <c r="R62" s="540"/>
    </row>
    <row r="63" spans="1:18" ht="13.5" thickBot="1" x14ac:dyDescent="0.25">
      <c r="D63" s="527"/>
      <c r="I63" s="539"/>
      <c r="J63" s="541" t="s">
        <v>802</v>
      </c>
      <c r="K63" s="631"/>
      <c r="L63" s="631"/>
      <c r="M63" s="632"/>
      <c r="N63" s="632" t="s">
        <v>313</v>
      </c>
      <c r="O63" s="633">
        <v>69634</v>
      </c>
      <c r="Q63" s="540"/>
      <c r="R63" s="540"/>
    </row>
    <row r="64" spans="1:18" ht="13.5" thickBot="1" x14ac:dyDescent="0.25">
      <c r="B64" s="955" t="s">
        <v>175</v>
      </c>
      <c r="C64" s="956"/>
      <c r="D64" s="956"/>
      <c r="E64" s="956"/>
      <c r="F64" s="957"/>
      <c r="G64" s="1047">
        <f>+G59-G62</f>
        <v>1451072</v>
      </c>
      <c r="H64" s="957"/>
      <c r="I64" s="544"/>
      <c r="J64" s="545"/>
      <c r="K64" s="529"/>
      <c r="L64" s="529"/>
      <c r="M64" s="529"/>
      <c r="N64" s="529" t="s">
        <v>315</v>
      </c>
      <c r="O64" s="546">
        <v>84997</v>
      </c>
      <c r="Q64" s="540"/>
      <c r="R64" s="540"/>
    </row>
    <row r="65" spans="2:18" ht="12.75" customHeight="1" x14ac:dyDescent="0.2">
      <c r="B65" s="532"/>
      <c r="C65" s="532"/>
      <c r="I65" s="544"/>
      <c r="J65" s="547"/>
      <c r="K65" s="529"/>
      <c r="L65" s="529"/>
      <c r="M65" s="529"/>
      <c r="N65" s="529"/>
      <c r="O65" s="546"/>
      <c r="Q65" s="540"/>
      <c r="R65" s="540"/>
    </row>
    <row r="66" spans="2:18" x14ac:dyDescent="0.2">
      <c r="B66" s="548" t="s">
        <v>176</v>
      </c>
      <c r="C66" s="532"/>
      <c r="I66" s="544"/>
      <c r="J66" s="549"/>
      <c r="K66" s="550"/>
      <c r="L66" s="550"/>
      <c r="M66" s="550"/>
      <c r="N66" s="550"/>
      <c r="O66" s="551"/>
      <c r="Q66" s="540"/>
      <c r="R66" s="540"/>
    </row>
    <row r="67" spans="2:18" ht="26.25" customHeight="1" thickBot="1" x14ac:dyDescent="0.25">
      <c r="B67" s="548"/>
      <c r="C67" s="532"/>
      <c r="G67" s="552" t="s">
        <v>177</v>
      </c>
      <c r="H67" s="552" t="s">
        <v>178</v>
      </c>
      <c r="I67" s="544"/>
      <c r="J67" s="981" t="s">
        <v>179</v>
      </c>
      <c r="K67" s="982"/>
      <c r="L67" s="553"/>
      <c r="M67" s="553"/>
      <c r="N67" s="553"/>
      <c r="O67" s="554"/>
      <c r="Q67" s="540"/>
      <c r="R67" s="540"/>
    </row>
    <row r="68" spans="2:18" ht="12.75" customHeight="1" x14ac:dyDescent="0.2">
      <c r="B68" s="968" t="s">
        <v>180</v>
      </c>
      <c r="C68" s="971" t="s">
        <v>181</v>
      </c>
      <c r="D68" s="973" t="s">
        <v>182</v>
      </c>
      <c r="E68" s="974"/>
      <c r="F68" s="974"/>
      <c r="G68" s="555">
        <f>+O43</f>
        <v>174000</v>
      </c>
      <c r="H68" s="556">
        <f t="shared" ref="H68:H76" si="8">+G68</f>
        <v>174000</v>
      </c>
      <c r="I68" s="544"/>
      <c r="J68" s="545" t="s">
        <v>803</v>
      </c>
      <c r="K68" s="539"/>
      <c r="L68" s="539"/>
      <c r="M68" s="539"/>
      <c r="N68" s="539"/>
      <c r="O68" s="558">
        <v>8775</v>
      </c>
      <c r="Q68" s="540"/>
      <c r="R68" s="540"/>
    </row>
    <row r="69" spans="2:18" ht="12.75" customHeight="1" x14ac:dyDescent="0.2">
      <c r="B69" s="969"/>
      <c r="C69" s="972"/>
      <c r="D69" s="975" t="s">
        <v>184</v>
      </c>
      <c r="E69" s="976"/>
      <c r="F69" s="976"/>
      <c r="G69" s="559">
        <v>34337</v>
      </c>
      <c r="H69" s="560">
        <f t="shared" si="8"/>
        <v>34337</v>
      </c>
      <c r="I69" s="544"/>
      <c r="J69" s="619" t="s">
        <v>804</v>
      </c>
      <c r="K69" s="550"/>
      <c r="L69" s="550"/>
      <c r="M69" s="550"/>
      <c r="N69" s="550"/>
      <c r="O69" s="562">
        <v>25562</v>
      </c>
      <c r="Q69" s="540"/>
      <c r="R69" s="540"/>
    </row>
    <row r="70" spans="2:18" ht="12.75" customHeight="1" x14ac:dyDescent="0.2">
      <c r="B70" s="969"/>
      <c r="C70" s="972"/>
      <c r="D70" s="990" t="s">
        <v>185</v>
      </c>
      <c r="E70" s="991"/>
      <c r="F70" s="991"/>
      <c r="G70" s="563">
        <f>O40</f>
        <v>360</v>
      </c>
      <c r="H70" s="560">
        <f t="shared" si="8"/>
        <v>360</v>
      </c>
      <c r="I70" s="544"/>
      <c r="J70" s="549"/>
      <c r="K70" s="550"/>
      <c r="L70" s="550"/>
      <c r="M70" s="550"/>
      <c r="N70" s="550"/>
      <c r="O70" s="551"/>
    </row>
    <row r="71" spans="2:18" x14ac:dyDescent="0.2">
      <c r="B71" s="969"/>
      <c r="C71" s="972"/>
      <c r="D71" s="975" t="s">
        <v>186</v>
      </c>
      <c r="E71" s="976"/>
      <c r="F71" s="976"/>
      <c r="G71" s="565">
        <v>0</v>
      </c>
      <c r="H71" s="560">
        <f t="shared" si="8"/>
        <v>0</v>
      </c>
      <c r="I71" s="544"/>
      <c r="J71" s="572" t="s">
        <v>187</v>
      </c>
      <c r="K71" s="553"/>
      <c r="L71" s="553"/>
      <c r="M71" s="553"/>
      <c r="N71" s="553"/>
      <c r="O71" s="554"/>
    </row>
    <row r="72" spans="2:18" ht="12.75" customHeight="1" x14ac:dyDescent="0.2">
      <c r="B72" s="969"/>
      <c r="C72" s="972"/>
      <c r="D72" s="950" t="s">
        <v>188</v>
      </c>
      <c r="E72" s="976"/>
      <c r="F72" s="976"/>
      <c r="G72" s="563">
        <v>0</v>
      </c>
      <c r="H72" s="560">
        <f t="shared" si="8"/>
        <v>0</v>
      </c>
      <c r="I72" s="544"/>
      <c r="J72" s="545" t="s">
        <v>189</v>
      </c>
      <c r="K72" s="534"/>
      <c r="L72" s="534"/>
      <c r="M72" s="534"/>
      <c r="N72" s="534"/>
      <c r="O72" s="570">
        <f>O42</f>
        <v>4400</v>
      </c>
    </row>
    <row r="73" spans="2:18" ht="14.25" customHeight="1" x14ac:dyDescent="0.2">
      <c r="B73" s="969"/>
      <c r="C73" s="972"/>
      <c r="D73" s="975" t="s">
        <v>190</v>
      </c>
      <c r="E73" s="976"/>
      <c r="F73" s="976"/>
      <c r="G73" s="568">
        <v>0</v>
      </c>
      <c r="H73" s="560">
        <f t="shared" si="8"/>
        <v>0</v>
      </c>
      <c r="I73" s="544"/>
      <c r="J73" s="545"/>
      <c r="K73" s="529"/>
      <c r="L73" s="529"/>
      <c r="M73" s="529"/>
      <c r="N73" s="529"/>
      <c r="O73" s="546"/>
    </row>
    <row r="74" spans="2:18" x14ac:dyDescent="0.2">
      <c r="B74" s="969"/>
      <c r="C74" s="972"/>
      <c r="D74" s="975" t="s">
        <v>191</v>
      </c>
      <c r="E74" s="976"/>
      <c r="F74" s="976"/>
      <c r="G74" s="565">
        <v>84997</v>
      </c>
      <c r="H74" s="560">
        <f t="shared" si="8"/>
        <v>84997</v>
      </c>
      <c r="I74" s="539"/>
      <c r="J74" s="649"/>
      <c r="K74" s="534"/>
      <c r="L74" s="534"/>
      <c r="M74" s="534"/>
      <c r="N74" s="534"/>
      <c r="O74" s="570"/>
    </row>
    <row r="75" spans="2:18" x14ac:dyDescent="0.2">
      <c r="B75" s="969"/>
      <c r="C75" s="571" t="s">
        <v>192</v>
      </c>
      <c r="D75" s="984" t="s">
        <v>193</v>
      </c>
      <c r="E75" s="985"/>
      <c r="F75" s="985"/>
      <c r="G75" s="563">
        <v>0</v>
      </c>
      <c r="H75" s="560">
        <f t="shared" si="8"/>
        <v>0</v>
      </c>
      <c r="I75" s="539"/>
      <c r="J75" s="635"/>
      <c r="K75" s="650"/>
      <c r="L75" s="650"/>
      <c r="M75" s="650"/>
      <c r="N75" s="650"/>
      <c r="O75" s="651"/>
    </row>
    <row r="76" spans="2:18" ht="13.5" customHeight="1" thickBot="1" x14ac:dyDescent="0.25">
      <c r="B76" s="969"/>
      <c r="C76" s="571" t="s">
        <v>194</v>
      </c>
      <c r="D76" s="986" t="s">
        <v>195</v>
      </c>
      <c r="E76" s="986"/>
      <c r="F76" s="986"/>
      <c r="G76" s="573">
        <v>0</v>
      </c>
      <c r="H76" s="574">
        <f t="shared" si="8"/>
        <v>0</v>
      </c>
      <c r="I76" s="544"/>
      <c r="J76" s="545"/>
      <c r="K76" s="550"/>
      <c r="L76" s="550"/>
      <c r="M76" s="620"/>
      <c r="N76" s="620"/>
      <c r="O76" s="621"/>
    </row>
    <row r="77" spans="2:18" ht="13.5" thickBot="1" x14ac:dyDescent="0.25">
      <c r="B77" s="969"/>
      <c r="C77" s="575"/>
      <c r="D77" s="576"/>
      <c r="E77" s="987" t="s">
        <v>117</v>
      </c>
      <c r="F77" s="988"/>
      <c r="G77" s="577">
        <f>SUM(G68:G76)</f>
        <v>293694</v>
      </c>
      <c r="H77" s="578">
        <f>IF(SUM(G68:G74)&lt;150000,SUM(G68:G74),150000)+IF(+G75&lt;20000,+G75,20000)</f>
        <v>150000</v>
      </c>
      <c r="I77" s="544"/>
      <c r="J77" s="579"/>
      <c r="K77" s="580"/>
      <c r="L77" s="580"/>
      <c r="M77" s="581"/>
      <c r="N77" s="581"/>
      <c r="O77" s="582"/>
    </row>
    <row r="78" spans="2:18" ht="12.75" customHeight="1" x14ac:dyDescent="0.2">
      <c r="B78" s="969"/>
      <c r="C78" s="583" t="s">
        <v>196</v>
      </c>
      <c r="D78" s="975" t="s">
        <v>187</v>
      </c>
      <c r="E78" s="976"/>
      <c r="F78" s="989"/>
      <c r="G78" s="555">
        <v>18518</v>
      </c>
      <c r="H78" s="584">
        <f>+IF(+G78&lt;25000,+G78,25000)</f>
        <v>18518</v>
      </c>
      <c r="I78" s="585"/>
    </row>
    <row r="79" spans="2:18" x14ac:dyDescent="0.2">
      <c r="B79" s="969"/>
      <c r="C79" s="583" t="s">
        <v>197</v>
      </c>
      <c r="D79" s="950" t="s">
        <v>198</v>
      </c>
      <c r="E79" s="951"/>
      <c r="F79" s="952"/>
      <c r="G79" s="586"/>
      <c r="H79" s="587">
        <f>+IF(+G79&lt;40000,+G79,40000)</f>
        <v>0</v>
      </c>
      <c r="I79" s="544"/>
    </row>
    <row r="80" spans="2:18" x14ac:dyDescent="0.2">
      <c r="B80" s="969"/>
      <c r="C80" s="583" t="s">
        <v>199</v>
      </c>
      <c r="D80" s="950" t="s">
        <v>200</v>
      </c>
      <c r="E80" s="951"/>
      <c r="F80" s="952"/>
      <c r="G80" s="565"/>
      <c r="H80" s="588">
        <v>0</v>
      </c>
      <c r="I80" s="544"/>
      <c r="J80" s="590"/>
    </row>
    <row r="81" spans="2:13" x14ac:dyDescent="0.2">
      <c r="B81" s="969"/>
      <c r="C81" s="583" t="s">
        <v>201</v>
      </c>
      <c r="D81" s="950" t="s">
        <v>202</v>
      </c>
      <c r="E81" s="951"/>
      <c r="F81" s="952"/>
      <c r="G81" s="565"/>
      <c r="H81" s="588">
        <v>0</v>
      </c>
      <c r="I81" s="544"/>
    </row>
    <row r="82" spans="2:13" ht="13.5" thickBot="1" x14ac:dyDescent="0.25">
      <c r="B82" s="970"/>
      <c r="C82" s="583" t="s">
        <v>203</v>
      </c>
      <c r="D82" s="950" t="s">
        <v>204</v>
      </c>
      <c r="E82" s="951"/>
      <c r="F82" s="952"/>
      <c r="G82" s="586"/>
      <c r="H82" s="587">
        <f>+IF(+G82&lt;100000,+G82,10000)</f>
        <v>0</v>
      </c>
      <c r="I82" s="544"/>
    </row>
    <row r="83" spans="2:13" ht="13.5" thickBot="1" x14ac:dyDescent="0.25">
      <c r="B83" s="953" t="s">
        <v>205</v>
      </c>
      <c r="C83" s="954"/>
      <c r="D83" s="954"/>
      <c r="E83" s="954"/>
      <c r="F83" s="954"/>
      <c r="G83" s="591">
        <f>SUM(G78:G82)</f>
        <v>18518</v>
      </c>
      <c r="H83" s="592">
        <f>SUM(H77:H82)</f>
        <v>168518</v>
      </c>
    </row>
    <row r="84" spans="2:13" ht="13.5" thickBot="1" x14ac:dyDescent="0.25">
      <c r="J84" s="585"/>
      <c r="K84" s="585"/>
      <c r="L84" s="585"/>
      <c r="M84" s="585"/>
    </row>
    <row r="85" spans="2:13" ht="13.5" thickBot="1" x14ac:dyDescent="0.25">
      <c r="B85" s="955" t="s">
        <v>206</v>
      </c>
      <c r="C85" s="956"/>
      <c r="D85" s="956"/>
      <c r="E85" s="956"/>
      <c r="F85" s="957"/>
      <c r="G85" s="958">
        <f>+G64-H83</f>
        <v>1282554</v>
      </c>
      <c r="H85" s="957"/>
      <c r="J85" s="605">
        <f>C37+D37+E37+F37</f>
        <v>971626</v>
      </c>
      <c r="K85" s="504" t="s">
        <v>235</v>
      </c>
      <c r="L85" s="585"/>
      <c r="M85" s="585"/>
    </row>
    <row r="86" spans="2:13" x14ac:dyDescent="0.2">
      <c r="B86" s="594"/>
      <c r="F86" s="593"/>
      <c r="J86" s="605">
        <f>G37+H37+I37</f>
        <v>215916</v>
      </c>
      <c r="K86" s="504" t="s">
        <v>236</v>
      </c>
      <c r="L86" s="585"/>
      <c r="M86" s="585"/>
    </row>
    <row r="87" spans="2:13" x14ac:dyDescent="0.2">
      <c r="C87" s="959" t="s">
        <v>207</v>
      </c>
      <c r="D87" s="960"/>
      <c r="E87" s="595" t="s">
        <v>208</v>
      </c>
      <c r="F87" s="595" t="s">
        <v>209</v>
      </c>
      <c r="G87" s="595" t="s">
        <v>210</v>
      </c>
      <c r="H87" s="595" t="s">
        <v>211</v>
      </c>
      <c r="J87" s="605">
        <f>J37+K37+L37</f>
        <v>229496</v>
      </c>
      <c r="K87" s="531" t="s">
        <v>237</v>
      </c>
      <c r="L87" s="585"/>
      <c r="M87" s="585"/>
    </row>
    <row r="88" spans="2:13" x14ac:dyDescent="0.2">
      <c r="C88" s="961" t="str">
        <f>IF(I6="M","0          - 250000","0          -  250000")</f>
        <v>0          - 250000</v>
      </c>
      <c r="D88" s="962"/>
      <c r="E88" s="597">
        <v>0</v>
      </c>
      <c r="F88" s="598">
        <f>IF(I6="M",(IF(G85&lt;250000,G85,250000)),(IF(G85&lt;250000,G85,250000)))</f>
        <v>250000</v>
      </c>
      <c r="G88" s="598">
        <f>G85-F88</f>
        <v>1032554</v>
      </c>
      <c r="H88" s="598">
        <f>E88*F88</f>
        <v>0</v>
      </c>
      <c r="J88" s="504">
        <f>M37+N37</f>
        <v>146168</v>
      </c>
      <c r="K88" s="490" t="s">
        <v>238</v>
      </c>
      <c r="L88" s="585"/>
      <c r="M88" s="585"/>
    </row>
    <row r="89" spans="2:13" x14ac:dyDescent="0.2">
      <c r="C89" s="961" t="str">
        <f>IF(I6="M","250001 - 500000","250001-500000")</f>
        <v>250001 - 500000</v>
      </c>
      <c r="D89" s="962"/>
      <c r="E89" s="597">
        <v>0.05</v>
      </c>
      <c r="F89" s="598">
        <f>IF(I6="M",(IF(G88&lt;250000,G88,250000)),(IF(G88&lt;250000,G88,250000)))</f>
        <v>250000</v>
      </c>
      <c r="G89" s="598">
        <f>G88-F89</f>
        <v>782554</v>
      </c>
      <c r="H89" s="600">
        <f>ROUND(E89*F89,0.1)</f>
        <v>12500</v>
      </c>
      <c r="J89" s="601">
        <f>SUM(J85:J88)</f>
        <v>1563206</v>
      </c>
      <c r="L89" s="585"/>
      <c r="M89" s="585"/>
    </row>
    <row r="90" spans="2:13" x14ac:dyDescent="0.2">
      <c r="C90" s="963" t="s">
        <v>212</v>
      </c>
      <c r="D90" s="964"/>
      <c r="E90" s="597">
        <v>0.2</v>
      </c>
      <c r="F90" s="598">
        <f>IF(G89&lt;500000,G89,500000)</f>
        <v>500000</v>
      </c>
      <c r="G90" s="598">
        <f>G89-F90</f>
        <v>282554</v>
      </c>
      <c r="H90" s="600">
        <f>ROUND(E90*F90,0.1)</f>
        <v>100000</v>
      </c>
      <c r="J90" s="504">
        <f>+G85</f>
        <v>1282554</v>
      </c>
      <c r="L90" s="585"/>
      <c r="M90" s="585"/>
    </row>
    <row r="91" spans="2:13" x14ac:dyDescent="0.2">
      <c r="C91" s="961" t="s">
        <v>213</v>
      </c>
      <c r="D91" s="962"/>
      <c r="E91" s="597">
        <v>0.3</v>
      </c>
      <c r="F91" s="598">
        <f>G90</f>
        <v>282554</v>
      </c>
      <c r="G91" s="598">
        <f>G90-F91</f>
        <v>0</v>
      </c>
      <c r="H91" s="600">
        <f>ROUND(E91*F91,0.1)</f>
        <v>84766</v>
      </c>
      <c r="J91" s="504">
        <f>+J89-J90</f>
        <v>280652</v>
      </c>
      <c r="L91" s="585"/>
      <c r="M91" s="585"/>
    </row>
    <row r="92" spans="2:13" ht="12.75" customHeight="1" thickBot="1" x14ac:dyDescent="0.25">
      <c r="B92" s="602"/>
      <c r="C92" s="603"/>
      <c r="D92" s="531"/>
      <c r="E92" s="531"/>
      <c r="F92" s="531"/>
      <c r="J92" s="585"/>
      <c r="K92" s="604"/>
      <c r="L92" s="585"/>
      <c r="M92" s="585"/>
    </row>
    <row r="93" spans="2:13" ht="13.5" thickBot="1" x14ac:dyDescent="0.25">
      <c r="B93" s="965" t="s">
        <v>239</v>
      </c>
      <c r="C93" s="966"/>
      <c r="D93" s="966"/>
      <c r="E93" s="966"/>
      <c r="F93" s="967"/>
      <c r="G93" s="943">
        <f>H88+H89+H90+H91</f>
        <v>197266</v>
      </c>
      <c r="H93" s="944"/>
      <c r="J93" s="585"/>
      <c r="K93" s="585"/>
      <c r="L93" s="585"/>
      <c r="M93" s="585"/>
    </row>
    <row r="94" spans="2:13" ht="13.5" thickBot="1" x14ac:dyDescent="0.25">
      <c r="B94" s="606" t="s">
        <v>1354</v>
      </c>
      <c r="C94" s="607"/>
      <c r="D94" s="607"/>
      <c r="E94" s="607"/>
      <c r="F94" s="607"/>
      <c r="G94" s="608"/>
      <c r="H94" s="609">
        <v>122268</v>
      </c>
    </row>
    <row r="95" spans="2:13" ht="13.5" thickBot="1" x14ac:dyDescent="0.25">
      <c r="B95" s="606" t="s">
        <v>215</v>
      </c>
      <c r="C95" s="607"/>
      <c r="D95" s="607"/>
      <c r="E95" s="607"/>
      <c r="F95" s="607"/>
      <c r="G95" s="941">
        <f>IF((G64&lt;500000),5000,0)</f>
        <v>0</v>
      </c>
      <c r="H95" s="942">
        <f>IF(H92&lt;200000,0,IF(H92&lt;220000,((H92-200000)*10%),IF(H92&lt;=500000,2000,IF(H92&gt;=500000,0))))</f>
        <v>0</v>
      </c>
      <c r="J95" s="490"/>
      <c r="K95" s="610"/>
      <c r="L95" s="610"/>
    </row>
    <row r="96" spans="2:13" ht="13.5" thickBot="1" x14ac:dyDescent="0.25">
      <c r="B96" s="611" t="s">
        <v>216</v>
      </c>
      <c r="C96" s="612"/>
      <c r="D96" s="612"/>
      <c r="E96" s="612"/>
      <c r="F96" s="612"/>
      <c r="G96" s="943">
        <f>IF((G93-H94-G95)&lt;0,0,(G93-H94-G95))</f>
        <v>74998</v>
      </c>
      <c r="H96" s="944"/>
      <c r="I96" s="527"/>
    </row>
    <row r="97" spans="2:9" ht="13.5" thickBot="1" x14ac:dyDescent="0.25">
      <c r="B97" s="945" t="s">
        <v>473</v>
      </c>
      <c r="C97" s="946"/>
      <c r="D97" s="946"/>
      <c r="E97" s="946"/>
      <c r="F97" s="947"/>
      <c r="G97" s="948">
        <f>ROUND((IF(G96&gt;0,(G96*4%),0)),0)</f>
        <v>3000</v>
      </c>
      <c r="H97" s="949"/>
      <c r="I97" s="527"/>
    </row>
    <row r="98" spans="2:9" ht="13.5" thickBot="1" x14ac:dyDescent="0.25">
      <c r="B98" s="933" t="s">
        <v>218</v>
      </c>
      <c r="C98" s="934"/>
      <c r="D98" s="934"/>
      <c r="E98" s="934"/>
      <c r="F98" s="934"/>
      <c r="G98" s="935">
        <f>G96+G97</f>
        <v>77998</v>
      </c>
      <c r="H98" s="936"/>
      <c r="I98" s="610"/>
    </row>
    <row r="99" spans="2:9" ht="13.5" thickBot="1" x14ac:dyDescent="0.25">
      <c r="B99" s="937" t="s">
        <v>219</v>
      </c>
      <c r="C99" s="938"/>
      <c r="D99" s="938"/>
      <c r="E99" s="938"/>
      <c r="F99" s="938"/>
      <c r="G99" s="939">
        <f>O38</f>
        <v>94343</v>
      </c>
      <c r="H99" s="940"/>
      <c r="I99" s="610"/>
    </row>
    <row r="100" spans="2:9" ht="13.5" thickBot="1" x14ac:dyDescent="0.25">
      <c r="B100" s="937" t="str">
        <f>IF(G100&gt;0,"TAX PAYABLE","TAX REFUND")</f>
        <v>TAX REFUND</v>
      </c>
      <c r="C100" s="938"/>
      <c r="D100" s="938"/>
      <c r="E100" s="938"/>
      <c r="F100" s="938"/>
      <c r="G100" s="939">
        <f>+G98-G99</f>
        <v>-16345</v>
      </c>
      <c r="H100" s="940"/>
      <c r="I100" s="527"/>
    </row>
    <row r="101" spans="2:9" x14ac:dyDescent="0.2">
      <c r="C101" s="613"/>
      <c r="D101" s="530"/>
      <c r="E101" s="604"/>
      <c r="F101" s="604"/>
      <c r="G101" s="604"/>
      <c r="H101" s="604"/>
      <c r="I101" s="614"/>
    </row>
    <row r="102" spans="2:9" x14ac:dyDescent="0.2">
      <c r="C102" s="531"/>
      <c r="D102" s="534"/>
      <c r="E102" s="603"/>
      <c r="F102" s="531"/>
      <c r="G102" s="531"/>
      <c r="H102" s="531"/>
      <c r="I102" s="614"/>
    </row>
    <row r="103" spans="2:9" x14ac:dyDescent="0.2">
      <c r="C103" s="529"/>
      <c r="D103" s="615"/>
      <c r="E103" s="615"/>
      <c r="F103" s="615"/>
      <c r="G103" s="529"/>
      <c r="H103" s="529"/>
      <c r="I103" s="527"/>
    </row>
    <row r="104" spans="2:9" x14ac:dyDescent="0.2">
      <c r="C104" s="529"/>
      <c r="D104" s="615"/>
      <c r="E104" s="615"/>
      <c r="F104" s="529"/>
      <c r="G104" s="529"/>
      <c r="H104" s="529"/>
      <c r="I104" s="527"/>
    </row>
    <row r="105" spans="2:9" x14ac:dyDescent="0.2">
      <c r="C105" s="529"/>
      <c r="D105" s="615"/>
      <c r="E105" s="615"/>
      <c r="F105" s="529"/>
      <c r="G105" s="529"/>
      <c r="H105" s="529"/>
      <c r="I105" s="527"/>
    </row>
    <row r="106" spans="2:9" x14ac:dyDescent="0.2">
      <c r="C106" s="529"/>
      <c r="D106" s="529"/>
      <c r="E106" s="529"/>
      <c r="F106" s="529"/>
      <c r="G106" s="529"/>
      <c r="H106" s="529"/>
      <c r="I106" s="527"/>
    </row>
    <row r="107" spans="2:9" x14ac:dyDescent="0.2">
      <c r="C107" s="529"/>
      <c r="D107" s="529"/>
      <c r="E107" s="529"/>
      <c r="F107" s="529"/>
      <c r="G107" s="529"/>
      <c r="H107" s="529"/>
    </row>
    <row r="108" spans="2:9" x14ac:dyDescent="0.2">
      <c r="C108" s="529"/>
      <c r="D108" s="529"/>
      <c r="E108" s="529"/>
      <c r="F108" s="529"/>
      <c r="G108" s="529"/>
      <c r="H108" s="529"/>
    </row>
  </sheetData>
  <mergeCells count="93">
    <mergeCell ref="B100:F100"/>
    <mergeCell ref="G100:H100"/>
    <mergeCell ref="G95:H95"/>
    <mergeCell ref="G96:H96"/>
    <mergeCell ref="B97:F97"/>
    <mergeCell ref="G97:H97"/>
    <mergeCell ref="B98:F98"/>
    <mergeCell ref="G98:H98"/>
    <mergeCell ref="B99:F99"/>
    <mergeCell ref="G99:H99"/>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G61:H61"/>
    <mergeCell ref="C62:F62"/>
    <mergeCell ref="G62:H62"/>
    <mergeCell ref="B61:F61"/>
    <mergeCell ref="D72:F72"/>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B59:F59"/>
    <mergeCell ref="G59:H59"/>
    <mergeCell ref="J59:O59"/>
    <mergeCell ref="B55:B57"/>
    <mergeCell ref="C55:C57"/>
    <mergeCell ref="D55:F55"/>
    <mergeCell ref="G55:H55"/>
    <mergeCell ref="D56:F56"/>
    <mergeCell ref="G56:H56"/>
    <mergeCell ref="J56:L56"/>
    <mergeCell ref="M56:O56"/>
    <mergeCell ref="D57:F57"/>
    <mergeCell ref="G57:H57"/>
    <mergeCell ref="A38:A48"/>
    <mergeCell ref="A49:B49"/>
    <mergeCell ref="A50:B50"/>
    <mergeCell ref="B53:F53"/>
    <mergeCell ref="G53:H53"/>
    <mergeCell ref="A36:B36"/>
    <mergeCell ref="A5:C5"/>
    <mergeCell ref="D5:F5"/>
    <mergeCell ref="G5:H5"/>
    <mergeCell ref="I5:O5"/>
    <mergeCell ref="A6:C6"/>
    <mergeCell ref="D6:F6"/>
    <mergeCell ref="G6:H6"/>
    <mergeCell ref="J6:O6"/>
    <mergeCell ref="L7:O7"/>
    <mergeCell ref="A8:B8"/>
    <mergeCell ref="A21:A33"/>
    <mergeCell ref="A34:B34"/>
    <mergeCell ref="A35:B35"/>
    <mergeCell ref="A3:C3"/>
    <mergeCell ref="D3:F3"/>
    <mergeCell ref="G3:H3"/>
    <mergeCell ref="I3:O3"/>
    <mergeCell ref="A4:C4"/>
    <mergeCell ref="D4:F4"/>
    <mergeCell ref="G4:H4"/>
    <mergeCell ref="I4:O4"/>
    <mergeCell ref="A1:C1"/>
    <mergeCell ref="D1:F1"/>
    <mergeCell ref="G1:H1"/>
    <mergeCell ref="I1:O1"/>
    <mergeCell ref="A2:C2"/>
    <mergeCell ref="D2:F2"/>
    <mergeCell ref="G2:H2"/>
    <mergeCell ref="I2:O2"/>
  </mergeCells>
  <conditionalFormatting sqref="B90:F90 B100:F100 B93:F98">
    <cfRule type="cellIs" dxfId="19" priority="1" stopIfTrue="1" operator="equal">
      <formula>"TAX PAYABLE"</formula>
    </cfRule>
    <cfRule type="cellIs" dxfId="18" priority="2" stopIfTrue="1" operator="equal">
      <formula>"TAX REFUND"</formula>
    </cfRule>
  </conditionalFormatting>
  <conditionalFormatting sqref="G90:H90">
    <cfRule type="cellIs" dxfId="17" priority="3" stopIfTrue="1" operator="lessThan">
      <formula>0</formula>
    </cfRule>
    <cfRule type="cellIs" dxfId="16" priority="4" stopIfTrue="1" operator="greaterThan">
      <formula>0</formula>
    </cfRule>
  </conditionalFormatting>
  <conditionalFormatting sqref="G100:H100">
    <cfRule type="cellIs" dxfId="15" priority="5" stopIfTrue="1" operator="greaterThan">
      <formula>0</formula>
    </cfRule>
    <cfRule type="cellIs" dxfId="14" priority="6"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hyperlinks>
    <hyperlink ref="G95" r:id="rId1" display="=@round(IF(G85&lt;200000,0,IF(G85&lt;220000,((G85-200000)*10%),IF(G85&lt;=500000,2000,IF(G85&gt;=500000,0)))),.1)"/>
  </hyperlinks>
  <pageMargins left="0.75" right="0.75" top="1" bottom="1" header="0.5" footer="0.5"/>
  <headerFooter alignWithMargins="0"/>
  <legacyDrawing r:id="rId2"/>
</worksheet>
</file>

<file path=xl/worksheets/sheet1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indexed="60"/>
  </sheetPr>
  <dimension ref="A1:T108"/>
  <sheetViews>
    <sheetView workbookViewId="0">
      <selection sqref="A1:XFD1048576"/>
    </sheetView>
  </sheetViews>
  <sheetFormatPr defaultRowHeight="12.75" x14ac:dyDescent="0.2"/>
  <cols>
    <col min="1" max="1" width="5" style="504" customWidth="1"/>
    <col min="2" max="2" width="18.7109375" style="527" customWidth="1"/>
    <col min="3" max="6" width="7.85546875" style="504" customWidth="1"/>
    <col min="7" max="7" width="8.42578125" style="504" customWidth="1"/>
    <col min="8" max="8" width="8.85546875" style="504" customWidth="1"/>
    <col min="9" max="15" width="7.85546875" style="504" customWidth="1"/>
    <col min="16" max="19" width="9.140625" style="504"/>
    <col min="20" max="20" width="12.42578125" style="504" customWidth="1"/>
    <col min="21" max="21" width="9.140625" style="504"/>
    <col min="22" max="22" width="12" style="504" customWidth="1"/>
    <col min="23" max="256" width="9.140625" style="504"/>
    <col min="257" max="257" width="5" style="504" customWidth="1"/>
    <col min="258" max="258" width="18.7109375" style="504" customWidth="1"/>
    <col min="259" max="262" width="7.85546875" style="504" customWidth="1"/>
    <col min="263" max="263" width="8.42578125" style="504" customWidth="1"/>
    <col min="264" max="264" width="8.85546875" style="504" customWidth="1"/>
    <col min="265" max="271" width="7.85546875" style="504" customWidth="1"/>
    <col min="272" max="275" width="9.140625" style="504"/>
    <col min="276" max="276" width="12.42578125" style="504" customWidth="1"/>
    <col min="277" max="277" width="9.140625" style="504"/>
    <col min="278" max="278" width="12" style="504" customWidth="1"/>
    <col min="279" max="512" width="9.140625" style="504"/>
    <col min="513" max="513" width="5" style="504" customWidth="1"/>
    <col min="514" max="514" width="18.7109375" style="504" customWidth="1"/>
    <col min="515" max="518" width="7.85546875" style="504" customWidth="1"/>
    <col min="519" max="519" width="8.42578125" style="504" customWidth="1"/>
    <col min="520" max="520" width="8.85546875" style="504" customWidth="1"/>
    <col min="521" max="527" width="7.85546875" style="504" customWidth="1"/>
    <col min="528" max="531" width="9.140625" style="504"/>
    <col min="532" max="532" width="12.42578125" style="504" customWidth="1"/>
    <col min="533" max="533" width="9.140625" style="504"/>
    <col min="534" max="534" width="12" style="504" customWidth="1"/>
    <col min="535" max="768" width="9.140625" style="504"/>
    <col min="769" max="769" width="5" style="504" customWidth="1"/>
    <col min="770" max="770" width="18.7109375" style="504" customWidth="1"/>
    <col min="771" max="774" width="7.85546875" style="504" customWidth="1"/>
    <col min="775" max="775" width="8.42578125" style="504" customWidth="1"/>
    <col min="776" max="776" width="8.85546875" style="504" customWidth="1"/>
    <col min="777" max="783" width="7.85546875" style="504" customWidth="1"/>
    <col min="784" max="787" width="9.140625" style="504"/>
    <col min="788" max="788" width="12.42578125" style="504" customWidth="1"/>
    <col min="789" max="789" width="9.140625" style="504"/>
    <col min="790" max="790" width="12" style="504" customWidth="1"/>
    <col min="791" max="1024" width="9.140625" style="504"/>
    <col min="1025" max="1025" width="5" style="504" customWidth="1"/>
    <col min="1026" max="1026" width="18.7109375" style="504" customWidth="1"/>
    <col min="1027" max="1030" width="7.85546875" style="504" customWidth="1"/>
    <col min="1031" max="1031" width="8.42578125" style="504" customWidth="1"/>
    <col min="1032" max="1032" width="8.85546875" style="504" customWidth="1"/>
    <col min="1033" max="1039" width="7.85546875" style="504" customWidth="1"/>
    <col min="1040" max="1043" width="9.140625" style="504"/>
    <col min="1044" max="1044" width="12.42578125" style="504" customWidth="1"/>
    <col min="1045" max="1045" width="9.140625" style="504"/>
    <col min="1046" max="1046" width="12" style="504" customWidth="1"/>
    <col min="1047" max="1280" width="9.140625" style="504"/>
    <col min="1281" max="1281" width="5" style="504" customWidth="1"/>
    <col min="1282" max="1282" width="18.7109375" style="504" customWidth="1"/>
    <col min="1283" max="1286" width="7.85546875" style="504" customWidth="1"/>
    <col min="1287" max="1287" width="8.42578125" style="504" customWidth="1"/>
    <col min="1288" max="1288" width="8.85546875" style="504" customWidth="1"/>
    <col min="1289" max="1295" width="7.85546875" style="504" customWidth="1"/>
    <col min="1296" max="1299" width="9.140625" style="504"/>
    <col min="1300" max="1300" width="12.42578125" style="504" customWidth="1"/>
    <col min="1301" max="1301" width="9.140625" style="504"/>
    <col min="1302" max="1302" width="12" style="504" customWidth="1"/>
    <col min="1303" max="1536" width="9.140625" style="504"/>
    <col min="1537" max="1537" width="5" style="504" customWidth="1"/>
    <col min="1538" max="1538" width="18.7109375" style="504" customWidth="1"/>
    <col min="1539" max="1542" width="7.85546875" style="504" customWidth="1"/>
    <col min="1543" max="1543" width="8.42578125" style="504" customWidth="1"/>
    <col min="1544" max="1544" width="8.85546875" style="504" customWidth="1"/>
    <col min="1545" max="1551" width="7.85546875" style="504" customWidth="1"/>
    <col min="1552" max="1555" width="9.140625" style="504"/>
    <col min="1556" max="1556" width="12.42578125" style="504" customWidth="1"/>
    <col min="1557" max="1557" width="9.140625" style="504"/>
    <col min="1558" max="1558" width="12" style="504" customWidth="1"/>
    <col min="1559" max="1792" width="9.140625" style="504"/>
    <col min="1793" max="1793" width="5" style="504" customWidth="1"/>
    <col min="1794" max="1794" width="18.7109375" style="504" customWidth="1"/>
    <col min="1795" max="1798" width="7.85546875" style="504" customWidth="1"/>
    <col min="1799" max="1799" width="8.42578125" style="504" customWidth="1"/>
    <col min="1800" max="1800" width="8.85546875" style="504" customWidth="1"/>
    <col min="1801" max="1807" width="7.85546875" style="504" customWidth="1"/>
    <col min="1808" max="1811" width="9.140625" style="504"/>
    <col min="1812" max="1812" width="12.42578125" style="504" customWidth="1"/>
    <col min="1813" max="1813" width="9.140625" style="504"/>
    <col min="1814" max="1814" width="12" style="504" customWidth="1"/>
    <col min="1815" max="2048" width="9.140625" style="504"/>
    <col min="2049" max="2049" width="5" style="504" customWidth="1"/>
    <col min="2050" max="2050" width="18.7109375" style="504" customWidth="1"/>
    <col min="2051" max="2054" width="7.85546875" style="504" customWidth="1"/>
    <col min="2055" max="2055" width="8.42578125" style="504" customWidth="1"/>
    <col min="2056" max="2056" width="8.85546875" style="504" customWidth="1"/>
    <col min="2057" max="2063" width="7.85546875" style="504" customWidth="1"/>
    <col min="2064" max="2067" width="9.140625" style="504"/>
    <col min="2068" max="2068" width="12.42578125" style="504" customWidth="1"/>
    <col min="2069" max="2069" width="9.140625" style="504"/>
    <col min="2070" max="2070" width="12" style="504" customWidth="1"/>
    <col min="2071" max="2304" width="9.140625" style="504"/>
    <col min="2305" max="2305" width="5" style="504" customWidth="1"/>
    <col min="2306" max="2306" width="18.7109375" style="504" customWidth="1"/>
    <col min="2307" max="2310" width="7.85546875" style="504" customWidth="1"/>
    <col min="2311" max="2311" width="8.42578125" style="504" customWidth="1"/>
    <col min="2312" max="2312" width="8.85546875" style="504" customWidth="1"/>
    <col min="2313" max="2319" width="7.85546875" style="504" customWidth="1"/>
    <col min="2320" max="2323" width="9.140625" style="504"/>
    <col min="2324" max="2324" width="12.42578125" style="504" customWidth="1"/>
    <col min="2325" max="2325" width="9.140625" style="504"/>
    <col min="2326" max="2326" width="12" style="504" customWidth="1"/>
    <col min="2327" max="2560" width="9.140625" style="504"/>
    <col min="2561" max="2561" width="5" style="504" customWidth="1"/>
    <col min="2562" max="2562" width="18.7109375" style="504" customWidth="1"/>
    <col min="2563" max="2566" width="7.85546875" style="504" customWidth="1"/>
    <col min="2567" max="2567" width="8.42578125" style="504" customWidth="1"/>
    <col min="2568" max="2568" width="8.85546875" style="504" customWidth="1"/>
    <col min="2569" max="2575" width="7.85546875" style="504" customWidth="1"/>
    <col min="2576" max="2579" width="9.140625" style="504"/>
    <col min="2580" max="2580" width="12.42578125" style="504" customWidth="1"/>
    <col min="2581" max="2581" width="9.140625" style="504"/>
    <col min="2582" max="2582" width="12" style="504" customWidth="1"/>
    <col min="2583" max="2816" width="9.140625" style="504"/>
    <col min="2817" max="2817" width="5" style="504" customWidth="1"/>
    <col min="2818" max="2818" width="18.7109375" style="504" customWidth="1"/>
    <col min="2819" max="2822" width="7.85546875" style="504" customWidth="1"/>
    <col min="2823" max="2823" width="8.42578125" style="504" customWidth="1"/>
    <col min="2824" max="2824" width="8.85546875" style="504" customWidth="1"/>
    <col min="2825" max="2831" width="7.85546875" style="504" customWidth="1"/>
    <col min="2832" max="2835" width="9.140625" style="504"/>
    <col min="2836" max="2836" width="12.42578125" style="504" customWidth="1"/>
    <col min="2837" max="2837" width="9.140625" style="504"/>
    <col min="2838" max="2838" width="12" style="504" customWidth="1"/>
    <col min="2839" max="3072" width="9.140625" style="504"/>
    <col min="3073" max="3073" width="5" style="504" customWidth="1"/>
    <col min="3074" max="3074" width="18.7109375" style="504" customWidth="1"/>
    <col min="3075" max="3078" width="7.85546875" style="504" customWidth="1"/>
    <col min="3079" max="3079" width="8.42578125" style="504" customWidth="1"/>
    <col min="3080" max="3080" width="8.85546875" style="504" customWidth="1"/>
    <col min="3081" max="3087" width="7.85546875" style="504" customWidth="1"/>
    <col min="3088" max="3091" width="9.140625" style="504"/>
    <col min="3092" max="3092" width="12.42578125" style="504" customWidth="1"/>
    <col min="3093" max="3093" width="9.140625" style="504"/>
    <col min="3094" max="3094" width="12" style="504" customWidth="1"/>
    <col min="3095" max="3328" width="9.140625" style="504"/>
    <col min="3329" max="3329" width="5" style="504" customWidth="1"/>
    <col min="3330" max="3330" width="18.7109375" style="504" customWidth="1"/>
    <col min="3331" max="3334" width="7.85546875" style="504" customWidth="1"/>
    <col min="3335" max="3335" width="8.42578125" style="504" customWidth="1"/>
    <col min="3336" max="3336" width="8.85546875" style="504" customWidth="1"/>
    <col min="3337" max="3343" width="7.85546875" style="504" customWidth="1"/>
    <col min="3344" max="3347" width="9.140625" style="504"/>
    <col min="3348" max="3348" width="12.42578125" style="504" customWidth="1"/>
    <col min="3349" max="3349" width="9.140625" style="504"/>
    <col min="3350" max="3350" width="12" style="504" customWidth="1"/>
    <col min="3351" max="3584" width="9.140625" style="504"/>
    <col min="3585" max="3585" width="5" style="504" customWidth="1"/>
    <col min="3586" max="3586" width="18.7109375" style="504" customWidth="1"/>
    <col min="3587" max="3590" width="7.85546875" style="504" customWidth="1"/>
    <col min="3591" max="3591" width="8.42578125" style="504" customWidth="1"/>
    <col min="3592" max="3592" width="8.85546875" style="504" customWidth="1"/>
    <col min="3593" max="3599" width="7.85546875" style="504" customWidth="1"/>
    <col min="3600" max="3603" width="9.140625" style="504"/>
    <col min="3604" max="3604" width="12.42578125" style="504" customWidth="1"/>
    <col min="3605" max="3605" width="9.140625" style="504"/>
    <col min="3606" max="3606" width="12" style="504" customWidth="1"/>
    <col min="3607" max="3840" width="9.140625" style="504"/>
    <col min="3841" max="3841" width="5" style="504" customWidth="1"/>
    <col min="3842" max="3842" width="18.7109375" style="504" customWidth="1"/>
    <col min="3843" max="3846" width="7.85546875" style="504" customWidth="1"/>
    <col min="3847" max="3847" width="8.42578125" style="504" customWidth="1"/>
    <col min="3848" max="3848" width="8.85546875" style="504" customWidth="1"/>
    <col min="3849" max="3855" width="7.85546875" style="504" customWidth="1"/>
    <col min="3856" max="3859" width="9.140625" style="504"/>
    <col min="3860" max="3860" width="12.42578125" style="504" customWidth="1"/>
    <col min="3861" max="3861" width="9.140625" style="504"/>
    <col min="3862" max="3862" width="12" style="504" customWidth="1"/>
    <col min="3863" max="4096" width="9.140625" style="504"/>
    <col min="4097" max="4097" width="5" style="504" customWidth="1"/>
    <col min="4098" max="4098" width="18.7109375" style="504" customWidth="1"/>
    <col min="4099" max="4102" width="7.85546875" style="504" customWidth="1"/>
    <col min="4103" max="4103" width="8.42578125" style="504" customWidth="1"/>
    <col min="4104" max="4104" width="8.85546875" style="504" customWidth="1"/>
    <col min="4105" max="4111" width="7.85546875" style="504" customWidth="1"/>
    <col min="4112" max="4115" width="9.140625" style="504"/>
    <col min="4116" max="4116" width="12.42578125" style="504" customWidth="1"/>
    <col min="4117" max="4117" width="9.140625" style="504"/>
    <col min="4118" max="4118" width="12" style="504" customWidth="1"/>
    <col min="4119" max="4352" width="9.140625" style="504"/>
    <col min="4353" max="4353" width="5" style="504" customWidth="1"/>
    <col min="4354" max="4354" width="18.7109375" style="504" customWidth="1"/>
    <col min="4355" max="4358" width="7.85546875" style="504" customWidth="1"/>
    <col min="4359" max="4359" width="8.42578125" style="504" customWidth="1"/>
    <col min="4360" max="4360" width="8.85546875" style="504" customWidth="1"/>
    <col min="4361" max="4367" width="7.85546875" style="504" customWidth="1"/>
    <col min="4368" max="4371" width="9.140625" style="504"/>
    <col min="4372" max="4372" width="12.42578125" style="504" customWidth="1"/>
    <col min="4373" max="4373" width="9.140625" style="504"/>
    <col min="4374" max="4374" width="12" style="504" customWidth="1"/>
    <col min="4375" max="4608" width="9.140625" style="504"/>
    <col min="4609" max="4609" width="5" style="504" customWidth="1"/>
    <col min="4610" max="4610" width="18.7109375" style="504" customWidth="1"/>
    <col min="4611" max="4614" width="7.85546875" style="504" customWidth="1"/>
    <col min="4615" max="4615" width="8.42578125" style="504" customWidth="1"/>
    <col min="4616" max="4616" width="8.85546875" style="504" customWidth="1"/>
    <col min="4617" max="4623" width="7.85546875" style="504" customWidth="1"/>
    <col min="4624" max="4627" width="9.140625" style="504"/>
    <col min="4628" max="4628" width="12.42578125" style="504" customWidth="1"/>
    <col min="4629" max="4629" width="9.140625" style="504"/>
    <col min="4630" max="4630" width="12" style="504" customWidth="1"/>
    <col min="4631" max="4864" width="9.140625" style="504"/>
    <col min="4865" max="4865" width="5" style="504" customWidth="1"/>
    <col min="4866" max="4866" width="18.7109375" style="504" customWidth="1"/>
    <col min="4867" max="4870" width="7.85546875" style="504" customWidth="1"/>
    <col min="4871" max="4871" width="8.42578125" style="504" customWidth="1"/>
    <col min="4872" max="4872" width="8.85546875" style="504" customWidth="1"/>
    <col min="4873" max="4879" width="7.85546875" style="504" customWidth="1"/>
    <col min="4880" max="4883" width="9.140625" style="504"/>
    <col min="4884" max="4884" width="12.42578125" style="504" customWidth="1"/>
    <col min="4885" max="4885" width="9.140625" style="504"/>
    <col min="4886" max="4886" width="12" style="504" customWidth="1"/>
    <col min="4887" max="5120" width="9.140625" style="504"/>
    <col min="5121" max="5121" width="5" style="504" customWidth="1"/>
    <col min="5122" max="5122" width="18.7109375" style="504" customWidth="1"/>
    <col min="5123" max="5126" width="7.85546875" style="504" customWidth="1"/>
    <col min="5127" max="5127" width="8.42578125" style="504" customWidth="1"/>
    <col min="5128" max="5128" width="8.85546875" style="504" customWidth="1"/>
    <col min="5129" max="5135" width="7.85546875" style="504" customWidth="1"/>
    <col min="5136" max="5139" width="9.140625" style="504"/>
    <col min="5140" max="5140" width="12.42578125" style="504" customWidth="1"/>
    <col min="5141" max="5141" width="9.140625" style="504"/>
    <col min="5142" max="5142" width="12" style="504" customWidth="1"/>
    <col min="5143" max="5376" width="9.140625" style="504"/>
    <col min="5377" max="5377" width="5" style="504" customWidth="1"/>
    <col min="5378" max="5378" width="18.7109375" style="504" customWidth="1"/>
    <col min="5379" max="5382" width="7.85546875" style="504" customWidth="1"/>
    <col min="5383" max="5383" width="8.42578125" style="504" customWidth="1"/>
    <col min="5384" max="5384" width="8.85546875" style="504" customWidth="1"/>
    <col min="5385" max="5391" width="7.85546875" style="504" customWidth="1"/>
    <col min="5392" max="5395" width="9.140625" style="504"/>
    <col min="5396" max="5396" width="12.42578125" style="504" customWidth="1"/>
    <col min="5397" max="5397" width="9.140625" style="504"/>
    <col min="5398" max="5398" width="12" style="504" customWidth="1"/>
    <col min="5399" max="5632" width="9.140625" style="504"/>
    <col min="5633" max="5633" width="5" style="504" customWidth="1"/>
    <col min="5634" max="5634" width="18.7109375" style="504" customWidth="1"/>
    <col min="5635" max="5638" width="7.85546875" style="504" customWidth="1"/>
    <col min="5639" max="5639" width="8.42578125" style="504" customWidth="1"/>
    <col min="5640" max="5640" width="8.85546875" style="504" customWidth="1"/>
    <col min="5641" max="5647" width="7.85546875" style="504" customWidth="1"/>
    <col min="5648" max="5651" width="9.140625" style="504"/>
    <col min="5652" max="5652" width="12.42578125" style="504" customWidth="1"/>
    <col min="5653" max="5653" width="9.140625" style="504"/>
    <col min="5654" max="5654" width="12" style="504" customWidth="1"/>
    <col min="5655" max="5888" width="9.140625" style="504"/>
    <col min="5889" max="5889" width="5" style="504" customWidth="1"/>
    <col min="5890" max="5890" width="18.7109375" style="504" customWidth="1"/>
    <col min="5891" max="5894" width="7.85546875" style="504" customWidth="1"/>
    <col min="5895" max="5895" width="8.42578125" style="504" customWidth="1"/>
    <col min="5896" max="5896" width="8.85546875" style="504" customWidth="1"/>
    <col min="5897" max="5903" width="7.85546875" style="504" customWidth="1"/>
    <col min="5904" max="5907" width="9.140625" style="504"/>
    <col min="5908" max="5908" width="12.42578125" style="504" customWidth="1"/>
    <col min="5909" max="5909" width="9.140625" style="504"/>
    <col min="5910" max="5910" width="12" style="504" customWidth="1"/>
    <col min="5911" max="6144" width="9.140625" style="504"/>
    <col min="6145" max="6145" width="5" style="504" customWidth="1"/>
    <col min="6146" max="6146" width="18.7109375" style="504" customWidth="1"/>
    <col min="6147" max="6150" width="7.85546875" style="504" customWidth="1"/>
    <col min="6151" max="6151" width="8.42578125" style="504" customWidth="1"/>
    <col min="6152" max="6152" width="8.85546875" style="504" customWidth="1"/>
    <col min="6153" max="6159" width="7.85546875" style="504" customWidth="1"/>
    <col min="6160" max="6163" width="9.140625" style="504"/>
    <col min="6164" max="6164" width="12.42578125" style="504" customWidth="1"/>
    <col min="6165" max="6165" width="9.140625" style="504"/>
    <col min="6166" max="6166" width="12" style="504" customWidth="1"/>
    <col min="6167" max="6400" width="9.140625" style="504"/>
    <col min="6401" max="6401" width="5" style="504" customWidth="1"/>
    <col min="6402" max="6402" width="18.7109375" style="504" customWidth="1"/>
    <col min="6403" max="6406" width="7.85546875" style="504" customWidth="1"/>
    <col min="6407" max="6407" width="8.42578125" style="504" customWidth="1"/>
    <col min="6408" max="6408" width="8.85546875" style="504" customWidth="1"/>
    <col min="6409" max="6415" width="7.85546875" style="504" customWidth="1"/>
    <col min="6416" max="6419" width="9.140625" style="504"/>
    <col min="6420" max="6420" width="12.42578125" style="504" customWidth="1"/>
    <col min="6421" max="6421" width="9.140625" style="504"/>
    <col min="6422" max="6422" width="12" style="504" customWidth="1"/>
    <col min="6423" max="6656" width="9.140625" style="504"/>
    <col min="6657" max="6657" width="5" style="504" customWidth="1"/>
    <col min="6658" max="6658" width="18.7109375" style="504" customWidth="1"/>
    <col min="6659" max="6662" width="7.85546875" style="504" customWidth="1"/>
    <col min="6663" max="6663" width="8.42578125" style="504" customWidth="1"/>
    <col min="6664" max="6664" width="8.85546875" style="504" customWidth="1"/>
    <col min="6665" max="6671" width="7.85546875" style="504" customWidth="1"/>
    <col min="6672" max="6675" width="9.140625" style="504"/>
    <col min="6676" max="6676" width="12.42578125" style="504" customWidth="1"/>
    <col min="6677" max="6677" width="9.140625" style="504"/>
    <col min="6678" max="6678" width="12" style="504" customWidth="1"/>
    <col min="6679" max="6912" width="9.140625" style="504"/>
    <col min="6913" max="6913" width="5" style="504" customWidth="1"/>
    <col min="6914" max="6914" width="18.7109375" style="504" customWidth="1"/>
    <col min="6915" max="6918" width="7.85546875" style="504" customWidth="1"/>
    <col min="6919" max="6919" width="8.42578125" style="504" customWidth="1"/>
    <col min="6920" max="6920" width="8.85546875" style="504" customWidth="1"/>
    <col min="6921" max="6927" width="7.85546875" style="504" customWidth="1"/>
    <col min="6928" max="6931" width="9.140625" style="504"/>
    <col min="6932" max="6932" width="12.42578125" style="504" customWidth="1"/>
    <col min="6933" max="6933" width="9.140625" style="504"/>
    <col min="6934" max="6934" width="12" style="504" customWidth="1"/>
    <col min="6935" max="7168" width="9.140625" style="504"/>
    <col min="7169" max="7169" width="5" style="504" customWidth="1"/>
    <col min="7170" max="7170" width="18.7109375" style="504" customWidth="1"/>
    <col min="7171" max="7174" width="7.85546875" style="504" customWidth="1"/>
    <col min="7175" max="7175" width="8.42578125" style="504" customWidth="1"/>
    <col min="7176" max="7176" width="8.85546875" style="504" customWidth="1"/>
    <col min="7177" max="7183" width="7.85546875" style="504" customWidth="1"/>
    <col min="7184" max="7187" width="9.140625" style="504"/>
    <col min="7188" max="7188" width="12.42578125" style="504" customWidth="1"/>
    <col min="7189" max="7189" width="9.140625" style="504"/>
    <col min="7190" max="7190" width="12" style="504" customWidth="1"/>
    <col min="7191" max="7424" width="9.140625" style="504"/>
    <col min="7425" max="7425" width="5" style="504" customWidth="1"/>
    <col min="7426" max="7426" width="18.7109375" style="504" customWidth="1"/>
    <col min="7427" max="7430" width="7.85546875" style="504" customWidth="1"/>
    <col min="7431" max="7431" width="8.42578125" style="504" customWidth="1"/>
    <col min="7432" max="7432" width="8.85546875" style="504" customWidth="1"/>
    <col min="7433" max="7439" width="7.85546875" style="504" customWidth="1"/>
    <col min="7440" max="7443" width="9.140625" style="504"/>
    <col min="7444" max="7444" width="12.42578125" style="504" customWidth="1"/>
    <col min="7445" max="7445" width="9.140625" style="504"/>
    <col min="7446" max="7446" width="12" style="504" customWidth="1"/>
    <col min="7447" max="7680" width="9.140625" style="504"/>
    <col min="7681" max="7681" width="5" style="504" customWidth="1"/>
    <col min="7682" max="7682" width="18.7109375" style="504" customWidth="1"/>
    <col min="7683" max="7686" width="7.85546875" style="504" customWidth="1"/>
    <col min="7687" max="7687" width="8.42578125" style="504" customWidth="1"/>
    <col min="7688" max="7688" width="8.85546875" style="504" customWidth="1"/>
    <col min="7689" max="7695" width="7.85546875" style="504" customWidth="1"/>
    <col min="7696" max="7699" width="9.140625" style="504"/>
    <col min="7700" max="7700" width="12.42578125" style="504" customWidth="1"/>
    <col min="7701" max="7701" width="9.140625" style="504"/>
    <col min="7702" max="7702" width="12" style="504" customWidth="1"/>
    <col min="7703" max="7936" width="9.140625" style="504"/>
    <col min="7937" max="7937" width="5" style="504" customWidth="1"/>
    <col min="7938" max="7938" width="18.7109375" style="504" customWidth="1"/>
    <col min="7939" max="7942" width="7.85546875" style="504" customWidth="1"/>
    <col min="7943" max="7943" width="8.42578125" style="504" customWidth="1"/>
    <col min="7944" max="7944" width="8.85546875" style="504" customWidth="1"/>
    <col min="7945" max="7951" width="7.85546875" style="504" customWidth="1"/>
    <col min="7952" max="7955" width="9.140625" style="504"/>
    <col min="7956" max="7956" width="12.42578125" style="504" customWidth="1"/>
    <col min="7957" max="7957" width="9.140625" style="504"/>
    <col min="7958" max="7958" width="12" style="504" customWidth="1"/>
    <col min="7959" max="8192" width="9.140625" style="504"/>
    <col min="8193" max="8193" width="5" style="504" customWidth="1"/>
    <col min="8194" max="8194" width="18.7109375" style="504" customWidth="1"/>
    <col min="8195" max="8198" width="7.85546875" style="504" customWidth="1"/>
    <col min="8199" max="8199" width="8.42578125" style="504" customWidth="1"/>
    <col min="8200" max="8200" width="8.85546875" style="504" customWidth="1"/>
    <col min="8201" max="8207" width="7.85546875" style="504" customWidth="1"/>
    <col min="8208" max="8211" width="9.140625" style="504"/>
    <col min="8212" max="8212" width="12.42578125" style="504" customWidth="1"/>
    <col min="8213" max="8213" width="9.140625" style="504"/>
    <col min="8214" max="8214" width="12" style="504" customWidth="1"/>
    <col min="8215" max="8448" width="9.140625" style="504"/>
    <col min="8449" max="8449" width="5" style="504" customWidth="1"/>
    <col min="8450" max="8450" width="18.7109375" style="504" customWidth="1"/>
    <col min="8451" max="8454" width="7.85546875" style="504" customWidth="1"/>
    <col min="8455" max="8455" width="8.42578125" style="504" customWidth="1"/>
    <col min="8456" max="8456" width="8.85546875" style="504" customWidth="1"/>
    <col min="8457" max="8463" width="7.85546875" style="504" customWidth="1"/>
    <col min="8464" max="8467" width="9.140625" style="504"/>
    <col min="8468" max="8468" width="12.42578125" style="504" customWidth="1"/>
    <col min="8469" max="8469" width="9.140625" style="504"/>
    <col min="8470" max="8470" width="12" style="504" customWidth="1"/>
    <col min="8471" max="8704" width="9.140625" style="504"/>
    <col min="8705" max="8705" width="5" style="504" customWidth="1"/>
    <col min="8706" max="8706" width="18.7109375" style="504" customWidth="1"/>
    <col min="8707" max="8710" width="7.85546875" style="504" customWidth="1"/>
    <col min="8711" max="8711" width="8.42578125" style="504" customWidth="1"/>
    <col min="8712" max="8712" width="8.85546875" style="504" customWidth="1"/>
    <col min="8713" max="8719" width="7.85546875" style="504" customWidth="1"/>
    <col min="8720" max="8723" width="9.140625" style="504"/>
    <col min="8724" max="8724" width="12.42578125" style="504" customWidth="1"/>
    <col min="8725" max="8725" width="9.140625" style="504"/>
    <col min="8726" max="8726" width="12" style="504" customWidth="1"/>
    <col min="8727" max="8960" width="9.140625" style="504"/>
    <col min="8961" max="8961" width="5" style="504" customWidth="1"/>
    <col min="8962" max="8962" width="18.7109375" style="504" customWidth="1"/>
    <col min="8963" max="8966" width="7.85546875" style="504" customWidth="1"/>
    <col min="8967" max="8967" width="8.42578125" style="504" customWidth="1"/>
    <col min="8968" max="8968" width="8.85546875" style="504" customWidth="1"/>
    <col min="8969" max="8975" width="7.85546875" style="504" customWidth="1"/>
    <col min="8976" max="8979" width="9.140625" style="504"/>
    <col min="8980" max="8980" width="12.42578125" style="504" customWidth="1"/>
    <col min="8981" max="8981" width="9.140625" style="504"/>
    <col min="8982" max="8982" width="12" style="504" customWidth="1"/>
    <col min="8983" max="9216" width="9.140625" style="504"/>
    <col min="9217" max="9217" width="5" style="504" customWidth="1"/>
    <col min="9218" max="9218" width="18.7109375" style="504" customWidth="1"/>
    <col min="9219" max="9222" width="7.85546875" style="504" customWidth="1"/>
    <col min="9223" max="9223" width="8.42578125" style="504" customWidth="1"/>
    <col min="9224" max="9224" width="8.85546875" style="504" customWidth="1"/>
    <col min="9225" max="9231" width="7.85546875" style="504" customWidth="1"/>
    <col min="9232" max="9235" width="9.140625" style="504"/>
    <col min="9236" max="9236" width="12.42578125" style="504" customWidth="1"/>
    <col min="9237" max="9237" width="9.140625" style="504"/>
    <col min="9238" max="9238" width="12" style="504" customWidth="1"/>
    <col min="9239" max="9472" width="9.140625" style="504"/>
    <col min="9473" max="9473" width="5" style="504" customWidth="1"/>
    <col min="9474" max="9474" width="18.7109375" style="504" customWidth="1"/>
    <col min="9475" max="9478" width="7.85546875" style="504" customWidth="1"/>
    <col min="9479" max="9479" width="8.42578125" style="504" customWidth="1"/>
    <col min="9480" max="9480" width="8.85546875" style="504" customWidth="1"/>
    <col min="9481" max="9487" width="7.85546875" style="504" customWidth="1"/>
    <col min="9488" max="9491" width="9.140625" style="504"/>
    <col min="9492" max="9492" width="12.42578125" style="504" customWidth="1"/>
    <col min="9493" max="9493" width="9.140625" style="504"/>
    <col min="9494" max="9494" width="12" style="504" customWidth="1"/>
    <col min="9495" max="9728" width="9.140625" style="504"/>
    <col min="9729" max="9729" width="5" style="504" customWidth="1"/>
    <col min="9730" max="9730" width="18.7109375" style="504" customWidth="1"/>
    <col min="9731" max="9734" width="7.85546875" style="504" customWidth="1"/>
    <col min="9735" max="9735" width="8.42578125" style="504" customWidth="1"/>
    <col min="9736" max="9736" width="8.85546875" style="504" customWidth="1"/>
    <col min="9737" max="9743" width="7.85546875" style="504" customWidth="1"/>
    <col min="9744" max="9747" width="9.140625" style="504"/>
    <col min="9748" max="9748" width="12.42578125" style="504" customWidth="1"/>
    <col min="9749" max="9749" width="9.140625" style="504"/>
    <col min="9750" max="9750" width="12" style="504" customWidth="1"/>
    <col min="9751" max="9984" width="9.140625" style="504"/>
    <col min="9985" max="9985" width="5" style="504" customWidth="1"/>
    <col min="9986" max="9986" width="18.7109375" style="504" customWidth="1"/>
    <col min="9987" max="9990" width="7.85546875" style="504" customWidth="1"/>
    <col min="9991" max="9991" width="8.42578125" style="504" customWidth="1"/>
    <col min="9992" max="9992" width="8.85546875" style="504" customWidth="1"/>
    <col min="9993" max="9999" width="7.85546875" style="504" customWidth="1"/>
    <col min="10000" max="10003" width="9.140625" style="504"/>
    <col min="10004" max="10004" width="12.42578125" style="504" customWidth="1"/>
    <col min="10005" max="10005" width="9.140625" style="504"/>
    <col min="10006" max="10006" width="12" style="504" customWidth="1"/>
    <col min="10007" max="10240" width="9.140625" style="504"/>
    <col min="10241" max="10241" width="5" style="504" customWidth="1"/>
    <col min="10242" max="10242" width="18.7109375" style="504" customWidth="1"/>
    <col min="10243" max="10246" width="7.85546875" style="504" customWidth="1"/>
    <col min="10247" max="10247" width="8.42578125" style="504" customWidth="1"/>
    <col min="10248" max="10248" width="8.85546875" style="504" customWidth="1"/>
    <col min="10249" max="10255" width="7.85546875" style="504" customWidth="1"/>
    <col min="10256" max="10259" width="9.140625" style="504"/>
    <col min="10260" max="10260" width="12.42578125" style="504" customWidth="1"/>
    <col min="10261" max="10261" width="9.140625" style="504"/>
    <col min="10262" max="10262" width="12" style="504" customWidth="1"/>
    <col min="10263" max="10496" width="9.140625" style="504"/>
    <col min="10497" max="10497" width="5" style="504" customWidth="1"/>
    <col min="10498" max="10498" width="18.7109375" style="504" customWidth="1"/>
    <col min="10499" max="10502" width="7.85546875" style="504" customWidth="1"/>
    <col min="10503" max="10503" width="8.42578125" style="504" customWidth="1"/>
    <col min="10504" max="10504" width="8.85546875" style="504" customWidth="1"/>
    <col min="10505" max="10511" width="7.85546875" style="504" customWidth="1"/>
    <col min="10512" max="10515" width="9.140625" style="504"/>
    <col min="10516" max="10516" width="12.42578125" style="504" customWidth="1"/>
    <col min="10517" max="10517" width="9.140625" style="504"/>
    <col min="10518" max="10518" width="12" style="504" customWidth="1"/>
    <col min="10519" max="10752" width="9.140625" style="504"/>
    <col min="10753" max="10753" width="5" style="504" customWidth="1"/>
    <col min="10754" max="10754" width="18.7109375" style="504" customWidth="1"/>
    <col min="10755" max="10758" width="7.85546875" style="504" customWidth="1"/>
    <col min="10759" max="10759" width="8.42578125" style="504" customWidth="1"/>
    <col min="10760" max="10760" width="8.85546875" style="504" customWidth="1"/>
    <col min="10761" max="10767" width="7.85546875" style="504" customWidth="1"/>
    <col min="10768" max="10771" width="9.140625" style="504"/>
    <col min="10772" max="10772" width="12.42578125" style="504" customWidth="1"/>
    <col min="10773" max="10773" width="9.140625" style="504"/>
    <col min="10774" max="10774" width="12" style="504" customWidth="1"/>
    <col min="10775" max="11008" width="9.140625" style="504"/>
    <col min="11009" max="11009" width="5" style="504" customWidth="1"/>
    <col min="11010" max="11010" width="18.7109375" style="504" customWidth="1"/>
    <col min="11011" max="11014" width="7.85546875" style="504" customWidth="1"/>
    <col min="11015" max="11015" width="8.42578125" style="504" customWidth="1"/>
    <col min="11016" max="11016" width="8.85546875" style="504" customWidth="1"/>
    <col min="11017" max="11023" width="7.85546875" style="504" customWidth="1"/>
    <col min="11024" max="11027" width="9.140625" style="504"/>
    <col min="11028" max="11028" width="12.42578125" style="504" customWidth="1"/>
    <col min="11029" max="11029" width="9.140625" style="504"/>
    <col min="11030" max="11030" width="12" style="504" customWidth="1"/>
    <col min="11031" max="11264" width="9.140625" style="504"/>
    <col min="11265" max="11265" width="5" style="504" customWidth="1"/>
    <col min="11266" max="11266" width="18.7109375" style="504" customWidth="1"/>
    <col min="11267" max="11270" width="7.85546875" style="504" customWidth="1"/>
    <col min="11271" max="11271" width="8.42578125" style="504" customWidth="1"/>
    <col min="11272" max="11272" width="8.85546875" style="504" customWidth="1"/>
    <col min="11273" max="11279" width="7.85546875" style="504" customWidth="1"/>
    <col min="11280" max="11283" width="9.140625" style="504"/>
    <col min="11284" max="11284" width="12.42578125" style="504" customWidth="1"/>
    <col min="11285" max="11285" width="9.140625" style="504"/>
    <col min="11286" max="11286" width="12" style="504" customWidth="1"/>
    <col min="11287" max="11520" width="9.140625" style="504"/>
    <col min="11521" max="11521" width="5" style="504" customWidth="1"/>
    <col min="11522" max="11522" width="18.7109375" style="504" customWidth="1"/>
    <col min="11523" max="11526" width="7.85546875" style="504" customWidth="1"/>
    <col min="11527" max="11527" width="8.42578125" style="504" customWidth="1"/>
    <col min="11528" max="11528" width="8.85546875" style="504" customWidth="1"/>
    <col min="11529" max="11535" width="7.85546875" style="504" customWidth="1"/>
    <col min="11536" max="11539" width="9.140625" style="504"/>
    <col min="11540" max="11540" width="12.42578125" style="504" customWidth="1"/>
    <col min="11541" max="11541" width="9.140625" style="504"/>
    <col min="11542" max="11542" width="12" style="504" customWidth="1"/>
    <col min="11543" max="11776" width="9.140625" style="504"/>
    <col min="11777" max="11777" width="5" style="504" customWidth="1"/>
    <col min="11778" max="11778" width="18.7109375" style="504" customWidth="1"/>
    <col min="11779" max="11782" width="7.85546875" style="504" customWidth="1"/>
    <col min="11783" max="11783" width="8.42578125" style="504" customWidth="1"/>
    <col min="11784" max="11784" width="8.85546875" style="504" customWidth="1"/>
    <col min="11785" max="11791" width="7.85546875" style="504" customWidth="1"/>
    <col min="11792" max="11795" width="9.140625" style="504"/>
    <col min="11796" max="11796" width="12.42578125" style="504" customWidth="1"/>
    <col min="11797" max="11797" width="9.140625" style="504"/>
    <col min="11798" max="11798" width="12" style="504" customWidth="1"/>
    <col min="11799" max="12032" width="9.140625" style="504"/>
    <col min="12033" max="12033" width="5" style="504" customWidth="1"/>
    <col min="12034" max="12034" width="18.7109375" style="504" customWidth="1"/>
    <col min="12035" max="12038" width="7.85546875" style="504" customWidth="1"/>
    <col min="12039" max="12039" width="8.42578125" style="504" customWidth="1"/>
    <col min="12040" max="12040" width="8.85546875" style="504" customWidth="1"/>
    <col min="12041" max="12047" width="7.85546875" style="504" customWidth="1"/>
    <col min="12048" max="12051" width="9.140625" style="504"/>
    <col min="12052" max="12052" width="12.42578125" style="504" customWidth="1"/>
    <col min="12053" max="12053" width="9.140625" style="504"/>
    <col min="12054" max="12054" width="12" style="504" customWidth="1"/>
    <col min="12055" max="12288" width="9.140625" style="504"/>
    <col min="12289" max="12289" width="5" style="504" customWidth="1"/>
    <col min="12290" max="12290" width="18.7109375" style="504" customWidth="1"/>
    <col min="12291" max="12294" width="7.85546875" style="504" customWidth="1"/>
    <col min="12295" max="12295" width="8.42578125" style="504" customWidth="1"/>
    <col min="12296" max="12296" width="8.85546875" style="504" customWidth="1"/>
    <col min="12297" max="12303" width="7.85546875" style="504" customWidth="1"/>
    <col min="12304" max="12307" width="9.140625" style="504"/>
    <col min="12308" max="12308" width="12.42578125" style="504" customWidth="1"/>
    <col min="12309" max="12309" width="9.140625" style="504"/>
    <col min="12310" max="12310" width="12" style="504" customWidth="1"/>
    <col min="12311" max="12544" width="9.140625" style="504"/>
    <col min="12545" max="12545" width="5" style="504" customWidth="1"/>
    <col min="12546" max="12546" width="18.7109375" style="504" customWidth="1"/>
    <col min="12547" max="12550" width="7.85546875" style="504" customWidth="1"/>
    <col min="12551" max="12551" width="8.42578125" style="504" customWidth="1"/>
    <col min="12552" max="12552" width="8.85546875" style="504" customWidth="1"/>
    <col min="12553" max="12559" width="7.85546875" style="504" customWidth="1"/>
    <col min="12560" max="12563" width="9.140625" style="504"/>
    <col min="12564" max="12564" width="12.42578125" style="504" customWidth="1"/>
    <col min="12565" max="12565" width="9.140625" style="504"/>
    <col min="12566" max="12566" width="12" style="504" customWidth="1"/>
    <col min="12567" max="12800" width="9.140625" style="504"/>
    <col min="12801" max="12801" width="5" style="504" customWidth="1"/>
    <col min="12802" max="12802" width="18.7109375" style="504" customWidth="1"/>
    <col min="12803" max="12806" width="7.85546875" style="504" customWidth="1"/>
    <col min="12807" max="12807" width="8.42578125" style="504" customWidth="1"/>
    <col min="12808" max="12808" width="8.85546875" style="504" customWidth="1"/>
    <col min="12809" max="12815" width="7.85546875" style="504" customWidth="1"/>
    <col min="12816" max="12819" width="9.140625" style="504"/>
    <col min="12820" max="12820" width="12.42578125" style="504" customWidth="1"/>
    <col min="12821" max="12821" width="9.140625" style="504"/>
    <col min="12822" max="12822" width="12" style="504" customWidth="1"/>
    <col min="12823" max="13056" width="9.140625" style="504"/>
    <col min="13057" max="13057" width="5" style="504" customWidth="1"/>
    <col min="13058" max="13058" width="18.7109375" style="504" customWidth="1"/>
    <col min="13059" max="13062" width="7.85546875" style="504" customWidth="1"/>
    <col min="13063" max="13063" width="8.42578125" style="504" customWidth="1"/>
    <col min="13064" max="13064" width="8.85546875" style="504" customWidth="1"/>
    <col min="13065" max="13071" width="7.85546875" style="504" customWidth="1"/>
    <col min="13072" max="13075" width="9.140625" style="504"/>
    <col min="13076" max="13076" width="12.42578125" style="504" customWidth="1"/>
    <col min="13077" max="13077" width="9.140625" style="504"/>
    <col min="13078" max="13078" width="12" style="504" customWidth="1"/>
    <col min="13079" max="13312" width="9.140625" style="504"/>
    <col min="13313" max="13313" width="5" style="504" customWidth="1"/>
    <col min="13314" max="13314" width="18.7109375" style="504" customWidth="1"/>
    <col min="13315" max="13318" width="7.85546875" style="504" customWidth="1"/>
    <col min="13319" max="13319" width="8.42578125" style="504" customWidth="1"/>
    <col min="13320" max="13320" width="8.85546875" style="504" customWidth="1"/>
    <col min="13321" max="13327" width="7.85546875" style="504" customWidth="1"/>
    <col min="13328" max="13331" width="9.140625" style="504"/>
    <col min="13332" max="13332" width="12.42578125" style="504" customWidth="1"/>
    <col min="13333" max="13333" width="9.140625" style="504"/>
    <col min="13334" max="13334" width="12" style="504" customWidth="1"/>
    <col min="13335" max="13568" width="9.140625" style="504"/>
    <col min="13569" max="13569" width="5" style="504" customWidth="1"/>
    <col min="13570" max="13570" width="18.7109375" style="504" customWidth="1"/>
    <col min="13571" max="13574" width="7.85546875" style="504" customWidth="1"/>
    <col min="13575" max="13575" width="8.42578125" style="504" customWidth="1"/>
    <col min="13576" max="13576" width="8.85546875" style="504" customWidth="1"/>
    <col min="13577" max="13583" width="7.85546875" style="504" customWidth="1"/>
    <col min="13584" max="13587" width="9.140625" style="504"/>
    <col min="13588" max="13588" width="12.42578125" style="504" customWidth="1"/>
    <col min="13589" max="13589" width="9.140625" style="504"/>
    <col min="13590" max="13590" width="12" style="504" customWidth="1"/>
    <col min="13591" max="13824" width="9.140625" style="504"/>
    <col min="13825" max="13825" width="5" style="504" customWidth="1"/>
    <col min="13826" max="13826" width="18.7109375" style="504" customWidth="1"/>
    <col min="13827" max="13830" width="7.85546875" style="504" customWidth="1"/>
    <col min="13831" max="13831" width="8.42578125" style="504" customWidth="1"/>
    <col min="13832" max="13832" width="8.85546875" style="504" customWidth="1"/>
    <col min="13833" max="13839" width="7.85546875" style="504" customWidth="1"/>
    <col min="13840" max="13843" width="9.140625" style="504"/>
    <col min="13844" max="13844" width="12.42578125" style="504" customWidth="1"/>
    <col min="13845" max="13845" width="9.140625" style="504"/>
    <col min="13846" max="13846" width="12" style="504" customWidth="1"/>
    <col min="13847" max="14080" width="9.140625" style="504"/>
    <col min="14081" max="14081" width="5" style="504" customWidth="1"/>
    <col min="14082" max="14082" width="18.7109375" style="504" customWidth="1"/>
    <col min="14083" max="14086" width="7.85546875" style="504" customWidth="1"/>
    <col min="14087" max="14087" width="8.42578125" style="504" customWidth="1"/>
    <col min="14088" max="14088" width="8.85546875" style="504" customWidth="1"/>
    <col min="14089" max="14095" width="7.85546875" style="504" customWidth="1"/>
    <col min="14096" max="14099" width="9.140625" style="504"/>
    <col min="14100" max="14100" width="12.42578125" style="504" customWidth="1"/>
    <col min="14101" max="14101" width="9.140625" style="504"/>
    <col min="14102" max="14102" width="12" style="504" customWidth="1"/>
    <col min="14103" max="14336" width="9.140625" style="504"/>
    <col min="14337" max="14337" width="5" style="504" customWidth="1"/>
    <col min="14338" max="14338" width="18.7109375" style="504" customWidth="1"/>
    <col min="14339" max="14342" width="7.85546875" style="504" customWidth="1"/>
    <col min="14343" max="14343" width="8.42578125" style="504" customWidth="1"/>
    <col min="14344" max="14344" width="8.85546875" style="504" customWidth="1"/>
    <col min="14345" max="14351" width="7.85546875" style="504" customWidth="1"/>
    <col min="14352" max="14355" width="9.140625" style="504"/>
    <col min="14356" max="14356" width="12.42578125" style="504" customWidth="1"/>
    <col min="14357" max="14357" width="9.140625" style="504"/>
    <col min="14358" max="14358" width="12" style="504" customWidth="1"/>
    <col min="14359" max="14592" width="9.140625" style="504"/>
    <col min="14593" max="14593" width="5" style="504" customWidth="1"/>
    <col min="14594" max="14594" width="18.7109375" style="504" customWidth="1"/>
    <col min="14595" max="14598" width="7.85546875" style="504" customWidth="1"/>
    <col min="14599" max="14599" width="8.42578125" style="504" customWidth="1"/>
    <col min="14600" max="14600" width="8.85546875" style="504" customWidth="1"/>
    <col min="14601" max="14607" width="7.85546875" style="504" customWidth="1"/>
    <col min="14608" max="14611" width="9.140625" style="504"/>
    <col min="14612" max="14612" width="12.42578125" style="504" customWidth="1"/>
    <col min="14613" max="14613" width="9.140625" style="504"/>
    <col min="14614" max="14614" width="12" style="504" customWidth="1"/>
    <col min="14615" max="14848" width="9.140625" style="504"/>
    <col min="14849" max="14849" width="5" style="504" customWidth="1"/>
    <col min="14850" max="14850" width="18.7109375" style="504" customWidth="1"/>
    <col min="14851" max="14854" width="7.85546875" style="504" customWidth="1"/>
    <col min="14855" max="14855" width="8.42578125" style="504" customWidth="1"/>
    <col min="14856" max="14856" width="8.85546875" style="504" customWidth="1"/>
    <col min="14857" max="14863" width="7.85546875" style="504" customWidth="1"/>
    <col min="14864" max="14867" width="9.140625" style="504"/>
    <col min="14868" max="14868" width="12.42578125" style="504" customWidth="1"/>
    <col min="14869" max="14869" width="9.140625" style="504"/>
    <col min="14870" max="14870" width="12" style="504" customWidth="1"/>
    <col min="14871" max="15104" width="9.140625" style="504"/>
    <col min="15105" max="15105" width="5" style="504" customWidth="1"/>
    <col min="15106" max="15106" width="18.7109375" style="504" customWidth="1"/>
    <col min="15107" max="15110" width="7.85546875" style="504" customWidth="1"/>
    <col min="15111" max="15111" width="8.42578125" style="504" customWidth="1"/>
    <col min="15112" max="15112" width="8.85546875" style="504" customWidth="1"/>
    <col min="15113" max="15119" width="7.85546875" style="504" customWidth="1"/>
    <col min="15120" max="15123" width="9.140625" style="504"/>
    <col min="15124" max="15124" width="12.42578125" style="504" customWidth="1"/>
    <col min="15125" max="15125" width="9.140625" style="504"/>
    <col min="15126" max="15126" width="12" style="504" customWidth="1"/>
    <col min="15127" max="15360" width="9.140625" style="504"/>
    <col min="15361" max="15361" width="5" style="504" customWidth="1"/>
    <col min="15362" max="15362" width="18.7109375" style="504" customWidth="1"/>
    <col min="15363" max="15366" width="7.85546875" style="504" customWidth="1"/>
    <col min="15367" max="15367" width="8.42578125" style="504" customWidth="1"/>
    <col min="15368" max="15368" width="8.85546875" style="504" customWidth="1"/>
    <col min="15369" max="15375" width="7.85546875" style="504" customWidth="1"/>
    <col min="15376" max="15379" width="9.140625" style="504"/>
    <col min="15380" max="15380" width="12.42578125" style="504" customWidth="1"/>
    <col min="15381" max="15381" width="9.140625" style="504"/>
    <col min="15382" max="15382" width="12" style="504" customWidth="1"/>
    <col min="15383" max="15616" width="9.140625" style="504"/>
    <col min="15617" max="15617" width="5" style="504" customWidth="1"/>
    <col min="15618" max="15618" width="18.7109375" style="504" customWidth="1"/>
    <col min="15619" max="15622" width="7.85546875" style="504" customWidth="1"/>
    <col min="15623" max="15623" width="8.42578125" style="504" customWidth="1"/>
    <col min="15624" max="15624" width="8.85546875" style="504" customWidth="1"/>
    <col min="15625" max="15631" width="7.85546875" style="504" customWidth="1"/>
    <col min="15632" max="15635" width="9.140625" style="504"/>
    <col min="15636" max="15636" width="12.42578125" style="504" customWidth="1"/>
    <col min="15637" max="15637" width="9.140625" style="504"/>
    <col min="15638" max="15638" width="12" style="504" customWidth="1"/>
    <col min="15639" max="15872" width="9.140625" style="504"/>
    <col min="15873" max="15873" width="5" style="504" customWidth="1"/>
    <col min="15874" max="15874" width="18.7109375" style="504" customWidth="1"/>
    <col min="15875" max="15878" width="7.85546875" style="504" customWidth="1"/>
    <col min="15879" max="15879" width="8.42578125" style="504" customWidth="1"/>
    <col min="15880" max="15880" width="8.85546875" style="504" customWidth="1"/>
    <col min="15881" max="15887" width="7.85546875" style="504" customWidth="1"/>
    <col min="15888" max="15891" width="9.140625" style="504"/>
    <col min="15892" max="15892" width="12.42578125" style="504" customWidth="1"/>
    <col min="15893" max="15893" width="9.140625" style="504"/>
    <col min="15894" max="15894" width="12" style="504" customWidth="1"/>
    <col min="15895" max="16128" width="9.140625" style="504"/>
    <col min="16129" max="16129" width="5" style="504" customWidth="1"/>
    <col min="16130" max="16130" width="18.7109375" style="504" customWidth="1"/>
    <col min="16131" max="16134" width="7.85546875" style="504" customWidth="1"/>
    <col min="16135" max="16135" width="8.42578125" style="504" customWidth="1"/>
    <col min="16136" max="16136" width="8.85546875" style="504" customWidth="1"/>
    <col min="16137" max="16143" width="7.85546875" style="504" customWidth="1"/>
    <col min="16144" max="16147" width="9.140625" style="504"/>
    <col min="16148" max="16148" width="12.42578125" style="504" customWidth="1"/>
    <col min="16149" max="16149" width="9.140625" style="504"/>
    <col min="16150" max="16150" width="12" style="504" customWidth="1"/>
    <col min="16151" max="16384" width="9.140625" style="504"/>
  </cols>
  <sheetData>
    <row r="1" spans="1:15" s="490" customFormat="1" x14ac:dyDescent="0.2">
      <c r="A1" s="1045" t="s">
        <v>100</v>
      </c>
      <c r="B1" s="1039"/>
      <c r="C1" s="1039"/>
      <c r="D1" s="1038"/>
      <c r="E1" s="1039"/>
      <c r="F1" s="1039"/>
      <c r="G1" s="1045" t="s">
        <v>102</v>
      </c>
      <c r="H1" s="1038"/>
      <c r="I1" s="1038" t="s">
        <v>57</v>
      </c>
      <c r="J1" s="1039"/>
      <c r="K1" s="1039"/>
      <c r="L1" s="1040"/>
      <c r="M1" s="1040"/>
      <c r="N1" s="1040"/>
      <c r="O1" s="1040"/>
    </row>
    <row r="2" spans="1:15" s="490" customFormat="1" x14ac:dyDescent="0.2">
      <c r="A2" s="1045" t="s">
        <v>103</v>
      </c>
      <c r="B2" s="1039"/>
      <c r="C2" s="1039"/>
      <c r="D2" s="1038"/>
      <c r="E2" s="1039"/>
      <c r="F2" s="1039"/>
      <c r="G2" s="1045" t="s">
        <v>104</v>
      </c>
      <c r="H2" s="1038"/>
      <c r="I2" s="1038" t="s">
        <v>105</v>
      </c>
      <c r="J2" s="1039"/>
      <c r="K2" s="1039"/>
      <c r="L2" s="1040"/>
      <c r="M2" s="1040"/>
      <c r="N2" s="1040"/>
      <c r="O2" s="1040"/>
    </row>
    <row r="3" spans="1:15" s="490" customFormat="1" x14ac:dyDescent="0.2">
      <c r="A3" s="1045" t="s">
        <v>106</v>
      </c>
      <c r="B3" s="1039"/>
      <c r="C3" s="1039"/>
      <c r="D3" s="1046" t="s">
        <v>1168</v>
      </c>
      <c r="E3" s="1039"/>
      <c r="F3" s="1039"/>
      <c r="G3" s="1045" t="s">
        <v>107</v>
      </c>
      <c r="H3" s="1038"/>
      <c r="I3" s="1038" t="s">
        <v>108</v>
      </c>
      <c r="J3" s="1039"/>
      <c r="K3" s="1039"/>
      <c r="L3" s="1040"/>
      <c r="M3" s="1040"/>
      <c r="N3" s="1040"/>
      <c r="O3" s="1040"/>
    </row>
    <row r="4" spans="1:15" s="490" customFormat="1" x14ac:dyDescent="0.2">
      <c r="A4" s="1045" t="s">
        <v>109</v>
      </c>
      <c r="B4" s="1039"/>
      <c r="C4" s="1039"/>
      <c r="D4" s="1038"/>
      <c r="E4" s="1039"/>
      <c r="F4" s="1039"/>
      <c r="G4" s="1045" t="s">
        <v>110</v>
      </c>
      <c r="H4" s="1038"/>
      <c r="I4" s="1038" t="s">
        <v>645</v>
      </c>
      <c r="J4" s="1039"/>
      <c r="K4" s="1039"/>
      <c r="L4" s="1040"/>
      <c r="M4" s="1040"/>
      <c r="N4" s="1040"/>
      <c r="O4" s="1040"/>
    </row>
    <row r="5" spans="1:15" s="490" customFormat="1" x14ac:dyDescent="0.2">
      <c r="A5" s="1045" t="s">
        <v>278</v>
      </c>
      <c r="B5" s="1039"/>
      <c r="C5" s="1039"/>
      <c r="D5" s="1038" t="s">
        <v>1169</v>
      </c>
      <c r="E5" s="1039"/>
      <c r="F5" s="1039"/>
      <c r="G5" s="1045"/>
      <c r="H5" s="1039"/>
      <c r="I5" s="1038" t="s">
        <v>113</v>
      </c>
      <c r="J5" s="1039"/>
      <c r="K5" s="1039"/>
      <c r="L5" s="1040"/>
      <c r="M5" s="1040"/>
      <c r="N5" s="1040"/>
      <c r="O5" s="1040"/>
    </row>
    <row r="6" spans="1:15" s="490" customFormat="1" x14ac:dyDescent="0.2">
      <c r="A6" s="1041" t="s">
        <v>114</v>
      </c>
      <c r="B6" s="1042"/>
      <c r="C6" s="1042"/>
      <c r="D6" s="1039" t="s">
        <v>58</v>
      </c>
      <c r="E6" s="1039"/>
      <c r="F6" s="1039"/>
      <c r="G6" s="1041" t="s">
        <v>115</v>
      </c>
      <c r="H6" s="1041"/>
      <c r="I6" s="491" t="s">
        <v>116</v>
      </c>
      <c r="J6" s="1043"/>
      <c r="K6" s="1043"/>
      <c r="L6" s="1043"/>
      <c r="M6" s="1043"/>
      <c r="N6" s="1043"/>
      <c r="O6" s="1044"/>
    </row>
    <row r="7" spans="1:15" s="490" customFormat="1" ht="13.5" thickBot="1" x14ac:dyDescent="0.25">
      <c r="A7" s="492"/>
      <c r="B7" s="493"/>
      <c r="C7" s="494"/>
      <c r="D7" s="495"/>
      <c r="E7" s="495"/>
      <c r="F7" s="495"/>
      <c r="G7" s="495"/>
      <c r="H7" s="495"/>
      <c r="I7" s="495"/>
      <c r="J7" s="496"/>
      <c r="K7" s="497"/>
      <c r="L7" s="1030" t="s">
        <v>223</v>
      </c>
      <c r="M7" s="1030"/>
      <c r="N7" s="1030"/>
      <c r="O7" s="1030"/>
    </row>
    <row r="8" spans="1:15" s="499" customFormat="1" x14ac:dyDescent="0.2">
      <c r="A8" s="1031" t="str">
        <f>I1</f>
        <v>Mr. K. P. Kafle</v>
      </c>
      <c r="B8" s="1032"/>
      <c r="C8" s="334">
        <v>43160</v>
      </c>
      <c r="D8" s="334">
        <v>43191</v>
      </c>
      <c r="E8" s="334">
        <v>43221</v>
      </c>
      <c r="F8" s="334">
        <v>43252</v>
      </c>
      <c r="G8" s="334">
        <v>43282</v>
      </c>
      <c r="H8" s="334">
        <v>43313</v>
      </c>
      <c r="I8" s="334">
        <v>43344</v>
      </c>
      <c r="J8" s="334">
        <v>43374</v>
      </c>
      <c r="K8" s="334">
        <v>43405</v>
      </c>
      <c r="L8" s="334">
        <v>43435</v>
      </c>
      <c r="M8" s="334">
        <v>43466</v>
      </c>
      <c r="N8" s="334">
        <v>43497</v>
      </c>
      <c r="O8" s="498" t="s">
        <v>117</v>
      </c>
    </row>
    <row r="9" spans="1:15" ht="15" x14ac:dyDescent="0.2">
      <c r="A9" s="500"/>
      <c r="B9" s="501" t="s">
        <v>118</v>
      </c>
      <c r="C9" s="502">
        <v>50500</v>
      </c>
      <c r="D9" s="502">
        <f t="shared" ref="D9:N22" si="0">+C9</f>
        <v>50500</v>
      </c>
      <c r="E9" s="502">
        <f t="shared" si="0"/>
        <v>50500</v>
      </c>
      <c r="F9" s="502">
        <f t="shared" si="0"/>
        <v>50500</v>
      </c>
      <c r="G9" s="502">
        <v>52000</v>
      </c>
      <c r="H9" s="502">
        <f t="shared" si="0"/>
        <v>52000</v>
      </c>
      <c r="I9" s="502">
        <f t="shared" si="0"/>
        <v>52000</v>
      </c>
      <c r="J9" s="502">
        <f t="shared" si="0"/>
        <v>52000</v>
      </c>
      <c r="K9" s="502">
        <f t="shared" si="0"/>
        <v>52000</v>
      </c>
      <c r="L9" s="502">
        <f t="shared" si="0"/>
        <v>52000</v>
      </c>
      <c r="M9" s="502">
        <f t="shared" si="0"/>
        <v>52000</v>
      </c>
      <c r="N9" s="502">
        <f t="shared" si="0"/>
        <v>52000</v>
      </c>
      <c r="O9" s="503">
        <f>SUM(C9:N9)</f>
        <v>618000</v>
      </c>
    </row>
    <row r="10" spans="1:15" ht="15" x14ac:dyDescent="0.2">
      <c r="A10" s="500"/>
      <c r="B10" s="501" t="s">
        <v>119</v>
      </c>
      <c r="C10" s="505">
        <v>0</v>
      </c>
      <c r="D10" s="505">
        <f t="shared" si="0"/>
        <v>0</v>
      </c>
      <c r="E10" s="505">
        <f t="shared" si="0"/>
        <v>0</v>
      </c>
      <c r="F10" s="505">
        <f t="shared" si="0"/>
        <v>0</v>
      </c>
      <c r="G10" s="505">
        <f t="shared" si="0"/>
        <v>0</v>
      </c>
      <c r="H10" s="505">
        <v>0</v>
      </c>
      <c r="I10" s="505">
        <f t="shared" si="0"/>
        <v>0</v>
      </c>
      <c r="J10" s="505">
        <f t="shared" si="0"/>
        <v>0</v>
      </c>
      <c r="K10" s="505">
        <f t="shared" si="0"/>
        <v>0</v>
      </c>
      <c r="L10" s="505">
        <f t="shared" si="0"/>
        <v>0</v>
      </c>
      <c r="M10" s="505">
        <f t="shared" si="0"/>
        <v>0</v>
      </c>
      <c r="N10" s="505">
        <f t="shared" si="0"/>
        <v>0</v>
      </c>
      <c r="O10" s="506">
        <f>SUM(C10:N10)</f>
        <v>0</v>
      </c>
    </row>
    <row r="11" spans="1:15" ht="15" x14ac:dyDescent="0.2">
      <c r="A11" s="500"/>
      <c r="B11" s="501" t="s">
        <v>120</v>
      </c>
      <c r="C11" s="505">
        <v>2525</v>
      </c>
      <c r="D11" s="505">
        <v>3535</v>
      </c>
      <c r="E11" s="505">
        <f>+D11</f>
        <v>3535</v>
      </c>
      <c r="F11" s="505">
        <f>+E11</f>
        <v>3535</v>
      </c>
      <c r="G11" s="505">
        <v>3640</v>
      </c>
      <c r="H11" s="505">
        <v>3640</v>
      </c>
      <c r="I11" s="505">
        <v>3640</v>
      </c>
      <c r="J11" s="505">
        <v>3640</v>
      </c>
      <c r="K11" s="505">
        <v>3640</v>
      </c>
      <c r="L11" s="505">
        <v>3640</v>
      </c>
      <c r="M11" s="505">
        <v>3640</v>
      </c>
      <c r="N11" s="505">
        <v>3640</v>
      </c>
      <c r="O11" s="506">
        <f t="shared" ref="O11:O36" si="1">SUM(C11:N11)</f>
        <v>42250</v>
      </c>
    </row>
    <row r="12" spans="1:15" ht="15" hidden="1" x14ac:dyDescent="0.2">
      <c r="A12" s="500"/>
      <c r="B12" s="501" t="s">
        <v>121</v>
      </c>
      <c r="C12" s="505">
        <v>0</v>
      </c>
      <c r="D12" s="505">
        <f t="shared" si="0"/>
        <v>0</v>
      </c>
      <c r="E12" s="505">
        <f t="shared" si="0"/>
        <v>0</v>
      </c>
      <c r="F12" s="505">
        <f t="shared" si="0"/>
        <v>0</v>
      </c>
      <c r="G12" s="505">
        <f t="shared" si="0"/>
        <v>0</v>
      </c>
      <c r="H12" s="505">
        <v>0</v>
      </c>
      <c r="I12" s="505">
        <f t="shared" si="0"/>
        <v>0</v>
      </c>
      <c r="J12" s="505">
        <f t="shared" si="0"/>
        <v>0</v>
      </c>
      <c r="K12" s="505">
        <f t="shared" si="0"/>
        <v>0</v>
      </c>
      <c r="L12" s="505">
        <f t="shared" si="0"/>
        <v>0</v>
      </c>
      <c r="M12" s="505">
        <f t="shared" si="0"/>
        <v>0</v>
      </c>
      <c r="N12" s="505">
        <f t="shared" si="0"/>
        <v>0</v>
      </c>
      <c r="O12" s="506">
        <f t="shared" si="1"/>
        <v>0</v>
      </c>
    </row>
    <row r="13" spans="1:15" ht="15" hidden="1" x14ac:dyDescent="0.2">
      <c r="A13" s="500"/>
      <c r="B13" s="501" t="s">
        <v>122</v>
      </c>
      <c r="C13" s="505">
        <v>0</v>
      </c>
      <c r="D13" s="505">
        <f t="shared" si="0"/>
        <v>0</v>
      </c>
      <c r="E13" s="505">
        <f t="shared" si="0"/>
        <v>0</v>
      </c>
      <c r="F13" s="505">
        <f t="shared" si="0"/>
        <v>0</v>
      </c>
      <c r="G13" s="505">
        <f t="shared" si="0"/>
        <v>0</v>
      </c>
      <c r="H13" s="505">
        <v>0</v>
      </c>
      <c r="I13" s="505">
        <f t="shared" si="0"/>
        <v>0</v>
      </c>
      <c r="J13" s="505">
        <f t="shared" si="0"/>
        <v>0</v>
      </c>
      <c r="K13" s="505">
        <f t="shared" si="0"/>
        <v>0</v>
      </c>
      <c r="L13" s="505">
        <f t="shared" si="0"/>
        <v>0</v>
      </c>
      <c r="M13" s="505">
        <f t="shared" si="0"/>
        <v>0</v>
      </c>
      <c r="N13" s="505">
        <f t="shared" si="0"/>
        <v>0</v>
      </c>
      <c r="O13" s="506">
        <f t="shared" si="1"/>
        <v>0</v>
      </c>
    </row>
    <row r="14" spans="1:15" ht="15" x14ac:dyDescent="0.2">
      <c r="A14" s="500"/>
      <c r="B14" s="501" t="s">
        <v>123</v>
      </c>
      <c r="C14" s="505">
        <v>3780</v>
      </c>
      <c r="D14" s="505">
        <v>3852</v>
      </c>
      <c r="E14" s="505">
        <f t="shared" si="0"/>
        <v>3852</v>
      </c>
      <c r="F14" s="505">
        <f t="shared" si="0"/>
        <v>3852</v>
      </c>
      <c r="G14" s="505">
        <f t="shared" si="0"/>
        <v>3852</v>
      </c>
      <c r="H14" s="505">
        <f t="shared" si="0"/>
        <v>3852</v>
      </c>
      <c r="I14" s="505">
        <f t="shared" si="0"/>
        <v>3852</v>
      </c>
      <c r="J14" s="505">
        <v>3924</v>
      </c>
      <c r="K14" s="505">
        <f t="shared" si="0"/>
        <v>3924</v>
      </c>
      <c r="L14" s="505">
        <f t="shared" si="0"/>
        <v>3924</v>
      </c>
      <c r="M14" s="505">
        <f t="shared" si="0"/>
        <v>3924</v>
      </c>
      <c r="N14" s="505">
        <f t="shared" si="0"/>
        <v>3924</v>
      </c>
      <c r="O14" s="506">
        <f t="shared" si="1"/>
        <v>46512</v>
      </c>
    </row>
    <row r="15" spans="1:15" ht="15" hidden="1" x14ac:dyDescent="0.2">
      <c r="A15" s="500"/>
      <c r="B15" s="501" t="s">
        <v>124</v>
      </c>
      <c r="C15" s="505">
        <v>0</v>
      </c>
      <c r="D15" s="505">
        <f t="shared" si="0"/>
        <v>0</v>
      </c>
      <c r="E15" s="505">
        <f t="shared" si="0"/>
        <v>0</v>
      </c>
      <c r="F15" s="505">
        <f t="shared" si="0"/>
        <v>0</v>
      </c>
      <c r="G15" s="505">
        <f t="shared" si="0"/>
        <v>0</v>
      </c>
      <c r="H15" s="505">
        <v>0</v>
      </c>
      <c r="I15" s="505">
        <f t="shared" si="0"/>
        <v>0</v>
      </c>
      <c r="J15" s="505">
        <f t="shared" si="0"/>
        <v>0</v>
      </c>
      <c r="K15" s="505">
        <f t="shared" si="0"/>
        <v>0</v>
      </c>
      <c r="L15" s="505">
        <f t="shared" si="0"/>
        <v>0</v>
      </c>
      <c r="M15" s="505">
        <f t="shared" si="0"/>
        <v>0</v>
      </c>
      <c r="N15" s="505">
        <f t="shared" si="0"/>
        <v>0</v>
      </c>
      <c r="O15" s="506">
        <f t="shared" si="1"/>
        <v>0</v>
      </c>
    </row>
    <row r="16" spans="1:15" ht="15" hidden="1" x14ac:dyDescent="0.2">
      <c r="A16" s="500"/>
      <c r="B16" s="501" t="s">
        <v>125</v>
      </c>
      <c r="C16" s="505">
        <v>0</v>
      </c>
      <c r="D16" s="505">
        <f t="shared" si="0"/>
        <v>0</v>
      </c>
      <c r="E16" s="505">
        <f t="shared" si="0"/>
        <v>0</v>
      </c>
      <c r="F16" s="505">
        <f t="shared" si="0"/>
        <v>0</v>
      </c>
      <c r="G16" s="505">
        <f t="shared" si="0"/>
        <v>0</v>
      </c>
      <c r="H16" s="505">
        <v>0</v>
      </c>
      <c r="I16" s="505">
        <f t="shared" si="0"/>
        <v>0</v>
      </c>
      <c r="J16" s="505">
        <f t="shared" si="0"/>
        <v>0</v>
      </c>
      <c r="K16" s="505">
        <f t="shared" si="0"/>
        <v>0</v>
      </c>
      <c r="L16" s="505">
        <f t="shared" si="0"/>
        <v>0</v>
      </c>
      <c r="M16" s="505">
        <f t="shared" si="0"/>
        <v>0</v>
      </c>
      <c r="N16" s="505">
        <f t="shared" si="0"/>
        <v>0</v>
      </c>
      <c r="O16" s="506">
        <f t="shared" si="1"/>
        <v>0</v>
      </c>
    </row>
    <row r="17" spans="1:16" ht="15" hidden="1" x14ac:dyDescent="0.2">
      <c r="A17" s="500"/>
      <c r="B17" s="501" t="s">
        <v>126</v>
      </c>
      <c r="C17" s="505">
        <v>0</v>
      </c>
      <c r="D17" s="505">
        <f t="shared" si="0"/>
        <v>0</v>
      </c>
      <c r="E17" s="505">
        <f t="shared" si="0"/>
        <v>0</v>
      </c>
      <c r="F17" s="505">
        <f t="shared" si="0"/>
        <v>0</v>
      </c>
      <c r="G17" s="505">
        <f t="shared" si="0"/>
        <v>0</v>
      </c>
      <c r="H17" s="505">
        <v>0</v>
      </c>
      <c r="I17" s="505">
        <f t="shared" si="0"/>
        <v>0</v>
      </c>
      <c r="J17" s="505">
        <f t="shared" si="0"/>
        <v>0</v>
      </c>
      <c r="K17" s="505">
        <f t="shared" si="0"/>
        <v>0</v>
      </c>
      <c r="L17" s="505">
        <f t="shared" si="0"/>
        <v>0</v>
      </c>
      <c r="M17" s="505">
        <f t="shared" si="0"/>
        <v>0</v>
      </c>
      <c r="N17" s="505">
        <f t="shared" si="0"/>
        <v>0</v>
      </c>
      <c r="O17" s="506">
        <f t="shared" si="1"/>
        <v>0</v>
      </c>
    </row>
    <row r="18" spans="1:16" ht="15" x14ac:dyDescent="0.2">
      <c r="A18" s="500"/>
      <c r="B18" s="501" t="s">
        <v>127</v>
      </c>
      <c r="C18" s="505">
        <v>0</v>
      </c>
      <c r="D18" s="505">
        <f t="shared" si="0"/>
        <v>0</v>
      </c>
      <c r="E18" s="505">
        <f t="shared" si="0"/>
        <v>0</v>
      </c>
      <c r="F18" s="505">
        <f t="shared" si="0"/>
        <v>0</v>
      </c>
      <c r="G18" s="505">
        <f t="shared" si="0"/>
        <v>0</v>
      </c>
      <c r="H18" s="505">
        <v>0</v>
      </c>
      <c r="I18" s="505">
        <f t="shared" si="0"/>
        <v>0</v>
      </c>
      <c r="J18" s="505">
        <f t="shared" si="0"/>
        <v>0</v>
      </c>
      <c r="K18" s="505">
        <f t="shared" si="0"/>
        <v>0</v>
      </c>
      <c r="L18" s="505">
        <f t="shared" si="0"/>
        <v>0</v>
      </c>
      <c r="M18" s="505">
        <f t="shared" si="0"/>
        <v>0</v>
      </c>
      <c r="N18" s="505">
        <f t="shared" si="0"/>
        <v>0</v>
      </c>
      <c r="O18" s="506">
        <f t="shared" si="1"/>
        <v>0</v>
      </c>
    </row>
    <row r="19" spans="1:16" ht="15" x14ac:dyDescent="0.2">
      <c r="A19" s="500"/>
      <c r="B19" s="501" t="s">
        <v>128</v>
      </c>
      <c r="C19" s="505">
        <v>12120</v>
      </c>
      <c r="D19" s="505">
        <f t="shared" si="0"/>
        <v>12120</v>
      </c>
      <c r="E19" s="505">
        <f t="shared" si="0"/>
        <v>12120</v>
      </c>
      <c r="F19" s="505">
        <f t="shared" si="0"/>
        <v>12120</v>
      </c>
      <c r="G19" s="505">
        <v>12480</v>
      </c>
      <c r="H19" s="505">
        <v>12480</v>
      </c>
      <c r="I19" s="505">
        <v>12480</v>
      </c>
      <c r="J19" s="505">
        <v>12480</v>
      </c>
      <c r="K19" s="505">
        <v>12480</v>
      </c>
      <c r="L19" s="505">
        <v>12480</v>
      </c>
      <c r="M19" s="505">
        <v>12480</v>
      </c>
      <c r="N19" s="505">
        <v>12480</v>
      </c>
      <c r="O19" s="506">
        <f t="shared" si="1"/>
        <v>148320</v>
      </c>
    </row>
    <row r="20" spans="1:16" ht="15" customHeight="1" x14ac:dyDescent="0.2">
      <c r="A20" s="500"/>
      <c r="B20" s="501" t="s">
        <v>129</v>
      </c>
      <c r="C20" s="505">
        <v>0</v>
      </c>
      <c r="D20" s="505">
        <f t="shared" si="0"/>
        <v>0</v>
      </c>
      <c r="E20" s="505">
        <f t="shared" si="0"/>
        <v>0</v>
      </c>
      <c r="F20" s="505">
        <f t="shared" si="0"/>
        <v>0</v>
      </c>
      <c r="G20" s="505">
        <f t="shared" si="0"/>
        <v>0</v>
      </c>
      <c r="H20" s="505">
        <v>0</v>
      </c>
      <c r="I20" s="505">
        <f t="shared" si="0"/>
        <v>0</v>
      </c>
      <c r="J20" s="505">
        <f t="shared" si="0"/>
        <v>0</v>
      </c>
      <c r="K20" s="505">
        <f t="shared" si="0"/>
        <v>0</v>
      </c>
      <c r="L20" s="505">
        <f t="shared" si="0"/>
        <v>0</v>
      </c>
      <c r="M20" s="505">
        <f t="shared" si="0"/>
        <v>0</v>
      </c>
      <c r="N20" s="505">
        <f t="shared" si="0"/>
        <v>0</v>
      </c>
      <c r="O20" s="506">
        <f t="shared" si="1"/>
        <v>0</v>
      </c>
    </row>
    <row r="21" spans="1:16" ht="15" hidden="1" customHeight="1" x14ac:dyDescent="0.2">
      <c r="A21" s="1033" t="s">
        <v>130</v>
      </c>
      <c r="B21" s="507" t="s">
        <v>131</v>
      </c>
      <c r="C21" s="505">
        <v>0</v>
      </c>
      <c r="D21" s="505">
        <f t="shared" si="0"/>
        <v>0</v>
      </c>
      <c r="E21" s="505">
        <f t="shared" si="0"/>
        <v>0</v>
      </c>
      <c r="F21" s="505">
        <f t="shared" si="0"/>
        <v>0</v>
      </c>
      <c r="G21" s="505">
        <f t="shared" si="0"/>
        <v>0</v>
      </c>
      <c r="H21" s="505">
        <v>0</v>
      </c>
      <c r="I21" s="505">
        <f t="shared" si="0"/>
        <v>0</v>
      </c>
      <c r="J21" s="505">
        <f t="shared" si="0"/>
        <v>0</v>
      </c>
      <c r="K21" s="505">
        <f t="shared" si="0"/>
        <v>0</v>
      </c>
      <c r="L21" s="505">
        <f t="shared" si="0"/>
        <v>0</v>
      </c>
      <c r="M21" s="505">
        <f t="shared" si="0"/>
        <v>0</v>
      </c>
      <c r="N21" s="505">
        <f t="shared" si="0"/>
        <v>0</v>
      </c>
      <c r="O21" s="506">
        <f t="shared" si="1"/>
        <v>0</v>
      </c>
    </row>
    <row r="22" spans="1:16" ht="15" customHeight="1" x14ac:dyDescent="0.2">
      <c r="A22" s="1034"/>
      <c r="B22" s="507" t="s">
        <v>132</v>
      </c>
      <c r="C22" s="505">
        <v>0</v>
      </c>
      <c r="D22" s="505">
        <f t="shared" si="0"/>
        <v>0</v>
      </c>
      <c r="E22" s="505">
        <f t="shared" si="0"/>
        <v>0</v>
      </c>
      <c r="F22" s="505">
        <f t="shared" si="0"/>
        <v>0</v>
      </c>
      <c r="G22" s="505">
        <f t="shared" si="0"/>
        <v>0</v>
      </c>
      <c r="H22" s="505">
        <v>0</v>
      </c>
      <c r="I22" s="505">
        <f t="shared" si="0"/>
        <v>0</v>
      </c>
      <c r="J22" s="505">
        <v>6908</v>
      </c>
      <c r="K22" s="505">
        <v>0</v>
      </c>
      <c r="L22" s="505">
        <f t="shared" si="0"/>
        <v>0</v>
      </c>
      <c r="M22" s="505">
        <f t="shared" si="0"/>
        <v>0</v>
      </c>
      <c r="N22" s="505">
        <f t="shared" si="0"/>
        <v>0</v>
      </c>
      <c r="O22" s="506">
        <f t="shared" si="1"/>
        <v>6908</v>
      </c>
    </row>
    <row r="23" spans="1:16" ht="15" hidden="1" customHeight="1" x14ac:dyDescent="0.2">
      <c r="A23" s="1034"/>
      <c r="B23" s="507" t="s">
        <v>133</v>
      </c>
      <c r="C23" s="508">
        <v>0</v>
      </c>
      <c r="D23" s="508">
        <v>0</v>
      </c>
      <c r="E23" s="508">
        <v>0</v>
      </c>
      <c r="F23" s="508">
        <v>0</v>
      </c>
      <c r="G23" s="508">
        <v>0</v>
      </c>
      <c r="H23" s="508">
        <v>0</v>
      </c>
      <c r="I23" s="508">
        <v>0</v>
      </c>
      <c r="J23" s="508">
        <v>0</v>
      </c>
      <c r="K23" s="508">
        <v>0</v>
      </c>
      <c r="L23" s="508">
        <v>0</v>
      </c>
      <c r="M23" s="508">
        <v>0</v>
      </c>
      <c r="N23" s="508">
        <v>0</v>
      </c>
      <c r="O23" s="506">
        <f t="shared" si="1"/>
        <v>0</v>
      </c>
    </row>
    <row r="24" spans="1:16" ht="15" hidden="1" customHeight="1" x14ac:dyDescent="0.2">
      <c r="A24" s="1034"/>
      <c r="B24" s="507" t="s">
        <v>134</v>
      </c>
      <c r="C24" s="508">
        <v>0</v>
      </c>
      <c r="D24" s="508">
        <v>0</v>
      </c>
      <c r="E24" s="508">
        <v>0</v>
      </c>
      <c r="F24" s="508">
        <v>0</v>
      </c>
      <c r="G24" s="508">
        <v>0</v>
      </c>
      <c r="H24" s="508">
        <v>0</v>
      </c>
      <c r="I24" s="508">
        <v>0</v>
      </c>
      <c r="J24" s="508">
        <v>0</v>
      </c>
      <c r="K24" s="508">
        <v>0</v>
      </c>
      <c r="L24" s="508">
        <v>0</v>
      </c>
      <c r="M24" s="508">
        <v>0</v>
      </c>
      <c r="N24" s="508">
        <v>0</v>
      </c>
      <c r="O24" s="506">
        <f t="shared" si="1"/>
        <v>0</v>
      </c>
    </row>
    <row r="25" spans="1:16" ht="15" hidden="1" customHeight="1" x14ac:dyDescent="0.2">
      <c r="A25" s="1034"/>
      <c r="B25" s="507" t="s">
        <v>135</v>
      </c>
      <c r="C25" s="508">
        <v>0</v>
      </c>
      <c r="D25" s="508">
        <v>0</v>
      </c>
      <c r="E25" s="508">
        <v>0</v>
      </c>
      <c r="F25" s="508">
        <v>0</v>
      </c>
      <c r="G25" s="508">
        <v>0</v>
      </c>
      <c r="H25" s="508">
        <v>0</v>
      </c>
      <c r="I25" s="508">
        <v>0</v>
      </c>
      <c r="J25" s="508">
        <v>0</v>
      </c>
      <c r="K25" s="508">
        <v>0</v>
      </c>
      <c r="L25" s="508">
        <v>0</v>
      </c>
      <c r="M25" s="508">
        <v>0</v>
      </c>
      <c r="N25" s="508">
        <v>0</v>
      </c>
      <c r="O25" s="506">
        <f t="shared" si="1"/>
        <v>0</v>
      </c>
    </row>
    <row r="26" spans="1:16" ht="15" hidden="1" customHeight="1" x14ac:dyDescent="0.2">
      <c r="A26" s="1034"/>
      <c r="B26" s="507" t="s">
        <v>136</v>
      </c>
      <c r="C26" s="508">
        <v>0</v>
      </c>
      <c r="D26" s="508">
        <v>0</v>
      </c>
      <c r="E26" s="508">
        <v>0</v>
      </c>
      <c r="F26" s="508">
        <v>0</v>
      </c>
      <c r="G26" s="508">
        <v>0</v>
      </c>
      <c r="H26" s="508">
        <v>0</v>
      </c>
      <c r="I26" s="508">
        <v>0</v>
      </c>
      <c r="J26" s="508">
        <v>0</v>
      </c>
      <c r="K26" s="508">
        <v>0</v>
      </c>
      <c r="L26" s="508">
        <v>0</v>
      </c>
      <c r="M26" s="508">
        <v>0</v>
      </c>
      <c r="N26" s="508">
        <v>0</v>
      </c>
      <c r="O26" s="506">
        <f t="shared" si="1"/>
        <v>0</v>
      </c>
    </row>
    <row r="27" spans="1:16" ht="15" hidden="1" customHeight="1" x14ac:dyDescent="0.2">
      <c r="A27" s="1034"/>
      <c r="B27" s="507" t="s">
        <v>137</v>
      </c>
      <c r="C27" s="508">
        <v>0</v>
      </c>
      <c r="D27" s="508">
        <v>0</v>
      </c>
      <c r="E27" s="508">
        <v>0</v>
      </c>
      <c r="F27" s="508">
        <v>0</v>
      </c>
      <c r="G27" s="508">
        <v>0</v>
      </c>
      <c r="H27" s="508">
        <v>0</v>
      </c>
      <c r="I27" s="508">
        <v>0</v>
      </c>
      <c r="J27" s="508">
        <v>0</v>
      </c>
      <c r="K27" s="508">
        <v>0</v>
      </c>
      <c r="L27" s="508">
        <v>0</v>
      </c>
      <c r="M27" s="508">
        <v>0</v>
      </c>
      <c r="N27" s="508">
        <v>0</v>
      </c>
      <c r="O27" s="506">
        <f t="shared" si="1"/>
        <v>0</v>
      </c>
    </row>
    <row r="28" spans="1:16" ht="15" hidden="1" customHeight="1" x14ac:dyDescent="0.2">
      <c r="A28" s="1034"/>
      <c r="B28" s="507" t="s">
        <v>138</v>
      </c>
      <c r="C28" s="508">
        <v>0</v>
      </c>
      <c r="D28" s="508">
        <v>0</v>
      </c>
      <c r="E28" s="508">
        <v>0</v>
      </c>
      <c r="F28" s="508">
        <v>0</v>
      </c>
      <c r="G28" s="508">
        <v>0</v>
      </c>
      <c r="H28" s="508">
        <v>0</v>
      </c>
      <c r="I28" s="508">
        <v>0</v>
      </c>
      <c r="J28" s="508">
        <v>0</v>
      </c>
      <c r="K28" s="508">
        <v>0</v>
      </c>
      <c r="L28" s="508">
        <v>0</v>
      </c>
      <c r="M28" s="508">
        <v>0</v>
      </c>
      <c r="N28" s="508">
        <v>0</v>
      </c>
      <c r="O28" s="506">
        <f t="shared" si="1"/>
        <v>0</v>
      </c>
    </row>
    <row r="29" spans="1:16" ht="15" hidden="1" customHeight="1" x14ac:dyDescent="0.2">
      <c r="A29" s="1034"/>
      <c r="B29" s="507" t="s">
        <v>139</v>
      </c>
      <c r="C29" s="508">
        <v>0</v>
      </c>
      <c r="D29" s="508">
        <v>0</v>
      </c>
      <c r="E29" s="508">
        <v>0</v>
      </c>
      <c r="F29" s="508">
        <v>0</v>
      </c>
      <c r="G29" s="508">
        <v>0</v>
      </c>
      <c r="H29" s="508">
        <v>0</v>
      </c>
      <c r="I29" s="508">
        <v>0</v>
      </c>
      <c r="J29" s="508">
        <v>0</v>
      </c>
      <c r="K29" s="508">
        <v>0</v>
      </c>
      <c r="L29" s="508">
        <v>0</v>
      </c>
      <c r="M29" s="508">
        <v>0</v>
      </c>
      <c r="N29" s="508">
        <v>0</v>
      </c>
      <c r="O29" s="506">
        <f t="shared" si="1"/>
        <v>0</v>
      </c>
    </row>
    <row r="30" spans="1:16" ht="15" hidden="1" customHeight="1" x14ac:dyDescent="0.2">
      <c r="A30" s="1034"/>
      <c r="B30" s="507" t="s">
        <v>140</v>
      </c>
      <c r="C30" s="508">
        <v>0</v>
      </c>
      <c r="D30" s="508">
        <v>0</v>
      </c>
      <c r="E30" s="508">
        <v>0</v>
      </c>
      <c r="F30" s="508">
        <v>0</v>
      </c>
      <c r="G30" s="508">
        <v>0</v>
      </c>
      <c r="H30" s="508">
        <v>0</v>
      </c>
      <c r="I30" s="508">
        <v>0</v>
      </c>
      <c r="J30" s="508">
        <v>0</v>
      </c>
      <c r="K30" s="508">
        <v>0</v>
      </c>
      <c r="L30" s="508">
        <v>0</v>
      </c>
      <c r="M30" s="508">
        <v>0</v>
      </c>
      <c r="N30" s="508">
        <v>0</v>
      </c>
      <c r="O30" s="506">
        <f t="shared" si="1"/>
        <v>0</v>
      </c>
    </row>
    <row r="31" spans="1:16" ht="15" customHeight="1" x14ac:dyDescent="0.2">
      <c r="A31" s="1034"/>
      <c r="B31" s="507" t="s">
        <v>1170</v>
      </c>
      <c r="C31" s="509">
        <v>0</v>
      </c>
      <c r="D31" s="509">
        <v>0</v>
      </c>
      <c r="E31" s="509">
        <v>0</v>
      </c>
      <c r="F31" s="509">
        <v>0</v>
      </c>
      <c r="G31" s="509">
        <v>0</v>
      </c>
      <c r="H31" s="509">
        <v>0</v>
      </c>
      <c r="I31" s="509">
        <v>0</v>
      </c>
      <c r="J31" s="509">
        <v>0</v>
      </c>
      <c r="K31" s="509">
        <v>0</v>
      </c>
      <c r="L31" s="509">
        <v>0</v>
      </c>
      <c r="M31" s="509">
        <v>0</v>
      </c>
      <c r="N31" s="509">
        <v>0</v>
      </c>
      <c r="O31" s="510">
        <f t="shared" si="1"/>
        <v>0</v>
      </c>
      <c r="P31" s="490"/>
    </row>
    <row r="32" spans="1:16" ht="15" customHeight="1" x14ac:dyDescent="0.2">
      <c r="A32" s="1034"/>
      <c r="B32" s="511" t="s">
        <v>142</v>
      </c>
      <c r="C32" s="512">
        <v>0</v>
      </c>
      <c r="D32" s="512">
        <v>688026</v>
      </c>
      <c r="E32" s="512">
        <v>0</v>
      </c>
      <c r="F32" s="512">
        <v>0</v>
      </c>
      <c r="G32" s="512">
        <v>0</v>
      </c>
      <c r="H32" s="512">
        <v>0</v>
      </c>
      <c r="I32" s="512">
        <v>0</v>
      </c>
      <c r="J32" s="512">
        <v>0</v>
      </c>
      <c r="K32" s="512">
        <v>0</v>
      </c>
      <c r="L32" s="512">
        <v>0</v>
      </c>
      <c r="M32" s="512">
        <v>0</v>
      </c>
      <c r="N32" s="512">
        <v>0</v>
      </c>
      <c r="O32" s="506">
        <f t="shared" si="1"/>
        <v>688026</v>
      </c>
    </row>
    <row r="33" spans="1:17" ht="15" hidden="1" customHeight="1" x14ac:dyDescent="0.2">
      <c r="A33" s="1035"/>
      <c r="B33" s="507" t="s">
        <v>226</v>
      </c>
      <c r="C33" s="512">
        <v>0</v>
      </c>
      <c r="D33" s="512">
        <v>0</v>
      </c>
      <c r="E33" s="512">
        <v>0</v>
      </c>
      <c r="F33" s="512">
        <v>0</v>
      </c>
      <c r="G33" s="512">
        <v>0</v>
      </c>
      <c r="H33" s="512">
        <v>0</v>
      </c>
      <c r="I33" s="512">
        <v>0</v>
      </c>
      <c r="J33" s="512">
        <v>0</v>
      </c>
      <c r="K33" s="512">
        <v>0</v>
      </c>
      <c r="L33" s="512">
        <v>0</v>
      </c>
      <c r="M33" s="512">
        <v>0</v>
      </c>
      <c r="N33" s="512">
        <v>0</v>
      </c>
      <c r="O33" s="506">
        <f t="shared" si="1"/>
        <v>0</v>
      </c>
    </row>
    <row r="34" spans="1:17" ht="15" customHeight="1" x14ac:dyDescent="0.2">
      <c r="A34" s="1036" t="s">
        <v>143</v>
      </c>
      <c r="B34" s="1037"/>
      <c r="C34" s="512">
        <v>0</v>
      </c>
      <c r="D34" s="512">
        <v>0</v>
      </c>
      <c r="E34" s="512">
        <v>0</v>
      </c>
      <c r="F34" s="512">
        <v>0</v>
      </c>
      <c r="G34" s="512">
        <v>0</v>
      </c>
      <c r="H34" s="512">
        <v>0</v>
      </c>
      <c r="I34" s="512">
        <v>0</v>
      </c>
      <c r="J34" s="512">
        <v>0</v>
      </c>
      <c r="K34" s="512">
        <v>0</v>
      </c>
      <c r="L34" s="512">
        <v>0</v>
      </c>
      <c r="M34" s="512">
        <v>0</v>
      </c>
      <c r="N34" s="512">
        <v>0</v>
      </c>
      <c r="O34" s="506">
        <f t="shared" si="1"/>
        <v>0</v>
      </c>
    </row>
    <row r="35" spans="1:17" ht="15" customHeight="1" x14ac:dyDescent="0.2">
      <c r="A35" s="1036" t="s">
        <v>145</v>
      </c>
      <c r="B35" s="1037"/>
      <c r="C35" s="512">
        <v>0</v>
      </c>
      <c r="D35" s="512">
        <v>216</v>
      </c>
      <c r="E35" s="512">
        <v>0</v>
      </c>
      <c r="F35" s="512">
        <v>0</v>
      </c>
      <c r="G35" s="512">
        <v>0</v>
      </c>
      <c r="H35" s="512">
        <v>0</v>
      </c>
      <c r="I35" s="512">
        <v>0</v>
      </c>
      <c r="J35" s="512">
        <v>216</v>
      </c>
      <c r="K35" s="512">
        <v>0</v>
      </c>
      <c r="L35" s="512">
        <v>0</v>
      </c>
      <c r="M35" s="512">
        <v>0</v>
      </c>
      <c r="N35" s="512">
        <v>0</v>
      </c>
      <c r="O35" s="506">
        <f t="shared" si="1"/>
        <v>432</v>
      </c>
    </row>
    <row r="36" spans="1:17" ht="15" customHeight="1" x14ac:dyDescent="0.2">
      <c r="A36" s="1036" t="s">
        <v>146</v>
      </c>
      <c r="B36" s="1037"/>
      <c r="C36" s="512">
        <v>0</v>
      </c>
      <c r="D36" s="512">
        <v>3030</v>
      </c>
      <c r="E36" s="512">
        <v>0</v>
      </c>
      <c r="F36" s="512">
        <v>0</v>
      </c>
      <c r="G36" s="512">
        <v>0</v>
      </c>
      <c r="H36" s="512">
        <v>0</v>
      </c>
      <c r="I36" s="512">
        <v>0</v>
      </c>
      <c r="J36" s="512">
        <v>3120</v>
      </c>
      <c r="K36" s="512">
        <v>0</v>
      </c>
      <c r="L36" s="512">
        <v>0</v>
      </c>
      <c r="M36" s="512">
        <v>0</v>
      </c>
      <c r="N36" s="512">
        <v>0</v>
      </c>
      <c r="O36" s="506">
        <f t="shared" si="1"/>
        <v>6150</v>
      </c>
    </row>
    <row r="37" spans="1:17" ht="15" customHeight="1" x14ac:dyDescent="0.2">
      <c r="A37" s="513"/>
      <c r="B37" s="514" t="s">
        <v>147</v>
      </c>
      <c r="C37" s="515">
        <f t="shared" ref="C37:N37" si="2">SUM(C9:C36)</f>
        <v>68925</v>
      </c>
      <c r="D37" s="515">
        <f>SUM(D9:D36)</f>
        <v>761279</v>
      </c>
      <c r="E37" s="515">
        <f t="shared" si="2"/>
        <v>70007</v>
      </c>
      <c r="F37" s="515">
        <f t="shared" si="2"/>
        <v>70007</v>
      </c>
      <c r="G37" s="515">
        <f t="shared" si="2"/>
        <v>71972</v>
      </c>
      <c r="H37" s="515">
        <f t="shared" si="2"/>
        <v>71972</v>
      </c>
      <c r="I37" s="515">
        <f t="shared" si="2"/>
        <v>71972</v>
      </c>
      <c r="J37" s="515">
        <f t="shared" si="2"/>
        <v>82288</v>
      </c>
      <c r="K37" s="515">
        <f t="shared" si="2"/>
        <v>72044</v>
      </c>
      <c r="L37" s="515">
        <f t="shared" si="2"/>
        <v>72044</v>
      </c>
      <c r="M37" s="515">
        <f t="shared" si="2"/>
        <v>72044</v>
      </c>
      <c r="N37" s="515">
        <f t="shared" si="2"/>
        <v>72044</v>
      </c>
      <c r="O37" s="516">
        <f>SUM(C37:N37)</f>
        <v>1556598</v>
      </c>
    </row>
    <row r="38" spans="1:17" ht="15" customHeight="1" x14ac:dyDescent="0.2">
      <c r="A38" s="995" t="s">
        <v>148</v>
      </c>
      <c r="B38" s="517" t="s">
        <v>149</v>
      </c>
      <c r="C38" s="512">
        <v>8500</v>
      </c>
      <c r="D38" s="512">
        <v>77803</v>
      </c>
      <c r="E38" s="512">
        <v>8000</v>
      </c>
      <c r="F38" s="512">
        <v>8000</v>
      </c>
      <c r="G38" s="512">
        <v>8000</v>
      </c>
      <c r="H38" s="512">
        <v>8000</v>
      </c>
      <c r="I38" s="512">
        <v>8000</v>
      </c>
      <c r="J38" s="512">
        <v>8000</v>
      </c>
      <c r="K38" s="512">
        <v>15000</v>
      </c>
      <c r="L38" s="512">
        <v>15328</v>
      </c>
      <c r="M38" s="512">
        <v>51730</v>
      </c>
      <c r="N38" s="512">
        <v>0</v>
      </c>
      <c r="O38" s="506">
        <f>SUM(C38:N38)</f>
        <v>216361</v>
      </c>
      <c r="P38" s="518"/>
    </row>
    <row r="39" spans="1:17" ht="15" x14ac:dyDescent="0.2">
      <c r="A39" s="996"/>
      <c r="B39" s="517" t="s">
        <v>150</v>
      </c>
      <c r="C39" s="512">
        <v>0</v>
      </c>
      <c r="D39" s="512">
        <v>0</v>
      </c>
      <c r="E39" s="512">
        <v>0</v>
      </c>
      <c r="F39" s="512">
        <v>0</v>
      </c>
      <c r="G39" s="512">
        <v>0</v>
      </c>
      <c r="H39" s="512">
        <v>0</v>
      </c>
      <c r="I39" s="512">
        <v>0</v>
      </c>
      <c r="J39" s="512">
        <v>0</v>
      </c>
      <c r="K39" s="512">
        <v>0</v>
      </c>
      <c r="L39" s="512">
        <v>0</v>
      </c>
      <c r="M39" s="512">
        <v>0</v>
      </c>
      <c r="N39" s="512">
        <v>0</v>
      </c>
      <c r="O39" s="506">
        <f>SUM(C39:N39)</f>
        <v>0</v>
      </c>
      <c r="Q39" s="504">
        <f>+Q37+Q38</f>
        <v>0</v>
      </c>
    </row>
    <row r="40" spans="1:17" ht="15" x14ac:dyDescent="0.2">
      <c r="A40" s="996"/>
      <c r="B40" s="517" t="s">
        <v>151</v>
      </c>
      <c r="C40" s="512">
        <v>30</v>
      </c>
      <c r="D40" s="512">
        <v>30</v>
      </c>
      <c r="E40" s="512">
        <v>30</v>
      </c>
      <c r="F40" s="512">
        <v>30</v>
      </c>
      <c r="G40" s="512">
        <v>30</v>
      </c>
      <c r="H40" s="512">
        <v>30</v>
      </c>
      <c r="I40" s="512">
        <v>30</v>
      </c>
      <c r="J40" s="512">
        <v>30</v>
      </c>
      <c r="K40" s="512">
        <v>30</v>
      </c>
      <c r="L40" s="512">
        <v>30</v>
      </c>
      <c r="M40" s="512">
        <v>30</v>
      </c>
      <c r="N40" s="512">
        <v>30</v>
      </c>
      <c r="O40" s="506">
        <f t="shared" ref="O40:O50" si="3">SUM(C40:N40)</f>
        <v>360</v>
      </c>
    </row>
    <row r="41" spans="1:17" ht="15" x14ac:dyDescent="0.2">
      <c r="A41" s="996"/>
      <c r="B41" s="517" t="s">
        <v>152</v>
      </c>
      <c r="C41" s="512">
        <v>0</v>
      </c>
      <c r="D41" s="512">
        <v>0</v>
      </c>
      <c r="E41" s="512">
        <v>0</v>
      </c>
      <c r="F41" s="512">
        <v>0</v>
      </c>
      <c r="G41" s="512">
        <v>0</v>
      </c>
      <c r="H41" s="512">
        <v>0</v>
      </c>
      <c r="I41" s="512">
        <v>0</v>
      </c>
      <c r="J41" s="512">
        <v>0</v>
      </c>
      <c r="K41" s="512">
        <v>0</v>
      </c>
      <c r="L41" s="512">
        <v>0</v>
      </c>
      <c r="M41" s="512">
        <v>0</v>
      </c>
      <c r="N41" s="512">
        <v>0</v>
      </c>
      <c r="O41" s="506">
        <f t="shared" si="3"/>
        <v>0</v>
      </c>
    </row>
    <row r="42" spans="1:17" ht="15" x14ac:dyDescent="0.2">
      <c r="A42" s="996"/>
      <c r="B42" s="517" t="s">
        <v>153</v>
      </c>
      <c r="C42" s="512">
        <v>250</v>
      </c>
      <c r="D42" s="512">
        <v>250</v>
      </c>
      <c r="E42" s="512">
        <v>250</v>
      </c>
      <c r="F42" s="512">
        <v>250</v>
      </c>
      <c r="G42" s="512">
        <v>450</v>
      </c>
      <c r="H42" s="512">
        <v>450</v>
      </c>
      <c r="I42" s="512">
        <v>450</v>
      </c>
      <c r="J42" s="512">
        <v>450</v>
      </c>
      <c r="K42" s="512">
        <v>450</v>
      </c>
      <c r="L42" s="512">
        <v>450</v>
      </c>
      <c r="M42" s="512">
        <v>450</v>
      </c>
      <c r="N42" s="512">
        <v>450</v>
      </c>
      <c r="O42" s="506">
        <f t="shared" si="3"/>
        <v>4600</v>
      </c>
    </row>
    <row r="43" spans="1:17" ht="15" x14ac:dyDescent="0.2">
      <c r="A43" s="996"/>
      <c r="B43" s="517" t="s">
        <v>154</v>
      </c>
      <c r="C43" s="512">
        <v>10000</v>
      </c>
      <c r="D43" s="512">
        <v>10000</v>
      </c>
      <c r="E43" s="512">
        <v>10000</v>
      </c>
      <c r="F43" s="512">
        <v>10000</v>
      </c>
      <c r="G43" s="512">
        <v>10000</v>
      </c>
      <c r="H43" s="512">
        <v>10000</v>
      </c>
      <c r="I43" s="512">
        <v>10000</v>
      </c>
      <c r="J43" s="512">
        <v>10000</v>
      </c>
      <c r="K43" s="512">
        <v>10000</v>
      </c>
      <c r="L43" s="512">
        <v>10000</v>
      </c>
      <c r="M43" s="512">
        <v>10000</v>
      </c>
      <c r="N43" s="512">
        <v>10000</v>
      </c>
      <c r="O43" s="506">
        <f>SUM(C43:N43)</f>
        <v>120000</v>
      </c>
      <c r="P43" s="519"/>
    </row>
    <row r="44" spans="1:17" ht="15" x14ac:dyDescent="0.2">
      <c r="A44" s="996"/>
      <c r="B44" s="517" t="s">
        <v>155</v>
      </c>
      <c r="C44" s="512">
        <v>200</v>
      </c>
      <c r="D44" s="512">
        <v>200</v>
      </c>
      <c r="E44" s="512">
        <v>200</v>
      </c>
      <c r="F44" s="512">
        <v>200</v>
      </c>
      <c r="G44" s="512">
        <v>200</v>
      </c>
      <c r="H44" s="512">
        <v>200</v>
      </c>
      <c r="I44" s="512">
        <v>200</v>
      </c>
      <c r="J44" s="512">
        <v>200</v>
      </c>
      <c r="K44" s="512">
        <v>200</v>
      </c>
      <c r="L44" s="512">
        <v>200</v>
      </c>
      <c r="M44" s="512">
        <v>200</v>
      </c>
      <c r="N44" s="512">
        <v>300</v>
      </c>
      <c r="O44" s="506">
        <f t="shared" si="3"/>
        <v>2500</v>
      </c>
    </row>
    <row r="45" spans="1:17" ht="15" x14ac:dyDescent="0.2">
      <c r="A45" s="996"/>
      <c r="B45" s="517" t="s">
        <v>156</v>
      </c>
      <c r="C45" s="512">
        <v>0</v>
      </c>
      <c r="D45" s="512">
        <v>0</v>
      </c>
      <c r="E45" s="512">
        <v>0</v>
      </c>
      <c r="F45" s="512">
        <v>0</v>
      </c>
      <c r="G45" s="512">
        <v>0</v>
      </c>
      <c r="H45" s="512">
        <v>0</v>
      </c>
      <c r="I45" s="512">
        <v>0</v>
      </c>
      <c r="J45" s="512">
        <v>0</v>
      </c>
      <c r="K45" s="512">
        <v>0</v>
      </c>
      <c r="L45" s="512">
        <v>0</v>
      </c>
      <c r="M45" s="512">
        <v>0</v>
      </c>
      <c r="N45" s="512">
        <v>0</v>
      </c>
      <c r="O45" s="506">
        <f t="shared" si="3"/>
        <v>0</v>
      </c>
    </row>
    <row r="46" spans="1:17" ht="15" x14ac:dyDescent="0.2">
      <c r="A46" s="996"/>
      <c r="B46" s="517" t="s">
        <v>157</v>
      </c>
      <c r="C46" s="512">
        <v>0</v>
      </c>
      <c r="D46" s="512">
        <v>0</v>
      </c>
      <c r="E46" s="512">
        <v>0</v>
      </c>
      <c r="F46" s="512">
        <v>0</v>
      </c>
      <c r="G46" s="512">
        <v>0</v>
      </c>
      <c r="H46" s="512">
        <v>0</v>
      </c>
      <c r="I46" s="512">
        <v>0</v>
      </c>
      <c r="J46" s="512">
        <v>0</v>
      </c>
      <c r="K46" s="512">
        <v>0</v>
      </c>
      <c r="L46" s="512">
        <v>0</v>
      </c>
      <c r="M46" s="512">
        <v>0</v>
      </c>
      <c r="N46" s="512">
        <v>0</v>
      </c>
      <c r="O46" s="506">
        <f t="shared" si="3"/>
        <v>0</v>
      </c>
    </row>
    <row r="47" spans="1:17" ht="28.5" customHeight="1" x14ac:dyDescent="0.2">
      <c r="A47" s="997"/>
      <c r="B47" s="520" t="s">
        <v>158</v>
      </c>
      <c r="C47" s="512">
        <v>0</v>
      </c>
      <c r="D47" s="512">
        <v>0</v>
      </c>
      <c r="E47" s="512">
        <v>0</v>
      </c>
      <c r="F47" s="512">
        <v>0</v>
      </c>
      <c r="G47" s="512">
        <v>0</v>
      </c>
      <c r="H47" s="512">
        <v>0</v>
      </c>
      <c r="I47" s="512">
        <v>0</v>
      </c>
      <c r="J47" s="512">
        <v>0</v>
      </c>
      <c r="K47" s="512">
        <v>0</v>
      </c>
      <c r="L47" s="512">
        <v>0</v>
      </c>
      <c r="M47" s="512">
        <v>0</v>
      </c>
      <c r="N47" s="512">
        <v>0</v>
      </c>
      <c r="O47" s="521">
        <f t="shared" si="3"/>
        <v>0</v>
      </c>
    </row>
    <row r="48" spans="1:17" ht="15" x14ac:dyDescent="0.2">
      <c r="A48" s="998"/>
      <c r="B48" s="522" t="s">
        <v>434</v>
      </c>
      <c r="C48" s="512">
        <v>0</v>
      </c>
      <c r="D48" s="512">
        <v>0</v>
      </c>
      <c r="E48" s="512">
        <v>0</v>
      </c>
      <c r="F48" s="512">
        <v>0</v>
      </c>
      <c r="G48" s="512">
        <v>0</v>
      </c>
      <c r="H48" s="512">
        <v>0</v>
      </c>
      <c r="I48" s="512">
        <v>0</v>
      </c>
      <c r="J48" s="512">
        <v>0</v>
      </c>
      <c r="K48" s="512">
        <v>0</v>
      </c>
      <c r="L48" s="512">
        <v>0</v>
      </c>
      <c r="M48" s="512">
        <v>0</v>
      </c>
      <c r="N48" s="512">
        <v>0</v>
      </c>
      <c r="O48" s="521">
        <f t="shared" si="3"/>
        <v>0</v>
      </c>
    </row>
    <row r="49" spans="1:18" ht="15" x14ac:dyDescent="0.2">
      <c r="A49" s="999" t="s">
        <v>160</v>
      </c>
      <c r="B49" s="1000"/>
      <c r="C49" s="523">
        <f t="shared" ref="C49:N49" si="4">SUM(C38:C48)</f>
        <v>18980</v>
      </c>
      <c r="D49" s="523">
        <f t="shared" si="4"/>
        <v>88283</v>
      </c>
      <c r="E49" s="523">
        <f>SUM(E38:E48)</f>
        <v>18480</v>
      </c>
      <c r="F49" s="523">
        <f t="shared" si="4"/>
        <v>18480</v>
      </c>
      <c r="G49" s="523">
        <f t="shared" si="4"/>
        <v>18680</v>
      </c>
      <c r="H49" s="523">
        <f t="shared" si="4"/>
        <v>18680</v>
      </c>
      <c r="I49" s="523">
        <f t="shared" si="4"/>
        <v>18680</v>
      </c>
      <c r="J49" s="523">
        <f t="shared" si="4"/>
        <v>18680</v>
      </c>
      <c r="K49" s="523">
        <f t="shared" si="4"/>
        <v>25680</v>
      </c>
      <c r="L49" s="523">
        <f t="shared" si="4"/>
        <v>26008</v>
      </c>
      <c r="M49" s="523">
        <f t="shared" si="4"/>
        <v>62410</v>
      </c>
      <c r="N49" s="523">
        <f t="shared" si="4"/>
        <v>10780</v>
      </c>
      <c r="O49" s="524">
        <f t="shared" si="3"/>
        <v>343821</v>
      </c>
    </row>
    <row r="50" spans="1:18" ht="15.75" thickBot="1" x14ac:dyDescent="0.25">
      <c r="A50" s="1001" t="s">
        <v>161</v>
      </c>
      <c r="B50" s="1002"/>
      <c r="C50" s="525">
        <f t="shared" ref="C50:N50" si="5">C37-C49</f>
        <v>49945</v>
      </c>
      <c r="D50" s="525">
        <f>D37-D49</f>
        <v>672996</v>
      </c>
      <c r="E50" s="525">
        <f>E37-E49</f>
        <v>51527</v>
      </c>
      <c r="F50" s="525">
        <f t="shared" si="5"/>
        <v>51527</v>
      </c>
      <c r="G50" s="525">
        <f t="shared" si="5"/>
        <v>53292</v>
      </c>
      <c r="H50" s="525">
        <f t="shared" si="5"/>
        <v>53292</v>
      </c>
      <c r="I50" s="525">
        <f t="shared" si="5"/>
        <v>53292</v>
      </c>
      <c r="J50" s="525">
        <f t="shared" si="5"/>
        <v>63608</v>
      </c>
      <c r="K50" s="525">
        <f t="shared" si="5"/>
        <v>46364</v>
      </c>
      <c r="L50" s="525">
        <f t="shared" si="5"/>
        <v>46036</v>
      </c>
      <c r="M50" s="525">
        <f t="shared" si="5"/>
        <v>9634</v>
      </c>
      <c r="N50" s="525">
        <f t="shared" si="5"/>
        <v>61264</v>
      </c>
      <c r="O50" s="526">
        <f t="shared" si="3"/>
        <v>1212777</v>
      </c>
    </row>
    <row r="51" spans="1:18" x14ac:dyDescent="0.2">
      <c r="C51" s="528"/>
      <c r="D51" s="528"/>
      <c r="E51" s="528"/>
      <c r="F51" s="528"/>
      <c r="G51" s="528"/>
      <c r="H51" s="528"/>
      <c r="I51" s="528"/>
      <c r="J51" s="128">
        <f>+J37-SUM(J22:J36)</f>
        <v>72044</v>
      </c>
      <c r="K51" s="528"/>
      <c r="L51" s="528"/>
      <c r="M51" s="528"/>
      <c r="N51" s="528"/>
    </row>
    <row r="52" spans="1:18" ht="13.5" thickBot="1" x14ac:dyDescent="0.25">
      <c r="J52" s="528">
        <f>+J51-J49</f>
        <v>53364</v>
      </c>
      <c r="M52" s="528"/>
      <c r="Q52" s="504">
        <f>+Q50+Q51</f>
        <v>0</v>
      </c>
    </row>
    <row r="53" spans="1:18" ht="13.5" thickBot="1" x14ac:dyDescent="0.25">
      <c r="B53" s="955" t="s">
        <v>162</v>
      </c>
      <c r="C53" s="1003"/>
      <c r="D53" s="1003"/>
      <c r="E53" s="1003"/>
      <c r="F53" s="1004"/>
      <c r="G53" s="1005">
        <f>O37</f>
        <v>1556598</v>
      </c>
      <c r="H53" s="1006"/>
      <c r="M53" s="528"/>
      <c r="Q53" s="528"/>
    </row>
    <row r="54" spans="1:18" ht="13.5" thickBot="1" x14ac:dyDescent="0.25"/>
    <row r="55" spans="1:18" x14ac:dyDescent="0.2">
      <c r="B55" s="1007" t="s">
        <v>163</v>
      </c>
      <c r="C55" s="1010" t="s">
        <v>164</v>
      </c>
      <c r="D55" s="1013" t="s">
        <v>229</v>
      </c>
      <c r="E55" s="1014"/>
      <c r="F55" s="1015"/>
      <c r="G55" s="1016">
        <v>40000</v>
      </c>
      <c r="H55" s="1017"/>
    </row>
    <row r="56" spans="1:18" x14ac:dyDescent="0.2">
      <c r="B56" s="1008"/>
      <c r="C56" s="1011"/>
      <c r="D56" s="1018" t="s">
        <v>166</v>
      </c>
      <c r="E56" s="1019"/>
      <c r="F56" s="1020"/>
      <c r="G56" s="1021">
        <f>+O44</f>
        <v>2500</v>
      </c>
      <c r="H56" s="1022"/>
      <c r="I56" s="529"/>
      <c r="J56" s="530"/>
      <c r="K56" s="530"/>
      <c r="L56" s="530"/>
      <c r="M56" s="530"/>
      <c r="N56" s="530"/>
      <c r="O56" s="530"/>
    </row>
    <row r="57" spans="1:18" ht="13.5" thickBot="1" x14ac:dyDescent="0.25">
      <c r="B57" s="1009"/>
      <c r="C57" s="1012"/>
      <c r="D57" s="1023" t="s">
        <v>266</v>
      </c>
      <c r="E57" s="1024"/>
      <c r="F57" s="1025"/>
      <c r="G57" s="1026">
        <v>0</v>
      </c>
      <c r="H57" s="1027"/>
      <c r="J57" s="531"/>
      <c r="K57" s="531"/>
      <c r="L57" s="531"/>
      <c r="M57" s="531"/>
      <c r="N57" s="531"/>
      <c r="O57" s="531"/>
    </row>
    <row r="58" spans="1:18" ht="13.5" thickBot="1" x14ac:dyDescent="0.25">
      <c r="B58" s="532"/>
      <c r="J58" s="531"/>
      <c r="K58" s="531"/>
      <c r="L58" s="531"/>
      <c r="M58" s="531"/>
      <c r="N58" s="531"/>
      <c r="O58" s="531"/>
    </row>
    <row r="59" spans="1:18" ht="13.5" thickBot="1" x14ac:dyDescent="0.25">
      <c r="B59" s="955" t="s">
        <v>168</v>
      </c>
      <c r="C59" s="956"/>
      <c r="D59" s="956"/>
      <c r="E59" s="956"/>
      <c r="F59" s="957"/>
      <c r="G59" s="1028">
        <f>+G53-SUM(G55:H57)</f>
        <v>1514098</v>
      </c>
      <c r="H59" s="1029"/>
      <c r="J59" s="992" t="s">
        <v>169</v>
      </c>
      <c r="K59" s="993"/>
      <c r="L59" s="993"/>
      <c r="M59" s="993"/>
      <c r="N59" s="993"/>
      <c r="O59" s="994"/>
    </row>
    <row r="60" spans="1:18" ht="13.5" thickBot="1" x14ac:dyDescent="0.25">
      <c r="B60" s="533"/>
      <c r="C60" s="534"/>
      <c r="D60" s="534"/>
      <c r="E60" s="534"/>
      <c r="F60" s="534"/>
      <c r="G60" s="530"/>
      <c r="H60" s="534"/>
      <c r="J60" s="535"/>
      <c r="K60" s="536"/>
      <c r="L60" s="536"/>
      <c r="M60" s="536"/>
      <c r="N60" s="536"/>
      <c r="O60" s="537"/>
    </row>
    <row r="61" spans="1:18" ht="13.5" thickBot="1" x14ac:dyDescent="0.25">
      <c r="B61" s="955" t="s">
        <v>170</v>
      </c>
      <c r="C61" s="956"/>
      <c r="D61" s="956"/>
      <c r="E61" s="956"/>
      <c r="F61" s="957"/>
      <c r="G61" s="1047"/>
      <c r="H61" s="957"/>
      <c r="J61" s="535"/>
      <c r="K61" s="536"/>
      <c r="L61" s="536"/>
      <c r="M61" s="536"/>
      <c r="N61" s="536"/>
      <c r="O61" s="537"/>
    </row>
    <row r="62" spans="1:18" ht="12.75" customHeight="1" x14ac:dyDescent="0.2">
      <c r="B62" s="538" t="s">
        <v>171</v>
      </c>
      <c r="C62" s="977" t="s">
        <v>172</v>
      </c>
      <c r="D62" s="978"/>
      <c r="E62" s="978"/>
      <c r="F62" s="979"/>
      <c r="G62" s="980">
        <v>102521</v>
      </c>
      <c r="H62" s="980"/>
      <c r="I62" s="539"/>
      <c r="J62" s="981" t="s">
        <v>173</v>
      </c>
      <c r="K62" s="982"/>
      <c r="L62" s="982"/>
      <c r="M62" s="982"/>
      <c r="N62" s="982"/>
      <c r="O62" s="983"/>
      <c r="Q62" s="540"/>
      <c r="R62" s="540"/>
    </row>
    <row r="63" spans="1:18" ht="13.5" thickBot="1" x14ac:dyDescent="0.25">
      <c r="D63" s="527"/>
      <c r="G63" s="504" t="s">
        <v>1123</v>
      </c>
      <c r="I63" s="539"/>
      <c r="J63" s="541" t="s">
        <v>1171</v>
      </c>
      <c r="K63" s="542"/>
      <c r="L63" s="542"/>
      <c r="M63" s="542"/>
      <c r="N63" s="542"/>
      <c r="O63" s="543"/>
      <c r="Q63" s="540"/>
      <c r="R63" s="540"/>
    </row>
    <row r="64" spans="1:18" ht="13.5" thickBot="1" x14ac:dyDescent="0.25">
      <c r="B64" s="955" t="s">
        <v>175</v>
      </c>
      <c r="C64" s="956"/>
      <c r="D64" s="956"/>
      <c r="E64" s="956"/>
      <c r="F64" s="957"/>
      <c r="G64" s="1047">
        <f>+G59-G62</f>
        <v>1411577</v>
      </c>
      <c r="H64" s="957"/>
      <c r="I64" s="544"/>
      <c r="J64" s="545" t="s">
        <v>1172</v>
      </c>
      <c r="K64" s="529"/>
      <c r="L64" s="529"/>
      <c r="M64" s="529"/>
      <c r="N64" s="529"/>
      <c r="O64" s="546"/>
      <c r="Q64" s="540"/>
      <c r="R64" s="540"/>
    </row>
    <row r="65" spans="2:18" ht="12.75" customHeight="1" x14ac:dyDescent="0.2">
      <c r="B65" s="532"/>
      <c r="C65" s="532"/>
      <c r="I65" s="544"/>
      <c r="J65" s="547"/>
      <c r="K65" s="529"/>
      <c r="L65" s="529"/>
      <c r="M65" s="529"/>
      <c r="N65" s="529"/>
      <c r="O65" s="546"/>
      <c r="Q65" s="540"/>
      <c r="R65" s="540"/>
    </row>
    <row r="66" spans="2:18" x14ac:dyDescent="0.2">
      <c r="B66" s="548" t="s">
        <v>176</v>
      </c>
      <c r="C66" s="532"/>
      <c r="I66" s="544"/>
      <c r="J66" s="549"/>
      <c r="K66" s="550"/>
      <c r="L66" s="550"/>
      <c r="M66" s="550"/>
      <c r="N66" s="550"/>
      <c r="O66" s="551"/>
      <c r="Q66" s="540"/>
      <c r="R66" s="540"/>
    </row>
    <row r="67" spans="2:18" ht="26.25" customHeight="1" thickBot="1" x14ac:dyDescent="0.25">
      <c r="B67" s="548"/>
      <c r="C67" s="532"/>
      <c r="G67" s="552" t="s">
        <v>177</v>
      </c>
      <c r="H67" s="552" t="s">
        <v>178</v>
      </c>
      <c r="I67" s="544"/>
      <c r="J67" s="981" t="s">
        <v>179</v>
      </c>
      <c r="K67" s="982"/>
      <c r="L67" s="553"/>
      <c r="M67" s="553"/>
      <c r="N67" s="553"/>
      <c r="O67" s="554"/>
      <c r="Q67" s="540"/>
      <c r="R67" s="540"/>
    </row>
    <row r="68" spans="2:18" ht="12.75" customHeight="1" x14ac:dyDescent="0.2">
      <c r="B68" s="968" t="s">
        <v>180</v>
      </c>
      <c r="C68" s="971" t="s">
        <v>181</v>
      </c>
      <c r="D68" s="973" t="s">
        <v>182</v>
      </c>
      <c r="E68" s="974"/>
      <c r="F68" s="974"/>
      <c r="G68" s="555">
        <f>+O43</f>
        <v>120000</v>
      </c>
      <c r="H68" s="556">
        <f t="shared" ref="H68:H76" si="6">+G68</f>
        <v>120000</v>
      </c>
      <c r="I68" s="544"/>
      <c r="J68" s="545" t="s">
        <v>183</v>
      </c>
      <c r="K68" s="539"/>
      <c r="L68" s="539"/>
      <c r="M68" s="557"/>
      <c r="N68" s="557"/>
      <c r="O68" s="558"/>
      <c r="Q68" s="540"/>
      <c r="R68" s="540"/>
    </row>
    <row r="69" spans="2:18" ht="12.75" customHeight="1" x14ac:dyDescent="0.2">
      <c r="B69" s="969"/>
      <c r="C69" s="972"/>
      <c r="D69" s="975" t="s">
        <v>184</v>
      </c>
      <c r="E69" s="976"/>
      <c r="F69" s="976"/>
      <c r="G69" s="559">
        <f>+O47</f>
        <v>0</v>
      </c>
      <c r="H69" s="560">
        <f t="shared" si="6"/>
        <v>0</v>
      </c>
      <c r="I69" s="544"/>
      <c r="J69" s="561"/>
      <c r="K69" s="557"/>
      <c r="L69" s="557"/>
      <c r="M69" s="557"/>
      <c r="N69" s="557"/>
      <c r="O69" s="562"/>
      <c r="Q69" s="540"/>
      <c r="R69" s="540"/>
    </row>
    <row r="70" spans="2:18" ht="12.75" customHeight="1" x14ac:dyDescent="0.2">
      <c r="B70" s="969"/>
      <c r="C70" s="972"/>
      <c r="D70" s="990" t="s">
        <v>185</v>
      </c>
      <c r="E70" s="991"/>
      <c r="F70" s="991"/>
      <c r="G70" s="563">
        <f>O40</f>
        <v>360</v>
      </c>
      <c r="H70" s="560">
        <f t="shared" si="6"/>
        <v>360</v>
      </c>
      <c r="I70" s="544"/>
      <c r="J70" s="561"/>
      <c r="K70" s="564"/>
      <c r="L70" s="557"/>
      <c r="M70" s="557"/>
      <c r="N70" s="557"/>
      <c r="O70" s="562"/>
    </row>
    <row r="71" spans="2:18" x14ac:dyDescent="0.2">
      <c r="B71" s="969"/>
      <c r="C71" s="972"/>
      <c r="D71" s="975" t="s">
        <v>186</v>
      </c>
      <c r="E71" s="976"/>
      <c r="F71" s="976"/>
      <c r="G71" s="565">
        <v>0</v>
      </c>
      <c r="H71" s="560">
        <f t="shared" si="6"/>
        <v>0</v>
      </c>
      <c r="I71" s="544"/>
      <c r="J71" s="561"/>
      <c r="K71" s="566"/>
      <c r="L71" s="566"/>
      <c r="M71" s="557"/>
      <c r="N71" s="557"/>
      <c r="O71" s="567"/>
    </row>
    <row r="72" spans="2:18" ht="12.75" customHeight="1" x14ac:dyDescent="0.2">
      <c r="B72" s="969"/>
      <c r="C72" s="972"/>
      <c r="D72" s="950" t="s">
        <v>188</v>
      </c>
      <c r="E72" s="976"/>
      <c r="F72" s="976"/>
      <c r="G72" s="563">
        <v>0</v>
      </c>
      <c r="H72" s="560">
        <f t="shared" si="6"/>
        <v>0</v>
      </c>
      <c r="I72" s="544"/>
      <c r="J72" s="561"/>
      <c r="K72" s="566"/>
      <c r="L72" s="566"/>
      <c r="M72" s="557"/>
      <c r="N72" s="557"/>
      <c r="O72" s="567"/>
    </row>
    <row r="73" spans="2:18" ht="14.25" customHeight="1" x14ac:dyDescent="0.2">
      <c r="B73" s="969"/>
      <c r="C73" s="972"/>
      <c r="D73" s="975" t="s">
        <v>190</v>
      </c>
      <c r="E73" s="976"/>
      <c r="F73" s="976"/>
      <c r="G73" s="568">
        <v>0</v>
      </c>
      <c r="H73" s="560">
        <f t="shared" si="6"/>
        <v>0</v>
      </c>
      <c r="I73" s="544"/>
      <c r="J73" s="561"/>
      <c r="K73" s="566"/>
      <c r="L73" s="566"/>
      <c r="M73" s="566"/>
      <c r="N73" s="566"/>
      <c r="O73" s="567"/>
    </row>
    <row r="74" spans="2:18" x14ac:dyDescent="0.2">
      <c r="B74" s="969"/>
      <c r="C74" s="972"/>
      <c r="D74" s="975" t="s">
        <v>191</v>
      </c>
      <c r="E74" s="976"/>
      <c r="F74" s="976"/>
      <c r="G74" s="565">
        <v>63321</v>
      </c>
      <c r="H74" s="560">
        <f t="shared" si="6"/>
        <v>63321</v>
      </c>
      <c r="I74" s="539"/>
      <c r="J74" s="569"/>
      <c r="K74" s="534"/>
      <c r="L74" s="534"/>
      <c r="M74" s="534"/>
      <c r="N74" s="534"/>
      <c r="O74" s="570"/>
    </row>
    <row r="75" spans="2:18" x14ac:dyDescent="0.2">
      <c r="B75" s="969"/>
      <c r="C75" s="571" t="s">
        <v>192</v>
      </c>
      <c r="D75" s="984" t="s">
        <v>193</v>
      </c>
      <c r="E75" s="985"/>
      <c r="F75" s="985"/>
      <c r="G75" s="563">
        <v>0</v>
      </c>
      <c r="H75" s="560">
        <f t="shared" si="6"/>
        <v>0</v>
      </c>
      <c r="I75" s="539"/>
      <c r="J75" s="572" t="s">
        <v>187</v>
      </c>
      <c r="K75" s="553"/>
      <c r="L75" s="553"/>
      <c r="M75" s="553"/>
      <c r="N75" s="553"/>
      <c r="O75" s="554"/>
    </row>
    <row r="76" spans="2:18" ht="13.5" customHeight="1" thickBot="1" x14ac:dyDescent="0.25">
      <c r="B76" s="969"/>
      <c r="C76" s="571" t="s">
        <v>194</v>
      </c>
      <c r="D76" s="986" t="s">
        <v>195</v>
      </c>
      <c r="E76" s="986"/>
      <c r="F76" s="986"/>
      <c r="G76" s="573">
        <v>0</v>
      </c>
      <c r="H76" s="574">
        <f t="shared" si="6"/>
        <v>0</v>
      </c>
      <c r="I76" s="544"/>
      <c r="J76" s="545" t="s">
        <v>189</v>
      </c>
      <c r="K76" s="534"/>
      <c r="L76" s="534"/>
      <c r="M76" s="534"/>
      <c r="N76" s="534"/>
      <c r="O76" s="570">
        <f>O42</f>
        <v>4600</v>
      </c>
    </row>
    <row r="77" spans="2:18" ht="13.5" thickBot="1" x14ac:dyDescent="0.25">
      <c r="B77" s="969"/>
      <c r="C77" s="575"/>
      <c r="D77" s="576"/>
      <c r="E77" s="987" t="s">
        <v>117</v>
      </c>
      <c r="F77" s="988"/>
      <c r="G77" s="577">
        <f>SUM(G68:G76)</f>
        <v>183681</v>
      </c>
      <c r="H77" s="578">
        <f>IF(SUM(G68:G74)&lt;150000,SUM(G68:G74),150000)+IF(+G75&lt;20000,+G75,20000)</f>
        <v>150000</v>
      </c>
      <c r="I77" s="544"/>
      <c r="J77" s="579"/>
      <c r="K77" s="580"/>
      <c r="L77" s="580"/>
      <c r="M77" s="581"/>
      <c r="N77" s="581"/>
      <c r="O77" s="582"/>
    </row>
    <row r="78" spans="2:18" ht="12.75" customHeight="1" x14ac:dyDescent="0.2">
      <c r="B78" s="969"/>
      <c r="C78" s="583" t="s">
        <v>196</v>
      </c>
      <c r="D78" s="975" t="s">
        <v>187</v>
      </c>
      <c r="E78" s="976"/>
      <c r="F78" s="989"/>
      <c r="G78" s="555">
        <f>+O42</f>
        <v>4600</v>
      </c>
      <c r="H78" s="584">
        <f>+IF(+G78&lt;25000,+G78,25000)</f>
        <v>4600</v>
      </c>
      <c r="I78" s="585"/>
    </row>
    <row r="79" spans="2:18" ht="15" customHeight="1" x14ac:dyDescent="0.2">
      <c r="B79" s="969"/>
      <c r="C79" s="583" t="s">
        <v>197</v>
      </c>
      <c r="D79" s="950" t="s">
        <v>198</v>
      </c>
      <c r="E79" s="951"/>
      <c r="F79" s="952"/>
      <c r="G79" s="586"/>
      <c r="H79" s="587">
        <f>+IF(+G79&lt;40000,+G79,40000)</f>
        <v>0</v>
      </c>
      <c r="I79" s="544"/>
    </row>
    <row r="80" spans="2:18" ht="15" x14ac:dyDescent="0.25">
      <c r="B80" s="969"/>
      <c r="C80" s="583" t="s">
        <v>199</v>
      </c>
      <c r="D80" s="950" t="s">
        <v>200</v>
      </c>
      <c r="E80" s="951"/>
      <c r="F80" s="952"/>
      <c r="G80" s="565"/>
      <c r="H80" s="588">
        <v>0</v>
      </c>
      <c r="I80" s="544"/>
      <c r="J80" s="589"/>
      <c r="K80" s="589"/>
      <c r="L80" s="589"/>
    </row>
    <row r="81" spans="2:20" x14ac:dyDescent="0.2">
      <c r="B81" s="969"/>
      <c r="C81" s="583" t="s">
        <v>201</v>
      </c>
      <c r="D81" s="950" t="s">
        <v>202</v>
      </c>
      <c r="E81" s="951"/>
      <c r="F81" s="952"/>
      <c r="G81" s="565"/>
      <c r="H81" s="588">
        <v>0</v>
      </c>
      <c r="I81" s="544"/>
    </row>
    <row r="82" spans="2:20" ht="13.5" thickBot="1" x14ac:dyDescent="0.25">
      <c r="B82" s="970"/>
      <c r="C82" s="583" t="s">
        <v>203</v>
      </c>
      <c r="D82" s="950" t="s">
        <v>204</v>
      </c>
      <c r="E82" s="951"/>
      <c r="F82" s="952"/>
      <c r="G82" s="586"/>
      <c r="H82" s="587">
        <f>+IF(+G82&lt;100000,+G82,10000)</f>
        <v>0</v>
      </c>
      <c r="I82" s="544"/>
      <c r="J82" s="590"/>
    </row>
    <row r="83" spans="2:20" ht="13.5" thickBot="1" x14ac:dyDescent="0.25">
      <c r="B83" s="953" t="s">
        <v>205</v>
      </c>
      <c r="C83" s="954"/>
      <c r="D83" s="954"/>
      <c r="E83" s="954"/>
      <c r="F83" s="954"/>
      <c r="G83" s="591">
        <f>SUM(G78:G82)</f>
        <v>4600</v>
      </c>
      <c r="H83" s="592">
        <f>SUM(H77:H82)</f>
        <v>154600</v>
      </c>
    </row>
    <row r="84" spans="2:20" ht="13.5" thickBot="1" x14ac:dyDescent="0.25"/>
    <row r="85" spans="2:20" ht="13.5" thickBot="1" x14ac:dyDescent="0.25">
      <c r="B85" s="955" t="s">
        <v>206</v>
      </c>
      <c r="C85" s="956"/>
      <c r="D85" s="956"/>
      <c r="E85" s="956"/>
      <c r="F85" s="957"/>
      <c r="G85" s="958">
        <f>+G64-H83</f>
        <v>1256977</v>
      </c>
      <c r="H85" s="957"/>
      <c r="J85" s="593">
        <f>C37+D37+E37+F37</f>
        <v>970218</v>
      </c>
      <c r="K85" s="504" t="s">
        <v>235</v>
      </c>
      <c r="L85" s="585"/>
    </row>
    <row r="86" spans="2:20" x14ac:dyDescent="0.2">
      <c r="B86" s="594"/>
      <c r="F86" s="593"/>
      <c r="J86" s="593">
        <f>G37+H37+I37</f>
        <v>215916</v>
      </c>
      <c r="K86" s="504" t="s">
        <v>236</v>
      </c>
      <c r="L86" s="585"/>
    </row>
    <row r="87" spans="2:20" x14ac:dyDescent="0.2">
      <c r="C87" s="959" t="s">
        <v>207</v>
      </c>
      <c r="D87" s="960"/>
      <c r="E87" s="595" t="s">
        <v>208</v>
      </c>
      <c r="F87" s="595" t="s">
        <v>209</v>
      </c>
      <c r="G87" s="595" t="s">
        <v>210</v>
      </c>
      <c r="H87" s="595" t="s">
        <v>211</v>
      </c>
      <c r="J87" s="596">
        <f>J37+K37+L37</f>
        <v>226376</v>
      </c>
      <c r="K87" s="531" t="s">
        <v>237</v>
      </c>
      <c r="L87" s="585"/>
    </row>
    <row r="88" spans="2:20" x14ac:dyDescent="0.2">
      <c r="C88" s="961" t="str">
        <f>IF(I6="M","0          - 250000","0          -  250000")</f>
        <v>0          - 250000</v>
      </c>
      <c r="D88" s="962"/>
      <c r="E88" s="597">
        <v>0</v>
      </c>
      <c r="F88" s="598">
        <f>IF(I6="M",(IF(G85&lt;250000,G85,250000)),(IF(G85&lt;250000,G85,250000)))</f>
        <v>250000</v>
      </c>
      <c r="G88" s="598">
        <f>G85-F88</f>
        <v>1006977</v>
      </c>
      <c r="H88" s="598">
        <f>E88*F88</f>
        <v>0</v>
      </c>
      <c r="J88" s="599">
        <f>M37+N37</f>
        <v>144088</v>
      </c>
      <c r="K88" s="490" t="s">
        <v>238</v>
      </c>
      <c r="L88" s="585"/>
    </row>
    <row r="89" spans="2:20" x14ac:dyDescent="0.2">
      <c r="C89" s="961" t="str">
        <f>IF(I6="M","250001 - 500000","250001-500000")</f>
        <v>250001 - 500000</v>
      </c>
      <c r="D89" s="962"/>
      <c r="E89" s="597">
        <v>0.05</v>
      </c>
      <c r="F89" s="598">
        <f>IF(I6="M",(IF(G88&lt;250000,G88,250000)),(IF(G88&lt;250000,G88,250000)))</f>
        <v>250000</v>
      </c>
      <c r="G89" s="598">
        <f>G88-F89</f>
        <v>756977</v>
      </c>
      <c r="H89" s="600">
        <f>ROUND(E89*F89,0.1)</f>
        <v>12500</v>
      </c>
      <c r="J89" s="601">
        <f>SUM(J85:J88)</f>
        <v>1556598</v>
      </c>
      <c r="L89" s="585"/>
    </row>
    <row r="90" spans="2:20" x14ac:dyDescent="0.2">
      <c r="C90" s="963" t="s">
        <v>212</v>
      </c>
      <c r="D90" s="964"/>
      <c r="E90" s="597">
        <v>0.2</v>
      </c>
      <c r="F90" s="598">
        <f>IF(G89&lt;500000,G89,500000)</f>
        <v>500000</v>
      </c>
      <c r="G90" s="598">
        <f>G89-F90</f>
        <v>256977</v>
      </c>
      <c r="H90" s="600">
        <f>ROUND(E90*F90,0.1)</f>
        <v>100000</v>
      </c>
      <c r="J90" s="504">
        <f>+G85</f>
        <v>1256977</v>
      </c>
      <c r="L90" s="585"/>
    </row>
    <row r="91" spans="2:20" x14ac:dyDescent="0.2">
      <c r="C91" s="961" t="s">
        <v>213</v>
      </c>
      <c r="D91" s="962"/>
      <c r="E91" s="597">
        <v>0.3</v>
      </c>
      <c r="F91" s="598">
        <f>G90</f>
        <v>256977</v>
      </c>
      <c r="G91" s="598">
        <f>G90-F91</f>
        <v>0</v>
      </c>
      <c r="H91" s="600">
        <f>ROUND(E91*F91,0.1)</f>
        <v>77093</v>
      </c>
      <c r="J91" s="504">
        <f>+J89-J90</f>
        <v>299621</v>
      </c>
      <c r="L91" s="585"/>
    </row>
    <row r="92" spans="2:20" ht="12.75" customHeight="1" thickBot="1" x14ac:dyDescent="0.25">
      <c r="B92" s="602"/>
      <c r="C92" s="603"/>
      <c r="D92" s="531"/>
      <c r="E92" s="531"/>
      <c r="F92" s="531"/>
      <c r="J92" s="585"/>
      <c r="K92" s="604"/>
      <c r="L92" s="585"/>
      <c r="N92" s="605" t="s">
        <v>1173</v>
      </c>
      <c r="O92" s="605"/>
      <c r="P92" s="605"/>
      <c r="Q92" s="605"/>
      <c r="R92" s="605"/>
      <c r="S92" s="605"/>
      <c r="T92" s="605"/>
    </row>
    <row r="93" spans="2:20" ht="13.5" thickBot="1" x14ac:dyDescent="0.25">
      <c r="B93" s="965" t="s">
        <v>239</v>
      </c>
      <c r="C93" s="966"/>
      <c r="D93" s="966"/>
      <c r="E93" s="966"/>
      <c r="F93" s="967"/>
      <c r="G93" s="943">
        <f>H88+H89+H90+H91</f>
        <v>189593</v>
      </c>
      <c r="H93" s="944"/>
    </row>
    <row r="94" spans="2:20" ht="13.5" thickBot="1" x14ac:dyDescent="0.25">
      <c r="B94" s="606" t="s">
        <v>1354</v>
      </c>
      <c r="C94" s="607"/>
      <c r="D94" s="607"/>
      <c r="E94" s="607"/>
      <c r="F94" s="607"/>
      <c r="G94" s="608"/>
      <c r="H94" s="609"/>
      <c r="I94" s="490" t="s">
        <v>1355</v>
      </c>
    </row>
    <row r="95" spans="2:20" ht="13.5" thickBot="1" x14ac:dyDescent="0.25">
      <c r="B95" s="606" t="s">
        <v>215</v>
      </c>
      <c r="C95" s="607"/>
      <c r="D95" s="607"/>
      <c r="E95" s="607"/>
      <c r="F95" s="607"/>
      <c r="G95" s="941">
        <f>IF((G64&lt;500000),5000,0)</f>
        <v>0</v>
      </c>
      <c r="H95" s="942">
        <f>IF(H92&lt;200000,0,IF(H92&lt;220000,((H92-200000)*10%),IF(H92&lt;=500000,2000,IF(H92&gt;=500000,0))))</f>
        <v>0</v>
      </c>
      <c r="J95" s="490"/>
      <c r="K95" s="610"/>
      <c r="L95" s="610"/>
    </row>
    <row r="96" spans="2:20" ht="13.5" thickBot="1" x14ac:dyDescent="0.25">
      <c r="B96" s="611" t="s">
        <v>216</v>
      </c>
      <c r="C96" s="612"/>
      <c r="D96" s="612"/>
      <c r="E96" s="612"/>
      <c r="F96" s="612"/>
      <c r="G96" s="943">
        <f>IF((G93-H94-G95)&lt;0,0,(G93-H94-G95))</f>
        <v>189593</v>
      </c>
      <c r="H96" s="944"/>
      <c r="I96" s="527"/>
    </row>
    <row r="97" spans="2:9" ht="13.5" thickBot="1" x14ac:dyDescent="0.25">
      <c r="B97" s="945" t="s">
        <v>473</v>
      </c>
      <c r="C97" s="946"/>
      <c r="D97" s="946"/>
      <c r="E97" s="946"/>
      <c r="F97" s="947"/>
      <c r="G97" s="948">
        <f>ROUND((IF(G96&gt;0,(G96*4%),0)),0)</f>
        <v>7584</v>
      </c>
      <c r="H97" s="949"/>
      <c r="I97" s="527"/>
    </row>
    <row r="98" spans="2:9" ht="13.5" thickBot="1" x14ac:dyDescent="0.25">
      <c r="B98" s="933" t="s">
        <v>218</v>
      </c>
      <c r="C98" s="934"/>
      <c r="D98" s="934"/>
      <c r="E98" s="934"/>
      <c r="F98" s="934"/>
      <c r="G98" s="935">
        <f>G96+G97</f>
        <v>197177</v>
      </c>
      <c r="H98" s="936"/>
      <c r="I98" s="610"/>
    </row>
    <row r="99" spans="2:9" ht="13.5" thickBot="1" x14ac:dyDescent="0.25">
      <c r="B99" s="937" t="s">
        <v>219</v>
      </c>
      <c r="C99" s="938"/>
      <c r="D99" s="938"/>
      <c r="E99" s="938"/>
      <c r="F99" s="938"/>
      <c r="G99" s="939">
        <f>O38</f>
        <v>216361</v>
      </c>
      <c r="H99" s="940"/>
      <c r="I99" s="610"/>
    </row>
    <row r="100" spans="2:9" ht="13.5" thickBot="1" x14ac:dyDescent="0.25">
      <c r="B100" s="937" t="str">
        <f>IF(G100&gt;0,"TAX PAYABLE","TAX REFUND")</f>
        <v>TAX REFUND</v>
      </c>
      <c r="C100" s="938"/>
      <c r="D100" s="938"/>
      <c r="E100" s="938"/>
      <c r="F100" s="938"/>
      <c r="G100" s="939">
        <f>+G98-G99</f>
        <v>-19184</v>
      </c>
      <c r="H100" s="940"/>
      <c r="I100" s="527"/>
    </row>
    <row r="101" spans="2:9" x14ac:dyDescent="0.2">
      <c r="C101" s="613"/>
      <c r="D101" s="530"/>
      <c r="E101" s="604"/>
      <c r="F101" s="604"/>
      <c r="G101" s="604"/>
      <c r="H101" s="604"/>
      <c r="I101" s="614"/>
    </row>
    <row r="102" spans="2:9" x14ac:dyDescent="0.2">
      <c r="C102" s="531"/>
      <c r="D102" s="534"/>
      <c r="E102" s="603"/>
      <c r="F102" s="531"/>
      <c r="G102" s="531"/>
      <c r="H102" s="531"/>
      <c r="I102" s="614"/>
    </row>
    <row r="103" spans="2:9" x14ac:dyDescent="0.2">
      <c r="C103" s="529"/>
      <c r="D103" s="615"/>
      <c r="E103" s="615"/>
      <c r="F103" s="615"/>
      <c r="G103" s="529"/>
      <c r="H103" s="529"/>
      <c r="I103" s="527"/>
    </row>
    <row r="104" spans="2:9" x14ac:dyDescent="0.2">
      <c r="C104" s="529"/>
      <c r="D104" s="615"/>
      <c r="E104" s="615"/>
      <c r="F104" s="529"/>
      <c r="G104" s="529"/>
      <c r="H104" s="529"/>
      <c r="I104" s="527"/>
    </row>
    <row r="105" spans="2:9" x14ac:dyDescent="0.2">
      <c r="C105" s="529"/>
      <c r="D105" s="615"/>
      <c r="E105" s="615"/>
      <c r="F105" s="529"/>
      <c r="G105" s="529"/>
      <c r="H105" s="529"/>
      <c r="I105" s="527"/>
    </row>
    <row r="106" spans="2:9" x14ac:dyDescent="0.2">
      <c r="C106" s="529"/>
      <c r="D106" s="529"/>
      <c r="E106" s="529"/>
      <c r="F106" s="529"/>
      <c r="G106" s="529"/>
      <c r="H106" s="529"/>
      <c r="I106" s="527"/>
    </row>
    <row r="107" spans="2:9" x14ac:dyDescent="0.2">
      <c r="C107" s="529"/>
      <c r="D107" s="529"/>
      <c r="E107" s="529"/>
      <c r="F107" s="529"/>
      <c r="G107" s="529"/>
      <c r="H107" s="529"/>
    </row>
    <row r="108" spans="2:9" x14ac:dyDescent="0.2">
      <c r="C108" s="529"/>
      <c r="D108" s="529"/>
      <c r="E108" s="529"/>
      <c r="F108" s="529"/>
      <c r="G108" s="529"/>
      <c r="H108" s="529"/>
    </row>
  </sheetData>
  <mergeCells count="91">
    <mergeCell ref="B99:F99"/>
    <mergeCell ref="G99:H99"/>
    <mergeCell ref="B100:F100"/>
    <mergeCell ref="G100:H100"/>
    <mergeCell ref="G95:H95"/>
    <mergeCell ref="G96:H96"/>
    <mergeCell ref="B97:F97"/>
    <mergeCell ref="G97:H97"/>
    <mergeCell ref="B98:F98"/>
    <mergeCell ref="G98:H98"/>
    <mergeCell ref="D79:F79"/>
    <mergeCell ref="G93:H93"/>
    <mergeCell ref="D81:F81"/>
    <mergeCell ref="D82:F82"/>
    <mergeCell ref="B83:F83"/>
    <mergeCell ref="B85:F85"/>
    <mergeCell ref="G85:H85"/>
    <mergeCell ref="C87:D87"/>
    <mergeCell ref="C88:D88"/>
    <mergeCell ref="C89:D89"/>
    <mergeCell ref="C90:D90"/>
    <mergeCell ref="C91:D91"/>
    <mergeCell ref="B93:F93"/>
    <mergeCell ref="J62:O62"/>
    <mergeCell ref="D80:F80"/>
    <mergeCell ref="J67:K67"/>
    <mergeCell ref="B68:B82"/>
    <mergeCell ref="C68:C74"/>
    <mergeCell ref="D68:F68"/>
    <mergeCell ref="D69:F69"/>
    <mergeCell ref="D70:F70"/>
    <mergeCell ref="D71:F71"/>
    <mergeCell ref="D72:F72"/>
    <mergeCell ref="D73:F73"/>
    <mergeCell ref="D74:F74"/>
    <mergeCell ref="D75:F75"/>
    <mergeCell ref="D76:F76"/>
    <mergeCell ref="E77:F77"/>
    <mergeCell ref="D78:F78"/>
    <mergeCell ref="B64:F64"/>
    <mergeCell ref="G64:H64"/>
    <mergeCell ref="G56:H56"/>
    <mergeCell ref="D57:F57"/>
    <mergeCell ref="G57:H57"/>
    <mergeCell ref="B59:F59"/>
    <mergeCell ref="G59:H59"/>
    <mergeCell ref="B61:F61"/>
    <mergeCell ref="G61:H61"/>
    <mergeCell ref="C62:F62"/>
    <mergeCell ref="G62:H62"/>
    <mergeCell ref="J59:O59"/>
    <mergeCell ref="A38:A48"/>
    <mergeCell ref="A49:B49"/>
    <mergeCell ref="A50:B50"/>
    <mergeCell ref="B53:F53"/>
    <mergeCell ref="G53:H53"/>
    <mergeCell ref="B55:B57"/>
    <mergeCell ref="C55:C57"/>
    <mergeCell ref="D55:F55"/>
    <mergeCell ref="G55:H55"/>
    <mergeCell ref="D56:F56"/>
    <mergeCell ref="A36:B36"/>
    <mergeCell ref="A5:C5"/>
    <mergeCell ref="D5:F5"/>
    <mergeCell ref="G5:H5"/>
    <mergeCell ref="I5:O5"/>
    <mergeCell ref="A6:C6"/>
    <mergeCell ref="D6:F6"/>
    <mergeCell ref="G6:H6"/>
    <mergeCell ref="J6:O6"/>
    <mergeCell ref="L7:O7"/>
    <mergeCell ref="A8:B8"/>
    <mergeCell ref="A21:A33"/>
    <mergeCell ref="A34:B34"/>
    <mergeCell ref="A35:B35"/>
    <mergeCell ref="A3:C3"/>
    <mergeCell ref="D3:F3"/>
    <mergeCell ref="G3:H3"/>
    <mergeCell ref="I3:O3"/>
    <mergeCell ref="A4:C4"/>
    <mergeCell ref="D4:F4"/>
    <mergeCell ref="G4:H4"/>
    <mergeCell ref="I4:O4"/>
    <mergeCell ref="A1:C1"/>
    <mergeCell ref="D1:F1"/>
    <mergeCell ref="G1:H1"/>
    <mergeCell ref="I1:O1"/>
    <mergeCell ref="A2:C2"/>
    <mergeCell ref="D2:F2"/>
    <mergeCell ref="G2:H2"/>
    <mergeCell ref="I2:O2"/>
  </mergeCells>
  <conditionalFormatting sqref="B90:F90">
    <cfRule type="cellIs" dxfId="13" priority="5" stopIfTrue="1" operator="equal">
      <formula>"TAX PAYABLE"</formula>
    </cfRule>
    <cfRule type="cellIs" dxfId="12" priority="6" stopIfTrue="1" operator="equal">
      <formula>"TAX REFUND"</formula>
    </cfRule>
  </conditionalFormatting>
  <conditionalFormatting sqref="G90:H90">
    <cfRule type="cellIs" dxfId="11" priority="7" stopIfTrue="1" operator="lessThan">
      <formula>0</formula>
    </cfRule>
    <cfRule type="cellIs" dxfId="10" priority="8" stopIfTrue="1" operator="greaterThan">
      <formula>0</formula>
    </cfRule>
  </conditionalFormatting>
  <conditionalFormatting sqref="B100:F100 B93:F98">
    <cfRule type="cellIs" dxfId="9" priority="3" stopIfTrue="1" operator="equal">
      <formula>"TAX PAYABLE"</formula>
    </cfRule>
    <cfRule type="cellIs" dxfId="8" priority="4" stopIfTrue="1" operator="equal">
      <formula>"TAX REFUND"</formula>
    </cfRule>
  </conditionalFormatting>
  <conditionalFormatting sqref="G100:H100">
    <cfRule type="cellIs" dxfId="7" priority="1" stopIfTrue="1" operator="greaterThan">
      <formula>0</formula>
    </cfRule>
    <cfRule type="cellIs" dxfId="6" priority="2" stopIfTrue="1" operator="lessThanOrEqual">
      <formula>0</formula>
    </cfRule>
  </conditionalFormatting>
  <dataValidations disablePrompts="1"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hyperlinks>
    <hyperlink ref="G95" r:id="rId1" display="=@round(IF(G85&lt;200000,0,IF(G85&lt;220000,((G85-200000)*10%),IF(G85&lt;=500000,2000,IF(G85&gt;=500000,0)))),.1)"/>
  </hyperlinks>
  <pageMargins left="0.75" right="0.75" top="1" bottom="1" header="0.5" footer="0.5"/>
  <headerFooter alignWithMargins="0"/>
  <legacyDrawing r:id="rId2"/>
</worksheet>
</file>

<file path=xl/worksheets/sheet1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136"/>
  <sheetViews>
    <sheetView workbookViewId="0">
      <selection sqref="A1:XFD1048576"/>
    </sheetView>
  </sheetViews>
  <sheetFormatPr defaultRowHeight="12.75" x14ac:dyDescent="0.2"/>
  <cols>
    <col min="1" max="1" width="5" style="504" customWidth="1"/>
    <col min="2" max="2" width="18.5703125" style="527" customWidth="1"/>
    <col min="3" max="3" width="8.42578125" style="504" customWidth="1"/>
    <col min="4" max="4" width="8.140625" style="504" customWidth="1"/>
    <col min="5" max="5" width="8.5703125" style="504" bestFit="1" customWidth="1"/>
    <col min="6" max="6" width="7.85546875" style="504" customWidth="1"/>
    <col min="7" max="7" width="8.42578125" style="504" customWidth="1"/>
    <col min="8" max="14" width="7.85546875" style="504" customWidth="1"/>
    <col min="15" max="15" width="9.5703125" style="504" customWidth="1"/>
    <col min="16" max="16" width="9.140625" style="504"/>
    <col min="17" max="17" width="10" style="504" bestFit="1" customWidth="1"/>
    <col min="18" max="20" width="9.140625" style="504"/>
    <col min="21" max="21" width="12.42578125" style="504" customWidth="1"/>
    <col min="22" max="22" width="9.140625" style="504"/>
    <col min="23" max="23" width="12" style="504" customWidth="1"/>
    <col min="24" max="256" width="9.140625" style="504"/>
    <col min="257" max="257" width="5" style="504" customWidth="1"/>
    <col min="258" max="258" width="18.5703125" style="504" customWidth="1"/>
    <col min="259" max="259" width="8.42578125" style="504" customWidth="1"/>
    <col min="260" max="260" width="8.140625" style="504" customWidth="1"/>
    <col min="261" max="261" width="8.5703125" style="504" bestFit="1" customWidth="1"/>
    <col min="262" max="262" width="7.85546875" style="504" customWidth="1"/>
    <col min="263" max="263" width="8.42578125" style="504" customWidth="1"/>
    <col min="264" max="270" width="7.85546875" style="504" customWidth="1"/>
    <col min="271" max="271" width="9.5703125" style="504" customWidth="1"/>
    <col min="272" max="272" width="9.140625" style="504"/>
    <col min="273" max="273" width="10" style="504" bestFit="1" customWidth="1"/>
    <col min="274" max="276" width="9.140625" style="504"/>
    <col min="277" max="277" width="12.42578125" style="504" customWidth="1"/>
    <col min="278" max="278" width="9.140625" style="504"/>
    <col min="279" max="279" width="12" style="504" customWidth="1"/>
    <col min="280" max="512" width="9.140625" style="504"/>
    <col min="513" max="513" width="5" style="504" customWidth="1"/>
    <col min="514" max="514" width="18.5703125" style="504" customWidth="1"/>
    <col min="515" max="515" width="8.42578125" style="504" customWidth="1"/>
    <col min="516" max="516" width="8.140625" style="504" customWidth="1"/>
    <col min="517" max="517" width="8.5703125" style="504" bestFit="1" customWidth="1"/>
    <col min="518" max="518" width="7.85546875" style="504" customWidth="1"/>
    <col min="519" max="519" width="8.42578125" style="504" customWidth="1"/>
    <col min="520" max="526" width="7.85546875" style="504" customWidth="1"/>
    <col min="527" max="527" width="9.5703125" style="504" customWidth="1"/>
    <col min="528" max="528" width="9.140625" style="504"/>
    <col min="529" max="529" width="10" style="504" bestFit="1" customWidth="1"/>
    <col min="530" max="532" width="9.140625" style="504"/>
    <col min="533" max="533" width="12.42578125" style="504" customWidth="1"/>
    <col min="534" max="534" width="9.140625" style="504"/>
    <col min="535" max="535" width="12" style="504" customWidth="1"/>
    <col min="536" max="768" width="9.140625" style="504"/>
    <col min="769" max="769" width="5" style="504" customWidth="1"/>
    <col min="770" max="770" width="18.5703125" style="504" customWidth="1"/>
    <col min="771" max="771" width="8.42578125" style="504" customWidth="1"/>
    <col min="772" max="772" width="8.140625" style="504" customWidth="1"/>
    <col min="773" max="773" width="8.5703125" style="504" bestFit="1" customWidth="1"/>
    <col min="774" max="774" width="7.85546875" style="504" customWidth="1"/>
    <col min="775" max="775" width="8.42578125" style="504" customWidth="1"/>
    <col min="776" max="782" width="7.85546875" style="504" customWidth="1"/>
    <col min="783" max="783" width="9.5703125" style="504" customWidth="1"/>
    <col min="784" max="784" width="9.140625" style="504"/>
    <col min="785" max="785" width="10" style="504" bestFit="1" customWidth="1"/>
    <col min="786" max="788" width="9.140625" style="504"/>
    <col min="789" max="789" width="12.42578125" style="504" customWidth="1"/>
    <col min="790" max="790" width="9.140625" style="504"/>
    <col min="791" max="791" width="12" style="504" customWidth="1"/>
    <col min="792" max="1024" width="9.140625" style="504"/>
    <col min="1025" max="1025" width="5" style="504" customWidth="1"/>
    <col min="1026" max="1026" width="18.5703125" style="504" customWidth="1"/>
    <col min="1027" max="1027" width="8.42578125" style="504" customWidth="1"/>
    <col min="1028" max="1028" width="8.140625" style="504" customWidth="1"/>
    <col min="1029" max="1029" width="8.5703125" style="504" bestFit="1" customWidth="1"/>
    <col min="1030" max="1030" width="7.85546875" style="504" customWidth="1"/>
    <col min="1031" max="1031" width="8.42578125" style="504" customWidth="1"/>
    <col min="1032" max="1038" width="7.85546875" style="504" customWidth="1"/>
    <col min="1039" max="1039" width="9.5703125" style="504" customWidth="1"/>
    <col min="1040" max="1040" width="9.140625" style="504"/>
    <col min="1041" max="1041" width="10" style="504" bestFit="1" customWidth="1"/>
    <col min="1042" max="1044" width="9.140625" style="504"/>
    <col min="1045" max="1045" width="12.42578125" style="504" customWidth="1"/>
    <col min="1046" max="1046" width="9.140625" style="504"/>
    <col min="1047" max="1047" width="12" style="504" customWidth="1"/>
    <col min="1048" max="1280" width="9.140625" style="504"/>
    <col min="1281" max="1281" width="5" style="504" customWidth="1"/>
    <col min="1282" max="1282" width="18.5703125" style="504" customWidth="1"/>
    <col min="1283" max="1283" width="8.42578125" style="504" customWidth="1"/>
    <col min="1284" max="1284" width="8.140625" style="504" customWidth="1"/>
    <col min="1285" max="1285" width="8.5703125" style="504" bestFit="1" customWidth="1"/>
    <col min="1286" max="1286" width="7.85546875" style="504" customWidth="1"/>
    <col min="1287" max="1287" width="8.42578125" style="504" customWidth="1"/>
    <col min="1288" max="1294" width="7.85546875" style="504" customWidth="1"/>
    <col min="1295" max="1295" width="9.5703125" style="504" customWidth="1"/>
    <col min="1296" max="1296" width="9.140625" style="504"/>
    <col min="1297" max="1297" width="10" style="504" bestFit="1" customWidth="1"/>
    <col min="1298" max="1300" width="9.140625" style="504"/>
    <col min="1301" max="1301" width="12.42578125" style="504" customWidth="1"/>
    <col min="1302" max="1302" width="9.140625" style="504"/>
    <col min="1303" max="1303" width="12" style="504" customWidth="1"/>
    <col min="1304" max="1536" width="9.140625" style="504"/>
    <col min="1537" max="1537" width="5" style="504" customWidth="1"/>
    <col min="1538" max="1538" width="18.5703125" style="504" customWidth="1"/>
    <col min="1539" max="1539" width="8.42578125" style="504" customWidth="1"/>
    <col min="1540" max="1540" width="8.140625" style="504" customWidth="1"/>
    <col min="1541" max="1541" width="8.5703125" style="504" bestFit="1" customWidth="1"/>
    <col min="1542" max="1542" width="7.85546875" style="504" customWidth="1"/>
    <col min="1543" max="1543" width="8.42578125" style="504" customWidth="1"/>
    <col min="1544" max="1550" width="7.85546875" style="504" customWidth="1"/>
    <col min="1551" max="1551" width="9.5703125" style="504" customWidth="1"/>
    <col min="1552" max="1552" width="9.140625" style="504"/>
    <col min="1553" max="1553" width="10" style="504" bestFit="1" customWidth="1"/>
    <col min="1554" max="1556" width="9.140625" style="504"/>
    <col min="1557" max="1557" width="12.42578125" style="504" customWidth="1"/>
    <col min="1558" max="1558" width="9.140625" style="504"/>
    <col min="1559" max="1559" width="12" style="504" customWidth="1"/>
    <col min="1560" max="1792" width="9.140625" style="504"/>
    <col min="1793" max="1793" width="5" style="504" customWidth="1"/>
    <col min="1794" max="1794" width="18.5703125" style="504" customWidth="1"/>
    <col min="1795" max="1795" width="8.42578125" style="504" customWidth="1"/>
    <col min="1796" max="1796" width="8.140625" style="504" customWidth="1"/>
    <col min="1797" max="1797" width="8.5703125" style="504" bestFit="1" customWidth="1"/>
    <col min="1798" max="1798" width="7.85546875" style="504" customWidth="1"/>
    <col min="1799" max="1799" width="8.42578125" style="504" customWidth="1"/>
    <col min="1800" max="1806" width="7.85546875" style="504" customWidth="1"/>
    <col min="1807" max="1807" width="9.5703125" style="504" customWidth="1"/>
    <col min="1808" max="1808" width="9.140625" style="504"/>
    <col min="1809" max="1809" width="10" style="504" bestFit="1" customWidth="1"/>
    <col min="1810" max="1812" width="9.140625" style="504"/>
    <col min="1813" max="1813" width="12.42578125" style="504" customWidth="1"/>
    <col min="1814" max="1814" width="9.140625" style="504"/>
    <col min="1815" max="1815" width="12" style="504" customWidth="1"/>
    <col min="1816" max="2048" width="9.140625" style="504"/>
    <col min="2049" max="2049" width="5" style="504" customWidth="1"/>
    <col min="2050" max="2050" width="18.5703125" style="504" customWidth="1"/>
    <col min="2051" max="2051" width="8.42578125" style="504" customWidth="1"/>
    <col min="2052" max="2052" width="8.140625" style="504" customWidth="1"/>
    <col min="2053" max="2053" width="8.5703125" style="504" bestFit="1" customWidth="1"/>
    <col min="2054" max="2054" width="7.85546875" style="504" customWidth="1"/>
    <col min="2055" max="2055" width="8.42578125" style="504" customWidth="1"/>
    <col min="2056" max="2062" width="7.85546875" style="504" customWidth="1"/>
    <col min="2063" max="2063" width="9.5703125" style="504" customWidth="1"/>
    <col min="2064" max="2064" width="9.140625" style="504"/>
    <col min="2065" max="2065" width="10" style="504" bestFit="1" customWidth="1"/>
    <col min="2066" max="2068" width="9.140625" style="504"/>
    <col min="2069" max="2069" width="12.42578125" style="504" customWidth="1"/>
    <col min="2070" max="2070" width="9.140625" style="504"/>
    <col min="2071" max="2071" width="12" style="504" customWidth="1"/>
    <col min="2072" max="2304" width="9.140625" style="504"/>
    <col min="2305" max="2305" width="5" style="504" customWidth="1"/>
    <col min="2306" max="2306" width="18.5703125" style="504" customWidth="1"/>
    <col min="2307" max="2307" width="8.42578125" style="504" customWidth="1"/>
    <col min="2308" max="2308" width="8.140625" style="504" customWidth="1"/>
    <col min="2309" max="2309" width="8.5703125" style="504" bestFit="1" customWidth="1"/>
    <col min="2310" max="2310" width="7.85546875" style="504" customWidth="1"/>
    <col min="2311" max="2311" width="8.42578125" style="504" customWidth="1"/>
    <col min="2312" max="2318" width="7.85546875" style="504" customWidth="1"/>
    <col min="2319" max="2319" width="9.5703125" style="504" customWidth="1"/>
    <col min="2320" max="2320" width="9.140625" style="504"/>
    <col min="2321" max="2321" width="10" style="504" bestFit="1" customWidth="1"/>
    <col min="2322" max="2324" width="9.140625" style="504"/>
    <col min="2325" max="2325" width="12.42578125" style="504" customWidth="1"/>
    <col min="2326" max="2326" width="9.140625" style="504"/>
    <col min="2327" max="2327" width="12" style="504" customWidth="1"/>
    <col min="2328" max="2560" width="9.140625" style="504"/>
    <col min="2561" max="2561" width="5" style="504" customWidth="1"/>
    <col min="2562" max="2562" width="18.5703125" style="504" customWidth="1"/>
    <col min="2563" max="2563" width="8.42578125" style="504" customWidth="1"/>
    <col min="2564" max="2564" width="8.140625" style="504" customWidth="1"/>
    <col min="2565" max="2565" width="8.5703125" style="504" bestFit="1" customWidth="1"/>
    <col min="2566" max="2566" width="7.85546875" style="504" customWidth="1"/>
    <col min="2567" max="2567" width="8.42578125" style="504" customWidth="1"/>
    <col min="2568" max="2574" width="7.85546875" style="504" customWidth="1"/>
    <col min="2575" max="2575" width="9.5703125" style="504" customWidth="1"/>
    <col min="2576" max="2576" width="9.140625" style="504"/>
    <col min="2577" max="2577" width="10" style="504" bestFit="1" customWidth="1"/>
    <col min="2578" max="2580" width="9.140625" style="504"/>
    <col min="2581" max="2581" width="12.42578125" style="504" customWidth="1"/>
    <col min="2582" max="2582" width="9.140625" style="504"/>
    <col min="2583" max="2583" width="12" style="504" customWidth="1"/>
    <col min="2584" max="2816" width="9.140625" style="504"/>
    <col min="2817" max="2817" width="5" style="504" customWidth="1"/>
    <col min="2818" max="2818" width="18.5703125" style="504" customWidth="1"/>
    <col min="2819" max="2819" width="8.42578125" style="504" customWidth="1"/>
    <col min="2820" max="2820" width="8.140625" style="504" customWidth="1"/>
    <col min="2821" max="2821" width="8.5703125" style="504" bestFit="1" customWidth="1"/>
    <col min="2822" max="2822" width="7.85546875" style="504" customWidth="1"/>
    <col min="2823" max="2823" width="8.42578125" style="504" customWidth="1"/>
    <col min="2824" max="2830" width="7.85546875" style="504" customWidth="1"/>
    <col min="2831" max="2831" width="9.5703125" style="504" customWidth="1"/>
    <col min="2832" max="2832" width="9.140625" style="504"/>
    <col min="2833" max="2833" width="10" style="504" bestFit="1" customWidth="1"/>
    <col min="2834" max="2836" width="9.140625" style="504"/>
    <col min="2837" max="2837" width="12.42578125" style="504" customWidth="1"/>
    <col min="2838" max="2838" width="9.140625" style="504"/>
    <col min="2839" max="2839" width="12" style="504" customWidth="1"/>
    <col min="2840" max="3072" width="9.140625" style="504"/>
    <col min="3073" max="3073" width="5" style="504" customWidth="1"/>
    <col min="3074" max="3074" width="18.5703125" style="504" customWidth="1"/>
    <col min="3075" max="3075" width="8.42578125" style="504" customWidth="1"/>
    <col min="3076" max="3076" width="8.140625" style="504" customWidth="1"/>
    <col min="3077" max="3077" width="8.5703125" style="504" bestFit="1" customWidth="1"/>
    <col min="3078" max="3078" width="7.85546875" style="504" customWidth="1"/>
    <col min="3079" max="3079" width="8.42578125" style="504" customWidth="1"/>
    <col min="3080" max="3086" width="7.85546875" style="504" customWidth="1"/>
    <col min="3087" max="3087" width="9.5703125" style="504" customWidth="1"/>
    <col min="3088" max="3088" width="9.140625" style="504"/>
    <col min="3089" max="3089" width="10" style="504" bestFit="1" customWidth="1"/>
    <col min="3090" max="3092" width="9.140625" style="504"/>
    <col min="3093" max="3093" width="12.42578125" style="504" customWidth="1"/>
    <col min="3094" max="3094" width="9.140625" style="504"/>
    <col min="3095" max="3095" width="12" style="504" customWidth="1"/>
    <col min="3096" max="3328" width="9.140625" style="504"/>
    <col min="3329" max="3329" width="5" style="504" customWidth="1"/>
    <col min="3330" max="3330" width="18.5703125" style="504" customWidth="1"/>
    <col min="3331" max="3331" width="8.42578125" style="504" customWidth="1"/>
    <col min="3332" max="3332" width="8.140625" style="504" customWidth="1"/>
    <col min="3333" max="3333" width="8.5703125" style="504" bestFit="1" customWidth="1"/>
    <col min="3334" max="3334" width="7.85546875" style="504" customWidth="1"/>
    <col min="3335" max="3335" width="8.42578125" style="504" customWidth="1"/>
    <col min="3336" max="3342" width="7.85546875" style="504" customWidth="1"/>
    <col min="3343" max="3343" width="9.5703125" style="504" customWidth="1"/>
    <col min="3344" max="3344" width="9.140625" style="504"/>
    <col min="3345" max="3345" width="10" style="504" bestFit="1" customWidth="1"/>
    <col min="3346" max="3348" width="9.140625" style="504"/>
    <col min="3349" max="3349" width="12.42578125" style="504" customWidth="1"/>
    <col min="3350" max="3350" width="9.140625" style="504"/>
    <col min="3351" max="3351" width="12" style="504" customWidth="1"/>
    <col min="3352" max="3584" width="9.140625" style="504"/>
    <col min="3585" max="3585" width="5" style="504" customWidth="1"/>
    <col min="3586" max="3586" width="18.5703125" style="504" customWidth="1"/>
    <col min="3587" max="3587" width="8.42578125" style="504" customWidth="1"/>
    <col min="3588" max="3588" width="8.140625" style="504" customWidth="1"/>
    <col min="3589" max="3589" width="8.5703125" style="504" bestFit="1" customWidth="1"/>
    <col min="3590" max="3590" width="7.85546875" style="504" customWidth="1"/>
    <col min="3591" max="3591" width="8.42578125" style="504" customWidth="1"/>
    <col min="3592" max="3598" width="7.85546875" style="504" customWidth="1"/>
    <col min="3599" max="3599" width="9.5703125" style="504" customWidth="1"/>
    <col min="3600" max="3600" width="9.140625" style="504"/>
    <col min="3601" max="3601" width="10" style="504" bestFit="1" customWidth="1"/>
    <col min="3602" max="3604" width="9.140625" style="504"/>
    <col min="3605" max="3605" width="12.42578125" style="504" customWidth="1"/>
    <col min="3606" max="3606" width="9.140625" style="504"/>
    <col min="3607" max="3607" width="12" style="504" customWidth="1"/>
    <col min="3608" max="3840" width="9.140625" style="504"/>
    <col min="3841" max="3841" width="5" style="504" customWidth="1"/>
    <col min="3842" max="3842" width="18.5703125" style="504" customWidth="1"/>
    <col min="3843" max="3843" width="8.42578125" style="504" customWidth="1"/>
    <col min="3844" max="3844" width="8.140625" style="504" customWidth="1"/>
    <col min="3845" max="3845" width="8.5703125" style="504" bestFit="1" customWidth="1"/>
    <col min="3846" max="3846" width="7.85546875" style="504" customWidth="1"/>
    <col min="3847" max="3847" width="8.42578125" style="504" customWidth="1"/>
    <col min="3848" max="3854" width="7.85546875" style="504" customWidth="1"/>
    <col min="3855" max="3855" width="9.5703125" style="504" customWidth="1"/>
    <col min="3856" max="3856" width="9.140625" style="504"/>
    <col min="3857" max="3857" width="10" style="504" bestFit="1" customWidth="1"/>
    <col min="3858" max="3860" width="9.140625" style="504"/>
    <col min="3861" max="3861" width="12.42578125" style="504" customWidth="1"/>
    <col min="3862" max="3862" width="9.140625" style="504"/>
    <col min="3863" max="3863" width="12" style="504" customWidth="1"/>
    <col min="3864" max="4096" width="9.140625" style="504"/>
    <col min="4097" max="4097" width="5" style="504" customWidth="1"/>
    <col min="4098" max="4098" width="18.5703125" style="504" customWidth="1"/>
    <col min="4099" max="4099" width="8.42578125" style="504" customWidth="1"/>
    <col min="4100" max="4100" width="8.140625" style="504" customWidth="1"/>
    <col min="4101" max="4101" width="8.5703125" style="504" bestFit="1" customWidth="1"/>
    <col min="4102" max="4102" width="7.85546875" style="504" customWidth="1"/>
    <col min="4103" max="4103" width="8.42578125" style="504" customWidth="1"/>
    <col min="4104" max="4110" width="7.85546875" style="504" customWidth="1"/>
    <col min="4111" max="4111" width="9.5703125" style="504" customWidth="1"/>
    <col min="4112" max="4112" width="9.140625" style="504"/>
    <col min="4113" max="4113" width="10" style="504" bestFit="1" customWidth="1"/>
    <col min="4114" max="4116" width="9.140625" style="504"/>
    <col min="4117" max="4117" width="12.42578125" style="504" customWidth="1"/>
    <col min="4118" max="4118" width="9.140625" style="504"/>
    <col min="4119" max="4119" width="12" style="504" customWidth="1"/>
    <col min="4120" max="4352" width="9.140625" style="504"/>
    <col min="4353" max="4353" width="5" style="504" customWidth="1"/>
    <col min="4354" max="4354" width="18.5703125" style="504" customWidth="1"/>
    <col min="4355" max="4355" width="8.42578125" style="504" customWidth="1"/>
    <col min="4356" max="4356" width="8.140625" style="504" customWidth="1"/>
    <col min="4357" max="4357" width="8.5703125" style="504" bestFit="1" customWidth="1"/>
    <col min="4358" max="4358" width="7.85546875" style="504" customWidth="1"/>
    <col min="4359" max="4359" width="8.42578125" style="504" customWidth="1"/>
    <col min="4360" max="4366" width="7.85546875" style="504" customWidth="1"/>
    <col min="4367" max="4367" width="9.5703125" style="504" customWidth="1"/>
    <col min="4368" max="4368" width="9.140625" style="504"/>
    <col min="4369" max="4369" width="10" style="504" bestFit="1" customWidth="1"/>
    <col min="4370" max="4372" width="9.140625" style="504"/>
    <col min="4373" max="4373" width="12.42578125" style="504" customWidth="1"/>
    <col min="4374" max="4374" width="9.140625" style="504"/>
    <col min="4375" max="4375" width="12" style="504" customWidth="1"/>
    <col min="4376" max="4608" width="9.140625" style="504"/>
    <col min="4609" max="4609" width="5" style="504" customWidth="1"/>
    <col min="4610" max="4610" width="18.5703125" style="504" customWidth="1"/>
    <col min="4611" max="4611" width="8.42578125" style="504" customWidth="1"/>
    <col min="4612" max="4612" width="8.140625" style="504" customWidth="1"/>
    <col min="4613" max="4613" width="8.5703125" style="504" bestFit="1" customWidth="1"/>
    <col min="4614" max="4614" width="7.85546875" style="504" customWidth="1"/>
    <col min="4615" max="4615" width="8.42578125" style="504" customWidth="1"/>
    <col min="4616" max="4622" width="7.85546875" style="504" customWidth="1"/>
    <col min="4623" max="4623" width="9.5703125" style="504" customWidth="1"/>
    <col min="4624" max="4624" width="9.140625" style="504"/>
    <col min="4625" max="4625" width="10" style="504" bestFit="1" customWidth="1"/>
    <col min="4626" max="4628" width="9.140625" style="504"/>
    <col min="4629" max="4629" width="12.42578125" style="504" customWidth="1"/>
    <col min="4630" max="4630" width="9.140625" style="504"/>
    <col min="4631" max="4631" width="12" style="504" customWidth="1"/>
    <col min="4632" max="4864" width="9.140625" style="504"/>
    <col min="4865" max="4865" width="5" style="504" customWidth="1"/>
    <col min="4866" max="4866" width="18.5703125" style="504" customWidth="1"/>
    <col min="4867" max="4867" width="8.42578125" style="504" customWidth="1"/>
    <col min="4868" max="4868" width="8.140625" style="504" customWidth="1"/>
    <col min="4869" max="4869" width="8.5703125" style="504" bestFit="1" customWidth="1"/>
    <col min="4870" max="4870" width="7.85546875" style="504" customWidth="1"/>
    <col min="4871" max="4871" width="8.42578125" style="504" customWidth="1"/>
    <col min="4872" max="4878" width="7.85546875" style="504" customWidth="1"/>
    <col min="4879" max="4879" width="9.5703125" style="504" customWidth="1"/>
    <col min="4880" max="4880" width="9.140625" style="504"/>
    <col min="4881" max="4881" width="10" style="504" bestFit="1" customWidth="1"/>
    <col min="4882" max="4884" width="9.140625" style="504"/>
    <col min="4885" max="4885" width="12.42578125" style="504" customWidth="1"/>
    <col min="4886" max="4886" width="9.140625" style="504"/>
    <col min="4887" max="4887" width="12" style="504" customWidth="1"/>
    <col min="4888" max="5120" width="9.140625" style="504"/>
    <col min="5121" max="5121" width="5" style="504" customWidth="1"/>
    <col min="5122" max="5122" width="18.5703125" style="504" customWidth="1"/>
    <col min="5123" max="5123" width="8.42578125" style="504" customWidth="1"/>
    <col min="5124" max="5124" width="8.140625" style="504" customWidth="1"/>
    <col min="5125" max="5125" width="8.5703125" style="504" bestFit="1" customWidth="1"/>
    <col min="5126" max="5126" width="7.85546875" style="504" customWidth="1"/>
    <col min="5127" max="5127" width="8.42578125" style="504" customWidth="1"/>
    <col min="5128" max="5134" width="7.85546875" style="504" customWidth="1"/>
    <col min="5135" max="5135" width="9.5703125" style="504" customWidth="1"/>
    <col min="5136" max="5136" width="9.140625" style="504"/>
    <col min="5137" max="5137" width="10" style="504" bestFit="1" customWidth="1"/>
    <col min="5138" max="5140" width="9.140625" style="504"/>
    <col min="5141" max="5141" width="12.42578125" style="504" customWidth="1"/>
    <col min="5142" max="5142" width="9.140625" style="504"/>
    <col min="5143" max="5143" width="12" style="504" customWidth="1"/>
    <col min="5144" max="5376" width="9.140625" style="504"/>
    <col min="5377" max="5377" width="5" style="504" customWidth="1"/>
    <col min="5378" max="5378" width="18.5703125" style="504" customWidth="1"/>
    <col min="5379" max="5379" width="8.42578125" style="504" customWidth="1"/>
    <col min="5380" max="5380" width="8.140625" style="504" customWidth="1"/>
    <col min="5381" max="5381" width="8.5703125" style="504" bestFit="1" customWidth="1"/>
    <col min="5382" max="5382" width="7.85546875" style="504" customWidth="1"/>
    <col min="5383" max="5383" width="8.42578125" style="504" customWidth="1"/>
    <col min="5384" max="5390" width="7.85546875" style="504" customWidth="1"/>
    <col min="5391" max="5391" width="9.5703125" style="504" customWidth="1"/>
    <col min="5392" max="5392" width="9.140625" style="504"/>
    <col min="5393" max="5393" width="10" style="504" bestFit="1" customWidth="1"/>
    <col min="5394" max="5396" width="9.140625" style="504"/>
    <col min="5397" max="5397" width="12.42578125" style="504" customWidth="1"/>
    <col min="5398" max="5398" width="9.140625" style="504"/>
    <col min="5399" max="5399" width="12" style="504" customWidth="1"/>
    <col min="5400" max="5632" width="9.140625" style="504"/>
    <col min="5633" max="5633" width="5" style="504" customWidth="1"/>
    <col min="5634" max="5634" width="18.5703125" style="504" customWidth="1"/>
    <col min="5635" max="5635" width="8.42578125" style="504" customWidth="1"/>
    <col min="5636" max="5636" width="8.140625" style="504" customWidth="1"/>
    <col min="5637" max="5637" width="8.5703125" style="504" bestFit="1" customWidth="1"/>
    <col min="5638" max="5638" width="7.85546875" style="504" customWidth="1"/>
    <col min="5639" max="5639" width="8.42578125" style="504" customWidth="1"/>
    <col min="5640" max="5646" width="7.85546875" style="504" customWidth="1"/>
    <col min="5647" max="5647" width="9.5703125" style="504" customWidth="1"/>
    <col min="5648" max="5648" width="9.140625" style="504"/>
    <col min="5649" max="5649" width="10" style="504" bestFit="1" customWidth="1"/>
    <col min="5650" max="5652" width="9.140625" style="504"/>
    <col min="5653" max="5653" width="12.42578125" style="504" customWidth="1"/>
    <col min="5654" max="5654" width="9.140625" style="504"/>
    <col min="5655" max="5655" width="12" style="504" customWidth="1"/>
    <col min="5656" max="5888" width="9.140625" style="504"/>
    <col min="5889" max="5889" width="5" style="504" customWidth="1"/>
    <col min="5890" max="5890" width="18.5703125" style="504" customWidth="1"/>
    <col min="5891" max="5891" width="8.42578125" style="504" customWidth="1"/>
    <col min="5892" max="5892" width="8.140625" style="504" customWidth="1"/>
    <col min="5893" max="5893" width="8.5703125" style="504" bestFit="1" customWidth="1"/>
    <col min="5894" max="5894" width="7.85546875" style="504" customWidth="1"/>
    <col min="5895" max="5895" width="8.42578125" style="504" customWidth="1"/>
    <col min="5896" max="5902" width="7.85546875" style="504" customWidth="1"/>
    <col min="5903" max="5903" width="9.5703125" style="504" customWidth="1"/>
    <col min="5904" max="5904" width="9.140625" style="504"/>
    <col min="5905" max="5905" width="10" style="504" bestFit="1" customWidth="1"/>
    <col min="5906" max="5908" width="9.140625" style="504"/>
    <col min="5909" max="5909" width="12.42578125" style="504" customWidth="1"/>
    <col min="5910" max="5910" width="9.140625" style="504"/>
    <col min="5911" max="5911" width="12" style="504" customWidth="1"/>
    <col min="5912" max="6144" width="9.140625" style="504"/>
    <col min="6145" max="6145" width="5" style="504" customWidth="1"/>
    <col min="6146" max="6146" width="18.5703125" style="504" customWidth="1"/>
    <col min="6147" max="6147" width="8.42578125" style="504" customWidth="1"/>
    <col min="6148" max="6148" width="8.140625" style="504" customWidth="1"/>
    <col min="6149" max="6149" width="8.5703125" style="504" bestFit="1" customWidth="1"/>
    <col min="6150" max="6150" width="7.85546875" style="504" customWidth="1"/>
    <col min="6151" max="6151" width="8.42578125" style="504" customWidth="1"/>
    <col min="6152" max="6158" width="7.85546875" style="504" customWidth="1"/>
    <col min="6159" max="6159" width="9.5703125" style="504" customWidth="1"/>
    <col min="6160" max="6160" width="9.140625" style="504"/>
    <col min="6161" max="6161" width="10" style="504" bestFit="1" customWidth="1"/>
    <col min="6162" max="6164" width="9.140625" style="504"/>
    <col min="6165" max="6165" width="12.42578125" style="504" customWidth="1"/>
    <col min="6166" max="6166" width="9.140625" style="504"/>
    <col min="6167" max="6167" width="12" style="504" customWidth="1"/>
    <col min="6168" max="6400" width="9.140625" style="504"/>
    <col min="6401" max="6401" width="5" style="504" customWidth="1"/>
    <col min="6402" max="6402" width="18.5703125" style="504" customWidth="1"/>
    <col min="6403" max="6403" width="8.42578125" style="504" customWidth="1"/>
    <col min="6404" max="6404" width="8.140625" style="504" customWidth="1"/>
    <col min="6405" max="6405" width="8.5703125" style="504" bestFit="1" customWidth="1"/>
    <col min="6406" max="6406" width="7.85546875" style="504" customWidth="1"/>
    <col min="6407" max="6407" width="8.42578125" style="504" customWidth="1"/>
    <col min="6408" max="6414" width="7.85546875" style="504" customWidth="1"/>
    <col min="6415" max="6415" width="9.5703125" style="504" customWidth="1"/>
    <col min="6416" max="6416" width="9.140625" style="504"/>
    <col min="6417" max="6417" width="10" style="504" bestFit="1" customWidth="1"/>
    <col min="6418" max="6420" width="9.140625" style="504"/>
    <col min="6421" max="6421" width="12.42578125" style="504" customWidth="1"/>
    <col min="6422" max="6422" width="9.140625" style="504"/>
    <col min="6423" max="6423" width="12" style="504" customWidth="1"/>
    <col min="6424" max="6656" width="9.140625" style="504"/>
    <col min="6657" max="6657" width="5" style="504" customWidth="1"/>
    <col min="6658" max="6658" width="18.5703125" style="504" customWidth="1"/>
    <col min="6659" max="6659" width="8.42578125" style="504" customWidth="1"/>
    <col min="6660" max="6660" width="8.140625" style="504" customWidth="1"/>
    <col min="6661" max="6661" width="8.5703125" style="504" bestFit="1" customWidth="1"/>
    <col min="6662" max="6662" width="7.85546875" style="504" customWidth="1"/>
    <col min="6663" max="6663" width="8.42578125" style="504" customWidth="1"/>
    <col min="6664" max="6670" width="7.85546875" style="504" customWidth="1"/>
    <col min="6671" max="6671" width="9.5703125" style="504" customWidth="1"/>
    <col min="6672" max="6672" width="9.140625" style="504"/>
    <col min="6673" max="6673" width="10" style="504" bestFit="1" customWidth="1"/>
    <col min="6674" max="6676" width="9.140625" style="504"/>
    <col min="6677" max="6677" width="12.42578125" style="504" customWidth="1"/>
    <col min="6678" max="6678" width="9.140625" style="504"/>
    <col min="6679" max="6679" width="12" style="504" customWidth="1"/>
    <col min="6680" max="6912" width="9.140625" style="504"/>
    <col min="6913" max="6913" width="5" style="504" customWidth="1"/>
    <col min="6914" max="6914" width="18.5703125" style="504" customWidth="1"/>
    <col min="6915" max="6915" width="8.42578125" style="504" customWidth="1"/>
    <col min="6916" max="6916" width="8.140625" style="504" customWidth="1"/>
    <col min="6917" max="6917" width="8.5703125" style="504" bestFit="1" customWidth="1"/>
    <col min="6918" max="6918" width="7.85546875" style="504" customWidth="1"/>
    <col min="6919" max="6919" width="8.42578125" style="504" customWidth="1"/>
    <col min="6920" max="6926" width="7.85546875" style="504" customWidth="1"/>
    <col min="6927" max="6927" width="9.5703125" style="504" customWidth="1"/>
    <col min="6928" max="6928" width="9.140625" style="504"/>
    <col min="6929" max="6929" width="10" style="504" bestFit="1" customWidth="1"/>
    <col min="6930" max="6932" width="9.140625" style="504"/>
    <col min="6933" max="6933" width="12.42578125" style="504" customWidth="1"/>
    <col min="6934" max="6934" width="9.140625" style="504"/>
    <col min="6935" max="6935" width="12" style="504" customWidth="1"/>
    <col min="6936" max="7168" width="9.140625" style="504"/>
    <col min="7169" max="7169" width="5" style="504" customWidth="1"/>
    <col min="7170" max="7170" width="18.5703125" style="504" customWidth="1"/>
    <col min="7171" max="7171" width="8.42578125" style="504" customWidth="1"/>
    <col min="7172" max="7172" width="8.140625" style="504" customWidth="1"/>
    <col min="7173" max="7173" width="8.5703125" style="504" bestFit="1" customWidth="1"/>
    <col min="7174" max="7174" width="7.85546875" style="504" customWidth="1"/>
    <col min="7175" max="7175" width="8.42578125" style="504" customWidth="1"/>
    <col min="7176" max="7182" width="7.85546875" style="504" customWidth="1"/>
    <col min="7183" max="7183" width="9.5703125" style="504" customWidth="1"/>
    <col min="7184" max="7184" width="9.140625" style="504"/>
    <col min="7185" max="7185" width="10" style="504" bestFit="1" customWidth="1"/>
    <col min="7186" max="7188" width="9.140625" style="504"/>
    <col min="7189" max="7189" width="12.42578125" style="504" customWidth="1"/>
    <col min="7190" max="7190" width="9.140625" style="504"/>
    <col min="7191" max="7191" width="12" style="504" customWidth="1"/>
    <col min="7192" max="7424" width="9.140625" style="504"/>
    <col min="7425" max="7425" width="5" style="504" customWidth="1"/>
    <col min="7426" max="7426" width="18.5703125" style="504" customWidth="1"/>
    <col min="7427" max="7427" width="8.42578125" style="504" customWidth="1"/>
    <col min="7428" max="7428" width="8.140625" style="504" customWidth="1"/>
    <col min="7429" max="7429" width="8.5703125" style="504" bestFit="1" customWidth="1"/>
    <col min="7430" max="7430" width="7.85546875" style="504" customWidth="1"/>
    <col min="7431" max="7431" width="8.42578125" style="504" customWidth="1"/>
    <col min="7432" max="7438" width="7.85546875" style="504" customWidth="1"/>
    <col min="7439" max="7439" width="9.5703125" style="504" customWidth="1"/>
    <col min="7440" max="7440" width="9.140625" style="504"/>
    <col min="7441" max="7441" width="10" style="504" bestFit="1" customWidth="1"/>
    <col min="7442" max="7444" width="9.140625" style="504"/>
    <col min="7445" max="7445" width="12.42578125" style="504" customWidth="1"/>
    <col min="7446" max="7446" width="9.140625" style="504"/>
    <col min="7447" max="7447" width="12" style="504" customWidth="1"/>
    <col min="7448" max="7680" width="9.140625" style="504"/>
    <col min="7681" max="7681" width="5" style="504" customWidth="1"/>
    <col min="7682" max="7682" width="18.5703125" style="504" customWidth="1"/>
    <col min="7683" max="7683" width="8.42578125" style="504" customWidth="1"/>
    <col min="7684" max="7684" width="8.140625" style="504" customWidth="1"/>
    <col min="7685" max="7685" width="8.5703125" style="504" bestFit="1" customWidth="1"/>
    <col min="7686" max="7686" width="7.85546875" style="504" customWidth="1"/>
    <col min="7687" max="7687" width="8.42578125" style="504" customWidth="1"/>
    <col min="7688" max="7694" width="7.85546875" style="504" customWidth="1"/>
    <col min="7695" max="7695" width="9.5703125" style="504" customWidth="1"/>
    <col min="7696" max="7696" width="9.140625" style="504"/>
    <col min="7697" max="7697" width="10" style="504" bestFit="1" customWidth="1"/>
    <col min="7698" max="7700" width="9.140625" style="504"/>
    <col min="7701" max="7701" width="12.42578125" style="504" customWidth="1"/>
    <col min="7702" max="7702" width="9.140625" style="504"/>
    <col min="7703" max="7703" width="12" style="504" customWidth="1"/>
    <col min="7704" max="7936" width="9.140625" style="504"/>
    <col min="7937" max="7937" width="5" style="504" customWidth="1"/>
    <col min="7938" max="7938" width="18.5703125" style="504" customWidth="1"/>
    <col min="7939" max="7939" width="8.42578125" style="504" customWidth="1"/>
    <col min="7940" max="7940" width="8.140625" style="504" customWidth="1"/>
    <col min="7941" max="7941" width="8.5703125" style="504" bestFit="1" customWidth="1"/>
    <col min="7942" max="7942" width="7.85546875" style="504" customWidth="1"/>
    <col min="7943" max="7943" width="8.42578125" style="504" customWidth="1"/>
    <col min="7944" max="7950" width="7.85546875" style="504" customWidth="1"/>
    <col min="7951" max="7951" width="9.5703125" style="504" customWidth="1"/>
    <col min="7952" max="7952" width="9.140625" style="504"/>
    <col min="7953" max="7953" width="10" style="504" bestFit="1" customWidth="1"/>
    <col min="7954" max="7956" width="9.140625" style="504"/>
    <col min="7957" max="7957" width="12.42578125" style="504" customWidth="1"/>
    <col min="7958" max="7958" width="9.140625" style="504"/>
    <col min="7959" max="7959" width="12" style="504" customWidth="1"/>
    <col min="7960" max="8192" width="9.140625" style="504"/>
    <col min="8193" max="8193" width="5" style="504" customWidth="1"/>
    <col min="8194" max="8194" width="18.5703125" style="504" customWidth="1"/>
    <col min="8195" max="8195" width="8.42578125" style="504" customWidth="1"/>
    <col min="8196" max="8196" width="8.140625" style="504" customWidth="1"/>
    <col min="8197" max="8197" width="8.5703125" style="504" bestFit="1" customWidth="1"/>
    <col min="8198" max="8198" width="7.85546875" style="504" customWidth="1"/>
    <col min="8199" max="8199" width="8.42578125" style="504" customWidth="1"/>
    <col min="8200" max="8206" width="7.85546875" style="504" customWidth="1"/>
    <col min="8207" max="8207" width="9.5703125" style="504" customWidth="1"/>
    <col min="8208" max="8208" width="9.140625" style="504"/>
    <col min="8209" max="8209" width="10" style="504" bestFit="1" customWidth="1"/>
    <col min="8210" max="8212" width="9.140625" style="504"/>
    <col min="8213" max="8213" width="12.42578125" style="504" customWidth="1"/>
    <col min="8214" max="8214" width="9.140625" style="504"/>
    <col min="8215" max="8215" width="12" style="504" customWidth="1"/>
    <col min="8216" max="8448" width="9.140625" style="504"/>
    <col min="8449" max="8449" width="5" style="504" customWidth="1"/>
    <col min="8450" max="8450" width="18.5703125" style="504" customWidth="1"/>
    <col min="8451" max="8451" width="8.42578125" style="504" customWidth="1"/>
    <col min="8452" max="8452" width="8.140625" style="504" customWidth="1"/>
    <col min="8453" max="8453" width="8.5703125" style="504" bestFit="1" customWidth="1"/>
    <col min="8454" max="8454" width="7.85546875" style="504" customWidth="1"/>
    <col min="8455" max="8455" width="8.42578125" style="504" customWidth="1"/>
    <col min="8456" max="8462" width="7.85546875" style="504" customWidth="1"/>
    <col min="8463" max="8463" width="9.5703125" style="504" customWidth="1"/>
    <col min="8464" max="8464" width="9.140625" style="504"/>
    <col min="8465" max="8465" width="10" style="504" bestFit="1" customWidth="1"/>
    <col min="8466" max="8468" width="9.140625" style="504"/>
    <col min="8469" max="8469" width="12.42578125" style="504" customWidth="1"/>
    <col min="8470" max="8470" width="9.140625" style="504"/>
    <col min="8471" max="8471" width="12" style="504" customWidth="1"/>
    <col min="8472" max="8704" width="9.140625" style="504"/>
    <col min="8705" max="8705" width="5" style="504" customWidth="1"/>
    <col min="8706" max="8706" width="18.5703125" style="504" customWidth="1"/>
    <col min="8707" max="8707" width="8.42578125" style="504" customWidth="1"/>
    <col min="8708" max="8708" width="8.140625" style="504" customWidth="1"/>
    <col min="8709" max="8709" width="8.5703125" style="504" bestFit="1" customWidth="1"/>
    <col min="8710" max="8710" width="7.85546875" style="504" customWidth="1"/>
    <col min="8711" max="8711" width="8.42578125" style="504" customWidth="1"/>
    <col min="8712" max="8718" width="7.85546875" style="504" customWidth="1"/>
    <col min="8719" max="8719" width="9.5703125" style="504" customWidth="1"/>
    <col min="8720" max="8720" width="9.140625" style="504"/>
    <col min="8721" max="8721" width="10" style="504" bestFit="1" customWidth="1"/>
    <col min="8722" max="8724" width="9.140625" style="504"/>
    <col min="8725" max="8725" width="12.42578125" style="504" customWidth="1"/>
    <col min="8726" max="8726" width="9.140625" style="504"/>
    <col min="8727" max="8727" width="12" style="504" customWidth="1"/>
    <col min="8728" max="8960" width="9.140625" style="504"/>
    <col min="8961" max="8961" width="5" style="504" customWidth="1"/>
    <col min="8962" max="8962" width="18.5703125" style="504" customWidth="1"/>
    <col min="8963" max="8963" width="8.42578125" style="504" customWidth="1"/>
    <col min="8964" max="8964" width="8.140625" style="504" customWidth="1"/>
    <col min="8965" max="8965" width="8.5703125" style="504" bestFit="1" customWidth="1"/>
    <col min="8966" max="8966" width="7.85546875" style="504" customWidth="1"/>
    <col min="8967" max="8967" width="8.42578125" style="504" customWidth="1"/>
    <col min="8968" max="8974" width="7.85546875" style="504" customWidth="1"/>
    <col min="8975" max="8975" width="9.5703125" style="504" customWidth="1"/>
    <col min="8976" max="8976" width="9.140625" style="504"/>
    <col min="8977" max="8977" width="10" style="504" bestFit="1" customWidth="1"/>
    <col min="8978" max="8980" width="9.140625" style="504"/>
    <col min="8981" max="8981" width="12.42578125" style="504" customWidth="1"/>
    <col min="8982" max="8982" width="9.140625" style="504"/>
    <col min="8983" max="8983" width="12" style="504" customWidth="1"/>
    <col min="8984" max="9216" width="9.140625" style="504"/>
    <col min="9217" max="9217" width="5" style="504" customWidth="1"/>
    <col min="9218" max="9218" width="18.5703125" style="504" customWidth="1"/>
    <col min="9219" max="9219" width="8.42578125" style="504" customWidth="1"/>
    <col min="9220" max="9220" width="8.140625" style="504" customWidth="1"/>
    <col min="9221" max="9221" width="8.5703125" style="504" bestFit="1" customWidth="1"/>
    <col min="9222" max="9222" width="7.85546875" style="504" customWidth="1"/>
    <col min="9223" max="9223" width="8.42578125" style="504" customWidth="1"/>
    <col min="9224" max="9230" width="7.85546875" style="504" customWidth="1"/>
    <col min="9231" max="9231" width="9.5703125" style="504" customWidth="1"/>
    <col min="9232" max="9232" width="9.140625" style="504"/>
    <col min="9233" max="9233" width="10" style="504" bestFit="1" customWidth="1"/>
    <col min="9234" max="9236" width="9.140625" style="504"/>
    <col min="9237" max="9237" width="12.42578125" style="504" customWidth="1"/>
    <col min="9238" max="9238" width="9.140625" style="504"/>
    <col min="9239" max="9239" width="12" style="504" customWidth="1"/>
    <col min="9240" max="9472" width="9.140625" style="504"/>
    <col min="9473" max="9473" width="5" style="504" customWidth="1"/>
    <col min="9474" max="9474" width="18.5703125" style="504" customWidth="1"/>
    <col min="9475" max="9475" width="8.42578125" style="504" customWidth="1"/>
    <col min="9476" max="9476" width="8.140625" style="504" customWidth="1"/>
    <col min="9477" max="9477" width="8.5703125" style="504" bestFit="1" customWidth="1"/>
    <col min="9478" max="9478" width="7.85546875" style="504" customWidth="1"/>
    <col min="9479" max="9479" width="8.42578125" style="504" customWidth="1"/>
    <col min="9480" max="9486" width="7.85546875" style="504" customWidth="1"/>
    <col min="9487" max="9487" width="9.5703125" style="504" customWidth="1"/>
    <col min="9488" max="9488" width="9.140625" style="504"/>
    <col min="9489" max="9489" width="10" style="504" bestFit="1" customWidth="1"/>
    <col min="9490" max="9492" width="9.140625" style="504"/>
    <col min="9493" max="9493" width="12.42578125" style="504" customWidth="1"/>
    <col min="9494" max="9494" width="9.140625" style="504"/>
    <col min="9495" max="9495" width="12" style="504" customWidth="1"/>
    <col min="9496" max="9728" width="9.140625" style="504"/>
    <col min="9729" max="9729" width="5" style="504" customWidth="1"/>
    <col min="9730" max="9730" width="18.5703125" style="504" customWidth="1"/>
    <col min="9731" max="9731" width="8.42578125" style="504" customWidth="1"/>
    <col min="9732" max="9732" width="8.140625" style="504" customWidth="1"/>
    <col min="9733" max="9733" width="8.5703125" style="504" bestFit="1" customWidth="1"/>
    <col min="9734" max="9734" width="7.85546875" style="504" customWidth="1"/>
    <col min="9735" max="9735" width="8.42578125" style="504" customWidth="1"/>
    <col min="9736" max="9742" width="7.85546875" style="504" customWidth="1"/>
    <col min="9743" max="9743" width="9.5703125" style="504" customWidth="1"/>
    <col min="9744" max="9744" width="9.140625" style="504"/>
    <col min="9745" max="9745" width="10" style="504" bestFit="1" customWidth="1"/>
    <col min="9746" max="9748" width="9.140625" style="504"/>
    <col min="9749" max="9749" width="12.42578125" style="504" customWidth="1"/>
    <col min="9750" max="9750" width="9.140625" style="504"/>
    <col min="9751" max="9751" width="12" style="504" customWidth="1"/>
    <col min="9752" max="9984" width="9.140625" style="504"/>
    <col min="9985" max="9985" width="5" style="504" customWidth="1"/>
    <col min="9986" max="9986" width="18.5703125" style="504" customWidth="1"/>
    <col min="9987" max="9987" width="8.42578125" style="504" customWidth="1"/>
    <col min="9988" max="9988" width="8.140625" style="504" customWidth="1"/>
    <col min="9989" max="9989" width="8.5703125" style="504" bestFit="1" customWidth="1"/>
    <col min="9990" max="9990" width="7.85546875" style="504" customWidth="1"/>
    <col min="9991" max="9991" width="8.42578125" style="504" customWidth="1"/>
    <col min="9992" max="9998" width="7.85546875" style="504" customWidth="1"/>
    <col min="9999" max="9999" width="9.5703125" style="504" customWidth="1"/>
    <col min="10000" max="10000" width="9.140625" style="504"/>
    <col min="10001" max="10001" width="10" style="504" bestFit="1" customWidth="1"/>
    <col min="10002" max="10004" width="9.140625" style="504"/>
    <col min="10005" max="10005" width="12.42578125" style="504" customWidth="1"/>
    <col min="10006" max="10006" width="9.140625" style="504"/>
    <col min="10007" max="10007" width="12" style="504" customWidth="1"/>
    <col min="10008" max="10240" width="9.140625" style="504"/>
    <col min="10241" max="10241" width="5" style="504" customWidth="1"/>
    <col min="10242" max="10242" width="18.5703125" style="504" customWidth="1"/>
    <col min="10243" max="10243" width="8.42578125" style="504" customWidth="1"/>
    <col min="10244" max="10244" width="8.140625" style="504" customWidth="1"/>
    <col min="10245" max="10245" width="8.5703125" style="504" bestFit="1" customWidth="1"/>
    <col min="10246" max="10246" width="7.85546875" style="504" customWidth="1"/>
    <col min="10247" max="10247" width="8.42578125" style="504" customWidth="1"/>
    <col min="10248" max="10254" width="7.85546875" style="504" customWidth="1"/>
    <col min="10255" max="10255" width="9.5703125" style="504" customWidth="1"/>
    <col min="10256" max="10256" width="9.140625" style="504"/>
    <col min="10257" max="10257" width="10" style="504" bestFit="1" customWidth="1"/>
    <col min="10258" max="10260" width="9.140625" style="504"/>
    <col min="10261" max="10261" width="12.42578125" style="504" customWidth="1"/>
    <col min="10262" max="10262" width="9.140625" style="504"/>
    <col min="10263" max="10263" width="12" style="504" customWidth="1"/>
    <col min="10264" max="10496" width="9.140625" style="504"/>
    <col min="10497" max="10497" width="5" style="504" customWidth="1"/>
    <col min="10498" max="10498" width="18.5703125" style="504" customWidth="1"/>
    <col min="10499" max="10499" width="8.42578125" style="504" customWidth="1"/>
    <col min="10500" max="10500" width="8.140625" style="504" customWidth="1"/>
    <col min="10501" max="10501" width="8.5703125" style="504" bestFit="1" customWidth="1"/>
    <col min="10502" max="10502" width="7.85546875" style="504" customWidth="1"/>
    <col min="10503" max="10503" width="8.42578125" style="504" customWidth="1"/>
    <col min="10504" max="10510" width="7.85546875" style="504" customWidth="1"/>
    <col min="10511" max="10511" width="9.5703125" style="504" customWidth="1"/>
    <col min="10512" max="10512" width="9.140625" style="504"/>
    <col min="10513" max="10513" width="10" style="504" bestFit="1" customWidth="1"/>
    <col min="10514" max="10516" width="9.140625" style="504"/>
    <col min="10517" max="10517" width="12.42578125" style="504" customWidth="1"/>
    <col min="10518" max="10518" width="9.140625" style="504"/>
    <col min="10519" max="10519" width="12" style="504" customWidth="1"/>
    <col min="10520" max="10752" width="9.140625" style="504"/>
    <col min="10753" max="10753" width="5" style="504" customWidth="1"/>
    <col min="10754" max="10754" width="18.5703125" style="504" customWidth="1"/>
    <col min="10755" max="10755" width="8.42578125" style="504" customWidth="1"/>
    <col min="10756" max="10756" width="8.140625" style="504" customWidth="1"/>
    <col min="10757" max="10757" width="8.5703125" style="504" bestFit="1" customWidth="1"/>
    <col min="10758" max="10758" width="7.85546875" style="504" customWidth="1"/>
    <col min="10759" max="10759" width="8.42578125" style="504" customWidth="1"/>
    <col min="10760" max="10766" width="7.85546875" style="504" customWidth="1"/>
    <col min="10767" max="10767" width="9.5703125" style="504" customWidth="1"/>
    <col min="10768" max="10768" width="9.140625" style="504"/>
    <col min="10769" max="10769" width="10" style="504" bestFit="1" customWidth="1"/>
    <col min="10770" max="10772" width="9.140625" style="504"/>
    <col min="10773" max="10773" width="12.42578125" style="504" customWidth="1"/>
    <col min="10774" max="10774" width="9.140625" style="504"/>
    <col min="10775" max="10775" width="12" style="504" customWidth="1"/>
    <col min="10776" max="11008" width="9.140625" style="504"/>
    <col min="11009" max="11009" width="5" style="504" customWidth="1"/>
    <col min="11010" max="11010" width="18.5703125" style="504" customWidth="1"/>
    <col min="11011" max="11011" width="8.42578125" style="504" customWidth="1"/>
    <col min="11012" max="11012" width="8.140625" style="504" customWidth="1"/>
    <col min="11013" max="11013" width="8.5703125" style="504" bestFit="1" customWidth="1"/>
    <col min="11014" max="11014" width="7.85546875" style="504" customWidth="1"/>
    <col min="11015" max="11015" width="8.42578125" style="504" customWidth="1"/>
    <col min="11016" max="11022" width="7.85546875" style="504" customWidth="1"/>
    <col min="11023" max="11023" width="9.5703125" style="504" customWidth="1"/>
    <col min="11024" max="11024" width="9.140625" style="504"/>
    <col min="11025" max="11025" width="10" style="504" bestFit="1" customWidth="1"/>
    <col min="11026" max="11028" width="9.140625" style="504"/>
    <col min="11029" max="11029" width="12.42578125" style="504" customWidth="1"/>
    <col min="11030" max="11030" width="9.140625" style="504"/>
    <col min="11031" max="11031" width="12" style="504" customWidth="1"/>
    <col min="11032" max="11264" width="9.140625" style="504"/>
    <col min="11265" max="11265" width="5" style="504" customWidth="1"/>
    <col min="11266" max="11266" width="18.5703125" style="504" customWidth="1"/>
    <col min="11267" max="11267" width="8.42578125" style="504" customWidth="1"/>
    <col min="11268" max="11268" width="8.140625" style="504" customWidth="1"/>
    <col min="11269" max="11269" width="8.5703125" style="504" bestFit="1" customWidth="1"/>
    <col min="11270" max="11270" width="7.85546875" style="504" customWidth="1"/>
    <col min="11271" max="11271" width="8.42578125" style="504" customWidth="1"/>
    <col min="11272" max="11278" width="7.85546875" style="504" customWidth="1"/>
    <col min="11279" max="11279" width="9.5703125" style="504" customWidth="1"/>
    <col min="11280" max="11280" width="9.140625" style="504"/>
    <col min="11281" max="11281" width="10" style="504" bestFit="1" customWidth="1"/>
    <col min="11282" max="11284" width="9.140625" style="504"/>
    <col min="11285" max="11285" width="12.42578125" style="504" customWidth="1"/>
    <col min="11286" max="11286" width="9.140625" style="504"/>
    <col min="11287" max="11287" width="12" style="504" customWidth="1"/>
    <col min="11288" max="11520" width="9.140625" style="504"/>
    <col min="11521" max="11521" width="5" style="504" customWidth="1"/>
    <col min="11522" max="11522" width="18.5703125" style="504" customWidth="1"/>
    <col min="11523" max="11523" width="8.42578125" style="504" customWidth="1"/>
    <col min="11524" max="11524" width="8.140625" style="504" customWidth="1"/>
    <col min="11525" max="11525" width="8.5703125" style="504" bestFit="1" customWidth="1"/>
    <col min="11526" max="11526" width="7.85546875" style="504" customWidth="1"/>
    <col min="11527" max="11527" width="8.42578125" style="504" customWidth="1"/>
    <col min="11528" max="11534" width="7.85546875" style="504" customWidth="1"/>
    <col min="11535" max="11535" width="9.5703125" style="504" customWidth="1"/>
    <col min="11536" max="11536" width="9.140625" style="504"/>
    <col min="11537" max="11537" width="10" style="504" bestFit="1" customWidth="1"/>
    <col min="11538" max="11540" width="9.140625" style="504"/>
    <col min="11541" max="11541" width="12.42578125" style="504" customWidth="1"/>
    <col min="11542" max="11542" width="9.140625" style="504"/>
    <col min="11543" max="11543" width="12" style="504" customWidth="1"/>
    <col min="11544" max="11776" width="9.140625" style="504"/>
    <col min="11777" max="11777" width="5" style="504" customWidth="1"/>
    <col min="11778" max="11778" width="18.5703125" style="504" customWidth="1"/>
    <col min="11779" max="11779" width="8.42578125" style="504" customWidth="1"/>
    <col min="11780" max="11780" width="8.140625" style="504" customWidth="1"/>
    <col min="11781" max="11781" width="8.5703125" style="504" bestFit="1" customWidth="1"/>
    <col min="11782" max="11782" width="7.85546875" style="504" customWidth="1"/>
    <col min="11783" max="11783" width="8.42578125" style="504" customWidth="1"/>
    <col min="11784" max="11790" width="7.85546875" style="504" customWidth="1"/>
    <col min="11791" max="11791" width="9.5703125" style="504" customWidth="1"/>
    <col min="11792" max="11792" width="9.140625" style="504"/>
    <col min="11793" max="11793" width="10" style="504" bestFit="1" customWidth="1"/>
    <col min="11794" max="11796" width="9.140625" style="504"/>
    <col min="11797" max="11797" width="12.42578125" style="504" customWidth="1"/>
    <col min="11798" max="11798" width="9.140625" style="504"/>
    <col min="11799" max="11799" width="12" style="504" customWidth="1"/>
    <col min="11800" max="12032" width="9.140625" style="504"/>
    <col min="12033" max="12033" width="5" style="504" customWidth="1"/>
    <col min="12034" max="12034" width="18.5703125" style="504" customWidth="1"/>
    <col min="12035" max="12035" width="8.42578125" style="504" customWidth="1"/>
    <col min="12036" max="12036" width="8.140625" style="504" customWidth="1"/>
    <col min="12037" max="12037" width="8.5703125" style="504" bestFit="1" customWidth="1"/>
    <col min="12038" max="12038" width="7.85546875" style="504" customWidth="1"/>
    <col min="12039" max="12039" width="8.42578125" style="504" customWidth="1"/>
    <col min="12040" max="12046" width="7.85546875" style="504" customWidth="1"/>
    <col min="12047" max="12047" width="9.5703125" style="504" customWidth="1"/>
    <col min="12048" max="12048" width="9.140625" style="504"/>
    <col min="12049" max="12049" width="10" style="504" bestFit="1" customWidth="1"/>
    <col min="12050" max="12052" width="9.140625" style="504"/>
    <col min="12053" max="12053" width="12.42578125" style="504" customWidth="1"/>
    <col min="12054" max="12054" width="9.140625" style="504"/>
    <col min="12055" max="12055" width="12" style="504" customWidth="1"/>
    <col min="12056" max="12288" width="9.140625" style="504"/>
    <col min="12289" max="12289" width="5" style="504" customWidth="1"/>
    <col min="12290" max="12290" width="18.5703125" style="504" customWidth="1"/>
    <col min="12291" max="12291" width="8.42578125" style="504" customWidth="1"/>
    <col min="12292" max="12292" width="8.140625" style="504" customWidth="1"/>
    <col min="12293" max="12293" width="8.5703125" style="504" bestFit="1" customWidth="1"/>
    <col min="12294" max="12294" width="7.85546875" style="504" customWidth="1"/>
    <col min="12295" max="12295" width="8.42578125" style="504" customWidth="1"/>
    <col min="12296" max="12302" width="7.85546875" style="504" customWidth="1"/>
    <col min="12303" max="12303" width="9.5703125" style="504" customWidth="1"/>
    <col min="12304" max="12304" width="9.140625" style="504"/>
    <col min="12305" max="12305" width="10" style="504" bestFit="1" customWidth="1"/>
    <col min="12306" max="12308" width="9.140625" style="504"/>
    <col min="12309" max="12309" width="12.42578125" style="504" customWidth="1"/>
    <col min="12310" max="12310" width="9.140625" style="504"/>
    <col min="12311" max="12311" width="12" style="504" customWidth="1"/>
    <col min="12312" max="12544" width="9.140625" style="504"/>
    <col min="12545" max="12545" width="5" style="504" customWidth="1"/>
    <col min="12546" max="12546" width="18.5703125" style="504" customWidth="1"/>
    <col min="12547" max="12547" width="8.42578125" style="504" customWidth="1"/>
    <col min="12548" max="12548" width="8.140625" style="504" customWidth="1"/>
    <col min="12549" max="12549" width="8.5703125" style="504" bestFit="1" customWidth="1"/>
    <col min="12550" max="12550" width="7.85546875" style="504" customWidth="1"/>
    <col min="12551" max="12551" width="8.42578125" style="504" customWidth="1"/>
    <col min="12552" max="12558" width="7.85546875" style="504" customWidth="1"/>
    <col min="12559" max="12559" width="9.5703125" style="504" customWidth="1"/>
    <col min="12560" max="12560" width="9.140625" style="504"/>
    <col min="12561" max="12561" width="10" style="504" bestFit="1" customWidth="1"/>
    <col min="12562" max="12564" width="9.140625" style="504"/>
    <col min="12565" max="12565" width="12.42578125" style="504" customWidth="1"/>
    <col min="12566" max="12566" width="9.140625" style="504"/>
    <col min="12567" max="12567" width="12" style="504" customWidth="1"/>
    <col min="12568" max="12800" width="9.140625" style="504"/>
    <col min="12801" max="12801" width="5" style="504" customWidth="1"/>
    <col min="12802" max="12802" width="18.5703125" style="504" customWidth="1"/>
    <col min="12803" max="12803" width="8.42578125" style="504" customWidth="1"/>
    <col min="12804" max="12804" width="8.140625" style="504" customWidth="1"/>
    <col min="12805" max="12805" width="8.5703125" style="504" bestFit="1" customWidth="1"/>
    <col min="12806" max="12806" width="7.85546875" style="504" customWidth="1"/>
    <col min="12807" max="12807" width="8.42578125" style="504" customWidth="1"/>
    <col min="12808" max="12814" width="7.85546875" style="504" customWidth="1"/>
    <col min="12815" max="12815" width="9.5703125" style="504" customWidth="1"/>
    <col min="12816" max="12816" width="9.140625" style="504"/>
    <col min="12817" max="12817" width="10" style="504" bestFit="1" customWidth="1"/>
    <col min="12818" max="12820" width="9.140625" style="504"/>
    <col min="12821" max="12821" width="12.42578125" style="504" customWidth="1"/>
    <col min="12822" max="12822" width="9.140625" style="504"/>
    <col min="12823" max="12823" width="12" style="504" customWidth="1"/>
    <col min="12824" max="13056" width="9.140625" style="504"/>
    <col min="13057" max="13057" width="5" style="504" customWidth="1"/>
    <col min="13058" max="13058" width="18.5703125" style="504" customWidth="1"/>
    <col min="13059" max="13059" width="8.42578125" style="504" customWidth="1"/>
    <col min="13060" max="13060" width="8.140625" style="504" customWidth="1"/>
    <col min="13061" max="13061" width="8.5703125" style="504" bestFit="1" customWidth="1"/>
    <col min="13062" max="13062" width="7.85546875" style="504" customWidth="1"/>
    <col min="13063" max="13063" width="8.42578125" style="504" customWidth="1"/>
    <col min="13064" max="13070" width="7.85546875" style="504" customWidth="1"/>
    <col min="13071" max="13071" width="9.5703125" style="504" customWidth="1"/>
    <col min="13072" max="13072" width="9.140625" style="504"/>
    <col min="13073" max="13073" width="10" style="504" bestFit="1" customWidth="1"/>
    <col min="13074" max="13076" width="9.140625" style="504"/>
    <col min="13077" max="13077" width="12.42578125" style="504" customWidth="1"/>
    <col min="13078" max="13078" width="9.140625" style="504"/>
    <col min="13079" max="13079" width="12" style="504" customWidth="1"/>
    <col min="13080" max="13312" width="9.140625" style="504"/>
    <col min="13313" max="13313" width="5" style="504" customWidth="1"/>
    <col min="13314" max="13314" width="18.5703125" style="504" customWidth="1"/>
    <col min="13315" max="13315" width="8.42578125" style="504" customWidth="1"/>
    <col min="13316" max="13316" width="8.140625" style="504" customWidth="1"/>
    <col min="13317" max="13317" width="8.5703125" style="504" bestFit="1" customWidth="1"/>
    <col min="13318" max="13318" width="7.85546875" style="504" customWidth="1"/>
    <col min="13319" max="13319" width="8.42578125" style="504" customWidth="1"/>
    <col min="13320" max="13326" width="7.85546875" style="504" customWidth="1"/>
    <col min="13327" max="13327" width="9.5703125" style="504" customWidth="1"/>
    <col min="13328" max="13328" width="9.140625" style="504"/>
    <col min="13329" max="13329" width="10" style="504" bestFit="1" customWidth="1"/>
    <col min="13330" max="13332" width="9.140625" style="504"/>
    <col min="13333" max="13333" width="12.42578125" style="504" customWidth="1"/>
    <col min="13334" max="13334" width="9.140625" style="504"/>
    <col min="13335" max="13335" width="12" style="504" customWidth="1"/>
    <col min="13336" max="13568" width="9.140625" style="504"/>
    <col min="13569" max="13569" width="5" style="504" customWidth="1"/>
    <col min="13570" max="13570" width="18.5703125" style="504" customWidth="1"/>
    <col min="13571" max="13571" width="8.42578125" style="504" customWidth="1"/>
    <col min="13572" max="13572" width="8.140625" style="504" customWidth="1"/>
    <col min="13573" max="13573" width="8.5703125" style="504" bestFit="1" customWidth="1"/>
    <col min="13574" max="13574" width="7.85546875" style="504" customWidth="1"/>
    <col min="13575" max="13575" width="8.42578125" style="504" customWidth="1"/>
    <col min="13576" max="13582" width="7.85546875" style="504" customWidth="1"/>
    <col min="13583" max="13583" width="9.5703125" style="504" customWidth="1"/>
    <col min="13584" max="13584" width="9.140625" style="504"/>
    <col min="13585" max="13585" width="10" style="504" bestFit="1" customWidth="1"/>
    <col min="13586" max="13588" width="9.140625" style="504"/>
    <col min="13589" max="13589" width="12.42578125" style="504" customWidth="1"/>
    <col min="13590" max="13590" width="9.140625" style="504"/>
    <col min="13591" max="13591" width="12" style="504" customWidth="1"/>
    <col min="13592" max="13824" width="9.140625" style="504"/>
    <col min="13825" max="13825" width="5" style="504" customWidth="1"/>
    <col min="13826" max="13826" width="18.5703125" style="504" customWidth="1"/>
    <col min="13827" max="13827" width="8.42578125" style="504" customWidth="1"/>
    <col min="13828" max="13828" width="8.140625" style="504" customWidth="1"/>
    <col min="13829" max="13829" width="8.5703125" style="504" bestFit="1" customWidth="1"/>
    <col min="13830" max="13830" width="7.85546875" style="504" customWidth="1"/>
    <col min="13831" max="13831" width="8.42578125" style="504" customWidth="1"/>
    <col min="13832" max="13838" width="7.85546875" style="504" customWidth="1"/>
    <col min="13839" max="13839" width="9.5703125" style="504" customWidth="1"/>
    <col min="13840" max="13840" width="9.140625" style="504"/>
    <col min="13841" max="13841" width="10" style="504" bestFit="1" customWidth="1"/>
    <col min="13842" max="13844" width="9.140625" style="504"/>
    <col min="13845" max="13845" width="12.42578125" style="504" customWidth="1"/>
    <col min="13846" max="13846" width="9.140625" style="504"/>
    <col min="13847" max="13847" width="12" style="504" customWidth="1"/>
    <col min="13848" max="14080" width="9.140625" style="504"/>
    <col min="14081" max="14081" width="5" style="504" customWidth="1"/>
    <col min="14082" max="14082" width="18.5703125" style="504" customWidth="1"/>
    <col min="14083" max="14083" width="8.42578125" style="504" customWidth="1"/>
    <col min="14084" max="14084" width="8.140625" style="504" customWidth="1"/>
    <col min="14085" max="14085" width="8.5703125" style="504" bestFit="1" customWidth="1"/>
    <col min="14086" max="14086" width="7.85546875" style="504" customWidth="1"/>
    <col min="14087" max="14087" width="8.42578125" style="504" customWidth="1"/>
    <col min="14088" max="14094" width="7.85546875" style="504" customWidth="1"/>
    <col min="14095" max="14095" width="9.5703125" style="504" customWidth="1"/>
    <col min="14096" max="14096" width="9.140625" style="504"/>
    <col min="14097" max="14097" width="10" style="504" bestFit="1" customWidth="1"/>
    <col min="14098" max="14100" width="9.140625" style="504"/>
    <col min="14101" max="14101" width="12.42578125" style="504" customWidth="1"/>
    <col min="14102" max="14102" width="9.140625" style="504"/>
    <col min="14103" max="14103" width="12" style="504" customWidth="1"/>
    <col min="14104" max="14336" width="9.140625" style="504"/>
    <col min="14337" max="14337" width="5" style="504" customWidth="1"/>
    <col min="14338" max="14338" width="18.5703125" style="504" customWidth="1"/>
    <col min="14339" max="14339" width="8.42578125" style="504" customWidth="1"/>
    <col min="14340" max="14340" width="8.140625" style="504" customWidth="1"/>
    <col min="14341" max="14341" width="8.5703125" style="504" bestFit="1" customWidth="1"/>
    <col min="14342" max="14342" width="7.85546875" style="504" customWidth="1"/>
    <col min="14343" max="14343" width="8.42578125" style="504" customWidth="1"/>
    <col min="14344" max="14350" width="7.85546875" style="504" customWidth="1"/>
    <col min="14351" max="14351" width="9.5703125" style="504" customWidth="1"/>
    <col min="14352" max="14352" width="9.140625" style="504"/>
    <col min="14353" max="14353" width="10" style="504" bestFit="1" customWidth="1"/>
    <col min="14354" max="14356" width="9.140625" style="504"/>
    <col min="14357" max="14357" width="12.42578125" style="504" customWidth="1"/>
    <col min="14358" max="14358" width="9.140625" style="504"/>
    <col min="14359" max="14359" width="12" style="504" customWidth="1"/>
    <col min="14360" max="14592" width="9.140625" style="504"/>
    <col min="14593" max="14593" width="5" style="504" customWidth="1"/>
    <col min="14594" max="14594" width="18.5703125" style="504" customWidth="1"/>
    <col min="14595" max="14595" width="8.42578125" style="504" customWidth="1"/>
    <col min="14596" max="14596" width="8.140625" style="504" customWidth="1"/>
    <col min="14597" max="14597" width="8.5703125" style="504" bestFit="1" customWidth="1"/>
    <col min="14598" max="14598" width="7.85546875" style="504" customWidth="1"/>
    <col min="14599" max="14599" width="8.42578125" style="504" customWidth="1"/>
    <col min="14600" max="14606" width="7.85546875" style="504" customWidth="1"/>
    <col min="14607" max="14607" width="9.5703125" style="504" customWidth="1"/>
    <col min="14608" max="14608" width="9.140625" style="504"/>
    <col min="14609" max="14609" width="10" style="504" bestFit="1" customWidth="1"/>
    <col min="14610" max="14612" width="9.140625" style="504"/>
    <col min="14613" max="14613" width="12.42578125" style="504" customWidth="1"/>
    <col min="14614" max="14614" width="9.140625" style="504"/>
    <col min="14615" max="14615" width="12" style="504" customWidth="1"/>
    <col min="14616" max="14848" width="9.140625" style="504"/>
    <col min="14849" max="14849" width="5" style="504" customWidth="1"/>
    <col min="14850" max="14850" width="18.5703125" style="504" customWidth="1"/>
    <col min="14851" max="14851" width="8.42578125" style="504" customWidth="1"/>
    <col min="14852" max="14852" width="8.140625" style="504" customWidth="1"/>
    <col min="14853" max="14853" width="8.5703125" style="504" bestFit="1" customWidth="1"/>
    <col min="14854" max="14854" width="7.85546875" style="504" customWidth="1"/>
    <col min="14855" max="14855" width="8.42578125" style="504" customWidth="1"/>
    <col min="14856" max="14862" width="7.85546875" style="504" customWidth="1"/>
    <col min="14863" max="14863" width="9.5703125" style="504" customWidth="1"/>
    <col min="14864" max="14864" width="9.140625" style="504"/>
    <col min="14865" max="14865" width="10" style="504" bestFit="1" customWidth="1"/>
    <col min="14866" max="14868" width="9.140625" style="504"/>
    <col min="14869" max="14869" width="12.42578125" style="504" customWidth="1"/>
    <col min="14870" max="14870" width="9.140625" style="504"/>
    <col min="14871" max="14871" width="12" style="504" customWidth="1"/>
    <col min="14872" max="15104" width="9.140625" style="504"/>
    <col min="15105" max="15105" width="5" style="504" customWidth="1"/>
    <col min="15106" max="15106" width="18.5703125" style="504" customWidth="1"/>
    <col min="15107" max="15107" width="8.42578125" style="504" customWidth="1"/>
    <col min="15108" max="15108" width="8.140625" style="504" customWidth="1"/>
    <col min="15109" max="15109" width="8.5703125" style="504" bestFit="1" customWidth="1"/>
    <col min="15110" max="15110" width="7.85546875" style="504" customWidth="1"/>
    <col min="15111" max="15111" width="8.42578125" style="504" customWidth="1"/>
    <col min="15112" max="15118" width="7.85546875" style="504" customWidth="1"/>
    <col min="15119" max="15119" width="9.5703125" style="504" customWidth="1"/>
    <col min="15120" max="15120" width="9.140625" style="504"/>
    <col min="15121" max="15121" width="10" style="504" bestFit="1" customWidth="1"/>
    <col min="15122" max="15124" width="9.140625" style="504"/>
    <col min="15125" max="15125" width="12.42578125" style="504" customWidth="1"/>
    <col min="15126" max="15126" width="9.140625" style="504"/>
    <col min="15127" max="15127" width="12" style="504" customWidth="1"/>
    <col min="15128" max="15360" width="9.140625" style="504"/>
    <col min="15361" max="15361" width="5" style="504" customWidth="1"/>
    <col min="15362" max="15362" width="18.5703125" style="504" customWidth="1"/>
    <col min="15363" max="15363" width="8.42578125" style="504" customWidth="1"/>
    <col min="15364" max="15364" width="8.140625" style="504" customWidth="1"/>
    <col min="15365" max="15365" width="8.5703125" style="504" bestFit="1" customWidth="1"/>
    <col min="15366" max="15366" width="7.85546875" style="504" customWidth="1"/>
    <col min="15367" max="15367" width="8.42578125" style="504" customWidth="1"/>
    <col min="15368" max="15374" width="7.85546875" style="504" customWidth="1"/>
    <col min="15375" max="15375" width="9.5703125" style="504" customWidth="1"/>
    <col min="15376" max="15376" width="9.140625" style="504"/>
    <col min="15377" max="15377" width="10" style="504" bestFit="1" customWidth="1"/>
    <col min="15378" max="15380" width="9.140625" style="504"/>
    <col min="15381" max="15381" width="12.42578125" style="504" customWidth="1"/>
    <col min="15382" max="15382" width="9.140625" style="504"/>
    <col min="15383" max="15383" width="12" style="504" customWidth="1"/>
    <col min="15384" max="15616" width="9.140625" style="504"/>
    <col min="15617" max="15617" width="5" style="504" customWidth="1"/>
    <col min="15618" max="15618" width="18.5703125" style="504" customWidth="1"/>
    <col min="15619" max="15619" width="8.42578125" style="504" customWidth="1"/>
    <col min="15620" max="15620" width="8.140625" style="504" customWidth="1"/>
    <col min="15621" max="15621" width="8.5703125" style="504" bestFit="1" customWidth="1"/>
    <col min="15622" max="15622" width="7.85546875" style="504" customWidth="1"/>
    <col min="15623" max="15623" width="8.42578125" style="504" customWidth="1"/>
    <col min="15624" max="15630" width="7.85546875" style="504" customWidth="1"/>
    <col min="15631" max="15631" width="9.5703125" style="504" customWidth="1"/>
    <col min="15632" max="15632" width="9.140625" style="504"/>
    <col min="15633" max="15633" width="10" style="504" bestFit="1" customWidth="1"/>
    <col min="15634" max="15636" width="9.140625" style="504"/>
    <col min="15637" max="15637" width="12.42578125" style="504" customWidth="1"/>
    <col min="15638" max="15638" width="9.140625" style="504"/>
    <col min="15639" max="15639" width="12" style="504" customWidth="1"/>
    <col min="15640" max="15872" width="9.140625" style="504"/>
    <col min="15873" max="15873" width="5" style="504" customWidth="1"/>
    <col min="15874" max="15874" width="18.5703125" style="504" customWidth="1"/>
    <col min="15875" max="15875" width="8.42578125" style="504" customWidth="1"/>
    <col min="15876" max="15876" width="8.140625" style="504" customWidth="1"/>
    <col min="15877" max="15877" width="8.5703125" style="504" bestFit="1" customWidth="1"/>
    <col min="15878" max="15878" width="7.85546875" style="504" customWidth="1"/>
    <col min="15879" max="15879" width="8.42578125" style="504" customWidth="1"/>
    <col min="15880" max="15886" width="7.85546875" style="504" customWidth="1"/>
    <col min="15887" max="15887" width="9.5703125" style="504" customWidth="1"/>
    <col min="15888" max="15888" width="9.140625" style="504"/>
    <col min="15889" max="15889" width="10" style="504" bestFit="1" customWidth="1"/>
    <col min="15890" max="15892" width="9.140625" style="504"/>
    <col min="15893" max="15893" width="12.42578125" style="504" customWidth="1"/>
    <col min="15894" max="15894" width="9.140625" style="504"/>
    <col min="15895" max="15895" width="12" style="504" customWidth="1"/>
    <col min="15896" max="16128" width="9.140625" style="504"/>
    <col min="16129" max="16129" width="5" style="504" customWidth="1"/>
    <col min="16130" max="16130" width="18.5703125" style="504" customWidth="1"/>
    <col min="16131" max="16131" width="8.42578125" style="504" customWidth="1"/>
    <col min="16132" max="16132" width="8.140625" style="504" customWidth="1"/>
    <col min="16133" max="16133" width="8.5703125" style="504" bestFit="1" customWidth="1"/>
    <col min="16134" max="16134" width="7.85546875" style="504" customWidth="1"/>
    <col min="16135" max="16135" width="8.42578125" style="504" customWidth="1"/>
    <col min="16136" max="16142" width="7.85546875" style="504" customWidth="1"/>
    <col min="16143" max="16143" width="9.5703125" style="504" customWidth="1"/>
    <col min="16144" max="16144" width="9.140625" style="504"/>
    <col min="16145" max="16145" width="10" style="504" bestFit="1" customWidth="1"/>
    <col min="16146" max="16148" width="9.140625" style="504"/>
    <col min="16149" max="16149" width="12.42578125" style="504" customWidth="1"/>
    <col min="16150" max="16150" width="9.140625" style="504"/>
    <col min="16151" max="16151" width="12" style="504" customWidth="1"/>
    <col min="16152" max="16384" width="9.140625" style="504"/>
  </cols>
  <sheetData>
    <row r="1" spans="1:17" s="490" customFormat="1" x14ac:dyDescent="0.2">
      <c r="A1" s="1045" t="s">
        <v>449</v>
      </c>
      <c r="B1" s="1039"/>
      <c r="C1" s="1039"/>
      <c r="D1" s="1038"/>
      <c r="E1" s="1039"/>
      <c r="F1" s="1039"/>
      <c r="G1" s="1045" t="s">
        <v>102</v>
      </c>
      <c r="H1" s="1038"/>
      <c r="I1" s="1038" t="s">
        <v>595</v>
      </c>
      <c r="J1" s="1039"/>
      <c r="K1" s="1039"/>
      <c r="L1" s="1040"/>
      <c r="M1" s="1040"/>
      <c r="N1" s="1040"/>
      <c r="O1" s="1040"/>
    </row>
    <row r="2" spans="1:17" s="490" customFormat="1" x14ac:dyDescent="0.2">
      <c r="A2" s="1045" t="s">
        <v>103</v>
      </c>
      <c r="B2" s="1039"/>
      <c r="C2" s="1039"/>
      <c r="D2" s="1038"/>
      <c r="E2" s="1039"/>
      <c r="F2" s="1039"/>
      <c r="G2" s="1045" t="s">
        <v>104</v>
      </c>
      <c r="H2" s="1038"/>
      <c r="I2" s="1038" t="s">
        <v>105</v>
      </c>
      <c r="J2" s="1039"/>
      <c r="K2" s="1039"/>
      <c r="L2" s="1040"/>
      <c r="M2" s="1040"/>
      <c r="N2" s="1040"/>
      <c r="O2" s="1040"/>
    </row>
    <row r="3" spans="1:17" s="490" customFormat="1" x14ac:dyDescent="0.2">
      <c r="A3" s="1045" t="s">
        <v>106</v>
      </c>
      <c r="B3" s="1039"/>
      <c r="C3" s="1039"/>
      <c r="D3" s="1046" t="s">
        <v>643</v>
      </c>
      <c r="E3" s="1039"/>
      <c r="F3" s="1039"/>
      <c r="G3" s="1045" t="s">
        <v>107</v>
      </c>
      <c r="H3" s="1038"/>
      <c r="I3" s="1038" t="s">
        <v>108</v>
      </c>
      <c r="J3" s="1039"/>
      <c r="K3" s="1039"/>
      <c r="L3" s="1040"/>
      <c r="M3" s="1040"/>
      <c r="N3" s="1040"/>
      <c r="O3" s="1040"/>
    </row>
    <row r="4" spans="1:17" s="490" customFormat="1" x14ac:dyDescent="0.2">
      <c r="A4" s="1045" t="s">
        <v>476</v>
      </c>
      <c r="B4" s="1039"/>
      <c r="C4" s="1039"/>
      <c r="D4" s="1038" t="s">
        <v>644</v>
      </c>
      <c r="E4" s="1039"/>
      <c r="F4" s="1039"/>
      <c r="G4" s="1045" t="s">
        <v>110</v>
      </c>
      <c r="H4" s="1038"/>
      <c r="I4" s="1038" t="s">
        <v>645</v>
      </c>
      <c r="J4" s="1039"/>
      <c r="K4" s="1039"/>
      <c r="L4" s="1040"/>
      <c r="M4" s="1040"/>
      <c r="N4" s="1040"/>
      <c r="O4" s="1040"/>
    </row>
    <row r="5" spans="1:17" s="490" customFormat="1" x14ac:dyDescent="0.2">
      <c r="A5" s="1045" t="s">
        <v>112</v>
      </c>
      <c r="B5" s="1039"/>
      <c r="C5" s="1039"/>
      <c r="D5" s="1038"/>
      <c r="E5" s="1039"/>
      <c r="F5" s="1039"/>
      <c r="G5" s="1045"/>
      <c r="H5" s="1039"/>
      <c r="I5" s="1038" t="s">
        <v>113</v>
      </c>
      <c r="J5" s="1039"/>
      <c r="K5" s="1039"/>
      <c r="L5" s="1040"/>
      <c r="M5" s="1040"/>
      <c r="N5" s="1040"/>
      <c r="O5" s="1040"/>
    </row>
    <row r="6" spans="1:17" s="490" customFormat="1" x14ac:dyDescent="0.2">
      <c r="A6" s="1041" t="s">
        <v>114</v>
      </c>
      <c r="B6" s="1042"/>
      <c r="C6" s="1042"/>
      <c r="D6" s="1039" t="s">
        <v>596</v>
      </c>
      <c r="E6" s="1039"/>
      <c r="F6" s="1039"/>
      <c r="G6" s="1041" t="s">
        <v>115</v>
      </c>
      <c r="H6" s="1041"/>
      <c r="I6" s="491" t="s">
        <v>116</v>
      </c>
      <c r="J6" s="1043"/>
      <c r="K6" s="1043"/>
      <c r="L6" s="1043"/>
      <c r="M6" s="1043"/>
      <c r="N6" s="1043"/>
      <c r="O6" s="1044"/>
    </row>
    <row r="7" spans="1:17" s="490" customFormat="1" ht="13.5" thickBot="1" x14ac:dyDescent="0.25">
      <c r="A7" s="492"/>
      <c r="B7" s="493"/>
      <c r="C7" s="494"/>
      <c r="D7" s="495"/>
      <c r="E7" s="495"/>
      <c r="F7" s="495"/>
      <c r="G7" s="495"/>
      <c r="H7" s="495"/>
      <c r="I7" s="495"/>
      <c r="J7" s="496"/>
      <c r="K7" s="497"/>
      <c r="L7" s="1030" t="s">
        <v>223</v>
      </c>
      <c r="M7" s="1030"/>
      <c r="N7" s="1030"/>
      <c r="O7" s="1030"/>
    </row>
    <row r="8" spans="1:17" s="499" customFormat="1" x14ac:dyDescent="0.2">
      <c r="A8" s="1031" t="str">
        <f>I1</f>
        <v>Mr. B. S. Surve</v>
      </c>
      <c r="B8" s="1032"/>
      <c r="C8" s="334">
        <v>43160</v>
      </c>
      <c r="D8" s="334">
        <v>43191</v>
      </c>
      <c r="E8" s="334">
        <v>43221</v>
      </c>
      <c r="F8" s="334">
        <v>43252</v>
      </c>
      <c r="G8" s="334">
        <v>43282</v>
      </c>
      <c r="H8" s="334">
        <v>43313</v>
      </c>
      <c r="I8" s="334">
        <v>43344</v>
      </c>
      <c r="J8" s="334">
        <v>43374</v>
      </c>
      <c r="K8" s="334">
        <v>43405</v>
      </c>
      <c r="L8" s="334">
        <v>43435</v>
      </c>
      <c r="M8" s="334">
        <v>43466</v>
      </c>
      <c r="N8" s="334">
        <v>43497</v>
      </c>
      <c r="O8" s="498" t="s">
        <v>117</v>
      </c>
      <c r="Q8" s="499" t="s">
        <v>116</v>
      </c>
    </row>
    <row r="9" spans="1:17" ht="15" x14ac:dyDescent="0.2">
      <c r="A9" s="500"/>
      <c r="B9" s="501" t="s">
        <v>118</v>
      </c>
      <c r="C9" s="502">
        <v>50500</v>
      </c>
      <c r="D9" s="502">
        <f t="shared" ref="D9:G24" si="0">+C9</f>
        <v>50500</v>
      </c>
      <c r="E9" s="502">
        <f t="shared" si="0"/>
        <v>50500</v>
      </c>
      <c r="F9" s="502">
        <f t="shared" si="0"/>
        <v>50500</v>
      </c>
      <c r="G9" s="502">
        <v>52000</v>
      </c>
      <c r="H9" s="502">
        <v>52000</v>
      </c>
      <c r="I9" s="502">
        <v>52000</v>
      </c>
      <c r="J9" s="502">
        <v>52000</v>
      </c>
      <c r="K9" s="502">
        <v>52000</v>
      </c>
      <c r="L9" s="502">
        <v>52000</v>
      </c>
      <c r="M9" s="502">
        <v>52000</v>
      </c>
      <c r="N9" s="502">
        <v>52000</v>
      </c>
      <c r="O9" s="503">
        <f t="shared" ref="O9:O51" si="1">SUM(C9:N9)</f>
        <v>618000</v>
      </c>
      <c r="Q9" s="504" t="s">
        <v>222</v>
      </c>
    </row>
    <row r="10" spans="1:17" ht="15" x14ac:dyDescent="0.2">
      <c r="A10" s="500"/>
      <c r="B10" s="501" t="s">
        <v>119</v>
      </c>
      <c r="C10" s="505">
        <v>0</v>
      </c>
      <c r="D10" s="505">
        <f t="shared" si="0"/>
        <v>0</v>
      </c>
      <c r="E10" s="505">
        <f t="shared" si="0"/>
        <v>0</v>
      </c>
      <c r="F10" s="505">
        <f t="shared" si="0"/>
        <v>0</v>
      </c>
      <c r="G10" s="505">
        <f>+F10</f>
        <v>0</v>
      </c>
      <c r="H10" s="505">
        <v>0</v>
      </c>
      <c r="I10" s="505">
        <f>+H10</f>
        <v>0</v>
      </c>
      <c r="J10" s="505">
        <f>+I10</f>
        <v>0</v>
      </c>
      <c r="K10" s="505">
        <f>+J10</f>
        <v>0</v>
      </c>
      <c r="L10" s="505">
        <f>+K10</f>
        <v>0</v>
      </c>
      <c r="M10" s="505">
        <f t="shared" ref="M10:M37" si="2">L10</f>
        <v>0</v>
      </c>
      <c r="N10" s="505">
        <f t="shared" ref="N10:N37" si="3">+M10</f>
        <v>0</v>
      </c>
      <c r="O10" s="506">
        <f t="shared" si="1"/>
        <v>0</v>
      </c>
    </row>
    <row r="11" spans="1:17" ht="15" x14ac:dyDescent="0.2">
      <c r="A11" s="500"/>
      <c r="B11" s="501" t="s">
        <v>120</v>
      </c>
      <c r="C11" s="505">
        <v>2525</v>
      </c>
      <c r="D11" s="505">
        <v>3535</v>
      </c>
      <c r="E11" s="505">
        <f t="shared" si="0"/>
        <v>3535</v>
      </c>
      <c r="F11" s="505">
        <f t="shared" si="0"/>
        <v>3535</v>
      </c>
      <c r="G11" s="505">
        <v>3640</v>
      </c>
      <c r="H11" s="505">
        <v>3640</v>
      </c>
      <c r="I11" s="505">
        <v>3640</v>
      </c>
      <c r="J11" s="505">
        <v>4680</v>
      </c>
      <c r="K11" s="505">
        <f t="shared" ref="K11:L26" si="4">+J11</f>
        <v>4680</v>
      </c>
      <c r="L11" s="505">
        <f t="shared" si="4"/>
        <v>4680</v>
      </c>
      <c r="M11" s="505">
        <f t="shared" si="2"/>
        <v>4680</v>
      </c>
      <c r="N11" s="505">
        <f t="shared" si="3"/>
        <v>4680</v>
      </c>
      <c r="O11" s="506">
        <f t="shared" si="1"/>
        <v>47450</v>
      </c>
    </row>
    <row r="12" spans="1:17" ht="15" hidden="1" x14ac:dyDescent="0.2">
      <c r="A12" s="500"/>
      <c r="B12" s="501" t="s">
        <v>121</v>
      </c>
      <c r="C12" s="505">
        <v>0</v>
      </c>
      <c r="D12" s="505">
        <f>+C12</f>
        <v>0</v>
      </c>
      <c r="E12" s="505">
        <f t="shared" si="0"/>
        <v>0</v>
      </c>
      <c r="F12" s="505">
        <f t="shared" si="0"/>
        <v>0</v>
      </c>
      <c r="G12" s="505">
        <f t="shared" si="0"/>
        <v>0</v>
      </c>
      <c r="H12" s="505">
        <v>0</v>
      </c>
      <c r="I12" s="505">
        <f>+H12</f>
        <v>0</v>
      </c>
      <c r="J12" s="505">
        <f>+I12</f>
        <v>0</v>
      </c>
      <c r="K12" s="505">
        <f t="shared" si="4"/>
        <v>0</v>
      </c>
      <c r="L12" s="505">
        <f t="shared" si="4"/>
        <v>0</v>
      </c>
      <c r="M12" s="505">
        <f t="shared" si="2"/>
        <v>0</v>
      </c>
      <c r="N12" s="505">
        <f t="shared" si="3"/>
        <v>0</v>
      </c>
      <c r="O12" s="506">
        <f t="shared" si="1"/>
        <v>0</v>
      </c>
    </row>
    <row r="13" spans="1:17" ht="15" hidden="1" x14ac:dyDescent="0.2">
      <c r="A13" s="500"/>
      <c r="B13" s="501" t="s">
        <v>122</v>
      </c>
      <c r="C13" s="505">
        <v>0</v>
      </c>
      <c r="D13" s="505">
        <f>+C13</f>
        <v>0</v>
      </c>
      <c r="E13" s="505">
        <f t="shared" si="0"/>
        <v>0</v>
      </c>
      <c r="F13" s="505">
        <f t="shared" si="0"/>
        <v>0</v>
      </c>
      <c r="G13" s="505">
        <f t="shared" si="0"/>
        <v>0</v>
      </c>
      <c r="H13" s="505">
        <v>0</v>
      </c>
      <c r="I13" s="505">
        <f>+H13</f>
        <v>0</v>
      </c>
      <c r="J13" s="505">
        <f>+I13</f>
        <v>0</v>
      </c>
      <c r="K13" s="505">
        <f t="shared" si="4"/>
        <v>0</v>
      </c>
      <c r="L13" s="505">
        <f t="shared" si="4"/>
        <v>0</v>
      </c>
      <c r="M13" s="505">
        <f t="shared" si="2"/>
        <v>0</v>
      </c>
      <c r="N13" s="505">
        <f t="shared" si="3"/>
        <v>0</v>
      </c>
      <c r="O13" s="506">
        <f t="shared" si="1"/>
        <v>0</v>
      </c>
    </row>
    <row r="14" spans="1:17" ht="15" x14ac:dyDescent="0.2">
      <c r="A14" s="500"/>
      <c r="B14" s="501" t="s">
        <v>123</v>
      </c>
      <c r="C14" s="505">
        <v>3780</v>
      </c>
      <c r="D14" s="505">
        <v>3852</v>
      </c>
      <c r="E14" s="505">
        <f t="shared" si="0"/>
        <v>3852</v>
      </c>
      <c r="F14" s="505">
        <f t="shared" si="0"/>
        <v>3852</v>
      </c>
      <c r="G14" s="505">
        <f t="shared" si="0"/>
        <v>3852</v>
      </c>
      <c r="H14" s="505">
        <f>+G14</f>
        <v>3852</v>
      </c>
      <c r="I14" s="505">
        <f>+H14</f>
        <v>3852</v>
      </c>
      <c r="J14" s="505">
        <v>3924</v>
      </c>
      <c r="K14" s="505">
        <f t="shared" si="4"/>
        <v>3924</v>
      </c>
      <c r="L14" s="505">
        <f t="shared" si="4"/>
        <v>3924</v>
      </c>
      <c r="M14" s="505">
        <f t="shared" si="2"/>
        <v>3924</v>
      </c>
      <c r="N14" s="505">
        <f t="shared" si="3"/>
        <v>3924</v>
      </c>
      <c r="O14" s="506">
        <f t="shared" si="1"/>
        <v>46512</v>
      </c>
    </row>
    <row r="15" spans="1:17" ht="15" hidden="1" x14ac:dyDescent="0.2">
      <c r="A15" s="500"/>
      <c r="B15" s="501" t="s">
        <v>124</v>
      </c>
      <c r="C15" s="505">
        <v>0</v>
      </c>
      <c r="D15" s="505">
        <f t="shared" ref="D15:G35" si="5">+C15</f>
        <v>0</v>
      </c>
      <c r="E15" s="505">
        <f t="shared" si="0"/>
        <v>0</v>
      </c>
      <c r="F15" s="505">
        <f t="shared" si="0"/>
        <v>0</v>
      </c>
      <c r="G15" s="505">
        <f t="shared" si="0"/>
        <v>0</v>
      </c>
      <c r="H15" s="505">
        <v>0</v>
      </c>
      <c r="I15" s="505">
        <f t="shared" ref="I15:L30" si="6">+H15</f>
        <v>0</v>
      </c>
      <c r="J15" s="505">
        <f t="shared" si="6"/>
        <v>0</v>
      </c>
      <c r="K15" s="505">
        <f t="shared" si="4"/>
        <v>0</v>
      </c>
      <c r="L15" s="505">
        <f t="shared" si="4"/>
        <v>0</v>
      </c>
      <c r="M15" s="505">
        <f t="shared" si="2"/>
        <v>0</v>
      </c>
      <c r="N15" s="505">
        <f t="shared" si="3"/>
        <v>0</v>
      </c>
      <c r="O15" s="506">
        <f t="shared" si="1"/>
        <v>0</v>
      </c>
    </row>
    <row r="16" spans="1:17" ht="15" hidden="1" x14ac:dyDescent="0.2">
      <c r="A16" s="500"/>
      <c r="B16" s="501" t="s">
        <v>125</v>
      </c>
      <c r="C16" s="505">
        <v>0</v>
      </c>
      <c r="D16" s="505">
        <f t="shared" si="5"/>
        <v>0</v>
      </c>
      <c r="E16" s="505">
        <f t="shared" si="0"/>
        <v>0</v>
      </c>
      <c r="F16" s="505">
        <f t="shared" si="0"/>
        <v>0</v>
      </c>
      <c r="G16" s="505">
        <f t="shared" si="0"/>
        <v>0</v>
      </c>
      <c r="H16" s="505">
        <v>0</v>
      </c>
      <c r="I16" s="505">
        <f t="shared" si="6"/>
        <v>0</v>
      </c>
      <c r="J16" s="505">
        <f t="shared" si="6"/>
        <v>0</v>
      </c>
      <c r="K16" s="505">
        <f t="shared" si="4"/>
        <v>0</v>
      </c>
      <c r="L16" s="505">
        <f t="shared" si="4"/>
        <v>0</v>
      </c>
      <c r="M16" s="505">
        <f t="shared" si="2"/>
        <v>0</v>
      </c>
      <c r="N16" s="505">
        <f t="shared" si="3"/>
        <v>0</v>
      </c>
      <c r="O16" s="506">
        <f t="shared" si="1"/>
        <v>0</v>
      </c>
    </row>
    <row r="17" spans="1:15" ht="15" hidden="1" x14ac:dyDescent="0.2">
      <c r="A17" s="500"/>
      <c r="B17" s="501" t="s">
        <v>126</v>
      </c>
      <c r="C17" s="505">
        <v>0</v>
      </c>
      <c r="D17" s="505">
        <f t="shared" si="5"/>
        <v>0</v>
      </c>
      <c r="E17" s="505">
        <f t="shared" si="0"/>
        <v>0</v>
      </c>
      <c r="F17" s="505">
        <f t="shared" si="0"/>
        <v>0</v>
      </c>
      <c r="G17" s="505">
        <f t="shared" si="0"/>
        <v>0</v>
      </c>
      <c r="H17" s="505">
        <v>0</v>
      </c>
      <c r="I17" s="505">
        <f t="shared" si="6"/>
        <v>0</v>
      </c>
      <c r="J17" s="505">
        <f t="shared" si="6"/>
        <v>0</v>
      </c>
      <c r="K17" s="505">
        <f t="shared" si="4"/>
        <v>0</v>
      </c>
      <c r="L17" s="505">
        <f t="shared" si="4"/>
        <v>0</v>
      </c>
      <c r="M17" s="505">
        <f t="shared" si="2"/>
        <v>0</v>
      </c>
      <c r="N17" s="505">
        <f t="shared" si="3"/>
        <v>0</v>
      </c>
      <c r="O17" s="506">
        <f t="shared" si="1"/>
        <v>0</v>
      </c>
    </row>
    <row r="18" spans="1:15" ht="15" x14ac:dyDescent="0.2">
      <c r="A18" s="500"/>
      <c r="B18" s="501" t="s">
        <v>224</v>
      </c>
      <c r="C18" s="505">
        <v>0</v>
      </c>
      <c r="D18" s="505">
        <f t="shared" si="5"/>
        <v>0</v>
      </c>
      <c r="E18" s="505">
        <f t="shared" si="0"/>
        <v>0</v>
      </c>
      <c r="F18" s="505">
        <f t="shared" si="0"/>
        <v>0</v>
      </c>
      <c r="G18" s="505">
        <f t="shared" si="0"/>
        <v>0</v>
      </c>
      <c r="H18" s="505">
        <v>0</v>
      </c>
      <c r="I18" s="505">
        <f t="shared" si="6"/>
        <v>0</v>
      </c>
      <c r="J18" s="505">
        <f t="shared" si="6"/>
        <v>0</v>
      </c>
      <c r="K18" s="505">
        <f t="shared" si="4"/>
        <v>0</v>
      </c>
      <c r="L18" s="505">
        <f t="shared" si="4"/>
        <v>0</v>
      </c>
      <c r="M18" s="505">
        <f t="shared" si="2"/>
        <v>0</v>
      </c>
      <c r="N18" s="505">
        <f t="shared" si="3"/>
        <v>0</v>
      </c>
      <c r="O18" s="506">
        <f t="shared" si="1"/>
        <v>0</v>
      </c>
    </row>
    <row r="19" spans="1:15" ht="15" x14ac:dyDescent="0.2">
      <c r="A19" s="500"/>
      <c r="B19" s="501" t="s">
        <v>128</v>
      </c>
      <c r="C19" s="505">
        <v>0</v>
      </c>
      <c r="D19" s="505">
        <f t="shared" si="5"/>
        <v>0</v>
      </c>
      <c r="E19" s="505">
        <f t="shared" si="0"/>
        <v>0</v>
      </c>
      <c r="F19" s="505">
        <f t="shared" si="0"/>
        <v>0</v>
      </c>
      <c r="G19" s="505">
        <f t="shared" si="0"/>
        <v>0</v>
      </c>
      <c r="H19" s="505">
        <v>0</v>
      </c>
      <c r="I19" s="505">
        <f t="shared" si="6"/>
        <v>0</v>
      </c>
      <c r="J19" s="505">
        <f t="shared" si="6"/>
        <v>0</v>
      </c>
      <c r="K19" s="505">
        <f t="shared" si="4"/>
        <v>0</v>
      </c>
      <c r="L19" s="505">
        <f t="shared" si="4"/>
        <v>0</v>
      </c>
      <c r="M19" s="505">
        <f t="shared" si="2"/>
        <v>0</v>
      </c>
      <c r="N19" s="505">
        <f t="shared" si="3"/>
        <v>0</v>
      </c>
      <c r="O19" s="506">
        <f t="shared" si="1"/>
        <v>0</v>
      </c>
    </row>
    <row r="20" spans="1:15" ht="15" customHeight="1" x14ac:dyDescent="0.2">
      <c r="A20" s="500"/>
      <c r="B20" s="501" t="s">
        <v>129</v>
      </c>
      <c r="C20" s="505">
        <v>0</v>
      </c>
      <c r="D20" s="505">
        <f t="shared" si="5"/>
        <v>0</v>
      </c>
      <c r="E20" s="505">
        <f t="shared" si="0"/>
        <v>0</v>
      </c>
      <c r="F20" s="505">
        <f t="shared" si="0"/>
        <v>0</v>
      </c>
      <c r="G20" s="505">
        <f t="shared" si="0"/>
        <v>0</v>
      </c>
      <c r="H20" s="505">
        <v>0</v>
      </c>
      <c r="I20" s="505">
        <f t="shared" si="6"/>
        <v>0</v>
      </c>
      <c r="J20" s="505">
        <f t="shared" si="6"/>
        <v>0</v>
      </c>
      <c r="K20" s="505">
        <f t="shared" si="4"/>
        <v>0</v>
      </c>
      <c r="L20" s="505">
        <f t="shared" si="4"/>
        <v>0</v>
      </c>
      <c r="M20" s="505">
        <f t="shared" si="2"/>
        <v>0</v>
      </c>
      <c r="N20" s="505">
        <f t="shared" si="3"/>
        <v>0</v>
      </c>
      <c r="O20" s="506">
        <f t="shared" si="1"/>
        <v>0</v>
      </c>
    </row>
    <row r="21" spans="1:15" ht="12.75" hidden="1" customHeight="1" x14ac:dyDescent="0.2">
      <c r="A21" s="1033" t="s">
        <v>130</v>
      </c>
      <c r="B21" s="507" t="s">
        <v>131</v>
      </c>
      <c r="C21" s="505">
        <v>0</v>
      </c>
      <c r="D21" s="505">
        <f t="shared" si="5"/>
        <v>0</v>
      </c>
      <c r="E21" s="505">
        <f t="shared" si="0"/>
        <v>0</v>
      </c>
      <c r="F21" s="505">
        <f t="shared" si="0"/>
        <v>0</v>
      </c>
      <c r="G21" s="505">
        <f t="shared" si="0"/>
        <v>0</v>
      </c>
      <c r="H21" s="505">
        <v>0</v>
      </c>
      <c r="I21" s="505">
        <f t="shared" si="6"/>
        <v>0</v>
      </c>
      <c r="J21" s="505">
        <f t="shared" si="6"/>
        <v>0</v>
      </c>
      <c r="K21" s="505">
        <f t="shared" si="4"/>
        <v>0</v>
      </c>
      <c r="L21" s="505">
        <f t="shared" si="4"/>
        <v>0</v>
      </c>
      <c r="M21" s="505">
        <f t="shared" si="2"/>
        <v>0</v>
      </c>
      <c r="N21" s="505">
        <f t="shared" si="3"/>
        <v>0</v>
      </c>
      <c r="O21" s="506">
        <f t="shared" si="1"/>
        <v>0</v>
      </c>
    </row>
    <row r="22" spans="1:15" ht="15" customHeight="1" x14ac:dyDescent="0.2">
      <c r="A22" s="1034"/>
      <c r="B22" s="507" t="s">
        <v>132</v>
      </c>
      <c r="C22" s="505">
        <v>0</v>
      </c>
      <c r="D22" s="505">
        <f t="shared" si="5"/>
        <v>0</v>
      </c>
      <c r="E22" s="505">
        <f t="shared" si="0"/>
        <v>0</v>
      </c>
      <c r="F22" s="505">
        <f t="shared" si="0"/>
        <v>0</v>
      </c>
      <c r="G22" s="505">
        <f t="shared" si="0"/>
        <v>0</v>
      </c>
      <c r="H22" s="505">
        <v>0</v>
      </c>
      <c r="I22" s="505">
        <f t="shared" si="6"/>
        <v>0</v>
      </c>
      <c r="J22" s="505">
        <v>6908</v>
      </c>
      <c r="K22" s="505">
        <v>0</v>
      </c>
      <c r="L22" s="505">
        <f t="shared" si="4"/>
        <v>0</v>
      </c>
      <c r="M22" s="505">
        <f t="shared" si="2"/>
        <v>0</v>
      </c>
      <c r="N22" s="505">
        <f t="shared" si="3"/>
        <v>0</v>
      </c>
      <c r="O22" s="506">
        <f t="shared" si="1"/>
        <v>6908</v>
      </c>
    </row>
    <row r="23" spans="1:15" ht="15" hidden="1" customHeight="1" x14ac:dyDescent="0.2">
      <c r="A23" s="1034"/>
      <c r="B23" s="507" t="s">
        <v>133</v>
      </c>
      <c r="C23" s="505">
        <v>0</v>
      </c>
      <c r="D23" s="505">
        <f t="shared" si="5"/>
        <v>0</v>
      </c>
      <c r="E23" s="505">
        <f t="shared" si="0"/>
        <v>0</v>
      </c>
      <c r="F23" s="505">
        <f t="shared" si="0"/>
        <v>0</v>
      </c>
      <c r="G23" s="505">
        <f t="shared" si="0"/>
        <v>0</v>
      </c>
      <c r="H23" s="505">
        <v>0</v>
      </c>
      <c r="I23" s="505">
        <f t="shared" si="6"/>
        <v>0</v>
      </c>
      <c r="J23" s="505">
        <f t="shared" si="6"/>
        <v>0</v>
      </c>
      <c r="K23" s="505">
        <f t="shared" si="6"/>
        <v>0</v>
      </c>
      <c r="L23" s="505">
        <f t="shared" si="4"/>
        <v>0</v>
      </c>
      <c r="M23" s="505">
        <f t="shared" si="2"/>
        <v>0</v>
      </c>
      <c r="N23" s="505">
        <f t="shared" si="3"/>
        <v>0</v>
      </c>
      <c r="O23" s="506">
        <f t="shared" si="1"/>
        <v>0</v>
      </c>
    </row>
    <row r="24" spans="1:15" ht="15" hidden="1" customHeight="1" x14ac:dyDescent="0.2">
      <c r="A24" s="1034"/>
      <c r="B24" s="507" t="s">
        <v>134</v>
      </c>
      <c r="C24" s="505">
        <v>0</v>
      </c>
      <c r="D24" s="505">
        <f t="shared" si="5"/>
        <v>0</v>
      </c>
      <c r="E24" s="505">
        <f t="shared" si="0"/>
        <v>0</v>
      </c>
      <c r="F24" s="505">
        <f t="shared" si="0"/>
        <v>0</v>
      </c>
      <c r="G24" s="505">
        <f t="shared" si="0"/>
        <v>0</v>
      </c>
      <c r="H24" s="505">
        <v>0</v>
      </c>
      <c r="I24" s="505">
        <f t="shared" si="6"/>
        <v>0</v>
      </c>
      <c r="J24" s="505">
        <f t="shared" si="6"/>
        <v>0</v>
      </c>
      <c r="K24" s="505">
        <f t="shared" si="6"/>
        <v>0</v>
      </c>
      <c r="L24" s="505">
        <f t="shared" si="4"/>
        <v>0</v>
      </c>
      <c r="M24" s="505">
        <f t="shared" si="2"/>
        <v>0</v>
      </c>
      <c r="N24" s="505">
        <f t="shared" si="3"/>
        <v>0</v>
      </c>
      <c r="O24" s="506">
        <f t="shared" si="1"/>
        <v>0</v>
      </c>
    </row>
    <row r="25" spans="1:15" ht="15" hidden="1" customHeight="1" x14ac:dyDescent="0.2">
      <c r="A25" s="1034"/>
      <c r="B25" s="507" t="s">
        <v>135</v>
      </c>
      <c r="C25" s="505">
        <v>0</v>
      </c>
      <c r="D25" s="505">
        <f t="shared" si="5"/>
        <v>0</v>
      </c>
      <c r="E25" s="505">
        <f t="shared" si="5"/>
        <v>0</v>
      </c>
      <c r="F25" s="505">
        <f t="shared" si="5"/>
        <v>0</v>
      </c>
      <c r="G25" s="505">
        <f t="shared" si="5"/>
        <v>0</v>
      </c>
      <c r="H25" s="505">
        <v>0</v>
      </c>
      <c r="I25" s="505">
        <f t="shared" si="6"/>
        <v>0</v>
      </c>
      <c r="J25" s="505">
        <f t="shared" si="6"/>
        <v>0</v>
      </c>
      <c r="K25" s="505">
        <f t="shared" si="6"/>
        <v>0</v>
      </c>
      <c r="L25" s="505">
        <f t="shared" si="4"/>
        <v>0</v>
      </c>
      <c r="M25" s="505">
        <f t="shared" si="2"/>
        <v>0</v>
      </c>
      <c r="N25" s="505">
        <f t="shared" si="3"/>
        <v>0</v>
      </c>
      <c r="O25" s="506">
        <f t="shared" si="1"/>
        <v>0</v>
      </c>
    </row>
    <row r="26" spans="1:15" ht="15" hidden="1" customHeight="1" x14ac:dyDescent="0.2">
      <c r="A26" s="1034"/>
      <c r="B26" s="507" t="s">
        <v>136</v>
      </c>
      <c r="C26" s="505">
        <v>0</v>
      </c>
      <c r="D26" s="505">
        <f t="shared" si="5"/>
        <v>0</v>
      </c>
      <c r="E26" s="505">
        <f t="shared" si="5"/>
        <v>0</v>
      </c>
      <c r="F26" s="505">
        <f t="shared" si="5"/>
        <v>0</v>
      </c>
      <c r="G26" s="505">
        <f t="shared" si="5"/>
        <v>0</v>
      </c>
      <c r="H26" s="505">
        <v>0</v>
      </c>
      <c r="I26" s="505">
        <f t="shared" si="6"/>
        <v>0</v>
      </c>
      <c r="J26" s="505">
        <f t="shared" si="6"/>
        <v>0</v>
      </c>
      <c r="K26" s="505">
        <f t="shared" si="6"/>
        <v>0</v>
      </c>
      <c r="L26" s="505">
        <f t="shared" si="4"/>
        <v>0</v>
      </c>
      <c r="M26" s="505">
        <f t="shared" si="2"/>
        <v>0</v>
      </c>
      <c r="N26" s="505">
        <f t="shared" si="3"/>
        <v>0</v>
      </c>
      <c r="O26" s="506">
        <f t="shared" si="1"/>
        <v>0</v>
      </c>
    </row>
    <row r="27" spans="1:15" ht="15" hidden="1" customHeight="1" x14ac:dyDescent="0.2">
      <c r="A27" s="1034"/>
      <c r="B27" s="507" t="s">
        <v>137</v>
      </c>
      <c r="C27" s="505">
        <v>0</v>
      </c>
      <c r="D27" s="505">
        <f t="shared" si="5"/>
        <v>0</v>
      </c>
      <c r="E27" s="505">
        <f t="shared" si="5"/>
        <v>0</v>
      </c>
      <c r="F27" s="505">
        <f t="shared" si="5"/>
        <v>0</v>
      </c>
      <c r="G27" s="505">
        <f t="shared" si="5"/>
        <v>0</v>
      </c>
      <c r="H27" s="505">
        <v>0</v>
      </c>
      <c r="I27" s="505">
        <f t="shared" si="6"/>
        <v>0</v>
      </c>
      <c r="J27" s="505">
        <f t="shared" si="6"/>
        <v>0</v>
      </c>
      <c r="K27" s="505">
        <f t="shared" si="6"/>
        <v>0</v>
      </c>
      <c r="L27" s="505">
        <f t="shared" si="6"/>
        <v>0</v>
      </c>
      <c r="M27" s="505">
        <f t="shared" si="2"/>
        <v>0</v>
      </c>
      <c r="N27" s="505">
        <f t="shared" si="3"/>
        <v>0</v>
      </c>
      <c r="O27" s="506">
        <f t="shared" si="1"/>
        <v>0</v>
      </c>
    </row>
    <row r="28" spans="1:15" ht="15" hidden="1" customHeight="1" x14ac:dyDescent="0.2">
      <c r="A28" s="1034"/>
      <c r="B28" s="507" t="s">
        <v>138</v>
      </c>
      <c r="C28" s="505">
        <v>0</v>
      </c>
      <c r="D28" s="505">
        <f t="shared" si="5"/>
        <v>0</v>
      </c>
      <c r="E28" s="505">
        <f t="shared" si="5"/>
        <v>0</v>
      </c>
      <c r="F28" s="505">
        <f t="shared" si="5"/>
        <v>0</v>
      </c>
      <c r="G28" s="505">
        <f t="shared" si="5"/>
        <v>0</v>
      </c>
      <c r="H28" s="505">
        <v>0</v>
      </c>
      <c r="I28" s="505">
        <f t="shared" si="6"/>
        <v>0</v>
      </c>
      <c r="J28" s="505">
        <f t="shared" si="6"/>
        <v>0</v>
      </c>
      <c r="K28" s="505">
        <f t="shared" si="6"/>
        <v>0</v>
      </c>
      <c r="L28" s="505">
        <f t="shared" si="6"/>
        <v>0</v>
      </c>
      <c r="M28" s="505">
        <f t="shared" si="2"/>
        <v>0</v>
      </c>
      <c r="N28" s="505">
        <f t="shared" si="3"/>
        <v>0</v>
      </c>
      <c r="O28" s="506">
        <f t="shared" si="1"/>
        <v>0</v>
      </c>
    </row>
    <row r="29" spans="1:15" ht="15" hidden="1" customHeight="1" x14ac:dyDescent="0.2">
      <c r="A29" s="1034"/>
      <c r="B29" s="507" t="s">
        <v>139</v>
      </c>
      <c r="C29" s="505">
        <v>0</v>
      </c>
      <c r="D29" s="505">
        <f t="shared" si="5"/>
        <v>0</v>
      </c>
      <c r="E29" s="505">
        <f t="shared" si="5"/>
        <v>0</v>
      </c>
      <c r="F29" s="505">
        <f t="shared" si="5"/>
        <v>0</v>
      </c>
      <c r="G29" s="505">
        <f t="shared" si="5"/>
        <v>0</v>
      </c>
      <c r="H29" s="505">
        <v>0</v>
      </c>
      <c r="I29" s="505">
        <f t="shared" si="6"/>
        <v>0</v>
      </c>
      <c r="J29" s="505">
        <f t="shared" si="6"/>
        <v>0</v>
      </c>
      <c r="K29" s="505">
        <f t="shared" si="6"/>
        <v>0</v>
      </c>
      <c r="L29" s="505">
        <f t="shared" si="6"/>
        <v>0</v>
      </c>
      <c r="M29" s="505">
        <f t="shared" si="2"/>
        <v>0</v>
      </c>
      <c r="N29" s="505">
        <f t="shared" si="3"/>
        <v>0</v>
      </c>
      <c r="O29" s="506">
        <f t="shared" si="1"/>
        <v>0</v>
      </c>
    </row>
    <row r="30" spans="1:15" ht="15" hidden="1" customHeight="1" x14ac:dyDescent="0.2">
      <c r="A30" s="1034"/>
      <c r="B30" s="507" t="s">
        <v>140</v>
      </c>
      <c r="C30" s="505">
        <v>0</v>
      </c>
      <c r="D30" s="505">
        <f t="shared" si="5"/>
        <v>0</v>
      </c>
      <c r="E30" s="505">
        <f t="shared" si="5"/>
        <v>0</v>
      </c>
      <c r="F30" s="505">
        <f t="shared" si="5"/>
        <v>0</v>
      </c>
      <c r="G30" s="505">
        <f t="shared" si="5"/>
        <v>0</v>
      </c>
      <c r="H30" s="505">
        <v>0</v>
      </c>
      <c r="I30" s="505">
        <f t="shared" si="6"/>
        <v>0</v>
      </c>
      <c r="J30" s="505">
        <f t="shared" si="6"/>
        <v>0</v>
      </c>
      <c r="K30" s="505">
        <f t="shared" si="6"/>
        <v>0</v>
      </c>
      <c r="L30" s="505">
        <f t="shared" si="6"/>
        <v>0</v>
      </c>
      <c r="M30" s="505">
        <f t="shared" si="2"/>
        <v>0</v>
      </c>
      <c r="N30" s="505">
        <f t="shared" si="3"/>
        <v>0</v>
      </c>
      <c r="O30" s="506">
        <f t="shared" si="1"/>
        <v>0</v>
      </c>
    </row>
    <row r="31" spans="1:15" ht="18.75" hidden="1" customHeight="1" x14ac:dyDescent="0.2">
      <c r="A31" s="1034"/>
      <c r="B31" s="507" t="s">
        <v>225</v>
      </c>
      <c r="C31" s="505">
        <v>0</v>
      </c>
      <c r="D31" s="505">
        <f t="shared" si="5"/>
        <v>0</v>
      </c>
      <c r="E31" s="505">
        <f t="shared" si="5"/>
        <v>0</v>
      </c>
      <c r="F31" s="505">
        <f t="shared" si="5"/>
        <v>0</v>
      </c>
      <c r="G31" s="505">
        <f t="shared" si="5"/>
        <v>0</v>
      </c>
      <c r="H31" s="505">
        <v>0</v>
      </c>
      <c r="I31" s="505">
        <f t="shared" ref="I31:L37" si="7">+H31</f>
        <v>0</v>
      </c>
      <c r="J31" s="505">
        <f t="shared" si="7"/>
        <v>0</v>
      </c>
      <c r="K31" s="505">
        <f t="shared" si="7"/>
        <v>0</v>
      </c>
      <c r="L31" s="505">
        <f t="shared" si="7"/>
        <v>0</v>
      </c>
      <c r="M31" s="505">
        <f t="shared" si="2"/>
        <v>0</v>
      </c>
      <c r="N31" s="505">
        <f t="shared" si="3"/>
        <v>0</v>
      </c>
      <c r="O31" s="506">
        <f t="shared" si="1"/>
        <v>0</v>
      </c>
    </row>
    <row r="32" spans="1:15" ht="15" customHeight="1" x14ac:dyDescent="0.2">
      <c r="A32" s="1034"/>
      <c r="B32" s="511" t="s">
        <v>142</v>
      </c>
      <c r="C32" s="505">
        <v>0</v>
      </c>
      <c r="D32" s="505">
        <f t="shared" si="5"/>
        <v>0</v>
      </c>
      <c r="E32" s="505">
        <v>623880</v>
      </c>
      <c r="F32" s="505">
        <v>0</v>
      </c>
      <c r="G32" s="505">
        <f t="shared" si="5"/>
        <v>0</v>
      </c>
      <c r="H32" s="505">
        <v>0</v>
      </c>
      <c r="I32" s="505">
        <f t="shared" si="7"/>
        <v>0</v>
      </c>
      <c r="J32" s="505">
        <f t="shared" si="7"/>
        <v>0</v>
      </c>
      <c r="K32" s="505">
        <f t="shared" si="7"/>
        <v>0</v>
      </c>
      <c r="L32" s="505">
        <f t="shared" si="7"/>
        <v>0</v>
      </c>
      <c r="M32" s="505">
        <f t="shared" si="2"/>
        <v>0</v>
      </c>
      <c r="N32" s="505">
        <f t="shared" si="3"/>
        <v>0</v>
      </c>
      <c r="O32" s="506">
        <f t="shared" si="1"/>
        <v>623880</v>
      </c>
    </row>
    <row r="33" spans="1:18" ht="12.75" hidden="1" customHeight="1" x14ac:dyDescent="0.2">
      <c r="A33" s="1035"/>
      <c r="B33" s="507" t="s">
        <v>226</v>
      </c>
      <c r="C33" s="505">
        <v>0</v>
      </c>
      <c r="D33" s="505">
        <f t="shared" si="5"/>
        <v>0</v>
      </c>
      <c r="E33" s="505">
        <f t="shared" si="5"/>
        <v>0</v>
      </c>
      <c r="F33" s="505">
        <f t="shared" si="5"/>
        <v>0</v>
      </c>
      <c r="G33" s="505">
        <f t="shared" si="5"/>
        <v>0</v>
      </c>
      <c r="H33" s="505">
        <v>0</v>
      </c>
      <c r="I33" s="505">
        <f t="shared" si="7"/>
        <v>0</v>
      </c>
      <c r="J33" s="505">
        <f t="shared" si="7"/>
        <v>0</v>
      </c>
      <c r="K33" s="505">
        <f t="shared" si="7"/>
        <v>0</v>
      </c>
      <c r="L33" s="505">
        <f t="shared" si="7"/>
        <v>0</v>
      </c>
      <c r="M33" s="505">
        <f t="shared" si="2"/>
        <v>0</v>
      </c>
      <c r="N33" s="505">
        <f t="shared" si="3"/>
        <v>0</v>
      </c>
      <c r="O33" s="506">
        <f t="shared" si="1"/>
        <v>0</v>
      </c>
    </row>
    <row r="34" spans="1:18" ht="15" customHeight="1" x14ac:dyDescent="0.2">
      <c r="A34" s="624"/>
      <c r="B34" s="507" t="s">
        <v>646</v>
      </c>
      <c r="C34" s="505">
        <v>0</v>
      </c>
      <c r="D34" s="505">
        <f t="shared" si="5"/>
        <v>0</v>
      </c>
      <c r="E34" s="505">
        <f t="shared" si="5"/>
        <v>0</v>
      </c>
      <c r="F34" s="505">
        <f t="shared" si="5"/>
        <v>0</v>
      </c>
      <c r="G34" s="505">
        <f t="shared" si="5"/>
        <v>0</v>
      </c>
      <c r="H34" s="505">
        <v>0</v>
      </c>
      <c r="I34" s="505">
        <f t="shared" si="7"/>
        <v>0</v>
      </c>
      <c r="J34" s="505">
        <f t="shared" si="7"/>
        <v>0</v>
      </c>
      <c r="K34" s="505">
        <f t="shared" si="7"/>
        <v>0</v>
      </c>
      <c r="L34" s="505">
        <f t="shared" si="7"/>
        <v>0</v>
      </c>
      <c r="M34" s="505">
        <f t="shared" si="2"/>
        <v>0</v>
      </c>
      <c r="N34" s="505">
        <f t="shared" si="3"/>
        <v>0</v>
      </c>
      <c r="O34" s="506">
        <f t="shared" si="1"/>
        <v>0</v>
      </c>
    </row>
    <row r="35" spans="1:18" ht="15" customHeight="1" x14ac:dyDescent="0.2">
      <c r="A35" s="1036" t="s">
        <v>143</v>
      </c>
      <c r="B35" s="1037"/>
      <c r="C35" s="505">
        <v>0</v>
      </c>
      <c r="D35" s="505">
        <f t="shared" si="5"/>
        <v>0</v>
      </c>
      <c r="E35" s="505">
        <f t="shared" si="5"/>
        <v>0</v>
      </c>
      <c r="F35" s="505">
        <f t="shared" si="5"/>
        <v>0</v>
      </c>
      <c r="G35" s="505">
        <f t="shared" si="5"/>
        <v>0</v>
      </c>
      <c r="H35" s="505">
        <v>0</v>
      </c>
      <c r="I35" s="505">
        <f t="shared" si="7"/>
        <v>0</v>
      </c>
      <c r="J35" s="505">
        <f t="shared" si="7"/>
        <v>0</v>
      </c>
      <c r="K35" s="505">
        <f t="shared" si="7"/>
        <v>0</v>
      </c>
      <c r="L35" s="505">
        <f t="shared" si="7"/>
        <v>0</v>
      </c>
      <c r="M35" s="505">
        <f t="shared" si="2"/>
        <v>0</v>
      </c>
      <c r="N35" s="505">
        <f t="shared" si="3"/>
        <v>0</v>
      </c>
      <c r="O35" s="506">
        <f t="shared" si="1"/>
        <v>0</v>
      </c>
    </row>
    <row r="36" spans="1:18" ht="15" customHeight="1" x14ac:dyDescent="0.2">
      <c r="A36" s="1036" t="s">
        <v>145</v>
      </c>
      <c r="B36" s="1037"/>
      <c r="C36" s="505">
        <v>0</v>
      </c>
      <c r="D36" s="505">
        <v>216</v>
      </c>
      <c r="E36" s="505">
        <v>0</v>
      </c>
      <c r="F36" s="505">
        <f>+E36</f>
        <v>0</v>
      </c>
      <c r="G36" s="505">
        <f t="shared" ref="G36:G37" si="8">+F36</f>
        <v>0</v>
      </c>
      <c r="H36" s="505">
        <v>0</v>
      </c>
      <c r="I36" s="505">
        <f t="shared" si="7"/>
        <v>0</v>
      </c>
      <c r="J36" s="505">
        <v>216</v>
      </c>
      <c r="K36" s="505">
        <v>0</v>
      </c>
      <c r="L36" s="505">
        <f t="shared" si="7"/>
        <v>0</v>
      </c>
      <c r="M36" s="505">
        <f t="shared" si="2"/>
        <v>0</v>
      </c>
      <c r="N36" s="505">
        <f t="shared" si="3"/>
        <v>0</v>
      </c>
      <c r="O36" s="506">
        <f t="shared" si="1"/>
        <v>432</v>
      </c>
    </row>
    <row r="37" spans="1:18" ht="15" customHeight="1" x14ac:dyDescent="0.2">
      <c r="A37" s="1036" t="s">
        <v>146</v>
      </c>
      <c r="B37" s="1037"/>
      <c r="C37" s="505">
        <v>0</v>
      </c>
      <c r="D37" s="505">
        <v>3030</v>
      </c>
      <c r="E37" s="505">
        <v>0</v>
      </c>
      <c r="F37" s="505">
        <f>+E37</f>
        <v>0</v>
      </c>
      <c r="G37" s="505">
        <f t="shared" si="8"/>
        <v>0</v>
      </c>
      <c r="H37" s="505">
        <v>0</v>
      </c>
      <c r="I37" s="505">
        <f t="shared" si="7"/>
        <v>0</v>
      </c>
      <c r="J37" s="505">
        <v>3120</v>
      </c>
      <c r="K37" s="505">
        <v>0</v>
      </c>
      <c r="L37" s="505">
        <f t="shared" si="7"/>
        <v>0</v>
      </c>
      <c r="M37" s="505">
        <f t="shared" si="2"/>
        <v>0</v>
      </c>
      <c r="N37" s="505">
        <f t="shared" si="3"/>
        <v>0</v>
      </c>
      <c r="O37" s="506">
        <f t="shared" si="1"/>
        <v>6150</v>
      </c>
    </row>
    <row r="38" spans="1:18" ht="15" customHeight="1" x14ac:dyDescent="0.2">
      <c r="A38" s="513"/>
      <c r="B38" s="514" t="s">
        <v>147</v>
      </c>
      <c r="C38" s="515">
        <f t="shared" ref="C38:N38" si="9">SUM(C9:C37)</f>
        <v>56805</v>
      </c>
      <c r="D38" s="515">
        <f t="shared" si="9"/>
        <v>61133</v>
      </c>
      <c r="E38" s="515">
        <f t="shared" si="9"/>
        <v>681767</v>
      </c>
      <c r="F38" s="515">
        <f t="shared" si="9"/>
        <v>57887</v>
      </c>
      <c r="G38" s="515">
        <f t="shared" si="9"/>
        <v>59492</v>
      </c>
      <c r="H38" s="515">
        <f t="shared" si="9"/>
        <v>59492</v>
      </c>
      <c r="I38" s="515">
        <f t="shared" si="9"/>
        <v>59492</v>
      </c>
      <c r="J38" s="515">
        <f t="shared" si="9"/>
        <v>70848</v>
      </c>
      <c r="K38" s="515">
        <f t="shared" si="9"/>
        <v>60604</v>
      </c>
      <c r="L38" s="515">
        <f t="shared" si="9"/>
        <v>60604</v>
      </c>
      <c r="M38" s="515">
        <f t="shared" si="9"/>
        <v>60604</v>
      </c>
      <c r="N38" s="515">
        <f t="shared" si="9"/>
        <v>60604</v>
      </c>
      <c r="O38" s="516">
        <f t="shared" si="1"/>
        <v>1349332</v>
      </c>
    </row>
    <row r="39" spans="1:18" ht="15" customHeight="1" x14ac:dyDescent="0.2">
      <c r="A39" s="995" t="s">
        <v>148</v>
      </c>
      <c r="B39" s="517" t="s">
        <v>149</v>
      </c>
      <c r="C39" s="508">
        <v>500</v>
      </c>
      <c r="D39" s="508">
        <v>500</v>
      </c>
      <c r="E39" s="508">
        <v>62888</v>
      </c>
      <c r="F39" s="508">
        <v>500</v>
      </c>
      <c r="G39" s="508">
        <v>500</v>
      </c>
      <c r="H39" s="508">
        <v>500</v>
      </c>
      <c r="I39" s="508">
        <v>500</v>
      </c>
      <c r="J39" s="508">
        <v>500</v>
      </c>
      <c r="K39" s="508">
        <v>500</v>
      </c>
      <c r="L39" s="508">
        <v>7500</v>
      </c>
      <c r="M39" s="508">
        <v>7500</v>
      </c>
      <c r="N39" s="508">
        <v>4520</v>
      </c>
      <c r="O39" s="506">
        <f t="shared" si="1"/>
        <v>86408</v>
      </c>
      <c r="P39" s="518"/>
    </row>
    <row r="40" spans="1:18" ht="15" x14ac:dyDescent="0.2">
      <c r="A40" s="996"/>
      <c r="B40" s="517" t="s">
        <v>150</v>
      </c>
      <c r="C40" s="508">
        <v>0</v>
      </c>
      <c r="D40" s="508">
        <v>0</v>
      </c>
      <c r="E40" s="508">
        <v>0</v>
      </c>
      <c r="F40" s="508">
        <v>0</v>
      </c>
      <c r="G40" s="508">
        <v>0</v>
      </c>
      <c r="H40" s="508">
        <v>0</v>
      </c>
      <c r="I40" s="508">
        <v>0</v>
      </c>
      <c r="J40" s="508">
        <v>0</v>
      </c>
      <c r="K40" s="508">
        <v>0</v>
      </c>
      <c r="L40" s="508">
        <v>0</v>
      </c>
      <c r="M40" s="508">
        <v>0</v>
      </c>
      <c r="N40" s="508">
        <v>0</v>
      </c>
      <c r="O40" s="506">
        <f t="shared" si="1"/>
        <v>0</v>
      </c>
      <c r="R40" s="490"/>
    </row>
    <row r="41" spans="1:18" ht="15" x14ac:dyDescent="0.2">
      <c r="A41" s="996"/>
      <c r="B41" s="517" t="s">
        <v>151</v>
      </c>
      <c r="C41" s="508">
        <v>30</v>
      </c>
      <c r="D41" s="508">
        <v>30</v>
      </c>
      <c r="E41" s="508">
        <v>30</v>
      </c>
      <c r="F41" s="508">
        <v>30</v>
      </c>
      <c r="G41" s="508">
        <v>30</v>
      </c>
      <c r="H41" s="508">
        <v>30</v>
      </c>
      <c r="I41" s="508">
        <v>30</v>
      </c>
      <c r="J41" s="508">
        <v>30</v>
      </c>
      <c r="K41" s="508">
        <v>30</v>
      </c>
      <c r="L41" s="508">
        <v>30</v>
      </c>
      <c r="M41" s="508">
        <v>30</v>
      </c>
      <c r="N41" s="508">
        <v>30</v>
      </c>
      <c r="O41" s="506">
        <f t="shared" si="1"/>
        <v>360</v>
      </c>
    </row>
    <row r="42" spans="1:18" ht="15" x14ac:dyDescent="0.2">
      <c r="A42" s="996"/>
      <c r="B42" s="517" t="s">
        <v>152</v>
      </c>
      <c r="C42" s="508">
        <v>0</v>
      </c>
      <c r="D42" s="508">
        <v>0</v>
      </c>
      <c r="E42" s="508">
        <v>0</v>
      </c>
      <c r="F42" s="508">
        <v>0</v>
      </c>
      <c r="G42" s="508">
        <v>0</v>
      </c>
      <c r="H42" s="508">
        <v>0</v>
      </c>
      <c r="I42" s="508">
        <v>0</v>
      </c>
      <c r="J42" s="508">
        <v>0</v>
      </c>
      <c r="K42" s="508">
        <v>0</v>
      </c>
      <c r="L42" s="508">
        <v>0</v>
      </c>
      <c r="M42" s="508">
        <v>0</v>
      </c>
      <c r="N42" s="508">
        <v>0</v>
      </c>
      <c r="O42" s="506">
        <f t="shared" si="1"/>
        <v>0</v>
      </c>
    </row>
    <row r="43" spans="1:18" ht="15" x14ac:dyDescent="0.2">
      <c r="A43" s="996"/>
      <c r="B43" s="517" t="s">
        <v>153</v>
      </c>
      <c r="C43" s="508">
        <v>250</v>
      </c>
      <c r="D43" s="508">
        <v>250</v>
      </c>
      <c r="E43" s="508">
        <v>250</v>
      </c>
      <c r="F43" s="508">
        <v>250</v>
      </c>
      <c r="G43" s="508">
        <v>450</v>
      </c>
      <c r="H43" s="508">
        <v>450</v>
      </c>
      <c r="I43" s="508">
        <v>450</v>
      </c>
      <c r="J43" s="508">
        <v>450</v>
      </c>
      <c r="K43" s="508">
        <v>450</v>
      </c>
      <c r="L43" s="508">
        <v>450</v>
      </c>
      <c r="M43" s="508">
        <v>450</v>
      </c>
      <c r="N43" s="508">
        <v>450</v>
      </c>
      <c r="O43" s="506">
        <f t="shared" si="1"/>
        <v>4600</v>
      </c>
    </row>
    <row r="44" spans="1:18" ht="15" x14ac:dyDescent="0.2">
      <c r="A44" s="996"/>
      <c r="B44" s="517" t="s">
        <v>154</v>
      </c>
      <c r="C44" s="508">
        <v>5000</v>
      </c>
      <c r="D44" s="508">
        <v>5000</v>
      </c>
      <c r="E44" s="508">
        <v>5000</v>
      </c>
      <c r="F44" s="508">
        <v>5000</v>
      </c>
      <c r="G44" s="508">
        <v>5000</v>
      </c>
      <c r="H44" s="508">
        <v>5000</v>
      </c>
      <c r="I44" s="508">
        <v>5000</v>
      </c>
      <c r="J44" s="508">
        <v>5000</v>
      </c>
      <c r="K44" s="508">
        <v>5000</v>
      </c>
      <c r="L44" s="508">
        <v>5000</v>
      </c>
      <c r="M44" s="508">
        <v>5000</v>
      </c>
      <c r="N44" s="508">
        <v>5000</v>
      </c>
      <c r="O44" s="506">
        <f t="shared" si="1"/>
        <v>60000</v>
      </c>
      <c r="P44" s="519"/>
    </row>
    <row r="45" spans="1:18" ht="15" x14ac:dyDescent="0.2">
      <c r="A45" s="996"/>
      <c r="B45" s="517" t="s">
        <v>155</v>
      </c>
      <c r="C45" s="508">
        <v>200</v>
      </c>
      <c r="D45" s="508">
        <v>200</v>
      </c>
      <c r="E45" s="508">
        <v>200</v>
      </c>
      <c r="F45" s="508">
        <v>200</v>
      </c>
      <c r="G45" s="508">
        <v>200</v>
      </c>
      <c r="H45" s="508">
        <v>200</v>
      </c>
      <c r="I45" s="508">
        <v>200</v>
      </c>
      <c r="J45" s="508">
        <v>200</v>
      </c>
      <c r="K45" s="508">
        <v>200</v>
      </c>
      <c r="L45" s="508">
        <v>200</v>
      </c>
      <c r="M45" s="508">
        <v>200</v>
      </c>
      <c r="N45" s="508">
        <v>300</v>
      </c>
      <c r="O45" s="506">
        <f t="shared" si="1"/>
        <v>2500</v>
      </c>
    </row>
    <row r="46" spans="1:18" ht="15" x14ac:dyDescent="0.2">
      <c r="A46" s="996"/>
      <c r="B46" s="517" t="s">
        <v>156</v>
      </c>
      <c r="C46" s="508">
        <v>363</v>
      </c>
      <c r="D46" s="508">
        <v>363</v>
      </c>
      <c r="E46" s="508">
        <v>363</v>
      </c>
      <c r="F46" s="508">
        <v>363</v>
      </c>
      <c r="G46" s="508">
        <v>363</v>
      </c>
      <c r="H46" s="508">
        <v>363</v>
      </c>
      <c r="I46" s="508">
        <v>363</v>
      </c>
      <c r="J46" s="508">
        <v>363</v>
      </c>
      <c r="K46" s="508">
        <v>363</v>
      </c>
      <c r="L46" s="508">
        <v>363</v>
      </c>
      <c r="M46" s="508">
        <v>363</v>
      </c>
      <c r="N46" s="508">
        <v>363</v>
      </c>
      <c r="O46" s="506">
        <f t="shared" si="1"/>
        <v>4356</v>
      </c>
    </row>
    <row r="47" spans="1:18" ht="15" x14ac:dyDescent="0.2">
      <c r="A47" s="996"/>
      <c r="B47" s="517" t="s">
        <v>157</v>
      </c>
      <c r="C47" s="508">
        <v>0</v>
      </c>
      <c r="D47" s="508">
        <v>0</v>
      </c>
      <c r="E47" s="508">
        <v>0</v>
      </c>
      <c r="F47" s="508">
        <v>0</v>
      </c>
      <c r="G47" s="508">
        <v>0</v>
      </c>
      <c r="H47" s="508">
        <v>0</v>
      </c>
      <c r="I47" s="508">
        <v>0</v>
      </c>
      <c r="J47" s="508">
        <v>0</v>
      </c>
      <c r="K47" s="508">
        <v>0</v>
      </c>
      <c r="L47" s="508">
        <v>0</v>
      </c>
      <c r="M47" s="508">
        <v>0</v>
      </c>
      <c r="N47" s="508">
        <v>0</v>
      </c>
      <c r="O47" s="506">
        <f t="shared" si="1"/>
        <v>0</v>
      </c>
    </row>
    <row r="48" spans="1:18" ht="28.5" customHeight="1" x14ac:dyDescent="0.2">
      <c r="A48" s="997"/>
      <c r="B48" s="520" t="s">
        <v>158</v>
      </c>
      <c r="C48" s="508">
        <v>0</v>
      </c>
      <c r="D48" s="508">
        <v>0</v>
      </c>
      <c r="E48" s="508">
        <v>0</v>
      </c>
      <c r="F48" s="508">
        <v>0</v>
      </c>
      <c r="G48" s="508">
        <v>0</v>
      </c>
      <c r="H48" s="508">
        <v>0</v>
      </c>
      <c r="I48" s="508">
        <v>0</v>
      </c>
      <c r="J48" s="508">
        <v>0</v>
      </c>
      <c r="K48" s="508">
        <v>0</v>
      </c>
      <c r="L48" s="508">
        <v>0</v>
      </c>
      <c r="M48" s="508">
        <v>0</v>
      </c>
      <c r="N48" s="508">
        <v>0</v>
      </c>
      <c r="O48" s="521">
        <f t="shared" si="1"/>
        <v>0</v>
      </c>
    </row>
    <row r="49" spans="1:19" ht="15" x14ac:dyDescent="0.2">
      <c r="A49" s="998"/>
      <c r="B49" s="522" t="s">
        <v>479</v>
      </c>
      <c r="C49" s="508">
        <v>0</v>
      </c>
      <c r="D49" s="508">
        <v>0</v>
      </c>
      <c r="E49" s="508">
        <v>0</v>
      </c>
      <c r="F49" s="508">
        <v>0</v>
      </c>
      <c r="G49" s="508">
        <v>0</v>
      </c>
      <c r="H49" s="508">
        <v>0</v>
      </c>
      <c r="I49" s="508">
        <v>0</v>
      </c>
      <c r="J49" s="508">
        <v>0</v>
      </c>
      <c r="K49" s="508">
        <v>0</v>
      </c>
      <c r="L49" s="508">
        <v>0</v>
      </c>
      <c r="M49" s="508">
        <v>0</v>
      </c>
      <c r="N49" s="508">
        <v>0</v>
      </c>
      <c r="O49" s="521">
        <f t="shared" si="1"/>
        <v>0</v>
      </c>
    </row>
    <row r="50" spans="1:19" ht="15" x14ac:dyDescent="0.2">
      <c r="A50" s="999" t="s">
        <v>160</v>
      </c>
      <c r="B50" s="1000"/>
      <c r="C50" s="523">
        <f t="shared" ref="C50:N50" si="10">SUM(C39:C49)</f>
        <v>6343</v>
      </c>
      <c r="D50" s="523">
        <f t="shared" si="10"/>
        <v>6343</v>
      </c>
      <c r="E50" s="523">
        <f t="shared" si="10"/>
        <v>68731</v>
      </c>
      <c r="F50" s="523">
        <f t="shared" si="10"/>
        <v>6343</v>
      </c>
      <c r="G50" s="523">
        <f t="shared" si="10"/>
        <v>6543</v>
      </c>
      <c r="H50" s="523">
        <f t="shared" si="10"/>
        <v>6543</v>
      </c>
      <c r="I50" s="523">
        <f t="shared" si="10"/>
        <v>6543</v>
      </c>
      <c r="J50" s="523">
        <f t="shared" si="10"/>
        <v>6543</v>
      </c>
      <c r="K50" s="523">
        <f t="shared" si="10"/>
        <v>6543</v>
      </c>
      <c r="L50" s="523">
        <f t="shared" si="10"/>
        <v>13543</v>
      </c>
      <c r="M50" s="523">
        <f t="shared" si="10"/>
        <v>13543</v>
      </c>
      <c r="N50" s="523">
        <f t="shared" si="10"/>
        <v>10663</v>
      </c>
      <c r="O50" s="524">
        <f t="shared" si="1"/>
        <v>158224</v>
      </c>
    </row>
    <row r="51" spans="1:19" ht="15.75" thickBot="1" x14ac:dyDescent="0.25">
      <c r="A51" s="1001" t="s">
        <v>161</v>
      </c>
      <c r="B51" s="1002"/>
      <c r="C51" s="525">
        <f t="shared" ref="C51:N51" si="11">C38-C50</f>
        <v>50462</v>
      </c>
      <c r="D51" s="525">
        <f t="shared" si="11"/>
        <v>54790</v>
      </c>
      <c r="E51" s="525">
        <f t="shared" si="11"/>
        <v>613036</v>
      </c>
      <c r="F51" s="525">
        <f t="shared" si="11"/>
        <v>51544</v>
      </c>
      <c r="G51" s="525">
        <f t="shared" si="11"/>
        <v>52949</v>
      </c>
      <c r="H51" s="525">
        <f t="shared" si="11"/>
        <v>52949</v>
      </c>
      <c r="I51" s="525">
        <f t="shared" si="11"/>
        <v>52949</v>
      </c>
      <c r="J51" s="525">
        <f t="shared" si="11"/>
        <v>64305</v>
      </c>
      <c r="K51" s="525">
        <f t="shared" si="11"/>
        <v>54061</v>
      </c>
      <c r="L51" s="525">
        <f t="shared" si="11"/>
        <v>47061</v>
      </c>
      <c r="M51" s="525">
        <f t="shared" si="11"/>
        <v>47061</v>
      </c>
      <c r="N51" s="525">
        <f t="shared" si="11"/>
        <v>49941</v>
      </c>
      <c r="O51" s="526">
        <f t="shared" si="1"/>
        <v>1191108</v>
      </c>
    </row>
    <row r="52" spans="1:19" x14ac:dyDescent="0.2">
      <c r="J52" s="504">
        <f>+J38-SUM(J20:J37)</f>
        <v>60604</v>
      </c>
      <c r="M52" s="504">
        <f>21404+28067</f>
        <v>49471</v>
      </c>
      <c r="Q52" s="528"/>
    </row>
    <row r="53" spans="1:19" ht="13.5" thickBot="1" x14ac:dyDescent="0.25">
      <c r="J53" s="528">
        <f>+J52-J50</f>
        <v>54061</v>
      </c>
    </row>
    <row r="54" spans="1:19" ht="13.5" thickBot="1" x14ac:dyDescent="0.25">
      <c r="B54" s="955" t="s">
        <v>162</v>
      </c>
      <c r="C54" s="1003"/>
      <c r="D54" s="1003"/>
      <c r="E54" s="1003"/>
      <c r="F54" s="1004"/>
      <c r="G54" s="1005">
        <f>O38</f>
        <v>1349332</v>
      </c>
      <c r="H54" s="1006"/>
    </row>
    <row r="55" spans="1:19" ht="13.5" thickBot="1" x14ac:dyDescent="0.25"/>
    <row r="56" spans="1:19" x14ac:dyDescent="0.2">
      <c r="B56" s="1007" t="s">
        <v>163</v>
      </c>
      <c r="C56" s="1010" t="s">
        <v>164</v>
      </c>
      <c r="D56" s="1013" t="s">
        <v>165</v>
      </c>
      <c r="E56" s="1014"/>
      <c r="F56" s="1015"/>
      <c r="G56" s="1016">
        <v>4000</v>
      </c>
      <c r="H56" s="1017"/>
    </row>
    <row r="57" spans="1:19" x14ac:dyDescent="0.2">
      <c r="B57" s="1008"/>
      <c r="C57" s="1011"/>
      <c r="D57" s="1018" t="s">
        <v>166</v>
      </c>
      <c r="E57" s="1019"/>
      <c r="F57" s="1020"/>
      <c r="G57" s="1021">
        <f>+O45</f>
        <v>2500</v>
      </c>
      <c r="H57" s="1022"/>
      <c r="I57" s="529"/>
      <c r="J57" s="1090"/>
      <c r="K57" s="1090"/>
      <c r="L57" s="1090"/>
      <c r="M57" s="1091"/>
      <c r="N57" s="1091"/>
      <c r="O57" s="1091"/>
    </row>
    <row r="58" spans="1:19" ht="13.5" thickBot="1" x14ac:dyDescent="0.25">
      <c r="B58" s="1009"/>
      <c r="C58" s="1012"/>
      <c r="D58" s="1023" t="s">
        <v>243</v>
      </c>
      <c r="E58" s="1024"/>
      <c r="F58" s="1025"/>
      <c r="G58" s="1026">
        <f>IF(O18&gt;15000,15000,+O18)</f>
        <v>0</v>
      </c>
      <c r="H58" s="1027"/>
      <c r="J58" s="531"/>
      <c r="K58" s="531"/>
      <c r="L58" s="531"/>
      <c r="M58" s="531"/>
      <c r="N58" s="531"/>
      <c r="O58" s="531"/>
    </row>
    <row r="59" spans="1:19" ht="13.5" thickBot="1" x14ac:dyDescent="0.25">
      <c r="B59" s="532"/>
      <c r="J59" s="531"/>
      <c r="K59" s="531"/>
      <c r="L59" s="531"/>
      <c r="M59" s="531"/>
      <c r="N59" s="531"/>
      <c r="O59" s="531"/>
    </row>
    <row r="60" spans="1:19" ht="13.5" thickBot="1" x14ac:dyDescent="0.25">
      <c r="B60" s="955" t="s">
        <v>168</v>
      </c>
      <c r="C60" s="956"/>
      <c r="D60" s="956"/>
      <c r="E60" s="956"/>
      <c r="F60" s="957"/>
      <c r="G60" s="1028">
        <f>+G54-SUM(G56:H58)</f>
        <v>1342832</v>
      </c>
      <c r="H60" s="1029"/>
      <c r="J60" s="992" t="s">
        <v>169</v>
      </c>
      <c r="K60" s="993"/>
      <c r="L60" s="993"/>
      <c r="M60" s="993"/>
      <c r="N60" s="993"/>
      <c r="O60" s="994"/>
    </row>
    <row r="61" spans="1:19" ht="13.5" thickBot="1" x14ac:dyDescent="0.25">
      <c r="B61" s="533"/>
      <c r="C61" s="534"/>
      <c r="D61" s="534"/>
      <c r="E61" s="534"/>
      <c r="F61" s="534"/>
      <c r="G61" s="530"/>
      <c r="H61" s="534"/>
      <c r="J61" s="535"/>
      <c r="K61" s="536"/>
      <c r="L61" s="536"/>
      <c r="M61" s="536"/>
      <c r="N61" s="536"/>
      <c r="O61" s="537"/>
    </row>
    <row r="62" spans="1:19" ht="13.5" thickBot="1" x14ac:dyDescent="0.25">
      <c r="B62" s="955" t="s">
        <v>170</v>
      </c>
      <c r="C62" s="956"/>
      <c r="D62" s="956"/>
      <c r="E62" s="956"/>
      <c r="F62" s="957"/>
      <c r="G62" s="1047"/>
      <c r="H62" s="957"/>
      <c r="J62" s="535"/>
      <c r="K62" s="536"/>
      <c r="L62" s="536"/>
      <c r="M62" s="536"/>
      <c r="N62" s="536"/>
      <c r="O62" s="537"/>
    </row>
    <row r="63" spans="1:19" ht="12.75" customHeight="1" x14ac:dyDescent="0.2">
      <c r="B63" s="538" t="s">
        <v>171</v>
      </c>
      <c r="C63" s="977" t="s">
        <v>172</v>
      </c>
      <c r="D63" s="978"/>
      <c r="E63" s="978"/>
      <c r="F63" s="979"/>
      <c r="G63" s="980">
        <v>0</v>
      </c>
      <c r="H63" s="980"/>
      <c r="I63" s="539"/>
      <c r="J63" s="981" t="s">
        <v>173</v>
      </c>
      <c r="K63" s="982"/>
      <c r="L63" s="982"/>
      <c r="M63" s="982"/>
      <c r="N63" s="982"/>
      <c r="O63" s="983"/>
      <c r="Q63" s="540"/>
      <c r="R63" s="540"/>
      <c r="S63" s="540"/>
    </row>
    <row r="64" spans="1:19" ht="13.5" thickBot="1" x14ac:dyDescent="0.25">
      <c r="D64" s="527"/>
      <c r="I64" s="539"/>
      <c r="J64" s="541" t="s">
        <v>647</v>
      </c>
      <c r="K64" s="631"/>
      <c r="L64" s="631"/>
      <c r="M64" s="632"/>
      <c r="N64" s="632"/>
      <c r="O64" s="633"/>
      <c r="Q64" s="540"/>
      <c r="R64" s="540"/>
      <c r="S64" s="540"/>
    </row>
    <row r="65" spans="2:19" ht="13.5" thickBot="1" x14ac:dyDescent="0.25">
      <c r="B65" s="955" t="s">
        <v>175</v>
      </c>
      <c r="C65" s="956"/>
      <c r="D65" s="956"/>
      <c r="E65" s="956"/>
      <c r="F65" s="957"/>
      <c r="G65" s="1047">
        <f>+G60-G63</f>
        <v>1342832</v>
      </c>
      <c r="H65" s="957"/>
      <c r="I65" s="544"/>
      <c r="J65" s="545" t="s">
        <v>648</v>
      </c>
      <c r="K65" s="529"/>
      <c r="L65" s="529"/>
      <c r="M65" s="529"/>
      <c r="N65" s="529"/>
      <c r="O65" s="546"/>
      <c r="Q65" s="540"/>
      <c r="R65" s="540"/>
      <c r="S65" s="540"/>
    </row>
    <row r="66" spans="2:19" ht="12.75" customHeight="1" x14ac:dyDescent="0.2">
      <c r="B66" s="532"/>
      <c r="C66" s="532"/>
      <c r="I66" s="544"/>
      <c r="J66" s="547" t="s">
        <v>649</v>
      </c>
      <c r="K66" s="529"/>
      <c r="L66" s="529"/>
      <c r="M66" s="529"/>
      <c r="N66" s="529"/>
      <c r="O66" s="546">
        <f>76697+60113</f>
        <v>136810</v>
      </c>
      <c r="Q66" s="540"/>
      <c r="R66" s="540"/>
      <c r="S66" s="540"/>
    </row>
    <row r="67" spans="2:19" x14ac:dyDescent="0.2">
      <c r="B67" s="548" t="s">
        <v>176</v>
      </c>
      <c r="C67" s="532"/>
      <c r="I67" s="544"/>
      <c r="J67" s="549"/>
      <c r="K67" s="550"/>
      <c r="L67" s="550"/>
      <c r="M67" s="550"/>
      <c r="N67" s="550"/>
      <c r="O67" s="551"/>
      <c r="Q67" s="540"/>
      <c r="R67" s="540"/>
      <c r="S67" s="540"/>
    </row>
    <row r="68" spans="2:19" ht="26.25" customHeight="1" thickBot="1" x14ac:dyDescent="0.25">
      <c r="B68" s="548"/>
      <c r="C68" s="532"/>
      <c r="G68" s="552" t="s">
        <v>177</v>
      </c>
      <c r="H68" s="552" t="s">
        <v>178</v>
      </c>
      <c r="I68" s="544"/>
      <c r="J68" s="981" t="s">
        <v>179</v>
      </c>
      <c r="K68" s="982"/>
      <c r="L68" s="553"/>
      <c r="M68" s="553"/>
      <c r="N68" s="553"/>
      <c r="O68" s="634" t="s">
        <v>267</v>
      </c>
      <c r="Q68" s="540"/>
      <c r="R68" s="540"/>
      <c r="S68" s="540"/>
    </row>
    <row r="69" spans="2:19" ht="12.75" customHeight="1" x14ac:dyDescent="0.2">
      <c r="B69" s="968" t="s">
        <v>180</v>
      </c>
      <c r="C69" s="971" t="s">
        <v>181</v>
      </c>
      <c r="D69" s="973" t="s">
        <v>182</v>
      </c>
      <c r="E69" s="974"/>
      <c r="F69" s="974"/>
      <c r="G69" s="555">
        <f>+O44</f>
        <v>60000</v>
      </c>
      <c r="H69" s="556">
        <f t="shared" ref="H69:H77" si="12">+G69</f>
        <v>60000</v>
      </c>
      <c r="I69" s="544"/>
      <c r="J69" s="561" t="s">
        <v>650</v>
      </c>
      <c r="K69" s="539"/>
      <c r="L69" s="529"/>
      <c r="M69" s="529" t="s">
        <v>232</v>
      </c>
      <c r="N69" s="539" t="s">
        <v>233</v>
      </c>
      <c r="O69" s="558"/>
      <c r="P69" s="504" t="s">
        <v>651</v>
      </c>
      <c r="Q69" s="637"/>
      <c r="R69" s="637"/>
      <c r="S69" s="637"/>
    </row>
    <row r="70" spans="2:19" ht="12.75" customHeight="1" x14ac:dyDescent="0.2">
      <c r="B70" s="969"/>
      <c r="C70" s="972"/>
      <c r="D70" s="975" t="s">
        <v>184</v>
      </c>
      <c r="E70" s="976"/>
      <c r="F70" s="976"/>
      <c r="G70" s="559">
        <v>0</v>
      </c>
      <c r="H70" s="560">
        <f t="shared" si="12"/>
        <v>0</v>
      </c>
      <c r="I70" s="544"/>
      <c r="J70" s="561"/>
      <c r="K70" s="550"/>
      <c r="L70" s="557"/>
      <c r="M70" s="529"/>
      <c r="N70" s="557"/>
      <c r="O70" s="562"/>
      <c r="Q70" s="637"/>
      <c r="R70" s="637"/>
      <c r="S70" s="637"/>
    </row>
    <row r="71" spans="2:19" ht="12.75" customHeight="1" x14ac:dyDescent="0.2">
      <c r="B71" s="969"/>
      <c r="C71" s="972"/>
      <c r="D71" s="990" t="s">
        <v>185</v>
      </c>
      <c r="E71" s="991"/>
      <c r="F71" s="991"/>
      <c r="G71" s="563">
        <f>O41</f>
        <v>360</v>
      </c>
      <c r="H71" s="560">
        <f t="shared" si="12"/>
        <v>360</v>
      </c>
      <c r="I71" s="544"/>
      <c r="J71" s="561"/>
      <c r="K71" s="539"/>
      <c r="L71" s="557"/>
      <c r="M71" s="529"/>
      <c r="N71" s="557"/>
      <c r="O71" s="562"/>
      <c r="Q71" s="504">
        <v>884476085</v>
      </c>
      <c r="R71" s="504" t="s">
        <v>652</v>
      </c>
      <c r="S71" s="504">
        <v>3060</v>
      </c>
    </row>
    <row r="72" spans="2:19" x14ac:dyDescent="0.2">
      <c r="B72" s="969"/>
      <c r="C72" s="972"/>
      <c r="D72" s="975" t="s">
        <v>186</v>
      </c>
      <c r="E72" s="976"/>
      <c r="F72" s="976"/>
      <c r="G72" s="565">
        <v>0</v>
      </c>
      <c r="H72" s="560">
        <f t="shared" si="12"/>
        <v>0</v>
      </c>
      <c r="I72" s="544"/>
      <c r="J72" s="561"/>
      <c r="K72" s="534"/>
      <c r="L72" s="557"/>
      <c r="M72" s="529"/>
      <c r="N72" s="557"/>
      <c r="O72" s="562"/>
      <c r="Q72" s="504">
        <v>884476088</v>
      </c>
      <c r="R72" s="504" t="s">
        <v>652</v>
      </c>
      <c r="S72" s="504">
        <v>3060</v>
      </c>
    </row>
    <row r="73" spans="2:19" ht="12.75" customHeight="1" x14ac:dyDescent="0.2">
      <c r="B73" s="969"/>
      <c r="C73" s="972"/>
      <c r="D73" s="950" t="s">
        <v>188</v>
      </c>
      <c r="E73" s="976"/>
      <c r="F73" s="976"/>
      <c r="G73" s="563">
        <v>0</v>
      </c>
      <c r="H73" s="560">
        <f t="shared" si="12"/>
        <v>0</v>
      </c>
      <c r="I73" s="544"/>
      <c r="J73" s="561"/>
      <c r="K73" s="529"/>
      <c r="L73" s="529"/>
      <c r="M73" s="529"/>
      <c r="N73" s="557"/>
      <c r="O73" s="562"/>
      <c r="Q73" s="504">
        <v>884476089</v>
      </c>
      <c r="R73" s="504" t="s">
        <v>652</v>
      </c>
      <c r="S73" s="504">
        <v>3060</v>
      </c>
    </row>
    <row r="74" spans="2:19" ht="14.25" customHeight="1" x14ac:dyDescent="0.2">
      <c r="B74" s="969"/>
      <c r="C74" s="972"/>
      <c r="D74" s="975" t="s">
        <v>190</v>
      </c>
      <c r="E74" s="976"/>
      <c r="F74" s="976"/>
      <c r="G74" s="568">
        <v>0</v>
      </c>
      <c r="H74" s="560">
        <f t="shared" si="12"/>
        <v>0</v>
      </c>
      <c r="I74" s="544"/>
      <c r="J74" s="561"/>
      <c r="K74" s="529"/>
      <c r="L74" s="529"/>
      <c r="M74" s="529"/>
      <c r="N74" s="557"/>
      <c r="O74" s="562"/>
      <c r="Q74" s="504">
        <v>884476090</v>
      </c>
      <c r="R74" s="504" t="s">
        <v>652</v>
      </c>
      <c r="S74" s="504">
        <v>3060</v>
      </c>
    </row>
    <row r="75" spans="2:19" x14ac:dyDescent="0.2">
      <c r="B75" s="969"/>
      <c r="C75" s="972"/>
      <c r="D75" s="975" t="s">
        <v>191</v>
      </c>
      <c r="E75" s="976"/>
      <c r="F75" s="976"/>
      <c r="G75" s="565">
        <v>0</v>
      </c>
      <c r="H75" s="560">
        <f t="shared" si="12"/>
        <v>0</v>
      </c>
      <c r="I75" s="539"/>
      <c r="J75" s="638"/>
      <c r="K75" s="529"/>
      <c r="L75" s="529"/>
      <c r="M75" s="529"/>
      <c r="N75" s="557"/>
      <c r="O75" s="546"/>
      <c r="Q75" s="504">
        <v>884460574</v>
      </c>
      <c r="R75" s="504" t="s">
        <v>653</v>
      </c>
      <c r="S75" s="504">
        <v>4896</v>
      </c>
    </row>
    <row r="76" spans="2:19" x14ac:dyDescent="0.2">
      <c r="B76" s="969"/>
      <c r="C76" s="571" t="s">
        <v>192</v>
      </c>
      <c r="D76" s="984" t="s">
        <v>193</v>
      </c>
      <c r="E76" s="985"/>
      <c r="F76" s="985"/>
      <c r="G76" s="563">
        <v>0</v>
      </c>
      <c r="H76" s="560">
        <f t="shared" si="12"/>
        <v>0</v>
      </c>
      <c r="I76" s="539"/>
      <c r="J76" s="639"/>
      <c r="K76" s="529"/>
      <c r="L76" s="529"/>
      <c r="M76" s="529"/>
      <c r="N76" s="557"/>
      <c r="O76" s="640"/>
      <c r="Q76" s="504">
        <v>884460575</v>
      </c>
      <c r="R76" s="504" t="s">
        <v>653</v>
      </c>
      <c r="S76" s="504">
        <v>4896</v>
      </c>
    </row>
    <row r="77" spans="2:19" ht="13.5" customHeight="1" thickBot="1" x14ac:dyDescent="0.25">
      <c r="B77" s="969"/>
      <c r="C77" s="571" t="s">
        <v>194</v>
      </c>
      <c r="D77" s="986" t="s">
        <v>195</v>
      </c>
      <c r="E77" s="986"/>
      <c r="F77" s="986"/>
      <c r="G77" s="573">
        <v>0</v>
      </c>
      <c r="H77" s="574">
        <f t="shared" si="12"/>
        <v>0</v>
      </c>
      <c r="I77" s="544"/>
      <c r="J77" s="639"/>
      <c r="K77" s="529"/>
      <c r="L77" s="529"/>
      <c r="M77" s="544"/>
      <c r="N77" s="557"/>
      <c r="O77" s="546"/>
      <c r="Q77" s="504">
        <v>884460576</v>
      </c>
      <c r="R77" s="504" t="s">
        <v>653</v>
      </c>
      <c r="S77" s="504">
        <v>4896</v>
      </c>
    </row>
    <row r="78" spans="2:19" ht="13.5" thickBot="1" x14ac:dyDescent="0.25">
      <c r="B78" s="969"/>
      <c r="C78" s="575"/>
      <c r="D78" s="576"/>
      <c r="E78" s="987" t="s">
        <v>117</v>
      </c>
      <c r="F78" s="988"/>
      <c r="G78" s="577">
        <f>SUM(G69:G77)</f>
        <v>60360</v>
      </c>
      <c r="H78" s="578">
        <f>IF(SUM(G69:G75)&lt;150000,SUM(G69:G75),150000)+IF(+G76&lt;20000,+G76,20000)</f>
        <v>60360</v>
      </c>
      <c r="I78" s="544"/>
      <c r="J78" s="619"/>
      <c r="K78" s="529"/>
      <c r="L78" s="529"/>
      <c r="M78" s="529"/>
      <c r="N78" s="529"/>
      <c r="O78" s="546"/>
      <c r="Q78" s="504">
        <v>884460577</v>
      </c>
      <c r="R78" s="504" t="s">
        <v>653</v>
      </c>
      <c r="S78" s="504">
        <v>4896</v>
      </c>
    </row>
    <row r="79" spans="2:19" ht="12.75" customHeight="1" x14ac:dyDescent="0.2">
      <c r="B79" s="969"/>
      <c r="C79" s="583" t="s">
        <v>196</v>
      </c>
      <c r="D79" s="975" t="s">
        <v>187</v>
      </c>
      <c r="E79" s="976"/>
      <c r="F79" s="989"/>
      <c r="G79" s="555">
        <f>+O43+O81</f>
        <v>14980</v>
      </c>
      <c r="H79" s="584">
        <f>+IF(+G79&lt;25000,+G79,25000)</f>
        <v>14980</v>
      </c>
      <c r="I79" s="585"/>
      <c r="J79" s="572" t="s">
        <v>187</v>
      </c>
      <c r="K79" s="553"/>
      <c r="L79" s="553"/>
      <c r="M79" s="553"/>
      <c r="N79" s="553"/>
      <c r="O79" s="554"/>
      <c r="Q79" s="504">
        <v>884460578</v>
      </c>
      <c r="R79" s="504" t="s">
        <v>654</v>
      </c>
      <c r="S79" s="504">
        <v>3756</v>
      </c>
    </row>
    <row r="80" spans="2:19" x14ac:dyDescent="0.2">
      <c r="B80" s="969"/>
      <c r="C80" s="583" t="s">
        <v>197</v>
      </c>
      <c r="D80" s="950" t="s">
        <v>198</v>
      </c>
      <c r="E80" s="951"/>
      <c r="F80" s="952"/>
      <c r="G80" s="586"/>
      <c r="H80" s="587">
        <f>+IF(+G80&lt;40000,+G80,40000)</f>
        <v>0</v>
      </c>
      <c r="I80" s="544"/>
      <c r="J80" s="545" t="s">
        <v>189</v>
      </c>
      <c r="K80" s="534"/>
      <c r="L80" s="534"/>
      <c r="M80" s="534"/>
      <c r="N80" s="534"/>
      <c r="O80" s="570">
        <f>O43</f>
        <v>4600</v>
      </c>
      <c r="Q80" s="504">
        <v>884460579</v>
      </c>
      <c r="R80" s="504" t="s">
        <v>655</v>
      </c>
      <c r="S80" s="504">
        <v>3756</v>
      </c>
    </row>
    <row r="81" spans="2:19" ht="13.5" thickBot="1" x14ac:dyDescent="0.25">
      <c r="B81" s="969"/>
      <c r="C81" s="583" t="s">
        <v>199</v>
      </c>
      <c r="D81" s="950" t="s">
        <v>200</v>
      </c>
      <c r="E81" s="951"/>
      <c r="F81" s="952"/>
      <c r="G81" s="565"/>
      <c r="H81" s="588">
        <v>0</v>
      </c>
      <c r="I81" s="544"/>
      <c r="J81" s="641" t="s">
        <v>656</v>
      </c>
      <c r="K81" s="642"/>
      <c r="L81" s="642"/>
      <c r="M81" s="642"/>
      <c r="N81" s="642"/>
      <c r="O81" s="643">
        <v>10380</v>
      </c>
      <c r="S81" s="593">
        <f>SUM(S71:S80)</f>
        <v>39336</v>
      </c>
    </row>
    <row r="82" spans="2:19" x14ac:dyDescent="0.2">
      <c r="B82" s="969"/>
      <c r="C82" s="583" t="s">
        <v>201</v>
      </c>
      <c r="D82" s="950" t="s">
        <v>202</v>
      </c>
      <c r="E82" s="951"/>
      <c r="F82" s="952"/>
      <c r="G82" s="565"/>
      <c r="H82" s="588">
        <v>0</v>
      </c>
      <c r="I82" s="544"/>
      <c r="S82" s="593">
        <f>SUM(O69:O77)</f>
        <v>0</v>
      </c>
    </row>
    <row r="83" spans="2:19" ht="13.5" thickBot="1" x14ac:dyDescent="0.25">
      <c r="B83" s="970"/>
      <c r="C83" s="583" t="s">
        <v>203</v>
      </c>
      <c r="D83" s="950" t="s">
        <v>204</v>
      </c>
      <c r="E83" s="951"/>
      <c r="F83" s="952"/>
      <c r="G83" s="586"/>
      <c r="H83" s="587">
        <f>+IF(+G83&lt;100000,+G83,10000)</f>
        <v>0</v>
      </c>
      <c r="I83" s="544"/>
    </row>
    <row r="84" spans="2:19" ht="13.5" thickBot="1" x14ac:dyDescent="0.25">
      <c r="B84" s="953" t="s">
        <v>205</v>
      </c>
      <c r="C84" s="954"/>
      <c r="D84" s="954"/>
      <c r="E84" s="954"/>
      <c r="F84" s="954"/>
      <c r="G84" s="591">
        <f>SUM(G79:G83)</f>
        <v>14980</v>
      </c>
      <c r="H84" s="592">
        <f>SUM(H78:H83)</f>
        <v>75340</v>
      </c>
      <c r="J84" s="590"/>
    </row>
    <row r="85" spans="2:19" ht="13.5" thickBot="1" x14ac:dyDescent="0.25"/>
    <row r="86" spans="2:19" ht="13.5" thickBot="1" x14ac:dyDescent="0.25">
      <c r="B86" s="955" t="s">
        <v>206</v>
      </c>
      <c r="C86" s="956"/>
      <c r="D86" s="956"/>
      <c r="E86" s="956"/>
      <c r="F86" s="957"/>
      <c r="G86" s="958">
        <f>+G65-H84</f>
        <v>1267492</v>
      </c>
      <c r="H86" s="957"/>
      <c r="J86" s="504">
        <f>C38+D38+E38+F38</f>
        <v>857592</v>
      </c>
      <c r="K86" s="504" t="s">
        <v>235</v>
      </c>
    </row>
    <row r="87" spans="2:19" x14ac:dyDescent="0.2">
      <c r="B87" s="594"/>
      <c r="F87" s="593"/>
      <c r="J87" s="504">
        <f>G38+H38+I38</f>
        <v>178476</v>
      </c>
      <c r="K87" s="504" t="s">
        <v>236</v>
      </c>
    </row>
    <row r="88" spans="2:19" x14ac:dyDescent="0.2">
      <c r="C88" s="959" t="s">
        <v>207</v>
      </c>
      <c r="D88" s="960"/>
      <c r="E88" s="595" t="s">
        <v>208</v>
      </c>
      <c r="F88" s="595" t="s">
        <v>209</v>
      </c>
      <c r="G88" s="595" t="s">
        <v>210</v>
      </c>
      <c r="H88" s="595" t="s">
        <v>211</v>
      </c>
      <c r="J88" s="504">
        <f>J38+K38+L38</f>
        <v>192056</v>
      </c>
      <c r="K88" s="531" t="s">
        <v>237</v>
      </c>
    </row>
    <row r="89" spans="2:19" x14ac:dyDescent="0.2">
      <c r="C89" s="961" t="str">
        <f>IF(I6="M","0          - 250000","0          -  250000")</f>
        <v>0          - 250000</v>
      </c>
      <c r="D89" s="962"/>
      <c r="E89" s="597">
        <v>0</v>
      </c>
      <c r="F89" s="598">
        <f>IF(I6="M",(IF(G86&lt;250000,G86,250000)),(IF(G86&lt;250000,G86,250000)))</f>
        <v>250000</v>
      </c>
      <c r="G89" s="598">
        <f>G86-F89</f>
        <v>1017492</v>
      </c>
      <c r="H89" s="598">
        <f>E89*F89</f>
        <v>0</v>
      </c>
      <c r="J89" s="504">
        <f>M38+N38</f>
        <v>121208</v>
      </c>
      <c r="K89" s="490" t="s">
        <v>238</v>
      </c>
    </row>
    <row r="90" spans="2:19" x14ac:dyDescent="0.2">
      <c r="C90" s="961" t="str">
        <f>IF(I6="M","250001 - 500000","250001-500000")</f>
        <v>250001 - 500000</v>
      </c>
      <c r="D90" s="962"/>
      <c r="E90" s="597">
        <v>0.05</v>
      </c>
      <c r="F90" s="598">
        <f>IF(I6="M",(IF(G89&lt;250000,G89,250000)),(IF(G89&lt;250000,G89,250000)))</f>
        <v>250000</v>
      </c>
      <c r="G90" s="598">
        <f>G89-F90</f>
        <v>767492</v>
      </c>
      <c r="H90" s="600">
        <f>ROUND(E90*F90,0.1)</f>
        <v>12500</v>
      </c>
      <c r="J90" s="601">
        <f>SUM(J86:J89)</f>
        <v>1349332</v>
      </c>
    </row>
    <row r="91" spans="2:19" x14ac:dyDescent="0.2">
      <c r="C91" s="963" t="s">
        <v>212</v>
      </c>
      <c r="D91" s="964"/>
      <c r="E91" s="597">
        <v>0.2</v>
      </c>
      <c r="F91" s="598">
        <f>IF(G90&lt;500000,G90,500000)</f>
        <v>500000</v>
      </c>
      <c r="G91" s="598">
        <f>G90-F91</f>
        <v>267492</v>
      </c>
      <c r="H91" s="600">
        <f>ROUND(E91*F91,0.1)</f>
        <v>100000</v>
      </c>
      <c r="J91" s="504">
        <f>+G86</f>
        <v>1267492</v>
      </c>
    </row>
    <row r="92" spans="2:19" x14ac:dyDescent="0.2">
      <c r="C92" s="961" t="s">
        <v>213</v>
      </c>
      <c r="D92" s="962"/>
      <c r="E92" s="597">
        <v>0.3</v>
      </c>
      <c r="F92" s="598">
        <f>G91</f>
        <v>267492</v>
      </c>
      <c r="G92" s="598">
        <f>G91-F92</f>
        <v>0</v>
      </c>
      <c r="H92" s="600">
        <f>ROUND(E92*F92,0.1)</f>
        <v>80248</v>
      </c>
      <c r="J92" s="504">
        <f>+J90-J91</f>
        <v>81840</v>
      </c>
    </row>
    <row r="93" spans="2:19" ht="12.75" customHeight="1" thickBot="1" x14ac:dyDescent="0.25">
      <c r="B93" s="602"/>
      <c r="C93" s="603"/>
      <c r="D93" s="531"/>
      <c r="E93" s="531"/>
      <c r="F93" s="531"/>
      <c r="J93" s="504">
        <f>ROUND(+G86/12,0.1)</f>
        <v>105624</v>
      </c>
      <c r="K93" s="623" t="s">
        <v>416</v>
      </c>
    </row>
    <row r="94" spans="2:19" ht="13.5" thickBot="1" x14ac:dyDescent="0.25">
      <c r="B94" s="965" t="s">
        <v>239</v>
      </c>
      <c r="C94" s="966"/>
      <c r="D94" s="966"/>
      <c r="E94" s="966"/>
      <c r="F94" s="967"/>
      <c r="G94" s="1088">
        <f>H89+H90+H91+H92</f>
        <v>192748</v>
      </c>
      <c r="H94" s="1089"/>
      <c r="J94" s="504">
        <f>+J91/3</f>
        <v>422497.33333333331</v>
      </c>
    </row>
    <row r="95" spans="2:19" ht="13.5" thickBot="1" x14ac:dyDescent="0.25">
      <c r="B95" s="606" t="s">
        <v>1354</v>
      </c>
      <c r="C95" s="607"/>
      <c r="D95" s="607"/>
      <c r="E95" s="607"/>
      <c r="F95" s="607"/>
      <c r="G95" s="608"/>
      <c r="H95" s="609">
        <v>108864</v>
      </c>
    </row>
    <row r="96" spans="2:19" ht="13.5" thickBot="1" x14ac:dyDescent="0.25">
      <c r="B96" s="606" t="s">
        <v>215</v>
      </c>
      <c r="C96" s="607"/>
      <c r="D96" s="607"/>
      <c r="E96" s="607"/>
      <c r="F96" s="607"/>
      <c r="G96" s="941">
        <f>IF((G65&lt;500000),5000,0)</f>
        <v>0</v>
      </c>
      <c r="H96" s="942">
        <f>IF(H93&lt;200000,0,IF(H93&lt;220000,((H93-200000)*10%),IF(H93&lt;=500000,2000,IF(H93&gt;=500000,0))))</f>
        <v>0</v>
      </c>
      <c r="J96" s="490"/>
      <c r="K96" s="610"/>
      <c r="L96" s="610"/>
    </row>
    <row r="97" spans="2:9" ht="13.5" thickBot="1" x14ac:dyDescent="0.25">
      <c r="B97" s="611" t="s">
        <v>216</v>
      </c>
      <c r="C97" s="612"/>
      <c r="D97" s="612"/>
      <c r="E97" s="612"/>
      <c r="F97" s="612"/>
      <c r="G97" s="943">
        <f>IF((G94-H95-G96)&lt;0,0,(G94-H95-G96))</f>
        <v>83884</v>
      </c>
      <c r="H97" s="944"/>
      <c r="I97" s="527"/>
    </row>
    <row r="98" spans="2:9" ht="13.5" thickBot="1" x14ac:dyDescent="0.25">
      <c r="B98" s="945" t="s">
        <v>217</v>
      </c>
      <c r="C98" s="946"/>
      <c r="D98" s="946"/>
      <c r="E98" s="946"/>
      <c r="F98" s="947"/>
      <c r="G98" s="1084">
        <f>ROUND((IF(G97&gt;0,(G97*3%),0)),0)</f>
        <v>2517</v>
      </c>
      <c r="H98" s="1085"/>
      <c r="I98" s="527"/>
    </row>
    <row r="99" spans="2:9" ht="13.5" thickBot="1" x14ac:dyDescent="0.25">
      <c r="B99" s="933" t="s">
        <v>218</v>
      </c>
      <c r="C99" s="934"/>
      <c r="D99" s="934"/>
      <c r="E99" s="934"/>
      <c r="F99" s="934"/>
      <c r="G99" s="1086">
        <f>G97+G98</f>
        <v>86401</v>
      </c>
      <c r="H99" s="1087"/>
      <c r="I99" s="610"/>
    </row>
    <row r="100" spans="2:9" ht="13.5" thickBot="1" x14ac:dyDescent="0.25">
      <c r="B100" s="937" t="s">
        <v>219</v>
      </c>
      <c r="C100" s="938"/>
      <c r="D100" s="938"/>
      <c r="E100" s="938"/>
      <c r="F100" s="938"/>
      <c r="G100" s="1078">
        <f>O39</f>
        <v>86408</v>
      </c>
      <c r="H100" s="1079"/>
      <c r="I100" s="610"/>
    </row>
    <row r="101" spans="2:9" ht="13.5" thickBot="1" x14ac:dyDescent="0.25">
      <c r="B101" s="937" t="str">
        <f>IF(G101&gt;0,"TAX PAYABLE","TAX REFUND")</f>
        <v>TAX REFUND</v>
      </c>
      <c r="C101" s="938"/>
      <c r="D101" s="938"/>
      <c r="E101" s="938"/>
      <c r="F101" s="938"/>
      <c r="G101" s="1078">
        <f>+G99-G100</f>
        <v>-7</v>
      </c>
      <c r="H101" s="1079"/>
      <c r="I101" s="527"/>
    </row>
    <row r="102" spans="2:9" x14ac:dyDescent="0.2">
      <c r="C102" s="613"/>
      <c r="D102" s="530"/>
      <c r="E102" s="604"/>
      <c r="F102" s="604"/>
      <c r="G102" s="604"/>
      <c r="H102" s="604"/>
      <c r="I102" s="614"/>
    </row>
    <row r="103" spans="2:9" x14ac:dyDescent="0.2">
      <c r="C103" s="531"/>
      <c r="D103" s="534"/>
      <c r="E103" s="603"/>
      <c r="F103" s="531"/>
      <c r="G103" s="531"/>
      <c r="H103" s="531"/>
      <c r="I103" s="614"/>
    </row>
    <row r="104" spans="2:9" x14ac:dyDescent="0.2">
      <c r="C104" s="529"/>
    </row>
    <row r="105" spans="2:9" x14ac:dyDescent="0.2">
      <c r="C105" s="529"/>
    </row>
    <row r="106" spans="2:9" x14ac:dyDescent="0.2">
      <c r="B106" s="504"/>
    </row>
    <row r="107" spans="2:9" x14ac:dyDescent="0.2">
      <c r="B107" s="504"/>
    </row>
    <row r="108" spans="2:9" x14ac:dyDescent="0.2">
      <c r="B108" s="504"/>
    </row>
    <row r="109" spans="2:9" x14ac:dyDescent="0.2">
      <c r="B109" s="504"/>
    </row>
    <row r="110" spans="2:9" x14ac:dyDescent="0.2">
      <c r="B110" s="504"/>
    </row>
    <row r="111" spans="2:9" x14ac:dyDescent="0.2">
      <c r="B111" s="504"/>
    </row>
    <row r="112" spans="2:9" x14ac:dyDescent="0.2">
      <c r="B112" s="504"/>
    </row>
    <row r="113" spans="2:12" x14ac:dyDescent="0.2">
      <c r="B113" s="504"/>
    </row>
    <row r="114" spans="2:12" x14ac:dyDescent="0.2">
      <c r="B114" s="504"/>
    </row>
    <row r="115" spans="2:12" x14ac:dyDescent="0.2">
      <c r="B115" s="504"/>
    </row>
    <row r="116" spans="2:12" x14ac:dyDescent="0.2">
      <c r="B116" s="504"/>
    </row>
    <row r="117" spans="2:12" x14ac:dyDescent="0.2">
      <c r="B117" s="504"/>
    </row>
    <row r="118" spans="2:12" x14ac:dyDescent="0.2">
      <c r="B118" s="504"/>
      <c r="G118" s="615"/>
    </row>
    <row r="119" spans="2:12" x14ac:dyDescent="0.2">
      <c r="B119" s="504"/>
    </row>
    <row r="120" spans="2:12" x14ac:dyDescent="0.2">
      <c r="B120" s="504"/>
    </row>
    <row r="121" spans="2:12" x14ac:dyDescent="0.2">
      <c r="B121" s="504"/>
    </row>
    <row r="122" spans="2:12" x14ac:dyDescent="0.2">
      <c r="B122" s="504"/>
    </row>
    <row r="123" spans="2:12" x14ac:dyDescent="0.2">
      <c r="H123" s="615"/>
      <c r="I123" s="615"/>
      <c r="J123" s="529"/>
      <c r="K123" s="529"/>
      <c r="L123" s="527"/>
    </row>
    <row r="124" spans="2:12" x14ac:dyDescent="0.2">
      <c r="G124" s="615"/>
      <c r="H124" s="615"/>
      <c r="I124" s="529"/>
      <c r="J124" s="529"/>
      <c r="K124" s="529"/>
      <c r="L124" s="527"/>
    </row>
    <row r="125" spans="2:12" x14ac:dyDescent="0.2">
      <c r="G125" s="615"/>
      <c r="H125" s="615"/>
      <c r="I125" s="529"/>
    </row>
    <row r="126" spans="2:12" x14ac:dyDescent="0.2">
      <c r="G126" s="529"/>
    </row>
    <row r="127" spans="2:12" x14ac:dyDescent="0.2">
      <c r="G127" s="529"/>
    </row>
    <row r="133" spans="7:8" x14ac:dyDescent="0.2">
      <c r="G133" s="529"/>
      <c r="H133" s="527"/>
    </row>
    <row r="134" spans="7:8" x14ac:dyDescent="0.2">
      <c r="G134" s="529"/>
      <c r="H134" s="527"/>
    </row>
    <row r="135" spans="7:8" x14ac:dyDescent="0.2">
      <c r="G135" s="529"/>
    </row>
    <row r="136" spans="7:8" x14ac:dyDescent="0.2">
      <c r="G136" s="529"/>
    </row>
  </sheetData>
  <mergeCells count="93">
    <mergeCell ref="B101:F101"/>
    <mergeCell ref="G101:H101"/>
    <mergeCell ref="G96:H96"/>
    <mergeCell ref="G97:H97"/>
    <mergeCell ref="B98:F98"/>
    <mergeCell ref="G98:H98"/>
    <mergeCell ref="B99:F99"/>
    <mergeCell ref="G99:H99"/>
    <mergeCell ref="B100:F100"/>
    <mergeCell ref="G100:H100"/>
    <mergeCell ref="D75:F75"/>
    <mergeCell ref="G94:H94"/>
    <mergeCell ref="D82:F82"/>
    <mergeCell ref="D83:F83"/>
    <mergeCell ref="B84:F84"/>
    <mergeCell ref="B86:F86"/>
    <mergeCell ref="G86:H86"/>
    <mergeCell ref="C88:D88"/>
    <mergeCell ref="C89:D89"/>
    <mergeCell ref="C90:D90"/>
    <mergeCell ref="C91:D91"/>
    <mergeCell ref="C92:D92"/>
    <mergeCell ref="B94:F94"/>
    <mergeCell ref="B69:B83"/>
    <mergeCell ref="G62:H62"/>
    <mergeCell ref="C63:F63"/>
    <mergeCell ref="G63:H63"/>
    <mergeCell ref="B62:F62"/>
    <mergeCell ref="D73:F73"/>
    <mergeCell ref="J63:O63"/>
    <mergeCell ref="D81:F81"/>
    <mergeCell ref="J68:K68"/>
    <mergeCell ref="B65:F65"/>
    <mergeCell ref="G65:H65"/>
    <mergeCell ref="D76:F76"/>
    <mergeCell ref="D77:F77"/>
    <mergeCell ref="E78:F78"/>
    <mergeCell ref="D79:F79"/>
    <mergeCell ref="D80:F80"/>
    <mergeCell ref="D71:F71"/>
    <mergeCell ref="D72:F72"/>
    <mergeCell ref="C69:C75"/>
    <mergeCell ref="D69:F69"/>
    <mergeCell ref="D70:F70"/>
    <mergeCell ref="D74:F74"/>
    <mergeCell ref="B60:F60"/>
    <mergeCell ref="G60:H60"/>
    <mergeCell ref="J60:O60"/>
    <mergeCell ref="B56:B58"/>
    <mergeCell ref="C56:C58"/>
    <mergeCell ref="D56:F56"/>
    <mergeCell ref="G56:H56"/>
    <mergeCell ref="D57:F57"/>
    <mergeCell ref="G57:H57"/>
    <mergeCell ref="J57:L57"/>
    <mergeCell ref="M57:O57"/>
    <mergeCell ref="D58:F58"/>
    <mergeCell ref="G58:H58"/>
    <mergeCell ref="A39:A49"/>
    <mergeCell ref="A50:B50"/>
    <mergeCell ref="A51:B51"/>
    <mergeCell ref="B54:F54"/>
    <mergeCell ref="G54:H54"/>
    <mergeCell ref="A37:B37"/>
    <mergeCell ref="A5:C5"/>
    <mergeCell ref="D5:F5"/>
    <mergeCell ref="G5:H5"/>
    <mergeCell ref="I5:O5"/>
    <mergeCell ref="A6:C6"/>
    <mergeCell ref="D6:F6"/>
    <mergeCell ref="G6:H6"/>
    <mergeCell ref="J6:O6"/>
    <mergeCell ref="L7:O7"/>
    <mergeCell ref="A8:B8"/>
    <mergeCell ref="A21:A33"/>
    <mergeCell ref="A35:B35"/>
    <mergeCell ref="A36:B36"/>
    <mergeCell ref="A3:C3"/>
    <mergeCell ref="D3:F3"/>
    <mergeCell ref="G3:H3"/>
    <mergeCell ref="I3:O3"/>
    <mergeCell ref="A4:C4"/>
    <mergeCell ref="D4:F4"/>
    <mergeCell ref="G4:H4"/>
    <mergeCell ref="I4:O4"/>
    <mergeCell ref="A1:C1"/>
    <mergeCell ref="D1:F1"/>
    <mergeCell ref="G1:H1"/>
    <mergeCell ref="I1:O1"/>
    <mergeCell ref="A2:C2"/>
    <mergeCell ref="D2:F2"/>
    <mergeCell ref="G2:H2"/>
    <mergeCell ref="I2:O2"/>
  </mergeCells>
  <conditionalFormatting sqref="B91:F91 B101:F101 B94:F99">
    <cfRule type="cellIs" dxfId="5" priority="1" stopIfTrue="1" operator="equal">
      <formula>"TAX PAYABLE"</formula>
    </cfRule>
    <cfRule type="cellIs" dxfId="4" priority="2" stopIfTrue="1" operator="equal">
      <formula>"TAX REFUND"</formula>
    </cfRule>
  </conditionalFormatting>
  <conditionalFormatting sqref="G91:H91 G94">
    <cfRule type="cellIs" dxfId="3" priority="3" stopIfTrue="1" operator="lessThan">
      <formula>0</formula>
    </cfRule>
    <cfRule type="cellIs" dxfId="2" priority="4" stopIfTrue="1" operator="greaterThan">
      <formula>0</formula>
    </cfRule>
  </conditionalFormatting>
  <conditionalFormatting sqref="G101:H101">
    <cfRule type="cellIs" dxfId="1" priority="5" stopIfTrue="1" operator="greaterThan">
      <formula>0</formula>
    </cfRule>
    <cfRule type="cellIs" dxfId="0" priority="6"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$Q$8:$Q$9</formula1>
    </dataValidation>
  </dataValidations>
  <pageMargins left="0.7" right="0.7" top="0.75" bottom="0.75" header="0.3" footer="0.3"/>
  <pageSetup paperSize="5" orientation="landscape" horizontalDpi="300" verticalDpi="300" r:id="rId1"/>
  <headerFooter alignWithMargins="0"/>
  <legacyDrawing r:id="rId2"/>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3"/>
  <sheetViews>
    <sheetView workbookViewId="0">
      <selection activeCell="D6" sqref="D6"/>
    </sheetView>
  </sheetViews>
  <sheetFormatPr defaultRowHeight="12.75" x14ac:dyDescent="0.2"/>
  <cols>
    <col min="1" max="1" width="9.140625" style="16"/>
    <col min="2" max="2" width="6.5703125" style="16" customWidth="1"/>
    <col min="3" max="3" width="27.85546875" style="16" customWidth="1"/>
    <col min="4" max="4" width="18.140625" style="16" customWidth="1"/>
    <col min="5" max="5" width="11.140625" style="16" customWidth="1"/>
    <col min="6" max="6" width="12.5703125" style="16" customWidth="1"/>
    <col min="7" max="7" width="13" style="16" customWidth="1"/>
    <col min="8" max="257" width="9.140625" style="16"/>
    <col min="258" max="258" width="6.5703125" style="16" customWidth="1"/>
    <col min="259" max="259" width="27.85546875" style="16" customWidth="1"/>
    <col min="260" max="260" width="18.140625" style="16" customWidth="1"/>
    <col min="261" max="261" width="11.140625" style="16" customWidth="1"/>
    <col min="262" max="262" width="12.5703125" style="16" customWidth="1"/>
    <col min="263" max="263" width="13" style="16" customWidth="1"/>
    <col min="264" max="513" width="9.140625" style="16"/>
    <col min="514" max="514" width="6.5703125" style="16" customWidth="1"/>
    <col min="515" max="515" width="27.85546875" style="16" customWidth="1"/>
    <col min="516" max="516" width="18.140625" style="16" customWidth="1"/>
    <col min="517" max="517" width="11.140625" style="16" customWidth="1"/>
    <col min="518" max="518" width="12.5703125" style="16" customWidth="1"/>
    <col min="519" max="519" width="13" style="16" customWidth="1"/>
    <col min="520" max="769" width="9.140625" style="16"/>
    <col min="770" max="770" width="6.5703125" style="16" customWidth="1"/>
    <col min="771" max="771" width="27.85546875" style="16" customWidth="1"/>
    <col min="772" max="772" width="18.140625" style="16" customWidth="1"/>
    <col min="773" max="773" width="11.140625" style="16" customWidth="1"/>
    <col min="774" max="774" width="12.5703125" style="16" customWidth="1"/>
    <col min="775" max="775" width="13" style="16" customWidth="1"/>
    <col min="776" max="1025" width="9.140625" style="16"/>
    <col min="1026" max="1026" width="6.5703125" style="16" customWidth="1"/>
    <col min="1027" max="1027" width="27.85546875" style="16" customWidth="1"/>
    <col min="1028" max="1028" width="18.140625" style="16" customWidth="1"/>
    <col min="1029" max="1029" width="11.140625" style="16" customWidth="1"/>
    <col min="1030" max="1030" width="12.5703125" style="16" customWidth="1"/>
    <col min="1031" max="1031" width="13" style="16" customWidth="1"/>
    <col min="1032" max="1281" width="9.140625" style="16"/>
    <col min="1282" max="1282" width="6.5703125" style="16" customWidth="1"/>
    <col min="1283" max="1283" width="27.85546875" style="16" customWidth="1"/>
    <col min="1284" max="1284" width="18.140625" style="16" customWidth="1"/>
    <col min="1285" max="1285" width="11.140625" style="16" customWidth="1"/>
    <col min="1286" max="1286" width="12.5703125" style="16" customWidth="1"/>
    <col min="1287" max="1287" width="13" style="16" customWidth="1"/>
    <col min="1288" max="1537" width="9.140625" style="16"/>
    <col min="1538" max="1538" width="6.5703125" style="16" customWidth="1"/>
    <col min="1539" max="1539" width="27.85546875" style="16" customWidth="1"/>
    <col min="1540" max="1540" width="18.140625" style="16" customWidth="1"/>
    <col min="1541" max="1541" width="11.140625" style="16" customWidth="1"/>
    <col min="1542" max="1542" width="12.5703125" style="16" customWidth="1"/>
    <col min="1543" max="1543" width="13" style="16" customWidth="1"/>
    <col min="1544" max="1793" width="9.140625" style="16"/>
    <col min="1794" max="1794" width="6.5703125" style="16" customWidth="1"/>
    <col min="1795" max="1795" width="27.85546875" style="16" customWidth="1"/>
    <col min="1796" max="1796" width="18.140625" style="16" customWidth="1"/>
    <col min="1797" max="1797" width="11.140625" style="16" customWidth="1"/>
    <col min="1798" max="1798" width="12.5703125" style="16" customWidth="1"/>
    <col min="1799" max="1799" width="13" style="16" customWidth="1"/>
    <col min="1800" max="2049" width="9.140625" style="16"/>
    <col min="2050" max="2050" width="6.5703125" style="16" customWidth="1"/>
    <col min="2051" max="2051" width="27.85546875" style="16" customWidth="1"/>
    <col min="2052" max="2052" width="18.140625" style="16" customWidth="1"/>
    <col min="2053" max="2053" width="11.140625" style="16" customWidth="1"/>
    <col min="2054" max="2054" width="12.5703125" style="16" customWidth="1"/>
    <col min="2055" max="2055" width="13" style="16" customWidth="1"/>
    <col min="2056" max="2305" width="9.140625" style="16"/>
    <col min="2306" max="2306" width="6.5703125" style="16" customWidth="1"/>
    <col min="2307" max="2307" width="27.85546875" style="16" customWidth="1"/>
    <col min="2308" max="2308" width="18.140625" style="16" customWidth="1"/>
    <col min="2309" max="2309" width="11.140625" style="16" customWidth="1"/>
    <col min="2310" max="2310" width="12.5703125" style="16" customWidth="1"/>
    <col min="2311" max="2311" width="13" style="16" customWidth="1"/>
    <col min="2312" max="2561" width="9.140625" style="16"/>
    <col min="2562" max="2562" width="6.5703125" style="16" customWidth="1"/>
    <col min="2563" max="2563" width="27.85546875" style="16" customWidth="1"/>
    <col min="2564" max="2564" width="18.140625" style="16" customWidth="1"/>
    <col min="2565" max="2565" width="11.140625" style="16" customWidth="1"/>
    <col min="2566" max="2566" width="12.5703125" style="16" customWidth="1"/>
    <col min="2567" max="2567" width="13" style="16" customWidth="1"/>
    <col min="2568" max="2817" width="9.140625" style="16"/>
    <col min="2818" max="2818" width="6.5703125" style="16" customWidth="1"/>
    <col min="2819" max="2819" width="27.85546875" style="16" customWidth="1"/>
    <col min="2820" max="2820" width="18.140625" style="16" customWidth="1"/>
    <col min="2821" max="2821" width="11.140625" style="16" customWidth="1"/>
    <col min="2822" max="2822" width="12.5703125" style="16" customWidth="1"/>
    <col min="2823" max="2823" width="13" style="16" customWidth="1"/>
    <col min="2824" max="3073" width="9.140625" style="16"/>
    <col min="3074" max="3074" width="6.5703125" style="16" customWidth="1"/>
    <col min="3075" max="3075" width="27.85546875" style="16" customWidth="1"/>
    <col min="3076" max="3076" width="18.140625" style="16" customWidth="1"/>
    <col min="3077" max="3077" width="11.140625" style="16" customWidth="1"/>
    <col min="3078" max="3078" width="12.5703125" style="16" customWidth="1"/>
    <col min="3079" max="3079" width="13" style="16" customWidth="1"/>
    <col min="3080" max="3329" width="9.140625" style="16"/>
    <col min="3330" max="3330" width="6.5703125" style="16" customWidth="1"/>
    <col min="3331" max="3331" width="27.85546875" style="16" customWidth="1"/>
    <col min="3332" max="3332" width="18.140625" style="16" customWidth="1"/>
    <col min="3333" max="3333" width="11.140625" style="16" customWidth="1"/>
    <col min="3334" max="3334" width="12.5703125" style="16" customWidth="1"/>
    <col min="3335" max="3335" width="13" style="16" customWidth="1"/>
    <col min="3336" max="3585" width="9.140625" style="16"/>
    <col min="3586" max="3586" width="6.5703125" style="16" customWidth="1"/>
    <col min="3587" max="3587" width="27.85546875" style="16" customWidth="1"/>
    <col min="3588" max="3588" width="18.140625" style="16" customWidth="1"/>
    <col min="3589" max="3589" width="11.140625" style="16" customWidth="1"/>
    <col min="3590" max="3590" width="12.5703125" style="16" customWidth="1"/>
    <col min="3591" max="3591" width="13" style="16" customWidth="1"/>
    <col min="3592" max="3841" width="9.140625" style="16"/>
    <col min="3842" max="3842" width="6.5703125" style="16" customWidth="1"/>
    <col min="3843" max="3843" width="27.85546875" style="16" customWidth="1"/>
    <col min="3844" max="3844" width="18.140625" style="16" customWidth="1"/>
    <col min="3845" max="3845" width="11.140625" style="16" customWidth="1"/>
    <col min="3846" max="3846" width="12.5703125" style="16" customWidth="1"/>
    <col min="3847" max="3847" width="13" style="16" customWidth="1"/>
    <col min="3848" max="4097" width="9.140625" style="16"/>
    <col min="4098" max="4098" width="6.5703125" style="16" customWidth="1"/>
    <col min="4099" max="4099" width="27.85546875" style="16" customWidth="1"/>
    <col min="4100" max="4100" width="18.140625" style="16" customWidth="1"/>
    <col min="4101" max="4101" width="11.140625" style="16" customWidth="1"/>
    <col min="4102" max="4102" width="12.5703125" style="16" customWidth="1"/>
    <col min="4103" max="4103" width="13" style="16" customWidth="1"/>
    <col min="4104" max="4353" width="9.140625" style="16"/>
    <col min="4354" max="4354" width="6.5703125" style="16" customWidth="1"/>
    <col min="4355" max="4355" width="27.85546875" style="16" customWidth="1"/>
    <col min="4356" max="4356" width="18.140625" style="16" customWidth="1"/>
    <col min="4357" max="4357" width="11.140625" style="16" customWidth="1"/>
    <col min="4358" max="4358" width="12.5703125" style="16" customWidth="1"/>
    <col min="4359" max="4359" width="13" style="16" customWidth="1"/>
    <col min="4360" max="4609" width="9.140625" style="16"/>
    <col min="4610" max="4610" width="6.5703125" style="16" customWidth="1"/>
    <col min="4611" max="4611" width="27.85546875" style="16" customWidth="1"/>
    <col min="4612" max="4612" width="18.140625" style="16" customWidth="1"/>
    <col min="4613" max="4613" width="11.140625" style="16" customWidth="1"/>
    <col min="4614" max="4614" width="12.5703125" style="16" customWidth="1"/>
    <col min="4615" max="4615" width="13" style="16" customWidth="1"/>
    <col min="4616" max="4865" width="9.140625" style="16"/>
    <col min="4866" max="4866" width="6.5703125" style="16" customWidth="1"/>
    <col min="4867" max="4867" width="27.85546875" style="16" customWidth="1"/>
    <col min="4868" max="4868" width="18.140625" style="16" customWidth="1"/>
    <col min="4869" max="4869" width="11.140625" style="16" customWidth="1"/>
    <col min="4870" max="4870" width="12.5703125" style="16" customWidth="1"/>
    <col min="4871" max="4871" width="13" style="16" customWidth="1"/>
    <col min="4872" max="5121" width="9.140625" style="16"/>
    <col min="5122" max="5122" width="6.5703125" style="16" customWidth="1"/>
    <col min="5123" max="5123" width="27.85546875" style="16" customWidth="1"/>
    <col min="5124" max="5124" width="18.140625" style="16" customWidth="1"/>
    <col min="5125" max="5125" width="11.140625" style="16" customWidth="1"/>
    <col min="5126" max="5126" width="12.5703125" style="16" customWidth="1"/>
    <col min="5127" max="5127" width="13" style="16" customWidth="1"/>
    <col min="5128" max="5377" width="9.140625" style="16"/>
    <col min="5378" max="5378" width="6.5703125" style="16" customWidth="1"/>
    <col min="5379" max="5379" width="27.85546875" style="16" customWidth="1"/>
    <col min="5380" max="5380" width="18.140625" style="16" customWidth="1"/>
    <col min="5381" max="5381" width="11.140625" style="16" customWidth="1"/>
    <col min="5382" max="5382" width="12.5703125" style="16" customWidth="1"/>
    <col min="5383" max="5383" width="13" style="16" customWidth="1"/>
    <col min="5384" max="5633" width="9.140625" style="16"/>
    <col min="5634" max="5634" width="6.5703125" style="16" customWidth="1"/>
    <col min="5635" max="5635" width="27.85546875" style="16" customWidth="1"/>
    <col min="5636" max="5636" width="18.140625" style="16" customWidth="1"/>
    <col min="5637" max="5637" width="11.140625" style="16" customWidth="1"/>
    <col min="5638" max="5638" width="12.5703125" style="16" customWidth="1"/>
    <col min="5639" max="5639" width="13" style="16" customWidth="1"/>
    <col min="5640" max="5889" width="9.140625" style="16"/>
    <col min="5890" max="5890" width="6.5703125" style="16" customWidth="1"/>
    <col min="5891" max="5891" width="27.85546875" style="16" customWidth="1"/>
    <col min="5892" max="5892" width="18.140625" style="16" customWidth="1"/>
    <col min="5893" max="5893" width="11.140625" style="16" customWidth="1"/>
    <col min="5894" max="5894" width="12.5703125" style="16" customWidth="1"/>
    <col min="5895" max="5895" width="13" style="16" customWidth="1"/>
    <col min="5896" max="6145" width="9.140625" style="16"/>
    <col min="6146" max="6146" width="6.5703125" style="16" customWidth="1"/>
    <col min="6147" max="6147" width="27.85546875" style="16" customWidth="1"/>
    <col min="6148" max="6148" width="18.140625" style="16" customWidth="1"/>
    <col min="6149" max="6149" width="11.140625" style="16" customWidth="1"/>
    <col min="6150" max="6150" width="12.5703125" style="16" customWidth="1"/>
    <col min="6151" max="6151" width="13" style="16" customWidth="1"/>
    <col min="6152" max="6401" width="9.140625" style="16"/>
    <col min="6402" max="6402" width="6.5703125" style="16" customWidth="1"/>
    <col min="6403" max="6403" width="27.85546875" style="16" customWidth="1"/>
    <col min="6404" max="6404" width="18.140625" style="16" customWidth="1"/>
    <col min="6405" max="6405" width="11.140625" style="16" customWidth="1"/>
    <col min="6406" max="6406" width="12.5703125" style="16" customWidth="1"/>
    <col min="6407" max="6407" width="13" style="16" customWidth="1"/>
    <col min="6408" max="6657" width="9.140625" style="16"/>
    <col min="6658" max="6658" width="6.5703125" style="16" customWidth="1"/>
    <col min="6659" max="6659" width="27.85546875" style="16" customWidth="1"/>
    <col min="6660" max="6660" width="18.140625" style="16" customWidth="1"/>
    <col min="6661" max="6661" width="11.140625" style="16" customWidth="1"/>
    <col min="6662" max="6662" width="12.5703125" style="16" customWidth="1"/>
    <col min="6663" max="6663" width="13" style="16" customWidth="1"/>
    <col min="6664" max="6913" width="9.140625" style="16"/>
    <col min="6914" max="6914" width="6.5703125" style="16" customWidth="1"/>
    <col min="6915" max="6915" width="27.85546875" style="16" customWidth="1"/>
    <col min="6916" max="6916" width="18.140625" style="16" customWidth="1"/>
    <col min="6917" max="6917" width="11.140625" style="16" customWidth="1"/>
    <col min="6918" max="6918" width="12.5703125" style="16" customWidth="1"/>
    <col min="6919" max="6919" width="13" style="16" customWidth="1"/>
    <col min="6920" max="7169" width="9.140625" style="16"/>
    <col min="7170" max="7170" width="6.5703125" style="16" customWidth="1"/>
    <col min="7171" max="7171" width="27.85546875" style="16" customWidth="1"/>
    <col min="7172" max="7172" width="18.140625" style="16" customWidth="1"/>
    <col min="7173" max="7173" width="11.140625" style="16" customWidth="1"/>
    <col min="7174" max="7174" width="12.5703125" style="16" customWidth="1"/>
    <col min="7175" max="7175" width="13" style="16" customWidth="1"/>
    <col min="7176" max="7425" width="9.140625" style="16"/>
    <col min="7426" max="7426" width="6.5703125" style="16" customWidth="1"/>
    <col min="7427" max="7427" width="27.85546875" style="16" customWidth="1"/>
    <col min="7428" max="7428" width="18.140625" style="16" customWidth="1"/>
    <col min="7429" max="7429" width="11.140625" style="16" customWidth="1"/>
    <col min="7430" max="7430" width="12.5703125" style="16" customWidth="1"/>
    <col min="7431" max="7431" width="13" style="16" customWidth="1"/>
    <col min="7432" max="7681" width="9.140625" style="16"/>
    <col min="7682" max="7682" width="6.5703125" style="16" customWidth="1"/>
    <col min="7683" max="7683" width="27.85546875" style="16" customWidth="1"/>
    <col min="7684" max="7684" width="18.140625" style="16" customWidth="1"/>
    <col min="7685" max="7685" width="11.140625" style="16" customWidth="1"/>
    <col min="7686" max="7686" width="12.5703125" style="16" customWidth="1"/>
    <col min="7687" max="7687" width="13" style="16" customWidth="1"/>
    <col min="7688" max="7937" width="9.140625" style="16"/>
    <col min="7938" max="7938" width="6.5703125" style="16" customWidth="1"/>
    <col min="7939" max="7939" width="27.85546875" style="16" customWidth="1"/>
    <col min="7940" max="7940" width="18.140625" style="16" customWidth="1"/>
    <col min="7941" max="7941" width="11.140625" style="16" customWidth="1"/>
    <col min="7942" max="7942" width="12.5703125" style="16" customWidth="1"/>
    <col min="7943" max="7943" width="13" style="16" customWidth="1"/>
    <col min="7944" max="8193" width="9.140625" style="16"/>
    <col min="8194" max="8194" width="6.5703125" style="16" customWidth="1"/>
    <col min="8195" max="8195" width="27.85546875" style="16" customWidth="1"/>
    <col min="8196" max="8196" width="18.140625" style="16" customWidth="1"/>
    <col min="8197" max="8197" width="11.140625" style="16" customWidth="1"/>
    <col min="8198" max="8198" width="12.5703125" style="16" customWidth="1"/>
    <col min="8199" max="8199" width="13" style="16" customWidth="1"/>
    <col min="8200" max="8449" width="9.140625" style="16"/>
    <col min="8450" max="8450" width="6.5703125" style="16" customWidth="1"/>
    <col min="8451" max="8451" width="27.85546875" style="16" customWidth="1"/>
    <col min="8452" max="8452" width="18.140625" style="16" customWidth="1"/>
    <col min="8453" max="8453" width="11.140625" style="16" customWidth="1"/>
    <col min="8454" max="8454" width="12.5703125" style="16" customWidth="1"/>
    <col min="8455" max="8455" width="13" style="16" customWidth="1"/>
    <col min="8456" max="8705" width="9.140625" style="16"/>
    <col min="8706" max="8706" width="6.5703125" style="16" customWidth="1"/>
    <col min="8707" max="8707" width="27.85546875" style="16" customWidth="1"/>
    <col min="8708" max="8708" width="18.140625" style="16" customWidth="1"/>
    <col min="8709" max="8709" width="11.140625" style="16" customWidth="1"/>
    <col min="8710" max="8710" width="12.5703125" style="16" customWidth="1"/>
    <col min="8711" max="8711" width="13" style="16" customWidth="1"/>
    <col min="8712" max="8961" width="9.140625" style="16"/>
    <col min="8962" max="8962" width="6.5703125" style="16" customWidth="1"/>
    <col min="8963" max="8963" width="27.85546875" style="16" customWidth="1"/>
    <col min="8964" max="8964" width="18.140625" style="16" customWidth="1"/>
    <col min="8965" max="8965" width="11.140625" style="16" customWidth="1"/>
    <col min="8966" max="8966" width="12.5703125" style="16" customWidth="1"/>
    <col min="8967" max="8967" width="13" style="16" customWidth="1"/>
    <col min="8968" max="9217" width="9.140625" style="16"/>
    <col min="9218" max="9218" width="6.5703125" style="16" customWidth="1"/>
    <col min="9219" max="9219" width="27.85546875" style="16" customWidth="1"/>
    <col min="9220" max="9220" width="18.140625" style="16" customWidth="1"/>
    <col min="9221" max="9221" width="11.140625" style="16" customWidth="1"/>
    <col min="9222" max="9222" width="12.5703125" style="16" customWidth="1"/>
    <col min="9223" max="9223" width="13" style="16" customWidth="1"/>
    <col min="9224" max="9473" width="9.140625" style="16"/>
    <col min="9474" max="9474" width="6.5703125" style="16" customWidth="1"/>
    <col min="9475" max="9475" width="27.85546875" style="16" customWidth="1"/>
    <col min="9476" max="9476" width="18.140625" style="16" customWidth="1"/>
    <col min="9477" max="9477" width="11.140625" style="16" customWidth="1"/>
    <col min="9478" max="9478" width="12.5703125" style="16" customWidth="1"/>
    <col min="9479" max="9479" width="13" style="16" customWidth="1"/>
    <col min="9480" max="9729" width="9.140625" style="16"/>
    <col min="9730" max="9730" width="6.5703125" style="16" customWidth="1"/>
    <col min="9731" max="9731" width="27.85546875" style="16" customWidth="1"/>
    <col min="9732" max="9732" width="18.140625" style="16" customWidth="1"/>
    <col min="9733" max="9733" width="11.140625" style="16" customWidth="1"/>
    <col min="9734" max="9734" width="12.5703125" style="16" customWidth="1"/>
    <col min="9735" max="9735" width="13" style="16" customWidth="1"/>
    <col min="9736" max="9985" width="9.140625" style="16"/>
    <col min="9986" max="9986" width="6.5703125" style="16" customWidth="1"/>
    <col min="9987" max="9987" width="27.85546875" style="16" customWidth="1"/>
    <col min="9988" max="9988" width="18.140625" style="16" customWidth="1"/>
    <col min="9989" max="9989" width="11.140625" style="16" customWidth="1"/>
    <col min="9990" max="9990" width="12.5703125" style="16" customWidth="1"/>
    <col min="9991" max="9991" width="13" style="16" customWidth="1"/>
    <col min="9992" max="10241" width="9.140625" style="16"/>
    <col min="10242" max="10242" width="6.5703125" style="16" customWidth="1"/>
    <col min="10243" max="10243" width="27.85546875" style="16" customWidth="1"/>
    <col min="10244" max="10244" width="18.140625" style="16" customWidth="1"/>
    <col min="10245" max="10245" width="11.140625" style="16" customWidth="1"/>
    <col min="10246" max="10246" width="12.5703125" style="16" customWidth="1"/>
    <col min="10247" max="10247" width="13" style="16" customWidth="1"/>
    <col min="10248" max="10497" width="9.140625" style="16"/>
    <col min="10498" max="10498" width="6.5703125" style="16" customWidth="1"/>
    <col min="10499" max="10499" width="27.85546875" style="16" customWidth="1"/>
    <col min="10500" max="10500" width="18.140625" style="16" customWidth="1"/>
    <col min="10501" max="10501" width="11.140625" style="16" customWidth="1"/>
    <col min="10502" max="10502" width="12.5703125" style="16" customWidth="1"/>
    <col min="10503" max="10503" width="13" style="16" customWidth="1"/>
    <col min="10504" max="10753" width="9.140625" style="16"/>
    <col min="10754" max="10754" width="6.5703125" style="16" customWidth="1"/>
    <col min="10755" max="10755" width="27.85546875" style="16" customWidth="1"/>
    <col min="10756" max="10756" width="18.140625" style="16" customWidth="1"/>
    <col min="10757" max="10757" width="11.140625" style="16" customWidth="1"/>
    <col min="10758" max="10758" width="12.5703125" style="16" customWidth="1"/>
    <col min="10759" max="10759" width="13" style="16" customWidth="1"/>
    <col min="10760" max="11009" width="9.140625" style="16"/>
    <col min="11010" max="11010" width="6.5703125" style="16" customWidth="1"/>
    <col min="11011" max="11011" width="27.85546875" style="16" customWidth="1"/>
    <col min="11012" max="11012" width="18.140625" style="16" customWidth="1"/>
    <col min="11013" max="11013" width="11.140625" style="16" customWidth="1"/>
    <col min="11014" max="11014" width="12.5703125" style="16" customWidth="1"/>
    <col min="11015" max="11015" width="13" style="16" customWidth="1"/>
    <col min="11016" max="11265" width="9.140625" style="16"/>
    <col min="11266" max="11266" width="6.5703125" style="16" customWidth="1"/>
    <col min="11267" max="11267" width="27.85546875" style="16" customWidth="1"/>
    <col min="11268" max="11268" width="18.140625" style="16" customWidth="1"/>
    <col min="11269" max="11269" width="11.140625" style="16" customWidth="1"/>
    <col min="11270" max="11270" width="12.5703125" style="16" customWidth="1"/>
    <col min="11271" max="11271" width="13" style="16" customWidth="1"/>
    <col min="11272" max="11521" width="9.140625" style="16"/>
    <col min="11522" max="11522" width="6.5703125" style="16" customWidth="1"/>
    <col min="11523" max="11523" width="27.85546875" style="16" customWidth="1"/>
    <col min="11524" max="11524" width="18.140625" style="16" customWidth="1"/>
    <col min="11525" max="11525" width="11.140625" style="16" customWidth="1"/>
    <col min="11526" max="11526" width="12.5703125" style="16" customWidth="1"/>
    <col min="11527" max="11527" width="13" style="16" customWidth="1"/>
    <col min="11528" max="11777" width="9.140625" style="16"/>
    <col min="11778" max="11778" width="6.5703125" style="16" customWidth="1"/>
    <col min="11779" max="11779" width="27.85546875" style="16" customWidth="1"/>
    <col min="11780" max="11780" width="18.140625" style="16" customWidth="1"/>
    <col min="11781" max="11781" width="11.140625" style="16" customWidth="1"/>
    <col min="11782" max="11782" width="12.5703125" style="16" customWidth="1"/>
    <col min="11783" max="11783" width="13" style="16" customWidth="1"/>
    <col min="11784" max="12033" width="9.140625" style="16"/>
    <col min="12034" max="12034" width="6.5703125" style="16" customWidth="1"/>
    <col min="12035" max="12035" width="27.85546875" style="16" customWidth="1"/>
    <col min="12036" max="12036" width="18.140625" style="16" customWidth="1"/>
    <col min="12037" max="12037" width="11.140625" style="16" customWidth="1"/>
    <col min="12038" max="12038" width="12.5703125" style="16" customWidth="1"/>
    <col min="12039" max="12039" width="13" style="16" customWidth="1"/>
    <col min="12040" max="12289" width="9.140625" style="16"/>
    <col min="12290" max="12290" width="6.5703125" style="16" customWidth="1"/>
    <col min="12291" max="12291" width="27.85546875" style="16" customWidth="1"/>
    <col min="12292" max="12292" width="18.140625" style="16" customWidth="1"/>
    <col min="12293" max="12293" width="11.140625" style="16" customWidth="1"/>
    <col min="12294" max="12294" width="12.5703125" style="16" customWidth="1"/>
    <col min="12295" max="12295" width="13" style="16" customWidth="1"/>
    <col min="12296" max="12545" width="9.140625" style="16"/>
    <col min="12546" max="12546" width="6.5703125" style="16" customWidth="1"/>
    <col min="12547" max="12547" width="27.85546875" style="16" customWidth="1"/>
    <col min="12548" max="12548" width="18.140625" style="16" customWidth="1"/>
    <col min="12549" max="12549" width="11.140625" style="16" customWidth="1"/>
    <col min="12550" max="12550" width="12.5703125" style="16" customWidth="1"/>
    <col min="12551" max="12551" width="13" style="16" customWidth="1"/>
    <col min="12552" max="12801" width="9.140625" style="16"/>
    <col min="12802" max="12802" width="6.5703125" style="16" customWidth="1"/>
    <col min="12803" max="12803" width="27.85546875" style="16" customWidth="1"/>
    <col min="12804" max="12804" width="18.140625" style="16" customWidth="1"/>
    <col min="12805" max="12805" width="11.140625" style="16" customWidth="1"/>
    <col min="12806" max="12806" width="12.5703125" style="16" customWidth="1"/>
    <col min="12807" max="12807" width="13" style="16" customWidth="1"/>
    <col min="12808" max="13057" width="9.140625" style="16"/>
    <col min="13058" max="13058" width="6.5703125" style="16" customWidth="1"/>
    <col min="13059" max="13059" width="27.85546875" style="16" customWidth="1"/>
    <col min="13060" max="13060" width="18.140625" style="16" customWidth="1"/>
    <col min="13061" max="13061" width="11.140625" style="16" customWidth="1"/>
    <col min="13062" max="13062" width="12.5703125" style="16" customWidth="1"/>
    <col min="13063" max="13063" width="13" style="16" customWidth="1"/>
    <col min="13064" max="13313" width="9.140625" style="16"/>
    <col min="13314" max="13314" width="6.5703125" style="16" customWidth="1"/>
    <col min="13315" max="13315" width="27.85546875" style="16" customWidth="1"/>
    <col min="13316" max="13316" width="18.140625" style="16" customWidth="1"/>
    <col min="13317" max="13317" width="11.140625" style="16" customWidth="1"/>
    <col min="13318" max="13318" width="12.5703125" style="16" customWidth="1"/>
    <col min="13319" max="13319" width="13" style="16" customWidth="1"/>
    <col min="13320" max="13569" width="9.140625" style="16"/>
    <col min="13570" max="13570" width="6.5703125" style="16" customWidth="1"/>
    <col min="13571" max="13571" width="27.85546875" style="16" customWidth="1"/>
    <col min="13572" max="13572" width="18.140625" style="16" customWidth="1"/>
    <col min="13573" max="13573" width="11.140625" style="16" customWidth="1"/>
    <col min="13574" max="13574" width="12.5703125" style="16" customWidth="1"/>
    <col min="13575" max="13575" width="13" style="16" customWidth="1"/>
    <col min="13576" max="13825" width="9.140625" style="16"/>
    <col min="13826" max="13826" width="6.5703125" style="16" customWidth="1"/>
    <col min="13827" max="13827" width="27.85546875" style="16" customWidth="1"/>
    <col min="13828" max="13828" width="18.140625" style="16" customWidth="1"/>
    <col min="13829" max="13829" width="11.140625" style="16" customWidth="1"/>
    <col min="13830" max="13830" width="12.5703125" style="16" customWidth="1"/>
    <col min="13831" max="13831" width="13" style="16" customWidth="1"/>
    <col min="13832" max="14081" width="9.140625" style="16"/>
    <col min="14082" max="14082" width="6.5703125" style="16" customWidth="1"/>
    <col min="14083" max="14083" width="27.85546875" style="16" customWidth="1"/>
    <col min="14084" max="14084" width="18.140625" style="16" customWidth="1"/>
    <col min="14085" max="14085" width="11.140625" style="16" customWidth="1"/>
    <col min="14086" max="14086" width="12.5703125" style="16" customWidth="1"/>
    <col min="14087" max="14087" width="13" style="16" customWidth="1"/>
    <col min="14088" max="14337" width="9.140625" style="16"/>
    <col min="14338" max="14338" width="6.5703125" style="16" customWidth="1"/>
    <col min="14339" max="14339" width="27.85546875" style="16" customWidth="1"/>
    <col min="14340" max="14340" width="18.140625" style="16" customWidth="1"/>
    <col min="14341" max="14341" width="11.140625" style="16" customWidth="1"/>
    <col min="14342" max="14342" width="12.5703125" style="16" customWidth="1"/>
    <col min="14343" max="14343" width="13" style="16" customWidth="1"/>
    <col min="14344" max="14593" width="9.140625" style="16"/>
    <col min="14594" max="14594" width="6.5703125" style="16" customWidth="1"/>
    <col min="14595" max="14595" width="27.85546875" style="16" customWidth="1"/>
    <col min="14596" max="14596" width="18.140625" style="16" customWidth="1"/>
    <col min="14597" max="14597" width="11.140625" style="16" customWidth="1"/>
    <col min="14598" max="14598" width="12.5703125" style="16" customWidth="1"/>
    <col min="14599" max="14599" width="13" style="16" customWidth="1"/>
    <col min="14600" max="14849" width="9.140625" style="16"/>
    <col min="14850" max="14850" width="6.5703125" style="16" customWidth="1"/>
    <col min="14851" max="14851" width="27.85546875" style="16" customWidth="1"/>
    <col min="14852" max="14852" width="18.140625" style="16" customWidth="1"/>
    <col min="14853" max="14853" width="11.140625" style="16" customWidth="1"/>
    <col min="14854" max="14854" width="12.5703125" style="16" customWidth="1"/>
    <col min="14855" max="14855" width="13" style="16" customWidth="1"/>
    <col min="14856" max="15105" width="9.140625" style="16"/>
    <col min="15106" max="15106" width="6.5703125" style="16" customWidth="1"/>
    <col min="15107" max="15107" width="27.85546875" style="16" customWidth="1"/>
    <col min="15108" max="15108" width="18.140625" style="16" customWidth="1"/>
    <col min="15109" max="15109" width="11.140625" style="16" customWidth="1"/>
    <col min="15110" max="15110" width="12.5703125" style="16" customWidth="1"/>
    <col min="15111" max="15111" width="13" style="16" customWidth="1"/>
    <col min="15112" max="15361" width="9.140625" style="16"/>
    <col min="15362" max="15362" width="6.5703125" style="16" customWidth="1"/>
    <col min="15363" max="15363" width="27.85546875" style="16" customWidth="1"/>
    <col min="15364" max="15364" width="18.140625" style="16" customWidth="1"/>
    <col min="15365" max="15365" width="11.140625" style="16" customWidth="1"/>
    <col min="15366" max="15366" width="12.5703125" style="16" customWidth="1"/>
    <col min="15367" max="15367" width="13" style="16" customWidth="1"/>
    <col min="15368" max="15617" width="9.140625" style="16"/>
    <col min="15618" max="15618" width="6.5703125" style="16" customWidth="1"/>
    <col min="15619" max="15619" width="27.85546875" style="16" customWidth="1"/>
    <col min="15620" max="15620" width="18.140625" style="16" customWidth="1"/>
    <col min="15621" max="15621" width="11.140625" style="16" customWidth="1"/>
    <col min="15622" max="15622" width="12.5703125" style="16" customWidth="1"/>
    <col min="15623" max="15623" width="13" style="16" customWidth="1"/>
    <col min="15624" max="15873" width="9.140625" style="16"/>
    <col min="15874" max="15874" width="6.5703125" style="16" customWidth="1"/>
    <col min="15875" max="15875" width="27.85546875" style="16" customWidth="1"/>
    <col min="15876" max="15876" width="18.140625" style="16" customWidth="1"/>
    <col min="15877" max="15877" width="11.140625" style="16" customWidth="1"/>
    <col min="15878" max="15878" width="12.5703125" style="16" customWidth="1"/>
    <col min="15879" max="15879" width="13" style="16" customWidth="1"/>
    <col min="15880" max="16129" width="9.140625" style="16"/>
    <col min="16130" max="16130" width="6.5703125" style="16" customWidth="1"/>
    <col min="16131" max="16131" width="27.85546875" style="16" customWidth="1"/>
    <col min="16132" max="16132" width="18.140625" style="16" customWidth="1"/>
    <col min="16133" max="16133" width="11.140625" style="16" customWidth="1"/>
    <col min="16134" max="16134" width="12.5703125" style="16" customWidth="1"/>
    <col min="16135" max="16135" width="13" style="16" customWidth="1"/>
    <col min="16136" max="16384" width="9.140625" style="16"/>
  </cols>
  <sheetData>
    <row r="1" spans="2:7" ht="13.5" thickBot="1" x14ac:dyDescent="0.25"/>
    <row r="2" spans="2:7" ht="15.75" thickBot="1" x14ac:dyDescent="0.3">
      <c r="B2" s="1226" t="s">
        <v>553</v>
      </c>
      <c r="C2" s="1227"/>
      <c r="D2" s="1227"/>
      <c r="E2" s="1227"/>
      <c r="F2" s="1227"/>
      <c r="G2" s="1228"/>
    </row>
    <row r="3" spans="2:7" ht="13.5" thickBot="1" x14ac:dyDescent="0.25">
      <c r="B3" s="266" t="s">
        <v>0</v>
      </c>
      <c r="C3" s="267" t="s">
        <v>1</v>
      </c>
      <c r="D3" s="267" t="s">
        <v>2</v>
      </c>
      <c r="E3" s="267" t="s">
        <v>3</v>
      </c>
      <c r="F3" s="267" t="s">
        <v>554</v>
      </c>
      <c r="G3" s="268" t="s">
        <v>4</v>
      </c>
    </row>
    <row r="4" spans="2:7" x14ac:dyDescent="0.2">
      <c r="B4" s="269">
        <v>1</v>
      </c>
      <c r="C4" s="270" t="s">
        <v>5</v>
      </c>
      <c r="D4" s="271" t="s">
        <v>6</v>
      </c>
      <c r="E4" s="271">
        <v>7928</v>
      </c>
      <c r="F4" s="271">
        <v>6400</v>
      </c>
      <c r="G4" s="272">
        <f>E4-F4</f>
        <v>1528</v>
      </c>
    </row>
    <row r="5" spans="2:7" x14ac:dyDescent="0.2">
      <c r="B5" s="273">
        <v>2</v>
      </c>
      <c r="C5" s="147" t="s">
        <v>7</v>
      </c>
      <c r="D5" s="274" t="s">
        <v>8</v>
      </c>
      <c r="E5" s="274">
        <v>75702</v>
      </c>
      <c r="F5" s="274">
        <v>48100</v>
      </c>
      <c r="G5" s="275">
        <f>E5-F5</f>
        <v>27602</v>
      </c>
    </row>
    <row r="6" spans="2:7" x14ac:dyDescent="0.2">
      <c r="B6" s="273">
        <v>3</v>
      </c>
      <c r="C6" s="147" t="s">
        <v>9</v>
      </c>
      <c r="D6" s="274" t="s">
        <v>10</v>
      </c>
      <c r="E6" s="274">
        <v>133288</v>
      </c>
      <c r="F6" s="274">
        <v>81600</v>
      </c>
      <c r="G6" s="275">
        <f>E6-F6</f>
        <v>51688</v>
      </c>
    </row>
    <row r="7" spans="2:7" x14ac:dyDescent="0.2">
      <c r="B7" s="273">
        <v>4</v>
      </c>
      <c r="C7" s="147" t="s">
        <v>13</v>
      </c>
      <c r="D7" s="274" t="s">
        <v>14</v>
      </c>
      <c r="E7" s="274">
        <v>1748</v>
      </c>
      <c r="F7" s="274">
        <v>0</v>
      </c>
      <c r="G7" s="275">
        <v>1748</v>
      </c>
    </row>
    <row r="8" spans="2:7" x14ac:dyDescent="0.2">
      <c r="B8" s="273">
        <v>5</v>
      </c>
      <c r="C8" s="147" t="s">
        <v>15</v>
      </c>
      <c r="D8" s="274" t="s">
        <v>16</v>
      </c>
      <c r="E8" s="274">
        <v>58617</v>
      </c>
      <c r="F8" s="274">
        <v>50400</v>
      </c>
      <c r="G8" s="275">
        <f t="shared" ref="G8:G48" si="0">E8-F8</f>
        <v>8217</v>
      </c>
    </row>
    <row r="9" spans="2:7" x14ac:dyDescent="0.2">
      <c r="B9" s="273">
        <v>6</v>
      </c>
      <c r="C9" s="147" t="s">
        <v>17</v>
      </c>
      <c r="D9" s="274" t="s">
        <v>18</v>
      </c>
      <c r="E9" s="274">
        <v>89397</v>
      </c>
      <c r="F9" s="274">
        <v>52500</v>
      </c>
      <c r="G9" s="275">
        <f t="shared" si="0"/>
        <v>36897</v>
      </c>
    </row>
    <row r="10" spans="2:7" x14ac:dyDescent="0.2">
      <c r="B10" s="273">
        <v>7</v>
      </c>
      <c r="C10" s="147" t="s">
        <v>21</v>
      </c>
      <c r="D10" s="274" t="s">
        <v>22</v>
      </c>
      <c r="E10" s="274">
        <v>6263</v>
      </c>
      <c r="F10" s="274">
        <v>6100</v>
      </c>
      <c r="G10" s="275">
        <f t="shared" si="0"/>
        <v>163</v>
      </c>
    </row>
    <row r="11" spans="2:7" x14ac:dyDescent="0.2">
      <c r="B11" s="273">
        <v>8</v>
      </c>
      <c r="C11" s="147" t="s">
        <v>23</v>
      </c>
      <c r="D11" s="274" t="s">
        <v>24</v>
      </c>
      <c r="E11" s="274">
        <v>99951</v>
      </c>
      <c r="F11" s="274">
        <v>84000</v>
      </c>
      <c r="G11" s="275">
        <f t="shared" si="0"/>
        <v>15951</v>
      </c>
    </row>
    <row r="12" spans="2:7" x14ac:dyDescent="0.2">
      <c r="B12" s="273">
        <v>9</v>
      </c>
      <c r="C12" s="147" t="s">
        <v>25</v>
      </c>
      <c r="D12" s="274" t="s">
        <v>26</v>
      </c>
      <c r="E12" s="274">
        <v>6843</v>
      </c>
      <c r="F12" s="274">
        <v>0</v>
      </c>
      <c r="G12" s="275">
        <f t="shared" si="0"/>
        <v>6843</v>
      </c>
    </row>
    <row r="13" spans="2:7" x14ac:dyDescent="0.2">
      <c r="B13" s="273">
        <v>10</v>
      </c>
      <c r="C13" s="147" t="s">
        <v>27</v>
      </c>
      <c r="D13" s="274" t="s">
        <v>28</v>
      </c>
      <c r="E13" s="274">
        <v>0</v>
      </c>
      <c r="F13" s="274">
        <v>0</v>
      </c>
      <c r="G13" s="275">
        <f t="shared" si="0"/>
        <v>0</v>
      </c>
    </row>
    <row r="14" spans="2:7" x14ac:dyDescent="0.2">
      <c r="B14" s="273">
        <v>11</v>
      </c>
      <c r="C14" s="147" t="s">
        <v>29</v>
      </c>
      <c r="D14" s="274" t="s">
        <v>30</v>
      </c>
      <c r="E14" s="274">
        <v>66610</v>
      </c>
      <c r="F14" s="274">
        <v>34800</v>
      </c>
      <c r="G14" s="275">
        <f t="shared" si="0"/>
        <v>31810</v>
      </c>
    </row>
    <row r="15" spans="2:7" x14ac:dyDescent="0.2">
      <c r="B15" s="273">
        <v>12</v>
      </c>
      <c r="C15" s="147" t="s">
        <v>31</v>
      </c>
      <c r="D15" s="274" t="s">
        <v>32</v>
      </c>
      <c r="E15" s="274">
        <v>76475</v>
      </c>
      <c r="F15" s="274">
        <v>50400</v>
      </c>
      <c r="G15" s="275">
        <f t="shared" si="0"/>
        <v>26075</v>
      </c>
    </row>
    <row r="16" spans="2:7" x14ac:dyDescent="0.2">
      <c r="B16" s="273">
        <v>13</v>
      </c>
      <c r="C16" s="147" t="s">
        <v>33</v>
      </c>
      <c r="D16" s="274" t="s">
        <v>34</v>
      </c>
      <c r="E16" s="274">
        <v>67000</v>
      </c>
      <c r="F16" s="274">
        <v>24600</v>
      </c>
      <c r="G16" s="275">
        <f t="shared" si="0"/>
        <v>42400</v>
      </c>
    </row>
    <row r="17" spans="2:7" x14ac:dyDescent="0.2">
      <c r="B17" s="273">
        <v>14</v>
      </c>
      <c r="C17" s="147" t="s">
        <v>555</v>
      </c>
      <c r="D17" s="274" t="s">
        <v>556</v>
      </c>
      <c r="E17" s="274">
        <v>38617</v>
      </c>
      <c r="F17" s="274">
        <v>20000</v>
      </c>
      <c r="G17" s="275">
        <f t="shared" si="0"/>
        <v>18617</v>
      </c>
    </row>
    <row r="18" spans="2:7" x14ac:dyDescent="0.2">
      <c r="B18" s="273">
        <v>15</v>
      </c>
      <c r="C18" s="147" t="s">
        <v>37</v>
      </c>
      <c r="D18" s="274" t="s">
        <v>38</v>
      </c>
      <c r="E18" s="274">
        <v>73657</v>
      </c>
      <c r="F18" s="274">
        <v>40000</v>
      </c>
      <c r="G18" s="275">
        <f t="shared" si="0"/>
        <v>33657</v>
      </c>
    </row>
    <row r="19" spans="2:7" x14ac:dyDescent="0.2">
      <c r="B19" s="273">
        <v>16</v>
      </c>
      <c r="C19" s="147" t="s">
        <v>557</v>
      </c>
      <c r="D19" s="274" t="s">
        <v>394</v>
      </c>
      <c r="E19" s="274">
        <v>49984</v>
      </c>
      <c r="F19" s="274">
        <v>29000</v>
      </c>
      <c r="G19" s="275">
        <f t="shared" si="0"/>
        <v>20984</v>
      </c>
    </row>
    <row r="20" spans="2:7" x14ac:dyDescent="0.2">
      <c r="B20" s="273">
        <v>17</v>
      </c>
      <c r="C20" s="147" t="s">
        <v>41</v>
      </c>
      <c r="D20" s="274" t="s">
        <v>42</v>
      </c>
      <c r="E20" s="274">
        <v>33816</v>
      </c>
      <c r="F20" s="274">
        <v>18400</v>
      </c>
      <c r="G20" s="275">
        <f t="shared" si="0"/>
        <v>15416</v>
      </c>
    </row>
    <row r="21" spans="2:7" x14ac:dyDescent="0.2">
      <c r="B21" s="273">
        <v>18</v>
      </c>
      <c r="C21" s="147" t="s">
        <v>43</v>
      </c>
      <c r="D21" s="274" t="s">
        <v>44</v>
      </c>
      <c r="E21" s="274">
        <v>73716</v>
      </c>
      <c r="F21" s="274">
        <v>60000</v>
      </c>
      <c r="G21" s="275">
        <f t="shared" si="0"/>
        <v>13716</v>
      </c>
    </row>
    <row r="22" spans="2:7" x14ac:dyDescent="0.2">
      <c r="B22" s="273">
        <v>19</v>
      </c>
      <c r="C22" s="147" t="s">
        <v>45</v>
      </c>
      <c r="D22" s="274" t="s">
        <v>46</v>
      </c>
      <c r="E22" s="274">
        <v>51725</v>
      </c>
      <c r="F22" s="274">
        <v>20000</v>
      </c>
      <c r="G22" s="275">
        <f t="shared" si="0"/>
        <v>31725</v>
      </c>
    </row>
    <row r="23" spans="2:7" x14ac:dyDescent="0.2">
      <c r="B23" s="273">
        <v>20</v>
      </c>
      <c r="C23" s="147" t="s">
        <v>47</v>
      </c>
      <c r="D23" s="274" t="s">
        <v>48</v>
      </c>
      <c r="E23" s="274">
        <v>19781</v>
      </c>
      <c r="F23" s="274">
        <v>12000</v>
      </c>
      <c r="G23" s="275">
        <f t="shared" si="0"/>
        <v>7781</v>
      </c>
    </row>
    <row r="24" spans="2:7" x14ac:dyDescent="0.2">
      <c r="B24" s="273">
        <v>21</v>
      </c>
      <c r="C24" s="147" t="s">
        <v>558</v>
      </c>
      <c r="D24" s="274" t="s">
        <v>559</v>
      </c>
      <c r="E24" s="274">
        <v>2810</v>
      </c>
      <c r="F24" s="274">
        <v>0</v>
      </c>
      <c r="G24" s="275">
        <f t="shared" si="0"/>
        <v>2810</v>
      </c>
    </row>
    <row r="25" spans="2:7" x14ac:dyDescent="0.2">
      <c r="B25" s="273">
        <v>22</v>
      </c>
      <c r="C25" s="147" t="s">
        <v>51</v>
      </c>
      <c r="D25" s="274" t="s">
        <v>52</v>
      </c>
      <c r="E25" s="274">
        <v>58955</v>
      </c>
      <c r="F25" s="274">
        <v>36000</v>
      </c>
      <c r="G25" s="275">
        <f t="shared" si="0"/>
        <v>22955</v>
      </c>
    </row>
    <row r="26" spans="2:7" x14ac:dyDescent="0.2">
      <c r="B26" s="273">
        <v>23</v>
      </c>
      <c r="C26" s="147" t="s">
        <v>560</v>
      </c>
      <c r="D26" s="274" t="s">
        <v>54</v>
      </c>
      <c r="E26" s="274">
        <v>17109</v>
      </c>
      <c r="F26" s="274">
        <v>10500</v>
      </c>
      <c r="G26" s="275">
        <f t="shared" si="0"/>
        <v>6609</v>
      </c>
    </row>
    <row r="27" spans="2:7" x14ac:dyDescent="0.2">
      <c r="B27" s="273">
        <v>24</v>
      </c>
      <c r="C27" s="147" t="s">
        <v>55</v>
      </c>
      <c r="D27" s="274" t="s">
        <v>56</v>
      </c>
      <c r="E27" s="274">
        <v>19440</v>
      </c>
      <c r="F27" s="274">
        <v>9600</v>
      </c>
      <c r="G27" s="275">
        <f t="shared" si="0"/>
        <v>9840</v>
      </c>
    </row>
    <row r="28" spans="2:7" x14ac:dyDescent="0.2">
      <c r="B28" s="273">
        <v>25</v>
      </c>
      <c r="C28" s="147" t="s">
        <v>57</v>
      </c>
      <c r="D28" s="274" t="s">
        <v>58</v>
      </c>
      <c r="E28" s="274">
        <v>-1253</v>
      </c>
      <c r="F28" s="274">
        <v>0</v>
      </c>
      <c r="G28" s="275">
        <f t="shared" si="0"/>
        <v>-1253</v>
      </c>
    </row>
    <row r="29" spans="2:7" x14ac:dyDescent="0.2">
      <c r="B29" s="273">
        <v>26</v>
      </c>
      <c r="C29" s="147" t="s">
        <v>59</v>
      </c>
      <c r="D29" s="274" t="s">
        <v>60</v>
      </c>
      <c r="E29" s="274">
        <v>17485</v>
      </c>
      <c r="F29" s="274">
        <v>8000</v>
      </c>
      <c r="G29" s="275">
        <f t="shared" si="0"/>
        <v>9485</v>
      </c>
    </row>
    <row r="30" spans="2:7" x14ac:dyDescent="0.2">
      <c r="B30" s="273">
        <v>27</v>
      </c>
      <c r="C30" s="147" t="s">
        <v>61</v>
      </c>
      <c r="D30" s="274" t="s">
        <v>62</v>
      </c>
      <c r="E30" s="274">
        <v>-435</v>
      </c>
      <c r="F30" s="274">
        <v>0</v>
      </c>
      <c r="G30" s="275">
        <f t="shared" si="0"/>
        <v>-435</v>
      </c>
    </row>
    <row r="31" spans="2:7" x14ac:dyDescent="0.2">
      <c r="B31" s="273">
        <v>28</v>
      </c>
      <c r="C31" s="147" t="s">
        <v>63</v>
      </c>
      <c r="D31" s="274" t="s">
        <v>64</v>
      </c>
      <c r="E31" s="274">
        <v>2674</v>
      </c>
      <c r="F31" s="274">
        <v>0</v>
      </c>
      <c r="G31" s="275">
        <f t="shared" si="0"/>
        <v>2674</v>
      </c>
    </row>
    <row r="32" spans="2:7" x14ac:dyDescent="0.2">
      <c r="B32" s="273">
        <v>29</v>
      </c>
      <c r="C32" s="147" t="s">
        <v>65</v>
      </c>
      <c r="D32" s="274" t="s">
        <v>66</v>
      </c>
      <c r="E32" s="274">
        <v>-913</v>
      </c>
      <c r="F32" s="274">
        <v>0</v>
      </c>
      <c r="G32" s="275">
        <f t="shared" si="0"/>
        <v>-913</v>
      </c>
    </row>
    <row r="33" spans="2:7" x14ac:dyDescent="0.2">
      <c r="B33" s="273">
        <v>30</v>
      </c>
      <c r="C33" s="147" t="s">
        <v>67</v>
      </c>
      <c r="D33" s="274" t="s">
        <v>68</v>
      </c>
      <c r="E33" s="274">
        <v>9427</v>
      </c>
      <c r="F33" s="274">
        <v>8000</v>
      </c>
      <c r="G33" s="275">
        <f t="shared" si="0"/>
        <v>1427</v>
      </c>
    </row>
    <row r="34" spans="2:7" x14ac:dyDescent="0.2">
      <c r="B34" s="273">
        <v>31</v>
      </c>
      <c r="C34" s="147" t="s">
        <v>69</v>
      </c>
      <c r="D34" s="274" t="s">
        <v>70</v>
      </c>
      <c r="E34" s="274">
        <v>4945</v>
      </c>
      <c r="F34" s="274">
        <v>1000</v>
      </c>
      <c r="G34" s="275">
        <f t="shared" si="0"/>
        <v>3945</v>
      </c>
    </row>
    <row r="35" spans="2:7" x14ac:dyDescent="0.2">
      <c r="B35" s="273">
        <v>32</v>
      </c>
      <c r="C35" s="147" t="s">
        <v>73</v>
      </c>
      <c r="D35" s="274" t="s">
        <v>74</v>
      </c>
      <c r="E35" s="274">
        <v>0</v>
      </c>
      <c r="F35" s="274">
        <v>0</v>
      </c>
      <c r="G35" s="275">
        <f t="shared" si="0"/>
        <v>0</v>
      </c>
    </row>
    <row r="36" spans="2:7" x14ac:dyDescent="0.2">
      <c r="B36" s="273">
        <v>33</v>
      </c>
      <c r="C36" s="147" t="s">
        <v>75</v>
      </c>
      <c r="D36" s="274" t="s">
        <v>76</v>
      </c>
      <c r="E36" s="274">
        <v>2988</v>
      </c>
      <c r="F36" s="274">
        <v>1000</v>
      </c>
      <c r="G36" s="275">
        <f t="shared" si="0"/>
        <v>1988</v>
      </c>
    </row>
    <row r="37" spans="2:7" x14ac:dyDescent="0.2">
      <c r="B37" s="273">
        <v>34</v>
      </c>
      <c r="C37" s="147" t="s">
        <v>77</v>
      </c>
      <c r="D37" s="274" t="s">
        <v>78</v>
      </c>
      <c r="E37" s="274">
        <v>0</v>
      </c>
      <c r="F37" s="274">
        <v>0</v>
      </c>
      <c r="G37" s="275">
        <f t="shared" si="0"/>
        <v>0</v>
      </c>
    </row>
    <row r="38" spans="2:7" x14ac:dyDescent="0.2">
      <c r="B38" s="273">
        <v>35</v>
      </c>
      <c r="C38" s="147" t="s">
        <v>79</v>
      </c>
      <c r="D38" s="274" t="s">
        <v>80</v>
      </c>
      <c r="E38" s="274">
        <v>-285</v>
      </c>
      <c r="F38" s="274">
        <v>0</v>
      </c>
      <c r="G38" s="275">
        <f t="shared" si="0"/>
        <v>-285</v>
      </c>
    </row>
    <row r="39" spans="2:7" x14ac:dyDescent="0.2">
      <c r="B39" s="273">
        <v>36</v>
      </c>
      <c r="C39" s="147" t="s">
        <v>81</v>
      </c>
      <c r="D39" s="274" t="s">
        <v>82</v>
      </c>
      <c r="E39" s="274">
        <v>5145</v>
      </c>
      <c r="F39" s="274">
        <v>0</v>
      </c>
      <c r="G39" s="275">
        <f t="shared" si="0"/>
        <v>5145</v>
      </c>
    </row>
    <row r="40" spans="2:7" x14ac:dyDescent="0.2">
      <c r="B40" s="273">
        <v>37</v>
      </c>
      <c r="C40" s="147" t="s">
        <v>561</v>
      </c>
      <c r="D40" s="274" t="s">
        <v>562</v>
      </c>
      <c r="E40" s="274">
        <v>1876</v>
      </c>
      <c r="F40" s="274">
        <v>0</v>
      </c>
      <c r="G40" s="275">
        <f t="shared" si="0"/>
        <v>1876</v>
      </c>
    </row>
    <row r="41" spans="2:7" x14ac:dyDescent="0.2">
      <c r="B41" s="273">
        <v>38</v>
      </c>
      <c r="C41" s="147" t="s">
        <v>84</v>
      </c>
      <c r="D41" s="274" t="s">
        <v>85</v>
      </c>
      <c r="E41" s="274">
        <v>-2000</v>
      </c>
      <c r="F41" s="274">
        <v>0</v>
      </c>
      <c r="G41" s="275">
        <f t="shared" si="0"/>
        <v>-2000</v>
      </c>
    </row>
    <row r="42" spans="2:7" x14ac:dyDescent="0.2">
      <c r="B42" s="273">
        <v>39</v>
      </c>
      <c r="C42" s="147" t="s">
        <v>86</v>
      </c>
      <c r="D42" s="274" t="s">
        <v>87</v>
      </c>
      <c r="E42" s="274">
        <v>4564</v>
      </c>
      <c r="F42" s="274">
        <v>0</v>
      </c>
      <c r="G42" s="275">
        <f t="shared" si="0"/>
        <v>4564</v>
      </c>
    </row>
    <row r="43" spans="2:7" x14ac:dyDescent="0.2">
      <c r="B43" s="273">
        <v>40</v>
      </c>
      <c r="C43" s="147" t="s">
        <v>88</v>
      </c>
      <c r="D43" s="274" t="s">
        <v>89</v>
      </c>
      <c r="E43" s="274">
        <v>1378</v>
      </c>
      <c r="F43" s="274">
        <v>1500</v>
      </c>
      <c r="G43" s="275">
        <f t="shared" si="0"/>
        <v>-122</v>
      </c>
    </row>
    <row r="44" spans="2:7" x14ac:dyDescent="0.2">
      <c r="B44" s="273">
        <v>41</v>
      </c>
      <c r="C44" s="147" t="s">
        <v>90</v>
      </c>
      <c r="D44" s="274" t="s">
        <v>91</v>
      </c>
      <c r="E44" s="274">
        <v>-2000</v>
      </c>
      <c r="F44" s="274">
        <v>0</v>
      </c>
      <c r="G44" s="275">
        <f t="shared" si="0"/>
        <v>-2000</v>
      </c>
    </row>
    <row r="45" spans="2:7" x14ac:dyDescent="0.2">
      <c r="B45" s="273">
        <v>42</v>
      </c>
      <c r="C45" s="147" t="s">
        <v>92</v>
      </c>
      <c r="D45" s="274" t="s">
        <v>93</v>
      </c>
      <c r="E45" s="274">
        <v>-1896</v>
      </c>
      <c r="F45" s="274">
        <v>0</v>
      </c>
      <c r="G45" s="275">
        <f t="shared" si="0"/>
        <v>-1896</v>
      </c>
    </row>
    <row r="46" spans="2:7" x14ac:dyDescent="0.2">
      <c r="B46" s="273">
        <v>43</v>
      </c>
      <c r="C46" s="147" t="s">
        <v>94</v>
      </c>
      <c r="D46" s="274" t="s">
        <v>95</v>
      </c>
      <c r="E46" s="274">
        <v>0</v>
      </c>
      <c r="F46" s="274">
        <v>0</v>
      </c>
      <c r="G46" s="275">
        <f t="shared" si="0"/>
        <v>0</v>
      </c>
    </row>
    <row r="47" spans="2:7" x14ac:dyDescent="0.2">
      <c r="B47" s="273">
        <v>44</v>
      </c>
      <c r="C47" s="147" t="s">
        <v>96</v>
      </c>
      <c r="D47" s="274" t="s">
        <v>97</v>
      </c>
      <c r="E47" s="274">
        <v>-2000</v>
      </c>
      <c r="F47" s="274">
        <v>0</v>
      </c>
      <c r="G47" s="275">
        <f t="shared" si="0"/>
        <v>-2000</v>
      </c>
    </row>
    <row r="48" spans="2:7" ht="13.5" thickBot="1" x14ac:dyDescent="0.25">
      <c r="B48" s="276">
        <v>45</v>
      </c>
      <c r="C48" s="277" t="s">
        <v>98</v>
      </c>
      <c r="D48" s="278" t="s">
        <v>99</v>
      </c>
      <c r="E48" s="278">
        <v>0</v>
      </c>
      <c r="F48" s="278">
        <v>0</v>
      </c>
      <c r="G48" s="279">
        <f t="shared" si="0"/>
        <v>0</v>
      </c>
    </row>
    <row r="49" spans="2:7" x14ac:dyDescent="0.2">
      <c r="B49" s="39"/>
      <c r="C49" s="39"/>
      <c r="D49" s="39"/>
      <c r="E49" s="39"/>
      <c r="F49" s="39"/>
      <c r="G49" s="39"/>
    </row>
    <row r="50" spans="2:7" x14ac:dyDescent="0.2">
      <c r="B50" s="39"/>
      <c r="C50" s="39"/>
      <c r="D50" s="39"/>
      <c r="E50" s="39"/>
      <c r="F50" s="39"/>
      <c r="G50" s="39"/>
    </row>
    <row r="53" spans="2:7" x14ac:dyDescent="0.2">
      <c r="D53" s="106"/>
    </row>
  </sheetData>
  <mergeCells count="1">
    <mergeCell ref="B2:G2"/>
  </mergeCells>
  <pageMargins left="0.7" right="0.7" top="0.75" bottom="0.75" header="0.3" footer="0.3"/>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154</vt:i4>
      </vt:variant>
      <vt:variant>
        <vt:lpstr>Named Ranges</vt:lpstr>
      </vt:variant>
      <vt:variant>
        <vt:i4>6</vt:i4>
      </vt:variant>
    </vt:vector>
  </HeadingPairs>
  <TitlesOfParts>
    <vt:vector size="160" baseType="lpstr">
      <vt:lpstr>Q1</vt:lpstr>
      <vt:lpstr>Q2</vt:lpstr>
      <vt:lpstr>Q3</vt:lpstr>
      <vt:lpstr>Q4</vt:lpstr>
      <vt:lpstr>Main Working</vt:lpstr>
      <vt:lpstr>18-19 (SSW-11)</vt:lpstr>
      <vt:lpstr>(CKB-1)</vt:lpstr>
      <vt:lpstr>(MLM-2)</vt:lpstr>
      <vt:lpstr>(UCP-3)</vt:lpstr>
      <vt:lpstr>(UCP-3) half</vt:lpstr>
      <vt:lpstr>(KSL-4)</vt:lpstr>
      <vt:lpstr>(VMK-5)</vt:lpstr>
      <vt:lpstr>(PMK-6)</vt:lpstr>
      <vt:lpstr>(RSM-8)</vt:lpstr>
      <vt:lpstr>(PR-9)</vt:lpstr>
      <vt:lpstr>(ASK-10)</vt:lpstr>
      <vt:lpstr>(VKV) 11 </vt:lpstr>
      <vt:lpstr>(USS-12)</vt:lpstr>
      <vt:lpstr>(MS-13)</vt:lpstr>
      <vt:lpstr>(BRR-14)</vt:lpstr>
      <vt:lpstr>(RKL-15)</vt:lpstr>
      <vt:lpstr>(DBN-16)</vt:lpstr>
      <vt:lpstr>(VVT-17)</vt:lpstr>
      <vt:lpstr>(SSM-18)</vt:lpstr>
      <vt:lpstr>(SVR-19)</vt:lpstr>
      <vt:lpstr>(MPJ-20)</vt:lpstr>
      <vt:lpstr>(DPV-21)</vt:lpstr>
      <vt:lpstr>(SRP-22)</vt:lpstr>
      <vt:lpstr>(VNW-24)</vt:lpstr>
      <vt:lpstr>(SAA-25)</vt:lpstr>
      <vt:lpstr>(AYK-26)</vt:lpstr>
      <vt:lpstr>(KPK-27)</vt:lpstr>
      <vt:lpstr>(MKP-28)</vt:lpstr>
      <vt:lpstr>(RSV-29)</vt:lpstr>
      <vt:lpstr>(ASG-30)</vt:lpstr>
      <vt:lpstr>(CDW-32)</vt:lpstr>
      <vt:lpstr>(PCS-34)</vt:lpstr>
      <vt:lpstr>(AHJ-35)</vt:lpstr>
      <vt:lpstr>(DRM-36)</vt:lpstr>
      <vt:lpstr>(AMK-37)</vt:lpstr>
      <vt:lpstr>(VBB-38)</vt:lpstr>
      <vt:lpstr>(SPA-39)</vt:lpstr>
      <vt:lpstr>(SAS-40)</vt:lpstr>
      <vt:lpstr>(PVG-41)</vt:lpstr>
      <vt:lpstr>(SJJ-42)</vt:lpstr>
      <vt:lpstr>(VKP-43)</vt:lpstr>
      <vt:lpstr>(STA-44)</vt:lpstr>
      <vt:lpstr>(HRK-45)</vt:lpstr>
      <vt:lpstr>(BJK-46)</vt:lpstr>
      <vt:lpstr>(RRD-47)</vt:lpstr>
      <vt:lpstr>(UMC-48) </vt:lpstr>
      <vt:lpstr>(SLT-49)</vt:lpstr>
      <vt:lpstr>(SSW-51)</vt:lpstr>
      <vt:lpstr>(VNK-52)</vt:lpstr>
      <vt:lpstr> (HS-55)</vt:lpstr>
      <vt:lpstr>(PBT-54)</vt:lpstr>
      <vt:lpstr>(PAP-56)</vt:lpstr>
      <vt:lpstr>(SPT-57)</vt:lpstr>
      <vt:lpstr>(PBSP-58)</vt:lpstr>
      <vt:lpstr>(SAA-59)</vt:lpstr>
      <vt:lpstr>(MHH-60)</vt:lpstr>
      <vt:lpstr>(HRM-61)</vt:lpstr>
      <vt:lpstr>(PPS-62)</vt:lpstr>
      <vt:lpstr>(NAP-63)</vt:lpstr>
      <vt:lpstr>(BSS-64)</vt:lpstr>
      <vt:lpstr>(SG-65)</vt:lpstr>
      <vt:lpstr>(SNV-66)</vt:lpstr>
      <vt:lpstr>(IAP-67)</vt:lpstr>
      <vt:lpstr>(MBR-68)</vt:lpstr>
      <vt:lpstr>(SSM-69)</vt:lpstr>
      <vt:lpstr>(SS-71)</vt:lpstr>
      <vt:lpstr>(BAD-73)</vt:lpstr>
      <vt:lpstr>(CN-74)</vt:lpstr>
      <vt:lpstr>(IH-76)</vt:lpstr>
      <vt:lpstr>(LBB-77)</vt:lpstr>
      <vt:lpstr>(AN-78)</vt:lpstr>
      <vt:lpstr>(NVV-79)</vt:lpstr>
      <vt:lpstr>(RBR 80)</vt:lpstr>
      <vt:lpstr>(JPT 81)</vt:lpstr>
      <vt:lpstr>(VBS 83) </vt:lpstr>
      <vt:lpstr>(SR-84)</vt:lpstr>
      <vt:lpstr>(KAB-85)</vt:lpstr>
      <vt:lpstr>(JPS-87)</vt:lpstr>
      <vt:lpstr>(AM-88)</vt:lpstr>
      <vt:lpstr>(VSD-89)</vt:lpstr>
      <vt:lpstr>(JAU-92)</vt:lpstr>
      <vt:lpstr>(SBB-95)</vt:lpstr>
      <vt:lpstr>(JPG-93)</vt:lpstr>
      <vt:lpstr>(NHC-91)</vt:lpstr>
      <vt:lpstr>(LBS-94)</vt:lpstr>
      <vt:lpstr>(PSG-97)</vt:lpstr>
      <vt:lpstr>(NRS-98)</vt:lpstr>
      <vt:lpstr>(SAS-99)</vt:lpstr>
      <vt:lpstr>(DRS-100)</vt:lpstr>
      <vt:lpstr>(NGC-101)</vt:lpstr>
      <vt:lpstr>(JMS-102)</vt:lpstr>
      <vt:lpstr>(SSL-103)</vt:lpstr>
      <vt:lpstr>(SBP-104)</vt:lpstr>
      <vt:lpstr>(JDM-105)</vt:lpstr>
      <vt:lpstr>(RNK-106)</vt:lpstr>
      <vt:lpstr>(DND-107)</vt:lpstr>
      <vt:lpstr>(RP-108)</vt:lpstr>
      <vt:lpstr>(MMM-109)</vt:lpstr>
      <vt:lpstr>(VPG-110)</vt:lpstr>
      <vt:lpstr>(NHK-111)</vt:lpstr>
      <vt:lpstr>(ASK-113)</vt:lpstr>
      <vt:lpstr>(RDB-114)</vt:lpstr>
      <vt:lpstr>(BDY-115)</vt:lpstr>
      <vt:lpstr>(GSS-116)</vt:lpstr>
      <vt:lpstr>(JGV-117)</vt:lpstr>
      <vt:lpstr>(NPW-118)</vt:lpstr>
      <vt:lpstr>(LSM-119)</vt:lpstr>
      <vt:lpstr>(JGR-120)</vt:lpstr>
      <vt:lpstr>(MPI-121)</vt:lpstr>
      <vt:lpstr>(RBG-122)</vt:lpstr>
      <vt:lpstr>(DMB-124)</vt:lpstr>
      <vt:lpstr>(GSK-125)</vt:lpstr>
      <vt:lpstr>(APT-126)</vt:lpstr>
      <vt:lpstr>(PRP-128)</vt:lpstr>
      <vt:lpstr>(RSB-129)</vt:lpstr>
      <vt:lpstr>(RCW-130) </vt:lpstr>
      <vt:lpstr>(DVS-131)</vt:lpstr>
      <vt:lpstr>(MMT-132)</vt:lpstr>
      <vt:lpstr>18-19 (LSM-27)</vt:lpstr>
      <vt:lpstr>(KSW-133)</vt:lpstr>
      <vt:lpstr>18-19 (SIK-23)</vt:lpstr>
      <vt:lpstr>18-19 (NVV-22)</vt:lpstr>
      <vt:lpstr>18-19 (DBN-19)</vt:lpstr>
      <vt:lpstr>18-19 (REP-16)</vt:lpstr>
      <vt:lpstr>18-19 (MKG-5)</vt:lpstr>
      <vt:lpstr>18-19 (UMC-46)</vt:lpstr>
      <vt:lpstr>(SSJ-134)</vt:lpstr>
      <vt:lpstr>(BDR-135)</vt:lpstr>
      <vt:lpstr>(DSJ-136)</vt:lpstr>
      <vt:lpstr>(CSS-137)</vt:lpstr>
      <vt:lpstr>(AAM-138)</vt:lpstr>
      <vt:lpstr>(SSK-139)</vt:lpstr>
      <vt:lpstr>18-19 (PCS-33)</vt:lpstr>
      <vt:lpstr>18-19 (SSM-17)</vt:lpstr>
      <vt:lpstr>18-19 (JMS-33)</vt:lpstr>
      <vt:lpstr>18-19 (VVT-16)</vt:lpstr>
      <vt:lpstr>(AS-140)</vt:lpstr>
      <vt:lpstr>18-19 (UCP-3)</vt:lpstr>
      <vt:lpstr>(ANRG-141)</vt:lpstr>
      <vt:lpstr>(RCD-142)</vt:lpstr>
      <vt:lpstr>(VKS)</vt:lpstr>
      <vt:lpstr>(RJS)</vt:lpstr>
      <vt:lpstr>HEMANT</vt:lpstr>
      <vt:lpstr>PRASHANT</vt:lpstr>
      <vt:lpstr>PARAB</vt:lpstr>
      <vt:lpstr>KAILAS</vt:lpstr>
      <vt:lpstr>KAFLE</vt:lpstr>
      <vt:lpstr>SURVE</vt:lpstr>
      <vt:lpstr>0 (2)</vt:lpstr>
      <vt:lpstr>'(CSS-137)'!Print_Area</vt:lpstr>
      <vt:lpstr>'(DPV-21)'!Print_Area</vt:lpstr>
      <vt:lpstr>'(MPJ-20)'!Print_Area</vt:lpstr>
      <vt:lpstr>'(SAS-99)'!Print_Area</vt:lpstr>
      <vt:lpstr>'Main Working'!Print_Area</vt:lpstr>
      <vt:lpstr>'Main Working'!Print_Titles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VISHAL</dc:creator>
  <cp:lastModifiedBy>VISHAL</cp:lastModifiedBy>
  <cp:lastPrinted>2019-02-21T04:38:47Z</cp:lastPrinted>
  <dcterms:created xsi:type="dcterms:W3CDTF">2019-02-10T03:22:30Z</dcterms:created>
  <dcterms:modified xsi:type="dcterms:W3CDTF">2019-03-20T05:46:41Z</dcterms:modified>
</cp:coreProperties>
</file>